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8.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9.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10.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11.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12.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drawings/drawing13.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1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drawings/drawing15.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16.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7.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drawings/drawing18.xml" ContentType="application/vnd.openxmlformats-officedocument.drawing+xml"/>
  <Override PartName="/xl/ctrlProps/ctrlProp183.xml" ContentType="application/vnd.ms-excel.controlproperties+xml"/>
  <Override PartName="/xl/ctrlProps/ctrlProp184.xml" ContentType="application/vnd.ms-excel.controlproperties+xml"/>
  <Override PartName="/xl/drawings/drawing19.xml" ContentType="application/vnd.openxmlformats-officedocument.drawing+xml"/>
  <Override PartName="/xl/ctrlProps/ctrlProp185.xml" ContentType="application/vnd.ms-excel.controlproperties+xml"/>
  <Override PartName="/xl/ctrlProps/ctrlProp186.xml" ContentType="application/vnd.ms-excel.controlproperties+xml"/>
  <Override PartName="/xl/drawings/drawing20.xml" ContentType="application/vnd.openxmlformats-officedocument.drawing+xml"/>
  <Override PartName="/xl/ctrlProps/ctrlProp187.xml" ContentType="application/vnd.ms-excel.controlproperties+xml"/>
  <Override PartName="/xl/ctrlProps/ctrlProp188.xml" ContentType="application/vnd.ms-excel.controlproperties+xml"/>
  <Override PartName="/xl/drawings/drawing21.xml" ContentType="application/vnd.openxmlformats-officedocument.drawing+xml"/>
  <Override PartName="/xl/ctrlProps/ctrlProp189.xml" ContentType="application/vnd.ms-excel.controlproperties+xml"/>
  <Override PartName="/xl/ctrlProps/ctrlProp190.xml" ContentType="application/vnd.ms-excel.controlproperties+xml"/>
  <Override PartName="/xl/drawings/drawing22.xml" ContentType="application/vnd.openxmlformats-officedocument.drawing+xml"/>
  <Override PartName="/xl/ctrlProps/ctrlProp191.xml" ContentType="application/vnd.ms-excel.controlproperties+xml"/>
  <Override PartName="/xl/ctrlProps/ctrlProp192.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ctrlProps/ctrlProp193.xml" ContentType="application/vnd.ms-excel.controlproperties+xml"/>
  <Override PartName="/xl/ctrlProps/ctrlProp194.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drawings/drawing3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codeName="EstaPastaDeTrabalho" defaultThemeVersion="166925"/>
  <mc:AlternateContent xmlns:mc="http://schemas.openxmlformats.org/markup-compatibility/2006">
    <mc:Choice Requires="x15">
      <x15ac:absPath xmlns:x15ac="http://schemas.microsoft.com/office/spreadsheetml/2010/11/ac" url="https://anvisabr-my.sharepoint.com/personal/rodrigo_botelho_anvisa_gov_br/Documents/Anvisa/FLORA/Flora_python/Evolutiva/"/>
    </mc:Choice>
  </mc:AlternateContent>
  <xr:revisionPtr revIDLastSave="474" documentId="13_ncr:1_{54CC23E5-DC46-4B48-BDA3-AA85196CF2A3}" xr6:coauthVersionLast="47" xr6:coauthVersionMax="47" xr10:uidLastSave="{EC91FC64-ABDA-4579-A596-B2F16986540B}"/>
  <bookViews>
    <workbookView xWindow="-28920" yWindow="-120" windowWidth="29040" windowHeight="15720" xr2:uid="{E21657CD-78DE-41DC-8458-0E83465E3795}"/>
  </bookViews>
  <sheets>
    <sheet name="Formulário" sheetId="4" r:id="rId1"/>
    <sheet name="PT&amp;IA" sheetId="9" r:id="rId2"/>
    <sheet name="Composição" sheetId="10" r:id="rId3"/>
    <sheet name="Certificados" sheetId="13" r:id="rId4"/>
    <sheet name="F&amp;Q" sheetId="15" r:id="rId5"/>
    <sheet name="Up&amp;Down(1)" sheetId="16" r:id="rId6"/>
    <sheet name="Up&amp;Down(2)" sheetId="80" r:id="rId7"/>
    <sheet name="Dl50_Oral(1)" sheetId="18" r:id="rId8"/>
    <sheet name="Dl50_Oral(2)" sheetId="81" r:id="rId9"/>
    <sheet name="Dl50_Cutanea(1)" sheetId="22" r:id="rId10"/>
    <sheet name="Dl50_Cutanea(2)" sheetId="82" r:id="rId11"/>
    <sheet name="CL50(1)" sheetId="24" r:id="rId12"/>
    <sheet name="CL50(2)" sheetId="83" r:id="rId13"/>
    <sheet name="Irritacao_Ocular(1)" sheetId="28" r:id="rId14"/>
    <sheet name="Irritacao_Ocular(2)" sheetId="84" r:id="rId15"/>
    <sheet name="Irritacao_Cutanea(1)" sheetId="26" r:id="rId16"/>
    <sheet name="Irritacao_Cutanea(2)" sheetId="85" r:id="rId17"/>
    <sheet name="LLNA(1)" sheetId="30" r:id="rId18"/>
    <sheet name="LLNA(2)" sheetId="86" r:id="rId19"/>
    <sheet name="Sensibilizacao(1)" sheetId="32" r:id="rId20"/>
    <sheet name="Sensibilizacao(2)" sheetId="87" r:id="rId21"/>
    <sheet name="Ames(1)" sheetId="34" r:id="rId22"/>
    <sheet name="Triplicatas(1)" sheetId="44" r:id="rId23"/>
    <sheet name="Ames(2)" sheetId="88" r:id="rId24"/>
    <sheet name="Triplicatas(2)" sheetId="89" r:id="rId25"/>
    <sheet name="Micronucleo(1)" sheetId="36" r:id="rId26"/>
    <sheet name="Resultados_micro(1)" sheetId="49" r:id="rId27"/>
    <sheet name="Micronucleo(2)" sheetId="90" r:id="rId28"/>
    <sheet name="Resultados_micro(2)" sheetId="91" r:id="rId29"/>
    <sheet name="Discussao" sheetId="58" r:id="rId30"/>
    <sheet name="Relatório" sheetId="64" r:id="rId31"/>
    <sheet name="Alertas" sheetId="114" r:id="rId32"/>
    <sheet name="Calculos" sheetId="72" state="veryHidden" r:id="rId33"/>
    <sheet name="Calculos(2)" sheetId="92" state="veryHidden" r:id="rId34"/>
    <sheet name="Validacao(1)" sheetId="93" state="veryHidden" r:id="rId35"/>
    <sheet name="Validacao(2)" sheetId="102" state="veryHidden" r:id="rId36"/>
    <sheet name="Respostas_usuario" sheetId="71" state="veryHidden" r:id="rId37"/>
    <sheet name="Tabelas_fonte" sheetId="70" state="veryHidden" r:id="rId38"/>
    <sheet name="imgs" sheetId="112" state="veryHidden" r:id="rId39"/>
  </sheets>
  <definedNames>
    <definedName name="_xlnm._FilterDatabase" localSheetId="37" hidden="1">Tabelas_fonte!$AX$37:$BB$113</definedName>
    <definedName name="Frases_de_perigo">tb_codigos_GHS_ABNT[Código: Frase]</definedName>
    <definedName name="lista_class_CL">Calculos!$HN$15:$HN$20</definedName>
    <definedName name="lista_class_DL">Calculos!$HN$3:$HN$8</definedName>
    <definedName name="lista_class_irritcutanea">Calculos!$HN$25:$HN$28</definedName>
    <definedName name="lista_class_irritocular">Calculos!$HN$31:$HN$33</definedName>
    <definedName name="lista_class_item1_5">Calculos!$HN$47:$HN$51</definedName>
    <definedName name="lista_class_mutagenicidade">Calculos!$HN$38:$HN$41</definedName>
    <definedName name="lista_class_outros">Calculos!$HN$35:$HN$36</definedName>
    <definedName name="lista_class_produto">tb_classificacoes[Classificações]</definedName>
    <definedName name="lista_funcoes_filtro">OFFSET(Calculos!$I$251,0,0,COUNTIF(Calculos!$I$251:$I$810,"&lt;&gt;"&amp;""),1)</definedName>
    <definedName name="lista_IA_filtro">OFFSET(Calculos!$B$251,0,0,COUNTIF(Calculos!$B$251:$B$810,"&lt;&gt;"&amp;""),1)</definedName>
    <definedName name="pictograma">IF(Calculos!$HB$16=Calculos!$HT$3,pictograma_caveira,IF(Calculos!$HC$20=Calculos!$HT$8,pictograma_dispensa,pictograma_cinza))</definedName>
    <definedName name="pictograma_caveira">imgs!$A$1</definedName>
    <definedName name="pictograma_cinza">imgs!$A$13</definedName>
    <definedName name="pictograma_dispensa">imgs!$A$7</definedName>
    <definedName name="src_certificados">OFFSET(Calculos!$AP$4,0,0,(COUNTA(Calculos!$AP$4:$AP$33)-COUNTIF(Calculos!$AP$4:$AP$33,"")),1)</definedName>
    <definedName name="src_ingredientes">OFFSET(Calculos!$AH$3,0,0,(COUNTA(Calculos!$AH$3:$AH$17)-COUNTIF(Calculos!$AH$3:$AH$17,"")),1)</definedName>
    <definedName name="src_laudos">OFFSET(Calculos!$AL$3,0,0,(COUNTA(Calculos!$AL$3:$AL$32)-COUNTIF(Calculos!$AL$3:$AL$32,"")),1)</definedName>
  </definedNames>
  <calcPr calcId="191029"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6" i="93" l="1"/>
  <c r="G615" i="114" s="1"/>
  <c r="F117" i="93"/>
  <c r="G616" i="114" s="1"/>
  <c r="F118" i="93"/>
  <c r="G617" i="114" s="1"/>
  <c r="F119" i="93"/>
  <c r="G618" i="114" s="1"/>
  <c r="F120" i="93"/>
  <c r="G619" i="114" s="1"/>
  <c r="F121" i="93"/>
  <c r="G620" i="114" s="1"/>
  <c r="F122" i="93"/>
  <c r="G621" i="114" s="1"/>
  <c r="F123" i="93"/>
  <c r="G622" i="114" s="1"/>
  <c r="F124" i="93"/>
  <c r="G623" i="114" s="1"/>
  <c r="F125" i="93"/>
  <c r="G624" i="114" s="1"/>
  <c r="F126" i="93"/>
  <c r="G625" i="114" s="1"/>
  <c r="F127" i="93"/>
  <c r="G626" i="114" s="1"/>
  <c r="F128" i="93"/>
  <c r="G627" i="114" s="1"/>
  <c r="F129" i="93"/>
  <c r="G628" i="114" s="1"/>
  <c r="F130" i="93"/>
  <c r="G629" i="114" s="1"/>
  <c r="F131" i="93"/>
  <c r="G630" i="114" s="1"/>
  <c r="F132" i="93"/>
  <c r="G631" i="114" s="1"/>
  <c r="F133" i="93"/>
  <c r="G632" i="114" s="1"/>
  <c r="F134" i="93"/>
  <c r="G633" i="114" s="1"/>
  <c r="F115" i="93"/>
  <c r="G614" i="114" s="1"/>
  <c r="P421" i="114"/>
  <c r="P422" i="114"/>
  <c r="P423" i="114"/>
  <c r="P424" i="114"/>
  <c r="P425" i="114"/>
  <c r="P426" i="114"/>
  <c r="P427" i="114"/>
  <c r="P428" i="114"/>
  <c r="P429" i="114"/>
  <c r="P430" i="114"/>
  <c r="P431" i="114"/>
  <c r="P432" i="114"/>
  <c r="P433" i="114"/>
  <c r="P434" i="114"/>
  <c r="P435" i="114"/>
  <c r="O421" i="114"/>
  <c r="O422" i="114"/>
  <c r="O423" i="114"/>
  <c r="O424" i="114"/>
  <c r="O425" i="114"/>
  <c r="O426" i="114"/>
  <c r="O427" i="114"/>
  <c r="O428" i="114"/>
  <c r="O429" i="114"/>
  <c r="O430" i="114"/>
  <c r="O431" i="114"/>
  <c r="O432" i="114"/>
  <c r="O433" i="114"/>
  <c r="O434" i="114"/>
  <c r="O435" i="114"/>
  <c r="G365" i="114"/>
  <c r="G366" i="114"/>
  <c r="G367" i="114"/>
  <c r="G368" i="114"/>
  <c r="G369" i="114"/>
  <c r="G370" i="114"/>
  <c r="G371" i="114"/>
  <c r="G372" i="114"/>
  <c r="G373" i="114"/>
  <c r="G374" i="114"/>
  <c r="G375" i="114"/>
  <c r="G376" i="114"/>
  <c r="G377" i="114"/>
  <c r="G378" i="114"/>
  <c r="G379" i="114"/>
  <c r="G380" i="114"/>
  <c r="G381" i="114"/>
  <c r="G382" i="114"/>
  <c r="G383" i="114"/>
  <c r="G384" i="114"/>
  <c r="G385" i="114"/>
  <c r="G386" i="114"/>
  <c r="G387" i="114"/>
  <c r="G388" i="114"/>
  <c r="G389" i="114"/>
  <c r="G390" i="114"/>
  <c r="G391" i="114"/>
  <c r="G392" i="114"/>
  <c r="G393" i="114"/>
  <c r="G394" i="114"/>
  <c r="G395" i="114"/>
  <c r="G396" i="114"/>
  <c r="G397" i="114"/>
  <c r="G398" i="114"/>
  <c r="G399" i="114"/>
  <c r="G400" i="114"/>
  <c r="G401" i="114"/>
  <c r="G402" i="114"/>
  <c r="G403" i="114"/>
  <c r="G404" i="114"/>
  <c r="G405" i="114"/>
  <c r="G406" i="114"/>
  <c r="G407" i="114"/>
  <c r="G408" i="114"/>
  <c r="G409" i="114"/>
  <c r="G410" i="114"/>
  <c r="G411" i="114"/>
  <c r="G412" i="114"/>
  <c r="G413" i="114"/>
  <c r="G414" i="114"/>
  <c r="G415" i="114"/>
  <c r="G416" i="114"/>
  <c r="G417" i="114"/>
  <c r="G418" i="114"/>
  <c r="G419" i="114"/>
  <c r="G420" i="114"/>
  <c r="G421" i="114"/>
  <c r="G422" i="114"/>
  <c r="G423" i="114"/>
  <c r="G424" i="114"/>
  <c r="G425" i="114"/>
  <c r="G426" i="114"/>
  <c r="G427" i="114"/>
  <c r="G428" i="114"/>
  <c r="G429" i="114"/>
  <c r="G430" i="114"/>
  <c r="G431" i="114"/>
  <c r="G432" i="114"/>
  <c r="G433" i="114"/>
  <c r="G434" i="114"/>
  <c r="G435" i="114"/>
  <c r="G364" i="114"/>
  <c r="BB379" i="102"/>
  <c r="BB233" i="102"/>
  <c r="BJ237" i="93"/>
  <c r="P376" i="114" l="1"/>
  <c r="H430" i="114"/>
  <c r="H431" i="114"/>
  <c r="H432" i="114"/>
  <c r="H433" i="114"/>
  <c r="H434" i="114"/>
  <c r="H435" i="114"/>
  <c r="I430" i="114"/>
  <c r="I431" i="114"/>
  <c r="I432" i="114"/>
  <c r="I433" i="114"/>
  <c r="I434" i="114"/>
  <c r="I435" i="114"/>
  <c r="U40" i="114"/>
  <c r="AW28" i="92"/>
  <c r="AW30" i="92"/>
  <c r="AW28" i="72"/>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32" i="10"/>
  <c r="G509" i="114"/>
  <c r="G510" i="114"/>
  <c r="G511" i="114"/>
  <c r="G512" i="114"/>
  <c r="G513" i="114"/>
  <c r="G514" i="114"/>
  <c r="G515" i="114"/>
  <c r="G516" i="114"/>
  <c r="G517" i="114"/>
  <c r="G518" i="114"/>
  <c r="G519" i="114"/>
  <c r="G520" i="114"/>
  <c r="G521" i="114"/>
  <c r="G522" i="114"/>
  <c r="G523" i="114"/>
  <c r="G524" i="114"/>
  <c r="G525" i="114"/>
  <c r="G526" i="114"/>
  <c r="G527" i="114"/>
  <c r="G528" i="114"/>
  <c r="G529" i="114"/>
  <c r="G530" i="114"/>
  <c r="G531" i="114"/>
  <c r="G532" i="114"/>
  <c r="G533" i="114"/>
  <c r="G534" i="114"/>
  <c r="G535" i="114"/>
  <c r="G536" i="114"/>
  <c r="G537" i="114"/>
  <c r="G538" i="114"/>
  <c r="G539" i="114"/>
  <c r="G540" i="114"/>
  <c r="G541" i="114"/>
  <c r="G542" i="114"/>
  <c r="G543" i="114"/>
  <c r="G544" i="114"/>
  <c r="G545" i="114"/>
  <c r="G546" i="114"/>
  <c r="G547" i="114"/>
  <c r="G548" i="114"/>
  <c r="G549" i="114"/>
  <c r="G550" i="114"/>
  <c r="G551" i="114"/>
  <c r="G552" i="114"/>
  <c r="G553" i="114"/>
  <c r="G554" i="114"/>
  <c r="G555" i="114"/>
  <c r="G556" i="114"/>
  <c r="G557" i="114"/>
  <c r="G558" i="114"/>
  <c r="G559" i="114"/>
  <c r="G560" i="114"/>
  <c r="G561" i="114"/>
  <c r="G562" i="114"/>
  <c r="G563" i="114"/>
  <c r="G564" i="114"/>
  <c r="G565" i="114"/>
  <c r="G566" i="114"/>
  <c r="G567" i="114"/>
  <c r="G568" i="114"/>
  <c r="G569" i="114"/>
  <c r="G570" i="114"/>
  <c r="G571" i="114"/>
  <c r="G572" i="114"/>
  <c r="G573" i="114"/>
  <c r="G574" i="114"/>
  <c r="G575" i="114"/>
  <c r="G576" i="114"/>
  <c r="G577" i="114"/>
  <c r="G578" i="114"/>
  <c r="G579" i="114"/>
  <c r="G580" i="114"/>
  <c r="G581" i="114"/>
  <c r="G582" i="114"/>
  <c r="G583" i="114"/>
  <c r="G584" i="114"/>
  <c r="G585" i="114"/>
  <c r="G586" i="114"/>
  <c r="G587" i="114"/>
  <c r="G588" i="114"/>
  <c r="G589" i="114"/>
  <c r="G590" i="114"/>
  <c r="G591" i="114"/>
  <c r="G592" i="114"/>
  <c r="G593" i="114"/>
  <c r="G594" i="114"/>
  <c r="G595" i="114"/>
  <c r="G596" i="114"/>
  <c r="G597" i="114"/>
  <c r="G598" i="114"/>
  <c r="G599" i="114"/>
  <c r="G600" i="114"/>
  <c r="G601" i="114"/>
  <c r="G602" i="114"/>
  <c r="G603" i="114"/>
  <c r="G604" i="114"/>
  <c r="G605" i="114"/>
  <c r="G606" i="114"/>
  <c r="G607" i="114"/>
  <c r="G608" i="114"/>
  <c r="G609" i="114"/>
  <c r="G610" i="114"/>
  <c r="G611" i="114"/>
  <c r="G612" i="114"/>
  <c r="O531" i="114"/>
  <c r="O562" i="114"/>
  <c r="O568" i="114"/>
  <c r="O573" i="114"/>
  <c r="O578" i="114"/>
  <c r="O588" i="114"/>
  <c r="O589" i="114"/>
  <c r="O590" i="114"/>
  <c r="O591" i="114"/>
  <c r="O592" i="114"/>
  <c r="O593" i="114"/>
  <c r="O594" i="114"/>
  <c r="O595" i="114"/>
  <c r="O596" i="114"/>
  <c r="O597" i="114"/>
  <c r="O598" i="114"/>
  <c r="O599" i="114"/>
  <c r="O600" i="114"/>
  <c r="O601" i="114"/>
  <c r="O602" i="114"/>
  <c r="O603" i="114"/>
  <c r="O604" i="114"/>
  <c r="O605" i="114"/>
  <c r="O606" i="114"/>
  <c r="O607" i="114"/>
  <c r="O608" i="114"/>
  <c r="O609" i="114"/>
  <c r="O610" i="114"/>
  <c r="O611" i="114"/>
  <c r="O612" i="114"/>
  <c r="S1028" i="89"/>
  <c r="S1011" i="89"/>
  <c r="S994" i="89"/>
  <c r="S977" i="89"/>
  <c r="S960" i="89"/>
  <c r="S943" i="89"/>
  <c r="S926" i="89"/>
  <c r="S909" i="89"/>
  <c r="S892" i="89"/>
  <c r="S875" i="89"/>
  <c r="S858" i="89"/>
  <c r="S841" i="89"/>
  <c r="S824" i="89"/>
  <c r="S807" i="89"/>
  <c r="S790" i="89"/>
  <c r="S773" i="89"/>
  <c r="S756" i="89"/>
  <c r="S739" i="89"/>
  <c r="S722" i="89"/>
  <c r="S705" i="89"/>
  <c r="S682" i="89"/>
  <c r="S665" i="89"/>
  <c r="S648" i="89"/>
  <c r="S631" i="89"/>
  <c r="S614" i="89"/>
  <c r="S597" i="89"/>
  <c r="S580" i="89"/>
  <c r="S563" i="89"/>
  <c r="S546" i="89"/>
  <c r="S529" i="89"/>
  <c r="S512" i="89"/>
  <c r="S495" i="89"/>
  <c r="S478" i="89"/>
  <c r="S461" i="89"/>
  <c r="S444" i="89"/>
  <c r="S427" i="89"/>
  <c r="S410" i="89"/>
  <c r="S393" i="89"/>
  <c r="S376" i="89"/>
  <c r="S359" i="89"/>
  <c r="S336" i="89"/>
  <c r="S319" i="89"/>
  <c r="S302" i="89"/>
  <c r="S285" i="89"/>
  <c r="S268" i="89"/>
  <c r="S251" i="89"/>
  <c r="S234" i="89"/>
  <c r="S217" i="89"/>
  <c r="S200" i="89"/>
  <c r="S183" i="89"/>
  <c r="S166" i="89"/>
  <c r="S149" i="89"/>
  <c r="S132" i="89"/>
  <c r="S115" i="89"/>
  <c r="S98" i="89"/>
  <c r="S81" i="89"/>
  <c r="S64" i="89"/>
  <c r="S47" i="89"/>
  <c r="S30" i="89"/>
  <c r="S13" i="89"/>
  <c r="S1028" i="44"/>
  <c r="S1011" i="44"/>
  <c r="S994" i="44"/>
  <c r="S977" i="44"/>
  <c r="S960" i="44"/>
  <c r="S943" i="44"/>
  <c r="S926" i="44"/>
  <c r="S909" i="44"/>
  <c r="S892" i="44"/>
  <c r="S875" i="44"/>
  <c r="S858" i="44"/>
  <c r="S841" i="44"/>
  <c r="S824" i="44"/>
  <c r="S807" i="44"/>
  <c r="S790" i="44"/>
  <c r="S773" i="44"/>
  <c r="S756" i="44"/>
  <c r="S739" i="44"/>
  <c r="S722" i="44"/>
  <c r="S705" i="44"/>
  <c r="S682" i="44"/>
  <c r="S665" i="44"/>
  <c r="S648" i="44"/>
  <c r="S631" i="44"/>
  <c r="S614" i="44"/>
  <c r="S597" i="44"/>
  <c r="S580" i="44"/>
  <c r="S563" i="44"/>
  <c r="S546" i="44"/>
  <c r="S529" i="44"/>
  <c r="S512" i="44"/>
  <c r="S495" i="44"/>
  <c r="S478" i="44"/>
  <c r="S461" i="44"/>
  <c r="S444" i="44"/>
  <c r="S427" i="44"/>
  <c r="S410" i="44"/>
  <c r="S393" i="44"/>
  <c r="S376" i="44"/>
  <c r="S359" i="44"/>
  <c r="S336" i="44"/>
  <c r="S319" i="44"/>
  <c r="S302" i="44"/>
  <c r="S285" i="44"/>
  <c r="S268" i="44"/>
  <c r="S251" i="44"/>
  <c r="S234" i="44"/>
  <c r="S217" i="44"/>
  <c r="S200" i="44"/>
  <c r="S183" i="44"/>
  <c r="S166" i="44"/>
  <c r="S149" i="44"/>
  <c r="S132" i="44"/>
  <c r="S115" i="44"/>
  <c r="S98" i="44"/>
  <c r="S81" i="44"/>
  <c r="S64" i="44"/>
  <c r="S47" i="44"/>
  <c r="S30" i="44"/>
  <c r="S13" i="44"/>
  <c r="I541" i="70"/>
  <c r="I557" i="70"/>
  <c r="I524" i="70"/>
  <c r="I148" i="70"/>
  <c r="I568" i="70"/>
  <c r="I202" i="70"/>
  <c r="GH40" i="72"/>
  <c r="AW26" i="92"/>
  <c r="BZ165" i="102"/>
  <c r="AX30" i="92" a="1"/>
  <c r="BM165" i="102"/>
  <c r="BO165" i="102"/>
  <c r="CB165" i="102"/>
  <c r="BK165" i="102"/>
  <c r="DN135" i="93"/>
  <c r="Y16" i="72" a="1"/>
  <c r="DN136" i="102" a="1"/>
  <c r="CC166" i="102" a="1"/>
  <c r="BQ165" i="102"/>
  <c r="BX165" i="102"/>
  <c r="BY166" i="102" a="1"/>
  <c r="BU166" i="102" a="1"/>
  <c r="Y13" i="72" a="1"/>
  <c r="BL166" i="102" a="1"/>
  <c r="BN166" i="102" a="1"/>
  <c r="Y27" i="72" a="1"/>
  <c r="Y9" i="72" a="1"/>
  <c r="DN136" i="93" a="1"/>
  <c r="DK136" i="102" a="1"/>
  <c r="Y42" i="72" a="1"/>
  <c r="Y10" i="72" a="1"/>
  <c r="Y17" i="72" a="1"/>
  <c r="Y22" i="72" a="1"/>
  <c r="Y6" i="72" a="1"/>
  <c r="BV165" i="102"/>
  <c r="Y36" i="72" a="1"/>
  <c r="Y24" i="72" a="1"/>
  <c r="M30" i="91" a="1"/>
  <c r="CB166" i="102" a="1"/>
  <c r="BW165" i="102"/>
  <c r="Y38" i="72" a="1"/>
  <c r="Y21" i="72" a="1"/>
  <c r="Y34" i="72" a="1"/>
  <c r="Y19" i="72" a="1"/>
  <c r="AX30" i="72" a="1"/>
  <c r="Y41" i="72" a="1"/>
  <c r="BJ190" i="102"/>
  <c r="Y40" i="72" a="1"/>
  <c r="BM166" i="102" a="1"/>
  <c r="BJ191" i="102"/>
  <c r="Y28" i="72" a="1"/>
  <c r="BI165" i="102"/>
  <c r="CA165" i="102"/>
  <c r="BJ192" i="102"/>
  <c r="BK166" i="102" a="1"/>
  <c r="Y43" i="72" a="1"/>
  <c r="BU165" i="102"/>
  <c r="BT165" i="102"/>
  <c r="Y30" i="72" a="1"/>
  <c r="BS166" i="102" a="1"/>
  <c r="Y5" i="72" a="1"/>
  <c r="Y23" i="72" a="1"/>
  <c r="Y31" i="72" a="1"/>
  <c r="Y8" i="72" a="1"/>
  <c r="Y7" i="72" a="1"/>
  <c r="BR165" i="102"/>
  <c r="BO206" i="102" a="1"/>
  <c r="CP257" i="93" a="1"/>
  <c r="BP165" i="102"/>
  <c r="Y4" i="72" a="1"/>
  <c r="BP166" i="102" a="1"/>
  <c r="BI166" i="102" a="1"/>
  <c r="CD166" i="102" a="1"/>
  <c r="Y35" i="72" a="1"/>
  <c r="Y25" i="72" a="1"/>
  <c r="BO166" i="102" a="1"/>
  <c r="BN165" i="102"/>
  <c r="Y12" i="72" a="1"/>
  <c r="CD165" i="102"/>
  <c r="BL165" i="102"/>
  <c r="DL136" i="102" a="1"/>
  <c r="Y14" i="72" a="1"/>
  <c r="Y29" i="72" a="1"/>
  <c r="BT166" i="102" a="1"/>
  <c r="CC165" i="102"/>
  <c r="DL135" i="102"/>
  <c r="DK135" i="102"/>
  <c r="Y26" i="72" a="1"/>
  <c r="BZ166" i="102" a="1"/>
  <c r="Y39" i="72" a="1"/>
  <c r="Y32" i="72" a="1"/>
  <c r="BR166" i="102" a="1"/>
  <c r="Y15" i="72" a="1"/>
  <c r="CA166" i="102" a="1"/>
  <c r="BS165" i="102"/>
  <c r="Y33" i="72" a="1"/>
  <c r="Y11" i="72" a="1"/>
  <c r="DN135" i="102"/>
  <c r="BJ166" i="102" a="1"/>
  <c r="DM135" i="102"/>
  <c r="Y18" i="72" a="1"/>
  <c r="BB379" i="93"/>
  <c r="BJ165" i="102"/>
  <c r="Y37" i="72" a="1"/>
  <c r="BV165" i="93"/>
  <c r="BY165" i="102"/>
  <c r="BQ166" i="102" a="1"/>
  <c r="DM136" i="102" a="1"/>
  <c r="Y20" i="72" a="1"/>
  <c r="BJ189" i="102"/>
  <c r="O376" i="114" l="1"/>
  <c r="AX30" i="92"/>
  <c r="AY30" i="92" s="1"/>
  <c r="AX30" i="72"/>
  <c r="AY30" i="72" s="1"/>
  <c r="BJ166" i="102"/>
  <c r="BP166" i="102"/>
  <c r="BY166" i="102"/>
  <c r="BK166" i="102"/>
  <c r="BQ166" i="102"/>
  <c r="BZ166" i="102"/>
  <c r="BL166" i="102"/>
  <c r="BR166" i="102"/>
  <c r="CA166" i="102"/>
  <c r="BM166" i="102"/>
  <c r="BS166" i="102"/>
  <c r="CB166" i="102"/>
  <c r="BN166" i="102"/>
  <c r="BT166" i="102"/>
  <c r="CC166" i="102"/>
  <c r="BI166" i="102"/>
  <c r="BO166" i="102"/>
  <c r="BU166" i="102"/>
  <c r="CD166" i="102"/>
  <c r="CP257" i="93"/>
  <c r="M30" i="91"/>
  <c r="DK136" i="102"/>
  <c r="DB169" i="102" s="1"/>
  <c r="DL136" i="102"/>
  <c r="DM136" i="102"/>
  <c r="DN136" i="102"/>
  <c r="DB172" i="102" s="1"/>
  <c r="DN136" i="93"/>
  <c r="DB172" i="93" s="1"/>
  <c r="O577" i="114" s="1"/>
  <c r="BO206" i="102"/>
  <c r="Y40" i="72"/>
  <c r="Y34" i="72"/>
  <c r="Y28" i="72"/>
  <c r="Y22" i="72"/>
  <c r="Y16" i="72"/>
  <c r="Y10" i="72"/>
  <c r="Y39" i="72"/>
  <c r="Y33" i="72"/>
  <c r="Y27" i="72"/>
  <c r="Y21" i="72"/>
  <c r="Y15" i="72"/>
  <c r="Y9" i="72"/>
  <c r="Y38" i="72"/>
  <c r="Y32" i="72"/>
  <c r="Y26" i="72"/>
  <c r="Y20" i="72"/>
  <c r="Y14" i="72"/>
  <c r="Y8" i="72"/>
  <c r="Y43" i="72"/>
  <c r="Y37" i="72"/>
  <c r="Y31" i="72"/>
  <c r="Y25" i="72"/>
  <c r="Y19" i="72"/>
  <c r="Y13" i="72"/>
  <c r="Y7" i="72"/>
  <c r="Y42" i="72"/>
  <c r="Y36" i="72"/>
  <c r="Y30" i="72"/>
  <c r="Y24" i="72"/>
  <c r="Y18" i="72"/>
  <c r="Y12" i="72"/>
  <c r="Y6" i="72"/>
  <c r="Y41" i="72"/>
  <c r="Y35" i="72"/>
  <c r="Y29" i="72"/>
  <c r="Y23" i="72"/>
  <c r="Y17" i="72"/>
  <c r="Y11" i="72"/>
  <c r="Y5" i="72"/>
  <c r="Y4" i="72"/>
  <c r="HF71" i="72" a="1"/>
  <c r="HF71" i="72" s="1"/>
  <c r="HF70" i="72" a="1"/>
  <c r="HF70" i="72" s="1"/>
  <c r="HF69" i="72" a="1"/>
  <c r="HF69" i="72" s="1"/>
  <c r="HF68" i="72" a="1"/>
  <c r="HF68" i="72" s="1"/>
  <c r="HF67" i="72" a="1"/>
  <c r="HF67" i="72" s="1"/>
  <c r="HF66" i="72" a="1"/>
  <c r="HF66" i="72" s="1"/>
  <c r="HF65" i="72" a="1"/>
  <c r="HF65" i="72" s="1"/>
  <c r="HF64" i="72" a="1"/>
  <c r="HF64" i="72" s="1"/>
  <c r="HF63" i="72" a="1"/>
  <c r="HF63" i="72" s="1"/>
  <c r="HF62" i="72" a="1"/>
  <c r="HF62" i="72" s="1"/>
  <c r="HF61" i="72" a="1"/>
  <c r="HF61" i="72" s="1"/>
  <c r="HF60" i="72" a="1"/>
  <c r="HF60" i="72" s="1"/>
  <c r="HF59" i="72" a="1"/>
  <c r="HF59" i="72" s="1"/>
  <c r="HF58" i="72" a="1"/>
  <c r="HF58" i="72" s="1"/>
  <c r="HF57" i="72" a="1"/>
  <c r="HF57" i="72" s="1"/>
  <c r="HF56" i="72" a="1"/>
  <c r="HF56" i="72" s="1"/>
  <c r="HF55" i="72" a="1"/>
  <c r="HF55" i="72" s="1"/>
  <c r="HF54" i="72" a="1"/>
  <c r="HF54" i="72" s="1"/>
  <c r="HF53" i="72" a="1"/>
  <c r="HF53" i="72" s="1"/>
  <c r="HF52" i="72" a="1"/>
  <c r="HF52" i="72" s="1"/>
  <c r="HF51" i="72" a="1"/>
  <c r="HF51" i="72" s="1"/>
  <c r="HF50" i="72" a="1"/>
  <c r="HF50" i="72" s="1"/>
  <c r="HF49" i="72" a="1"/>
  <c r="HF49" i="72" s="1"/>
  <c r="HF48" i="72" a="1"/>
  <c r="HF48" i="72" s="1"/>
  <c r="HF47" i="72" a="1"/>
  <c r="HF47" i="72" s="1"/>
  <c r="HF46" i="72" a="1"/>
  <c r="HF46" i="72" s="1"/>
  <c r="HF45" i="72" a="1"/>
  <c r="HF45" i="72" s="1"/>
  <c r="HF44" i="72" a="1"/>
  <c r="HF44" i="72" s="1"/>
  <c r="HF43" i="72" a="1"/>
  <c r="HF43" i="72" s="1"/>
  <c r="HF42" i="72" a="1"/>
  <c r="HF42" i="72" s="1"/>
  <c r="HF41" i="72" a="1"/>
  <c r="HF41" i="72" s="1"/>
  <c r="HF40" i="72" a="1"/>
  <c r="HF40" i="72" s="1"/>
  <c r="HF39" i="72" a="1"/>
  <c r="HF39" i="72" s="1"/>
  <c r="HF38" i="72" a="1"/>
  <c r="HF38" i="72" s="1"/>
  <c r="HF37" i="72" a="1"/>
  <c r="HF37" i="72" s="1"/>
  <c r="HF36" i="72" a="1"/>
  <c r="HF36" i="72" s="1"/>
  <c r="GZ29" i="72"/>
  <c r="Y613" i="114"/>
  <c r="Y507" i="114"/>
  <c r="H507" i="114" s="1"/>
  <c r="Z507" i="114"/>
  <c r="I507" i="114" s="1"/>
  <c r="Z436" i="114"/>
  <c r="I436" i="114" s="1"/>
  <c r="Y436" i="114"/>
  <c r="H436" i="114" s="1"/>
  <c r="Z363" i="114"/>
  <c r="I363" i="114" s="1"/>
  <c r="Y363" i="114"/>
  <c r="H363" i="114" s="1"/>
  <c r="Z311" i="114"/>
  <c r="I311" i="114" s="1"/>
  <c r="Y311" i="114"/>
  <c r="H311" i="114" s="1"/>
  <c r="Z268" i="114"/>
  <c r="I268" i="114" s="1"/>
  <c r="Y268" i="114"/>
  <c r="H268" i="114" s="1"/>
  <c r="Z225" i="114"/>
  <c r="I225" i="114" s="1"/>
  <c r="Y225" i="114"/>
  <c r="H225" i="114" s="1"/>
  <c r="Z184" i="114"/>
  <c r="I184" i="114" s="1"/>
  <c r="Y184" i="114"/>
  <c r="H184" i="114" s="1"/>
  <c r="Z152" i="114"/>
  <c r="I152" i="114" s="1"/>
  <c r="Y152" i="114"/>
  <c r="H152" i="114" s="1"/>
  <c r="Z121" i="114"/>
  <c r="I121" i="114" s="1"/>
  <c r="Y121" i="114"/>
  <c r="H121" i="114" s="1"/>
  <c r="Z86" i="114"/>
  <c r="I86" i="114" s="1"/>
  <c r="Y86" i="114"/>
  <c r="H86" i="114" s="1"/>
  <c r="Q5" i="114"/>
  <c r="Q6" i="114"/>
  <c r="Q7" i="114"/>
  <c r="Q8" i="114"/>
  <c r="Q9" i="114"/>
  <c r="Q10" i="114"/>
  <c r="Q11" i="114"/>
  <c r="Q12" i="114"/>
  <c r="Q13" i="114"/>
  <c r="Q14" i="114"/>
  <c r="Q15" i="114"/>
  <c r="Q16" i="114"/>
  <c r="Q17" i="114"/>
  <c r="Q18" i="114"/>
  <c r="Q19" i="114"/>
  <c r="N40" i="114"/>
  <c r="N31" i="114"/>
  <c r="N30" i="114"/>
  <c r="N29" i="114"/>
  <c r="N614" i="114"/>
  <c r="Y71" i="114"/>
  <c r="Y54" i="114"/>
  <c r="Y40" i="114"/>
  <c r="Y29" i="114"/>
  <c r="G64" i="93"/>
  <c r="G63" i="93"/>
  <c r="G35" i="93"/>
  <c r="G34" i="93"/>
  <c r="G7" i="93"/>
  <c r="G6" i="93"/>
  <c r="BH5" i="93"/>
  <c r="BH4" i="93"/>
  <c r="BT349" i="102"/>
  <c r="EN246" i="102"/>
  <c r="EM246" i="102"/>
  <c r="EN245" i="102"/>
  <c r="EM245" i="102"/>
  <c r="EN244" i="102"/>
  <c r="EM244" i="102"/>
  <c r="EN243" i="102"/>
  <c r="EM243" i="102"/>
  <c r="EN242" i="102"/>
  <c r="EM242" i="102"/>
  <c r="EN241" i="102"/>
  <c r="EM241" i="102"/>
  <c r="EN240" i="102"/>
  <c r="EM240" i="102"/>
  <c r="EN239" i="102"/>
  <c r="EM239" i="102"/>
  <c r="EN238" i="102"/>
  <c r="EM238" i="102"/>
  <c r="EN237" i="102"/>
  <c r="EM237" i="102"/>
  <c r="EN236" i="102"/>
  <c r="EM236" i="102"/>
  <c r="EN235" i="102"/>
  <c r="EM235" i="102"/>
  <c r="EN234" i="102"/>
  <c r="EM234" i="102"/>
  <c r="EN233" i="102"/>
  <c r="EM233" i="102"/>
  <c r="EN232" i="102"/>
  <c r="EM232" i="102"/>
  <c r="EN231" i="102"/>
  <c r="EM231" i="102"/>
  <c r="EN230" i="102"/>
  <c r="EM230" i="102"/>
  <c r="EN229" i="102"/>
  <c r="EM229" i="102"/>
  <c r="EN228" i="102"/>
  <c r="EM228" i="102"/>
  <c r="BJ228" i="102"/>
  <c r="EN227" i="102"/>
  <c r="EM227" i="102"/>
  <c r="EN226" i="102"/>
  <c r="EM226" i="102"/>
  <c r="EN225" i="102"/>
  <c r="EM225" i="102"/>
  <c r="EN224" i="102"/>
  <c r="EM224" i="102"/>
  <c r="EN223" i="102"/>
  <c r="EM223" i="102"/>
  <c r="EN222" i="102"/>
  <c r="EM222" i="102"/>
  <c r="EN221" i="102"/>
  <c r="EM221" i="102"/>
  <c r="EN220" i="102"/>
  <c r="EM220" i="102"/>
  <c r="EN219" i="102"/>
  <c r="EM219" i="102"/>
  <c r="EN218" i="102"/>
  <c r="EM218" i="102"/>
  <c r="EN217" i="102"/>
  <c r="EM217" i="102"/>
  <c r="EN216" i="102"/>
  <c r="EM216" i="102"/>
  <c r="EN215" i="102"/>
  <c r="EM215" i="102"/>
  <c r="EN214" i="102"/>
  <c r="EM214" i="102"/>
  <c r="EN213" i="102"/>
  <c r="EM213" i="102"/>
  <c r="EN212" i="102"/>
  <c r="EM212" i="102"/>
  <c r="EN211" i="102"/>
  <c r="EM211" i="102"/>
  <c r="DO211" i="102"/>
  <c r="DN211" i="102"/>
  <c r="DM211" i="102"/>
  <c r="DL211" i="102"/>
  <c r="EN210" i="102"/>
  <c r="EM210" i="102"/>
  <c r="EN209" i="102"/>
  <c r="EM209" i="102"/>
  <c r="EN208" i="102"/>
  <c r="EM208" i="102"/>
  <c r="EN207" i="102"/>
  <c r="EM207" i="102"/>
  <c r="EN206" i="102"/>
  <c r="EM206" i="102"/>
  <c r="EN205" i="102"/>
  <c r="EM205" i="102"/>
  <c r="EN204" i="102"/>
  <c r="EM204" i="102"/>
  <c r="EN203" i="102"/>
  <c r="EM203" i="102"/>
  <c r="EN202" i="102"/>
  <c r="EM202" i="102"/>
  <c r="EN201" i="102"/>
  <c r="EM201" i="102"/>
  <c r="EN200" i="102"/>
  <c r="EM200" i="102"/>
  <c r="EN199" i="102"/>
  <c r="EM199" i="102"/>
  <c r="EN198" i="102"/>
  <c r="EM198" i="102"/>
  <c r="EN197" i="102"/>
  <c r="EM197" i="102"/>
  <c r="DJ197" i="102"/>
  <c r="DJ200" i="102" s="1"/>
  <c r="DI197" i="102"/>
  <c r="DI200" i="102" s="1"/>
  <c r="DB176" i="102" s="1"/>
  <c r="EN196" i="102"/>
  <c r="EM196" i="102"/>
  <c r="DJ196" i="102"/>
  <c r="DJ199" i="102" s="1"/>
  <c r="DI196" i="102"/>
  <c r="DI199" i="102" s="1"/>
  <c r="EN195" i="102"/>
  <c r="EM195" i="102"/>
  <c r="EN194" i="102"/>
  <c r="EM194" i="102"/>
  <c r="EN193" i="102"/>
  <c r="EM193" i="102"/>
  <c r="EN192" i="102"/>
  <c r="EM192" i="102"/>
  <c r="EN191" i="102"/>
  <c r="EM191" i="102"/>
  <c r="EN190" i="102"/>
  <c r="EM190" i="102"/>
  <c r="EN189" i="102"/>
  <c r="EM189" i="102"/>
  <c r="EN188" i="102"/>
  <c r="EM188" i="102"/>
  <c r="EN187" i="102"/>
  <c r="EM187" i="102"/>
  <c r="EN186" i="102"/>
  <c r="EM186" i="102"/>
  <c r="EN185" i="102"/>
  <c r="EM185" i="102"/>
  <c r="EN184" i="102"/>
  <c r="EM184" i="102"/>
  <c r="EN183" i="102"/>
  <c r="EM183" i="102"/>
  <c r="EN182" i="102"/>
  <c r="EM182" i="102"/>
  <c r="EN181" i="102"/>
  <c r="EM181" i="102"/>
  <c r="EN180" i="102"/>
  <c r="EM180" i="102"/>
  <c r="EN179" i="102"/>
  <c r="EM179" i="102"/>
  <c r="EN178" i="102"/>
  <c r="EM178" i="102"/>
  <c r="EN177" i="102"/>
  <c r="EM177" i="102"/>
  <c r="EN176" i="102"/>
  <c r="EM176" i="102"/>
  <c r="EN175" i="102"/>
  <c r="EM175" i="102"/>
  <c r="EN174" i="102"/>
  <c r="EM174" i="102"/>
  <c r="EN173" i="102"/>
  <c r="EM173" i="102"/>
  <c r="EN172" i="102"/>
  <c r="EM172" i="102"/>
  <c r="EN171" i="102"/>
  <c r="EM171" i="102"/>
  <c r="EN170" i="102"/>
  <c r="EM170" i="102"/>
  <c r="EN169" i="102"/>
  <c r="EM169" i="102"/>
  <c r="EN168" i="102"/>
  <c r="EM168" i="102"/>
  <c r="EN167" i="102"/>
  <c r="EM167" i="102"/>
  <c r="BB91" i="102"/>
  <c r="DY90" i="102"/>
  <c r="DX90" i="102"/>
  <c r="DB47" i="102" s="1"/>
  <c r="DY89" i="102"/>
  <c r="DX89" i="102"/>
  <c r="DB46" i="102" s="1"/>
  <c r="DH82" i="102"/>
  <c r="DI82" i="102" s="1"/>
  <c r="DH83" i="102" s="1"/>
  <c r="DI83" i="102" s="1"/>
  <c r="DH84" i="102" s="1"/>
  <c r="DI84" i="102" s="1"/>
  <c r="DH85" i="102" s="1"/>
  <c r="DI85" i="102" s="1"/>
  <c r="DH86" i="102" s="1"/>
  <c r="DI86" i="102" s="1"/>
  <c r="DH87" i="102" s="1"/>
  <c r="DI87" i="102" s="1"/>
  <c r="DH88" i="102" s="1"/>
  <c r="DI88" i="102" s="1"/>
  <c r="DH89" i="102" s="1"/>
  <c r="DI89" i="102" s="1"/>
  <c r="DH90" i="102" s="1"/>
  <c r="DI90" i="102" s="1"/>
  <c r="DH91" i="102" s="1"/>
  <c r="DI91" i="102" s="1"/>
  <c r="DH72" i="102"/>
  <c r="DI72" i="102" s="1"/>
  <c r="DH62" i="102"/>
  <c r="DI62" i="102" s="1"/>
  <c r="DH63" i="102" s="1"/>
  <c r="DI63" i="102" s="1"/>
  <c r="DH64" i="102" s="1"/>
  <c r="DI64" i="102" s="1"/>
  <c r="DH65" i="102" s="1"/>
  <c r="DI65" i="102" s="1"/>
  <c r="DH66" i="102" s="1"/>
  <c r="DI66" i="102" s="1"/>
  <c r="DH67" i="102" s="1"/>
  <c r="DI67" i="102" s="1"/>
  <c r="DH68" i="102" s="1"/>
  <c r="DI68" i="102" s="1"/>
  <c r="DH69" i="102" s="1"/>
  <c r="DI69" i="102" s="1"/>
  <c r="DH70" i="102" s="1"/>
  <c r="DI70" i="102" s="1"/>
  <c r="DH71" i="102" s="1"/>
  <c r="DI71" i="102" s="1"/>
  <c r="DR58" i="102"/>
  <c r="DQ58" i="102"/>
  <c r="DP58" i="102"/>
  <c r="DB58" i="102"/>
  <c r="DR57" i="102"/>
  <c r="DQ57" i="102"/>
  <c r="DP57" i="102"/>
  <c r="DR39" i="102"/>
  <c r="DQ39" i="102"/>
  <c r="DP39" i="102"/>
  <c r="DR38" i="102"/>
  <c r="DQ38" i="102"/>
  <c r="DP38" i="102"/>
  <c r="DB36" i="102"/>
  <c r="DB33" i="102"/>
  <c r="DB30" i="102"/>
  <c r="DB29" i="102"/>
  <c r="DB28" i="102"/>
  <c r="DB27" i="102"/>
  <c r="DB26" i="102"/>
  <c r="DB25" i="102"/>
  <c r="DB24" i="102"/>
  <c r="DB23" i="102"/>
  <c r="DB22" i="102"/>
  <c r="DB21" i="102"/>
  <c r="DB20" i="102"/>
  <c r="BT349" i="93"/>
  <c r="BJ228" i="93"/>
  <c r="DO211" i="93"/>
  <c r="DN211" i="93"/>
  <c r="DM211" i="93"/>
  <c r="DL211" i="93"/>
  <c r="DJ197" i="93"/>
  <c r="DJ200" i="93" s="1"/>
  <c r="DI197" i="93"/>
  <c r="DI200" i="93" s="1"/>
  <c r="DB176" i="93" s="1"/>
  <c r="O581" i="114" s="1"/>
  <c r="DJ196" i="93"/>
  <c r="DJ199" i="93" s="1"/>
  <c r="DI196" i="93"/>
  <c r="DI199" i="93" s="1"/>
  <c r="AB94" i="93"/>
  <c r="AB93" i="93"/>
  <c r="AB92" i="93"/>
  <c r="AG92" i="93" s="1"/>
  <c r="BB91" i="93"/>
  <c r="AB91" i="93"/>
  <c r="AG91" i="93" s="1"/>
  <c r="DY90" i="93"/>
  <c r="DX90" i="93"/>
  <c r="DB47" i="93" s="1"/>
  <c r="AB90" i="93"/>
  <c r="AC90" i="93" s="1"/>
  <c r="DY89" i="93"/>
  <c r="DX89" i="93"/>
  <c r="DB46" i="93" s="1"/>
  <c r="AB89" i="93"/>
  <c r="AG89" i="93" s="1"/>
  <c r="AB88" i="93"/>
  <c r="AG88" i="93" s="1"/>
  <c r="AB87" i="93"/>
  <c r="AF87" i="93" s="1"/>
  <c r="AB86" i="93"/>
  <c r="AD86" i="93" s="1"/>
  <c r="AB85" i="93"/>
  <c r="AE85" i="93" s="1"/>
  <c r="AB84" i="93"/>
  <c r="AB83" i="93"/>
  <c r="AF83" i="93" s="1"/>
  <c r="DH82" i="93"/>
  <c r="DI82" i="93" s="1"/>
  <c r="AB82" i="93"/>
  <c r="AF82" i="93" s="1"/>
  <c r="AB81" i="93"/>
  <c r="AC81" i="93" s="1"/>
  <c r="AB80" i="93"/>
  <c r="AE80" i="93" s="1"/>
  <c r="AB79" i="93"/>
  <c r="AG79" i="93" s="1"/>
  <c r="AB78" i="93"/>
  <c r="AB77" i="93"/>
  <c r="AE77" i="93" s="1"/>
  <c r="AB76" i="93"/>
  <c r="AB75" i="93"/>
  <c r="AG75" i="93" s="1"/>
  <c r="AB74" i="93"/>
  <c r="AG74" i="93" s="1"/>
  <c r="AB73" i="93"/>
  <c r="AE73" i="93" s="1"/>
  <c r="DH72" i="93"/>
  <c r="DI72" i="93" s="1"/>
  <c r="DH73" i="93" s="1"/>
  <c r="DI73" i="93" s="1"/>
  <c r="DH74" i="93" s="1"/>
  <c r="DI74" i="93" s="1"/>
  <c r="DH75" i="93" s="1"/>
  <c r="DI75" i="93" s="1"/>
  <c r="DH76" i="93" s="1"/>
  <c r="DI76" i="93" s="1"/>
  <c r="DH77" i="93" s="1"/>
  <c r="DI77" i="93" s="1"/>
  <c r="DH78" i="93" s="1"/>
  <c r="DI78" i="93" s="1"/>
  <c r="DH79" i="93" s="1"/>
  <c r="DI79" i="93" s="1"/>
  <c r="DH80" i="93" s="1"/>
  <c r="DI80" i="93" s="1"/>
  <c r="DH81" i="93" s="1"/>
  <c r="DI81" i="93" s="1"/>
  <c r="AB72" i="93"/>
  <c r="AG72" i="93" s="1"/>
  <c r="AB71" i="93"/>
  <c r="AG71" i="93" s="1"/>
  <c r="AB70" i="93"/>
  <c r="AC70" i="93" s="1"/>
  <c r="AB69" i="93"/>
  <c r="AF69" i="93" s="1"/>
  <c r="AB68" i="93"/>
  <c r="AE68" i="93" s="1"/>
  <c r="AB67" i="93"/>
  <c r="AG67" i="93" s="1"/>
  <c r="AB66" i="93"/>
  <c r="AC66" i="93" s="1"/>
  <c r="AB65" i="93"/>
  <c r="DH62" i="93"/>
  <c r="DI62" i="93" s="1"/>
  <c r="DR58" i="93"/>
  <c r="DQ58" i="93"/>
  <c r="DP58" i="93"/>
  <c r="DB58" i="93"/>
  <c r="DR57" i="93"/>
  <c r="DQ57" i="93"/>
  <c r="DP57" i="93"/>
  <c r="V48" i="93"/>
  <c r="V47" i="93"/>
  <c r="V46" i="93"/>
  <c r="V45" i="93"/>
  <c r="V44" i="93"/>
  <c r="V43" i="93"/>
  <c r="V42" i="93"/>
  <c r="V41" i="93"/>
  <c r="V40" i="93"/>
  <c r="DR39" i="93"/>
  <c r="DQ39" i="93"/>
  <c r="DP39" i="93"/>
  <c r="V39" i="93"/>
  <c r="DR38" i="93"/>
  <c r="DQ38" i="93"/>
  <c r="DP38" i="93"/>
  <c r="V38" i="93"/>
  <c r="V37" i="93"/>
  <c r="DB33" i="93"/>
  <c r="DB30" i="93"/>
  <c r="DB29" i="93"/>
  <c r="DB28" i="93"/>
  <c r="DB27" i="93"/>
  <c r="DB26" i="93"/>
  <c r="DB25" i="93"/>
  <c r="DB24" i="93"/>
  <c r="DB23" i="93"/>
  <c r="DB22" i="93"/>
  <c r="DB21" i="93"/>
  <c r="DB20" i="93"/>
  <c r="P612" i="114"/>
  <c r="I612" i="114" s="1"/>
  <c r="H612" i="114"/>
  <c r="P611" i="114"/>
  <c r="H611" i="114"/>
  <c r="P610" i="114"/>
  <c r="H610" i="114"/>
  <c r="P609" i="114"/>
  <c r="H609" i="114"/>
  <c r="P608" i="114"/>
  <c r="I608" i="114" s="1"/>
  <c r="P607" i="114"/>
  <c r="H607" i="114"/>
  <c r="P606" i="114"/>
  <c r="H606" i="114"/>
  <c r="P605" i="114"/>
  <c r="H605" i="114"/>
  <c r="P604" i="114"/>
  <c r="I604" i="114" s="1"/>
  <c r="P603" i="114"/>
  <c r="H603" i="114"/>
  <c r="P602" i="114"/>
  <c r="I602" i="114" s="1"/>
  <c r="P601" i="114"/>
  <c r="P600" i="114"/>
  <c r="I600" i="114" s="1"/>
  <c r="H600" i="114"/>
  <c r="P599" i="114"/>
  <c r="I599" i="114" s="1"/>
  <c r="P598" i="114"/>
  <c r="H598" i="114"/>
  <c r="P597" i="114"/>
  <c r="H597" i="114"/>
  <c r="P596" i="114"/>
  <c r="I596" i="114" s="1"/>
  <c r="P595" i="114"/>
  <c r="H595" i="114"/>
  <c r="P594" i="114"/>
  <c r="H594" i="114"/>
  <c r="P593" i="114"/>
  <c r="I593" i="114" s="1"/>
  <c r="H593" i="114"/>
  <c r="P592" i="114"/>
  <c r="I592" i="114" s="1"/>
  <c r="P591" i="114"/>
  <c r="I591" i="114" s="1"/>
  <c r="H591" i="114"/>
  <c r="P590" i="114"/>
  <c r="I590" i="114" s="1"/>
  <c r="P589" i="114"/>
  <c r="P588" i="114"/>
  <c r="I588" i="114" s="1"/>
  <c r="H588" i="114"/>
  <c r="G508" i="114"/>
  <c r="P506" i="114"/>
  <c r="I506" i="114" s="1"/>
  <c r="O506" i="114"/>
  <c r="G506" i="114"/>
  <c r="P505" i="114"/>
  <c r="I505" i="114" s="1"/>
  <c r="O505" i="114"/>
  <c r="G505" i="114"/>
  <c r="P504" i="114"/>
  <c r="I504" i="114" s="1"/>
  <c r="O504" i="114"/>
  <c r="H504" i="114" s="1"/>
  <c r="G504" i="114"/>
  <c r="P503" i="114"/>
  <c r="I503" i="114" s="1"/>
  <c r="O503" i="114"/>
  <c r="H503" i="114" s="1"/>
  <c r="G503" i="114"/>
  <c r="P502" i="114"/>
  <c r="O502" i="114"/>
  <c r="H502" i="114" s="1"/>
  <c r="G502" i="114"/>
  <c r="P501" i="114"/>
  <c r="I501" i="114" s="1"/>
  <c r="O501" i="114"/>
  <c r="G501" i="114"/>
  <c r="P500" i="114"/>
  <c r="I500" i="114" s="1"/>
  <c r="O500" i="114"/>
  <c r="H500" i="114" s="1"/>
  <c r="G500" i="114"/>
  <c r="P499" i="114"/>
  <c r="I499" i="114" s="1"/>
  <c r="O499" i="114"/>
  <c r="H499" i="114" s="1"/>
  <c r="G499" i="114"/>
  <c r="P498" i="114"/>
  <c r="O498" i="114"/>
  <c r="H498" i="114" s="1"/>
  <c r="G498" i="114"/>
  <c r="G497" i="114"/>
  <c r="G496" i="114"/>
  <c r="G495" i="114"/>
  <c r="G494" i="114"/>
  <c r="G493" i="114"/>
  <c r="G492" i="114"/>
  <c r="G491" i="114"/>
  <c r="G490" i="114"/>
  <c r="G489" i="114"/>
  <c r="G488" i="114"/>
  <c r="G487" i="114"/>
  <c r="G486" i="114"/>
  <c r="G485" i="114"/>
  <c r="G484" i="114"/>
  <c r="G483" i="114"/>
  <c r="G482" i="114"/>
  <c r="G481" i="114"/>
  <c r="G480" i="114"/>
  <c r="G479" i="114"/>
  <c r="G478" i="114"/>
  <c r="G477" i="114"/>
  <c r="G476" i="114"/>
  <c r="G475" i="114"/>
  <c r="G474" i="114"/>
  <c r="G473" i="114"/>
  <c r="G472" i="114"/>
  <c r="G471" i="114"/>
  <c r="G470" i="114"/>
  <c r="G469" i="114"/>
  <c r="G468" i="114"/>
  <c r="G467" i="114"/>
  <c r="G466" i="114"/>
  <c r="G465" i="114"/>
  <c r="G464" i="114"/>
  <c r="G463" i="114"/>
  <c r="G462" i="114"/>
  <c r="G461" i="114"/>
  <c r="G460" i="114"/>
  <c r="G459" i="114"/>
  <c r="G458" i="114"/>
  <c r="G457" i="114"/>
  <c r="G456" i="114"/>
  <c r="G455" i="114"/>
  <c r="G454" i="114"/>
  <c r="G453" i="114"/>
  <c r="G452" i="114"/>
  <c r="G451" i="114"/>
  <c r="G450" i="114"/>
  <c r="G449" i="114"/>
  <c r="G448" i="114"/>
  <c r="G447" i="114"/>
  <c r="G446" i="114"/>
  <c r="G445" i="114"/>
  <c r="G444" i="114"/>
  <c r="G443" i="114"/>
  <c r="G442" i="114"/>
  <c r="G441" i="114"/>
  <c r="G440" i="114"/>
  <c r="G439" i="114"/>
  <c r="G438" i="114"/>
  <c r="G437" i="114"/>
  <c r="I429" i="114"/>
  <c r="P362" i="114"/>
  <c r="I362" i="114" s="1"/>
  <c r="O362" i="114"/>
  <c r="G362" i="114"/>
  <c r="P361" i="114"/>
  <c r="I361" i="114" s="1"/>
  <c r="O361" i="114"/>
  <c r="H361" i="114" s="1"/>
  <c r="G361" i="114"/>
  <c r="P360" i="114"/>
  <c r="I360" i="114" s="1"/>
  <c r="O360" i="114"/>
  <c r="H360" i="114" s="1"/>
  <c r="G360" i="114"/>
  <c r="P359" i="114"/>
  <c r="I359" i="114" s="1"/>
  <c r="O359" i="114"/>
  <c r="G359" i="114"/>
  <c r="P358" i="114"/>
  <c r="I358" i="114" s="1"/>
  <c r="O358" i="114"/>
  <c r="G358" i="114"/>
  <c r="P357" i="114"/>
  <c r="I357" i="114" s="1"/>
  <c r="O357" i="114"/>
  <c r="H357" i="114" s="1"/>
  <c r="G357" i="114"/>
  <c r="P356" i="114"/>
  <c r="I356" i="114" s="1"/>
  <c r="O356" i="114"/>
  <c r="H356" i="114" s="1"/>
  <c r="G356" i="114"/>
  <c r="P355" i="114"/>
  <c r="O355" i="114"/>
  <c r="H355" i="114" s="1"/>
  <c r="G355" i="114"/>
  <c r="P354" i="114"/>
  <c r="I354" i="114" s="1"/>
  <c r="O354" i="114"/>
  <c r="G354" i="114"/>
  <c r="P353" i="114"/>
  <c r="I353" i="114" s="1"/>
  <c r="O353" i="114"/>
  <c r="G353" i="114"/>
  <c r="P352" i="114"/>
  <c r="O352" i="114"/>
  <c r="H352" i="114" s="1"/>
  <c r="G352" i="114"/>
  <c r="G351" i="114"/>
  <c r="G350" i="114"/>
  <c r="G349" i="114"/>
  <c r="G348" i="114"/>
  <c r="G347" i="114"/>
  <c r="G346" i="114"/>
  <c r="G345" i="114"/>
  <c r="G344" i="114"/>
  <c r="G343" i="114"/>
  <c r="G342" i="114"/>
  <c r="G341" i="114"/>
  <c r="G340" i="114"/>
  <c r="G339" i="114"/>
  <c r="G338" i="114"/>
  <c r="G337" i="114"/>
  <c r="G336" i="114"/>
  <c r="G335" i="114"/>
  <c r="G334" i="114"/>
  <c r="G333" i="114"/>
  <c r="G332" i="114"/>
  <c r="G331" i="114"/>
  <c r="G330" i="114"/>
  <c r="G329" i="114"/>
  <c r="G328" i="114"/>
  <c r="G327" i="114"/>
  <c r="G326" i="114"/>
  <c r="G325" i="114"/>
  <c r="G324" i="114"/>
  <c r="G323" i="114"/>
  <c r="G322" i="114"/>
  <c r="G321" i="114"/>
  <c r="G320" i="114"/>
  <c r="G319" i="114"/>
  <c r="G318" i="114"/>
  <c r="G317" i="114"/>
  <c r="G316" i="114"/>
  <c r="G315" i="114"/>
  <c r="G314" i="114"/>
  <c r="G313" i="114"/>
  <c r="G312" i="114"/>
  <c r="P310" i="114"/>
  <c r="O310" i="114"/>
  <c r="H310" i="114" s="1"/>
  <c r="G310" i="114"/>
  <c r="P309" i="114"/>
  <c r="I309" i="114" s="1"/>
  <c r="O309" i="114"/>
  <c r="G309" i="114"/>
  <c r="P308" i="114"/>
  <c r="I308" i="114" s="1"/>
  <c r="O308" i="114"/>
  <c r="G308" i="114"/>
  <c r="P307" i="114"/>
  <c r="I307" i="114" s="1"/>
  <c r="O307" i="114"/>
  <c r="H307" i="114" s="1"/>
  <c r="G307" i="114"/>
  <c r="P306" i="114"/>
  <c r="I306" i="114" s="1"/>
  <c r="O306" i="114"/>
  <c r="G306" i="114"/>
  <c r="P305" i="114"/>
  <c r="I305" i="114" s="1"/>
  <c r="O305" i="114"/>
  <c r="G305" i="114"/>
  <c r="P304" i="114"/>
  <c r="I304" i="114" s="1"/>
  <c r="O304" i="114"/>
  <c r="H304" i="114" s="1"/>
  <c r="G304" i="114"/>
  <c r="P303" i="114"/>
  <c r="I303" i="114" s="1"/>
  <c r="O303" i="114"/>
  <c r="G303" i="114"/>
  <c r="P302" i="114"/>
  <c r="O302" i="114"/>
  <c r="H302" i="114" s="1"/>
  <c r="G302" i="114"/>
  <c r="P301" i="114"/>
  <c r="I301" i="114" s="1"/>
  <c r="O301" i="114"/>
  <c r="H301" i="114" s="1"/>
  <c r="G301" i="114"/>
  <c r="G300" i="114"/>
  <c r="G299" i="114"/>
  <c r="G298" i="114"/>
  <c r="G297" i="114"/>
  <c r="G296" i="114"/>
  <c r="G295" i="114"/>
  <c r="G294" i="114"/>
  <c r="G293" i="114"/>
  <c r="G292" i="114"/>
  <c r="G291" i="114"/>
  <c r="G290" i="114"/>
  <c r="G289" i="114"/>
  <c r="G288" i="114"/>
  <c r="G287" i="114"/>
  <c r="G286" i="114"/>
  <c r="G285" i="114"/>
  <c r="G284" i="114"/>
  <c r="G283" i="114"/>
  <c r="G282" i="114"/>
  <c r="G281" i="114"/>
  <c r="G280" i="114"/>
  <c r="G279" i="114"/>
  <c r="G278" i="114"/>
  <c r="G277" i="114"/>
  <c r="G276" i="114"/>
  <c r="G275" i="114"/>
  <c r="G274" i="114"/>
  <c r="G273" i="114"/>
  <c r="G272" i="114"/>
  <c r="G271" i="114"/>
  <c r="G270" i="114"/>
  <c r="G269" i="114"/>
  <c r="P267" i="114"/>
  <c r="O267" i="114"/>
  <c r="H267" i="114" s="1"/>
  <c r="G267" i="114"/>
  <c r="P266" i="114"/>
  <c r="O266" i="114"/>
  <c r="H266" i="114" s="1"/>
  <c r="G266" i="114"/>
  <c r="P265" i="114"/>
  <c r="I265" i="114" s="1"/>
  <c r="O265" i="114"/>
  <c r="H265" i="114" s="1"/>
  <c r="G265" i="114"/>
  <c r="P264" i="114"/>
  <c r="I264" i="114" s="1"/>
  <c r="O264" i="114"/>
  <c r="G264" i="114"/>
  <c r="P263" i="114"/>
  <c r="O263" i="114"/>
  <c r="H263" i="114" s="1"/>
  <c r="G263" i="114"/>
  <c r="P262" i="114"/>
  <c r="I262" i="114" s="1"/>
  <c r="O262" i="114"/>
  <c r="G262" i="114"/>
  <c r="P261" i="114"/>
  <c r="I261" i="114" s="1"/>
  <c r="O261" i="114"/>
  <c r="G261" i="114"/>
  <c r="P260" i="114"/>
  <c r="I260" i="114" s="1"/>
  <c r="O260" i="114"/>
  <c r="H260" i="114" s="1"/>
  <c r="G260" i="114"/>
  <c r="P259" i="114"/>
  <c r="O259" i="114"/>
  <c r="H259" i="114" s="1"/>
  <c r="G259" i="114"/>
  <c r="G258" i="114"/>
  <c r="G257" i="114"/>
  <c r="G256" i="114"/>
  <c r="G255" i="114"/>
  <c r="G254" i="114"/>
  <c r="G253" i="114"/>
  <c r="G252" i="114"/>
  <c r="G251" i="114"/>
  <c r="G250" i="114"/>
  <c r="G249" i="114"/>
  <c r="G248" i="114"/>
  <c r="G247" i="114"/>
  <c r="G246" i="114"/>
  <c r="G245" i="114"/>
  <c r="G244" i="114"/>
  <c r="G243" i="114"/>
  <c r="G242" i="114"/>
  <c r="G241" i="114"/>
  <c r="G240" i="114"/>
  <c r="G239" i="114"/>
  <c r="G238" i="114"/>
  <c r="G237" i="114"/>
  <c r="G236" i="114"/>
  <c r="G235" i="114"/>
  <c r="G234" i="114"/>
  <c r="G233" i="114"/>
  <c r="G232" i="114"/>
  <c r="G231" i="114"/>
  <c r="G230" i="114"/>
  <c r="G229" i="114"/>
  <c r="G228" i="114"/>
  <c r="G227" i="114"/>
  <c r="G226" i="114"/>
  <c r="P224" i="114"/>
  <c r="I224" i="114" s="1"/>
  <c r="O224" i="114"/>
  <c r="G224" i="114"/>
  <c r="P223" i="114"/>
  <c r="I223" i="114" s="1"/>
  <c r="O223" i="114"/>
  <c r="H223" i="114" s="1"/>
  <c r="G223" i="114"/>
  <c r="P222" i="114"/>
  <c r="I222" i="114" s="1"/>
  <c r="O222" i="114"/>
  <c r="H222" i="114" s="1"/>
  <c r="G222" i="114"/>
  <c r="P221" i="114"/>
  <c r="I221" i="114" s="1"/>
  <c r="O221" i="114"/>
  <c r="G221" i="114"/>
  <c r="P220" i="114"/>
  <c r="O220" i="114"/>
  <c r="H220" i="114" s="1"/>
  <c r="G220" i="114"/>
  <c r="P219" i="114"/>
  <c r="O219" i="114"/>
  <c r="H219" i="114" s="1"/>
  <c r="G219" i="114"/>
  <c r="P218" i="114"/>
  <c r="I218" i="114" s="1"/>
  <c r="O218" i="114"/>
  <c r="G218" i="114"/>
  <c r="P217" i="114"/>
  <c r="I217" i="114" s="1"/>
  <c r="O217" i="114"/>
  <c r="G217" i="114"/>
  <c r="P216" i="114"/>
  <c r="O216" i="114"/>
  <c r="H216" i="114" s="1"/>
  <c r="G216" i="114"/>
  <c r="G215" i="114"/>
  <c r="G214" i="114"/>
  <c r="G213" i="114"/>
  <c r="G212" i="114"/>
  <c r="G211" i="114"/>
  <c r="G210" i="114"/>
  <c r="G209" i="114"/>
  <c r="G208" i="114"/>
  <c r="G207" i="114"/>
  <c r="G206" i="114"/>
  <c r="G205" i="114"/>
  <c r="G204" i="114"/>
  <c r="G203" i="114"/>
  <c r="G202" i="114"/>
  <c r="G201" i="114"/>
  <c r="G200" i="114"/>
  <c r="G199" i="114"/>
  <c r="G198" i="114"/>
  <c r="G197" i="114"/>
  <c r="G196" i="114"/>
  <c r="G195" i="114"/>
  <c r="G194" i="114"/>
  <c r="G193" i="114"/>
  <c r="G192" i="114"/>
  <c r="G191" i="114"/>
  <c r="G190" i="114"/>
  <c r="G189" i="114"/>
  <c r="G188" i="114"/>
  <c r="G187" i="114"/>
  <c r="G186" i="114"/>
  <c r="G185" i="114"/>
  <c r="P183" i="114"/>
  <c r="I183" i="114" s="1"/>
  <c r="O183" i="114"/>
  <c r="H183" i="114" s="1"/>
  <c r="G183" i="114"/>
  <c r="P182" i="114"/>
  <c r="I182" i="114" s="1"/>
  <c r="O182" i="114"/>
  <c r="H182" i="114" s="1"/>
  <c r="G182" i="114"/>
  <c r="P181" i="114"/>
  <c r="I181" i="114" s="1"/>
  <c r="O181" i="114"/>
  <c r="H181" i="114" s="1"/>
  <c r="G181" i="114"/>
  <c r="P180" i="114"/>
  <c r="I180" i="114" s="1"/>
  <c r="O180" i="114"/>
  <c r="G180" i="114"/>
  <c r="P179" i="114"/>
  <c r="I179" i="114" s="1"/>
  <c r="O179" i="114"/>
  <c r="H179" i="114" s="1"/>
  <c r="G179" i="114"/>
  <c r="P178" i="114"/>
  <c r="I178" i="114" s="1"/>
  <c r="O178" i="114"/>
  <c r="G178" i="114"/>
  <c r="P177" i="114"/>
  <c r="I177" i="114" s="1"/>
  <c r="O177" i="114"/>
  <c r="H177" i="114" s="1"/>
  <c r="G177" i="114"/>
  <c r="P176" i="114"/>
  <c r="I176" i="114" s="1"/>
  <c r="O176" i="114"/>
  <c r="G176" i="114"/>
  <c r="G175" i="114"/>
  <c r="G174" i="114"/>
  <c r="G173" i="114"/>
  <c r="G172" i="114"/>
  <c r="G171" i="114"/>
  <c r="G170" i="114"/>
  <c r="G169" i="114"/>
  <c r="G168" i="114"/>
  <c r="G167" i="114"/>
  <c r="G166" i="114"/>
  <c r="G165" i="114"/>
  <c r="G164" i="114"/>
  <c r="G163" i="114"/>
  <c r="G162" i="114"/>
  <c r="G161" i="114"/>
  <c r="G160" i="114"/>
  <c r="G159" i="114"/>
  <c r="G158" i="114"/>
  <c r="G157" i="114"/>
  <c r="G156" i="114"/>
  <c r="G155" i="114"/>
  <c r="G154" i="114"/>
  <c r="G153" i="114"/>
  <c r="P151" i="114"/>
  <c r="I151" i="114" s="1"/>
  <c r="O151" i="114"/>
  <c r="G151" i="114"/>
  <c r="P150" i="114"/>
  <c r="O150" i="114"/>
  <c r="H150" i="114" s="1"/>
  <c r="G150" i="114"/>
  <c r="P149" i="114"/>
  <c r="O149" i="114"/>
  <c r="H149" i="114" s="1"/>
  <c r="G149" i="114"/>
  <c r="P148" i="114"/>
  <c r="I148" i="114" s="1"/>
  <c r="O148" i="114"/>
  <c r="H148" i="114" s="1"/>
  <c r="G148" i="114"/>
  <c r="P147" i="114"/>
  <c r="I147" i="114" s="1"/>
  <c r="O147" i="114"/>
  <c r="H147" i="114" s="1"/>
  <c r="G147" i="114"/>
  <c r="P146" i="114"/>
  <c r="O146" i="114"/>
  <c r="H146" i="114" s="1"/>
  <c r="G146" i="114"/>
  <c r="P145" i="114"/>
  <c r="I145" i="114" s="1"/>
  <c r="O145" i="114"/>
  <c r="G145" i="114"/>
  <c r="P144" i="114"/>
  <c r="I144" i="114" s="1"/>
  <c r="O144" i="114"/>
  <c r="G144" i="114"/>
  <c r="P143" i="114"/>
  <c r="I143" i="114" s="1"/>
  <c r="O143" i="114"/>
  <c r="H143" i="114" s="1"/>
  <c r="G143" i="114"/>
  <c r="O142" i="114"/>
  <c r="H142" i="114" s="1"/>
  <c r="G142" i="114"/>
  <c r="G141" i="114"/>
  <c r="G140" i="114"/>
  <c r="G139" i="114"/>
  <c r="G138" i="114"/>
  <c r="G137" i="114"/>
  <c r="G136" i="114"/>
  <c r="G135" i="114"/>
  <c r="G134" i="114"/>
  <c r="G133" i="114"/>
  <c r="G132" i="114"/>
  <c r="G131" i="114"/>
  <c r="G130" i="114"/>
  <c r="G129" i="114"/>
  <c r="G128" i="114"/>
  <c r="G127" i="114"/>
  <c r="G126" i="114"/>
  <c r="G125" i="114"/>
  <c r="G124" i="114"/>
  <c r="G123" i="114"/>
  <c r="G122" i="114"/>
  <c r="P120" i="114"/>
  <c r="I120" i="114" s="1"/>
  <c r="O120" i="114"/>
  <c r="H120" i="114" s="1"/>
  <c r="G120" i="114"/>
  <c r="P119" i="114"/>
  <c r="I119" i="114" s="1"/>
  <c r="O119" i="114"/>
  <c r="G119" i="114"/>
  <c r="P118" i="114"/>
  <c r="I118" i="114" s="1"/>
  <c r="O118" i="114"/>
  <c r="H118" i="114" s="1"/>
  <c r="G118" i="114"/>
  <c r="P117" i="114"/>
  <c r="O117" i="114"/>
  <c r="H117" i="114" s="1"/>
  <c r="G117" i="114"/>
  <c r="P116" i="114"/>
  <c r="O116" i="114"/>
  <c r="H116" i="114" s="1"/>
  <c r="G116" i="114"/>
  <c r="P115" i="114"/>
  <c r="O115" i="114"/>
  <c r="G115" i="114"/>
  <c r="P114" i="114"/>
  <c r="O114" i="114"/>
  <c r="G114" i="114"/>
  <c r="G113" i="114"/>
  <c r="G112" i="114"/>
  <c r="G111" i="114"/>
  <c r="G110" i="114"/>
  <c r="G109" i="114"/>
  <c r="G108" i="114"/>
  <c r="G107" i="114"/>
  <c r="G106" i="114"/>
  <c r="G105" i="114"/>
  <c r="G104" i="114"/>
  <c r="G103" i="114"/>
  <c r="G102" i="114"/>
  <c r="G101" i="114"/>
  <c r="G100" i="114"/>
  <c r="G99" i="114"/>
  <c r="G98" i="114"/>
  <c r="G97" i="114"/>
  <c r="G96" i="114"/>
  <c r="G95" i="114"/>
  <c r="G94" i="114"/>
  <c r="G93" i="114"/>
  <c r="G92" i="114"/>
  <c r="G91" i="114"/>
  <c r="G90" i="114"/>
  <c r="G89" i="114"/>
  <c r="G88" i="114"/>
  <c r="G87" i="114"/>
  <c r="O85" i="114"/>
  <c r="G85" i="114"/>
  <c r="O84" i="114"/>
  <c r="G84" i="114"/>
  <c r="O83" i="114"/>
  <c r="G83" i="114"/>
  <c r="O82" i="114"/>
  <c r="G82" i="114"/>
  <c r="O81" i="114"/>
  <c r="G81" i="114"/>
  <c r="O80" i="114"/>
  <c r="G80" i="114"/>
  <c r="O79" i="114"/>
  <c r="G79" i="114"/>
  <c r="O78" i="114"/>
  <c r="G78" i="114"/>
  <c r="O77" i="114"/>
  <c r="G77" i="114"/>
  <c r="O76" i="114"/>
  <c r="G76" i="114"/>
  <c r="O75" i="114"/>
  <c r="G75" i="114"/>
  <c r="O74" i="114"/>
  <c r="G74" i="114"/>
  <c r="G73" i="114"/>
  <c r="G72" i="114"/>
  <c r="O70" i="114"/>
  <c r="G70" i="114"/>
  <c r="O69" i="114"/>
  <c r="G69" i="114"/>
  <c r="O68" i="114"/>
  <c r="G68" i="114"/>
  <c r="O67" i="114"/>
  <c r="G67" i="114"/>
  <c r="O66" i="114"/>
  <c r="G66" i="114"/>
  <c r="G58" i="114"/>
  <c r="G57" i="114"/>
  <c r="G56" i="114"/>
  <c r="G55" i="114"/>
  <c r="O53" i="114"/>
  <c r="G53" i="114"/>
  <c r="O52" i="114"/>
  <c r="G52" i="114"/>
  <c r="O51" i="114"/>
  <c r="G51" i="114"/>
  <c r="O50" i="114"/>
  <c r="G50" i="114"/>
  <c r="O49" i="114"/>
  <c r="G49" i="114"/>
  <c r="G48" i="114"/>
  <c r="G47" i="114"/>
  <c r="G46" i="114"/>
  <c r="G45" i="114"/>
  <c r="G44" i="114"/>
  <c r="G43" i="114"/>
  <c r="G42" i="114"/>
  <c r="G41" i="114"/>
  <c r="O39" i="114"/>
  <c r="G39" i="114"/>
  <c r="O38" i="114"/>
  <c r="G38" i="114"/>
  <c r="O37" i="114"/>
  <c r="G37" i="114"/>
  <c r="O36" i="114"/>
  <c r="G36" i="114"/>
  <c r="G35" i="114"/>
  <c r="G34" i="114"/>
  <c r="G33" i="114"/>
  <c r="G32" i="114"/>
  <c r="G31" i="114"/>
  <c r="G30" i="114"/>
  <c r="DB175" i="102" l="1"/>
  <c r="DB171" i="102"/>
  <c r="DB148" i="102"/>
  <c r="DB170" i="102"/>
  <c r="DB147" i="102"/>
  <c r="H12" i="93"/>
  <c r="H47" i="93"/>
  <c r="DX88" i="102"/>
  <c r="DB45" i="102" s="1"/>
  <c r="I259" i="114"/>
  <c r="I263" i="114"/>
  <c r="I216" i="114"/>
  <c r="I597" i="114"/>
  <c r="AF73" i="93"/>
  <c r="AG73" i="93"/>
  <c r="AC68" i="93"/>
  <c r="AD68" i="93"/>
  <c r="AE75" i="93"/>
  <c r="AF75" i="93"/>
  <c r="I605" i="114"/>
  <c r="I589" i="114"/>
  <c r="AF77" i="93"/>
  <c r="I609" i="114"/>
  <c r="I355" i="114"/>
  <c r="AE82" i="93"/>
  <c r="H599" i="114"/>
  <c r="AE71" i="93"/>
  <c r="AF71" i="93"/>
  <c r="AF66" i="93"/>
  <c r="H308" i="114"/>
  <c r="I611" i="114"/>
  <c r="AG66" i="93"/>
  <c r="AG82" i="93"/>
  <c r="H114" i="114"/>
  <c r="I603" i="114"/>
  <c r="AD77" i="93"/>
  <c r="H604" i="114"/>
  <c r="I352" i="114"/>
  <c r="AG85" i="93"/>
  <c r="I502" i="114"/>
  <c r="AC75" i="93"/>
  <c r="AG86" i="93"/>
  <c r="AC92" i="93"/>
  <c r="AD75" i="93"/>
  <c r="DY96" i="102"/>
  <c r="DJ72" i="102"/>
  <c r="DK72" i="102" s="1"/>
  <c r="DJ73" i="102" s="1"/>
  <c r="DK73" i="102" s="1"/>
  <c r="DJ74" i="102" s="1"/>
  <c r="DK74" i="102" s="1"/>
  <c r="DJ75" i="102" s="1"/>
  <c r="DK75" i="102" s="1"/>
  <c r="DJ76" i="102" s="1"/>
  <c r="DK76" i="102" s="1"/>
  <c r="DJ77" i="102" s="1"/>
  <c r="DK77" i="102" s="1"/>
  <c r="DJ78" i="102" s="1"/>
  <c r="DK78" i="102" s="1"/>
  <c r="DJ79" i="102" s="1"/>
  <c r="DK79" i="102" s="1"/>
  <c r="DJ80" i="102" s="1"/>
  <c r="DK80" i="102" s="1"/>
  <c r="DJ81" i="102" s="1"/>
  <c r="DK81" i="102" s="1"/>
  <c r="DH73" i="102"/>
  <c r="DI73" i="102" s="1"/>
  <c r="DH74" i="102" s="1"/>
  <c r="DI74" i="102" s="1"/>
  <c r="DH75" i="102" s="1"/>
  <c r="DI75" i="102" s="1"/>
  <c r="DH76" i="102" s="1"/>
  <c r="DI76" i="102" s="1"/>
  <c r="DH77" i="102" s="1"/>
  <c r="DI77" i="102" s="1"/>
  <c r="DH78" i="102" s="1"/>
  <c r="DI78" i="102" s="1"/>
  <c r="DH79" i="102" s="1"/>
  <c r="DI79" i="102" s="1"/>
  <c r="DH80" i="102" s="1"/>
  <c r="DI80" i="102" s="1"/>
  <c r="DH81" i="102" s="1"/>
  <c r="DI81" i="102" s="1"/>
  <c r="H119" i="114"/>
  <c r="H592" i="114"/>
  <c r="H10" i="93"/>
  <c r="AD70" i="93"/>
  <c r="AE83" i="93"/>
  <c r="AD89" i="93"/>
  <c r="AD92" i="93"/>
  <c r="DY88" i="102"/>
  <c r="AF89" i="93"/>
  <c r="AE92" i="93"/>
  <c r="AF92" i="93"/>
  <c r="H115" i="114"/>
  <c r="H224" i="114"/>
  <c r="H305" i="114"/>
  <c r="I601" i="114"/>
  <c r="AC82" i="93"/>
  <c r="AE86" i="93"/>
  <c r="AD82" i="93"/>
  <c r="AF86" i="93"/>
  <c r="DS57" i="102"/>
  <c r="I219" i="114"/>
  <c r="I266" i="114"/>
  <c r="H67" i="93"/>
  <c r="AD69" i="93"/>
  <c r="AC72" i="93"/>
  <c r="AD72" i="93"/>
  <c r="AC79" i="93"/>
  <c r="AE87" i="93"/>
  <c r="H217" i="114"/>
  <c r="AD66" i="93"/>
  <c r="AE69" i="93"/>
  <c r="AE72" i="93"/>
  <c r="AD79" i="93"/>
  <c r="AC83" i="93"/>
  <c r="AD83" i="93"/>
  <c r="BI8" i="93"/>
  <c r="AE66" i="93"/>
  <c r="AF72" i="93"/>
  <c r="AD80" i="93"/>
  <c r="AF80" i="93"/>
  <c r="I598" i="114"/>
  <c r="H44" i="93"/>
  <c r="DJ82" i="102"/>
  <c r="DK82" i="102" s="1"/>
  <c r="DJ83" i="102" s="1"/>
  <c r="DK83" i="102" s="1"/>
  <c r="DJ84" i="102" s="1"/>
  <c r="DK84" i="102" s="1"/>
  <c r="DJ85" i="102" s="1"/>
  <c r="DK85" i="102" s="1"/>
  <c r="DJ86" i="102" s="1"/>
  <c r="DK86" i="102" s="1"/>
  <c r="DJ87" i="102" s="1"/>
  <c r="DK87" i="102" s="1"/>
  <c r="DJ88" i="102" s="1"/>
  <c r="DK88" i="102" s="1"/>
  <c r="DJ89" i="102" s="1"/>
  <c r="DK89" i="102" s="1"/>
  <c r="DJ90" i="102" s="1"/>
  <c r="DK90" i="102" s="1"/>
  <c r="DJ91" i="102" s="1"/>
  <c r="DK91" i="102" s="1"/>
  <c r="I116" i="114"/>
  <c r="I310" i="114"/>
  <c r="H13" i="93"/>
  <c r="AC76" i="93"/>
  <c r="AF76" i="93"/>
  <c r="AG80" i="93"/>
  <c r="DJ62" i="102"/>
  <c r="DK62" i="102" s="1"/>
  <c r="DJ63" i="102" s="1"/>
  <c r="DK63" i="102" s="1"/>
  <c r="DJ64" i="102" s="1"/>
  <c r="DK64" i="102" s="1"/>
  <c r="DJ65" i="102" s="1"/>
  <c r="DK65" i="102" s="1"/>
  <c r="DJ66" i="102" s="1"/>
  <c r="DK66" i="102" s="1"/>
  <c r="DJ67" i="102" s="1"/>
  <c r="DK67" i="102" s="1"/>
  <c r="DJ68" i="102" s="1"/>
  <c r="DK68" i="102" s="1"/>
  <c r="DJ69" i="102" s="1"/>
  <c r="DK69" i="102" s="1"/>
  <c r="DJ70" i="102" s="1"/>
  <c r="DK70" i="102" s="1"/>
  <c r="DJ71" i="102" s="1"/>
  <c r="DK71" i="102" s="1"/>
  <c r="H264" i="114"/>
  <c r="BI6" i="93"/>
  <c r="DS58" i="93"/>
  <c r="AE70" i="93"/>
  <c r="DJ72" i="93"/>
  <c r="DK72" i="93" s="1"/>
  <c r="DJ73" i="93" s="1"/>
  <c r="DK73" i="93" s="1"/>
  <c r="DJ74" i="93" s="1"/>
  <c r="DK74" i="93" s="1"/>
  <c r="DJ75" i="93" s="1"/>
  <c r="DK75" i="93" s="1"/>
  <c r="DJ76" i="93" s="1"/>
  <c r="DK76" i="93" s="1"/>
  <c r="DJ77" i="93" s="1"/>
  <c r="DK77" i="93" s="1"/>
  <c r="DJ78" i="93" s="1"/>
  <c r="DK78" i="93" s="1"/>
  <c r="DJ79" i="93" s="1"/>
  <c r="DK79" i="93" s="1"/>
  <c r="DJ80" i="93" s="1"/>
  <c r="DK80" i="93" s="1"/>
  <c r="DJ81" i="93" s="1"/>
  <c r="DK81" i="93" s="1"/>
  <c r="AD76" i="93"/>
  <c r="AG81" i="93"/>
  <c r="AD81" i="93"/>
  <c r="H51" i="93"/>
  <c r="AC87" i="93"/>
  <c r="AD87" i="93"/>
  <c r="H151" i="114"/>
  <c r="AF70" i="93"/>
  <c r="AC73" i="93"/>
  <c r="AD73" i="93"/>
  <c r="AC77" i="93"/>
  <c r="AG77" i="93"/>
  <c r="DX97" i="102"/>
  <c r="DB54" i="102" s="1"/>
  <c r="DS58" i="102"/>
  <c r="H8" i="93"/>
  <c r="AF68" i="93"/>
  <c r="AG68" i="93"/>
  <c r="AG70" i="93"/>
  <c r="DY87" i="102"/>
  <c r="DX87" i="102"/>
  <c r="DB44" i="102" s="1"/>
  <c r="AC69" i="93"/>
  <c r="AG69" i="93"/>
  <c r="H9" i="93"/>
  <c r="AC71" i="93"/>
  <c r="AD71" i="93"/>
  <c r="AG90" i="93"/>
  <c r="AD90" i="93"/>
  <c r="AF93" i="93"/>
  <c r="AG93" i="93"/>
  <c r="AD93" i="93"/>
  <c r="DY97" i="102"/>
  <c r="DX96" i="102"/>
  <c r="DB53" i="102" s="1"/>
  <c r="AF85" i="93"/>
  <c r="AC89" i="93"/>
  <c r="H180" i="114"/>
  <c r="H218" i="114"/>
  <c r="H261" i="114"/>
  <c r="AD78" i="93"/>
  <c r="AG78" i="93"/>
  <c r="AF78" i="93"/>
  <c r="AC78" i="93"/>
  <c r="AE78" i="93"/>
  <c r="I594" i="114"/>
  <c r="I610" i="114"/>
  <c r="H359" i="114"/>
  <c r="DY87" i="93"/>
  <c r="DX87" i="93"/>
  <c r="DB44" i="93" s="1"/>
  <c r="H68" i="93"/>
  <c r="H73" i="93"/>
  <c r="H72" i="93"/>
  <c r="H71" i="93"/>
  <c r="H70" i="93"/>
  <c r="H69" i="93"/>
  <c r="DY88" i="93"/>
  <c r="DX88" i="93"/>
  <c r="DB45" i="93" s="1"/>
  <c r="H45" i="93"/>
  <c r="AF67" i="93"/>
  <c r="AE67" i="93"/>
  <c r="AD67" i="93"/>
  <c r="AC67" i="93"/>
  <c r="H41" i="93"/>
  <c r="H48" i="93"/>
  <c r="H49" i="93"/>
  <c r="H80" i="93"/>
  <c r="B73" i="93" s="1"/>
  <c r="H77" i="93"/>
  <c r="B70" i="93" s="1"/>
  <c r="H78" i="93"/>
  <c r="B71" i="93" s="1"/>
  <c r="AD65" i="93"/>
  <c r="H76" i="93"/>
  <c r="H79" i="93"/>
  <c r="B72" i="93" s="1"/>
  <c r="AF94" i="93"/>
  <c r="AE94" i="93"/>
  <c r="AC94" i="93"/>
  <c r="AD94" i="93"/>
  <c r="AG94" i="93"/>
  <c r="H42" i="93"/>
  <c r="H46" i="93"/>
  <c r="AC65" i="93"/>
  <c r="H81" i="93"/>
  <c r="B74" i="93" s="1"/>
  <c r="BI9" i="93"/>
  <c r="AE65" i="93"/>
  <c r="H11" i="93"/>
  <c r="AF65" i="93"/>
  <c r="BI7" i="93"/>
  <c r="H43" i="93"/>
  <c r="H50" i="93"/>
  <c r="AG65" i="93"/>
  <c r="BF13" i="93"/>
  <c r="DH63" i="93"/>
  <c r="DI63" i="93" s="1"/>
  <c r="DH64" i="93" s="1"/>
  <c r="DI64" i="93" s="1"/>
  <c r="DH65" i="93" s="1"/>
  <c r="DI65" i="93" s="1"/>
  <c r="DH66" i="93" s="1"/>
  <c r="DI66" i="93" s="1"/>
  <c r="DH67" i="93" s="1"/>
  <c r="DI67" i="93" s="1"/>
  <c r="DH68" i="93" s="1"/>
  <c r="DI68" i="93" s="1"/>
  <c r="DH69" i="93" s="1"/>
  <c r="DI69" i="93" s="1"/>
  <c r="DH70" i="93" s="1"/>
  <c r="DI70" i="93" s="1"/>
  <c r="DH71" i="93" s="1"/>
  <c r="DI71" i="93" s="1"/>
  <c r="DJ62" i="93"/>
  <c r="DK62" i="93" s="1"/>
  <c r="DJ63" i="93" s="1"/>
  <c r="DK63" i="93" s="1"/>
  <c r="DJ64" i="93" s="1"/>
  <c r="DK64" i="93" s="1"/>
  <c r="DJ65" i="93" s="1"/>
  <c r="DK65" i="93" s="1"/>
  <c r="DJ66" i="93" s="1"/>
  <c r="DK66" i="93" s="1"/>
  <c r="DJ67" i="93" s="1"/>
  <c r="DK67" i="93" s="1"/>
  <c r="DJ68" i="93" s="1"/>
  <c r="DK68" i="93" s="1"/>
  <c r="DJ69" i="93" s="1"/>
  <c r="DK69" i="93" s="1"/>
  <c r="DJ70" i="93" s="1"/>
  <c r="DK70" i="93" s="1"/>
  <c r="DJ71" i="93" s="1"/>
  <c r="DK71" i="93" s="1"/>
  <c r="DX96" i="93"/>
  <c r="DB53" i="93" s="1"/>
  <c r="DY96" i="93"/>
  <c r="DS57" i="93"/>
  <c r="DX97" i="93"/>
  <c r="DB54" i="93" s="1"/>
  <c r="DY97" i="93"/>
  <c r="AE76" i="93"/>
  <c r="DJ82" i="93"/>
  <c r="DK82" i="93" s="1"/>
  <c r="DJ83" i="93" s="1"/>
  <c r="DK83" i="93" s="1"/>
  <c r="DJ84" i="93" s="1"/>
  <c r="DK84" i="93" s="1"/>
  <c r="DJ85" i="93" s="1"/>
  <c r="DK85" i="93" s="1"/>
  <c r="DJ86" i="93" s="1"/>
  <c r="DK86" i="93" s="1"/>
  <c r="DJ87" i="93" s="1"/>
  <c r="DK87" i="93" s="1"/>
  <c r="DJ88" i="93" s="1"/>
  <c r="DK88" i="93" s="1"/>
  <c r="DJ89" i="93" s="1"/>
  <c r="DK89" i="93" s="1"/>
  <c r="DJ90" i="93" s="1"/>
  <c r="DK90" i="93" s="1"/>
  <c r="DJ91" i="93" s="1"/>
  <c r="DK91" i="93" s="1"/>
  <c r="DH83" i="93"/>
  <c r="DI83" i="93" s="1"/>
  <c r="DH84" i="93" s="1"/>
  <c r="DI84" i="93" s="1"/>
  <c r="DH85" i="93" s="1"/>
  <c r="DI85" i="93" s="1"/>
  <c r="DH86" i="93" s="1"/>
  <c r="DI86" i="93" s="1"/>
  <c r="DH87" i="93" s="1"/>
  <c r="DI87" i="93" s="1"/>
  <c r="DH88" i="93" s="1"/>
  <c r="DI88" i="93" s="1"/>
  <c r="DH89" i="93" s="1"/>
  <c r="DI89" i="93" s="1"/>
  <c r="DH90" i="93" s="1"/>
  <c r="DI90" i="93" s="1"/>
  <c r="DH91" i="93" s="1"/>
  <c r="DI91" i="93" s="1"/>
  <c r="AG76" i="93"/>
  <c r="AC74" i="93"/>
  <c r="AD74" i="93"/>
  <c r="AE74" i="93"/>
  <c r="AF74" i="93"/>
  <c r="AG84" i="93"/>
  <c r="AF84" i="93"/>
  <c r="AE84" i="93"/>
  <c r="AD84" i="93"/>
  <c r="AC84" i="93"/>
  <c r="AG83" i="93"/>
  <c r="AG87" i="93"/>
  <c r="AE89" i="93"/>
  <c r="AC91" i="93"/>
  <c r="AE79" i="93"/>
  <c r="AE81" i="93"/>
  <c r="AC88" i="93"/>
  <c r="AE90" i="93"/>
  <c r="AD91" i="93"/>
  <c r="AF79" i="93"/>
  <c r="AF81" i="93"/>
  <c r="AC85" i="93"/>
  <c r="AD88" i="93"/>
  <c r="AF90" i="93"/>
  <c r="AE91" i="93"/>
  <c r="AC80" i="93"/>
  <c r="AD85" i="93"/>
  <c r="AC86" i="93"/>
  <c r="AE88" i="93"/>
  <c r="AF91" i="93"/>
  <c r="AF88" i="93"/>
  <c r="AE93" i="93"/>
  <c r="AC93" i="93"/>
  <c r="DB175" i="93"/>
  <c r="O580" i="114" s="1"/>
  <c r="I117" i="114"/>
  <c r="H306" i="114"/>
  <c r="I146" i="114"/>
  <c r="I115" i="114"/>
  <c r="H145" i="114"/>
  <c r="I150" i="114"/>
  <c r="I302" i="114"/>
  <c r="I220" i="114"/>
  <c r="H353" i="114"/>
  <c r="H178" i="114"/>
  <c r="H176" i="114"/>
  <c r="H309" i="114"/>
  <c r="I114" i="114"/>
  <c r="H144" i="114"/>
  <c r="I149" i="114"/>
  <c r="I267" i="114"/>
  <c r="H262" i="114"/>
  <c r="H221" i="114"/>
  <c r="H303" i="114"/>
  <c r="H354" i="114"/>
  <c r="I498" i="114"/>
  <c r="H362" i="114"/>
  <c r="H501" i="114"/>
  <c r="H358" i="114"/>
  <c r="H429" i="114"/>
  <c r="I595" i="114"/>
  <c r="H590" i="114"/>
  <c r="I607" i="114"/>
  <c r="H505" i="114"/>
  <c r="H602" i="114"/>
  <c r="H506" i="114"/>
  <c r="H589" i="114"/>
  <c r="H601" i="114"/>
  <c r="I606" i="114"/>
  <c r="H596" i="114"/>
  <c r="H608" i="114"/>
  <c r="D71" i="93" l="1"/>
  <c r="C71" i="93" s="1"/>
  <c r="D70" i="93"/>
  <c r="C70" i="93" s="1"/>
  <c r="BF14" i="93"/>
  <c r="D74" i="93"/>
  <c r="C74" i="93" s="1"/>
  <c r="D73" i="93"/>
  <c r="C73" i="93" s="1"/>
  <c r="D72" i="93"/>
  <c r="C72" i="93" s="1"/>
  <c r="BF15" i="93" l="1"/>
  <c r="BF16" i="93" l="1"/>
  <c r="BF17" i="93" l="1"/>
  <c r="BF18" i="93" l="1"/>
  <c r="BF19" i="93" l="1"/>
  <c r="BF20" i="93" l="1"/>
  <c r="BF21" i="93" l="1"/>
  <c r="BF22" i="93" l="1"/>
  <c r="BB185" i="102" l="1"/>
  <c r="BB183" i="102"/>
  <c r="BB182" i="102"/>
  <c r="BB184" i="102"/>
  <c r="BB273" i="93"/>
  <c r="BF23" i="93"/>
  <c r="BJ194" i="102" l="1"/>
  <c r="BB181" i="102" s="1"/>
  <c r="BJ184" i="102"/>
  <c r="BB180" i="102" s="1"/>
  <c r="BJ187" i="102"/>
  <c r="BB179" i="102"/>
  <c r="BJ181" i="102"/>
  <c r="BJ188" i="102"/>
  <c r="BJ178" i="102"/>
  <c r="BJ183" i="102" s="1"/>
  <c r="BB190" i="102" s="1"/>
  <c r="BB169" i="102"/>
  <c r="BB167" i="102"/>
  <c r="BB166" i="102"/>
  <c r="BB165" i="102"/>
  <c r="BB168" i="102"/>
  <c r="BB163" i="102"/>
  <c r="BB164" i="102"/>
  <c r="BB171" i="102"/>
  <c r="BB170" i="102"/>
  <c r="DK250" i="102"/>
  <c r="BF24" i="93"/>
  <c r="BJ277" i="93"/>
  <c r="BB161" i="102" l="1"/>
  <c r="BB162" i="102"/>
  <c r="BB178" i="102"/>
  <c r="BB177" i="102"/>
  <c r="BJ179" i="102"/>
  <c r="BB188" i="102" s="1"/>
  <c r="BJ180" i="102"/>
  <c r="BB274" i="93"/>
  <c r="BF25" i="93"/>
  <c r="BK336" i="72"/>
  <c r="CN29" i="92"/>
  <c r="CS48" i="92"/>
  <c r="CN48" i="92"/>
  <c r="CS47" i="92"/>
  <c r="CN47" i="92"/>
  <c r="CS46" i="92"/>
  <c r="CN46" i="92"/>
  <c r="CS45" i="92"/>
  <c r="CN45" i="92"/>
  <c r="CS44" i="92"/>
  <c r="CN44" i="92"/>
  <c r="CS40" i="92"/>
  <c r="CN40" i="92"/>
  <c r="CS39" i="92"/>
  <c r="CN39" i="92"/>
  <c r="CS38" i="92"/>
  <c r="CN38" i="92"/>
  <c r="CS37" i="92"/>
  <c r="CN37" i="92"/>
  <c r="CS36" i="92"/>
  <c r="CN36" i="92"/>
  <c r="CS32" i="92"/>
  <c r="CN32" i="92"/>
  <c r="CS31" i="92"/>
  <c r="CN31" i="92"/>
  <c r="CS30" i="92"/>
  <c r="CN30" i="92"/>
  <c r="CS29" i="92"/>
  <c r="CS28" i="92"/>
  <c r="CN28" i="92"/>
  <c r="CS48" i="72"/>
  <c r="CN48" i="72"/>
  <c r="CS47" i="72"/>
  <c r="CN47" i="72"/>
  <c r="CS46" i="72"/>
  <c r="CN46" i="72"/>
  <c r="CS45" i="72"/>
  <c r="CN45" i="72"/>
  <c r="CS44" i="72"/>
  <c r="CN44" i="72"/>
  <c r="CS40" i="72"/>
  <c r="CN40" i="72"/>
  <c r="CS39" i="72"/>
  <c r="CN39" i="72"/>
  <c r="CS38" i="72"/>
  <c r="CN38" i="72"/>
  <c r="CS37" i="72"/>
  <c r="CN37" i="72"/>
  <c r="CS36" i="72"/>
  <c r="CN36" i="72"/>
  <c r="CS32" i="72"/>
  <c r="CN32" i="72"/>
  <c r="CS31" i="72"/>
  <c r="CN31" i="72"/>
  <c r="CS30" i="72"/>
  <c r="CN30" i="72"/>
  <c r="CS29" i="72"/>
  <c r="CN29" i="72"/>
  <c r="CS28" i="72"/>
  <c r="CN28" i="72"/>
  <c r="BJ182" i="102" l="1"/>
  <c r="BB189" i="102" s="1"/>
  <c r="BF26" i="93"/>
  <c r="BF27" i="93" l="1"/>
  <c r="BF28" i="93" l="1"/>
  <c r="BF29" i="93" l="1"/>
  <c r="BF30" i="93" l="1"/>
  <c r="BJ419" i="93" l="1"/>
  <c r="BJ419" i="102"/>
  <c r="BF31" i="93"/>
  <c r="BF32" i="93" l="1"/>
  <c r="O401" i="114" l="1"/>
  <c r="HO57" i="72" l="1"/>
  <c r="HO58" i="72"/>
  <c r="HO59" i="72"/>
  <c r="HO60" i="72"/>
  <c r="HO61" i="72"/>
  <c r="HO62" i="72"/>
  <c r="HO63" i="72"/>
  <c r="HO64" i="72"/>
  <c r="HO65" i="72"/>
  <c r="HO66" i="72"/>
  <c r="HO67" i="72"/>
  <c r="HO68" i="72"/>
  <c r="HO69" i="72"/>
  <c r="HO70" i="72"/>
  <c r="HO71" i="72"/>
  <c r="HO72" i="72"/>
  <c r="HO73" i="72"/>
  <c r="HO74" i="72"/>
  <c r="HO75" i="72"/>
  <c r="HO76" i="72"/>
  <c r="HO77" i="72"/>
  <c r="HO78" i="72"/>
  <c r="HO79" i="72"/>
  <c r="HO80" i="72"/>
  <c r="HO81" i="72"/>
  <c r="HO82" i="72"/>
  <c r="HO83" i="72"/>
  <c r="HO84" i="72"/>
  <c r="HO85" i="72"/>
  <c r="HO86" i="72"/>
  <c r="HO87" i="72"/>
  <c r="HO88" i="72"/>
  <c r="HO89" i="72"/>
  <c r="HO90" i="72"/>
  <c r="HO91" i="72"/>
  <c r="P580" i="114"/>
  <c r="I580" i="114" s="1"/>
  <c r="P562" i="114"/>
  <c r="I562" i="114" s="1"/>
  <c r="P568" i="114" l="1"/>
  <c r="I568" i="114" s="1"/>
  <c r="P576" i="114"/>
  <c r="I576" i="114" s="1"/>
  <c r="P531" i="114"/>
  <c r="I531" i="114" s="1"/>
  <c r="P577" i="114"/>
  <c r="I577" i="114" s="1"/>
  <c r="BU371" i="102" a="1"/>
  <c r="BU212" i="102"/>
  <c r="BO257" i="93" a="1"/>
  <c r="DY143" i="102"/>
  <c r="DQ106" i="102" a="1"/>
  <c r="ED144" i="102"/>
  <c r="BS371" i="102" a="1"/>
  <c r="CE315" i="93"/>
  <c r="Q67" i="93" a="1"/>
  <c r="DY127" i="93"/>
  <c r="O89" i="93" a="1"/>
  <c r="BR47" i="93" a="1"/>
  <c r="N85" i="93" a="1"/>
  <c r="CE257" i="93" a="1"/>
  <c r="BP256" i="93"/>
  <c r="BS301" i="102" a="1"/>
  <c r="I11" i="93"/>
  <c r="CB386" i="102"/>
  <c r="CA46" i="93"/>
  <c r="DI50" i="102"/>
  <c r="BY82" i="102" a="1"/>
  <c r="DT127" i="93"/>
  <c r="M72" i="93" a="1"/>
  <c r="BZ205" i="102"/>
  <c r="BX126" i="93"/>
  <c r="CE310" i="102"/>
  <c r="DO7" i="102" a="1"/>
  <c r="BX82" i="93" a="1"/>
  <c r="BK387" i="102" a="1"/>
  <c r="BO166" i="93" a="1"/>
  <c r="BS334" i="93"/>
  <c r="DZ7" i="102" a="1"/>
  <c r="DZ128" i="102" a="1"/>
  <c r="DU127" i="93"/>
  <c r="DY13" i="93"/>
  <c r="DN218" i="102" a="1"/>
  <c r="BL263" i="102"/>
  <c r="CN257" i="93" a="1"/>
  <c r="DJ38" i="93" a="1"/>
  <c r="BJ316" i="93"/>
  <c r="BI316" i="93"/>
  <c r="EB13" i="102"/>
  <c r="DY160" i="102" a="1"/>
  <c r="BR371" i="93" a="1"/>
  <c r="N65" i="93" a="1"/>
  <c r="I70" i="93"/>
  <c r="CD315" i="102"/>
  <c r="BU336" i="93"/>
  <c r="CE386" i="93"/>
  <c r="DG136" i="102" a="1"/>
  <c r="BP256" i="102"/>
  <c r="DJ34" i="102" a="1"/>
  <c r="CI205" i="102"/>
  <c r="CF336" i="93" a="1"/>
  <c r="BN133" i="102"/>
  <c r="CF387" i="93" a="1"/>
  <c r="BW334" i="102"/>
  <c r="M78" i="93" a="1"/>
  <c r="BL81" i="93"/>
  <c r="BK263" i="102"/>
  <c r="DJ51" i="93" a="1"/>
  <c r="DT128" i="93" a="1"/>
  <c r="BV46" i="93"/>
  <c r="EH6" i="102"/>
  <c r="DZ158" i="102" a="1"/>
  <c r="DI35" i="93"/>
  <c r="DI25" i="102"/>
  <c r="DJ7" i="102" a="1"/>
  <c r="BQ166" i="93" a="1"/>
  <c r="BY387" i="93" a="1"/>
  <c r="BS127" i="93" a="1"/>
  <c r="R51" i="93" a="1"/>
  <c r="ED143" i="93"/>
  <c r="CM300" i="93"/>
  <c r="CD308" i="93"/>
  <c r="M93" i="93" a="1"/>
  <c r="CF312" i="93"/>
  <c r="BO378" i="102"/>
  <c r="H17" i="93"/>
  <c r="CL257" i="102" a="1"/>
  <c r="BV333" i="93"/>
  <c r="DM106" i="93" a="1"/>
  <c r="BU371" i="93" a="1"/>
  <c r="BP172" i="102"/>
  <c r="DZ106" i="102" a="1"/>
  <c r="DK127" i="93"/>
  <c r="CE46" i="93"/>
  <c r="BN386" i="102"/>
  <c r="BL127" i="102" a="1"/>
  <c r="BP300" i="102"/>
  <c r="CE205" i="102"/>
  <c r="BL166" i="93" a="1"/>
  <c r="DI127" i="102"/>
  <c r="CK301" i="93" a="1"/>
  <c r="BW46" i="93"/>
  <c r="CA126" i="93"/>
  <c r="R39" i="93" a="1"/>
  <c r="BV301" i="93" a="1"/>
  <c r="BW301" i="93" a="1"/>
  <c r="DJ28" i="102" a="1"/>
  <c r="H65" i="93"/>
  <c r="BW126" i="93"/>
  <c r="CD126" i="102"/>
  <c r="BH25" i="93" a="1"/>
  <c r="BI23" i="93" a="1"/>
  <c r="BJ191" i="93"/>
  <c r="BK82" i="102" a="1"/>
  <c r="BL165" i="93"/>
  <c r="O73" i="93" a="1"/>
  <c r="BJ88" i="93"/>
  <c r="CB82" i="102" a="1"/>
  <c r="CD166" i="93" a="1"/>
  <c r="BM133" i="93"/>
  <c r="I41" i="93"/>
  <c r="BR387" i="102" a="1"/>
  <c r="Q65" i="93" a="1"/>
  <c r="BJ371" i="102" a="1"/>
  <c r="BU46" i="102"/>
  <c r="M70" i="93" a="1"/>
  <c r="BM370" i="102"/>
  <c r="BI386" i="102"/>
  <c r="DN220" i="93" a="1"/>
  <c r="BJ212" i="93"/>
  <c r="DI53" i="102"/>
  <c r="DZ144" i="93"/>
  <c r="Q90" i="93" a="1"/>
  <c r="DY128" i="102" a="1"/>
  <c r="BQ387" i="102" a="1"/>
  <c r="R85" i="93" a="1"/>
  <c r="EN141" i="102"/>
  <c r="EG105" i="102"/>
  <c r="BN256" i="93"/>
  <c r="BS335" i="102"/>
  <c r="DS172" i="93"/>
  <c r="BT205" i="93"/>
  <c r="O79" i="93" a="1"/>
  <c r="CP205" i="102"/>
  <c r="BL256" i="102"/>
  <c r="DZ156" i="102" a="1"/>
  <c r="L69" i="93" a="1"/>
  <c r="BJ256" i="93"/>
  <c r="EB147" i="102"/>
  <c r="BJ25" i="93" a="1"/>
  <c r="BO133" i="102"/>
  <c r="P65" i="93" a="1"/>
  <c r="BS205" i="102"/>
  <c r="R35" i="93" a="1"/>
  <c r="DZ106" i="93" a="1"/>
  <c r="CF205" i="93"/>
  <c r="M91" i="93" a="1"/>
  <c r="DI54" i="93"/>
  <c r="DR175" i="102"/>
  <c r="BO82" i="102" a="1"/>
  <c r="EB106" i="93" a="1"/>
  <c r="CC81" i="93"/>
  <c r="DS127" i="102"/>
  <c r="CM301" i="93" a="1"/>
  <c r="BL89" i="102"/>
  <c r="BU379" i="93" a="1"/>
  <c r="BX81" i="93"/>
  <c r="P81" i="93" a="1"/>
  <c r="BO205" i="102"/>
  <c r="DV128" i="102" a="1"/>
  <c r="CF166" i="93"/>
  <c r="CD316" i="93"/>
  <c r="BM370" i="93"/>
  <c r="BS172" i="102"/>
  <c r="BI27" i="93" a="1"/>
  <c r="BJ205" i="102"/>
  <c r="BJ165" i="93"/>
  <c r="DJ20" i="102" a="1"/>
  <c r="BN82" i="93" a="1"/>
  <c r="EG144" i="102"/>
  <c r="DU128" i="102" a="1"/>
  <c r="BM301" i="102" a="1"/>
  <c r="BR379" i="102" a="1"/>
  <c r="BR205" i="93"/>
  <c r="DU13" i="93"/>
  <c r="EI106" i="93" a="1"/>
  <c r="R40" i="93" a="1"/>
  <c r="BL386" i="102"/>
  <c r="BI257" i="102" a="1"/>
  <c r="DJ31" i="102" a="1"/>
  <c r="DM119" i="93"/>
  <c r="DI51" i="93"/>
  <c r="BI26" i="93" a="1"/>
  <c r="DI105" i="102"/>
  <c r="BR378" i="102"/>
  <c r="BK46" i="102"/>
  <c r="BN371" i="102" a="1"/>
  <c r="DJ16" i="93" a="1"/>
  <c r="DJ42" i="93" a="1"/>
  <c r="Q38" i="93" a="1"/>
  <c r="BR256" i="93"/>
  <c r="DN119" i="102"/>
  <c r="BQ300" i="102"/>
  <c r="EM144" i="102"/>
  <c r="BS212" i="93"/>
  <c r="BU386" i="102"/>
  <c r="BM46" i="93"/>
  <c r="DJ25" i="102" a="1"/>
  <c r="P70" i="93" a="1"/>
  <c r="BZ404" i="72" a="1"/>
  <c r="CD165" i="93"/>
  <c r="DY6" i="93"/>
  <c r="BH22" i="93" a="1"/>
  <c r="BY205" i="102"/>
  <c r="CK301" i="102" a="1"/>
  <c r="DQ105" i="93"/>
  <c r="DZ141" i="93"/>
  <c r="CC301" i="93" a="1"/>
  <c r="BL173" i="102"/>
  <c r="DL204" i="102"/>
  <c r="DJ43" i="102" a="1"/>
  <c r="BJ355" i="93"/>
  <c r="BR300" i="102"/>
  <c r="DG113" i="102" a="1"/>
  <c r="BV387" i="102" a="1"/>
  <c r="BU334" i="93"/>
  <c r="BS256" i="93"/>
  <c r="BT301" i="93" a="1"/>
  <c r="BJ190" i="93"/>
  <c r="CA334" i="102" a="1"/>
  <c r="Q51" i="93" a="1"/>
  <c r="BX47" i="102" a="1"/>
  <c r="CD309" i="102"/>
  <c r="CF316" i="93"/>
  <c r="DI37" i="93"/>
  <c r="BG52" i="93"/>
  <c r="DJ33" i="102" a="1"/>
  <c r="ED13" i="93"/>
  <c r="BP127" i="102" a="1"/>
  <c r="BR81" i="93"/>
  <c r="BM46" i="102"/>
  <c r="DI39" i="102"/>
  <c r="DQ127" i="93"/>
  <c r="BK301" i="93" a="1"/>
  <c r="P89" i="93" a="1"/>
  <c r="BY206" i="93" a="1"/>
  <c r="DR7" i="102" a="1"/>
  <c r="BL256" i="93"/>
  <c r="DS173" i="102"/>
  <c r="CM301" i="102" a="1"/>
  <c r="CF205" i="102"/>
  <c r="DL200" i="93"/>
  <c r="I67" i="93"/>
  <c r="Q35" i="93" a="1"/>
  <c r="DZ160" i="93" a="1"/>
  <c r="BM257" i="102" a="1"/>
  <c r="BW257" i="93" a="1"/>
  <c r="BI205" i="102"/>
  <c r="DO199" i="102"/>
  <c r="BN47" i="102" a="1"/>
  <c r="R36" i="93" a="1"/>
  <c r="DW7" i="102" a="1"/>
  <c r="CE206" i="93" a="1"/>
  <c r="N93" i="93" a="1"/>
  <c r="BQ256" i="102"/>
  <c r="BL89" i="93"/>
  <c r="CE300" i="93"/>
  <c r="DN120" i="102" a="1"/>
  <c r="DT119" i="102"/>
  <c r="CN206" i="93" a="1"/>
  <c r="L91" i="93" a="1"/>
  <c r="BK301" i="102" a="1"/>
  <c r="BP206" i="102" a="1"/>
  <c r="Q73" i="93" a="1"/>
  <c r="CE308" i="102"/>
  <c r="R90" i="93" a="1"/>
  <c r="BZ402" i="72" a="1"/>
  <c r="BJ300" i="102"/>
  <c r="L71" i="93" a="1"/>
  <c r="N74" i="93" a="1"/>
  <c r="R68" i="93" a="1"/>
  <c r="BZ47" i="102" a="1"/>
  <c r="M81" i="93" a="1"/>
  <c r="P82" i="93" a="1"/>
  <c r="DI9" i="93"/>
  <c r="DM119" i="102"/>
  <c r="BJ47" i="93" a="1"/>
  <c r="BT386" i="93"/>
  <c r="DJ38" i="102" a="1"/>
  <c r="BZ81" i="93"/>
  <c r="EI7" i="93" a="1"/>
  <c r="BN212" i="102"/>
  <c r="Q71" i="93" a="1"/>
  <c r="CD333" i="102" a="1"/>
  <c r="BP81" i="102"/>
  <c r="DM105" i="93"/>
  <c r="DI5" i="102"/>
  <c r="BZ408" i="72" a="1"/>
  <c r="EF6" i="93"/>
  <c r="BT387" i="102" a="1"/>
  <c r="BT387" i="93" a="1"/>
  <c r="DN219" i="93" a="1"/>
  <c r="DT13" i="102"/>
  <c r="R82" i="93" a="1"/>
  <c r="BI22" i="93" a="1"/>
  <c r="CB166" i="93" a="1"/>
  <c r="BW335" i="102"/>
  <c r="BQ386" i="102"/>
  <c r="BU335" i="102"/>
  <c r="BF52" i="93"/>
  <c r="EC142" i="102"/>
  <c r="CA127" i="93" a="1"/>
  <c r="DG112" i="93"/>
  <c r="DJ35" i="93" a="1"/>
  <c r="L75" i="93" a="1"/>
  <c r="BG88" i="102"/>
  <c r="BH18" i="93" a="1"/>
  <c r="DG136" i="93" a="1"/>
  <c r="BH133" i="93"/>
  <c r="BM126" i="93"/>
  <c r="CK300" i="93"/>
  <c r="BN257" i="93" a="1"/>
  <c r="BU126" i="93"/>
  <c r="BW82" i="102" a="1"/>
  <c r="DW106" i="102" a="1"/>
  <c r="BJ89" i="102"/>
  <c r="BK173" i="93"/>
  <c r="DJ37" i="102" a="1"/>
  <c r="BI172" i="102"/>
  <c r="BO172" i="93"/>
  <c r="EM146" i="102"/>
  <c r="DN205" i="93"/>
  <c r="DV7" i="102" a="1"/>
  <c r="DI20" i="102"/>
  <c r="BK88" i="93"/>
  <c r="DO119" i="93"/>
  <c r="DV106" i="93" a="1"/>
  <c r="BN172" i="102"/>
  <c r="DI16" i="102"/>
  <c r="BK81" i="93"/>
  <c r="DV6" i="93"/>
  <c r="DX127" i="102"/>
  <c r="DJ33" i="93" a="1"/>
  <c r="BI88" i="102"/>
  <c r="N71" i="93" a="1"/>
  <c r="BZ387" i="93" a="1"/>
  <c r="BH26" i="93" a="1"/>
  <c r="DI135" i="93"/>
  <c r="BS301" i="93" a="1"/>
  <c r="BL371" i="93" a="1"/>
  <c r="DI48" i="102"/>
  <c r="CA336" i="102" a="1"/>
  <c r="BM165" i="93"/>
  <c r="EA143" i="102"/>
  <c r="CB127" i="93" a="1"/>
  <c r="N66" i="93" a="1"/>
  <c r="O78" i="93" a="1"/>
  <c r="BW336" i="93"/>
  <c r="L66" i="93" a="1"/>
  <c r="I12" i="93"/>
  <c r="N82" i="93" a="1"/>
  <c r="CF300" i="93"/>
  <c r="DZ143" i="93"/>
  <c r="I71" i="93"/>
  <c r="DY153" i="102" a="1"/>
  <c r="DT13" i="93"/>
  <c r="DI11" i="93"/>
  <c r="O84" i="93" a="1"/>
  <c r="BZ256" i="93"/>
  <c r="DI135" i="102"/>
  <c r="BK127" i="93" a="1"/>
  <c r="DM105" i="102"/>
  <c r="CK257" i="93" a="1"/>
  <c r="BM256" i="93"/>
  <c r="O94" i="93" a="1"/>
  <c r="DY157" i="102" a="1"/>
  <c r="BN206" i="93" a="1"/>
  <c r="DT106" i="102" a="1"/>
  <c r="BP81" i="93"/>
  <c r="CD206" i="102" a="1"/>
  <c r="DJ54" i="93" a="1"/>
  <c r="CC334" i="102" a="1"/>
  <c r="BK212" i="102"/>
  <c r="DN221" i="102" a="1"/>
  <c r="BS387" i="102" a="1"/>
  <c r="DN222" i="93" a="1"/>
  <c r="DQ105" i="102"/>
  <c r="R88" i="93" a="1"/>
  <c r="DJ19" i="93" a="1"/>
  <c r="BJ308" i="102"/>
  <c r="BJ20" i="93" a="1"/>
  <c r="BR206" i="93" a="1"/>
  <c r="BO370" i="93"/>
  <c r="BR256" i="102"/>
  <c r="CJ256" i="93"/>
  <c r="M84" i="93" a="1"/>
  <c r="BM212" i="102"/>
  <c r="BQ127" i="102" a="1"/>
  <c r="DQ106" i="93" a="1"/>
  <c r="BX82" i="102" a="1"/>
  <c r="DI28" i="93"/>
  <c r="H37" i="93"/>
  <c r="DH112" i="102"/>
  <c r="EC143" i="93"/>
  <c r="DO128" i="93" a="1"/>
  <c r="DI6" i="102"/>
  <c r="BM263" i="93"/>
  <c r="DI30" i="102"/>
  <c r="Q94" i="93" a="1"/>
  <c r="Q72" i="93" a="1"/>
  <c r="BX386" i="93"/>
  <c r="DY155" i="102" a="1"/>
  <c r="EJ106" i="93" a="1"/>
  <c r="I51" i="93"/>
  <c r="BZ301" i="102" a="1"/>
  <c r="R50" i="93" a="1"/>
  <c r="BQ370" i="102"/>
  <c r="L74" i="93" a="1"/>
  <c r="BM386" i="93"/>
  <c r="EM145" i="102"/>
  <c r="N73" i="93" a="1"/>
  <c r="BQ127" i="93" a="1"/>
  <c r="DJ27" i="93" a="1"/>
  <c r="BH126" i="102"/>
  <c r="DU105" i="102"/>
  <c r="BU333" i="102"/>
  <c r="DO136" i="93" a="1"/>
  <c r="BI14" i="93" a="1"/>
  <c r="ED142" i="102"/>
  <c r="DT119" i="93"/>
  <c r="EA13" i="93"/>
  <c r="BL301" i="93" a="1"/>
  <c r="BK371" i="93" a="1"/>
  <c r="CM205" i="102"/>
  <c r="BT206" i="102" a="1"/>
  <c r="BQ82" i="102" a="1"/>
  <c r="N78" i="93" a="1"/>
  <c r="DJ40" i="93" a="1"/>
  <c r="G56" i="93"/>
  <c r="DM205" i="93"/>
  <c r="BI15" i="93" a="1"/>
  <c r="EH145" i="102"/>
  <c r="N83" i="93" a="1"/>
  <c r="BL46" i="93"/>
  <c r="DR13" i="93"/>
  <c r="EL7" i="102" a="1"/>
  <c r="BL387" i="93" a="1"/>
  <c r="BJ370" i="102"/>
  <c r="BO126" i="93"/>
  <c r="DX128" i="102" a="1"/>
  <c r="CB205" i="93"/>
  <c r="BI81" i="102"/>
  <c r="DZ155" i="93" a="1"/>
  <c r="EA7" i="93" a="1"/>
  <c r="CG206" i="93" a="1"/>
  <c r="DK136" i="93" a="1"/>
  <c r="BH88" i="93"/>
  <c r="DO204" i="102"/>
  <c r="DL205" i="93"/>
  <c r="BW300" i="93"/>
  <c r="DJ44" i="93" a="1"/>
  <c r="EA146" i="93"/>
  <c r="CD127" i="102" a="1"/>
  <c r="EB142" i="93"/>
  <c r="DO135" i="102"/>
  <c r="CD313" i="93"/>
  <c r="BU82" i="102" a="1"/>
  <c r="EA105" i="93"/>
  <c r="DI22" i="93"/>
  <c r="DS106" i="93" a="1"/>
  <c r="DL136" i="93" a="1"/>
  <c r="CF313" i="93"/>
  <c r="BP301" i="102" a="1"/>
  <c r="CH387" i="102" a="1"/>
  <c r="R92" i="93" a="1"/>
  <c r="BQ126" i="102"/>
  <c r="BV81" i="102"/>
  <c r="BO386" i="102"/>
  <c r="DO204" i="93"/>
  <c r="DZ146" i="102"/>
  <c r="BU370" i="102"/>
  <c r="DS175" i="102"/>
  <c r="BV333" i="102"/>
  <c r="BM82" i="93" a="1"/>
  <c r="BL308" i="102"/>
  <c r="DR173" i="102"/>
  <c r="BZ300" i="93"/>
  <c r="BN300" i="102"/>
  <c r="CD334" i="102" a="1"/>
  <c r="O81" i="93" a="1"/>
  <c r="CL256" i="93"/>
  <c r="BW81" i="93"/>
  <c r="BW335" i="93"/>
  <c r="EC148" i="93"/>
  <c r="BZ300" i="102"/>
  <c r="DI12" i="102"/>
  <c r="BS334" i="102"/>
  <c r="O87" i="93" a="1"/>
  <c r="BI300" i="93"/>
  <c r="BY205" i="93"/>
  <c r="EH106" i="93" a="1"/>
  <c r="BU334" i="102"/>
  <c r="BK173" i="102"/>
  <c r="DJ48" i="93" a="1"/>
  <c r="CE309" i="102"/>
  <c r="BG81" i="102"/>
  <c r="BR127" i="93" a="1"/>
  <c r="DG106" i="93" a="1"/>
  <c r="BQ212" i="102"/>
  <c r="DN199" i="102"/>
  <c r="BZ407" i="72" a="1"/>
  <c r="CE300" i="102"/>
  <c r="EC141" i="93"/>
  <c r="DY157" i="93" a="1"/>
  <c r="Q39" i="93" a="1"/>
  <c r="DI40" i="93"/>
  <c r="DS119" i="102"/>
  <c r="CL256" i="102"/>
  <c r="CA256" i="93"/>
  <c r="DO222" i="93" a="1"/>
  <c r="EA144" i="93"/>
  <c r="BK89" i="93"/>
  <c r="BH15" i="93" a="1"/>
  <c r="BT81" i="102"/>
  <c r="EE13" i="102"/>
  <c r="BP82" i="102" a="1"/>
  <c r="DO205" i="93"/>
  <c r="EJ7" i="93" a="1"/>
  <c r="DK119" i="93"/>
  <c r="BJ192" i="93"/>
  <c r="DH127" i="93"/>
  <c r="BX256" i="102"/>
  <c r="DN218" i="93" a="1"/>
  <c r="BI46" i="102"/>
  <c r="BR386" i="102"/>
  <c r="ED146" i="93"/>
  <c r="CG165" i="93"/>
  <c r="BQ371" i="93" a="1"/>
  <c r="DS105" i="93"/>
  <c r="CL301" i="102" a="1"/>
  <c r="CI387" i="93" a="1"/>
  <c r="DY148" i="93"/>
  <c r="R65" i="93" a="1"/>
  <c r="CE127" i="93" a="1"/>
  <c r="BS46" i="93"/>
  <c r="EB6" i="102"/>
  <c r="O74" i="93" a="1"/>
  <c r="DY148" i="102"/>
  <c r="DI19" i="102"/>
  <c r="DI47" i="102"/>
  <c r="DJ39" i="93" a="1"/>
  <c r="BO387" i="93" a="1"/>
  <c r="BS300" i="93"/>
  <c r="BR387" i="93" a="1"/>
  <c r="DI18" i="93"/>
  <c r="DN220" i="102" a="1"/>
  <c r="DS7" i="93" a="1"/>
  <c r="CE47" i="102" a="1"/>
  <c r="R80" i="93" a="1"/>
  <c r="DJ49" i="102" a="1"/>
  <c r="DK106" i="93" a="1"/>
  <c r="BV46" i="102"/>
  <c r="DI17" i="102"/>
  <c r="CE126" i="102"/>
  <c r="Q80" i="93" a="1"/>
  <c r="BR46" i="93"/>
  <c r="R84" i="93" a="1"/>
  <c r="EN144" i="102"/>
  <c r="EG144" i="93"/>
  <c r="DO200" i="93"/>
  <c r="CF311" i="102"/>
  <c r="BW333" i="102"/>
  <c r="DO13" i="93"/>
  <c r="DY158" i="93" a="1"/>
  <c r="CD126" i="93"/>
  <c r="CG300" i="93"/>
  <c r="CD127" i="93" a="1"/>
  <c r="Q88" i="93" a="1"/>
  <c r="BQ212" i="93"/>
  <c r="M73" i="93" a="1"/>
  <c r="DR6" i="102"/>
  <c r="DJ10" i="102" a="1"/>
  <c r="EA105" i="102"/>
  <c r="BS205" i="93"/>
  <c r="BI165" i="93"/>
  <c r="BL126" i="93"/>
  <c r="BY127" i="93" a="1"/>
  <c r="BX126" i="102"/>
  <c r="BM301" i="93" a="1"/>
  <c r="DZ145" i="93"/>
  <c r="N92" i="93" a="1"/>
  <c r="EB148" i="102"/>
  <c r="DJ119" i="102"/>
  <c r="DL199" i="102"/>
  <c r="BI19" i="93" a="1"/>
  <c r="EG106" i="93" a="1"/>
  <c r="EC147" i="102"/>
  <c r="DR171" i="93"/>
  <c r="BJ19" i="93" a="1"/>
  <c r="BS370" i="102"/>
  <c r="O88" i="93" a="1"/>
  <c r="BP82" i="93" a="1"/>
  <c r="EC148" i="102"/>
  <c r="BN371" i="93" a="1"/>
  <c r="BL173" i="93"/>
  <c r="BW334" i="93"/>
  <c r="CI387" i="102" a="1"/>
  <c r="BG52" i="102"/>
  <c r="CB256" i="102"/>
  <c r="P73" i="93" a="1"/>
  <c r="BI17" i="93" a="1"/>
  <c r="CF301" i="93" a="1"/>
  <c r="BV205" i="93"/>
  <c r="BK46" i="93"/>
  <c r="R72" i="93" a="1"/>
  <c r="BY301" i="93" a="1"/>
  <c r="N69" i="93" a="1"/>
  <c r="DR170" i="102"/>
  <c r="BW257" i="102" a="1"/>
  <c r="DV127" i="93"/>
  <c r="BP47" i="102" a="1"/>
  <c r="BW205" i="93"/>
  <c r="N88" i="93" a="1"/>
  <c r="BG81" i="93"/>
  <c r="ED146" i="102"/>
  <c r="BT126" i="93"/>
  <c r="BM205" i="93"/>
  <c r="BN81" i="93"/>
  <c r="BZ387" i="102" a="1"/>
  <c r="BJ134" i="93"/>
  <c r="DI25" i="93"/>
  <c r="CJ301" i="102" a="1"/>
  <c r="BL82" i="102" a="1"/>
  <c r="BF47" i="102" a="1"/>
  <c r="EA6" i="93"/>
  <c r="BP370" i="102"/>
  <c r="DO6" i="102"/>
  <c r="M76" i="93" a="1"/>
  <c r="BJ173" i="93"/>
  <c r="DI21" i="93"/>
  <c r="BK81" i="102"/>
  <c r="BO256" i="102"/>
  <c r="BQ301" i="102" a="1"/>
  <c r="BJ4" i="92" a="1"/>
  <c r="DO221" i="93" a="1"/>
  <c r="BS126" i="102"/>
  <c r="Q68" i="93" a="1"/>
  <c r="BW205" i="102"/>
  <c r="BM300" i="93"/>
  <c r="DI49" i="102"/>
  <c r="CE47" i="93" a="1"/>
  <c r="BW387" i="102" a="1"/>
  <c r="EA106" i="102" a="1"/>
  <c r="DQ128" i="93" a="1"/>
  <c r="R73" i="93" a="1"/>
  <c r="BJ22" i="93" a="1"/>
  <c r="O86" i="93" a="1"/>
  <c r="CF315" i="93"/>
  <c r="I8" i="93"/>
  <c r="DZ157" i="93" a="1"/>
  <c r="CA206" i="93" a="1"/>
  <c r="BI18" i="93" a="1"/>
  <c r="DO205" i="102"/>
  <c r="DJ8" i="102" a="1"/>
  <c r="BI316" i="102"/>
  <c r="BW256" i="102"/>
  <c r="EJ105" i="93"/>
  <c r="DR13" i="102"/>
  <c r="DZ127" i="102"/>
  <c r="DJ127" i="93"/>
  <c r="DM106" i="102" a="1"/>
  <c r="BQ172" i="102"/>
  <c r="DJ13" i="93" a="1"/>
  <c r="BP205" i="102"/>
  <c r="BY387" i="102" a="1"/>
  <c r="DU6" i="93"/>
  <c r="DJ26" i="93" a="1"/>
  <c r="CC335" i="102" a="1"/>
  <c r="BO126" i="102"/>
  <c r="EI7" i="102" a="1"/>
  <c r="BI166" i="93" a="1"/>
  <c r="DM120" i="102" a="1"/>
  <c r="BT379" i="102" a="1"/>
  <c r="DU6" i="102"/>
  <c r="DZ105" i="102"/>
  <c r="DJ135" i="93"/>
  <c r="O72" i="93" a="1"/>
  <c r="BI212" i="102"/>
  <c r="DI29" i="93"/>
  <c r="BU378" i="102"/>
  <c r="BT370" i="93"/>
  <c r="DJ40" i="102" a="1"/>
  <c r="P77" i="93" a="1"/>
  <c r="BK82" i="93" a="1"/>
  <c r="CB301" i="102" a="1"/>
  <c r="BJ378" i="93"/>
  <c r="DI55" i="102"/>
  <c r="CA82" i="102"/>
  <c r="BO386" i="93"/>
  <c r="DI40" i="102"/>
  <c r="BZ205" i="93"/>
  <c r="BS300" i="102"/>
  <c r="DI41" i="102"/>
  <c r="CE311" i="102"/>
  <c r="BR47" i="102" a="1"/>
  <c r="BJ300" i="93"/>
  <c r="DH112" i="93"/>
  <c r="CL300" i="102"/>
  <c r="BS126" i="93"/>
  <c r="CF308" i="102"/>
  <c r="ED141" i="102"/>
  <c r="CG165" i="102"/>
  <c r="L72" i="93" a="1"/>
  <c r="DY7" i="102" a="1"/>
  <c r="DT120" i="93" a="1"/>
  <c r="EC147" i="93"/>
  <c r="DR119" i="93"/>
  <c r="BR257" i="93" a="1"/>
  <c r="CM206" i="102" a="1"/>
  <c r="EB147" i="93"/>
  <c r="DT6" i="93"/>
  <c r="EC6" i="102"/>
  <c r="BI126" i="102"/>
  <c r="DM135" i="93"/>
  <c r="DI44" i="102"/>
  <c r="DZ141" i="102"/>
  <c r="DG127" i="93"/>
  <c r="DY105" i="93"/>
  <c r="N72" i="93" a="1"/>
  <c r="CH166" i="102" a="1"/>
  <c r="BO212" i="102"/>
  <c r="CB205" i="102"/>
  <c r="BY47" i="102" a="1"/>
  <c r="BJ291" i="93"/>
  <c r="L90" i="93" a="1"/>
  <c r="DN219" i="102" a="1"/>
  <c r="DJ41" i="93" a="1"/>
  <c r="DU106" i="93" a="1"/>
  <c r="DJ52" i="102" a="1"/>
  <c r="BY46" i="93"/>
  <c r="CD205" i="93"/>
  <c r="BV82" i="93" a="1"/>
  <c r="CI386" i="102"/>
  <c r="BQ47" i="102" a="1"/>
  <c r="EC146" i="93"/>
  <c r="DJ5" i="93" a="1"/>
  <c r="Q75" i="93" a="1"/>
  <c r="DR169" i="102"/>
  <c r="BJ133" i="93"/>
  <c r="BZ127" i="102" a="1"/>
  <c r="DO219" i="102" a="1"/>
  <c r="DO219" i="93" a="1"/>
  <c r="BI212" i="93"/>
  <c r="DQ6" i="93"/>
  <c r="BX387" i="93" a="1"/>
  <c r="BT334" i="102"/>
  <c r="BL308" i="93"/>
  <c r="BI206" i="102" a="1"/>
  <c r="BM81" i="102"/>
  <c r="BH133" i="102"/>
  <c r="BJ29" i="93" a="1"/>
  <c r="DJ50" i="102" a="1"/>
  <c r="BJ309" i="102" a="1"/>
  <c r="BJ212" i="102"/>
  <c r="CB257" i="102" a="1"/>
  <c r="BH29" i="93" a="1"/>
  <c r="BI81" i="93"/>
  <c r="BW386" i="102"/>
  <c r="BK316" i="102"/>
  <c r="DJ49" i="93" a="1"/>
  <c r="O66" i="93" a="1"/>
  <c r="DJ11" i="102" a="1"/>
  <c r="BY386" i="102"/>
  <c r="BU165" i="93"/>
  <c r="BY126" i="93"/>
  <c r="CI300" i="93"/>
  <c r="BJ6" i="72" a="1"/>
  <c r="CB206" i="93" a="1"/>
  <c r="CH387" i="93" a="1"/>
  <c r="BM126" i="102"/>
  <c r="BI263" i="93"/>
  <c r="ED7" i="93" a="1"/>
  <c r="DJ48" i="102" a="1"/>
  <c r="BS47" i="93" a="1"/>
  <c r="BQ46" i="93"/>
  <c r="CH386" i="102"/>
  <c r="DS174" i="93"/>
  <c r="BI89" i="93"/>
  <c r="Q46" i="93" a="1"/>
  <c r="CF386" i="93"/>
  <c r="BJ355" i="102"/>
  <c r="BT46" i="102"/>
  <c r="DI22" i="102"/>
  <c r="EA148" i="102"/>
  <c r="BF46" i="102"/>
  <c r="BI371" i="102" a="1"/>
  <c r="DZ143" i="102"/>
  <c r="P80" i="93" a="1"/>
  <c r="BL46" i="102"/>
  <c r="I68" i="93"/>
  <c r="CD312" i="102"/>
  <c r="DY159" i="102" a="1"/>
  <c r="DO221" i="102" a="1"/>
  <c r="DZ147" i="102"/>
  <c r="CE316" i="102"/>
  <c r="CP256" i="102"/>
  <c r="CG256" i="102"/>
  <c r="DY160" i="93" a="1"/>
  <c r="ED148" i="102"/>
  <c r="BU386" i="93"/>
  <c r="Q78" i="93" a="1"/>
  <c r="CF308" i="93"/>
  <c r="BJ263" i="102"/>
  <c r="EA147" i="102"/>
  <c r="BL88" i="93"/>
  <c r="BK308" i="93"/>
  <c r="DZ6" i="102"/>
  <c r="DW106" i="93" a="1"/>
  <c r="BO81" i="93"/>
  <c r="BR126" i="102"/>
  <c r="BZ399" i="72" a="1"/>
  <c r="BW387" i="93" a="1"/>
  <c r="DJ8" i="93" a="1"/>
  <c r="CB257" i="93" a="1"/>
  <c r="BW165" i="93"/>
  <c r="DY153" i="93" a="1"/>
  <c r="DJ36" i="93" a="1"/>
  <c r="BK126" i="93"/>
  <c r="DI49" i="93"/>
  <c r="DL127" i="93"/>
  <c r="BL82" i="93" a="1"/>
  <c r="BF46" i="93"/>
  <c r="BX333" i="93"/>
  <c r="DT127" i="102"/>
  <c r="DT6" i="102"/>
  <c r="BN212" i="93"/>
  <c r="CA301" i="102" a="1"/>
  <c r="BM371" i="93" a="1"/>
  <c r="BO205" i="93"/>
  <c r="CI205" i="93"/>
  <c r="EG141" i="93"/>
  <c r="DY142" i="102"/>
  <c r="EB144" i="93"/>
  <c r="I47" i="93"/>
  <c r="N80" i="93" a="1"/>
  <c r="BH82" i="93" a="1"/>
  <c r="CA336" i="93" a="1"/>
  <c r="BU387" i="93" a="1"/>
  <c r="BO47" i="93" a="1"/>
  <c r="CC205" i="102"/>
  <c r="DZ157" i="102" a="1"/>
  <c r="DM136" i="93" a="1"/>
  <c r="BQ205" i="102"/>
  <c r="DI7" i="102"/>
  <c r="EH106" i="102" a="1"/>
  <c r="BJ15" i="93" a="1"/>
  <c r="BX206" i="102" a="1"/>
  <c r="DO223" i="102" a="1"/>
  <c r="BN370" i="102"/>
  <c r="DM120" i="93" a="1"/>
  <c r="L86" i="93" a="1"/>
  <c r="BH52" i="102"/>
  <c r="Q43" i="93" a="1"/>
  <c r="CD313" i="102"/>
  <c r="BS379" i="102" a="1"/>
  <c r="DN105" i="93"/>
  <c r="DN127" i="102"/>
  <c r="DJ136" i="93" a="1"/>
  <c r="CJ205" i="93"/>
  <c r="EB105" i="102"/>
  <c r="BY46" i="102"/>
  <c r="EC105" i="102"/>
  <c r="BU301" i="93" a="1"/>
  <c r="L73" i="93" a="1"/>
  <c r="R94" i="93" a="1"/>
  <c r="BR81" i="102"/>
  <c r="CF315" i="102"/>
  <c r="M69" i="93" a="1"/>
  <c r="BI370" i="102"/>
  <c r="CC257" i="93" a="1"/>
  <c r="EA127" i="102"/>
  <c r="BI82" i="102" a="1"/>
  <c r="BW81" i="102"/>
  <c r="DX105" i="102"/>
  <c r="BH52" i="93"/>
  <c r="R87" i="93" a="1"/>
  <c r="BT370" i="102"/>
  <c r="BT300" i="102"/>
  <c r="Q74" i="93" a="1"/>
  <c r="DH105" i="93"/>
  <c r="EC142" i="93"/>
  <c r="BI52" i="102"/>
  <c r="EA148" i="93"/>
  <c r="BP257" i="93" a="1"/>
  <c r="BS336" i="93"/>
  <c r="CA333" i="102" a="1"/>
  <c r="DI16" i="93"/>
  <c r="DN200" i="93"/>
  <c r="DZ6" i="93"/>
  <c r="BH27" i="93" a="1"/>
  <c r="DR168" i="102"/>
  <c r="BV126" i="102"/>
  <c r="DI13" i="102"/>
  <c r="L84" i="93" a="1"/>
  <c r="BO212" i="93"/>
  <c r="CD301" i="93" a="1"/>
  <c r="BH16" i="93" a="1"/>
  <c r="DJ15" i="93" a="1"/>
  <c r="CD206" i="93" a="1"/>
  <c r="CE127" i="102" a="1"/>
  <c r="BR300" i="93"/>
  <c r="EG148" i="102"/>
  <c r="BJ288" i="93"/>
  <c r="DI7" i="93"/>
  <c r="BT126" i="102"/>
  <c r="BY206" i="102" a="1"/>
  <c r="L78" i="93" a="1"/>
  <c r="CD315" i="93"/>
  <c r="BL309" i="102" a="1"/>
  <c r="CB46" i="93"/>
  <c r="DJ18" i="102" a="1"/>
  <c r="DL119" i="102"/>
  <c r="BR386" i="93"/>
  <c r="EA128" i="102" a="1"/>
  <c r="CE315" i="102"/>
  <c r="BV336" i="102"/>
  <c r="BR126" i="93"/>
  <c r="DS173" i="93"/>
  <c r="N94" i="93" a="1"/>
  <c r="DJ14" i="102" a="1"/>
  <c r="CC127" i="102"/>
  <c r="DO218" i="93" a="1"/>
  <c r="BK371" i="102" a="1"/>
  <c r="BI206" i="93" a="1"/>
  <c r="Q70" i="93" a="1"/>
  <c r="CC166" i="93" a="1"/>
  <c r="BI13" i="93" a="1"/>
  <c r="DN199" i="93"/>
  <c r="DS105" i="102"/>
  <c r="DU13" i="102"/>
  <c r="CK256" i="102"/>
  <c r="BZ81" i="102"/>
  <c r="BI89" i="102"/>
  <c r="R45" i="93" a="1"/>
  <c r="N70" i="93" a="1"/>
  <c r="BT301" i="102" a="1"/>
  <c r="CA205" i="102"/>
  <c r="BR127" i="102" a="1"/>
  <c r="DN204" i="102"/>
  <c r="BQ257" i="93" a="1"/>
  <c r="DJ9" i="102" a="1"/>
  <c r="M89" i="93" a="1"/>
  <c r="BK133" i="102"/>
  <c r="BH47" i="102" a="1"/>
  <c r="BK205" i="93"/>
  <c r="DP13" i="102"/>
  <c r="M80" i="93" a="1"/>
  <c r="L89" i="93" a="1"/>
  <c r="ED13" i="102"/>
  <c r="BP371" i="102" a="1"/>
  <c r="BM205" i="102"/>
  <c r="BK386" i="102"/>
  <c r="DX105" i="93"/>
  <c r="DJ106" i="102" a="1"/>
  <c r="BI257" i="93" a="1"/>
  <c r="BN386" i="93"/>
  <c r="BR257" i="102" a="1"/>
  <c r="BM371" i="102" a="1"/>
  <c r="DT105" i="93"/>
  <c r="BS256" i="102"/>
  <c r="DG120" i="102" a="1"/>
  <c r="ED142" i="93"/>
  <c r="BO165" i="93"/>
  <c r="DI43" i="102"/>
  <c r="BN301" i="93" a="1"/>
  <c r="BJ371" i="93" a="1"/>
  <c r="BU256" i="93"/>
  <c r="DL119" i="93"/>
  <c r="Q40" i="93" a="1"/>
  <c r="DJ19" i="102" a="1"/>
  <c r="BV387" i="93" a="1"/>
  <c r="CF316" i="102"/>
  <c r="BU46" i="93"/>
  <c r="BM257" i="93" a="1"/>
  <c r="CC336" i="93" a="1"/>
  <c r="DJ34" i="93" a="1"/>
  <c r="DG128" i="93" a="1"/>
  <c r="DJ46" i="102" a="1"/>
  <c r="BN47" i="93" a="1"/>
  <c r="DI10" i="93"/>
  <c r="DR105" i="93"/>
  <c r="DY146" i="102"/>
  <c r="M88" i="93" a="1"/>
  <c r="BN133" i="93"/>
  <c r="BI133" i="102"/>
  <c r="DY145" i="102"/>
  <c r="BP172" i="93"/>
  <c r="BO263" i="102"/>
  <c r="ED105" i="93"/>
  <c r="BN300" i="93"/>
  <c r="BK308" i="102"/>
  <c r="EG146" i="102"/>
  <c r="DJ45" i="93" a="1"/>
  <c r="DI46" i="102"/>
  <c r="DI13" i="93"/>
  <c r="EC7" i="102" a="1"/>
  <c r="BJ46" i="93"/>
  <c r="P90" i="93" a="1"/>
  <c r="BT256" i="102"/>
  <c r="DI8" i="102"/>
  <c r="ED147" i="102"/>
  <c r="BH17" i="93" a="1"/>
  <c r="EC144" i="102"/>
  <c r="BZ403" i="72" a="1"/>
  <c r="BT378" i="93"/>
  <c r="L76" i="93" a="1"/>
  <c r="DI20" i="93"/>
  <c r="CF300" i="102"/>
  <c r="CD314" i="102"/>
  <c r="DW6" i="93"/>
  <c r="BP300" i="93"/>
  <c r="BX81" i="102"/>
  <c r="BO172" i="102"/>
  <c r="BW127" i="93" a="1"/>
  <c r="CM257" i="102" a="1"/>
  <c r="DX106" i="102" a="1"/>
  <c r="DZ159" i="102" a="1"/>
  <c r="DK127" i="102"/>
  <c r="BS386" i="93"/>
  <c r="BW206" i="93" a="1"/>
  <c r="DV13" i="93"/>
  <c r="EH105" i="93"/>
  <c r="DI26" i="93"/>
  <c r="BU336" i="102"/>
  <c r="DY106" i="102" a="1"/>
  <c r="DJ17" i="93" a="1"/>
  <c r="DR106" i="93" a="1"/>
  <c r="EA145" i="102"/>
  <c r="BK309" i="93" a="1"/>
  <c r="P67" i="93" a="1"/>
  <c r="BN126" i="102"/>
  <c r="BS336" i="102"/>
  <c r="EC128" i="93" a="1"/>
  <c r="CC82" i="102" a="1"/>
  <c r="DY142" i="93"/>
  <c r="BI47" i="93" a="1"/>
  <c r="CD317" i="102"/>
  <c r="BI82" i="93" a="1"/>
  <c r="BM81" i="93"/>
  <c r="DR127" i="93"/>
  <c r="DR119" i="102"/>
  <c r="DX13" i="93"/>
  <c r="DI45" i="102"/>
  <c r="BZ82" i="102" a="1"/>
  <c r="CE311" i="93"/>
  <c r="BV257" i="102" a="1"/>
  <c r="BZ126" i="93"/>
  <c r="BL81" i="102"/>
  <c r="CD300" i="93"/>
  <c r="CF301" i="102" a="1"/>
  <c r="BM386" i="102"/>
  <c r="O71" i="93" a="1"/>
  <c r="EJ105" i="102"/>
  <c r="DH106" i="102" a="1"/>
  <c r="CD301" i="102" a="1"/>
  <c r="BM166" i="93" a="1"/>
  <c r="BJ47" i="102" a="1"/>
  <c r="DR168" i="93"/>
  <c r="N77" i="93" a="1"/>
  <c r="DI28" i="102"/>
  <c r="BT336" i="102"/>
  <c r="BO127" i="93" a="1"/>
  <c r="DI42" i="93"/>
  <c r="P83" i="93" a="1"/>
  <c r="DL200" i="102"/>
  <c r="DR170" i="93"/>
  <c r="CH205" i="93"/>
  <c r="CC82" i="93" a="1"/>
  <c r="BQ378" i="102"/>
  <c r="CD314" i="93"/>
  <c r="BK256" i="102"/>
  <c r="BI29" i="93" a="1"/>
  <c r="EH6" i="93"/>
  <c r="DU106" i="102" a="1"/>
  <c r="Q87" i="93" a="1"/>
  <c r="BG82" i="93" a="1"/>
  <c r="BK256" i="93"/>
  <c r="BJ172" i="102"/>
  <c r="EH143" i="93"/>
  <c r="EH144" i="102"/>
  <c r="BT336" i="93"/>
  <c r="DL199" i="93"/>
  <c r="BV256" i="93"/>
  <c r="BX336" i="93"/>
  <c r="BR371" i="102" a="1"/>
  <c r="BI205" i="93"/>
  <c r="BJ189" i="93"/>
  <c r="BZ126" i="102"/>
  <c r="BS165" i="93"/>
  <c r="ED105" i="102"/>
  <c r="R93" i="93" a="1"/>
  <c r="BN387" i="102" a="1"/>
  <c r="CF310" i="102"/>
  <c r="EB6" i="93"/>
  <c r="BH81" i="93"/>
  <c r="DY144" i="102"/>
  <c r="M66" i="93" a="1"/>
  <c r="BI21" i="93" a="1"/>
  <c r="DJ6" i="102" a="1"/>
  <c r="BH81" i="102"/>
  <c r="EC144" i="93"/>
  <c r="BM88" i="93"/>
  <c r="DS169" i="93"/>
  <c r="CF314" i="93"/>
  <c r="DM127" i="93"/>
  <c r="BU387" i="102" a="1"/>
  <c r="BJ82" i="93" a="1"/>
  <c r="CD256" i="102"/>
  <c r="BI256" i="93"/>
  <c r="EA142" i="93"/>
  <c r="BH47" i="93" a="1"/>
  <c r="DV7" i="93" a="1"/>
  <c r="CE334" i="102" a="1"/>
  <c r="BZ166" i="93" a="1"/>
  <c r="ED145" i="102"/>
  <c r="DJ17" i="102" a="1"/>
  <c r="CE256" i="102"/>
  <c r="BP378" i="102"/>
  <c r="EG143" i="102"/>
  <c r="DK119" i="102"/>
  <c r="BP47" i="93" a="1"/>
  <c r="CD47" i="93" a="1"/>
  <c r="P74" i="93" a="1"/>
  <c r="R67" i="93" a="1"/>
  <c r="BV370" i="93"/>
  <c r="DI30" i="93"/>
  <c r="DJ53" i="102" a="1"/>
  <c r="DP127" i="102"/>
  <c r="EC127" i="93"/>
  <c r="BH82" i="102" a="1"/>
  <c r="CD336" i="102" a="1"/>
  <c r="BK263" i="93"/>
  <c r="BO82" i="93" a="1"/>
  <c r="BL370" i="102"/>
  <c r="DI19" i="93"/>
  <c r="ED144" i="93"/>
  <c r="BJ82" i="102" a="1"/>
  <c r="DR105" i="102"/>
  <c r="R66" i="93" a="1"/>
  <c r="BL212" i="102"/>
  <c r="BW46" i="102"/>
  <c r="DP105" i="102"/>
  <c r="DS127" i="93"/>
  <c r="DJ32" i="102" a="1"/>
  <c r="Q48" i="93" a="1"/>
  <c r="BT205" i="102"/>
  <c r="DI52" i="93"/>
  <c r="EB145" i="102"/>
  <c r="DO127" i="102"/>
  <c r="EH141" i="102"/>
  <c r="Q42" i="93" a="1"/>
  <c r="CD312" i="93"/>
  <c r="DQ7" i="102" a="1"/>
  <c r="M71" i="93" a="1"/>
  <c r="BI378" i="93"/>
  <c r="CD336" i="93" a="1"/>
  <c r="DZ127" i="93"/>
  <c r="CE314" i="102"/>
  <c r="BY166" i="93" a="1"/>
  <c r="BX300" i="93"/>
  <c r="BJ4" i="72" a="1"/>
  <c r="BW127" i="102" a="1"/>
  <c r="BZ206" i="102" a="1"/>
  <c r="P85" i="93" a="1"/>
  <c r="DH106" i="93" a="1"/>
  <c r="DP7" i="102" a="1"/>
  <c r="BI256" i="102"/>
  <c r="BP257" i="102" a="1"/>
  <c r="EA13" i="102"/>
  <c r="EC145" i="102"/>
  <c r="DY106" i="93" a="1"/>
  <c r="DZ148" i="102"/>
  <c r="BP371" i="93" a="1"/>
  <c r="BV300" i="102"/>
  <c r="P92" i="93" a="1"/>
  <c r="CA206" i="102" a="1"/>
  <c r="BL263" i="93"/>
  <c r="DI55" i="93"/>
  <c r="DQ7" i="93" a="1"/>
  <c r="BO81" i="102"/>
  <c r="DO120" i="93" a="1"/>
  <c r="CB301" i="93" a="1"/>
  <c r="BL133" i="102"/>
  <c r="BM172" i="93"/>
  <c r="EJ6" i="102"/>
  <c r="Q84" i="93" a="1"/>
  <c r="CC256" i="93"/>
  <c r="DI23" i="93"/>
  <c r="BN263" i="93"/>
  <c r="CB47" i="102" a="1"/>
  <c r="O80" i="93" a="1"/>
  <c r="BO257" i="102" a="1"/>
  <c r="BJ360" i="102" a="1"/>
  <c r="BI24" i="93" a="1"/>
  <c r="CO256" i="93"/>
  <c r="BK172" i="93"/>
  <c r="EB106" i="102" a="1"/>
  <c r="BJ89" i="93"/>
  <c r="BS378" i="93"/>
  <c r="BT335" i="102"/>
  <c r="BJ387" i="102" a="1"/>
  <c r="EB144" i="102"/>
  <c r="DZ147" i="93"/>
  <c r="DR172" i="102"/>
  <c r="L77" i="93" a="1"/>
  <c r="DX6" i="102"/>
  <c r="BT256" i="93"/>
  <c r="N90" i="93" a="1"/>
  <c r="CE386" i="102"/>
  <c r="BM82" i="102" a="1"/>
  <c r="DI8" i="93"/>
  <c r="L93" i="93" a="1"/>
  <c r="BO263" i="93"/>
  <c r="Q66" i="93" a="1"/>
  <c r="BK172" i="102"/>
  <c r="EH148" i="93"/>
  <c r="DI31" i="102"/>
  <c r="BJ133" i="102"/>
  <c r="O75" i="93" a="1"/>
  <c r="DI29" i="102"/>
  <c r="DP119" i="93"/>
  <c r="DO128" i="102" a="1"/>
  <c r="EA6" i="102"/>
  <c r="EC128" i="102" a="1"/>
  <c r="EB148" i="93"/>
  <c r="BO371" i="93" a="1"/>
  <c r="DZ144" i="102"/>
  <c r="BK205" i="102"/>
  <c r="DJ51" i="102" a="1"/>
  <c r="CD257" i="102" a="1"/>
  <c r="DR7" i="93" a="1"/>
  <c r="DZ142" i="93"/>
  <c r="BK300" i="93"/>
  <c r="BR166" i="93" a="1"/>
  <c r="BJ81" i="93"/>
  <c r="EN143" i="102"/>
  <c r="EC13" i="102"/>
  <c r="CA333" i="93" a="1"/>
  <c r="ED147" i="93"/>
  <c r="BW82" i="93" a="1"/>
  <c r="DS106" i="102" a="1"/>
  <c r="CB126" i="102"/>
  <c r="BB233" i="93"/>
  <c r="DJ55" i="102" a="1"/>
  <c r="DZ128" i="93" a="1"/>
  <c r="BT81" i="93"/>
  <c r="DX13" i="102"/>
  <c r="BJ27" i="93" a="1"/>
  <c r="P72" i="93" a="1"/>
  <c r="Q77" i="93" a="1"/>
  <c r="BU300" i="102"/>
  <c r="DL106" i="93" a="1"/>
  <c r="DS13" i="102"/>
  <c r="DI48" i="93"/>
  <c r="BL387" i="102" a="1"/>
  <c r="CC205" i="93"/>
  <c r="BR206" i="102" a="1"/>
  <c r="BR370" i="102"/>
  <c r="DI51" i="102"/>
  <c r="BH46" i="93"/>
  <c r="BW206" i="102" a="1"/>
  <c r="BQ256" i="93"/>
  <c r="BK134" i="93"/>
  <c r="DJ55" i="93" a="1"/>
  <c r="BH126" i="93"/>
  <c r="DH113" i="102" a="1"/>
  <c r="BK88" i="102"/>
  <c r="BZ47" i="93" a="1"/>
  <c r="DR127" i="102"/>
  <c r="BZ256" i="102"/>
  <c r="EN146" i="102"/>
  <c r="DM199" i="102"/>
  <c r="EG145" i="93"/>
  <c r="DJ27" i="102" a="1"/>
  <c r="DI10" i="102"/>
  <c r="DM204" i="93"/>
  <c r="BN205" i="102"/>
  <c r="DG135" i="93"/>
  <c r="BS386" i="102"/>
  <c r="CD311" i="93"/>
  <c r="CC386" i="102"/>
  <c r="BM173" i="102"/>
  <c r="BI301" i="93" a="1"/>
  <c r="DU7" i="93" a="1"/>
  <c r="DZ158" i="93" a="1"/>
  <c r="DT128" i="102" a="1"/>
  <c r="CE256" i="93"/>
  <c r="DI106" i="102" a="1"/>
  <c r="BY386" i="93"/>
  <c r="CH300" i="102"/>
  <c r="BN206" i="102" a="1"/>
  <c r="CA205" i="93"/>
  <c r="EB127" i="93"/>
  <c r="CM256" i="102"/>
  <c r="BT212" i="102"/>
  <c r="DO220" i="102" a="1"/>
  <c r="EG148" i="93"/>
  <c r="BQ126" i="93"/>
  <c r="Q91" i="93" a="1"/>
  <c r="DR174" i="102"/>
  <c r="BI387" i="102" a="1"/>
  <c r="CD309" i="93"/>
  <c r="Q49" i="93" a="1"/>
  <c r="DJ136" i="102" a="1"/>
  <c r="P93" i="93" a="1"/>
  <c r="EA128" i="93" a="1"/>
  <c r="BK309" i="102" a="1"/>
  <c r="Q36" i="93" a="1"/>
  <c r="BY257" i="102" a="1"/>
  <c r="BF47" i="93" a="1"/>
  <c r="BW212" i="102"/>
  <c r="DI35" i="102"/>
  <c r="BR379" i="93" a="1"/>
  <c r="M65" i="93" a="1"/>
  <c r="BI386" i="93"/>
  <c r="CK300" i="102"/>
  <c r="BK127" i="102" a="1"/>
  <c r="BP378" i="93"/>
  <c r="BK165" i="93"/>
  <c r="M68" i="93" a="1"/>
  <c r="DI15" i="93"/>
  <c r="BU300" i="93"/>
  <c r="L83" i="93" a="1"/>
  <c r="BM212" i="93"/>
  <c r="BQ378" i="93"/>
  <c r="BY82" i="93" a="1"/>
  <c r="BH127" i="93" a="1"/>
  <c r="L88" i="93" a="1"/>
  <c r="I45" i="93"/>
  <c r="BX256" i="93"/>
  <c r="N91" i="93" a="1"/>
  <c r="BX336" i="102"/>
  <c r="DS170" i="93"/>
  <c r="BJ309" i="93" a="1"/>
  <c r="Q47" i="93" a="1"/>
  <c r="Q86" i="93" a="1"/>
  <c r="DJ13" i="102" a="1"/>
  <c r="BQ387" i="93" a="1"/>
  <c r="CE206" i="102" a="1"/>
  <c r="EB145" i="93"/>
  <c r="EM141" i="102"/>
  <c r="M67" i="93" a="1"/>
  <c r="BQ46" i="102"/>
  <c r="BW300" i="102"/>
  <c r="DJ7" i="93" a="1"/>
  <c r="DI36" i="102"/>
  <c r="DG105" i="93"/>
  <c r="EA145" i="93"/>
  <c r="DY144" i="93"/>
  <c r="DJ47" i="93" a="1"/>
  <c r="BG47" i="93" a="1"/>
  <c r="CC334" i="93" a="1"/>
  <c r="DP7" i="93" a="1"/>
  <c r="BO46" i="93"/>
  <c r="L65" i="93" a="1"/>
  <c r="CJ300" i="93"/>
  <c r="DS171" i="102"/>
  <c r="CE301" i="93" a="1"/>
  <c r="EK7" i="93" a="1"/>
  <c r="DQ6" i="102"/>
  <c r="BJ230" i="93"/>
  <c r="R52" i="93" a="1"/>
  <c r="BP206" i="93" a="1"/>
  <c r="BN127" i="102" a="1"/>
  <c r="BM387" i="102" a="1"/>
  <c r="CA257" i="102" a="1"/>
  <c r="R79" i="93" a="1"/>
  <c r="BR165" i="93"/>
  <c r="DI136" i="93" a="1"/>
  <c r="EJ7" i="102" a="1"/>
  <c r="BP166" i="93" a="1"/>
  <c r="BS370" i="93"/>
  <c r="CO256" i="102"/>
  <c r="CB81" i="102"/>
  <c r="CB333" i="93" a="1"/>
  <c r="DS174" i="102"/>
  <c r="CD46" i="93"/>
  <c r="BX127" i="93" a="1"/>
  <c r="EA127" i="93"/>
  <c r="DQ13" i="93"/>
  <c r="Q45" i="93" a="1"/>
  <c r="CH205" i="102"/>
  <c r="DI17" i="93"/>
  <c r="BU82" i="93" a="1"/>
  <c r="ED141" i="93"/>
  <c r="DI105" i="93"/>
  <c r="BL309" i="93" a="1"/>
  <c r="DI18" i="102"/>
  <c r="EM148" i="102"/>
  <c r="ED6" i="102"/>
  <c r="DO6" i="93"/>
  <c r="DZ156" i="93" a="1"/>
  <c r="CD386" i="93"/>
  <c r="BQ81" i="102"/>
  <c r="BM134" i="93"/>
  <c r="CD335" i="102" a="1"/>
  <c r="BJ263" i="93"/>
  <c r="BL172" i="102"/>
  <c r="R42" i="93" a="1"/>
  <c r="BR301" i="102" a="1"/>
  <c r="CK256" i="93"/>
  <c r="DJ15" i="102" a="1"/>
  <c r="EG6" i="93"/>
  <c r="DO105" i="93"/>
  <c r="BV371" i="102" a="1"/>
  <c r="DY141" i="102"/>
  <c r="R74" i="93" a="1"/>
  <c r="EI6" i="102"/>
  <c r="BS47" i="102" a="1"/>
  <c r="CP257" i="102" a="1"/>
  <c r="CB300" i="93"/>
  <c r="DJ52" i="93" a="1"/>
  <c r="BM172" i="102"/>
  <c r="EA106" i="93" a="1"/>
  <c r="BR301" i="93" a="1"/>
  <c r="DG135" i="102"/>
  <c r="EA146" i="102"/>
  <c r="CD333" i="93" a="1"/>
  <c r="DY146" i="93"/>
  <c r="CE308" i="93"/>
  <c r="CL301" i="93" a="1"/>
  <c r="CC81" i="102"/>
  <c r="BV301" i="102" a="1"/>
  <c r="R38" i="93" a="1"/>
  <c r="CA46" i="102"/>
  <c r="BK378" i="93"/>
  <c r="DN204" i="93"/>
  <c r="BT206" i="93" a="1"/>
  <c r="BX301" i="93" a="1"/>
  <c r="BT334" i="93"/>
  <c r="M85" i="93" a="1"/>
  <c r="CA334" i="93" a="1"/>
  <c r="CE317" i="93"/>
  <c r="BP370" i="93"/>
  <c r="Q44" i="93" a="1"/>
  <c r="BK89" i="102"/>
  <c r="DJ18" i="93" a="1"/>
  <c r="BJ232" i="102" a="1"/>
  <c r="L80" i="93" a="1"/>
  <c r="BK316" i="93"/>
  <c r="DR174" i="93"/>
  <c r="BU81" i="102"/>
  <c r="BN378" i="102"/>
  <c r="DV127" i="102"/>
  <c r="BP205" i="93"/>
  <c r="BT165" i="93"/>
  <c r="EC6" i="93"/>
  <c r="H19" i="93"/>
  <c r="BJ237" i="102"/>
  <c r="DT120" i="102" a="1"/>
  <c r="BT333" i="102"/>
  <c r="DJ127" i="102"/>
  <c r="DJ36" i="102" a="1"/>
  <c r="DY159" i="93" a="1"/>
  <c r="BJ232" i="93" a="1"/>
  <c r="EG147" i="102"/>
  <c r="R78" i="93" a="1"/>
  <c r="BQ386" i="93"/>
  <c r="EE6" i="102"/>
  <c r="BM88" i="102"/>
  <c r="O83" i="93" a="1"/>
  <c r="CE313" i="93"/>
  <c r="DI9" i="102"/>
  <c r="BS127" i="102" a="1"/>
  <c r="O65" i="93" a="1"/>
  <c r="CB82" i="93" a="1"/>
  <c r="DJ28" i="93" a="1"/>
  <c r="P87" i="93" a="1"/>
  <c r="M79" i="93" a="1"/>
  <c r="DO222" i="102" a="1"/>
  <c r="BR370" i="93"/>
  <c r="DW127" i="93"/>
  <c r="DJ41" i="102" a="1"/>
  <c r="BX47" i="93" a="1"/>
  <c r="DU7" i="102" a="1"/>
  <c r="BJ88" i="102"/>
  <c r="BP212" i="93"/>
  <c r="N75" i="93" a="1"/>
  <c r="M94" i="93" a="1"/>
  <c r="DW13" i="102"/>
  <c r="DL106" i="102" a="1"/>
  <c r="DJ45" i="102" a="1"/>
  <c r="CL205" i="102"/>
  <c r="DJ10" i="93" a="1"/>
  <c r="BO387" i="102" a="1"/>
  <c r="Q76" i="93" a="1"/>
  <c r="CE336" i="93" a="1"/>
  <c r="DS13" i="93"/>
  <c r="DJ39" i="102" a="1"/>
  <c r="DV6" i="102"/>
  <c r="BW256" i="93"/>
  <c r="BK370" i="93"/>
  <c r="BI370" i="93"/>
  <c r="BK47" i="102" a="1"/>
  <c r="EI106" i="102" a="1"/>
  <c r="DL105" i="93"/>
  <c r="DT105" i="102"/>
  <c r="EG143" i="93"/>
  <c r="CM300" i="102"/>
  <c r="BW47" i="102" a="1"/>
  <c r="BI28" i="93" a="1"/>
  <c r="BR212" i="102"/>
  <c r="CF317" i="102"/>
  <c r="CB333" i="102" a="1"/>
  <c r="BN88" i="102"/>
  <c r="DK135" i="93"/>
  <c r="P84" i="93" a="1"/>
  <c r="CP256" i="93"/>
  <c r="M90" i="93" a="1"/>
  <c r="P94" i="93" a="1"/>
  <c r="CM257" i="93" a="1"/>
  <c r="BJ17" i="93" a="1"/>
  <c r="BJ301" i="102" a="1"/>
  <c r="CG205" i="102"/>
  <c r="DW105" i="93"/>
  <c r="BP165" i="93"/>
  <c r="BJ46" i="102"/>
  <c r="L79" i="93" a="1"/>
  <c r="CE46" i="102"/>
  <c r="BQ257" i="102" a="1"/>
  <c r="EB143" i="102"/>
  <c r="EA141" i="93"/>
  <c r="BJ5" i="72" a="1"/>
  <c r="CB300" i="102"/>
  <c r="DV105" i="102"/>
  <c r="BJ166" i="93" a="1"/>
  <c r="BJ405" i="93"/>
  <c r="DO136" i="102" a="1"/>
  <c r="DM200" i="93"/>
  <c r="BU126" i="102"/>
  <c r="BV300" i="93"/>
  <c r="BK370" i="102"/>
  <c r="CB336" i="93" a="1"/>
  <c r="DO105" i="102"/>
  <c r="CD300" i="102"/>
  <c r="DJ29" i="102" a="1"/>
  <c r="O85" i="93" a="1"/>
  <c r="BS333" i="102"/>
  <c r="DJ37" i="93" a="1"/>
  <c r="CM205" i="93"/>
  <c r="CA335" i="102" a="1"/>
  <c r="DI32" i="93"/>
  <c r="BP127" i="93" a="1"/>
  <c r="BJ281" i="93"/>
  <c r="BT371" i="93" a="1"/>
  <c r="ED6" i="93"/>
  <c r="BZ82" i="93" a="1"/>
  <c r="DJ44" i="102" a="1"/>
  <c r="DG128" i="102" a="1"/>
  <c r="R76" i="93" a="1"/>
  <c r="EK6" i="93"/>
  <c r="BJ127" i="93" a="1"/>
  <c r="M92" i="93" a="1"/>
  <c r="CF314" i="102"/>
  <c r="DN120" i="93" a="1"/>
  <c r="DK105" i="102"/>
  <c r="CL300" i="93"/>
  <c r="BN378" i="93"/>
  <c r="BW212" i="93"/>
  <c r="EH145" i="93"/>
  <c r="CC333" i="93" a="1"/>
  <c r="DJ30" i="93" a="1"/>
  <c r="CL205" i="93"/>
  <c r="BW386" i="93"/>
  <c r="BS206" i="93" a="1"/>
  <c r="BL127" i="93" a="1"/>
  <c r="DY147" i="102"/>
  <c r="BU333" i="93"/>
  <c r="DI39" i="93"/>
  <c r="BY300" i="102"/>
  <c r="DJ54" i="102" a="1"/>
  <c r="BN370" i="93"/>
  <c r="I44" i="93"/>
  <c r="BO301" i="102" a="1"/>
  <c r="L94" i="93" a="1"/>
  <c r="EN145" i="102"/>
  <c r="BT166" i="93" a="1"/>
  <c r="P75" i="93" a="1"/>
  <c r="DG120" i="93" a="1"/>
  <c r="BV334" i="93"/>
  <c r="DW105" i="102"/>
  <c r="N81" i="93" a="1"/>
  <c r="CA386" i="93"/>
  <c r="CE317" i="102"/>
  <c r="DM204" i="102"/>
  <c r="DJ20" i="93" a="1"/>
  <c r="EM147" i="102"/>
  <c r="BJ28" i="93" a="1"/>
  <c r="BN257" i="102" a="1"/>
  <c r="M87" i="93" a="1"/>
  <c r="O92" i="93" a="1"/>
  <c r="DZ7" i="93" a="1"/>
  <c r="AC35" i="72" a="1"/>
  <c r="AC7" i="72" a="1"/>
  <c r="AC24" i="72" a="1"/>
  <c r="CF335" i="93" a="1"/>
  <c r="DJ50" i="93" a="1"/>
  <c r="P71" i="93" a="1"/>
  <c r="BZ406" i="72" a="1"/>
  <c r="AC33" i="72" a="1"/>
  <c r="CA335" i="93" a="1"/>
  <c r="AC39" i="72" a="1"/>
  <c r="AC26" i="72" a="1"/>
  <c r="BT335" i="93"/>
  <c r="CH165" i="93"/>
  <c r="BX334" i="102"/>
  <c r="EB7" i="93" a="1"/>
  <c r="EH146" i="93"/>
  <c r="BI52" i="93"/>
  <c r="R86" i="93" a="1"/>
  <c r="O67" i="93" a="1"/>
  <c r="DM200" i="102"/>
  <c r="BY256" i="93"/>
  <c r="CK257" i="102" a="1"/>
  <c r="BY301" i="102" a="1"/>
  <c r="BT378" i="102"/>
  <c r="DJ105" i="102"/>
  <c r="BI308" i="102"/>
  <c r="AC13" i="72" a="1"/>
  <c r="DI31" i="93"/>
  <c r="EH146" i="102"/>
  <c r="DJ46" i="93" a="1"/>
  <c r="Q83" i="93" a="1"/>
  <c r="EI105" i="102"/>
  <c r="ED7" i="102" a="1"/>
  <c r="CA47" i="102" a="1"/>
  <c r="BI172" i="93"/>
  <c r="R44" i="93" a="1"/>
  <c r="DQ13" i="102"/>
  <c r="DW127" i="102"/>
  <c r="BJ281" i="102"/>
  <c r="DW7" i="93" a="1"/>
  <c r="DY155" i="93" a="1"/>
  <c r="BM133" i="102"/>
  <c r="BW126" i="102"/>
  <c r="BU301" i="102" a="1"/>
  <c r="CF309" i="93"/>
  <c r="BV335" i="102"/>
  <c r="BJ360" i="93" a="1"/>
  <c r="AC16" i="72" a="1"/>
  <c r="BL300" i="102"/>
  <c r="DG112" i="102"/>
  <c r="BH31" i="93" a="1"/>
  <c r="CG166" i="102" a="1"/>
  <c r="DI52" i="102"/>
  <c r="BZ46" i="102"/>
  <c r="BV256" i="102"/>
  <c r="L92" i="93" a="1"/>
  <c r="BR205" i="102"/>
  <c r="DI36" i="93"/>
  <c r="DN128" i="93" a="1"/>
  <c r="AC25" i="72" a="1"/>
  <c r="BL378" i="93"/>
  <c r="BM127" i="93" a="1"/>
  <c r="CF334" i="93" a="1"/>
  <c r="EL6" i="102"/>
  <c r="EG145" i="102"/>
  <c r="BM47" i="102" a="1"/>
  <c r="BO370" i="102"/>
  <c r="EB128" i="93" a="1"/>
  <c r="R34" i="93" a="1"/>
  <c r="DI27" i="102"/>
  <c r="BU205" i="93"/>
  <c r="ED148" i="93"/>
  <c r="CJ256" i="102"/>
  <c r="BH21" i="93" a="1"/>
  <c r="CL257" i="93" a="1"/>
  <c r="BX205" i="102"/>
  <c r="EH143" i="102"/>
  <c r="BJ173" i="102"/>
  <c r="DO120" i="102" a="1"/>
  <c r="BV386" i="93"/>
  <c r="BZ165" i="93"/>
  <c r="M74" i="93" a="1"/>
  <c r="CG256" i="93"/>
  <c r="CP206" i="93" a="1"/>
  <c r="DO218" i="102" a="1"/>
  <c r="BJ26" i="93" a="1"/>
  <c r="DI38" i="102"/>
  <c r="BX205" i="93"/>
  <c r="CA301" i="93" a="1"/>
  <c r="BQ300" i="93"/>
  <c r="BV336" i="93"/>
  <c r="BJ172" i="93"/>
  <c r="BQ82" i="93" a="1"/>
  <c r="DJ119" i="93"/>
  <c r="BI378" i="102"/>
  <c r="BI263" i="102"/>
  <c r="L87" i="93" a="1"/>
  <c r="DJ12" i="93" a="1"/>
  <c r="N86" i="93" a="1"/>
  <c r="EK6" i="102"/>
  <c r="CE312" i="93"/>
  <c r="DL120" i="102" a="1"/>
  <c r="DW128" i="93" a="1"/>
  <c r="Q79" i="93" a="1"/>
  <c r="P68" i="93" a="1"/>
  <c r="DN223" i="102" a="1"/>
  <c r="BJ386" i="93"/>
  <c r="BM378" i="93"/>
  <c r="DX128" i="93" a="1"/>
  <c r="DR128" i="93" a="1"/>
  <c r="BX335" i="102"/>
  <c r="BT212" i="93"/>
  <c r="CL206" i="102" a="1"/>
  <c r="CH300" i="93"/>
  <c r="DV106" i="102" a="1"/>
  <c r="DZ153" i="93" a="1"/>
  <c r="BN81" i="102"/>
  <c r="R77" i="93" a="1"/>
  <c r="CI256" i="102"/>
  <c r="P86" i="93" a="1"/>
  <c r="EB128" i="102" a="1"/>
  <c r="R70" i="93" a="1"/>
  <c r="EL6" i="93"/>
  <c r="DI14" i="93"/>
  <c r="BL134" i="102"/>
  <c r="CF309" i="102"/>
  <c r="BH32" i="93" a="1"/>
  <c r="DI119" i="93"/>
  <c r="AC23" i="72" a="1"/>
  <c r="EN148" i="102"/>
  <c r="BJ81" i="102"/>
  <c r="BZ301" i="93" a="1"/>
  <c r="CE316" i="93"/>
  <c r="N76" i="93" a="1"/>
  <c r="CE165" i="93"/>
  <c r="BM173" i="93"/>
  <c r="DY6" i="102"/>
  <c r="CA300" i="93"/>
  <c r="DI21" i="102"/>
  <c r="BJ127" i="102" a="1"/>
  <c r="CB127" i="102" a="1"/>
  <c r="BW336" i="102"/>
  <c r="BV81" i="93"/>
  <c r="DS168" i="93"/>
  <c r="DW128" i="102" a="1"/>
  <c r="DZ160" i="102" a="1"/>
  <c r="DV13" i="102"/>
  <c r="DI44" i="93"/>
  <c r="J53" i="72" a="1"/>
  <c r="BH46" i="102"/>
  <c r="CF257" i="102" a="1"/>
  <c r="BJ405" i="102"/>
  <c r="BH28" i="93" a="1"/>
  <c r="BV386" i="102"/>
  <c r="BZ386" i="102"/>
  <c r="BU256" i="102"/>
  <c r="DO13" i="102"/>
  <c r="DL135" i="93"/>
  <c r="CC257" i="102" a="1"/>
  <c r="DN223" i="93" a="1"/>
  <c r="BF52" i="102"/>
  <c r="BK212" i="93"/>
  <c r="CI256" i="93"/>
  <c r="BX386" i="102"/>
  <c r="R53" i="93" a="1"/>
  <c r="BI32" i="93" a="1"/>
  <c r="AC5" i="72" a="1"/>
  <c r="CF317" i="93"/>
  <c r="DW6" i="102"/>
  <c r="BT379" i="93" a="1"/>
  <c r="BY81" i="93"/>
  <c r="Q69" i="93" a="1"/>
  <c r="CE301" i="102" a="1"/>
  <c r="AC19" i="72" a="1"/>
  <c r="CE313" i="102"/>
  <c r="BY165" i="93"/>
  <c r="N84" i="93" a="1"/>
  <c r="DR173" i="93"/>
  <c r="BJ288" i="102"/>
  <c r="R47" i="93" a="1"/>
  <c r="BJ23" i="93" a="1"/>
  <c r="BM127" i="102" a="1"/>
  <c r="CA386" i="102"/>
  <c r="BU205" i="102"/>
  <c r="H36" i="93" a="1"/>
  <c r="BV335" i="93"/>
  <c r="BN165" i="93"/>
  <c r="DT7" i="102" a="1"/>
  <c r="BM206" i="93" a="1"/>
  <c r="BY47" i="93" a="1"/>
  <c r="CB386" i="93"/>
  <c r="BK126" i="102"/>
  <c r="CM206" i="93" a="1"/>
  <c r="BQ371" i="102" a="1"/>
  <c r="BN46" i="93"/>
  <c r="BJ5" i="92" a="1"/>
  <c r="BV206" i="93" a="1"/>
  <c r="EB146" i="102"/>
  <c r="DT106" i="93" a="1"/>
  <c r="BI300" i="102"/>
  <c r="BK166" i="93" a="1"/>
  <c r="BW47" i="93" a="1"/>
  <c r="DH113" i="93" a="1"/>
  <c r="EC106" i="102" a="1"/>
  <c r="BJ301" i="93" a="1"/>
  <c r="BP46" i="102"/>
  <c r="BL205" i="93"/>
  <c r="CN256" i="93"/>
  <c r="DJ53" i="93" a="1"/>
  <c r="BJ21" i="93" a="1"/>
  <c r="DI33" i="102"/>
  <c r="DO200" i="102"/>
  <c r="BJ378" i="102"/>
  <c r="BR378" i="93"/>
  <c r="DN106" i="93" a="1"/>
  <c r="CF313" i="102"/>
  <c r="DI34" i="102"/>
  <c r="BX46" i="93"/>
  <c r="EA7" i="102" a="1"/>
  <c r="BX46" i="102"/>
  <c r="DG119" i="102"/>
  <c r="BO256" i="93"/>
  <c r="DP106" i="93" a="1"/>
  <c r="BL88" i="102"/>
  <c r="BL47" i="102" a="1"/>
  <c r="BN256" i="102"/>
  <c r="L68" i="93" a="1"/>
  <c r="BG46" i="102"/>
  <c r="EJ106" i="102" a="1"/>
  <c r="BV206" i="102" a="1"/>
  <c r="DO106" i="102" a="1"/>
  <c r="DS171" i="93"/>
  <c r="R89" i="93" a="1"/>
  <c r="P91" i="93" a="1"/>
  <c r="R49" i="93" a="1"/>
  <c r="CP206" i="102" a="1"/>
  <c r="BK300" i="102"/>
  <c r="I13" i="93"/>
  <c r="CC127" i="93"/>
  <c r="BN205" i="93"/>
  <c r="BO371" i="102" a="1"/>
  <c r="DS128" i="93" a="1"/>
  <c r="DR6" i="93"/>
  <c r="P88" i="93" a="1"/>
  <c r="BO47" i="102" a="1"/>
  <c r="DI15" i="102"/>
  <c r="P78" i="93" a="1"/>
  <c r="BL371" i="102" a="1"/>
  <c r="BJ6" i="92" a="1"/>
  <c r="BH13" i="93" a="1"/>
  <c r="DI33" i="93"/>
  <c r="BK378" i="102"/>
  <c r="CB334" i="102" a="1"/>
  <c r="DP6" i="102"/>
  <c r="N89" i="93" a="1"/>
  <c r="DG119" i="93"/>
  <c r="DI14" i="102"/>
  <c r="AC20" i="72" a="1"/>
  <c r="CD335" i="93" a="1"/>
  <c r="AC37" i="72" a="1"/>
  <c r="CB256" i="93"/>
  <c r="BI126" i="93"/>
  <c r="M83" i="93" a="1"/>
  <c r="BU212" i="93"/>
  <c r="BH23" i="93" a="1"/>
  <c r="CB46" i="102"/>
  <c r="BH14" i="93" a="1"/>
  <c r="BN46" i="102"/>
  <c r="BM256" i="102"/>
  <c r="EL7" i="93" a="1"/>
  <c r="BH127" i="102" a="1"/>
  <c r="M75" i="93" a="1"/>
  <c r="BS257" i="93" a="1"/>
  <c r="DO119" i="102"/>
  <c r="BS333" i="93"/>
  <c r="EE13" i="93"/>
  <c r="BK134" i="102"/>
  <c r="AC30" i="72" a="1"/>
  <c r="BN172" i="93"/>
  <c r="BU206" i="93" a="1"/>
  <c r="P69" i="93" a="1"/>
  <c r="CA257" i="93" a="1"/>
  <c r="EH141" i="93"/>
  <c r="BJ256" i="102"/>
  <c r="BU166" i="93" a="1"/>
  <c r="BO127" i="102" a="1"/>
  <c r="BI308" i="93"/>
  <c r="DS172" i="102"/>
  <c r="DZ148" i="93"/>
  <c r="EH105" i="102"/>
  <c r="DZ145" i="102"/>
  <c r="CC165" i="93"/>
  <c r="Q89" i="93" a="1"/>
  <c r="BK386" i="93"/>
  <c r="CD310" i="102"/>
  <c r="CE333" i="102" a="1"/>
  <c r="O76" i="93" a="1"/>
  <c r="BG88" i="93"/>
  <c r="DI37" i="102"/>
  <c r="CC335" i="93" a="1"/>
  <c r="BM263" i="102"/>
  <c r="BG13" i="93" a="1"/>
  <c r="CD317" i="93"/>
  <c r="DI127" i="93"/>
  <c r="BI387" i="93" a="1"/>
  <c r="DP127" i="93"/>
  <c r="CD386" i="102"/>
  <c r="EI6" i="93"/>
  <c r="AC34" i="72" a="1"/>
  <c r="CO205" i="93"/>
  <c r="I73" i="93"/>
  <c r="DO14" i="93" a="1"/>
  <c r="DH105" i="102"/>
  <c r="DH119" i="102"/>
  <c r="CF310" i="93"/>
  <c r="EC106" i="93" a="1"/>
  <c r="CE312" i="102"/>
  <c r="EC127" i="102"/>
  <c r="Q50" i="93" a="1"/>
  <c r="BL370" i="93"/>
  <c r="DY127" i="102"/>
  <c r="AC14" i="72" a="1"/>
  <c r="I46" i="93"/>
  <c r="DN205" i="102"/>
  <c r="CD310" i="93"/>
  <c r="I42" i="93"/>
  <c r="DY158" i="102" a="1"/>
  <c r="EC7" i="93" a="1"/>
  <c r="L67" i="93" a="1"/>
  <c r="BX257" i="102" a="1"/>
  <c r="BM378" i="102"/>
  <c r="CG166" i="93" a="1"/>
  <c r="CG387" i="102" a="1"/>
  <c r="BX165" i="93"/>
  <c r="CF206" i="102" a="1"/>
  <c r="DP13" i="93"/>
  <c r="EN147" i="102"/>
  <c r="DO220" i="93" a="1"/>
  <c r="BK387" i="93" a="1"/>
  <c r="CM256" i="93"/>
  <c r="BI127" i="102" a="1"/>
  <c r="Q82" i="93" a="1"/>
  <c r="CA387" i="93" a="1"/>
  <c r="BR46" i="102"/>
  <c r="CH166" i="93" a="1"/>
  <c r="BU257" i="93" a="1"/>
  <c r="BI30" i="93" a="1"/>
  <c r="BZ206" i="93" a="1"/>
  <c r="P76" i="93" a="1"/>
  <c r="CF166" i="102"/>
  <c r="Q53" i="93" a="1"/>
  <c r="BQ370" i="93"/>
  <c r="CE336" i="102" a="1"/>
  <c r="CC300" i="93"/>
  <c r="BM206" i="102" a="1"/>
  <c r="DI45" i="93"/>
  <c r="CB387" i="102" a="1"/>
  <c r="BJ230" i="102"/>
  <c r="DV105" i="93"/>
  <c r="BN127" i="93" a="1"/>
  <c r="BL386" i="93"/>
  <c r="DG113" i="93" a="1"/>
  <c r="BS212" i="102"/>
  <c r="CF333" i="102" a="1"/>
  <c r="N67" i="93" a="1"/>
  <c r="CE309" i="93"/>
  <c r="DS168" i="102"/>
  <c r="DY13" i="102"/>
  <c r="DQ119" i="102"/>
  <c r="DO14" i="102" a="1"/>
  <c r="I72" i="93"/>
  <c r="CD316" i="102"/>
  <c r="BJ32" i="93" a="1"/>
  <c r="DN200" i="102"/>
  <c r="DI24" i="102"/>
  <c r="CI300" i="102"/>
  <c r="DX106" i="93" a="1"/>
  <c r="BL134" i="93"/>
  <c r="BM387" i="93" a="1"/>
  <c r="DG105" i="102"/>
  <c r="BY300" i="93"/>
  <c r="DJ42" i="102" a="1"/>
  <c r="BO300" i="102"/>
  <c r="EG141" i="102"/>
  <c r="CE126" i="93"/>
  <c r="Q85" i="93" a="1"/>
  <c r="EH144" i="93"/>
  <c r="BM134" i="102"/>
  <c r="DI46" i="93"/>
  <c r="BP212" i="102"/>
  <c r="BT333" i="93"/>
  <c r="DZ13" i="93"/>
  <c r="CG257" i="102" a="1"/>
  <c r="BX335" i="93"/>
  <c r="AC10" i="72" a="1"/>
  <c r="AC18" i="72" a="1"/>
  <c r="P66" i="93" a="1"/>
  <c r="BI301" i="102" a="1"/>
  <c r="DZ105" i="93"/>
  <c r="CF312" i="102"/>
  <c r="R81" i="93" a="1"/>
  <c r="BL205" i="102"/>
  <c r="CA256" i="102"/>
  <c r="DI54" i="102"/>
  <c r="CG386" i="93"/>
  <c r="EE7" i="102" a="1"/>
  <c r="BM300" i="102"/>
  <c r="DI26" i="102"/>
  <c r="EH147" i="93"/>
  <c r="BI88" i="93"/>
  <c r="EG147" i="93"/>
  <c r="EE7" i="93" a="1"/>
  <c r="BT257" i="102" a="1"/>
  <c r="DO127" i="93"/>
  <c r="DS170" i="102"/>
  <c r="DZ153" i="102" a="1"/>
  <c r="BL212" i="93"/>
  <c r="AC6" i="72" a="1"/>
  <c r="BS46" i="102"/>
  <c r="DJ25" i="93" a="1"/>
  <c r="CD334" i="93" a="1"/>
  <c r="CF256" i="102"/>
  <c r="ED143" i="102"/>
  <c r="DW13" i="93"/>
  <c r="DL120" i="93" a="1"/>
  <c r="DT7" i="93" a="1"/>
  <c r="DL205" i="102"/>
  <c r="CD256" i="93"/>
  <c r="EC146" i="102"/>
  <c r="DJ47" i="102" a="1"/>
  <c r="DP105" i="93"/>
  <c r="EA144" i="102"/>
  <c r="BP301" i="93" a="1"/>
  <c r="BJ205" i="93"/>
  <c r="BN387" i="93" a="1"/>
  <c r="BU379" i="102" a="1"/>
  <c r="BJ16" i="93" a="1"/>
  <c r="L85" i="93" a="1"/>
  <c r="BU335" i="93"/>
  <c r="AC22" i="72" a="1"/>
  <c r="M77" i="93" a="1"/>
  <c r="CF333" i="93" a="1"/>
  <c r="DR169" i="93"/>
  <c r="BT257" i="93" a="1"/>
  <c r="BT386" i="102"/>
  <c r="EC105" i="93"/>
  <c r="CE335" i="93" a="1"/>
  <c r="CE257" i="102" a="1"/>
  <c r="O70" i="93" a="1"/>
  <c r="DL204" i="93"/>
  <c r="BG46" i="93"/>
  <c r="BI309" i="102" a="1"/>
  <c r="DR175" i="93"/>
  <c r="DN119" i="93"/>
  <c r="BZ401" i="72" a="1"/>
  <c r="CC206" i="93" a="1"/>
  <c r="BU257" i="102" a="1"/>
  <c r="BX387" i="102" a="1"/>
  <c r="BL47" i="93" a="1"/>
  <c r="EB105" i="93"/>
  <c r="DJ43" i="93" a="1"/>
  <c r="CC47" i="102"/>
  <c r="CA82" i="93"/>
  <c r="EB141" i="93"/>
  <c r="BI16" i="93" a="1"/>
  <c r="R37" i="93" a="1"/>
  <c r="Q81" i="93" a="1"/>
  <c r="BN126" i="93"/>
  <c r="BZ386" i="93"/>
  <c r="BL300" i="93"/>
  <c r="DS6" i="102"/>
  <c r="DI106" i="93" a="1"/>
  <c r="BJ308" i="93"/>
  <c r="DI50" i="93"/>
  <c r="BP46" i="93"/>
  <c r="DZ146" i="93"/>
  <c r="BZ400" i="72" a="1"/>
  <c r="BQ47" i="93" a="1"/>
  <c r="BS371" i="93" a="1"/>
  <c r="BP126" i="93"/>
  <c r="BH19" i="93" a="1"/>
  <c r="DH127" i="102"/>
  <c r="CF387" i="102" a="1"/>
  <c r="DJ16" i="102" a="1"/>
  <c r="DN127" i="93"/>
  <c r="BX333" i="102"/>
  <c r="Q37" i="93" a="1"/>
  <c r="I69" i="93"/>
  <c r="ED145" i="93"/>
  <c r="DU127" i="102"/>
  <c r="BX301" i="102" a="1"/>
  <c r="DZ159" i="93" a="1"/>
  <c r="DX7" i="102" a="1"/>
  <c r="DJ32" i="93" a="1"/>
  <c r="CC206" i="102" a="1"/>
  <c r="DY156" i="102" a="1"/>
  <c r="BN263" i="102"/>
  <c r="EC141" i="102"/>
  <c r="BS81" i="93"/>
  <c r="CE166" i="93" a="1"/>
  <c r="CA300" i="102"/>
  <c r="CB336" i="102" a="1"/>
  <c r="BM47" i="93" a="1"/>
  <c r="DS6" i="93"/>
  <c r="BX127" i="102" a="1"/>
  <c r="BZ257" i="93" a="1"/>
  <c r="BS387" i="93" a="1"/>
  <c r="BY257" i="93" a="1"/>
  <c r="CA166" i="93" a="1"/>
  <c r="CC333" i="102" a="1"/>
  <c r="DU105" i="93"/>
  <c r="DY128" i="93" a="1"/>
  <c r="BJ291" i="102"/>
  <c r="DN222" i="102" a="1"/>
  <c r="CA387" i="102" a="1"/>
  <c r="CJ301" i="93" a="1"/>
  <c r="DN106" i="102" a="1"/>
  <c r="DK105" i="93"/>
  <c r="CG205" i="93"/>
  <c r="EC13" i="93"/>
  <c r="EH147" i="102"/>
  <c r="DI23" i="102"/>
  <c r="EG105" i="93"/>
  <c r="EF105" i="93"/>
  <c r="BV212" i="93"/>
  <c r="CA165" i="93"/>
  <c r="BI31" i="93" a="1"/>
  <c r="Q93" i="93" a="1"/>
  <c r="DI27" i="93"/>
  <c r="BZ127" i="93" a="1"/>
  <c r="BQ165" i="93"/>
  <c r="BO46" i="102"/>
  <c r="DU128" i="93" a="1"/>
  <c r="BV212" i="102"/>
  <c r="J54" i="72" a="1"/>
  <c r="AC21" i="72" a="1"/>
  <c r="AC9" i="72" a="1"/>
  <c r="AC40" i="72" a="1"/>
  <c r="BT46" i="93"/>
  <c r="DM127" i="102"/>
  <c r="DJ26" i="102" a="1"/>
  <c r="O77" i="93" a="1"/>
  <c r="EF105" i="102"/>
  <c r="BO378" i="93"/>
  <c r="CB165" i="93"/>
  <c r="BV82" i="102" a="1"/>
  <c r="DO7" i="93" a="1"/>
  <c r="BJ13" i="93" a="1"/>
  <c r="R43" i="93" a="1"/>
  <c r="CB206" i="102" a="1"/>
  <c r="AC8" i="72" a="1"/>
  <c r="AC32" i="72" a="1"/>
  <c r="N79" i="93" a="1"/>
  <c r="EB143" i="93"/>
  <c r="BS378" i="102"/>
  <c r="EF6" i="102"/>
  <c r="EB127" i="102"/>
  <c r="EC145" i="93"/>
  <c r="DJ135" i="102"/>
  <c r="BT371" i="102" a="1"/>
  <c r="DK106" i="102" a="1"/>
  <c r="O82" i="93" a="1"/>
  <c r="DY141" i="93"/>
  <c r="CN205" i="93"/>
  <c r="DO223" i="93" a="1"/>
  <c r="DN128" i="102" a="1"/>
  <c r="DP6" i="93"/>
  <c r="BJ134" i="102"/>
  <c r="BV205" i="102"/>
  <c r="DR171" i="102"/>
  <c r="CC47" i="93"/>
  <c r="EA143" i="93"/>
  <c r="DI6" i="93"/>
  <c r="BK133" i="93"/>
  <c r="CC300" i="102"/>
  <c r="BW333" i="93"/>
  <c r="BI46" i="93"/>
  <c r="BU370" i="93"/>
  <c r="L70" i="93" a="1"/>
  <c r="BS166" i="93" a="1"/>
  <c r="BI127" i="93" a="1"/>
  <c r="CE314" i="93"/>
  <c r="DX7" i="93" a="1"/>
  <c r="EB7" i="102" a="1"/>
  <c r="DO199" i="93"/>
  <c r="BV126" i="93"/>
  <c r="CD205" i="102"/>
  <c r="Q52" i="93" a="1"/>
  <c r="BL378" i="102"/>
  <c r="CC336" i="102" a="1"/>
  <c r="CJ300" i="102"/>
  <c r="AC27" i="72" a="1"/>
  <c r="AC29" i="72" a="1"/>
  <c r="BS257" i="102" a="1"/>
  <c r="O68" i="93" a="1"/>
  <c r="CG387" i="93" a="1"/>
  <c r="CE334" i="93" a="1"/>
  <c r="BX334" i="93"/>
  <c r="DY156" i="93" a="1"/>
  <c r="CE205" i="93"/>
  <c r="BS206" i="102" a="1"/>
  <c r="DI47" i="93"/>
  <c r="BQ301" i="93" a="1"/>
  <c r="DJ21" i="102" a="1"/>
  <c r="DJ11" i="93" a="1"/>
  <c r="BQ206" i="102" a="1"/>
  <c r="BR172" i="102"/>
  <c r="CD47" i="102" a="1"/>
  <c r="DI41" i="93"/>
  <c r="BX257" i="93" a="1"/>
  <c r="BG47" i="102" a="1"/>
  <c r="DQ127" i="102"/>
  <c r="AC11" i="72" a="1"/>
  <c r="BJ386" i="102"/>
  <c r="CJ205" i="102"/>
  <c r="DM199" i="93"/>
  <c r="CH256" i="102"/>
  <c r="DG106" i="102" a="1"/>
  <c r="O69" i="93" a="1"/>
  <c r="DY147" i="93"/>
  <c r="DS175" i="93"/>
  <c r="EA142" i="102"/>
  <c r="DP106" i="102" a="1"/>
  <c r="CE335" i="102" a="1"/>
  <c r="BL172" i="93"/>
  <c r="BJ31" i="93" a="1"/>
  <c r="R46" i="93" a="1"/>
  <c r="EE105" i="93"/>
  <c r="DI136" i="102" a="1"/>
  <c r="BQ81" i="93"/>
  <c r="BH30" i="93" a="1"/>
  <c r="DI34" i="93"/>
  <c r="BY256" i="102"/>
  <c r="H18" i="93"/>
  <c r="DO135" i="93"/>
  <c r="BO300" i="93"/>
  <c r="BW301" i="102" a="1"/>
  <c r="BS81" i="102"/>
  <c r="BJ316" i="102"/>
  <c r="BV370" i="102"/>
  <c r="BL133" i="93"/>
  <c r="M86" i="93" a="1"/>
  <c r="BP126" i="102"/>
  <c r="DN221" i="93" a="1"/>
  <c r="CG300" i="102"/>
  <c r="CG257" i="93" a="1"/>
  <c r="BJ30" i="93" a="1"/>
  <c r="BY126" i="102"/>
  <c r="BV257" i="93" a="1"/>
  <c r="BU378" i="93"/>
  <c r="BZ405" i="72" a="1"/>
  <c r="DI53" i="93"/>
  <c r="BN301" i="102" a="1"/>
  <c r="BQ205" i="93"/>
  <c r="CB81" i="93"/>
  <c r="BI20" i="93" a="1"/>
  <c r="CB334" i="93" a="1"/>
  <c r="DY7" i="93" a="1"/>
  <c r="EG106" i="102" a="1"/>
  <c r="BH24" i="93" a="1"/>
  <c r="DI32" i="102"/>
  <c r="DI42" i="102"/>
  <c r="CE310" i="93"/>
  <c r="O90" i="93" a="1"/>
  <c r="N68" i="93" a="1"/>
  <c r="R69" i="93" a="1"/>
  <c r="BU206" i="102" a="1"/>
  <c r="CF206" i="93" a="1"/>
  <c r="DR106" i="102" a="1"/>
  <c r="EA147" i="93"/>
  <c r="M82" i="93" a="1"/>
  <c r="N87" i="93" a="1"/>
  <c r="BI309" i="93" a="1"/>
  <c r="BL301" i="102" a="1"/>
  <c r="BL126" i="102"/>
  <c r="DJ30" i="102" a="1"/>
  <c r="BK47" i="93" a="1"/>
  <c r="BT300" i="93"/>
  <c r="DY105" i="102"/>
  <c r="BJ126" i="102"/>
  <c r="DX6" i="93"/>
  <c r="BQ172" i="93"/>
  <c r="DS128" i="102" a="1"/>
  <c r="BS379" i="93" a="1"/>
  <c r="CF386" i="102"/>
  <c r="DY145" i="93"/>
  <c r="BI47" i="102" a="1"/>
  <c r="CB387" i="93" a="1"/>
  <c r="I50" i="93"/>
  <c r="Q34" i="93" a="1"/>
  <c r="DQ119" i="93"/>
  <c r="BX300" i="102"/>
  <c r="AC15" i="72" a="1"/>
  <c r="AC12" i="72" a="1"/>
  <c r="AC28" i="72" a="1"/>
  <c r="AC42" i="72" a="1"/>
  <c r="BS335" i="93"/>
  <c r="L82" i="93" a="1"/>
  <c r="DI38" i="93"/>
  <c r="CI386" i="93"/>
  <c r="DI5" i="93"/>
  <c r="CD308" i="102"/>
  <c r="BJ14" i="93" a="1"/>
  <c r="DG127" i="102"/>
  <c r="R83" i="93" a="1"/>
  <c r="DJ21" i="93" a="1"/>
  <c r="P79" i="93" a="1"/>
  <c r="CB126" i="93"/>
  <c r="DS7" i="102" a="1"/>
  <c r="DQ128" i="102" a="1"/>
  <c r="BV334" i="102"/>
  <c r="AC17" i="72" a="1"/>
  <c r="AC4" i="72" a="1"/>
  <c r="AC38" i="72" a="1"/>
  <c r="EB142" i="102"/>
  <c r="EK7" i="102" a="1"/>
  <c r="BZ257" i="102" a="1"/>
  <c r="DV128" i="93" a="1"/>
  <c r="CC256" i="102"/>
  <c r="CG386" i="102"/>
  <c r="DJ35" i="102" a="1"/>
  <c r="BV371" i="93" a="1"/>
  <c r="O93" i="93" a="1"/>
  <c r="BH20" i="93" a="1"/>
  <c r="DI119" i="102"/>
  <c r="EJ6" i="93"/>
  <c r="EE6" i="93"/>
  <c r="BI133" i="93"/>
  <c r="DX127" i="93"/>
  <c r="BY81" i="102"/>
  <c r="DL127" i="102"/>
  <c r="EG6" i="102"/>
  <c r="CE333" i="93" a="1"/>
  <c r="DZ142" i="102"/>
  <c r="BR212" i="93"/>
  <c r="CF257" i="93" a="1"/>
  <c r="BR172" i="93"/>
  <c r="EM143" i="102"/>
  <c r="AC43" i="72" a="1"/>
  <c r="CB335" i="93" a="1"/>
  <c r="AC31" i="72" a="1"/>
  <c r="CD46" i="102"/>
  <c r="CA127" i="102" a="1"/>
  <c r="EG146" i="93"/>
  <c r="CL206" i="93" a="1"/>
  <c r="BZ46" i="93"/>
  <c r="BN166" i="93" a="1"/>
  <c r="BJ126" i="93"/>
  <c r="CF311" i="93"/>
  <c r="DJ31" i="93" a="1"/>
  <c r="BY127" i="102" a="1"/>
  <c r="DZ13" i="102"/>
  <c r="DI24" i="93"/>
  <c r="R71" i="93" a="1"/>
  <c r="CF335" i="102" a="1"/>
  <c r="DH119" i="93"/>
  <c r="CF256" i="93"/>
  <c r="EI105" i="93"/>
  <c r="BJ387" i="93" a="1"/>
  <c r="DJ29" i="93" a="1"/>
  <c r="DN105" i="102"/>
  <c r="DY143" i="93"/>
  <c r="DP119" i="102"/>
  <c r="AC41" i="72" a="1"/>
  <c r="CH256" i="93"/>
  <c r="DJ5" i="102" a="1"/>
  <c r="DZ155" i="102" a="1"/>
  <c r="O91" i="93" a="1"/>
  <c r="DS169" i="102"/>
  <c r="DM205" i="102"/>
  <c r="BO301" i="93" a="1"/>
  <c r="DS119" i="93"/>
  <c r="R75" i="93" a="1"/>
  <c r="BJ370" i="93"/>
  <c r="CH165" i="102"/>
  <c r="Q92" i="93" a="1"/>
  <c r="AC36" i="72" a="1"/>
  <c r="DR172" i="93"/>
  <c r="EB13" i="93"/>
  <c r="DJ6" i="93" a="1"/>
  <c r="CH386" i="93"/>
  <c r="BX206" i="93" a="1"/>
  <c r="BU81" i="93"/>
  <c r="CD257" i="93" a="1"/>
  <c r="CP205" i="93"/>
  <c r="CA47" i="93" a="1"/>
  <c r="CF336" i="102" a="1"/>
  <c r="DJ105" i="93"/>
  <c r="DR128" i="102" a="1"/>
  <c r="L81" i="93" a="1"/>
  <c r="CB47" i="93" a="1"/>
  <c r="BH88" i="102"/>
  <c r="EB141" i="102"/>
  <c r="EH148" i="102"/>
  <c r="CC301" i="102" a="1"/>
  <c r="Q41" i="93" a="1"/>
  <c r="DO106" i="93" a="1"/>
  <c r="CG206" i="102" a="1"/>
  <c r="DJ9" i="93" a="1"/>
  <c r="R41" i="93" a="1"/>
  <c r="BG82" i="102" a="1"/>
  <c r="BJ24" i="93" a="1"/>
  <c r="BJ52" i="102"/>
  <c r="DJ12" i="102" a="1"/>
  <c r="BN82" i="102" a="1"/>
  <c r="CF334" i="102" a="1"/>
  <c r="CO205" i="102"/>
  <c r="CC386" i="93"/>
  <c r="BJ18" i="93" a="1"/>
  <c r="R48" i="93" a="1"/>
  <c r="DL105" i="102"/>
  <c r="EE105" i="102"/>
  <c r="CD311" i="102"/>
  <c r="CA126" i="102"/>
  <c r="BQ206" i="93" a="1"/>
  <c r="DI11" i="102"/>
  <c r="DI12" i="93"/>
  <c r="BI371" i="93" a="1"/>
  <c r="EA141" i="102"/>
  <c r="CB335" i="102" a="1"/>
  <c r="DJ106" i="93" a="1"/>
  <c r="DJ14" i="93" a="1"/>
  <c r="R91" i="93" a="1"/>
  <c r="BO206" i="93" a="1"/>
  <c r="EB146" i="93"/>
  <c r="EC143" i="102"/>
  <c r="DI43" i="93"/>
  <c r="BI25" i="93" a="1"/>
  <c r="BI25" i="93" l="1"/>
  <c r="BO206" i="93"/>
  <c r="R91" i="93"/>
  <c r="DJ14" i="93"/>
  <c r="DJ106" i="93"/>
  <c r="DI159" i="93" s="1"/>
  <c r="DB154" i="93" s="1"/>
  <c r="O559" i="114" s="1"/>
  <c r="CB335" i="102"/>
  <c r="BI371" i="93"/>
  <c r="BQ206" i="93"/>
  <c r="CG311" i="102"/>
  <c r="R48" i="93"/>
  <c r="BJ18" i="93"/>
  <c r="CF334" i="102"/>
  <c r="BN82" i="102"/>
  <c r="BH97" i="102" s="1"/>
  <c r="DJ12" i="102"/>
  <c r="BJ24" i="93"/>
  <c r="BG82" i="102"/>
  <c r="R41" i="93"/>
  <c r="DJ9" i="93"/>
  <c r="CG206" i="102"/>
  <c r="DO106" i="93"/>
  <c r="DI153" i="93" s="1"/>
  <c r="Q41" i="93"/>
  <c r="CC301" i="102"/>
  <c r="CB47" i="93"/>
  <c r="L81" i="93"/>
  <c r="X81" i="93" s="1"/>
  <c r="DR128" i="102"/>
  <c r="CF336" i="102"/>
  <c r="CA47" i="93"/>
  <c r="CD257" i="93"/>
  <c r="BX206" i="93"/>
  <c r="DJ6" i="93"/>
  <c r="AC36" i="72"/>
  <c r="GY64" i="72" s="1"/>
  <c r="HA64" i="72" s="1"/>
  <c r="HB64" i="72" s="1"/>
  <c r="HC64" i="72" s="1"/>
  <c r="Q92" i="93"/>
  <c r="R75" i="93"/>
  <c r="BO301" i="93"/>
  <c r="O91" i="93"/>
  <c r="DZ155" i="102"/>
  <c r="DJ5" i="102"/>
  <c r="AC41" i="72"/>
  <c r="GY69" i="72" s="1"/>
  <c r="HA69" i="72" s="1"/>
  <c r="HB69" i="72" s="1"/>
  <c r="HC69" i="72" s="1"/>
  <c r="DJ29" i="93"/>
  <c r="DP32" i="93" s="1"/>
  <c r="BJ387" i="93"/>
  <c r="DH249" i="93"/>
  <c r="CF335" i="102"/>
  <c r="R71" i="93"/>
  <c r="BY127" i="102"/>
  <c r="DJ31" i="93"/>
  <c r="BN166" i="93"/>
  <c r="CL206" i="93"/>
  <c r="CA127" i="102"/>
  <c r="AC31" i="72"/>
  <c r="GY59" i="72" s="1"/>
  <c r="HA59" i="72" s="1"/>
  <c r="HB59" i="72" s="1"/>
  <c r="HC59" i="72" s="1"/>
  <c r="CB335" i="93"/>
  <c r="AC43" i="72"/>
  <c r="GY71" i="72" s="1"/>
  <c r="HA71" i="72" s="1"/>
  <c r="HB71" i="72" s="1"/>
  <c r="HC71" i="72" s="1"/>
  <c r="CF257" i="93"/>
  <c r="CE333" i="93"/>
  <c r="BH20" i="93"/>
  <c r="O93" i="93"/>
  <c r="BV371" i="93"/>
  <c r="DJ35" i="102"/>
  <c r="DQ52" i="102" s="1"/>
  <c r="DV128" i="93"/>
  <c r="DL156" i="93" s="1"/>
  <c r="BZ257" i="102"/>
  <c r="EK7" i="102"/>
  <c r="AC38" i="72"/>
  <c r="GY66" i="72" s="1"/>
  <c r="HA66" i="72" s="1"/>
  <c r="HB66" i="72" s="1"/>
  <c r="HC66" i="72" s="1"/>
  <c r="AC4" i="72"/>
  <c r="GY32" i="72" s="1"/>
  <c r="HA32" i="72" s="1"/>
  <c r="AC17" i="72"/>
  <c r="GY45" i="72" s="1"/>
  <c r="HA45" i="72" s="1"/>
  <c r="HB45" i="72" s="1"/>
  <c r="HC45" i="72" s="1"/>
  <c r="DQ128" i="102"/>
  <c r="DS7" i="102"/>
  <c r="P79" i="93"/>
  <c r="DJ21" i="93"/>
  <c r="R83" i="93"/>
  <c r="BJ14" i="93"/>
  <c r="CG308" i="102"/>
  <c r="DR50" i="93"/>
  <c r="DR49" i="93"/>
  <c r="DY66" i="93"/>
  <c r="DY67" i="93"/>
  <c r="DY64" i="93"/>
  <c r="L82" i="93"/>
  <c r="AC42" i="72"/>
  <c r="GY70" i="72" s="1"/>
  <c r="HA70" i="72" s="1"/>
  <c r="HB70" i="72" s="1"/>
  <c r="HC70" i="72" s="1"/>
  <c r="AC28" i="72"/>
  <c r="GY56" i="72" s="1"/>
  <c r="HA56" i="72" s="1"/>
  <c r="HB56" i="72" s="1"/>
  <c r="HC56" i="72" s="1"/>
  <c r="AC12" i="72"/>
  <c r="GY40" i="72" s="1"/>
  <c r="HA40" i="72" s="1"/>
  <c r="HB40" i="72" s="1"/>
  <c r="HC40" i="72" s="1"/>
  <c r="AC15" i="72"/>
  <c r="GY43" i="72" s="1"/>
  <c r="HA43" i="72" s="1"/>
  <c r="HB43" i="72" s="1"/>
  <c r="HC43" i="72" s="1"/>
  <c r="Q34" i="93"/>
  <c r="G55" i="93"/>
  <c r="B38" i="93" s="1"/>
  <c r="CB387" i="93"/>
  <c r="BI47" i="102"/>
  <c r="BK66" i="102" s="1"/>
  <c r="BB60" i="102" s="1"/>
  <c r="BS379" i="93"/>
  <c r="BJ432" i="93" s="1"/>
  <c r="DS128" i="102"/>
  <c r="BK47" i="93"/>
  <c r="DJ30" i="102"/>
  <c r="DP33" i="102" s="1"/>
  <c r="BL301" i="102"/>
  <c r="BJ349" i="102" s="1"/>
  <c r="BB320" i="102" s="1"/>
  <c r="BI309" i="93"/>
  <c r="N87" i="93"/>
  <c r="M82" i="93"/>
  <c r="DR106" i="102"/>
  <c r="DI184" i="102" s="1"/>
  <c r="CF206" i="93"/>
  <c r="BU206" i="102"/>
  <c r="R69" i="93"/>
  <c r="N68" i="93"/>
  <c r="O90" i="93"/>
  <c r="BH24" i="93"/>
  <c r="EG106" i="102"/>
  <c r="DI163" i="102" s="1"/>
  <c r="DY7" i="93"/>
  <c r="CB334" i="93"/>
  <c r="BI20" i="93"/>
  <c r="BN301" i="102"/>
  <c r="BZ405" i="72"/>
  <c r="BV257" i="93"/>
  <c r="BJ272" i="93" s="1"/>
  <c r="BI148" i="102"/>
  <c r="BJ30" i="93"/>
  <c r="CG257" i="93"/>
  <c r="DN221" i="93"/>
  <c r="M86" i="93"/>
  <c r="BW301" i="102"/>
  <c r="BH30" i="93"/>
  <c r="DI136" i="102"/>
  <c r="R46" i="93"/>
  <c r="BJ31" i="93"/>
  <c r="CE335" i="102"/>
  <c r="DP106" i="102"/>
  <c r="O69" i="93"/>
  <c r="DG106" i="102"/>
  <c r="DM209" i="93"/>
  <c r="DM212" i="93" s="1"/>
  <c r="DI202" i="93" s="1"/>
  <c r="AC11" i="72"/>
  <c r="GY39" i="72" s="1"/>
  <c r="HA39" i="72" s="1"/>
  <c r="HB39" i="72" s="1"/>
  <c r="HC39" i="72" s="1"/>
  <c r="BG47" i="102"/>
  <c r="BX257" i="93"/>
  <c r="CD47" i="102"/>
  <c r="BB57" i="102" s="1"/>
  <c r="BQ206" i="102"/>
  <c r="DJ11" i="93"/>
  <c r="DJ21" i="102"/>
  <c r="BQ301" i="93"/>
  <c r="BJ343" i="93" s="1"/>
  <c r="DS50" i="93"/>
  <c r="DZ66" i="93"/>
  <c r="DZ64" i="93"/>
  <c r="DZ67" i="93"/>
  <c r="DS49" i="93"/>
  <c r="BS206" i="102"/>
  <c r="DY156" i="93"/>
  <c r="CE334" i="93"/>
  <c r="CG387" i="93"/>
  <c r="O68" i="93"/>
  <c r="BS257" i="102"/>
  <c r="AC29" i="72"/>
  <c r="GY57" i="72" s="1"/>
  <c r="HA57" i="72" s="1"/>
  <c r="HB57" i="72" s="1"/>
  <c r="HC57" i="72" s="1"/>
  <c r="AC27" i="72"/>
  <c r="GY55" i="72" s="1"/>
  <c r="HA55" i="72" s="1"/>
  <c r="HB55" i="72" s="1"/>
  <c r="HC55" i="72" s="1"/>
  <c r="CC336" i="102"/>
  <c r="Q52" i="93"/>
  <c r="DO209" i="93"/>
  <c r="DO212" i="93" s="1"/>
  <c r="DI204" i="93" s="1"/>
  <c r="EB7" i="102"/>
  <c r="DX7" i="93"/>
  <c r="BI127" i="93"/>
  <c r="BS166" i="93"/>
  <c r="L70" i="93"/>
  <c r="X70" i="93" s="1"/>
  <c r="BB67" i="93"/>
  <c r="DN128" i="102"/>
  <c r="DK229" i="102" s="1"/>
  <c r="DO223" i="93"/>
  <c r="O82" i="93"/>
  <c r="DK106" i="102"/>
  <c r="DI152" i="102" s="1"/>
  <c r="BT371" i="102"/>
  <c r="N79" i="93"/>
  <c r="AC32" i="72"/>
  <c r="GY60" i="72" s="1"/>
  <c r="HA60" i="72" s="1"/>
  <c r="HB60" i="72" s="1"/>
  <c r="HC60" i="72" s="1"/>
  <c r="AC8" i="72"/>
  <c r="GY36" i="72" s="1"/>
  <c r="HA36" i="72" s="1"/>
  <c r="HB36" i="72" s="1"/>
  <c r="HC36" i="72" s="1"/>
  <c r="CB206" i="102"/>
  <c r="BB215" i="102" s="1"/>
  <c r="R43" i="93"/>
  <c r="BJ13" i="93"/>
  <c r="DO7" i="93"/>
  <c r="BV82" i="102"/>
  <c r="O77" i="93"/>
  <c r="DJ26" i="102"/>
  <c r="AC40" i="72"/>
  <c r="GY68" i="72" s="1"/>
  <c r="HA68" i="72" s="1"/>
  <c r="HB68" i="72" s="1"/>
  <c r="HC68" i="72" s="1"/>
  <c r="AC9" i="72"/>
  <c r="GY37" i="72" s="1"/>
  <c r="HA37" i="72" s="1"/>
  <c r="HB37" i="72" s="1"/>
  <c r="HC37" i="72" s="1"/>
  <c r="AC21" i="72"/>
  <c r="GY49" i="72" s="1"/>
  <c r="HA49" i="72" s="1"/>
  <c r="HB49" i="72" s="1"/>
  <c r="HC49" i="72" s="1"/>
  <c r="J54" i="72"/>
  <c r="DU128" i="93"/>
  <c r="DR155" i="93" s="1"/>
  <c r="BZ127" i="93"/>
  <c r="Q93" i="93"/>
  <c r="BI31" i="93"/>
  <c r="BJ187" i="93"/>
  <c r="DN106" i="102"/>
  <c r="DI156" i="102" s="1"/>
  <c r="CJ301" i="93"/>
  <c r="BJ353" i="93" s="1"/>
  <c r="CA387" i="102"/>
  <c r="DN222" i="102"/>
  <c r="BB279" i="102"/>
  <c r="DY128" i="93"/>
  <c r="DS155" i="93" s="1"/>
  <c r="CC333" i="102"/>
  <c r="CA166" i="93"/>
  <c r="BY257" i="93"/>
  <c r="BS387" i="93"/>
  <c r="BJ439" i="93" s="1"/>
  <c r="BJ440" i="93" s="1"/>
  <c r="BB416" i="93" s="1"/>
  <c r="O413" i="114" s="1"/>
  <c r="BZ257" i="93"/>
  <c r="BX127" i="102"/>
  <c r="BM47" i="93"/>
  <c r="BK63" i="93" s="1"/>
  <c r="CB336" i="102"/>
  <c r="CE166" i="93"/>
  <c r="DY156" i="102"/>
  <c r="CC206" i="102"/>
  <c r="DJ32" i="93"/>
  <c r="DP36" i="93" s="1"/>
  <c r="DP37" i="93" s="1"/>
  <c r="DX7" i="102"/>
  <c r="DZ159" i="93"/>
  <c r="BX301" i="102"/>
  <c r="BP357" i="102" s="1"/>
  <c r="BB314" i="102" s="1"/>
  <c r="Q37" i="93"/>
  <c r="DJ16" i="102"/>
  <c r="CF387" i="102"/>
  <c r="BJ403" i="102" s="1"/>
  <c r="BB420" i="102" s="1"/>
  <c r="P417" i="114" s="1"/>
  <c r="DH256" i="102"/>
  <c r="BH19" i="93"/>
  <c r="BS371" i="93"/>
  <c r="BQ47" i="93"/>
  <c r="BZ400" i="72"/>
  <c r="DI106" i="93"/>
  <c r="Q81" i="93"/>
  <c r="R37" i="93"/>
  <c r="BI16" i="93"/>
  <c r="BB95" i="93"/>
  <c r="BB67" i="102"/>
  <c r="DJ43" i="93"/>
  <c r="BL47" i="93"/>
  <c r="BX387" i="102"/>
  <c r="BJ437" i="102" s="1"/>
  <c r="BU257" i="102"/>
  <c r="CC206" i="93"/>
  <c r="BZ401" i="72"/>
  <c r="DH250" i="93"/>
  <c r="BI309" i="102"/>
  <c r="O70" i="93"/>
  <c r="CE257" i="102"/>
  <c r="CE335" i="93"/>
  <c r="BT257" i="93"/>
  <c r="CF333" i="93"/>
  <c r="M77" i="93"/>
  <c r="AC22" i="72"/>
  <c r="GY50" i="72" s="1"/>
  <c r="HA50" i="72" s="1"/>
  <c r="HB50" i="72" s="1"/>
  <c r="HC50" i="72" s="1"/>
  <c r="L85" i="93"/>
  <c r="X85" i="93" s="1"/>
  <c r="BJ16" i="93"/>
  <c r="BU379" i="102"/>
  <c r="BJ429" i="102" s="1"/>
  <c r="BN387" i="93"/>
  <c r="BP301" i="93"/>
  <c r="DJ47" i="102"/>
  <c r="DR32" i="102" s="1"/>
  <c r="DT7" i="93"/>
  <c r="DL120" i="93"/>
  <c r="CD334" i="93"/>
  <c r="DJ25" i="93"/>
  <c r="AC6" i="72"/>
  <c r="GY34" i="72" s="1"/>
  <c r="HA34" i="72" s="1"/>
  <c r="HB34" i="72" s="1"/>
  <c r="HC34" i="72" s="1"/>
  <c r="DZ153" i="102"/>
  <c r="BT257" i="102"/>
  <c r="EE7" i="93"/>
  <c r="EE7" i="102"/>
  <c r="R81" i="93"/>
  <c r="BI301" i="102"/>
  <c r="P66" i="93"/>
  <c r="AC18" i="72"/>
  <c r="GY46" i="72" s="1"/>
  <c r="HA46" i="72" s="1"/>
  <c r="HB46" i="72" s="1"/>
  <c r="HC46" i="72" s="1"/>
  <c r="AC10" i="72"/>
  <c r="GY38" i="72" s="1"/>
  <c r="HA38" i="72" s="1"/>
  <c r="HB38" i="72" s="1"/>
  <c r="HC38" i="72" s="1"/>
  <c r="CG257" i="102"/>
  <c r="Q85" i="93"/>
  <c r="DJ42" i="102"/>
  <c r="DH233" i="102"/>
  <c r="DB109" i="102" s="1"/>
  <c r="P514" i="114" s="1"/>
  <c r="I514" i="114" s="1"/>
  <c r="DH227" i="102"/>
  <c r="DB103" i="102" s="1"/>
  <c r="P508" i="114" s="1"/>
  <c r="I508" i="114" s="1"/>
  <c r="DH229" i="102"/>
  <c r="DB105" i="102" s="1"/>
  <c r="P510" i="114" s="1"/>
  <c r="I510" i="114" s="1"/>
  <c r="DH231" i="102"/>
  <c r="DB107" i="102" s="1"/>
  <c r="P512" i="114" s="1"/>
  <c r="I512" i="114" s="1"/>
  <c r="DH230" i="102"/>
  <c r="DB106" i="102" s="1"/>
  <c r="P511" i="114" s="1"/>
  <c r="I511" i="114" s="1"/>
  <c r="DH232" i="102"/>
  <c r="DB108" i="102" s="1"/>
  <c r="P513" i="114" s="1"/>
  <c r="I513" i="114" s="1"/>
  <c r="DH228" i="102"/>
  <c r="DB104" i="102" s="1"/>
  <c r="P509" i="114" s="1"/>
  <c r="I509" i="114" s="1"/>
  <c r="BM387" i="93"/>
  <c r="BJ435" i="93" s="1"/>
  <c r="DX106" i="93"/>
  <c r="DN210" i="102"/>
  <c r="BJ32" i="93"/>
  <c r="CG316" i="102"/>
  <c r="DO14" i="102"/>
  <c r="DP35" i="102" s="1"/>
  <c r="DI180" i="102"/>
  <c r="N67" i="93"/>
  <c r="CF333" i="102"/>
  <c r="DG113" i="93"/>
  <c r="BN127" i="93"/>
  <c r="BJ231" i="102"/>
  <c r="BB218" i="102" s="1"/>
  <c r="CB387" i="102"/>
  <c r="BM206" i="102"/>
  <c r="CE336" i="102"/>
  <c r="Q53" i="93"/>
  <c r="BB191" i="102"/>
  <c r="P76" i="93"/>
  <c r="BZ206" i="93"/>
  <c r="BI30" i="93"/>
  <c r="BU257" i="93"/>
  <c r="CH166" i="93"/>
  <c r="CA387" i="93"/>
  <c r="Q82" i="93"/>
  <c r="BI127" i="102"/>
  <c r="BK387" i="93"/>
  <c r="BJ434" i="93" s="1"/>
  <c r="DO220" i="93"/>
  <c r="CF206" i="102"/>
  <c r="CG387" i="102"/>
  <c r="CG166" i="93"/>
  <c r="BB176" i="93" s="1"/>
  <c r="BX257" i="102"/>
  <c r="L67" i="93"/>
  <c r="X67" i="93" s="1"/>
  <c r="EC7" i="93"/>
  <c r="DW61" i="93" s="1"/>
  <c r="DB14" i="93" s="1"/>
  <c r="DY158" i="102"/>
  <c r="CG310" i="93"/>
  <c r="AC14" i="72"/>
  <c r="GY42" i="72" s="1"/>
  <c r="HA42" i="72" s="1"/>
  <c r="HB42" i="72" s="1"/>
  <c r="HC42" i="72" s="1"/>
  <c r="Q50" i="93"/>
  <c r="EC106" i="93"/>
  <c r="DI192" i="93" s="1"/>
  <c r="DI193" i="93" s="1"/>
  <c r="DH249" i="102"/>
  <c r="DO14" i="93"/>
  <c r="DP35" i="93" s="1"/>
  <c r="AC34" i="72"/>
  <c r="GY62" i="72" s="1"/>
  <c r="HA62" i="72" s="1"/>
  <c r="HB62" i="72" s="1"/>
  <c r="HC62" i="72" s="1"/>
  <c r="BI387" i="93"/>
  <c r="DH254" i="93"/>
  <c r="DB124" i="93" s="1"/>
  <c r="O529" i="114" s="1"/>
  <c r="CG317" i="93"/>
  <c r="BG13" i="93"/>
  <c r="BN19" i="93" s="1"/>
  <c r="CC335" i="93"/>
  <c r="O76" i="93"/>
  <c r="CE333" i="102"/>
  <c r="CG310" i="102"/>
  <c r="Q89" i="93"/>
  <c r="BO127" i="102"/>
  <c r="BU166" i="93"/>
  <c r="BJ194" i="93" s="1"/>
  <c r="BB181" i="93" s="1"/>
  <c r="CA257" i="93"/>
  <c r="P69" i="93"/>
  <c r="BU206" i="93"/>
  <c r="AC30" i="72"/>
  <c r="GY58" i="72" s="1"/>
  <c r="HA58" i="72" s="1"/>
  <c r="HB58" i="72" s="1"/>
  <c r="HC58" i="72" s="1"/>
  <c r="DH251" i="102"/>
  <c r="BS257" i="93"/>
  <c r="M75" i="93"/>
  <c r="BH127" i="102"/>
  <c r="BB123" i="102" s="1"/>
  <c r="EL7" i="93"/>
  <c r="DP25" i="93" s="1"/>
  <c r="DB57" i="93" s="1"/>
  <c r="BH14" i="93"/>
  <c r="BH23" i="93"/>
  <c r="M83" i="93"/>
  <c r="BI138" i="93"/>
  <c r="AC37" i="72"/>
  <c r="GY65" i="72" s="1"/>
  <c r="HA65" i="72" s="1"/>
  <c r="HB65" i="72" s="1"/>
  <c r="HC65" i="72" s="1"/>
  <c r="CD335" i="93"/>
  <c r="AC20" i="72"/>
  <c r="GY48" i="72" s="1"/>
  <c r="HA48" i="72" s="1"/>
  <c r="HB48" i="72" s="1"/>
  <c r="HC48" i="72" s="1"/>
  <c r="N89" i="93"/>
  <c r="CB334" i="102"/>
  <c r="BH13" i="93"/>
  <c r="BJ6" i="92"/>
  <c r="BL371" i="102"/>
  <c r="BJ399" i="102" s="1"/>
  <c r="BB403" i="102" s="1"/>
  <c r="P400" i="114" s="1"/>
  <c r="P78" i="93"/>
  <c r="BO47" i="102"/>
  <c r="P88" i="93"/>
  <c r="DS128" i="93"/>
  <c r="BO371" i="102"/>
  <c r="BB144" i="93"/>
  <c r="CP206" i="102"/>
  <c r="BB228" i="102" s="1"/>
  <c r="R49" i="93"/>
  <c r="P91" i="93"/>
  <c r="R89" i="93"/>
  <c r="DO106" i="102"/>
  <c r="DI153" i="102" s="1"/>
  <c r="DI154" i="102" s="1"/>
  <c r="BV206" i="102"/>
  <c r="BJ221" i="102" s="1"/>
  <c r="EJ106" i="102"/>
  <c r="DI161" i="102" s="1"/>
  <c r="DB179" i="102" s="1"/>
  <c r="L68" i="93"/>
  <c r="X68" i="93" s="1"/>
  <c r="BL47" i="102"/>
  <c r="DP106" i="93"/>
  <c r="BB269" i="93"/>
  <c r="BB261" i="93"/>
  <c r="BB259" i="93"/>
  <c r="BB264" i="93"/>
  <c r="BB265" i="93"/>
  <c r="BB255" i="93"/>
  <c r="BB260" i="93"/>
  <c r="BB268" i="93"/>
  <c r="BB270" i="93"/>
  <c r="BB258" i="93"/>
  <c r="BB253" i="93"/>
  <c r="BJ268" i="93"/>
  <c r="BJ282" i="93" s="1"/>
  <c r="BB266" i="93" s="1"/>
  <c r="BB254" i="93"/>
  <c r="BB257" i="93"/>
  <c r="BB256" i="93"/>
  <c r="BB267" i="93"/>
  <c r="EA7" i="102"/>
  <c r="DX83" i="102" s="1"/>
  <c r="DB40" i="102" s="1"/>
  <c r="DN106" i="93"/>
  <c r="DI156" i="93" s="1"/>
  <c r="DO210" i="102"/>
  <c r="BJ21" i="93"/>
  <c r="DJ53" i="93"/>
  <c r="DS52" i="93" s="1"/>
  <c r="BJ301" i="93"/>
  <c r="EC106" i="102"/>
  <c r="DH113" i="93"/>
  <c r="BW47" i="93"/>
  <c r="BK70" i="93" s="1"/>
  <c r="BK166" i="93"/>
  <c r="BP342" i="102"/>
  <c r="BB299" i="102" s="1"/>
  <c r="BP362" i="102"/>
  <c r="BP347" i="102"/>
  <c r="BB304" i="102" s="1"/>
  <c r="BP348" i="102"/>
  <c r="BB305" i="102" s="1"/>
  <c r="BP359" i="102"/>
  <c r="BB316" i="102" s="1"/>
  <c r="BP358" i="102"/>
  <c r="BB315" i="102" s="1"/>
  <c r="BP363" i="102"/>
  <c r="BB319" i="102" s="1"/>
  <c r="BP344" i="102"/>
  <c r="BB301" i="102" s="1"/>
  <c r="BP346" i="102"/>
  <c r="BB303" i="102" s="1"/>
  <c r="BP345" i="102"/>
  <c r="BB302" i="102" s="1"/>
  <c r="BP341" i="102"/>
  <c r="BB298" i="102" s="1"/>
  <c r="BJ342" i="102"/>
  <c r="BP340" i="102"/>
  <c r="BB297" i="102" s="1"/>
  <c r="BP360" i="102"/>
  <c r="BB317" i="102" s="1"/>
  <c r="BP343" i="102"/>
  <c r="BB300" i="102" s="1"/>
  <c r="BP352" i="102"/>
  <c r="BB309" i="102" s="1"/>
  <c r="DT106" i="93"/>
  <c r="DI168" i="93" s="1"/>
  <c r="BV206" i="93"/>
  <c r="BJ221" i="93" s="1"/>
  <c r="BJ5" i="92"/>
  <c r="BQ371" i="102"/>
  <c r="BJ393" i="102" s="1"/>
  <c r="BJ398" i="102" s="1"/>
  <c r="BB423" i="102" s="1"/>
  <c r="P420" i="114" s="1"/>
  <c r="CM206" i="93"/>
  <c r="BY47" i="93"/>
  <c r="BM206" i="93"/>
  <c r="DT7" i="102"/>
  <c r="H36" i="93"/>
  <c r="BM127" i="102"/>
  <c r="BJ23" i="93"/>
  <c r="R47" i="93"/>
  <c r="N84" i="93"/>
  <c r="AC19" i="72"/>
  <c r="GY47" i="72" s="1"/>
  <c r="HA47" i="72" s="1"/>
  <c r="HB47" i="72" s="1"/>
  <c r="HC47" i="72" s="1"/>
  <c r="CE301" i="102"/>
  <c r="Q69" i="93"/>
  <c r="BT379" i="93"/>
  <c r="BJ433" i="93" s="1"/>
  <c r="AC5" i="72"/>
  <c r="GY33" i="72" s="1"/>
  <c r="HA33" i="72" s="1"/>
  <c r="HB33" i="72" s="1"/>
  <c r="HC33" i="72" s="1"/>
  <c r="BI32" i="93"/>
  <c r="R53" i="93"/>
  <c r="BB50" i="102"/>
  <c r="BB51" i="102"/>
  <c r="BB52" i="102"/>
  <c r="BB53" i="102"/>
  <c r="DN223" i="93"/>
  <c r="CC257" i="102"/>
  <c r="BH28" i="93"/>
  <c r="CF257" i="102"/>
  <c r="J53" i="72"/>
  <c r="K53" i="72" s="1"/>
  <c r="DZ160" i="102"/>
  <c r="DW128" i="102"/>
  <c r="DL157" i="102" s="1"/>
  <c r="DI180" i="93"/>
  <c r="CB127" i="102"/>
  <c r="BJ127" i="102"/>
  <c r="N76" i="93"/>
  <c r="BZ301" i="93"/>
  <c r="AC23" i="72"/>
  <c r="GY51" i="72" s="1"/>
  <c r="HA51" i="72" s="1"/>
  <c r="HB51" i="72" s="1"/>
  <c r="HC51" i="72" s="1"/>
  <c r="BH32" i="93"/>
  <c r="R70" i="93"/>
  <c r="EB128" i="102"/>
  <c r="DM158" i="102" s="1"/>
  <c r="P86" i="93"/>
  <c r="R77" i="93"/>
  <c r="DZ153" i="93"/>
  <c r="DV106" i="102"/>
  <c r="CL206" i="102"/>
  <c r="DR128" i="93"/>
  <c r="DX128" i="93"/>
  <c r="DL158" i="93" s="1"/>
  <c r="DN223" i="102"/>
  <c r="P68" i="93"/>
  <c r="Q79" i="93"/>
  <c r="DW128" i="93"/>
  <c r="DL157" i="93" s="1"/>
  <c r="DL120" i="102"/>
  <c r="N86" i="93"/>
  <c r="DJ12" i="93"/>
  <c r="L87" i="93"/>
  <c r="X87" i="93" s="1"/>
  <c r="BQ82" i="93"/>
  <c r="CA301" i="93"/>
  <c r="DR49" i="102"/>
  <c r="DY67" i="102"/>
  <c r="DY66" i="102"/>
  <c r="DY64" i="102"/>
  <c r="DR50" i="102"/>
  <c r="BJ26" i="93"/>
  <c r="DO218" i="102"/>
  <c r="CP206" i="93"/>
  <c r="M74" i="93"/>
  <c r="DO120" i="102"/>
  <c r="BB172" i="102"/>
  <c r="CL257" i="93"/>
  <c r="BH21" i="93"/>
  <c r="R34" i="93"/>
  <c r="EB128" i="93"/>
  <c r="DM158" i="93" s="1"/>
  <c r="BM47" i="102"/>
  <c r="BK63" i="102" s="1"/>
  <c r="CF334" i="93"/>
  <c r="BM127" i="93"/>
  <c r="AC25" i="72"/>
  <c r="GY53" i="72" s="1"/>
  <c r="HA53" i="72" s="1"/>
  <c r="HB53" i="72" s="1"/>
  <c r="HC53" i="72" s="1"/>
  <c r="DN128" i="93"/>
  <c r="L92" i="93"/>
  <c r="CG166" i="102"/>
  <c r="BJ195" i="102" s="1"/>
  <c r="BB186" i="102" s="1"/>
  <c r="BH31" i="93"/>
  <c r="AC16" i="72"/>
  <c r="GY44" i="72" s="1"/>
  <c r="HA44" i="72" s="1"/>
  <c r="HB44" i="72" s="1"/>
  <c r="HC44" i="72" s="1"/>
  <c r="BJ360" i="93"/>
  <c r="BU301" i="102"/>
  <c r="BP351" i="102" s="1"/>
  <c r="BB308" i="102" s="1"/>
  <c r="DY155" i="93"/>
  <c r="DW7" i="93"/>
  <c r="DP17" i="93" s="1"/>
  <c r="DP18" i="93" s="1"/>
  <c r="R44" i="93"/>
  <c r="BB175" i="93"/>
  <c r="BB174" i="93"/>
  <c r="CA47" i="102"/>
  <c r="ED7" i="102"/>
  <c r="Q83" i="93"/>
  <c r="DJ46" i="93"/>
  <c r="DQ59" i="93" s="1"/>
  <c r="AC13" i="72"/>
  <c r="GY41" i="72" s="1"/>
  <c r="HA41" i="72" s="1"/>
  <c r="HB41" i="72" s="1"/>
  <c r="HC41" i="72" s="1"/>
  <c r="BY301" i="102"/>
  <c r="CK257" i="102"/>
  <c r="BJ279" i="102" s="1"/>
  <c r="DM210" i="102"/>
  <c r="O67" i="93"/>
  <c r="R86" i="93"/>
  <c r="EB7" i="93"/>
  <c r="AC26" i="72"/>
  <c r="GY54" i="72" s="1"/>
  <c r="HA54" i="72" s="1"/>
  <c r="HB54" i="72" s="1"/>
  <c r="HC54" i="72" s="1"/>
  <c r="AC39" i="72"/>
  <c r="GY67" i="72" s="1"/>
  <c r="HA67" i="72" s="1"/>
  <c r="HB67" i="72" s="1"/>
  <c r="HC67" i="72" s="1"/>
  <c r="CA335" i="93"/>
  <c r="AC33" i="72"/>
  <c r="GY61" i="72" s="1"/>
  <c r="HA61" i="72" s="1"/>
  <c r="HB61" i="72" s="1"/>
  <c r="HC61" i="72" s="1"/>
  <c r="BZ406" i="72"/>
  <c r="P71" i="93"/>
  <c r="DJ50" i="93"/>
  <c r="DR36" i="93" s="1"/>
  <c r="DR37" i="93" s="1"/>
  <c r="CF335" i="93"/>
  <c r="AC24" i="72"/>
  <c r="GY52" i="72" s="1"/>
  <c r="HA52" i="72" s="1"/>
  <c r="HB52" i="72" s="1"/>
  <c r="HC52" i="72" s="1"/>
  <c r="AC7" i="72"/>
  <c r="GY35" i="72" s="1"/>
  <c r="HA35" i="72" s="1"/>
  <c r="HB35" i="72" s="1"/>
  <c r="HC35" i="72" s="1"/>
  <c r="AC35" i="72"/>
  <c r="GY63" i="72" s="1"/>
  <c r="HA63" i="72" s="1"/>
  <c r="HB63" i="72" s="1"/>
  <c r="HC63" i="72" s="1"/>
  <c r="DZ7" i="93"/>
  <c r="DX82" i="93" s="1"/>
  <c r="DB39" i="93" s="1"/>
  <c r="O92" i="93"/>
  <c r="AH92" i="93" s="1"/>
  <c r="AI92" i="93" s="1"/>
  <c r="M87" i="93"/>
  <c r="BN257" i="102"/>
  <c r="BJ290" i="102" s="1"/>
  <c r="BJ28" i="93"/>
  <c r="DJ20" i="93"/>
  <c r="N81" i="93"/>
  <c r="DG120" i="93"/>
  <c r="P75" i="93"/>
  <c r="BT166" i="93"/>
  <c r="L94" i="93"/>
  <c r="X94" i="93" s="1"/>
  <c r="BO301" i="102"/>
  <c r="DJ54" i="102"/>
  <c r="BL127" i="93"/>
  <c r="BB138" i="93" s="1"/>
  <c r="BS206" i="93"/>
  <c r="DJ30" i="93"/>
  <c r="DP33" i="93" s="1"/>
  <c r="CC333" i="93"/>
  <c r="DN120" i="93"/>
  <c r="M92" i="93"/>
  <c r="BJ127" i="93"/>
  <c r="R76" i="93"/>
  <c r="DG128" i="102"/>
  <c r="DJ44" i="102"/>
  <c r="DR52" i="102" s="1"/>
  <c r="BZ82" i="93"/>
  <c r="BT371" i="93"/>
  <c r="BJ391" i="93" s="1"/>
  <c r="BP127" i="93"/>
  <c r="BI142" i="93" s="1"/>
  <c r="CA335" i="102"/>
  <c r="DJ37" i="93"/>
  <c r="DP59" i="93" s="1"/>
  <c r="O85" i="93"/>
  <c r="DJ29" i="102"/>
  <c r="DP32" i="102" s="1"/>
  <c r="CB336" i="93"/>
  <c r="DM210" i="93"/>
  <c r="DO136" i="102"/>
  <c r="BJ166" i="93"/>
  <c r="BJ5" i="72"/>
  <c r="BQ257" i="102"/>
  <c r="L79" i="93"/>
  <c r="Y79" i="93" s="1"/>
  <c r="BJ301" i="102"/>
  <c r="BJ17" i="93"/>
  <c r="CM257" i="93"/>
  <c r="P94" i="93"/>
  <c r="M90" i="93"/>
  <c r="P84" i="93"/>
  <c r="CB333" i="102"/>
  <c r="BI28" i="93"/>
  <c r="BW47" i="102"/>
  <c r="BK70" i="102" s="1"/>
  <c r="EI106" i="102"/>
  <c r="BK47" i="102"/>
  <c r="BB402" i="93"/>
  <c r="O399" i="114" s="1"/>
  <c r="BB367" i="93"/>
  <c r="O364" i="114" s="1"/>
  <c r="H364" i="114" s="1"/>
  <c r="BB380" i="93"/>
  <c r="O377" i="114" s="1"/>
  <c r="BB369" i="93"/>
  <c r="O366" i="114" s="1"/>
  <c r="BB375" i="93"/>
  <c r="O372" i="114" s="1"/>
  <c r="BJ392" i="93"/>
  <c r="BB376" i="93"/>
  <c r="O373" i="114" s="1"/>
  <c r="BB395" i="93"/>
  <c r="O392" i="114" s="1"/>
  <c r="BB368" i="93"/>
  <c r="O365" i="114" s="1"/>
  <c r="BB377" i="93"/>
  <c r="O374" i="114" s="1"/>
  <c r="BB392" i="93"/>
  <c r="O389" i="114" s="1"/>
  <c r="BB394" i="93"/>
  <c r="O391" i="114" s="1"/>
  <c r="BB387" i="93"/>
  <c r="O384" i="114" s="1"/>
  <c r="BB370" i="93"/>
  <c r="O367" i="114" s="1"/>
  <c r="BB371" i="93"/>
  <c r="O368" i="114" s="1"/>
  <c r="BB383" i="93"/>
  <c r="O380" i="114" s="1"/>
  <c r="BB374" i="93"/>
  <c r="O371" i="114" s="1"/>
  <c r="BB382" i="93"/>
  <c r="O379" i="114" s="1"/>
  <c r="BB373" i="93"/>
  <c r="O370" i="114" s="1"/>
  <c r="BB385" i="93"/>
  <c r="O382" i="114" s="1"/>
  <c r="BB393" i="93"/>
  <c r="O390" i="114" s="1"/>
  <c r="BB384" i="93"/>
  <c r="O381" i="114" s="1"/>
  <c r="BB391" i="93"/>
  <c r="O388" i="114" s="1"/>
  <c r="BB389" i="93"/>
  <c r="O386" i="114" s="1"/>
  <c r="BB372" i="93"/>
  <c r="O369" i="114" s="1"/>
  <c r="DJ39" i="102"/>
  <c r="DQ33" i="102" s="1"/>
  <c r="CE336" i="93"/>
  <c r="Q76" i="93"/>
  <c r="BO387" i="102"/>
  <c r="DJ10" i="93"/>
  <c r="DJ45" i="102"/>
  <c r="DL106" i="102"/>
  <c r="M94" i="93"/>
  <c r="N75" i="93"/>
  <c r="DU7" i="102"/>
  <c r="BX47" i="93"/>
  <c r="DJ41" i="102"/>
  <c r="DQ36" i="102" s="1"/>
  <c r="DQ37" i="102" s="1"/>
  <c r="DO222" i="102"/>
  <c r="M79" i="93"/>
  <c r="P87" i="93"/>
  <c r="DJ28" i="93"/>
  <c r="DB35" i="93" s="1"/>
  <c r="CB82" i="93"/>
  <c r="BB86" i="93" s="1"/>
  <c r="O65" i="93"/>
  <c r="BS127" i="102"/>
  <c r="O83" i="93"/>
  <c r="R78" i="93"/>
  <c r="BJ232" i="93"/>
  <c r="DY159" i="93"/>
  <c r="DJ36" i="102"/>
  <c r="DT120" i="102"/>
  <c r="L80" i="93"/>
  <c r="BJ232" i="102"/>
  <c r="DJ18" i="93"/>
  <c r="BB85" i="102"/>
  <c r="Q44" i="93"/>
  <c r="CA334" i="93"/>
  <c r="M85" i="93"/>
  <c r="BX301" i="93"/>
  <c r="BP353" i="93" s="1"/>
  <c r="BB310" i="93" s="1"/>
  <c r="BT206" i="93"/>
  <c r="R38" i="93"/>
  <c r="BV301" i="102"/>
  <c r="CL301" i="93"/>
  <c r="CD333" i="93"/>
  <c r="BR301" i="93"/>
  <c r="EA106" i="93"/>
  <c r="DJ52" i="93"/>
  <c r="CP257" i="102"/>
  <c r="BJ276" i="102" s="1"/>
  <c r="BB273" i="102" s="1"/>
  <c r="BS47" i="102"/>
  <c r="R74" i="93"/>
  <c r="DK244" i="102"/>
  <c r="BV371" i="102"/>
  <c r="DJ15" i="102"/>
  <c r="BR301" i="102"/>
  <c r="R42" i="93"/>
  <c r="CD335" i="102"/>
  <c r="DZ156" i="93"/>
  <c r="DW48" i="93"/>
  <c r="DB4" i="93" s="1"/>
  <c r="DW53" i="93"/>
  <c r="DB9" i="93" s="1"/>
  <c r="DW50" i="93"/>
  <c r="DB6" i="93" s="1"/>
  <c r="DW51" i="93"/>
  <c r="DB7" i="93" s="1"/>
  <c r="DW60" i="93"/>
  <c r="DB13" i="93" s="1"/>
  <c r="DW54" i="93"/>
  <c r="DB10" i="93" s="1"/>
  <c r="DW55" i="93"/>
  <c r="DW52" i="93"/>
  <c r="DB8" i="93" s="1"/>
  <c r="DW56" i="93"/>
  <c r="DB11" i="93" s="1"/>
  <c r="DW63" i="93"/>
  <c r="DB16" i="93" s="1"/>
  <c r="DW49" i="93"/>
  <c r="DB5" i="93" s="1"/>
  <c r="DW59" i="93"/>
  <c r="DB12" i="93" s="1"/>
  <c r="DW57" i="93"/>
  <c r="DW58" i="93"/>
  <c r="BL309" i="93"/>
  <c r="BU82" i="93"/>
  <c r="Q45" i="93"/>
  <c r="BX127" i="93"/>
  <c r="CB333" i="93"/>
  <c r="BP166" i="93"/>
  <c r="EJ7" i="102"/>
  <c r="DI136" i="93"/>
  <c r="R79" i="93"/>
  <c r="CA257" i="102"/>
  <c r="BB263" i="102" s="1"/>
  <c r="BM387" i="102"/>
  <c r="BJ435" i="102" s="1"/>
  <c r="BN127" i="102"/>
  <c r="BP206" i="93"/>
  <c r="R52" i="93"/>
  <c r="BJ231" i="93"/>
  <c r="BB218" i="93" s="1"/>
  <c r="EK7" i="93"/>
  <c r="CE301" i="93"/>
  <c r="L65" i="93"/>
  <c r="X65" i="93" s="1"/>
  <c r="Y65" i="93" s="1"/>
  <c r="DP7" i="93"/>
  <c r="CC334" i="93"/>
  <c r="BJ362" i="93" s="1"/>
  <c r="BG47" i="93"/>
  <c r="DJ47" i="93"/>
  <c r="DR32" i="93" s="1"/>
  <c r="DH227" i="93"/>
  <c r="DB103" i="93" s="1"/>
  <c r="O508" i="114" s="1"/>
  <c r="DH230" i="93"/>
  <c r="DB106" i="93" s="1"/>
  <c r="O511" i="114" s="1"/>
  <c r="DH232" i="93"/>
  <c r="DB108" i="93" s="1"/>
  <c r="O513" i="114" s="1"/>
  <c r="DH233" i="93"/>
  <c r="DB109" i="93" s="1"/>
  <c r="O514" i="114" s="1"/>
  <c r="DH228" i="93"/>
  <c r="DB104" i="93" s="1"/>
  <c r="O509" i="114" s="1"/>
  <c r="DH229" i="93"/>
  <c r="DB105" i="93" s="1"/>
  <c r="O510" i="114" s="1"/>
  <c r="DH231" i="93"/>
  <c r="DB107" i="93" s="1"/>
  <c r="O512" i="114" s="1"/>
  <c r="DJ7" i="93"/>
  <c r="M67" i="93"/>
  <c r="CE206" i="102"/>
  <c r="BQ387" i="93"/>
  <c r="BJ430" i="93" s="1"/>
  <c r="DJ13" i="102"/>
  <c r="Q86" i="93"/>
  <c r="Q47" i="93"/>
  <c r="BJ309" i="93"/>
  <c r="N91" i="93"/>
  <c r="L88" i="93"/>
  <c r="Y88" i="93" s="1"/>
  <c r="BH127" i="93"/>
  <c r="BB131" i="93" s="1"/>
  <c r="BY82" i="93"/>
  <c r="L83" i="93"/>
  <c r="X83" i="93" s="1"/>
  <c r="M68" i="93"/>
  <c r="BK127" i="102"/>
  <c r="M65" i="93"/>
  <c r="BR379" i="93"/>
  <c r="BF47" i="93"/>
  <c r="BY257" i="102"/>
  <c r="Q36" i="93"/>
  <c r="BK309" i="102"/>
  <c r="EA128" i="93"/>
  <c r="DM157" i="93" s="1"/>
  <c r="DS157" i="93" s="1"/>
  <c r="DV157" i="93" s="1"/>
  <c r="P93" i="93"/>
  <c r="AH93" i="93" s="1"/>
  <c r="AI93" i="93" s="1"/>
  <c r="DJ136" i="102"/>
  <c r="Q49" i="93"/>
  <c r="CG309" i="93"/>
  <c r="BI387" i="102"/>
  <c r="Q91" i="93"/>
  <c r="DO220" i="102"/>
  <c r="BN206" i="102"/>
  <c r="BJ239" i="102" s="1"/>
  <c r="BB223" i="102" s="1"/>
  <c r="DI106" i="102"/>
  <c r="DT128" i="102"/>
  <c r="DZ158" i="93"/>
  <c r="DU7" i="93"/>
  <c r="BI301" i="93"/>
  <c r="CG311" i="93"/>
  <c r="DJ27" i="102"/>
  <c r="DM209" i="102"/>
  <c r="DM212" i="102" s="1"/>
  <c r="DI202" i="102" s="1"/>
  <c r="BB262" i="102"/>
  <c r="BZ47" i="93"/>
  <c r="DH113" i="102"/>
  <c r="DJ55" i="93"/>
  <c r="DR59" i="93" s="1"/>
  <c r="BW206" i="102"/>
  <c r="BJ218" i="102" s="1"/>
  <c r="BJ223" i="102" s="1"/>
  <c r="BB231" i="102" s="1"/>
  <c r="BR206" i="102"/>
  <c r="BB224" i="102" s="1"/>
  <c r="BL387" i="102"/>
  <c r="DL106" i="93"/>
  <c r="Q77" i="93"/>
  <c r="P72" i="93"/>
  <c r="BJ27" i="93"/>
  <c r="DZ128" i="93"/>
  <c r="DM156" i="93" s="1"/>
  <c r="DJ55" i="102"/>
  <c r="DR59" i="102" s="1"/>
  <c r="DS106" i="102"/>
  <c r="DI181" i="102" s="1"/>
  <c r="BW82" i="93"/>
  <c r="CA333" i="93"/>
  <c r="BR166" i="93"/>
  <c r="BJ178" i="93" s="1"/>
  <c r="BJ179" i="93" s="1"/>
  <c r="DR7" i="93"/>
  <c r="DP23" i="93" s="1"/>
  <c r="DB38" i="93" s="1"/>
  <c r="CD257" i="102"/>
  <c r="DJ51" i="102"/>
  <c r="BO371" i="93"/>
  <c r="EC128" i="102"/>
  <c r="DK230" i="102" s="1"/>
  <c r="DO128" i="102"/>
  <c r="DL155" i="102" s="1"/>
  <c r="DX67" i="102"/>
  <c r="DQ50" i="102"/>
  <c r="DQ49" i="102"/>
  <c r="DX64" i="102"/>
  <c r="DX66" i="102"/>
  <c r="DP55" i="102"/>
  <c r="DB37" i="102" s="1"/>
  <c r="O75" i="93"/>
  <c r="Q66" i="93"/>
  <c r="L93" i="93"/>
  <c r="X93" i="93" s="1"/>
  <c r="BM82" i="102"/>
  <c r="N90" i="93"/>
  <c r="L77" i="93"/>
  <c r="X77" i="93" s="1"/>
  <c r="BJ387" i="102"/>
  <c r="EB106" i="102"/>
  <c r="BI24" i="93"/>
  <c r="BJ360" i="102"/>
  <c r="BO257" i="102"/>
  <c r="O80" i="93"/>
  <c r="CB47" i="102"/>
  <c r="Q84" i="93"/>
  <c r="CB301" i="93"/>
  <c r="DO120" i="93"/>
  <c r="DQ7" i="93"/>
  <c r="CA206" i="102"/>
  <c r="P92" i="93"/>
  <c r="BP371" i="93"/>
  <c r="BJ396" i="93" s="1"/>
  <c r="DY106" i="93"/>
  <c r="BP257" i="102"/>
  <c r="DP7" i="102"/>
  <c r="DH106" i="93"/>
  <c r="P85" i="93"/>
  <c r="BZ206" i="102"/>
  <c r="BW127" i="102"/>
  <c r="BI149" i="102" s="1"/>
  <c r="BJ4" i="72"/>
  <c r="BY166" i="93"/>
  <c r="BJ188" i="93" s="1"/>
  <c r="CD336" i="93"/>
  <c r="M71" i="93"/>
  <c r="DQ7" i="102"/>
  <c r="CG312" i="93"/>
  <c r="Q42" i="93"/>
  <c r="Q48" i="93"/>
  <c r="DJ32" i="102"/>
  <c r="DP36" i="102" s="1"/>
  <c r="DP37" i="102" s="1"/>
  <c r="R66" i="93"/>
  <c r="BJ82" i="102"/>
  <c r="BH100" i="102" s="1"/>
  <c r="BO82" i="93"/>
  <c r="BH94" i="93" s="1"/>
  <c r="CD336" i="102"/>
  <c r="BH82" i="102"/>
  <c r="DJ53" i="102"/>
  <c r="DS52" i="102" s="1"/>
  <c r="R67" i="93"/>
  <c r="P74" i="93"/>
  <c r="CD47" i="93"/>
  <c r="BB57" i="93" s="1"/>
  <c r="O103" i="114" s="1"/>
  <c r="BP47" i="93"/>
  <c r="DJ17" i="102"/>
  <c r="BZ166" i="93"/>
  <c r="CE334" i="102"/>
  <c r="DV7" i="93"/>
  <c r="DZ18" i="93" s="1"/>
  <c r="DZ19" i="93" s="1"/>
  <c r="BH47" i="93"/>
  <c r="BJ82" i="93"/>
  <c r="BH100" i="93" s="1"/>
  <c r="BU387" i="102"/>
  <c r="DJ6" i="102"/>
  <c r="BI21" i="93"/>
  <c r="M66" i="93"/>
  <c r="BN387" i="102"/>
  <c r="R93" i="93"/>
  <c r="BB182" i="93"/>
  <c r="BR371" i="102"/>
  <c r="DL209" i="93"/>
  <c r="DL212" i="93" s="1"/>
  <c r="DI201" i="93" s="1"/>
  <c r="BG82" i="93"/>
  <c r="Q87" i="93"/>
  <c r="DU106" i="102"/>
  <c r="DH240" i="102" s="1"/>
  <c r="DB116" i="102" s="1"/>
  <c r="P521" i="114" s="1"/>
  <c r="I521" i="114" s="1"/>
  <c r="BI29" i="93"/>
  <c r="CG314" i="93"/>
  <c r="CC82" i="93"/>
  <c r="DL210" i="102"/>
  <c r="P83" i="93"/>
  <c r="BO127" i="93"/>
  <c r="N77" i="93"/>
  <c r="DI179" i="93"/>
  <c r="DB167" i="93" s="1"/>
  <c r="O572" i="114" s="1"/>
  <c r="BJ47" i="102"/>
  <c r="BM166" i="93"/>
  <c r="BJ184" i="93" s="1"/>
  <c r="BB180" i="93" s="1"/>
  <c r="CD301" i="102"/>
  <c r="DH106" i="102"/>
  <c r="O71" i="93"/>
  <c r="CF301" i="102"/>
  <c r="BV257" i="102"/>
  <c r="BJ272" i="102" s="1"/>
  <c r="BZ82" i="102"/>
  <c r="BI82" i="93"/>
  <c r="CG317" i="102"/>
  <c r="BI47" i="93"/>
  <c r="BK66" i="93" s="1"/>
  <c r="BB60" i="93" s="1"/>
  <c r="CC82" i="102"/>
  <c r="EC128" i="93"/>
  <c r="DB130" i="93" s="1"/>
  <c r="O535" i="114" s="1"/>
  <c r="P67" i="93"/>
  <c r="BK309" i="93"/>
  <c r="DR106" i="93"/>
  <c r="DI184" i="93" s="1"/>
  <c r="DJ17" i="93"/>
  <c r="DY106" i="102"/>
  <c r="BW206" i="93"/>
  <c r="BJ218" i="93" s="1"/>
  <c r="DH255" i="102"/>
  <c r="DB125" i="102" s="1"/>
  <c r="P530" i="114" s="1"/>
  <c r="I530" i="114" s="1"/>
  <c r="DZ159" i="102"/>
  <c r="DX106" i="102"/>
  <c r="CM257" i="102"/>
  <c r="BW127" i="93"/>
  <c r="BI149" i="93" s="1"/>
  <c r="CG314" i="102"/>
  <c r="L76" i="93"/>
  <c r="Y76" i="93" s="1"/>
  <c r="BZ403" i="72"/>
  <c r="BH17" i="93"/>
  <c r="P90" i="93"/>
  <c r="AH90" i="93" s="1"/>
  <c r="AI90" i="93" s="1"/>
  <c r="EC7" i="102"/>
  <c r="DW61" i="102" s="1"/>
  <c r="DB14" i="102" s="1"/>
  <c r="DJ45" i="93"/>
  <c r="M88" i="93"/>
  <c r="BN47" i="93"/>
  <c r="BK60" i="93" s="1"/>
  <c r="DJ46" i="102"/>
  <c r="DQ59" i="102" s="1"/>
  <c r="DG128" i="93"/>
  <c r="DB128" i="93" s="1"/>
  <c r="O533" i="114" s="1"/>
  <c r="DJ34" i="93"/>
  <c r="CC336" i="93"/>
  <c r="BM257" i="93"/>
  <c r="BV387" i="93"/>
  <c r="DJ19" i="102"/>
  <c r="Q40" i="93"/>
  <c r="BJ371" i="93"/>
  <c r="BN301" i="93"/>
  <c r="DG120" i="102"/>
  <c r="BM371" i="102"/>
  <c r="BR257" i="102"/>
  <c r="BJ275" i="102" s="1"/>
  <c r="BI257" i="93"/>
  <c r="DJ106" i="102"/>
  <c r="DI159" i="102" s="1"/>
  <c r="DB154" i="102" s="1"/>
  <c r="P559" i="114" s="1"/>
  <c r="I559" i="114" s="1"/>
  <c r="BP371" i="102"/>
  <c r="BJ396" i="102" s="1"/>
  <c r="L89" i="93"/>
  <c r="Y89" i="93" s="1"/>
  <c r="M80" i="93"/>
  <c r="BH47" i="102"/>
  <c r="M89" i="93"/>
  <c r="DJ9" i="102"/>
  <c r="BQ257" i="93"/>
  <c r="BR127" i="102"/>
  <c r="BT301" i="102"/>
  <c r="BP349" i="102" s="1"/>
  <c r="BB306" i="102" s="1"/>
  <c r="N70" i="93"/>
  <c r="R45" i="93"/>
  <c r="BB84" i="102"/>
  <c r="DN209" i="93"/>
  <c r="DN212" i="93" s="1"/>
  <c r="DI203" i="93" s="1"/>
  <c r="BI13" i="93"/>
  <c r="BK13" i="93" s="1"/>
  <c r="CC166" i="93"/>
  <c r="Q70" i="93"/>
  <c r="BI206" i="93"/>
  <c r="BK371" i="102"/>
  <c r="DO218" i="93"/>
  <c r="BB144" i="102"/>
  <c r="DJ14" i="102"/>
  <c r="N94" i="93"/>
  <c r="EA128" i="102"/>
  <c r="DM157" i="102" s="1"/>
  <c r="DJ18" i="102"/>
  <c r="BL309" i="102"/>
  <c r="CG315" i="93"/>
  <c r="L78" i="93"/>
  <c r="Y78" i="93" s="1"/>
  <c r="BY206" i="102"/>
  <c r="CE127" i="102"/>
  <c r="CD206" i="93"/>
  <c r="BJ234" i="93" s="1"/>
  <c r="BJ235" i="93" s="1"/>
  <c r="DJ15" i="93"/>
  <c r="BH16" i="93"/>
  <c r="CD301" i="93"/>
  <c r="L84" i="93"/>
  <c r="X84" i="93" s="1"/>
  <c r="DI179" i="102"/>
  <c r="BH27" i="93"/>
  <c r="DN210" i="93"/>
  <c r="CA333" i="102"/>
  <c r="BP257" i="93"/>
  <c r="Q74" i="93"/>
  <c r="R87" i="93"/>
  <c r="BH103" i="102"/>
  <c r="BB87" i="102" s="1"/>
  <c r="BI82" i="102"/>
  <c r="CC257" i="93"/>
  <c r="BB271" i="93" s="1"/>
  <c r="BB380" i="102"/>
  <c r="P377" i="114" s="1"/>
  <c r="BB373" i="102"/>
  <c r="P370" i="114" s="1"/>
  <c r="BB370" i="102"/>
  <c r="P367" i="114" s="1"/>
  <c r="BB382" i="102"/>
  <c r="P379" i="114" s="1"/>
  <c r="BB377" i="102"/>
  <c r="P374" i="114" s="1"/>
  <c r="BB402" i="102"/>
  <c r="P399" i="114" s="1"/>
  <c r="BB375" i="102"/>
  <c r="P372" i="114" s="1"/>
  <c r="BB371" i="102"/>
  <c r="P368" i="114" s="1"/>
  <c r="BJ392" i="102"/>
  <c r="BB372" i="102"/>
  <c r="P369" i="114" s="1"/>
  <c r="BB374" i="102"/>
  <c r="P371" i="114" s="1"/>
  <c r="BB394" i="102"/>
  <c r="P391" i="114" s="1"/>
  <c r="BB389" i="102"/>
  <c r="P386" i="114" s="1"/>
  <c r="BB387" i="102"/>
  <c r="P384" i="114" s="1"/>
  <c r="BB367" i="102"/>
  <c r="P364" i="114" s="1"/>
  <c r="BB384" i="102"/>
  <c r="P381" i="114" s="1"/>
  <c r="BB393" i="102"/>
  <c r="P390" i="114" s="1"/>
  <c r="BB391" i="102"/>
  <c r="P388" i="114" s="1"/>
  <c r="BB395" i="102"/>
  <c r="P392" i="114" s="1"/>
  <c r="BB392" i="102"/>
  <c r="P389" i="114" s="1"/>
  <c r="BB368" i="102"/>
  <c r="P365" i="114" s="1"/>
  <c r="BB383" i="102"/>
  <c r="P380" i="114" s="1"/>
  <c r="BB369" i="102"/>
  <c r="P366" i="114" s="1"/>
  <c r="BB376" i="102"/>
  <c r="P373" i="114" s="1"/>
  <c r="BB385" i="102"/>
  <c r="P382" i="114" s="1"/>
  <c r="M69" i="93"/>
  <c r="R94" i="93"/>
  <c r="L73" i="93"/>
  <c r="X73" i="93" s="1"/>
  <c r="BU301" i="93"/>
  <c r="BT342" i="93" s="1"/>
  <c r="BT343" i="93" s="1"/>
  <c r="BK69" i="102"/>
  <c r="BB58" i="102" s="1"/>
  <c r="DJ136" i="93"/>
  <c r="BS379" i="102"/>
  <c r="BJ432" i="102" s="1"/>
  <c r="CG313" i="102"/>
  <c r="Q43" i="93"/>
  <c r="L86" i="93"/>
  <c r="X86" i="93" s="1"/>
  <c r="DM120" i="93"/>
  <c r="DO223" i="102"/>
  <c r="BX206" i="102"/>
  <c r="BJ15" i="93"/>
  <c r="EH106" i="102"/>
  <c r="DM136" i="93"/>
  <c r="DB171" i="93" s="1"/>
  <c r="O576" i="114" s="1"/>
  <c r="DZ157" i="102"/>
  <c r="BO47" i="93"/>
  <c r="BU387" i="93"/>
  <c r="CA336" i="93"/>
  <c r="BH82" i="93"/>
  <c r="N80" i="93"/>
  <c r="BB219" i="93"/>
  <c r="BB207" i="93"/>
  <c r="BB211" i="93"/>
  <c r="BJ217" i="93"/>
  <c r="BB205" i="93"/>
  <c r="BB216" i="93"/>
  <c r="BB212" i="93"/>
  <c r="BB214" i="93"/>
  <c r="BB210" i="93"/>
  <c r="BB208" i="93"/>
  <c r="BB204" i="93"/>
  <c r="BB226" i="93"/>
  <c r="BB209" i="93"/>
  <c r="BB221" i="93"/>
  <c r="BB220" i="93"/>
  <c r="BB222" i="93"/>
  <c r="BB206" i="93"/>
  <c r="BM371" i="93"/>
  <c r="CA301" i="102"/>
  <c r="BB49" i="93"/>
  <c r="BB44" i="93"/>
  <c r="BB47" i="93"/>
  <c r="BB45" i="93"/>
  <c r="BB43" i="93"/>
  <c r="BB59" i="93"/>
  <c r="BB42" i="93"/>
  <c r="BB41" i="93"/>
  <c r="BB46" i="93"/>
  <c r="BB48" i="93"/>
  <c r="BL82" i="93"/>
  <c r="DJ36" i="93"/>
  <c r="DY153" i="93"/>
  <c r="CB257" i="93"/>
  <c r="DJ8" i="93"/>
  <c r="BW387" i="93"/>
  <c r="BB399" i="93" s="1"/>
  <c r="O396" i="114" s="1"/>
  <c r="BZ399" i="72"/>
  <c r="DW106" i="93"/>
  <c r="Q78" i="93"/>
  <c r="DY160" i="93"/>
  <c r="DO221" i="102"/>
  <c r="DY159" i="102"/>
  <c r="CG312" i="102"/>
  <c r="P80" i="93"/>
  <c r="BI371" i="102"/>
  <c r="BB45" i="102"/>
  <c r="BB41" i="102"/>
  <c r="BB42" i="102"/>
  <c r="BB46" i="102"/>
  <c r="BB47" i="102"/>
  <c r="BB44" i="102"/>
  <c r="BB43" i="102"/>
  <c r="BB59" i="102"/>
  <c r="BB48" i="102"/>
  <c r="BB49" i="102"/>
  <c r="BJ356" i="102"/>
  <c r="Q46" i="93"/>
  <c r="BB84" i="93"/>
  <c r="BS47" i="93"/>
  <c r="DJ48" i="102"/>
  <c r="DR33" i="102" s="1"/>
  <c r="DR34" i="102" s="1"/>
  <c r="DZ65" i="102" s="1"/>
  <c r="ED7" i="93"/>
  <c r="CH387" i="93"/>
  <c r="CB206" i="93"/>
  <c r="BB215" i="93" s="1"/>
  <c r="BJ6" i="72"/>
  <c r="BI148" i="93"/>
  <c r="DJ11" i="102"/>
  <c r="O66" i="93"/>
  <c r="DJ49" i="93"/>
  <c r="BH29" i="93"/>
  <c r="CB257" i="102"/>
  <c r="BJ309" i="102"/>
  <c r="DJ50" i="102"/>
  <c r="DR36" i="102" s="1"/>
  <c r="DR37" i="102" s="1"/>
  <c r="BJ29" i="93"/>
  <c r="BI206" i="102"/>
  <c r="BX387" i="93"/>
  <c r="BJ437" i="93" s="1"/>
  <c r="BB217" i="93"/>
  <c r="DO219" i="93"/>
  <c r="DO219" i="102"/>
  <c r="BZ127" i="102"/>
  <c r="Q75" i="93"/>
  <c r="DJ5" i="93"/>
  <c r="BQ47" i="102"/>
  <c r="BV82" i="93"/>
  <c r="BK69" i="93"/>
  <c r="BB58" i="93" s="1"/>
  <c r="DJ52" i="102"/>
  <c r="DU106" i="93"/>
  <c r="DH239" i="93" s="1"/>
  <c r="DB115" i="93" s="1"/>
  <c r="O520" i="114" s="1"/>
  <c r="DJ41" i="93"/>
  <c r="DQ36" i="93" s="1"/>
  <c r="DQ37" i="93" s="1"/>
  <c r="DN219" i="102"/>
  <c r="L90" i="93"/>
  <c r="Y90" i="93" s="1"/>
  <c r="BB279" i="93"/>
  <c r="BY47" i="102"/>
  <c r="CH166" i="102"/>
  <c r="N72" i="93"/>
  <c r="BI138" i="102"/>
  <c r="CM206" i="102"/>
  <c r="BR257" i="93"/>
  <c r="BJ275" i="93" s="1"/>
  <c r="DT120" i="93"/>
  <c r="DY7" i="102"/>
  <c r="L72" i="93"/>
  <c r="Y72" i="93" s="1"/>
  <c r="BR47" i="102"/>
  <c r="BK67" i="102" s="1"/>
  <c r="BB56" i="102" s="1"/>
  <c r="BB213" i="93"/>
  <c r="BB95" i="102"/>
  <c r="CB301" i="102"/>
  <c r="BK82" i="93"/>
  <c r="P77" i="93"/>
  <c r="DJ40" i="102"/>
  <c r="DQ50" i="93"/>
  <c r="DX66" i="93"/>
  <c r="DQ49" i="93"/>
  <c r="DX64" i="93"/>
  <c r="DX67" i="93"/>
  <c r="DP55" i="93"/>
  <c r="DB37" i="93" s="1"/>
  <c r="BB217" i="102"/>
  <c r="O72" i="93"/>
  <c r="BT379" i="102"/>
  <c r="BJ433" i="102" s="1"/>
  <c r="DM120" i="102"/>
  <c r="BI166" i="93"/>
  <c r="BB177" i="93" s="1"/>
  <c r="EI7" i="102"/>
  <c r="CC335" i="102"/>
  <c r="DJ26" i="93"/>
  <c r="BY387" i="102"/>
  <c r="DJ13" i="93"/>
  <c r="DM106" i="102"/>
  <c r="DJ8" i="102"/>
  <c r="BI18" i="93"/>
  <c r="CA206" i="93"/>
  <c r="DZ157" i="93"/>
  <c r="B9" i="93"/>
  <c r="B8" i="93"/>
  <c r="B7" i="93"/>
  <c r="O86" i="93"/>
  <c r="AH86" i="93" s="1"/>
  <c r="AI86" i="93" s="1"/>
  <c r="BJ22" i="93"/>
  <c r="R73" i="93"/>
  <c r="DQ128" i="93"/>
  <c r="DB136" i="93" s="1"/>
  <c r="O541" i="114" s="1"/>
  <c r="EA106" i="102"/>
  <c r="BW387" i="102"/>
  <c r="BB397" i="102" s="1"/>
  <c r="P394" i="114" s="1"/>
  <c r="CE47" i="93"/>
  <c r="Q68" i="93"/>
  <c r="DO221" i="93"/>
  <c r="BJ4" i="92"/>
  <c r="BQ301" i="102"/>
  <c r="BJ343" i="102" s="1"/>
  <c r="BJ345" i="102" s="1"/>
  <c r="BB253" i="102"/>
  <c r="BB261" i="102"/>
  <c r="BB255" i="102"/>
  <c r="BB259" i="102"/>
  <c r="BB264" i="102"/>
  <c r="BJ268" i="102"/>
  <c r="BJ282" i="102" s="1"/>
  <c r="BB266" i="102" s="1"/>
  <c r="BB268" i="102"/>
  <c r="BB267" i="102"/>
  <c r="BB258" i="102"/>
  <c r="BB257" i="102"/>
  <c r="BB256" i="102"/>
  <c r="BB265" i="102"/>
  <c r="BB254" i="102"/>
  <c r="BB270" i="102"/>
  <c r="BB260" i="102"/>
  <c r="BB172" i="93"/>
  <c r="M76" i="93"/>
  <c r="DW55" i="102"/>
  <c r="DW56" i="102"/>
  <c r="DB11" i="102" s="1"/>
  <c r="DW50" i="102"/>
  <c r="DB6" i="102" s="1"/>
  <c r="DW60" i="102"/>
  <c r="DB13" i="102" s="1"/>
  <c r="DW57" i="102"/>
  <c r="DW52" i="102"/>
  <c r="DB8" i="102" s="1"/>
  <c r="DW48" i="102"/>
  <c r="DB4" i="102" s="1"/>
  <c r="DW59" i="102"/>
  <c r="DB12" i="102" s="1"/>
  <c r="DW49" i="102"/>
  <c r="DB5" i="102" s="1"/>
  <c r="DW58" i="102"/>
  <c r="DW51" i="102"/>
  <c r="DB7" i="102" s="1"/>
  <c r="DW63" i="102"/>
  <c r="DB16" i="102" s="1"/>
  <c r="DW53" i="102"/>
  <c r="DB9" i="102" s="1"/>
  <c r="DW54" i="102"/>
  <c r="DB10" i="102" s="1"/>
  <c r="BF47" i="102"/>
  <c r="BL82" i="102"/>
  <c r="CJ301" i="102"/>
  <c r="BJ353" i="102" s="1"/>
  <c r="BZ387" i="102"/>
  <c r="BB80" i="93"/>
  <c r="BB76" i="93"/>
  <c r="BB78" i="93"/>
  <c r="BB81" i="93"/>
  <c r="BB79" i="93"/>
  <c r="BB88" i="93"/>
  <c r="BB77" i="93"/>
  <c r="BH93" i="93"/>
  <c r="BB83" i="93"/>
  <c r="BB82" i="93"/>
  <c r="N88" i="93"/>
  <c r="BP47" i="102"/>
  <c r="BW257" i="102"/>
  <c r="BJ269" i="102" s="1"/>
  <c r="BJ271" i="102" s="1"/>
  <c r="N69" i="93"/>
  <c r="BY301" i="93"/>
  <c r="R72" i="93"/>
  <c r="CF301" i="93"/>
  <c r="BI17" i="93"/>
  <c r="P73" i="93"/>
  <c r="CI387" i="102"/>
  <c r="BB401" i="102" s="1"/>
  <c r="P398" i="114" s="1"/>
  <c r="BB173" i="93"/>
  <c r="BN371" i="93"/>
  <c r="BP82" i="93"/>
  <c r="O88" i="93"/>
  <c r="AH88" i="93" s="1"/>
  <c r="AI88" i="93" s="1"/>
  <c r="BJ19" i="93"/>
  <c r="EG106" i="93"/>
  <c r="DI163" i="93" s="1"/>
  <c r="BI19" i="93"/>
  <c r="DL209" i="102"/>
  <c r="DL212" i="102" s="1"/>
  <c r="DI201" i="102" s="1"/>
  <c r="N92" i="93"/>
  <c r="BM301" i="93"/>
  <c r="BT352" i="93" s="1"/>
  <c r="BT353" i="93" s="1"/>
  <c r="BY127" i="93"/>
  <c r="DH245" i="102"/>
  <c r="DB121" i="102" s="1"/>
  <c r="P526" i="114" s="1"/>
  <c r="I526" i="114" s="1"/>
  <c r="DJ10" i="102"/>
  <c r="M73" i="93"/>
  <c r="Q88" i="93"/>
  <c r="CD127" i="93"/>
  <c r="BI151" i="93" s="1"/>
  <c r="BB139" i="93" s="1"/>
  <c r="DY158" i="93"/>
  <c r="DO210" i="93"/>
  <c r="R84" i="93"/>
  <c r="Q80" i="93"/>
  <c r="DK106" i="93"/>
  <c r="DI182" i="93" s="1"/>
  <c r="DJ49" i="102"/>
  <c r="R80" i="93"/>
  <c r="CE47" i="102"/>
  <c r="DS7" i="93"/>
  <c r="DN220" i="102"/>
  <c r="BR387" i="93"/>
  <c r="BO387" i="93"/>
  <c r="DJ39" i="93"/>
  <c r="DQ33" i="93" s="1"/>
  <c r="DZ67" i="102"/>
  <c r="DS49" i="102"/>
  <c r="DS50" i="102"/>
  <c r="DZ66" i="102"/>
  <c r="DZ64" i="102"/>
  <c r="O74" i="93"/>
  <c r="CE127" i="93"/>
  <c r="R65" i="93"/>
  <c r="CI387" i="93"/>
  <c r="BB401" i="93" s="1"/>
  <c r="O398" i="114" s="1"/>
  <c r="CL301" i="102"/>
  <c r="BQ371" i="93"/>
  <c r="BJ393" i="93" s="1"/>
  <c r="BJ394" i="93" s="1"/>
  <c r="DN218" i="93"/>
  <c r="DH256" i="93"/>
  <c r="BB185" i="93"/>
  <c r="EJ7" i="93"/>
  <c r="BP82" i="102"/>
  <c r="BH15" i="93"/>
  <c r="BB85" i="93"/>
  <c r="DO222" i="93"/>
  <c r="Q39" i="93"/>
  <c r="DY157" i="93"/>
  <c r="BZ407" i="72"/>
  <c r="DN209" i="102"/>
  <c r="DN212" i="102" s="1"/>
  <c r="DI203" i="102" s="1"/>
  <c r="DG106" i="93"/>
  <c r="BR127" i="93"/>
  <c r="BB79" i="102"/>
  <c r="BB81" i="102"/>
  <c r="BB82" i="102"/>
  <c r="BB77" i="102"/>
  <c r="BH93" i="102"/>
  <c r="BB78" i="102"/>
  <c r="BB83" i="102"/>
  <c r="BB88" i="102"/>
  <c r="BB76" i="102"/>
  <c r="BB80" i="102"/>
  <c r="DJ48" i="93"/>
  <c r="DR33" i="93" s="1"/>
  <c r="EH106" i="93"/>
  <c r="BJ342" i="93"/>
  <c r="BP345" i="93"/>
  <c r="BB302" i="93" s="1"/>
  <c r="BP363" i="93"/>
  <c r="BB319" i="93" s="1"/>
  <c r="BP346" i="93"/>
  <c r="BB303" i="93" s="1"/>
  <c r="BP340" i="93"/>
  <c r="BB297" i="93" s="1"/>
  <c r="BP343" i="93"/>
  <c r="BB300" i="93" s="1"/>
  <c r="BP341" i="93"/>
  <c r="BB298" i="93" s="1"/>
  <c r="BP358" i="93"/>
  <c r="BB315" i="93" s="1"/>
  <c r="BP360" i="93"/>
  <c r="BB317" i="93" s="1"/>
  <c r="BP342" i="93"/>
  <c r="BB299" i="93" s="1"/>
  <c r="BP344" i="93"/>
  <c r="BB301" i="93" s="1"/>
  <c r="BP348" i="93"/>
  <c r="BB305" i="93" s="1"/>
  <c r="BP352" i="93"/>
  <c r="BB309" i="93" s="1"/>
  <c r="BP359" i="93"/>
  <c r="BB316" i="93" s="1"/>
  <c r="BP347" i="93"/>
  <c r="BB304" i="93" s="1"/>
  <c r="O87" i="93"/>
  <c r="BH103" i="93"/>
  <c r="BB87" i="93" s="1"/>
  <c r="O81" i="93"/>
  <c r="CD334" i="102"/>
  <c r="BM82" i="93"/>
  <c r="R92" i="93"/>
  <c r="CH387" i="102"/>
  <c r="BP301" i="102"/>
  <c r="BJ346" i="102" s="1"/>
  <c r="DL136" i="93"/>
  <c r="DB170" i="93" s="1"/>
  <c r="O575" i="114" s="1"/>
  <c r="DS106" i="93"/>
  <c r="DI181" i="93" s="1"/>
  <c r="DH245" i="93"/>
  <c r="DB121" i="93" s="1"/>
  <c r="O526" i="114" s="1"/>
  <c r="BU82" i="102"/>
  <c r="BH104" i="102" s="1"/>
  <c r="CG313" i="93"/>
  <c r="CD127" i="102"/>
  <c r="BI151" i="102" s="1"/>
  <c r="BB139" i="102" s="1"/>
  <c r="DJ44" i="93"/>
  <c r="DR52" i="93" s="1"/>
  <c r="DK136" i="93"/>
  <c r="DB169" i="93" s="1"/>
  <c r="O574" i="114" s="1"/>
  <c r="CG206" i="93"/>
  <c r="EA7" i="93"/>
  <c r="DX83" i="93" s="1"/>
  <c r="DB40" i="93" s="1"/>
  <c r="DZ155" i="93"/>
  <c r="DX128" i="102"/>
  <c r="DL158" i="102" s="1"/>
  <c r="BL387" i="93"/>
  <c r="EL7" i="102"/>
  <c r="DP24" i="102" s="1"/>
  <c r="DB56" i="102" s="1"/>
  <c r="N83" i="93"/>
  <c r="BI15" i="93"/>
  <c r="G84" i="93"/>
  <c r="DJ40" i="93"/>
  <c r="N78" i="93"/>
  <c r="BQ82" i="102"/>
  <c r="BT206" i="102"/>
  <c r="BK371" i="93"/>
  <c r="BL301" i="93"/>
  <c r="BJ349" i="93" s="1"/>
  <c r="BB320" i="93" s="1"/>
  <c r="DH252" i="93"/>
  <c r="BI14" i="93"/>
  <c r="DO136" i="93"/>
  <c r="DJ27" i="93"/>
  <c r="BQ127" i="93"/>
  <c r="BI139" i="93" s="1"/>
  <c r="BI140" i="93" s="1"/>
  <c r="N73" i="93"/>
  <c r="L74" i="93"/>
  <c r="X74" i="93" s="1"/>
  <c r="R50" i="93"/>
  <c r="BZ301" i="102"/>
  <c r="EJ106" i="93"/>
  <c r="DI161" i="93" s="1"/>
  <c r="DB179" i="93" s="1"/>
  <c r="O584" i="114" s="1"/>
  <c r="DY155" i="102"/>
  <c r="Q72" i="93"/>
  <c r="Q94" i="93"/>
  <c r="DO128" i="93"/>
  <c r="DL155" i="93" s="1"/>
  <c r="BX82" i="102"/>
  <c r="DQ106" i="93"/>
  <c r="BQ127" i="102"/>
  <c r="BI139" i="102" s="1"/>
  <c r="BI140" i="102" s="1"/>
  <c r="M84" i="93"/>
  <c r="BR206" i="93"/>
  <c r="BB224" i="93" s="1"/>
  <c r="BJ20" i="93"/>
  <c r="DJ19" i="93"/>
  <c r="R88" i="93"/>
  <c r="DN222" i="93"/>
  <c r="BS387" i="102"/>
  <c r="BJ439" i="102" s="1"/>
  <c r="BJ440" i="102" s="1"/>
  <c r="BB416" i="102" s="1"/>
  <c r="P413" i="114" s="1"/>
  <c r="DN221" i="102"/>
  <c r="CC334" i="102"/>
  <c r="DJ54" i="93"/>
  <c r="CD206" i="102"/>
  <c r="BJ234" i="102" s="1"/>
  <c r="BJ235" i="102" s="1"/>
  <c r="DT106" i="102"/>
  <c r="DI168" i="102" s="1"/>
  <c r="BN206" i="93"/>
  <c r="BJ239" i="93" s="1"/>
  <c r="BB223" i="93" s="1"/>
  <c r="DY157" i="102"/>
  <c r="O94" i="93"/>
  <c r="CK257" i="93"/>
  <c r="BJ279" i="93" s="1"/>
  <c r="BK127" i="93"/>
  <c r="BB262" i="93"/>
  <c r="O84" i="93"/>
  <c r="AH84" i="93" s="1"/>
  <c r="AI84" i="93" s="1"/>
  <c r="DY153" i="102"/>
  <c r="N82" i="93"/>
  <c r="L66" i="93"/>
  <c r="X66" i="93" s="1"/>
  <c r="O78" i="93"/>
  <c r="N66" i="93"/>
  <c r="CB127" i="93"/>
  <c r="CA336" i="102"/>
  <c r="BL371" i="93"/>
  <c r="BJ399" i="93" s="1"/>
  <c r="BB403" i="93" s="1"/>
  <c r="O400" i="114" s="1"/>
  <c r="BS301" i="93"/>
  <c r="BH26" i="93"/>
  <c r="BZ387" i="93"/>
  <c r="N71" i="93"/>
  <c r="DJ33" i="93"/>
  <c r="DV106" i="93"/>
  <c r="DH251" i="93"/>
  <c r="DV7" i="102"/>
  <c r="DP20" i="102" s="1"/>
  <c r="DP28" i="102" s="1"/>
  <c r="BB174" i="102"/>
  <c r="BB175" i="102"/>
  <c r="DJ37" i="102"/>
  <c r="DP59" i="102" s="1"/>
  <c r="DW106" i="102"/>
  <c r="DI170" i="102" s="1"/>
  <c r="BW82" i="102"/>
  <c r="BN257" i="93"/>
  <c r="BJ290" i="93" s="1"/>
  <c r="DG136" i="93"/>
  <c r="DI165" i="93" s="1"/>
  <c r="BH18" i="93"/>
  <c r="L75" i="93"/>
  <c r="Y75" i="93" s="1"/>
  <c r="DJ35" i="93"/>
  <c r="DQ52" i="93" s="1"/>
  <c r="CA127" i="93"/>
  <c r="BB50" i="93"/>
  <c r="BB51" i="93"/>
  <c r="CB166" i="93"/>
  <c r="BI22" i="93"/>
  <c r="R82" i="93"/>
  <c r="DN219" i="93"/>
  <c r="BT387" i="93"/>
  <c r="BT387" i="102"/>
  <c r="BZ408" i="72"/>
  <c r="CD333" i="102"/>
  <c r="Q71" i="93"/>
  <c r="EI7" i="93"/>
  <c r="DJ38" i="102"/>
  <c r="DQ32" i="102" s="1"/>
  <c r="BJ47" i="93"/>
  <c r="P82" i="93"/>
  <c r="M81" i="93"/>
  <c r="BZ47" i="102"/>
  <c r="R68" i="93"/>
  <c r="N74" i="93"/>
  <c r="L71" i="93"/>
  <c r="X71" i="93" s="1"/>
  <c r="BZ402" i="72"/>
  <c r="R90" i="93"/>
  <c r="Q73" i="93"/>
  <c r="BP206" i="102"/>
  <c r="BK301" i="102"/>
  <c r="L91" i="93"/>
  <c r="X91" i="93" s="1"/>
  <c r="CN206" i="93"/>
  <c r="DH252" i="102"/>
  <c r="DN120" i="102"/>
  <c r="N93" i="93"/>
  <c r="CE206" i="93"/>
  <c r="DW7" i="102"/>
  <c r="DP17" i="102" s="1"/>
  <c r="DP18" i="102" s="1"/>
  <c r="R36" i="93"/>
  <c r="BN47" i="102"/>
  <c r="BK60" i="102" s="1"/>
  <c r="BK65" i="102" s="1"/>
  <c r="BB66" i="102" s="1"/>
  <c r="DO209" i="102"/>
  <c r="DO212" i="102" s="1"/>
  <c r="DI204" i="102" s="1"/>
  <c r="BW257" i="93"/>
  <c r="BJ269" i="93" s="1"/>
  <c r="BJ270" i="93" s="1"/>
  <c r="BM257" i="102"/>
  <c r="DZ160" i="93"/>
  <c r="Q35" i="93"/>
  <c r="B66" i="93"/>
  <c r="B69" i="93"/>
  <c r="B67" i="93"/>
  <c r="B68" i="93"/>
  <c r="DL210" i="93"/>
  <c r="CM301" i="102"/>
  <c r="BB318" i="102" s="1"/>
  <c r="DR7" i="102"/>
  <c r="DP23" i="102" s="1"/>
  <c r="DB38" i="102" s="1"/>
  <c r="BY206" i="93"/>
  <c r="P89" i="93"/>
  <c r="BK301" i="93"/>
  <c r="BP127" i="102"/>
  <c r="BI142" i="102" s="1"/>
  <c r="DJ33" i="102"/>
  <c r="CG309" i="102"/>
  <c r="BX47" i="102"/>
  <c r="Q51" i="93"/>
  <c r="CA334" i="102"/>
  <c r="BB183" i="93"/>
  <c r="BT301" i="93"/>
  <c r="BP349" i="93" s="1"/>
  <c r="BB306" i="93" s="1"/>
  <c r="BV387" i="102"/>
  <c r="DG113" i="102"/>
  <c r="BJ356" i="93"/>
  <c r="DJ43" i="102"/>
  <c r="BB173" i="102"/>
  <c r="CC301" i="93"/>
  <c r="CK301" i="102"/>
  <c r="BH22" i="93"/>
  <c r="BZ404" i="72"/>
  <c r="P70" i="93"/>
  <c r="DJ25" i="102"/>
  <c r="DH250" i="102"/>
  <c r="Q38" i="93"/>
  <c r="DJ42" i="93"/>
  <c r="DJ16" i="93"/>
  <c r="BN371" i="102"/>
  <c r="BI26" i="93"/>
  <c r="DJ31" i="102"/>
  <c r="BI257" i="102"/>
  <c r="R40" i="93"/>
  <c r="EI106" i="93"/>
  <c r="BR379" i="102"/>
  <c r="BM301" i="102"/>
  <c r="BT352" i="102" s="1"/>
  <c r="BT353" i="102" s="1"/>
  <c r="DU128" i="102"/>
  <c r="DR155" i="102" s="1"/>
  <c r="DR157" i="102" s="1"/>
  <c r="DU157" i="102" s="1"/>
  <c r="BN82" i="93"/>
  <c r="BH97" i="93" s="1"/>
  <c r="DJ20" i="102"/>
  <c r="BB165" i="93"/>
  <c r="BB167" i="93"/>
  <c r="BB170" i="93"/>
  <c r="BB166" i="93"/>
  <c r="BB169" i="93"/>
  <c r="BB163" i="93"/>
  <c r="BB164" i="93"/>
  <c r="BB168" i="93"/>
  <c r="BO196" i="93"/>
  <c r="BB171" i="93"/>
  <c r="BI27" i="93"/>
  <c r="CG316" i="93"/>
  <c r="BB191" i="93"/>
  <c r="DV128" i="102"/>
  <c r="DL156" i="102" s="1"/>
  <c r="BB219" i="102"/>
  <c r="BB212" i="102"/>
  <c r="BB205" i="102"/>
  <c r="BJ217" i="102"/>
  <c r="BB222" i="102"/>
  <c r="BB208" i="102"/>
  <c r="BB221" i="102"/>
  <c r="BB226" i="102"/>
  <c r="BB206" i="102"/>
  <c r="BB216" i="102"/>
  <c r="BB207" i="102"/>
  <c r="BB211" i="102"/>
  <c r="BB204" i="102"/>
  <c r="BB209" i="102"/>
  <c r="BB210" i="102"/>
  <c r="BB220" i="102"/>
  <c r="BB214" i="102"/>
  <c r="P81" i="93"/>
  <c r="BU379" i="93"/>
  <c r="BJ429" i="93" s="1"/>
  <c r="BJ431" i="93" s="1"/>
  <c r="CM301" i="93"/>
  <c r="BJ351" i="93" s="1"/>
  <c r="BB332" i="93" s="1"/>
  <c r="EB106" i="93"/>
  <c r="BO82" i="102"/>
  <c r="BH94" i="102" s="1"/>
  <c r="BH95" i="102" s="1"/>
  <c r="M91" i="93"/>
  <c r="DZ106" i="93"/>
  <c r="DB156" i="93" s="1"/>
  <c r="O561" i="114" s="1"/>
  <c r="R35" i="93"/>
  <c r="P65" i="93"/>
  <c r="BJ25" i="93"/>
  <c r="L69" i="93"/>
  <c r="X69" i="93" s="1"/>
  <c r="DZ156" i="102"/>
  <c r="O79" i="93"/>
  <c r="R85" i="93"/>
  <c r="BQ387" i="102"/>
  <c r="BJ430" i="102" s="1"/>
  <c r="BJ431" i="102" s="1"/>
  <c r="BB390" i="102" s="1"/>
  <c r="P387" i="114" s="1"/>
  <c r="DY128" i="102"/>
  <c r="DS155" i="102" s="1"/>
  <c r="Q90" i="93"/>
  <c r="DN220" i="93"/>
  <c r="M70" i="93"/>
  <c r="BJ371" i="102"/>
  <c r="Q65" i="93"/>
  <c r="BR387" i="102"/>
  <c r="CD166" i="93"/>
  <c r="CB82" i="102"/>
  <c r="BH102" i="102" s="1"/>
  <c r="O73" i="93"/>
  <c r="AH73" i="93" s="1"/>
  <c r="AI73" i="93" s="1"/>
  <c r="BK82" i="102"/>
  <c r="BB184" i="93"/>
  <c r="BI23" i="93"/>
  <c r="BH25" i="93"/>
  <c r="DJ28" i="102"/>
  <c r="DB35" i="102" s="1"/>
  <c r="BW301" i="93"/>
  <c r="BV301" i="93"/>
  <c r="BT348" i="93" s="1"/>
  <c r="BB323" i="93" s="1"/>
  <c r="R39" i="93"/>
  <c r="CK301" i="93"/>
  <c r="DH254" i="102"/>
  <c r="DB124" i="102" s="1"/>
  <c r="P529" i="114" s="1"/>
  <c r="I529" i="114" s="1"/>
  <c r="BL166" i="93"/>
  <c r="BL127" i="102"/>
  <c r="BB138" i="102" s="1"/>
  <c r="DH255" i="93"/>
  <c r="DB125" i="93" s="1"/>
  <c r="O530" i="114" s="1"/>
  <c r="DZ106" i="102"/>
  <c r="DB156" i="102" s="1"/>
  <c r="P561" i="114" s="1"/>
  <c r="I561" i="114" s="1"/>
  <c r="BU371" i="93"/>
  <c r="DM106" i="93"/>
  <c r="CL257" i="102"/>
  <c r="H22" i="93"/>
  <c r="B10" i="93" s="1"/>
  <c r="M93" i="93"/>
  <c r="CG308" i="93"/>
  <c r="R51" i="93"/>
  <c r="BS127" i="93"/>
  <c r="BY387" i="93"/>
  <c r="BQ166" i="93"/>
  <c r="BJ181" i="93" s="1"/>
  <c r="DJ7" i="102"/>
  <c r="DZ158" i="102"/>
  <c r="DT128" i="93"/>
  <c r="DJ51" i="93"/>
  <c r="M78" i="93"/>
  <c r="CF387" i="93"/>
  <c r="BJ403" i="93" s="1"/>
  <c r="BB420" i="93" s="1"/>
  <c r="O417" i="114" s="1"/>
  <c r="CF336" i="93"/>
  <c r="DJ34" i="102"/>
  <c r="DG136" i="102"/>
  <c r="DI165" i="102" s="1"/>
  <c r="CG315" i="102"/>
  <c r="N65" i="93"/>
  <c r="BR371" i="93"/>
  <c r="DY160" i="102"/>
  <c r="DJ38" i="93"/>
  <c r="DQ32" i="93" s="1"/>
  <c r="CN257" i="93"/>
  <c r="DN218" i="102"/>
  <c r="DZ128" i="102"/>
  <c r="DM156" i="102" s="1"/>
  <c r="DZ7" i="102"/>
  <c r="DX82" i="102" s="1"/>
  <c r="DB39" i="102" s="1"/>
  <c r="BO166" i="93"/>
  <c r="BK387" i="102"/>
  <c r="BJ434" i="102" s="1"/>
  <c r="BX82" i="93"/>
  <c r="DO7" i="102"/>
  <c r="BB213" i="102"/>
  <c r="M72" i="93"/>
  <c r="BY82" i="102"/>
  <c r="BS301" i="102"/>
  <c r="CE257" i="93"/>
  <c r="N85" i="93"/>
  <c r="BR47" i="93"/>
  <c r="BK67" i="93" s="1"/>
  <c r="BB56" i="93" s="1"/>
  <c r="O102" i="114" s="1"/>
  <c r="O89" i="93"/>
  <c r="Q67" i="93"/>
  <c r="BS371" i="102"/>
  <c r="DQ106" i="102"/>
  <c r="BO257" i="93"/>
  <c r="BU371" i="102"/>
  <c r="BJ421" i="102" s="1"/>
  <c r="BJ422" i="102" s="1"/>
  <c r="BJ344" i="102"/>
  <c r="BJ348" i="102"/>
  <c r="BB335" i="102" s="1"/>
  <c r="BB227" i="93"/>
  <c r="BB228" i="93"/>
  <c r="BJ344" i="93"/>
  <c r="BJ186" i="102"/>
  <c r="BB187" i="102" s="1"/>
  <c r="BK68" i="102"/>
  <c r="BB63" i="102" s="1"/>
  <c r="BB62" i="102"/>
  <c r="DI192" i="102"/>
  <c r="DI193" i="102" s="1"/>
  <c r="DN193" i="102"/>
  <c r="Y82" i="93"/>
  <c r="X82" i="93"/>
  <c r="BJ292" i="102"/>
  <c r="DP34" i="93"/>
  <c r="DX65" i="93" s="1"/>
  <c r="Y92" i="93"/>
  <c r="X92" i="93"/>
  <c r="BK24" i="93"/>
  <c r="AH76" i="93"/>
  <c r="AI76" i="93" s="1"/>
  <c r="BJ186" i="93"/>
  <c r="BB187" i="93" s="1"/>
  <c r="BJ195" i="93"/>
  <c r="BB186" i="93" s="1"/>
  <c r="DX84" i="93"/>
  <c r="DB41" i="93" s="1"/>
  <c r="BB271" i="102"/>
  <c r="DX84" i="102"/>
  <c r="DB41" i="102" s="1"/>
  <c r="DI154" i="93"/>
  <c r="DN193" i="93"/>
  <c r="Y68" i="93"/>
  <c r="DK235" i="102"/>
  <c r="DK238" i="102"/>
  <c r="DB137" i="102"/>
  <c r="P542" i="114" s="1"/>
  <c r="I542" i="114" s="1"/>
  <c r="DK236" i="102"/>
  <c r="DB131" i="102"/>
  <c r="P536" i="114" s="1"/>
  <c r="I536" i="114" s="1"/>
  <c r="DB133" i="102"/>
  <c r="P538" i="114" s="1"/>
  <c r="I538" i="114" s="1"/>
  <c r="DK239" i="102"/>
  <c r="DB134" i="102"/>
  <c r="P539" i="114" s="1"/>
  <c r="I539" i="114" s="1"/>
  <c r="DB132" i="102"/>
  <c r="P537" i="114" s="1"/>
  <c r="I537" i="114" s="1"/>
  <c r="DK234" i="102"/>
  <c r="DK231" i="102"/>
  <c r="DB160" i="102"/>
  <c r="P565" i="114" s="1"/>
  <c r="I565" i="114" s="1"/>
  <c r="DK232" i="102"/>
  <c r="DB135" i="102"/>
  <c r="P540" i="114" s="1"/>
  <c r="I540" i="114" s="1"/>
  <c r="DK237" i="102"/>
  <c r="DB138" i="102"/>
  <c r="P543" i="114" s="1"/>
  <c r="I543" i="114" s="1"/>
  <c r="DK241" i="102"/>
  <c r="DB136" i="102"/>
  <c r="P541" i="114" s="1"/>
  <c r="I541" i="114" s="1"/>
  <c r="DK233" i="102"/>
  <c r="Y80" i="93"/>
  <c r="X80" i="93"/>
  <c r="DW67" i="93"/>
  <c r="DB19" i="93" s="1"/>
  <c r="X90" i="93"/>
  <c r="DB128" i="102"/>
  <c r="P533" i="114" s="1"/>
  <c r="I533" i="114" s="1"/>
  <c r="DB127" i="102"/>
  <c r="P532" i="114" s="1"/>
  <c r="I532" i="114" s="1"/>
  <c r="DK227" i="102"/>
  <c r="DK228" i="102"/>
  <c r="BI145" i="93"/>
  <c r="DI164" i="93"/>
  <c r="DB129" i="93"/>
  <c r="O534" i="114" s="1"/>
  <c r="BP357" i="93"/>
  <c r="BB314" i="93" s="1"/>
  <c r="BT350" i="93"/>
  <c r="BB325" i="93" s="1"/>
  <c r="DB130" i="102"/>
  <c r="P535" i="114" s="1"/>
  <c r="I535" i="114" s="1"/>
  <c r="BK61" i="93"/>
  <c r="BB62" i="93"/>
  <c r="BK68" i="93"/>
  <c r="BB63" i="93" s="1"/>
  <c r="BI150" i="102"/>
  <c r="BB137" i="102" s="1"/>
  <c r="BB129" i="102"/>
  <c r="BB130" i="102"/>
  <c r="BB128" i="102"/>
  <c r="BB132" i="102"/>
  <c r="BP355" i="102"/>
  <c r="BB312" i="102" s="1"/>
  <c r="Y87" i="93"/>
  <c r="DI155" i="102"/>
  <c r="BJ219" i="93"/>
  <c r="BB225" i="93"/>
  <c r="AK65" i="93" a="1"/>
  <c r="AK65" i="93" s="1"/>
  <c r="BB122" i="93"/>
  <c r="BJ292" i="93"/>
  <c r="BB263" i="93"/>
  <c r="BJ410" i="93"/>
  <c r="BB409" i="93" s="1"/>
  <c r="O406" i="114" s="1"/>
  <c r="BJ408" i="93"/>
  <c r="BB412" i="93" s="1"/>
  <c r="O409" i="114" s="1"/>
  <c r="DI164" i="102"/>
  <c r="DB129" i="102"/>
  <c r="P534" i="114" s="1"/>
  <c r="I534" i="114" s="1"/>
  <c r="BJ346" i="93"/>
  <c r="Y94" i="93"/>
  <c r="Y85" i="93"/>
  <c r="HB32" i="72"/>
  <c r="HC32" i="72" s="1"/>
  <c r="K54" i="72"/>
  <c r="GZ33" i="72" a="1"/>
  <c r="GZ33" i="72" s="1"/>
  <c r="GZ34" i="72" a="1"/>
  <c r="GZ34" i="72" s="1"/>
  <c r="GZ56" i="72" a="1"/>
  <c r="GZ56" i="72" s="1"/>
  <c r="GZ47" i="72" a="1"/>
  <c r="GZ47" i="72" s="1"/>
  <c r="GZ69" i="72" a="1"/>
  <c r="GZ69" i="72" s="1"/>
  <c r="GZ50" i="72" a="1"/>
  <c r="GZ50" i="72" s="1"/>
  <c r="GZ59" i="72" a="1"/>
  <c r="GZ59" i="72" s="1"/>
  <c r="GZ57" i="72" a="1"/>
  <c r="GZ57" i="72" s="1"/>
  <c r="GZ43" i="72" a="1"/>
  <c r="GZ43" i="72" s="1"/>
  <c r="GZ49" i="72" a="1"/>
  <c r="GZ49" i="72" s="1"/>
  <c r="GZ61" i="72" a="1"/>
  <c r="GZ61" i="72" s="1"/>
  <c r="GZ45" i="72" a="1"/>
  <c r="GZ45" i="72" s="1"/>
  <c r="GZ66" i="72" a="1"/>
  <c r="GZ66" i="72" s="1"/>
  <c r="GZ70" i="72" a="1"/>
  <c r="GZ70" i="72" s="1"/>
  <c r="GZ39" i="72" a="1"/>
  <c r="GZ39" i="72" s="1"/>
  <c r="GZ60" i="72" a="1"/>
  <c r="GZ60" i="72" s="1"/>
  <c r="GZ40" i="72" a="1"/>
  <c r="GZ40" i="72" s="1"/>
  <c r="GZ64" i="72" a="1"/>
  <c r="GZ64" i="72" s="1"/>
  <c r="GZ55" i="72" a="1"/>
  <c r="GZ55" i="72" s="1"/>
  <c r="GZ52" i="72" a="1"/>
  <c r="GZ52" i="72" s="1"/>
  <c r="GZ67" i="72" a="1"/>
  <c r="GZ67" i="72" s="1"/>
  <c r="GZ42" i="72" a="1"/>
  <c r="GZ42" i="72" s="1"/>
  <c r="GZ65" i="72" a="1"/>
  <c r="GZ65" i="72" s="1"/>
  <c r="GZ32" i="72" a="1"/>
  <c r="GZ32" i="72" s="1"/>
  <c r="P553" i="114"/>
  <c r="I553" i="114" s="1"/>
  <c r="P575" i="114"/>
  <c r="I575" i="114" s="1"/>
  <c r="S78" i="93"/>
  <c r="S67" i="93"/>
  <c r="S80" i="93"/>
  <c r="S74" i="93"/>
  <c r="S82" i="93"/>
  <c r="S93" i="93"/>
  <c r="BJ406" i="102"/>
  <c r="BJ357" i="93"/>
  <c r="S84" i="93"/>
  <c r="S91" i="93"/>
  <c r="BJ404" i="93"/>
  <c r="S76" i="93"/>
  <c r="S88" i="93"/>
  <c r="BJ357" i="102"/>
  <c r="S70" i="93"/>
  <c r="BJ361" i="93"/>
  <c r="S69" i="93"/>
  <c r="S73" i="93"/>
  <c r="S77" i="93"/>
  <c r="S86" i="93"/>
  <c r="S81" i="93"/>
  <c r="H23" i="93" a="1"/>
  <c r="S87" i="93"/>
  <c r="S72" i="93"/>
  <c r="DP128" i="102" a="1"/>
  <c r="S71" i="93"/>
  <c r="DP128" i="93" a="1"/>
  <c r="S83" i="93"/>
  <c r="S75" i="93"/>
  <c r="S79" i="93"/>
  <c r="BJ404" i="102"/>
  <c r="BJ361" i="102"/>
  <c r="BK71" i="102"/>
  <c r="BK71" i="93"/>
  <c r="S92" i="93"/>
  <c r="S89" i="93"/>
  <c r="S90" i="93"/>
  <c r="BJ406" i="93"/>
  <c r="S94" i="93"/>
  <c r="S68" i="93"/>
  <c r="S85" i="93"/>
  <c r="DB167" i="102" l="1"/>
  <c r="P572" i="114" s="1"/>
  <c r="I572" i="114" s="1"/>
  <c r="Y70" i="93"/>
  <c r="DI160" i="102"/>
  <c r="DB178" i="102" s="1"/>
  <c r="P583" i="114" s="1"/>
  <c r="I583" i="114" s="1"/>
  <c r="DR220" i="102"/>
  <c r="DS59" i="93"/>
  <c r="GZ38" i="72" a="1"/>
  <c r="GZ38" i="72" s="1"/>
  <c r="X79" i="93"/>
  <c r="BJ394" i="102"/>
  <c r="GZ44" i="72" a="1"/>
  <c r="GZ44" i="72" s="1"/>
  <c r="BJ412" i="102"/>
  <c r="DR156" i="93"/>
  <c r="DU156" i="93" s="1"/>
  <c r="DK240" i="102"/>
  <c r="DP34" i="102"/>
  <c r="DX65" i="102" s="1"/>
  <c r="BB124" i="93"/>
  <c r="DB141" i="102"/>
  <c r="P546" i="114" s="1"/>
  <c r="I546" i="114" s="1"/>
  <c r="DB140" i="102"/>
  <c r="P545" i="114" s="1"/>
  <c r="I545" i="114" s="1"/>
  <c r="Y84" i="93"/>
  <c r="BB252" i="102"/>
  <c r="AH87" i="93"/>
  <c r="AI87" i="93" s="1"/>
  <c r="DW64" i="102"/>
  <c r="BB127" i="93"/>
  <c r="DB139" i="102"/>
  <c r="P544" i="114" s="1"/>
  <c r="I544" i="114" s="1"/>
  <c r="GZ62" i="72" a="1"/>
  <c r="GZ62" i="72" s="1"/>
  <c r="BK32" i="93"/>
  <c r="BK72" i="102"/>
  <c r="BB55" i="102" s="1"/>
  <c r="DI152" i="93"/>
  <c r="BB398" i="102"/>
  <c r="P395" i="114" s="1"/>
  <c r="BB400" i="102"/>
  <c r="P397" i="114" s="1"/>
  <c r="DX98" i="93"/>
  <c r="DB55" i="93" s="1"/>
  <c r="BJ407" i="93"/>
  <c r="BB411" i="93" s="1"/>
  <c r="O408" i="114" s="1"/>
  <c r="BJ438" i="102"/>
  <c r="BB417" i="102" s="1"/>
  <c r="P414" i="114" s="1"/>
  <c r="DR222" i="102"/>
  <c r="BT358" i="102"/>
  <c r="BB329" i="102" s="1"/>
  <c r="BB272" i="102"/>
  <c r="BP354" i="102"/>
  <c r="BB311" i="102" s="1"/>
  <c r="BB126" i="102"/>
  <c r="DW62" i="102"/>
  <c r="DB15" i="102" s="1"/>
  <c r="DR157" i="93"/>
  <c r="DU157" i="93" s="1"/>
  <c r="BB225" i="102"/>
  <c r="AH66" i="93"/>
  <c r="AI66" i="93" s="1"/>
  <c r="GZ54" i="72" a="1"/>
  <c r="GZ54" i="72" s="1"/>
  <c r="GZ35" i="72" a="1"/>
  <c r="GZ35" i="72" s="1"/>
  <c r="BP356" i="102"/>
  <c r="BB313" i="102" s="1"/>
  <c r="BB124" i="102"/>
  <c r="BB272" i="93"/>
  <c r="AH79" i="93"/>
  <c r="AI79" i="93" s="1"/>
  <c r="AH70" i="93"/>
  <c r="AI70" i="93" s="1"/>
  <c r="BK31" i="93"/>
  <c r="BT357" i="102"/>
  <c r="BB328" i="102" s="1"/>
  <c r="BB122" i="102"/>
  <c r="DI167" i="102"/>
  <c r="DI172" i="102" s="1"/>
  <c r="BJ395" i="102"/>
  <c r="BJ397" i="102" s="1"/>
  <c r="BB422" i="102" s="1"/>
  <c r="P419" i="114" s="1"/>
  <c r="BK20" i="93"/>
  <c r="GZ36" i="72" a="1"/>
  <c r="GZ36" i="72" s="1"/>
  <c r="GZ46" i="72" a="1"/>
  <c r="GZ46" i="72" s="1"/>
  <c r="GZ63" i="72" a="1"/>
  <c r="GZ63" i="72" s="1"/>
  <c r="DX85" i="102"/>
  <c r="DB42" i="102" s="1"/>
  <c r="BB176" i="102"/>
  <c r="DX98" i="102"/>
  <c r="DB55" i="102" s="1"/>
  <c r="BB133" i="102"/>
  <c r="Y77" i="93"/>
  <c r="EA66" i="102"/>
  <c r="BJ409" i="93"/>
  <c r="BB408" i="93" s="1"/>
  <c r="O405" i="114" s="1"/>
  <c r="GZ71" i="72" a="1"/>
  <c r="GZ71" i="72" s="1"/>
  <c r="GZ51" i="72" a="1"/>
  <c r="GZ51" i="72" s="1"/>
  <c r="DP24" i="93"/>
  <c r="DB56" i="93" s="1"/>
  <c r="BP353" i="102"/>
  <c r="BB310" i="102" s="1"/>
  <c r="BB127" i="102"/>
  <c r="DB159" i="102"/>
  <c r="P564" i="114" s="1"/>
  <c r="I564" i="114" s="1"/>
  <c r="Y83" i="93"/>
  <c r="GZ53" i="72" a="1"/>
  <c r="GZ53" i="72" s="1"/>
  <c r="BB131" i="102"/>
  <c r="BK23" i="93"/>
  <c r="DS158" i="102"/>
  <c r="DV158" i="102" s="1"/>
  <c r="BJ411" i="102"/>
  <c r="DR158" i="93"/>
  <c r="DU158" i="93" s="1"/>
  <c r="BI144" i="102"/>
  <c r="BB143" i="102" s="1"/>
  <c r="DR219" i="102"/>
  <c r="DB135" i="93"/>
  <c r="O540" i="114" s="1"/>
  <c r="BI141" i="102"/>
  <c r="DB137" i="93"/>
  <c r="O542" i="114" s="1"/>
  <c r="DR221" i="102"/>
  <c r="DI185" i="93"/>
  <c r="DI187" i="93" s="1" a="1"/>
  <c r="DI187" i="93" s="1"/>
  <c r="DI189" i="93" s="1"/>
  <c r="DR223" i="102"/>
  <c r="DI170" i="93"/>
  <c r="DW66" i="102"/>
  <c r="DB18" i="102" s="1"/>
  <c r="BB396" i="102"/>
  <c r="P393" i="114" s="1"/>
  <c r="DQ34" i="102"/>
  <c r="DY65" i="102" s="1"/>
  <c r="DW65" i="102" s="1"/>
  <c r="DB17" i="102" s="1"/>
  <c r="AH78" i="93"/>
  <c r="AI78" i="93" s="1"/>
  <c r="BB399" i="102"/>
  <c r="P396" i="114" s="1"/>
  <c r="Y86" i="93"/>
  <c r="DI169" i="93"/>
  <c r="BK14" i="93"/>
  <c r="BJ420" i="93"/>
  <c r="DS156" i="93"/>
  <c r="DV156" i="93" s="1"/>
  <c r="DI178" i="93" s="1"/>
  <c r="EA67" i="93"/>
  <c r="DQ34" i="93"/>
  <c r="DY65" i="93" s="1"/>
  <c r="BJ359" i="102"/>
  <c r="BB321" i="102" s="1"/>
  <c r="AH75" i="93"/>
  <c r="AI75" i="93" s="1"/>
  <c r="BK26" i="93"/>
  <c r="DO156" i="93"/>
  <c r="DY98" i="93"/>
  <c r="BK28" i="93"/>
  <c r="BB179" i="93"/>
  <c r="BP350" i="102"/>
  <c r="BB307" i="102" s="1"/>
  <c r="BB161" i="93"/>
  <c r="Y93" i="93"/>
  <c r="BT342" i="102"/>
  <c r="BT343" i="102" s="1"/>
  <c r="BT346" i="102" s="1"/>
  <c r="BJ274" i="102"/>
  <c r="BB277" i="102" s="1"/>
  <c r="DS158" i="93"/>
  <c r="DV158" i="93" s="1"/>
  <c r="BJ270" i="102"/>
  <c r="BB275" i="102" s="1"/>
  <c r="X78" i="93"/>
  <c r="EA66" i="93"/>
  <c r="X88" i="93"/>
  <c r="EA67" i="102"/>
  <c r="BJ411" i="93"/>
  <c r="DH240" i="93"/>
  <c r="DB116" i="93" s="1"/>
  <c r="O521" i="114" s="1"/>
  <c r="BP354" i="93"/>
  <c r="BB311" i="93" s="1"/>
  <c r="DY98" i="102"/>
  <c r="DB133" i="93"/>
  <c r="O538" i="114" s="1"/>
  <c r="DB134" i="93"/>
  <c r="O539" i="114" s="1"/>
  <c r="DP50" i="102"/>
  <c r="DB32" i="102" s="1"/>
  <c r="DB160" i="93"/>
  <c r="O565" i="114" s="1"/>
  <c r="Y69" i="93"/>
  <c r="DH241" i="93"/>
  <c r="DB117" i="93" s="1"/>
  <c r="O522" i="114" s="1"/>
  <c r="DB132" i="93"/>
  <c r="O537" i="114" s="1"/>
  <c r="BI147" i="102"/>
  <c r="BB140" i="102" s="1"/>
  <c r="DB140" i="93"/>
  <c r="O545" i="114" s="1"/>
  <c r="BJ401" i="102"/>
  <c r="BB419" i="102" s="1"/>
  <c r="P416" i="114" s="1"/>
  <c r="DB141" i="93"/>
  <c r="O546" i="114" s="1"/>
  <c r="BH96" i="102"/>
  <c r="BH98" i="102" s="1"/>
  <c r="BB93" i="102" s="1"/>
  <c r="X75" i="93"/>
  <c r="BK61" i="102"/>
  <c r="Y74" i="93"/>
  <c r="BT348" i="102"/>
  <c r="BB323" i="102" s="1"/>
  <c r="BK62" i="102"/>
  <c r="BK64" i="102" s="1"/>
  <c r="BB65" i="102" s="1"/>
  <c r="EA64" i="102"/>
  <c r="BH105" i="93"/>
  <c r="BB90" i="93" s="1"/>
  <c r="DS59" i="102"/>
  <c r="Y73" i="93"/>
  <c r="X72" i="93"/>
  <c r="DS156" i="102"/>
  <c r="DV156" i="102" s="1"/>
  <c r="BK27" i="93"/>
  <c r="DX86" i="102"/>
  <c r="DB43" i="102" s="1"/>
  <c r="DS157" i="102"/>
  <c r="DV157" i="102" s="1"/>
  <c r="BK22" i="93"/>
  <c r="DT52" i="93"/>
  <c r="BK18" i="93"/>
  <c r="DP156" i="93"/>
  <c r="AH80" i="93"/>
  <c r="AI80" i="93" s="1"/>
  <c r="DR223" i="93"/>
  <c r="DX86" i="93"/>
  <c r="DB43" i="93" s="1"/>
  <c r="AH85" i="93"/>
  <c r="AI85" i="93" s="1"/>
  <c r="BT350" i="102"/>
  <c r="BB325" i="102" s="1"/>
  <c r="BB203" i="102"/>
  <c r="DB127" i="93"/>
  <c r="O532" i="114" s="1"/>
  <c r="BJ219" i="102"/>
  <c r="BH102" i="93"/>
  <c r="AH94" i="93"/>
  <c r="AI94" i="93" s="1"/>
  <c r="BJ220" i="102"/>
  <c r="AH82" i="93"/>
  <c r="AI82" i="93" s="1"/>
  <c r="DO158" i="93"/>
  <c r="BB86" i="102"/>
  <c r="BH105" i="102"/>
  <c r="BB90" i="102" s="1"/>
  <c r="AH89" i="93"/>
  <c r="AI89" i="93" s="1"/>
  <c r="BJ348" i="93"/>
  <c r="BB335" i="93" s="1"/>
  <c r="DY86" i="102"/>
  <c r="DP52" i="102"/>
  <c r="DB34" i="102" s="1"/>
  <c r="DO157" i="93"/>
  <c r="BK19" i="93"/>
  <c r="BJ401" i="93"/>
  <c r="BB419" i="93" s="1"/>
  <c r="O416" i="114" s="1"/>
  <c r="AH77" i="93"/>
  <c r="AI77" i="93" s="1"/>
  <c r="DB174" i="102"/>
  <c r="P579" i="114" s="1"/>
  <c r="I579" i="114" s="1"/>
  <c r="CH308" i="93"/>
  <c r="BK21" i="93"/>
  <c r="DP49" i="102"/>
  <c r="DB31" i="102" s="1"/>
  <c r="BJ408" i="102"/>
  <c r="BB412" i="102" s="1"/>
  <c r="P409" i="114" s="1"/>
  <c r="DW64" i="93"/>
  <c r="BK30" i="93"/>
  <c r="DP49" i="93"/>
  <c r="DB31" i="93" s="1"/>
  <c r="DB161" i="102"/>
  <c r="P566" i="114" s="1"/>
  <c r="I566" i="114" s="1"/>
  <c r="AH65" i="93"/>
  <c r="AI65" i="93" s="1"/>
  <c r="BJ223" i="93"/>
  <c r="BB231" i="93" s="1"/>
  <c r="DP222" i="102"/>
  <c r="AH69" i="93"/>
  <c r="AI69" i="93" s="1"/>
  <c r="BB134" i="102"/>
  <c r="DT50" i="93"/>
  <c r="AH91" i="93"/>
  <c r="AI91" i="93" s="1"/>
  <c r="AH72" i="93"/>
  <c r="AI72" i="93" s="1"/>
  <c r="BI145" i="102"/>
  <c r="DP221" i="102"/>
  <c r="BB252" i="93"/>
  <c r="DI183" i="93"/>
  <c r="DB143" i="93" s="1"/>
  <c r="O548" i="114" s="1"/>
  <c r="BJ359" i="93"/>
  <c r="BB321" i="93" s="1"/>
  <c r="BB396" i="93"/>
  <c r="O393" i="114" s="1"/>
  <c r="BB397" i="93"/>
  <c r="O394" i="114" s="1"/>
  <c r="BB400" i="93"/>
  <c r="O397" i="114" s="1"/>
  <c r="DI185" i="102"/>
  <c r="BN21" i="93"/>
  <c r="DI155" i="93"/>
  <c r="DZ18" i="102"/>
  <c r="DZ19" i="102" s="1"/>
  <c r="Y66" i="93"/>
  <c r="DI175" i="93"/>
  <c r="DB177" i="93" s="1"/>
  <c r="O582" i="114" s="1"/>
  <c r="Y91" i="93"/>
  <c r="DI169" i="102"/>
  <c r="DB174" i="93"/>
  <c r="O579" i="114" s="1"/>
  <c r="BB398" i="93"/>
  <c r="O395" i="114" s="1"/>
  <c r="BN18" i="93"/>
  <c r="DP25" i="102"/>
  <c r="DB57" i="102" s="1"/>
  <c r="BJ438" i="93"/>
  <c r="BB417" i="93" s="1"/>
  <c r="O414" i="114" s="1"/>
  <c r="DB148" i="93"/>
  <c r="O553" i="114" s="1"/>
  <c r="BK15" i="93"/>
  <c r="DT50" i="102"/>
  <c r="BN16" i="93"/>
  <c r="BJ180" i="93"/>
  <c r="BJ182" i="93" s="1"/>
  <c r="BB189" i="93" s="1"/>
  <c r="DP219" i="102"/>
  <c r="DP156" i="102"/>
  <c r="DP158" i="102"/>
  <c r="DP220" i="102"/>
  <c r="DW66" i="93"/>
  <c r="DB18" i="93" s="1"/>
  <c r="BJ395" i="93"/>
  <c r="BJ397" i="93" s="1"/>
  <c r="BB422" i="93" s="1"/>
  <c r="O419" i="114" s="1"/>
  <c r="BI147" i="93"/>
  <c r="BB140" i="93" s="1"/>
  <c r="BB227" i="102"/>
  <c r="DP223" i="102"/>
  <c r="DP218" i="102"/>
  <c r="BJ362" i="102"/>
  <c r="BJ363" i="102" s="1"/>
  <c r="BB330" i="102" s="1"/>
  <c r="DO155" i="93"/>
  <c r="BK17" i="93"/>
  <c r="DI160" i="93"/>
  <c r="DB178" i="93" s="1"/>
  <c r="O583" i="114" s="1"/>
  <c r="DO157" i="102"/>
  <c r="BB130" i="93"/>
  <c r="BJ398" i="93"/>
  <c r="BB423" i="93" s="1"/>
  <c r="O420" i="114" s="1"/>
  <c r="BJ363" i="93"/>
  <c r="BB330" i="93" s="1"/>
  <c r="DT49" i="93"/>
  <c r="BT358" i="93"/>
  <c r="BB329" i="93" s="1"/>
  <c r="BJ391" i="102"/>
  <c r="DI182" i="102"/>
  <c r="DI183" i="102" s="1"/>
  <c r="DK247" i="102" s="1"/>
  <c r="DB159" i="93"/>
  <c r="O564" i="114" s="1"/>
  <c r="DP158" i="93"/>
  <c r="DW62" i="93"/>
  <c r="DB15" i="93" s="1"/>
  <c r="DW67" i="102"/>
  <c r="DB19" i="102" s="1"/>
  <c r="BJ345" i="93"/>
  <c r="BJ347" i="93" s="1"/>
  <c r="BB334" i="93" s="1"/>
  <c r="DO158" i="102"/>
  <c r="BN22" i="93"/>
  <c r="BT351" i="93"/>
  <c r="BB326" i="93" s="1"/>
  <c r="BJ409" i="102"/>
  <c r="BB408" i="102" s="1"/>
  <c r="P405" i="114" s="1"/>
  <c r="BJ351" i="102"/>
  <c r="BB332" i="102" s="1"/>
  <c r="X76" i="93"/>
  <c r="BJ420" i="102"/>
  <c r="P401" i="114" s="1"/>
  <c r="DP157" i="102"/>
  <c r="GZ41" i="72" a="1"/>
  <c r="GZ41" i="72" s="1"/>
  <c r="BB126" i="93"/>
  <c r="DB147" i="93"/>
  <c r="O552" i="114" s="1"/>
  <c r="DP19" i="102"/>
  <c r="DP21" i="102" s="1"/>
  <c r="DB60" i="102" s="1"/>
  <c r="GZ48" i="72" a="1"/>
  <c r="GZ48" i="72" s="1"/>
  <c r="BB128" i="93"/>
  <c r="DP50" i="93"/>
  <c r="DB32" i="93" s="1"/>
  <c r="BB89" i="102"/>
  <c r="BN15" i="93"/>
  <c r="BJ410" i="102"/>
  <c r="BB409" i="102" s="1"/>
  <c r="P406" i="114" s="1"/>
  <c r="DX85" i="93"/>
  <c r="DB42" i="93" s="1"/>
  <c r="DB139" i="93"/>
  <c r="O544" i="114" s="1"/>
  <c r="BJ350" i="102"/>
  <c r="BB331" i="102" s="1"/>
  <c r="DP52" i="93"/>
  <c r="DB34" i="93" s="1"/>
  <c r="AH81" i="93"/>
  <c r="AI81" i="93" s="1"/>
  <c r="DR222" i="93"/>
  <c r="DR221" i="93"/>
  <c r="DP22" i="102"/>
  <c r="DB61" i="102" s="1"/>
  <c r="BT351" i="102"/>
  <c r="BB326" i="102" s="1"/>
  <c r="BJ407" i="102"/>
  <c r="BB411" i="102" s="1"/>
  <c r="P408" i="114" s="1"/>
  <c r="DB138" i="93"/>
  <c r="O543" i="114" s="1"/>
  <c r="DB131" i="93"/>
  <c r="O536" i="114" s="1"/>
  <c r="BK25" i="93"/>
  <c r="CH308" i="102"/>
  <c r="AH74" i="93"/>
  <c r="AI74" i="93" s="1"/>
  <c r="GZ58" i="72" a="1"/>
  <c r="GZ58" i="72" s="1"/>
  <c r="Y81" i="93"/>
  <c r="Y71" i="93"/>
  <c r="BH99" i="93"/>
  <c r="BB94" i="93" s="1"/>
  <c r="BK16" i="93"/>
  <c r="BP351" i="93"/>
  <c r="BB308" i="93" s="1"/>
  <c r="DR158" i="102"/>
  <c r="DU158" i="102" s="1"/>
  <c r="GZ37" i="72" a="1"/>
  <c r="GZ37" i="72" s="1"/>
  <c r="BP350" i="93"/>
  <c r="BB307" i="93" s="1"/>
  <c r="DR156" i="102"/>
  <c r="DU156" i="102" s="1"/>
  <c r="Y67" i="93"/>
  <c r="DH239" i="102"/>
  <c r="DB115" i="102" s="1"/>
  <c r="P520" i="114" s="1"/>
  <c r="I520" i="114" s="1"/>
  <c r="DI167" i="93"/>
  <c r="DI171" i="93" s="1"/>
  <c r="EA64" i="93"/>
  <c r="DH241" i="102"/>
  <c r="DB117" i="102" s="1"/>
  <c r="P522" i="114" s="1"/>
  <c r="I522" i="114" s="1"/>
  <c r="DP20" i="93"/>
  <c r="DP28" i="93" s="1"/>
  <c r="X89" i="93"/>
  <c r="GZ68" i="72" a="1"/>
  <c r="GZ68" i="72" s="1"/>
  <c r="BN14" i="93"/>
  <c r="BH99" i="102"/>
  <c r="BB94" i="102" s="1"/>
  <c r="BB89" i="93"/>
  <c r="AH71" i="93"/>
  <c r="AI71" i="93" s="1"/>
  <c r="DT52" i="102"/>
  <c r="AH67" i="93"/>
  <c r="AI67" i="93" s="1"/>
  <c r="DP22" i="93"/>
  <c r="DB61" i="93" s="1"/>
  <c r="DP223" i="93"/>
  <c r="DR218" i="102"/>
  <c r="BJ412" i="93"/>
  <c r="BJ413" i="93" s="1"/>
  <c r="BB415" i="102"/>
  <c r="P412" i="114" s="1"/>
  <c r="BJ350" i="93"/>
  <c r="BB331" i="93" s="1"/>
  <c r="BB318" i="93"/>
  <c r="BB133" i="93"/>
  <c r="BN17" i="93"/>
  <c r="BN20" i="93"/>
  <c r="DB161" i="93"/>
  <c r="O566" i="114" s="1"/>
  <c r="BK29" i="93"/>
  <c r="BH96" i="93"/>
  <c r="AH83" i="93"/>
  <c r="AI83" i="93" s="1"/>
  <c r="BB407" i="93"/>
  <c r="O404" i="114" s="1"/>
  <c r="BJ58" i="93"/>
  <c r="BB61" i="93" s="1"/>
  <c r="BJ56" i="93"/>
  <c r="BB54" i="93" s="1"/>
  <c r="BJ58" i="102"/>
  <c r="BB61" i="102" s="1"/>
  <c r="BJ56" i="102"/>
  <c r="BB54" i="102" s="1"/>
  <c r="BB324" i="102"/>
  <c r="H23" i="93"/>
  <c r="B11" i="93" s="1"/>
  <c r="BB407" i="102"/>
  <c r="P404" i="114" s="1"/>
  <c r="BB123" i="93"/>
  <c r="BJ220" i="93"/>
  <c r="BJ222" i="93" s="1"/>
  <c r="BB230" i="93" s="1"/>
  <c r="DO156" i="102"/>
  <c r="BT357" i="93"/>
  <c r="BB328" i="93" s="1"/>
  <c r="BJ400" i="93"/>
  <c r="BB418" i="93" s="1"/>
  <c r="O415" i="114" s="1"/>
  <c r="BJ183" i="93"/>
  <c r="BB190" i="93" s="1"/>
  <c r="DR218" i="93"/>
  <c r="DP218" i="93"/>
  <c r="BJ277" i="102"/>
  <c r="BB274" i="102" s="1"/>
  <c r="DR219" i="93"/>
  <c r="BB135" i="102"/>
  <c r="BB136" i="102" s="1"/>
  <c r="BP355" i="93"/>
  <c r="BB312" i="93" s="1"/>
  <c r="BB269" i="102"/>
  <c r="BH95" i="93"/>
  <c r="BB92" i="93" s="1"/>
  <c r="BI144" i="93"/>
  <c r="BB143" i="93" s="1"/>
  <c r="DR34" i="93"/>
  <c r="DZ65" i="93" s="1"/>
  <c r="DW65" i="93" s="1"/>
  <c r="DB17" i="93" s="1"/>
  <c r="DO155" i="102"/>
  <c r="DP222" i="93"/>
  <c r="DP19" i="93"/>
  <c r="BB132" i="93"/>
  <c r="DT49" i="102"/>
  <c r="BB178" i="93"/>
  <c r="BP356" i="93"/>
  <c r="BB313" i="93" s="1"/>
  <c r="DI175" i="102"/>
  <c r="DB177" i="102" s="1"/>
  <c r="P582" i="114" s="1"/>
  <c r="I582" i="114" s="1"/>
  <c r="BB203" i="93"/>
  <c r="AQ65" i="93" a="1"/>
  <c r="AQ65" i="93" s="1"/>
  <c r="AQ66" i="93" s="1" a="1"/>
  <c r="AQ66" i="93" s="1"/>
  <c r="AQ67" i="93" s="1" a="1"/>
  <c r="AQ67" i="93" s="1"/>
  <c r="AQ68" i="93" s="1" a="1"/>
  <c r="AQ68" i="93" s="1"/>
  <c r="AQ69" i="93" s="1" a="1"/>
  <c r="AQ69" i="93" s="1"/>
  <c r="AQ70" i="93" s="1" a="1"/>
  <c r="AQ70" i="93" s="1"/>
  <c r="BJ271" i="93"/>
  <c r="BJ273" i="93" s="1"/>
  <c r="BB276" i="93" s="1"/>
  <c r="BI141" i="93"/>
  <c r="BI143" i="93" s="1"/>
  <c r="BB142" i="93" s="1"/>
  <c r="AH68" i="93"/>
  <c r="AI68" i="93" s="1"/>
  <c r="DP157" i="93"/>
  <c r="BJ274" i="93"/>
  <c r="BB277" i="93" s="1"/>
  <c r="DP220" i="93"/>
  <c r="DP221" i="93"/>
  <c r="DI166" i="102"/>
  <c r="DB165" i="102" s="1"/>
  <c r="P570" i="114" s="1"/>
  <c r="I570" i="114" s="1"/>
  <c r="BI150" i="93"/>
  <c r="BB137" i="93" s="1"/>
  <c r="BB125" i="93"/>
  <c r="DI158" i="102"/>
  <c r="DB182" i="102" s="1"/>
  <c r="P587" i="114" s="1"/>
  <c r="I587" i="114" s="1"/>
  <c r="BB125" i="102"/>
  <c r="BB162" i="93"/>
  <c r="DI166" i="93"/>
  <c r="DB165" i="93" s="1"/>
  <c r="O570" i="114" s="1"/>
  <c r="BJ421" i="93"/>
  <c r="BJ422" i="93" s="1"/>
  <c r="BJ427" i="93" s="1"/>
  <c r="BK72" i="93"/>
  <c r="BB55" i="93" s="1"/>
  <c r="BJ400" i="102"/>
  <c r="BB418" i="102" s="1"/>
  <c r="P415" i="114" s="1"/>
  <c r="BB135" i="93"/>
  <c r="BB136" i="93" s="1"/>
  <c r="BB129" i="93"/>
  <c r="DI158" i="93"/>
  <c r="DB182" i="93" s="1"/>
  <c r="O587" i="114" s="1"/>
  <c r="H587" i="114" s="1"/>
  <c r="DR220" i="93"/>
  <c r="DY86" i="93"/>
  <c r="DP219" i="93"/>
  <c r="BK62" i="93"/>
  <c r="BK64" i="93" s="1"/>
  <c r="BB65" i="93" s="1"/>
  <c r="Z69" i="93"/>
  <c r="AA69" i="93" s="1"/>
  <c r="BB336" i="102"/>
  <c r="Z79" i="93"/>
  <c r="AA79" i="93" s="1"/>
  <c r="Z76" i="93"/>
  <c r="AA76" i="93" s="1"/>
  <c r="DP128" i="102"/>
  <c r="DM155" i="102" s="1"/>
  <c r="DP155" i="102" s="1"/>
  <c r="Z91" i="93"/>
  <c r="AA91" i="93" s="1"/>
  <c r="Z85" i="93"/>
  <c r="AA85" i="93" s="1"/>
  <c r="Z93" i="93"/>
  <c r="AA93" i="93" s="1"/>
  <c r="Z80" i="93"/>
  <c r="AA80" i="93" s="1"/>
  <c r="Z86" i="93"/>
  <c r="AA86" i="93" s="1"/>
  <c r="Z90" i="93"/>
  <c r="AA90" i="93" s="1"/>
  <c r="Z73" i="93"/>
  <c r="AA73" i="93" s="1"/>
  <c r="BB324" i="93"/>
  <c r="Z88" i="93"/>
  <c r="AA88" i="93" s="1"/>
  <c r="Z75" i="93"/>
  <c r="AA75" i="93" s="1"/>
  <c r="Z71" i="93"/>
  <c r="AA71" i="93" s="1"/>
  <c r="Z72" i="93"/>
  <c r="AA72" i="93" s="1"/>
  <c r="Z84" i="93"/>
  <c r="AA84" i="93" s="1"/>
  <c r="Z81" i="93"/>
  <c r="AA81" i="93" s="1"/>
  <c r="Z82" i="93"/>
  <c r="AA82" i="93" s="1"/>
  <c r="Z67" i="93"/>
  <c r="AA67" i="93" s="1"/>
  <c r="Z94" i="93"/>
  <c r="AA94" i="93" s="1"/>
  <c r="Z89" i="93"/>
  <c r="AA89" i="93" s="1"/>
  <c r="DP128" i="93"/>
  <c r="DM155" i="93" s="1"/>
  <c r="DP155" i="93" s="1"/>
  <c r="Z70" i="93"/>
  <c r="AA70" i="93" s="1"/>
  <c r="BB378" i="102"/>
  <c r="P375" i="114" s="1"/>
  <c r="Z83" i="93"/>
  <c r="AA83" i="93" s="1"/>
  <c r="BB378" i="93"/>
  <c r="O375" i="114" s="1"/>
  <c r="Z87" i="93"/>
  <c r="AA87" i="93" s="1"/>
  <c r="BB336" i="93"/>
  <c r="Z68" i="93"/>
  <c r="AA68" i="93" s="1"/>
  <c r="Z74" i="93"/>
  <c r="AA74" i="93" s="1"/>
  <c r="Z78" i="93"/>
  <c r="AA78" i="93" s="1"/>
  <c r="Z77" i="93"/>
  <c r="AA77" i="93" s="1"/>
  <c r="Z92" i="93"/>
  <c r="AA92" i="93" s="1"/>
  <c r="DI194" i="93"/>
  <c r="DI195" i="93"/>
  <c r="BB188" i="93"/>
  <c r="BJ347" i="102"/>
  <c r="BB334" i="102" s="1"/>
  <c r="BB333" i="102"/>
  <c r="BB421" i="102"/>
  <c r="P418" i="114" s="1"/>
  <c r="BB141" i="102"/>
  <c r="BI143" i="102"/>
  <c r="BB142" i="102" s="1"/>
  <c r="DB180" i="102"/>
  <c r="P585" i="114" s="1"/>
  <c r="I585" i="114" s="1"/>
  <c r="DI157" i="102"/>
  <c r="DB181" i="102" s="1"/>
  <c r="P586" i="114" s="1"/>
  <c r="I586" i="114" s="1"/>
  <c r="BB64" i="102"/>
  <c r="DB59" i="93"/>
  <c r="BJ425" i="102"/>
  <c r="BJ427" i="102"/>
  <c r="BJ423" i="102"/>
  <c r="BJ424" i="102" s="1"/>
  <c r="BB333" i="93"/>
  <c r="DB180" i="93"/>
  <c r="O585" i="114" s="1"/>
  <c r="DI157" i="93"/>
  <c r="DB181" i="93" s="1"/>
  <c r="O586" i="114" s="1"/>
  <c r="BB390" i="93"/>
  <c r="O387" i="114" s="1"/>
  <c r="BB415" i="93"/>
  <c r="O412" i="114" s="1"/>
  <c r="DH242" i="93"/>
  <c r="DB118" i="93" s="1"/>
  <c r="O523" i="114" s="1"/>
  <c r="DB150" i="93"/>
  <c r="O555" i="114" s="1"/>
  <c r="DB152" i="93"/>
  <c r="O557" i="114" s="1"/>
  <c r="DH243" i="93"/>
  <c r="DB119" i="93" s="1"/>
  <c r="O524" i="114" s="1"/>
  <c r="DH253" i="93"/>
  <c r="DB123" i="93" s="1"/>
  <c r="O528" i="114" s="1"/>
  <c r="DH247" i="93"/>
  <c r="DH237" i="93"/>
  <c r="DB113" i="93" s="1"/>
  <c r="O518" i="114" s="1"/>
  <c r="DB151" i="93"/>
  <c r="O556" i="114" s="1"/>
  <c r="DB144" i="93"/>
  <c r="O549" i="114" s="1"/>
  <c r="DB149" i="93"/>
  <c r="O554" i="114" s="1"/>
  <c r="DH235" i="93"/>
  <c r="DB111" i="93" s="1"/>
  <c r="O516" i="114" s="1"/>
  <c r="DH238" i="93"/>
  <c r="DB114" i="93" s="1"/>
  <c r="O519" i="114" s="1"/>
  <c r="DH244" i="93"/>
  <c r="DB120" i="93" s="1"/>
  <c r="O525" i="114" s="1"/>
  <c r="DH236" i="93"/>
  <c r="DB112" i="93" s="1"/>
  <c r="O517" i="114" s="1"/>
  <c r="DB145" i="93"/>
  <c r="O550" i="114" s="1"/>
  <c r="DB146" i="93"/>
  <c r="O551" i="114" s="1"/>
  <c r="DB153" i="93"/>
  <c r="O558" i="114" s="1"/>
  <c r="DB142" i="93"/>
  <c r="O547" i="114" s="1"/>
  <c r="DH234" i="93"/>
  <c r="DB110" i="93" s="1"/>
  <c r="O515" i="114" s="1"/>
  <c r="DH246" i="93"/>
  <c r="DB122" i="93" s="1"/>
  <c r="O527" i="114" s="1"/>
  <c r="DH248" i="93"/>
  <c r="DI205" i="93"/>
  <c r="BB381" i="93"/>
  <c r="O378" i="114" s="1"/>
  <c r="BB386" i="93"/>
  <c r="O383" i="114" s="1"/>
  <c r="BJ436" i="93"/>
  <c r="BT346" i="93"/>
  <c r="BT344" i="93"/>
  <c r="BT345" i="93" s="1"/>
  <c r="BB64" i="93"/>
  <c r="BB141" i="93"/>
  <c r="BB421" i="93"/>
  <c r="O418" i="114" s="1"/>
  <c r="BB229" i="93"/>
  <c r="AK66" i="93" a="1"/>
  <c r="AK66" i="93" s="1"/>
  <c r="AK67" i="93" s="1" a="1"/>
  <c r="AK67" i="93" s="1"/>
  <c r="AL65" i="93"/>
  <c r="AM65" i="93" s="1"/>
  <c r="AO65" i="93" s="1"/>
  <c r="AP65" i="93" s="1"/>
  <c r="BB92" i="102"/>
  <c r="BB386" i="102"/>
  <c r="P383" i="114" s="1"/>
  <c r="BB381" i="102"/>
  <c r="P378" i="114" s="1"/>
  <c r="BJ436" i="102"/>
  <c r="DI186" i="93" a="1"/>
  <c r="DI186" i="93" s="1"/>
  <c r="DI188" i="93" s="1"/>
  <c r="DB59" i="102"/>
  <c r="DI186" i="102" a="1"/>
  <c r="DI186" i="102" s="1"/>
  <c r="DI188" i="102" s="1"/>
  <c r="DI187" i="102" a="1"/>
  <c r="DI187" i="102" s="1"/>
  <c r="DI189" i="102" s="1"/>
  <c r="DB149" i="102"/>
  <c r="P554" i="114" s="1"/>
  <c r="I554" i="114" s="1"/>
  <c r="DH243" i="102"/>
  <c r="DB119" i="102" s="1"/>
  <c r="P524" i="114" s="1"/>
  <c r="I524" i="114" s="1"/>
  <c r="DB151" i="102"/>
  <c r="P556" i="114" s="1"/>
  <c r="I556" i="114" s="1"/>
  <c r="DB153" i="102"/>
  <c r="P558" i="114" s="1"/>
  <c r="I558" i="114" s="1"/>
  <c r="DB152" i="102"/>
  <c r="P557" i="114" s="1"/>
  <c r="I557" i="114" s="1"/>
  <c r="DH235" i="102"/>
  <c r="DB111" i="102" s="1"/>
  <c r="P516" i="114" s="1"/>
  <c r="I516" i="114" s="1"/>
  <c r="DK256" i="102"/>
  <c r="DB142" i="102"/>
  <c r="P547" i="114" s="1"/>
  <c r="I547" i="114" s="1"/>
  <c r="DH238" i="102"/>
  <c r="DB114" i="102" s="1"/>
  <c r="P519" i="114" s="1"/>
  <c r="I519" i="114" s="1"/>
  <c r="DB146" i="102"/>
  <c r="P551" i="114" s="1"/>
  <c r="I551" i="114" s="1"/>
  <c r="DK255" i="102"/>
  <c r="DH244" i="102"/>
  <c r="DB120" i="102" s="1"/>
  <c r="P525" i="114" s="1"/>
  <c r="I525" i="114" s="1"/>
  <c r="DB150" i="102"/>
  <c r="P555" i="114" s="1"/>
  <c r="I555" i="114" s="1"/>
  <c r="DK242" i="102"/>
  <c r="DK249" i="102"/>
  <c r="DH253" i="102"/>
  <c r="DB123" i="102" s="1"/>
  <c r="P528" i="114" s="1"/>
  <c r="I528" i="114" s="1"/>
  <c r="DK251" i="102"/>
  <c r="DH242" i="102"/>
  <c r="DB118" i="102" s="1"/>
  <c r="P523" i="114" s="1"/>
  <c r="I523" i="114" s="1"/>
  <c r="DH247" i="102"/>
  <c r="DK243" i="102"/>
  <c r="DK248" i="102"/>
  <c r="DH234" i="102"/>
  <c r="DB110" i="102" s="1"/>
  <c r="P515" i="114" s="1"/>
  <c r="I515" i="114" s="1"/>
  <c r="DK252" i="102"/>
  <c r="DH237" i="102"/>
  <c r="DB113" i="102" s="1"/>
  <c r="P518" i="114" s="1"/>
  <c r="I518" i="114" s="1"/>
  <c r="DH236" i="102"/>
  <c r="DB112" i="102" s="1"/>
  <c r="P517" i="114" s="1"/>
  <c r="I517" i="114" s="1"/>
  <c r="DB145" i="102"/>
  <c r="P550" i="114" s="1"/>
  <c r="I550" i="114" s="1"/>
  <c r="DB144" i="102"/>
  <c r="P549" i="114" s="1"/>
  <c r="I549" i="114" s="1"/>
  <c r="DH246" i="102"/>
  <c r="DB122" i="102" s="1"/>
  <c r="P527" i="114" s="1"/>
  <c r="I527" i="114" s="1"/>
  <c r="DI205" i="102"/>
  <c r="DH248" i="102"/>
  <c r="DI194" i="102"/>
  <c r="DI195" i="102"/>
  <c r="BB275" i="93"/>
  <c r="HD32" i="72" a="1"/>
  <c r="HD32" i="72" s="1"/>
  <c r="HE32" i="72" s="1" a="1"/>
  <c r="P578" i="114"/>
  <c r="I578" i="114" s="1"/>
  <c r="P584" i="114"/>
  <c r="I584" i="114" s="1"/>
  <c r="P581" i="114"/>
  <c r="I581" i="114" s="1"/>
  <c r="P552" i="114"/>
  <c r="I552" i="114" s="1"/>
  <c r="V69" i="93"/>
  <c r="T67" i="93"/>
  <c r="U70" i="93"/>
  <c r="T94" i="93"/>
  <c r="U85" i="93"/>
  <c r="V86" i="93"/>
  <c r="V89" i="93"/>
  <c r="T70" i="93"/>
  <c r="T68" i="93"/>
  <c r="V88" i="93"/>
  <c r="U93" i="93"/>
  <c r="T87" i="93"/>
  <c r="U71" i="93"/>
  <c r="V77" i="93"/>
  <c r="V83" i="93"/>
  <c r="T72" i="93"/>
  <c r="V92" i="93"/>
  <c r="U91" i="93"/>
  <c r="V85" i="93"/>
  <c r="T93" i="93"/>
  <c r="V80" i="93"/>
  <c r="U89" i="93"/>
  <c r="U72" i="93"/>
  <c r="U83" i="93"/>
  <c r="T89" i="93"/>
  <c r="V71" i="93"/>
  <c r="V72" i="93"/>
  <c r="V84" i="93"/>
  <c r="U67" i="93"/>
  <c r="U79" i="93"/>
  <c r="T79" i="93"/>
  <c r="U92" i="93"/>
  <c r="U76" i="93"/>
  <c r="T78" i="93"/>
  <c r="T86" i="93"/>
  <c r="U74" i="93"/>
  <c r="U84" i="93"/>
  <c r="U78" i="93"/>
  <c r="V81" i="93"/>
  <c r="V91" i="93"/>
  <c r="U68" i="93"/>
  <c r="U82" i="93"/>
  <c r="T84" i="93"/>
  <c r="V67" i="93"/>
  <c r="V94" i="93"/>
  <c r="U80" i="93"/>
  <c r="T92" i="93"/>
  <c r="V76" i="93"/>
  <c r="V70" i="93"/>
  <c r="T76" i="93"/>
  <c r="U88" i="93"/>
  <c r="T80" i="93"/>
  <c r="U86" i="93"/>
  <c r="U90" i="93"/>
  <c r="T73" i="93"/>
  <c r="U73" i="93"/>
  <c r="T83" i="93"/>
  <c r="T88" i="93"/>
  <c r="V74" i="93"/>
  <c r="T75" i="93"/>
  <c r="U77" i="93"/>
  <c r="V73" i="93"/>
  <c r="V93" i="93"/>
  <c r="V87" i="93"/>
  <c r="U87" i="93"/>
  <c r="V79" i="93"/>
  <c r="T91" i="93"/>
  <c r="V82" i="93"/>
  <c r="U94" i="93"/>
  <c r="T81" i="93"/>
  <c r="T82" i="93"/>
  <c r="V90" i="93"/>
  <c r="U69" i="93"/>
  <c r="V68" i="93"/>
  <c r="T71" i="93"/>
  <c r="T85" i="93"/>
  <c r="V78" i="93"/>
  <c r="T90" i="93"/>
  <c r="T69" i="93"/>
  <c r="U81" i="93"/>
  <c r="U75" i="93"/>
  <c r="T77" i="93"/>
  <c r="T74" i="93"/>
  <c r="V75" i="93"/>
  <c r="BJ413" i="102" l="1"/>
  <c r="BJ414" i="102" s="1"/>
  <c r="DI177" i="93"/>
  <c r="DI178" i="102"/>
  <c r="DI171" i="102"/>
  <c r="BJ273" i="102"/>
  <c r="BB276" i="102" s="1"/>
  <c r="DI173" i="102"/>
  <c r="DB155" i="102" s="1"/>
  <c r="P560" i="114" s="1"/>
  <c r="I560" i="114" s="1"/>
  <c r="EA65" i="102"/>
  <c r="BT344" i="102"/>
  <c r="BT345" i="102" s="1"/>
  <c r="DB143" i="102"/>
  <c r="P548" i="114" s="1"/>
  <c r="I548" i="114" s="1"/>
  <c r="BJ415" i="102"/>
  <c r="BB413" i="102" s="1"/>
  <c r="P410" i="114" s="1"/>
  <c r="BJ222" i="102"/>
  <c r="BB230" i="102" s="1"/>
  <c r="DI177" i="102"/>
  <c r="DB162" i="102" s="1"/>
  <c r="P567" i="114" s="1"/>
  <c r="I567" i="114" s="1"/>
  <c r="BB229" i="102"/>
  <c r="BH34" i="93"/>
  <c r="BH35" i="93" s="1"/>
  <c r="BB6" i="93" s="1"/>
  <c r="BJ425" i="93"/>
  <c r="BJ426" i="93" s="1"/>
  <c r="BJ423" i="93"/>
  <c r="BJ424" i="93" s="1"/>
  <c r="BH36" i="93"/>
  <c r="BB7" i="93" s="1"/>
  <c r="DB162" i="93"/>
  <c r="O567" i="114" s="1"/>
  <c r="DP21" i="93"/>
  <c r="DB60" i="93" s="1"/>
  <c r="BJ415" i="93"/>
  <c r="BJ414" i="93"/>
  <c r="DI173" i="93"/>
  <c r="DB155" i="93" s="1"/>
  <c r="O560" i="114" s="1"/>
  <c r="DI172" i="93"/>
  <c r="DI174" i="93"/>
  <c r="DB164" i="93" s="1"/>
  <c r="O569" i="114" s="1"/>
  <c r="H82" i="93"/>
  <c r="B75" i="93" s="1"/>
  <c r="D75" i="93"/>
  <c r="C75" i="93" s="1"/>
  <c r="DI174" i="102"/>
  <c r="DB164" i="102" s="1"/>
  <c r="P569" i="114" s="1"/>
  <c r="I569" i="114" s="1"/>
  <c r="AQ71" i="93" a="1"/>
  <c r="AQ71" i="93" s="1"/>
  <c r="AQ72" i="93" s="1" a="1"/>
  <c r="AQ72" i="93" s="1"/>
  <c r="AQ73" i="93" s="1" a="1"/>
  <c r="AQ73" i="93" s="1"/>
  <c r="AQ74" i="93" s="1" a="1"/>
  <c r="AQ74" i="93" s="1"/>
  <c r="AQ75" i="93" s="1" a="1"/>
  <c r="AQ75" i="93" s="1"/>
  <c r="AQ76" i="93" s="1" a="1"/>
  <c r="AQ76" i="93" s="1"/>
  <c r="AQ77" i="93" s="1" a="1"/>
  <c r="AQ77" i="93" s="1"/>
  <c r="AQ78" i="93" s="1" a="1"/>
  <c r="AQ78" i="93" s="1"/>
  <c r="AQ79" i="93" s="1" a="1"/>
  <c r="AQ79" i="93" s="1"/>
  <c r="AQ80" i="93" s="1" a="1"/>
  <c r="AQ80" i="93" s="1"/>
  <c r="AQ81" i="93" s="1" a="1"/>
  <c r="AQ81" i="93" s="1"/>
  <c r="AQ82" i="93" s="1" a="1"/>
  <c r="AQ82" i="93" s="1"/>
  <c r="AQ83" i="93" s="1" a="1"/>
  <c r="AQ83" i="93" s="1"/>
  <c r="AQ84" i="93" s="1" a="1"/>
  <c r="AQ84" i="93" s="1"/>
  <c r="AQ85" i="93" s="1" a="1"/>
  <c r="AQ85" i="93" s="1"/>
  <c r="AQ86" i="93" s="1" a="1"/>
  <c r="AQ86" i="93" s="1"/>
  <c r="AQ87" i="93" s="1" a="1"/>
  <c r="AQ87" i="93" s="1"/>
  <c r="AQ88" i="93" s="1" a="1"/>
  <c r="AQ88" i="93" s="1"/>
  <c r="AQ89" i="93" s="1" a="1"/>
  <c r="AQ89" i="93" s="1"/>
  <c r="AQ90" i="93" s="1" a="1"/>
  <c r="AQ90" i="93" s="1"/>
  <c r="AQ91" i="93" s="1" a="1"/>
  <c r="AQ91" i="93" s="1"/>
  <c r="AQ92" i="93" s="1" a="1"/>
  <c r="AQ92" i="93" s="1"/>
  <c r="AQ93" i="93" s="1" a="1"/>
  <c r="AQ93" i="93" s="1"/>
  <c r="AQ94" i="93" s="1" a="1"/>
  <c r="AQ94" i="93" s="1"/>
  <c r="G85" i="93" s="1"/>
  <c r="G86" i="93" s="1"/>
  <c r="B76" i="93" s="1"/>
  <c r="BH98" i="93"/>
  <c r="BB93" i="93" s="1"/>
  <c r="EA65" i="93"/>
  <c r="BB405" i="102"/>
  <c r="P402" i="114" s="1"/>
  <c r="BJ426" i="102"/>
  <c r="DB166" i="102"/>
  <c r="P571" i="114" s="1"/>
  <c r="I571" i="114" s="1"/>
  <c r="DB158" i="102"/>
  <c r="P563" i="114" s="1"/>
  <c r="I563" i="114" s="1"/>
  <c r="BT347" i="102"/>
  <c r="BB322" i="102"/>
  <c r="BB322" i="93"/>
  <c r="BT347" i="93"/>
  <c r="BB388" i="93"/>
  <c r="O385" i="114" s="1"/>
  <c r="BB414" i="93"/>
  <c r="O411" i="114" s="1"/>
  <c r="DB166" i="93"/>
  <c r="O571" i="114" s="1"/>
  <c r="DB158" i="93"/>
  <c r="O563" i="114" s="1"/>
  <c r="BB388" i="102"/>
  <c r="P385" i="114" s="1"/>
  <c r="BB414" i="102"/>
  <c r="P411" i="114" s="1"/>
  <c r="BJ428" i="93"/>
  <c r="BB406" i="93"/>
  <c r="O403" i="114" s="1"/>
  <c r="DD155" i="102"/>
  <c r="BJ416" i="102"/>
  <c r="BB410" i="102"/>
  <c r="P407" i="114" s="1"/>
  <c r="BJ417" i="102"/>
  <c r="AK68" i="93" a="1"/>
  <c r="AK68" i="93" s="1"/>
  <c r="AK69" i="93" s="1" a="1"/>
  <c r="AK69" i="93" s="1"/>
  <c r="AO67" i="93"/>
  <c r="AP67" i="93" s="1"/>
  <c r="AL67" i="93"/>
  <c r="AM67" i="93" s="1"/>
  <c r="AL66" i="93"/>
  <c r="AM66" i="93" s="1"/>
  <c r="AO66" i="93" s="1"/>
  <c r="AP66" i="93" s="1"/>
  <c r="BJ428" i="102"/>
  <c r="BB406" i="102"/>
  <c r="P403" i="114" s="1"/>
  <c r="HF35" i="72" a="1"/>
  <c r="HF35" i="72" s="1"/>
  <c r="HF34" i="72" a="1"/>
  <c r="HF34" i="72" s="1"/>
  <c r="HF33" i="72" a="1"/>
  <c r="HF33" i="72" s="1"/>
  <c r="HE32" i="72"/>
  <c r="P574" i="114"/>
  <c r="I574" i="114" s="1"/>
  <c r="P573" i="114"/>
  <c r="I573" i="114" s="1"/>
  <c r="P494" i="114"/>
  <c r="I494" i="114" s="1"/>
  <c r="P472" i="114"/>
  <c r="I472" i="114" s="1"/>
  <c r="P469" i="114"/>
  <c r="I469" i="114" s="1"/>
  <c r="P466" i="114"/>
  <c r="I466" i="114" s="1"/>
  <c r="P465" i="114"/>
  <c r="I465" i="114" s="1"/>
  <c r="P464" i="114"/>
  <c r="I464" i="114" s="1"/>
  <c r="P463" i="114"/>
  <c r="I463" i="114" s="1"/>
  <c r="P462" i="114"/>
  <c r="I462" i="114" s="1"/>
  <c r="P461" i="114"/>
  <c r="I461" i="114" s="1"/>
  <c r="P460" i="114"/>
  <c r="I460" i="114" s="1"/>
  <c r="P459" i="114"/>
  <c r="I459" i="114" s="1"/>
  <c r="P458" i="114"/>
  <c r="I458" i="114" s="1"/>
  <c r="P457" i="114"/>
  <c r="I457" i="114" s="1"/>
  <c r="P456" i="114"/>
  <c r="I456" i="114" s="1"/>
  <c r="O137" i="114"/>
  <c r="O494" i="114"/>
  <c r="O472" i="114"/>
  <c r="O469" i="114"/>
  <c r="O466" i="114"/>
  <c r="O465" i="114"/>
  <c r="O464" i="114"/>
  <c r="O463" i="114"/>
  <c r="O462" i="114"/>
  <c r="O461" i="114"/>
  <c r="O460" i="114"/>
  <c r="O459" i="114"/>
  <c r="O458" i="114"/>
  <c r="O457" i="114"/>
  <c r="O456" i="114"/>
  <c r="BJ3" i="92" a="1"/>
  <c r="BJ3" i="72" a="1"/>
  <c r="BJ418" i="102" l="1"/>
  <c r="BB405" i="93"/>
  <c r="O402" i="114" s="1"/>
  <c r="DD155" i="93"/>
  <c r="BB410" i="93"/>
  <c r="O407" i="114" s="1"/>
  <c r="BJ416" i="93"/>
  <c r="BJ417" i="93"/>
  <c r="BB413" i="93"/>
  <c r="O410" i="114" s="1"/>
  <c r="BJ418" i="93"/>
  <c r="AL68" i="93"/>
  <c r="AM68" i="93" s="1"/>
  <c r="AO68" i="93"/>
  <c r="AP68" i="93" s="1"/>
  <c r="AK70" i="93" a="1"/>
  <c r="AK70" i="93" s="1"/>
  <c r="AK71" i="93" s="1" a="1"/>
  <c r="AK71" i="93" s="1"/>
  <c r="AO69" i="93"/>
  <c r="AP69" i="93" s="1"/>
  <c r="AL69" i="93"/>
  <c r="AM69" i="93" s="1"/>
  <c r="HF32" i="72" a="1"/>
  <c r="HF32" i="72" s="1"/>
  <c r="HB25" i="72" s="1"/>
  <c r="H462" i="114"/>
  <c r="H463" i="114"/>
  <c r="H464" i="114"/>
  <c r="H465" i="114"/>
  <c r="H466" i="114"/>
  <c r="H469" i="114"/>
  <c r="H456" i="114"/>
  <c r="H472" i="114"/>
  <c r="H457" i="114"/>
  <c r="H494" i="114"/>
  <c r="H458" i="114"/>
  <c r="H137" i="114"/>
  <c r="H459" i="114"/>
  <c r="H562" i="114"/>
  <c r="H460" i="114"/>
  <c r="H461" i="114"/>
  <c r="BJ3" i="92"/>
  <c r="BJ3" i="72"/>
  <c r="P474" i="114"/>
  <c r="I474" i="114" s="1"/>
  <c r="P441" i="114"/>
  <c r="I441" i="114" s="1"/>
  <c r="P443" i="114"/>
  <c r="I443" i="114" s="1"/>
  <c r="P438" i="114"/>
  <c r="I438" i="114" s="1"/>
  <c r="P439" i="114"/>
  <c r="I439" i="114" s="1"/>
  <c r="P446" i="114"/>
  <c r="I446" i="114" s="1"/>
  <c r="P444" i="114"/>
  <c r="I444" i="114" s="1"/>
  <c r="P442" i="114"/>
  <c r="I442" i="114" s="1"/>
  <c r="P451" i="114"/>
  <c r="I451" i="114" s="1"/>
  <c r="P448" i="114"/>
  <c r="I448" i="114" s="1"/>
  <c r="P445" i="114"/>
  <c r="I445" i="114" s="1"/>
  <c r="P440" i="114"/>
  <c r="I440" i="114" s="1"/>
  <c r="P447" i="114"/>
  <c r="I447" i="114" s="1"/>
  <c r="P437" i="114"/>
  <c r="I437" i="114" s="1"/>
  <c r="P473" i="114"/>
  <c r="I473" i="114" s="1"/>
  <c r="P471" i="114"/>
  <c r="I471" i="114" s="1"/>
  <c r="P475" i="114"/>
  <c r="I475" i="114" s="1"/>
  <c r="P476" i="114"/>
  <c r="I476" i="114" s="1"/>
  <c r="P489" i="114"/>
  <c r="I489" i="114" s="1"/>
  <c r="P480" i="114"/>
  <c r="I480" i="114" s="1"/>
  <c r="P490" i="114"/>
  <c r="I490" i="114" s="1"/>
  <c r="AK72" i="93" l="1" a="1"/>
  <c r="AK72" i="93" s="1"/>
  <c r="AO70" i="93"/>
  <c r="AP70" i="93" s="1"/>
  <c r="AL70" i="93"/>
  <c r="AM70" i="93" s="1"/>
  <c r="AO71" i="93"/>
  <c r="AP71" i="93" s="1"/>
  <c r="AL71" i="93"/>
  <c r="AM71" i="93" s="1"/>
  <c r="K26" i="10"/>
  <c r="T258" i="64"/>
  <c r="F1011" i="44"/>
  <c r="F1028" i="44"/>
  <c r="F977" i="44"/>
  <c r="F994" i="44"/>
  <c r="F943" i="44"/>
  <c r="F960" i="44"/>
  <c r="F909" i="44"/>
  <c r="F926" i="44"/>
  <c r="F875" i="44"/>
  <c r="F892" i="44"/>
  <c r="F841" i="44"/>
  <c r="F858" i="44"/>
  <c r="F807" i="44"/>
  <c r="F824" i="44"/>
  <c r="F773" i="44"/>
  <c r="F790" i="44"/>
  <c r="F739" i="44"/>
  <c r="F756" i="44"/>
  <c r="F705" i="44"/>
  <c r="F722" i="44"/>
  <c r="F665" i="44"/>
  <c r="F682" i="44"/>
  <c r="F631" i="44"/>
  <c r="F648" i="44"/>
  <c r="F597" i="44"/>
  <c r="F614" i="44"/>
  <c r="F563" i="44"/>
  <c r="F580" i="44"/>
  <c r="F529" i="44"/>
  <c r="F546" i="44"/>
  <c r="F495" i="44"/>
  <c r="F512" i="44"/>
  <c r="F461" i="44"/>
  <c r="F478" i="44"/>
  <c r="F427" i="44"/>
  <c r="F444" i="44"/>
  <c r="F393" i="44"/>
  <c r="F410" i="44"/>
  <c r="F359" i="44"/>
  <c r="F376" i="44"/>
  <c r="F1011" i="89"/>
  <c r="F1028" i="89"/>
  <c r="F977" i="89"/>
  <c r="F994" i="89"/>
  <c r="F943" i="89"/>
  <c r="F960" i="89"/>
  <c r="F909" i="89"/>
  <c r="F926" i="89"/>
  <c r="F875" i="89"/>
  <c r="F892" i="89"/>
  <c r="F841" i="89"/>
  <c r="F858" i="89"/>
  <c r="F807" i="89"/>
  <c r="F824" i="89"/>
  <c r="F773" i="89"/>
  <c r="F790" i="89"/>
  <c r="F739" i="89"/>
  <c r="F756" i="89"/>
  <c r="F705" i="89"/>
  <c r="F722" i="89"/>
  <c r="F665" i="89"/>
  <c r="F682" i="89"/>
  <c r="F631" i="89"/>
  <c r="F648" i="89"/>
  <c r="F597" i="89"/>
  <c r="F614" i="89"/>
  <c r="F563" i="89"/>
  <c r="F580" i="89"/>
  <c r="F529" i="89"/>
  <c r="F546" i="89"/>
  <c r="F495" i="89"/>
  <c r="F512" i="89"/>
  <c r="F461" i="89"/>
  <c r="F478" i="89"/>
  <c r="F427" i="89"/>
  <c r="F444" i="89"/>
  <c r="F393" i="89"/>
  <c r="F410" i="89"/>
  <c r="F359" i="89"/>
  <c r="F376" i="89"/>
  <c r="P468" i="114"/>
  <c r="I468" i="114" s="1"/>
  <c r="P454" i="114"/>
  <c r="I454" i="114" s="1"/>
  <c r="P492" i="114"/>
  <c r="I492" i="114" s="1"/>
  <c r="P493" i="114"/>
  <c r="I493" i="114" s="1"/>
  <c r="P452" i="114"/>
  <c r="I452" i="114" s="1"/>
  <c r="P450" i="114"/>
  <c r="I450" i="114" s="1"/>
  <c r="P449" i="114"/>
  <c r="I449" i="114" s="1"/>
  <c r="P467" i="114"/>
  <c r="I467" i="114" s="1"/>
  <c r="P491" i="114"/>
  <c r="I491" i="114" s="1"/>
  <c r="P470" i="114"/>
  <c r="I470" i="114" s="1"/>
  <c r="P477" i="114"/>
  <c r="I477" i="114" s="1"/>
  <c r="P478" i="114"/>
  <c r="I478" i="114" s="1"/>
  <c r="P455" i="114"/>
  <c r="I455" i="114" s="1"/>
  <c r="P495" i="114"/>
  <c r="I495" i="114" s="1"/>
  <c r="P497" i="114"/>
  <c r="I497" i="114" s="1"/>
  <c r="O473" i="114"/>
  <c r="O471" i="114"/>
  <c r="O439" i="114"/>
  <c r="AK73" i="93" l="1" a="1"/>
  <c r="AK73" i="93" s="1"/>
  <c r="AO72" i="93"/>
  <c r="AP72" i="93" s="1"/>
  <c r="AL72" i="93"/>
  <c r="AM72" i="93" s="1"/>
  <c r="H439" i="114"/>
  <c r="H471" i="114"/>
  <c r="H473" i="114"/>
  <c r="P479" i="114"/>
  <c r="I479" i="114" s="1"/>
  <c r="P496" i="114"/>
  <c r="I496" i="114" s="1"/>
  <c r="P453" i="114"/>
  <c r="I453" i="114" s="1"/>
  <c r="AL73" i="93" l="1"/>
  <c r="AM73" i="93" s="1"/>
  <c r="AO73" i="93"/>
  <c r="AP73" i="93" s="1"/>
  <c r="AK74" i="93" a="1"/>
  <c r="AK74" i="93" s="1"/>
  <c r="AK75" i="93" s="1" a="1"/>
  <c r="AK75" i="93" s="1"/>
  <c r="O474" i="114"/>
  <c r="AL75" i="93" l="1"/>
  <c r="AM75" i="93" s="1"/>
  <c r="AO75" i="93"/>
  <c r="AP75" i="93" s="1"/>
  <c r="AK76" i="93" a="1"/>
  <c r="AK76" i="93" s="1"/>
  <c r="AL74" i="93"/>
  <c r="AM74" i="93" s="1"/>
  <c r="AO74" i="93"/>
  <c r="AP74" i="93" s="1"/>
  <c r="H474" i="114"/>
  <c r="AL76" i="93" l="1"/>
  <c r="AM76" i="93" s="1"/>
  <c r="AO76" i="93"/>
  <c r="AP76" i="93" s="1"/>
  <c r="AK77" i="93" a="1"/>
  <c r="AK77" i="93" s="1"/>
  <c r="O495" i="114"/>
  <c r="AO77" i="93" l="1"/>
  <c r="AP77" i="93" s="1"/>
  <c r="AL77" i="93"/>
  <c r="AM77" i="93" s="1"/>
  <c r="AK78" i="93" a="1"/>
  <c r="AK78" i="93" s="1"/>
  <c r="H495" i="114"/>
  <c r="AO78" i="93" l="1"/>
  <c r="AP78" i="93" s="1"/>
  <c r="AL78" i="93"/>
  <c r="AM78" i="93" s="1"/>
  <c r="AK79" i="93" a="1"/>
  <c r="AK79" i="93" s="1"/>
  <c r="O493" i="114"/>
  <c r="P258" i="114"/>
  <c r="I258" i="114" s="1"/>
  <c r="P299" i="114"/>
  <c r="I299" i="114" s="1"/>
  <c r="I382" i="114"/>
  <c r="I421" i="114"/>
  <c r="I404" i="114"/>
  <c r="I371" i="114"/>
  <c r="I367" i="114"/>
  <c r="I395" i="114"/>
  <c r="I387" i="114"/>
  <c r="I383" i="114"/>
  <c r="I372" i="114"/>
  <c r="I370" i="114"/>
  <c r="I366" i="114"/>
  <c r="I398" i="114"/>
  <c r="I394" i="114"/>
  <c r="I390" i="114"/>
  <c r="I386" i="114"/>
  <c r="I368" i="114"/>
  <c r="I373" i="114"/>
  <c r="I369" i="114"/>
  <c r="I365" i="114"/>
  <c r="I406" i="114"/>
  <c r="I397" i="114"/>
  <c r="I385" i="114"/>
  <c r="I405" i="114"/>
  <c r="I364" i="114"/>
  <c r="I396" i="114"/>
  <c r="I392" i="114"/>
  <c r="I388" i="114"/>
  <c r="I407" i="114"/>
  <c r="I425" i="114"/>
  <c r="P334" i="114"/>
  <c r="I334" i="114" s="1"/>
  <c r="P330" i="114"/>
  <c r="I330" i="114" s="1"/>
  <c r="P317" i="114"/>
  <c r="I317" i="114" s="1"/>
  <c r="P312" i="114"/>
  <c r="I312" i="114" s="1"/>
  <c r="P320" i="114"/>
  <c r="I320" i="114" s="1"/>
  <c r="P316" i="114"/>
  <c r="I316" i="114" s="1"/>
  <c r="P333" i="114"/>
  <c r="I333" i="114" s="1"/>
  <c r="P324" i="114"/>
  <c r="I324" i="114" s="1"/>
  <c r="P332" i="114"/>
  <c r="I332" i="114" s="1"/>
  <c r="P319" i="114"/>
  <c r="I319" i="114" s="1"/>
  <c r="P315" i="114"/>
  <c r="I315" i="114" s="1"/>
  <c r="P331" i="114"/>
  <c r="I331" i="114" s="1"/>
  <c r="P318" i="114"/>
  <c r="I318" i="114" s="1"/>
  <c r="P314" i="114"/>
  <c r="I314" i="114" s="1"/>
  <c r="P313" i="114"/>
  <c r="I313" i="114" s="1"/>
  <c r="P335" i="114"/>
  <c r="I335" i="114" s="1"/>
  <c r="P321" i="114"/>
  <c r="I321" i="114" s="1"/>
  <c r="P275" i="114"/>
  <c r="I275" i="114" s="1"/>
  <c r="P271" i="114"/>
  <c r="I271" i="114" s="1"/>
  <c r="P281" i="114"/>
  <c r="I281" i="114" s="1"/>
  <c r="P287" i="114"/>
  <c r="I287" i="114" s="1"/>
  <c r="P274" i="114"/>
  <c r="I274" i="114" s="1"/>
  <c r="P270" i="114"/>
  <c r="I270" i="114" s="1"/>
  <c r="P278" i="114"/>
  <c r="I278" i="114" s="1"/>
  <c r="P286" i="114"/>
  <c r="I286" i="114" s="1"/>
  <c r="P282" i="114"/>
  <c r="I282" i="114" s="1"/>
  <c r="P277" i="114"/>
  <c r="I277" i="114" s="1"/>
  <c r="P273" i="114"/>
  <c r="I273" i="114" s="1"/>
  <c r="P285" i="114"/>
  <c r="I285" i="114" s="1"/>
  <c r="P276" i="114"/>
  <c r="I276" i="114" s="1"/>
  <c r="P272" i="114"/>
  <c r="I272" i="114" s="1"/>
  <c r="P284" i="114"/>
  <c r="I284" i="114" s="1"/>
  <c r="P279" i="114"/>
  <c r="I279" i="114" s="1"/>
  <c r="P289" i="114"/>
  <c r="I289" i="114" s="1"/>
  <c r="P300" i="114"/>
  <c r="I300" i="114" s="1"/>
  <c r="P235" i="114"/>
  <c r="I235" i="114" s="1"/>
  <c r="P231" i="114"/>
  <c r="I231" i="114" s="1"/>
  <c r="P227" i="114"/>
  <c r="I227" i="114" s="1"/>
  <c r="P247" i="114"/>
  <c r="I247" i="114" s="1"/>
  <c r="P234" i="114"/>
  <c r="I234" i="114" s="1"/>
  <c r="P230" i="114"/>
  <c r="I230" i="114" s="1"/>
  <c r="P246" i="114"/>
  <c r="I246" i="114" s="1"/>
  <c r="P245" i="114"/>
  <c r="I245" i="114" s="1"/>
  <c r="P233" i="114"/>
  <c r="I233" i="114" s="1"/>
  <c r="P229" i="114"/>
  <c r="I229" i="114" s="1"/>
  <c r="P237" i="114"/>
  <c r="I237" i="114" s="1"/>
  <c r="P244" i="114"/>
  <c r="I244" i="114" s="1"/>
  <c r="P232" i="114"/>
  <c r="I232" i="114" s="1"/>
  <c r="P228" i="114"/>
  <c r="I228" i="114" s="1"/>
  <c r="P243" i="114"/>
  <c r="I243" i="114" s="1"/>
  <c r="P239" i="114"/>
  <c r="I239" i="114" s="1"/>
  <c r="P251" i="114"/>
  <c r="I251" i="114" s="1"/>
  <c r="P236" i="114"/>
  <c r="I236" i="114" s="1"/>
  <c r="P242" i="114"/>
  <c r="I242" i="114" s="1"/>
  <c r="P241" i="114"/>
  <c r="I241" i="114" s="1"/>
  <c r="P249" i="114"/>
  <c r="I249" i="114" s="1"/>
  <c r="P240" i="114"/>
  <c r="I240" i="114" s="1"/>
  <c r="AO79" i="93" l="1"/>
  <c r="AP79" i="93" s="1"/>
  <c r="AL79" i="93"/>
  <c r="AM79" i="93" s="1"/>
  <c r="AK80" i="93" a="1"/>
  <c r="AK80" i="93" s="1"/>
  <c r="H493" i="114"/>
  <c r="O492" i="114"/>
  <c r="I409" i="114"/>
  <c r="I412" i="114"/>
  <c r="P283" i="114"/>
  <c r="I283" i="114" s="1"/>
  <c r="I408" i="114"/>
  <c r="I379" i="114"/>
  <c r="I375" i="114"/>
  <c r="I378" i="114"/>
  <c r="I374" i="114"/>
  <c r="I377" i="114"/>
  <c r="I380" i="114"/>
  <c r="I376" i="114"/>
  <c r="I403" i="114"/>
  <c r="I399" i="114"/>
  <c r="I422" i="114"/>
  <c r="I402" i="114"/>
  <c r="I401" i="114"/>
  <c r="I400" i="114"/>
  <c r="I424" i="114"/>
  <c r="I423" i="114"/>
  <c r="I420" i="114"/>
  <c r="I417" i="114"/>
  <c r="I416" i="114"/>
  <c r="I414" i="114"/>
  <c r="I413" i="114"/>
  <c r="I428" i="114"/>
  <c r="I426" i="114"/>
  <c r="P345" i="114"/>
  <c r="I345" i="114" s="1"/>
  <c r="P336" i="114"/>
  <c r="I336" i="114" s="1"/>
  <c r="P347" i="114"/>
  <c r="I347" i="114" s="1"/>
  <c r="P346" i="114"/>
  <c r="I346" i="114" s="1"/>
  <c r="P350" i="114"/>
  <c r="I350" i="114" s="1"/>
  <c r="P348" i="114"/>
  <c r="I348" i="114" s="1"/>
  <c r="P323" i="114"/>
  <c r="I323" i="114" s="1"/>
  <c r="P322" i="114"/>
  <c r="I322" i="114" s="1"/>
  <c r="P338" i="114"/>
  <c r="I338" i="114" s="1"/>
  <c r="P343" i="114"/>
  <c r="I343" i="114" s="1"/>
  <c r="P325" i="114"/>
  <c r="I325" i="114" s="1"/>
  <c r="P329" i="114"/>
  <c r="I329" i="114" s="1"/>
  <c r="P328" i="114"/>
  <c r="I328" i="114" s="1"/>
  <c r="P341" i="114"/>
  <c r="I341" i="114" s="1"/>
  <c r="P327" i="114"/>
  <c r="I327" i="114" s="1"/>
  <c r="P340" i="114"/>
  <c r="I340" i="114" s="1"/>
  <c r="P344" i="114"/>
  <c r="I344" i="114" s="1"/>
  <c r="P326" i="114"/>
  <c r="I326" i="114" s="1"/>
  <c r="P297" i="114"/>
  <c r="I297" i="114" s="1"/>
  <c r="P288" i="114"/>
  <c r="I288" i="114" s="1"/>
  <c r="P269" i="114"/>
  <c r="I269" i="114" s="1"/>
  <c r="P293" i="114"/>
  <c r="I293" i="114" s="1"/>
  <c r="P294" i="114"/>
  <c r="I294" i="114" s="1"/>
  <c r="P290" i="114"/>
  <c r="I290" i="114" s="1"/>
  <c r="P280" i="114"/>
  <c r="I280" i="114" s="1"/>
  <c r="P291" i="114"/>
  <c r="I291" i="114" s="1"/>
  <c r="P292" i="114"/>
  <c r="I292" i="114" s="1"/>
  <c r="P254" i="114"/>
  <c r="I254" i="114" s="1"/>
  <c r="P256" i="114"/>
  <c r="I256" i="114" s="1"/>
  <c r="P253" i="114"/>
  <c r="I253" i="114" s="1"/>
  <c r="P252" i="114"/>
  <c r="I252" i="114" s="1"/>
  <c r="P250" i="114"/>
  <c r="I250" i="114" s="1"/>
  <c r="P238" i="114"/>
  <c r="I238" i="114" s="1"/>
  <c r="P248" i="114"/>
  <c r="I248" i="114" s="1"/>
  <c r="P226" i="114"/>
  <c r="I226" i="114" s="1"/>
  <c r="AK81" i="93" l="1" a="1"/>
  <c r="AK81" i="93" s="1"/>
  <c r="AO80" i="93"/>
  <c r="AP80" i="93" s="1"/>
  <c r="AL80" i="93"/>
  <c r="AM80" i="93" s="1"/>
  <c r="H492" i="114"/>
  <c r="P339" i="114"/>
  <c r="I339" i="114" s="1"/>
  <c r="P351" i="114"/>
  <c r="I351" i="114" s="1"/>
  <c r="I393" i="114"/>
  <c r="I381" i="114"/>
  <c r="I419" i="114"/>
  <c r="I389" i="114"/>
  <c r="I384" i="114"/>
  <c r="I411" i="114"/>
  <c r="I410" i="114"/>
  <c r="I427" i="114"/>
  <c r="P349" i="114"/>
  <c r="I349" i="114" s="1"/>
  <c r="P337" i="114"/>
  <c r="I337" i="114" s="1"/>
  <c r="P296" i="114"/>
  <c r="I296" i="114" s="1"/>
  <c r="AL81" i="93" l="1"/>
  <c r="AM81" i="93" s="1"/>
  <c r="AO81" i="93"/>
  <c r="AP81" i="93" s="1"/>
  <c r="AK82" i="93" a="1"/>
  <c r="AK82" i="93" s="1"/>
  <c r="I391" i="114"/>
  <c r="I415" i="114"/>
  <c r="I418" i="114"/>
  <c r="AL82" i="93" l="1"/>
  <c r="AM82" i="93" s="1"/>
  <c r="AO82" i="93"/>
  <c r="AP82" i="93" s="1"/>
  <c r="AK83" i="93" a="1"/>
  <c r="AK83" i="93" s="1"/>
  <c r="P204" i="114"/>
  <c r="I204" i="114" s="1"/>
  <c r="P186" i="114"/>
  <c r="I186" i="114" s="1"/>
  <c r="P187" i="114"/>
  <c r="I187" i="114" s="1"/>
  <c r="P188" i="114"/>
  <c r="I188" i="114" s="1"/>
  <c r="P189" i="114"/>
  <c r="I189" i="114" s="1"/>
  <c r="P190" i="114"/>
  <c r="I190" i="114" s="1"/>
  <c r="P191" i="114"/>
  <c r="I191" i="114" s="1"/>
  <c r="P192" i="114"/>
  <c r="I192" i="114" s="1"/>
  <c r="P193" i="114"/>
  <c r="I193" i="114" s="1"/>
  <c r="P194" i="114"/>
  <c r="I194" i="114" s="1"/>
  <c r="P195" i="114"/>
  <c r="I195" i="114" s="1"/>
  <c r="AO83" i="93" l="1"/>
  <c r="AP83" i="93" s="1"/>
  <c r="AL83" i="93"/>
  <c r="AM83" i="93" s="1"/>
  <c r="AK84" i="93" a="1"/>
  <c r="AK84" i="93" s="1"/>
  <c r="P211" i="114"/>
  <c r="I211" i="114" s="1"/>
  <c r="P185" i="114"/>
  <c r="I185" i="114" s="1"/>
  <c r="P196" i="114"/>
  <c r="I196" i="114" s="1"/>
  <c r="P206" i="114"/>
  <c r="I206" i="114" s="1"/>
  <c r="P197" i="114"/>
  <c r="I197" i="114" s="1"/>
  <c r="AO84" i="93" l="1"/>
  <c r="AP84" i="93" s="1"/>
  <c r="AL84" i="93"/>
  <c r="AM84" i="93" s="1"/>
  <c r="AK85" i="93" a="1"/>
  <c r="AK85" i="93" s="1"/>
  <c r="P212" i="114"/>
  <c r="I212" i="114" s="1"/>
  <c r="P214" i="114"/>
  <c r="I214" i="114" s="1"/>
  <c r="P207" i="114"/>
  <c r="I207" i="114" s="1"/>
  <c r="P198" i="114"/>
  <c r="I198" i="114" s="1"/>
  <c r="P215" i="114"/>
  <c r="I215" i="114" s="1"/>
  <c r="AL85" i="93" l="1"/>
  <c r="AM85" i="93" s="1"/>
  <c r="AO85" i="93"/>
  <c r="AP85" i="93" s="1"/>
  <c r="AK86" i="93" a="1"/>
  <c r="AK86" i="93" s="1"/>
  <c r="P213" i="114"/>
  <c r="I213" i="114" s="1"/>
  <c r="P208" i="114"/>
  <c r="I208" i="114" s="1"/>
  <c r="P199" i="114"/>
  <c r="I199" i="114" s="1"/>
  <c r="AO86" i="93" l="1"/>
  <c r="AP86" i="93" s="1"/>
  <c r="AL86" i="93"/>
  <c r="AM86" i="93" s="1"/>
  <c r="AK87" i="93" a="1"/>
  <c r="AK87" i="93" s="1"/>
  <c r="P209" i="114"/>
  <c r="I209" i="114" s="1"/>
  <c r="P203" i="114"/>
  <c r="I203" i="114" s="1"/>
  <c r="P205" i="114"/>
  <c r="I205" i="114" s="1"/>
  <c r="P210" i="114"/>
  <c r="I210" i="114" s="1"/>
  <c r="P200" i="114"/>
  <c r="I200" i="114" s="1"/>
  <c r="P201" i="114"/>
  <c r="I201" i="114" s="1"/>
  <c r="P202" i="114"/>
  <c r="I202" i="114" s="1"/>
  <c r="AO87" i="93" l="1"/>
  <c r="AP87" i="93" s="1"/>
  <c r="AL87" i="93"/>
  <c r="AM87" i="93" s="1"/>
  <c r="AK88" i="93" a="1"/>
  <c r="AK88" i="93" s="1"/>
  <c r="AK89" i="93" s="1" a="1"/>
  <c r="AK89" i="93" s="1"/>
  <c r="O215" i="114"/>
  <c r="O175" i="114"/>
  <c r="O141" i="114"/>
  <c r="P175" i="114"/>
  <c r="I175" i="114" s="1"/>
  <c r="P169" i="114"/>
  <c r="I169" i="114" s="1"/>
  <c r="P142" i="114"/>
  <c r="P134" i="114"/>
  <c r="I134" i="114" s="1"/>
  <c r="P136" i="114"/>
  <c r="I136" i="114" s="1"/>
  <c r="P130" i="114"/>
  <c r="I130" i="114" s="1"/>
  <c r="P135" i="114"/>
  <c r="I135" i="114" s="1"/>
  <c r="P124" i="114"/>
  <c r="I124" i="114" s="1"/>
  <c r="P129" i="114"/>
  <c r="I129" i="114" s="1"/>
  <c r="P133" i="114"/>
  <c r="I133" i="114" s="1"/>
  <c r="P132" i="114"/>
  <c r="I132" i="114" s="1"/>
  <c r="P128" i="114"/>
  <c r="I128" i="114" s="1"/>
  <c r="P123" i="114"/>
  <c r="I123" i="114" s="1"/>
  <c r="P127" i="114"/>
  <c r="I127" i="114" s="1"/>
  <c r="P122" i="114"/>
  <c r="I122" i="114" s="1"/>
  <c r="P126" i="114"/>
  <c r="I126" i="114" s="1"/>
  <c r="P125" i="114"/>
  <c r="I125" i="114" s="1"/>
  <c r="P131" i="114"/>
  <c r="I131" i="114" s="1"/>
  <c r="P98" i="114"/>
  <c r="I98" i="114" s="1"/>
  <c r="P97" i="114"/>
  <c r="I97" i="114" s="1"/>
  <c r="P96" i="114"/>
  <c r="I96" i="114" s="1"/>
  <c r="P99" i="114"/>
  <c r="I99" i="114" s="1"/>
  <c r="P113" i="114"/>
  <c r="I113" i="114" s="1"/>
  <c r="P104" i="114"/>
  <c r="I104" i="114" s="1"/>
  <c r="P106" i="114"/>
  <c r="I106" i="114" s="1"/>
  <c r="P103" i="114"/>
  <c r="I103" i="114" s="1"/>
  <c r="P93" i="114"/>
  <c r="I93" i="114" s="1"/>
  <c r="P95" i="114"/>
  <c r="I95" i="114" s="1"/>
  <c r="P94" i="114"/>
  <c r="I94" i="114" s="1"/>
  <c r="P92" i="114"/>
  <c r="I92" i="114" s="1"/>
  <c r="P91" i="114"/>
  <c r="I91" i="114" s="1"/>
  <c r="P90" i="114"/>
  <c r="I90" i="114" s="1"/>
  <c r="P89" i="114"/>
  <c r="I89" i="114" s="1"/>
  <c r="P88" i="114"/>
  <c r="I88" i="114" s="1"/>
  <c r="P105" i="114"/>
  <c r="I105" i="114" s="1"/>
  <c r="P87" i="114"/>
  <c r="P102" i="114"/>
  <c r="I102" i="114" s="1"/>
  <c r="O113" i="114"/>
  <c r="AL89" i="93" l="1"/>
  <c r="AM89" i="93" s="1"/>
  <c r="AO89" i="93"/>
  <c r="AP89" i="93" s="1"/>
  <c r="AK90" i="93" a="1"/>
  <c r="AK90" i="93" s="1"/>
  <c r="AL88" i="93"/>
  <c r="AM88" i="93" s="1"/>
  <c r="AO88" i="93"/>
  <c r="AP88" i="93" s="1"/>
  <c r="I87" i="114"/>
  <c r="H113" i="114"/>
  <c r="I142" i="114"/>
  <c r="H141" i="114"/>
  <c r="H175" i="114"/>
  <c r="H215" i="114"/>
  <c r="P167" i="114"/>
  <c r="I167" i="114" s="1"/>
  <c r="P156" i="114"/>
  <c r="I156" i="114" s="1"/>
  <c r="P166" i="114"/>
  <c r="I166" i="114" s="1"/>
  <c r="P161" i="114"/>
  <c r="I161" i="114" s="1"/>
  <c r="P165" i="114"/>
  <c r="I165" i="114" s="1"/>
  <c r="P164" i="114"/>
  <c r="I164" i="114" s="1"/>
  <c r="P160" i="114"/>
  <c r="I160" i="114" s="1"/>
  <c r="P155" i="114"/>
  <c r="I155" i="114" s="1"/>
  <c r="P159" i="114"/>
  <c r="I159" i="114" s="1"/>
  <c r="P158" i="114"/>
  <c r="I158" i="114" s="1"/>
  <c r="P154" i="114"/>
  <c r="I154" i="114" s="1"/>
  <c r="P168" i="114"/>
  <c r="I168" i="114" s="1"/>
  <c r="P163" i="114"/>
  <c r="I163" i="114" s="1"/>
  <c r="P157" i="114"/>
  <c r="I157" i="114" s="1"/>
  <c r="P153" i="114"/>
  <c r="I153" i="114" s="1"/>
  <c r="P162" i="114"/>
  <c r="I162" i="114" s="1"/>
  <c r="P171" i="114"/>
  <c r="I171" i="114" s="1"/>
  <c r="P170" i="114"/>
  <c r="I170" i="114" s="1"/>
  <c r="P174" i="114"/>
  <c r="I174" i="114" s="1"/>
  <c r="P172" i="114"/>
  <c r="I172" i="114" s="1"/>
  <c r="P137" i="114"/>
  <c r="P138" i="114"/>
  <c r="I138" i="114" s="1"/>
  <c r="P139" i="114"/>
  <c r="I139" i="114" s="1"/>
  <c r="P141" i="114"/>
  <c r="I141" i="114" s="1"/>
  <c r="P101" i="114"/>
  <c r="I101" i="114" s="1"/>
  <c r="P107" i="114"/>
  <c r="I107" i="114" s="1"/>
  <c r="P100" i="114"/>
  <c r="I100" i="114" s="1"/>
  <c r="P112" i="114"/>
  <c r="I112" i="114" s="1"/>
  <c r="P109" i="114"/>
  <c r="I109" i="114" s="1"/>
  <c r="P108" i="114"/>
  <c r="I108" i="114" s="1"/>
  <c r="AK91" i="93" l="1" a="1"/>
  <c r="AK91" i="93" s="1"/>
  <c r="AL90" i="93"/>
  <c r="AM90" i="93" s="1"/>
  <c r="AO90" i="93"/>
  <c r="AP90" i="93" s="1"/>
  <c r="I137" i="114"/>
  <c r="P173" i="114"/>
  <c r="I173" i="114" s="1"/>
  <c r="P140" i="114"/>
  <c r="I140" i="114" s="1"/>
  <c r="P110" i="114"/>
  <c r="P111" i="114"/>
  <c r="I111" i="114" s="1"/>
  <c r="AL91" i="93" l="1"/>
  <c r="AM91" i="93" s="1"/>
  <c r="AO91" i="93"/>
  <c r="AP91" i="93" s="1"/>
  <c r="AK92" i="93" a="1"/>
  <c r="AK92" i="93" s="1"/>
  <c r="AK93" i="93" s="1" a="1"/>
  <c r="AK93" i="93" s="1"/>
  <c r="I110" i="114"/>
  <c r="O497" i="114"/>
  <c r="O496" i="114"/>
  <c r="O61" i="114"/>
  <c r="O60" i="114"/>
  <c r="O59" i="114"/>
  <c r="AL93" i="93" l="1"/>
  <c r="AM93" i="93" s="1"/>
  <c r="AO93" i="93"/>
  <c r="AP93" i="93" s="1"/>
  <c r="AK94" i="93" a="1"/>
  <c r="AK94" i="93" s="1"/>
  <c r="AL92" i="93"/>
  <c r="AM92" i="93" s="1"/>
  <c r="AO92" i="93"/>
  <c r="AP92" i="93" s="1"/>
  <c r="H496" i="114"/>
  <c r="H497" i="114"/>
  <c r="G61" i="114"/>
  <c r="G63" i="114"/>
  <c r="G59" i="114"/>
  <c r="G62" i="114"/>
  <c r="G60" i="114"/>
  <c r="AL94" i="93" l="1"/>
  <c r="AM94" i="93" s="1"/>
  <c r="AO94" i="93"/>
  <c r="AP94" i="93" s="1"/>
  <c r="D76" i="93" s="1"/>
  <c r="C76" i="93" s="1"/>
  <c r="O72" i="114"/>
  <c r="G64" i="114"/>
  <c r="O55" i="114" l="1"/>
  <c r="O56" i="114"/>
  <c r="O58" i="114"/>
  <c r="O57" i="114"/>
  <c r="O65" i="114" l="1"/>
  <c r="O44" i="114"/>
  <c r="O33" i="114"/>
  <c r="O32" i="114"/>
  <c r="O31" i="114"/>
  <c r="O34" i="114" l="1"/>
  <c r="O35" i="114"/>
  <c r="BK336" i="92" l="1"/>
  <c r="BK337" i="72"/>
  <c r="BL336" i="72" s="1"/>
  <c r="HB7" i="72"/>
  <c r="HB8" i="72" s="1"/>
  <c r="GM15" i="72"/>
  <c r="GM14" i="72"/>
  <c r="GK7" i="72" a="1"/>
  <c r="GK9" i="72" a="1"/>
  <c r="GK8" i="72" a="1"/>
  <c r="GK11" i="72" a="1"/>
  <c r="GK12" i="72" a="1"/>
  <c r="GK6" i="72" a="1"/>
  <c r="GK13" i="72" a="1"/>
  <c r="GK10" i="72" a="1"/>
  <c r="BK337" i="92" l="1"/>
  <c r="GK13" i="72"/>
  <c r="GK12" i="72"/>
  <c r="GK11" i="72"/>
  <c r="GK10" i="72"/>
  <c r="GK9" i="72"/>
  <c r="GK8" i="72"/>
  <c r="GK7" i="72"/>
  <c r="GK6" i="72"/>
  <c r="DH50" i="92"/>
  <c r="DH49" i="92"/>
  <c r="DH50" i="72"/>
  <c r="DH49" i="72"/>
  <c r="GR81" i="72"/>
  <c r="GR82" i="72"/>
  <c r="GR83" i="72"/>
  <c r="GR84" i="72"/>
  <c r="GR85" i="72"/>
  <c r="GR80" i="72"/>
  <c r="GP81" i="72"/>
  <c r="GP82" i="72"/>
  <c r="GP83" i="72"/>
  <c r="GP84" i="72"/>
  <c r="GP85" i="72"/>
  <c r="GP80" i="72"/>
  <c r="GR66" i="72"/>
  <c r="GR67" i="72"/>
  <c r="GR68" i="72"/>
  <c r="GR65" i="72"/>
  <c r="GP66" i="72"/>
  <c r="GP67" i="72"/>
  <c r="GP68" i="72"/>
  <c r="GP65" i="72"/>
  <c r="GP97" i="72" a="1"/>
  <c r="GP62" i="72"/>
  <c r="DI55" i="72" a="1"/>
  <c r="DI56" i="92" a="1"/>
  <c r="DI56" i="72" a="1"/>
  <c r="GP96" i="72" a="1"/>
  <c r="DI55" i="92" a="1"/>
  <c r="BL336" i="92" l="1"/>
  <c r="BL337" i="92" s="1"/>
  <c r="BM336" i="92" s="1"/>
  <c r="BM337" i="92" s="1"/>
  <c r="BN336" i="92" s="1"/>
  <c r="BN337" i="92" s="1"/>
  <c r="BO336" i="92" s="1"/>
  <c r="BO337" i="92" s="1"/>
  <c r="BP336" i="92" s="1"/>
  <c r="BP337" i="92" s="1"/>
  <c r="BQ336" i="92" s="1"/>
  <c r="GQ62" i="72"/>
  <c r="GP97" i="72"/>
  <c r="GP96" i="72"/>
  <c r="DI55" i="92"/>
  <c r="DI56" i="92"/>
  <c r="DI56" i="72"/>
  <c r="DI55" i="72"/>
  <c r="GQ78" i="72"/>
  <c r="GQ77" i="72"/>
  <c r="GQ63" i="72"/>
  <c r="BQ337" i="92" l="1"/>
  <c r="BR336" i="92" s="1"/>
  <c r="DM168" i="88"/>
  <c r="DK168" i="88"/>
  <c r="DI168" i="88"/>
  <c r="DG168" i="88"/>
  <c r="DE168" i="88"/>
  <c r="DC168" i="88"/>
  <c r="DA168" i="88"/>
  <c r="CY168" i="88"/>
  <c r="CW168" i="88"/>
  <c r="CU168" i="88"/>
  <c r="CS168" i="88"/>
  <c r="CQ168" i="88"/>
  <c r="CO168" i="88"/>
  <c r="CM168" i="88"/>
  <c r="CK168" i="88"/>
  <c r="CI168" i="88"/>
  <c r="CG168" i="88"/>
  <c r="CE168" i="88"/>
  <c r="CC168" i="88"/>
  <c r="CA168" i="88"/>
  <c r="DM129" i="88"/>
  <c r="DK129" i="88"/>
  <c r="DI129" i="88"/>
  <c r="DG129" i="88"/>
  <c r="DE129" i="88"/>
  <c r="DC129" i="88"/>
  <c r="DA129" i="88"/>
  <c r="CY129" i="88"/>
  <c r="CW129" i="88"/>
  <c r="CU129" i="88"/>
  <c r="CS129" i="88"/>
  <c r="CQ129" i="88"/>
  <c r="CO129" i="88"/>
  <c r="CM129" i="88"/>
  <c r="CK129" i="88"/>
  <c r="CI129" i="88"/>
  <c r="CG129" i="88"/>
  <c r="CE129" i="88"/>
  <c r="CC129" i="88"/>
  <c r="CA129" i="88"/>
  <c r="DM90" i="88"/>
  <c r="DK90" i="88"/>
  <c r="DI90" i="88"/>
  <c r="DG90" i="88"/>
  <c r="DE90" i="88"/>
  <c r="DC90" i="88"/>
  <c r="DA90" i="88"/>
  <c r="CY90" i="88"/>
  <c r="CW90" i="88"/>
  <c r="CU90" i="88"/>
  <c r="CS90" i="88"/>
  <c r="CQ90" i="88"/>
  <c r="CO90" i="88"/>
  <c r="CM90" i="88"/>
  <c r="CK90" i="88"/>
  <c r="CI90" i="88"/>
  <c r="CG90" i="88"/>
  <c r="CE90" i="88"/>
  <c r="CC90" i="88"/>
  <c r="CA90" i="88"/>
  <c r="DM168" i="34"/>
  <c r="DK168" i="34"/>
  <c r="DI168" i="34"/>
  <c r="DG168" i="34"/>
  <c r="DE168" i="34"/>
  <c r="DC168" i="34"/>
  <c r="DA168" i="34"/>
  <c r="CY168" i="34"/>
  <c r="CW168" i="34"/>
  <c r="CU168" i="34"/>
  <c r="CS168" i="34"/>
  <c r="CQ168" i="34"/>
  <c r="CO168" i="34"/>
  <c r="CM168" i="34"/>
  <c r="CK168" i="34"/>
  <c r="CI168" i="34"/>
  <c r="CG168" i="34"/>
  <c r="CE168" i="34"/>
  <c r="CC168" i="34"/>
  <c r="CA168" i="34"/>
  <c r="DM129" i="34"/>
  <c r="DK129" i="34"/>
  <c r="DI129" i="34"/>
  <c r="DG129" i="34"/>
  <c r="DE129" i="34"/>
  <c r="DC129" i="34"/>
  <c r="DA129" i="34"/>
  <c r="CY129" i="34"/>
  <c r="CW129" i="34"/>
  <c r="CU129" i="34"/>
  <c r="CS129" i="34"/>
  <c r="CQ129" i="34"/>
  <c r="CO129" i="34"/>
  <c r="CM129" i="34"/>
  <c r="CK129" i="34"/>
  <c r="CI129" i="34"/>
  <c r="CG129" i="34"/>
  <c r="CE129" i="34"/>
  <c r="CC129" i="34"/>
  <c r="CA129" i="34"/>
  <c r="CC90" i="34"/>
  <c r="CE90" i="34"/>
  <c r="CG90" i="34"/>
  <c r="CI90" i="34"/>
  <c r="CK90" i="34"/>
  <c r="CM90" i="34"/>
  <c r="CO90" i="34"/>
  <c r="CQ90" i="34"/>
  <c r="CS90" i="34"/>
  <c r="CU90" i="34"/>
  <c r="CW90" i="34"/>
  <c r="CY90" i="34"/>
  <c r="DA90" i="34"/>
  <c r="DC90" i="34"/>
  <c r="DE90" i="34"/>
  <c r="DG90" i="34"/>
  <c r="DI90" i="34"/>
  <c r="DK90" i="34"/>
  <c r="DM90" i="34"/>
  <c r="CA90" i="34"/>
  <c r="BL489" i="92"/>
  <c r="BL489" i="72"/>
  <c r="BI527" i="92"/>
  <c r="BI526" i="92"/>
  <c r="BI525" i="92"/>
  <c r="BI524" i="92"/>
  <c r="BI523" i="92"/>
  <c r="BI522" i="92"/>
  <c r="BI521" i="92"/>
  <c r="BI520" i="92"/>
  <c r="BI519" i="92"/>
  <c r="BI518" i="92"/>
  <c r="BI517" i="92"/>
  <c r="BI516" i="92"/>
  <c r="BI515" i="92"/>
  <c r="BI514" i="92"/>
  <c r="BI513" i="92"/>
  <c r="BI512" i="92"/>
  <c r="BI511" i="92"/>
  <c r="BI510" i="92"/>
  <c r="BI509" i="92"/>
  <c r="BJ508" i="92"/>
  <c r="BK508" i="92" s="1"/>
  <c r="BL508" i="92" s="1"/>
  <c r="BI508" i="92"/>
  <c r="BJ508" i="72"/>
  <c r="BK508" i="72" s="1"/>
  <c r="BJ509" i="72" s="1"/>
  <c r="BI509" i="72"/>
  <c r="BI510" i="72"/>
  <c r="BI511" i="72"/>
  <c r="BI512" i="72"/>
  <c r="BI513" i="72"/>
  <c r="BI514" i="72"/>
  <c r="BI515" i="72"/>
  <c r="BI516" i="72"/>
  <c r="BI517" i="72"/>
  <c r="BI518" i="72"/>
  <c r="BI519" i="72"/>
  <c r="BI520" i="72"/>
  <c r="BI521" i="72"/>
  <c r="BI522" i="72"/>
  <c r="BI523" i="72"/>
  <c r="BI524" i="72"/>
  <c r="BI525" i="72"/>
  <c r="BI526" i="72"/>
  <c r="BI527" i="72"/>
  <c r="BI508" i="72"/>
  <c r="BL495" i="72"/>
  <c r="BL495" i="92"/>
  <c r="BR337" i="92" l="1"/>
  <c r="BS336" i="92" s="1"/>
  <c r="BN508" i="92"/>
  <c r="BM508" i="92"/>
  <c r="BJ509" i="92"/>
  <c r="BN508" i="72"/>
  <c r="BM508" i="72"/>
  <c r="BL508" i="72"/>
  <c r="BS337" i="92" l="1"/>
  <c r="BT336" i="92" s="1"/>
  <c r="BT337" i="92" s="1"/>
  <c r="BU336" i="92" s="1"/>
  <c r="BU337" i="92" s="1"/>
  <c r="BV336" i="92" s="1"/>
  <c r="BV337" i="92" s="1"/>
  <c r="BW336" i="92" s="1"/>
  <c r="BW337" i="92" s="1"/>
  <c r="BX336" i="92" s="1"/>
  <c r="BX337" i="92" s="1"/>
  <c r="BY336" i="92" s="1"/>
  <c r="BY337" i="92" s="1"/>
  <c r="BZ336" i="92" s="1"/>
  <c r="BZ337" i="92" s="1"/>
  <c r="CA336" i="92" s="1"/>
  <c r="CA337" i="92" s="1"/>
  <c r="CB336" i="92" s="1"/>
  <c r="CB337" i="92" s="1"/>
  <c r="CC336" i="92" s="1"/>
  <c r="CC337" i="92" s="1"/>
  <c r="CD336" i="92" s="1"/>
  <c r="CD337" i="92" s="1"/>
  <c r="BK509" i="92"/>
  <c r="BJ510" i="92" s="1"/>
  <c r="BK509" i="72"/>
  <c r="BN509" i="92" l="1"/>
  <c r="BL509" i="92"/>
  <c r="BM509" i="92"/>
  <c r="BK510" i="92"/>
  <c r="BJ511" i="92" s="1"/>
  <c r="BL509" i="72"/>
  <c r="BM509" i="72"/>
  <c r="BN509" i="72"/>
  <c r="BJ510" i="72"/>
  <c r="BL510" i="92" l="1"/>
  <c r="BM510" i="92"/>
  <c r="BN510" i="92"/>
  <c r="BK511" i="92"/>
  <c r="BJ512" i="92" s="1"/>
  <c r="BK510" i="72"/>
  <c r="BL510" i="72" s="1"/>
  <c r="BM511" i="92" l="1"/>
  <c r="BK512" i="92"/>
  <c r="BJ513" i="92" s="1"/>
  <c r="BL511" i="92"/>
  <c r="BN511" i="92"/>
  <c r="BN510" i="72"/>
  <c r="BM510" i="72"/>
  <c r="BJ511" i="72"/>
  <c r="BN512" i="92" l="1"/>
  <c r="BL512" i="92"/>
  <c r="BM512" i="92"/>
  <c r="BK513" i="92"/>
  <c r="BJ514" i="92" s="1"/>
  <c r="BK511" i="72"/>
  <c r="BL511" i="72" s="1"/>
  <c r="BN513" i="92" l="1"/>
  <c r="BK514" i="92"/>
  <c r="BJ515" i="92" s="1"/>
  <c r="BL513" i="92"/>
  <c r="BM513" i="92"/>
  <c r="BN511" i="72"/>
  <c r="BM511" i="72"/>
  <c r="BJ512" i="72"/>
  <c r="BM514" i="92" l="1"/>
  <c r="BN514" i="92"/>
  <c r="BK515" i="92"/>
  <c r="BJ516" i="92" s="1"/>
  <c r="BL514" i="92"/>
  <c r="BK512" i="72"/>
  <c r="BJ513" i="72" s="1"/>
  <c r="BL515" i="92" l="1"/>
  <c r="BM515" i="92"/>
  <c r="BN515" i="92"/>
  <c r="BK516" i="92"/>
  <c r="BJ517" i="92" s="1"/>
  <c r="BL512" i="72"/>
  <c r="BM512" i="72"/>
  <c r="BN512" i="72"/>
  <c r="BK513" i="72"/>
  <c r="BN513" i="72" s="1"/>
  <c r="BM516" i="92" l="1"/>
  <c r="BN516" i="92"/>
  <c r="BL516" i="92"/>
  <c r="BK517" i="92"/>
  <c r="BJ518" i="92" s="1"/>
  <c r="BL513" i="72"/>
  <c r="BM513" i="72"/>
  <c r="BJ514" i="72"/>
  <c r="BN517" i="92" l="1"/>
  <c r="BK518" i="92"/>
  <c r="BJ519" i="92" s="1"/>
  <c r="BL517" i="92"/>
  <c r="BM517" i="92"/>
  <c r="BK514" i="72"/>
  <c r="BJ515" i="72" s="1"/>
  <c r="BN518" i="92" l="1"/>
  <c r="BL518" i="92"/>
  <c r="BM518" i="92"/>
  <c r="BK519" i="92"/>
  <c r="BJ520" i="92" s="1"/>
  <c r="BL514" i="72"/>
  <c r="BN514" i="72"/>
  <c r="BM514" i="72"/>
  <c r="BK515" i="72"/>
  <c r="BM515" i="72" s="1"/>
  <c r="BM519" i="92" l="1"/>
  <c r="BN519" i="92"/>
  <c r="BK520" i="92"/>
  <c r="BJ521" i="92" s="1"/>
  <c r="BL519" i="92"/>
  <c r="BN515" i="72"/>
  <c r="BL515" i="72"/>
  <c r="BJ516" i="72"/>
  <c r="BL520" i="92" l="1"/>
  <c r="BN520" i="92"/>
  <c r="BK521" i="92"/>
  <c r="BJ522" i="92" s="1"/>
  <c r="BM520" i="92"/>
  <c r="BK516" i="72"/>
  <c r="BM516" i="72" s="1"/>
  <c r="BM521" i="92" l="1"/>
  <c r="BN521" i="92"/>
  <c r="BK522" i="92"/>
  <c r="BJ523" i="92" s="1"/>
  <c r="BL521" i="92"/>
  <c r="BL516" i="72"/>
  <c r="BN516" i="72"/>
  <c r="BJ517" i="72"/>
  <c r="BM522" i="92" l="1"/>
  <c r="BN522" i="92"/>
  <c r="BK523" i="92"/>
  <c r="BJ524" i="92" s="1"/>
  <c r="BL522" i="92"/>
  <c r="BK517" i="72"/>
  <c r="BL517" i="72" s="1"/>
  <c r="BL523" i="92" l="1"/>
  <c r="BM523" i="92"/>
  <c r="BN523" i="92"/>
  <c r="BK524" i="92"/>
  <c r="BJ525" i="92" s="1"/>
  <c r="BN517" i="72"/>
  <c r="BM517" i="72"/>
  <c r="BJ518" i="72"/>
  <c r="BL524" i="92" l="1"/>
  <c r="BM524" i="92"/>
  <c r="BN524" i="92"/>
  <c r="BK525" i="92"/>
  <c r="BJ526" i="92" s="1"/>
  <c r="BK518" i="72"/>
  <c r="BL518" i="72" s="1"/>
  <c r="BM525" i="92" l="1"/>
  <c r="BL525" i="92"/>
  <c r="BN525" i="92"/>
  <c r="BK526" i="92"/>
  <c r="BJ527" i="92" s="1"/>
  <c r="BM518" i="72"/>
  <c r="BN518" i="72"/>
  <c r="BJ519" i="72"/>
  <c r="BM526" i="92" l="1"/>
  <c r="BN526" i="92"/>
  <c r="BK527" i="92"/>
  <c r="BM527" i="92" s="1"/>
  <c r="BL526" i="92"/>
  <c r="BK519" i="72"/>
  <c r="BL519" i="72" s="1"/>
  <c r="BN527" i="92" l="1"/>
  <c r="BL527" i="92"/>
  <c r="BN519" i="72"/>
  <c r="BM519" i="72"/>
  <c r="BJ520" i="72"/>
  <c r="BK520" i="72" l="1"/>
  <c r="BL520" i="72" s="1"/>
  <c r="BM520" i="72" l="1"/>
  <c r="BN520" i="72"/>
  <c r="BJ521" i="72"/>
  <c r="BK521" i="72" l="1"/>
  <c r="BL521" i="72" s="1"/>
  <c r="BM521" i="72" l="1"/>
  <c r="BN521" i="72"/>
  <c r="BJ522" i="72"/>
  <c r="BK522" i="72" l="1"/>
  <c r="BL522" i="72" s="1"/>
  <c r="BN522" i="72" l="1"/>
  <c r="BM522" i="72"/>
  <c r="BJ523" i="72"/>
  <c r="BK523" i="72" l="1"/>
  <c r="BL523" i="72" s="1"/>
  <c r="BM523" i="72" l="1"/>
  <c r="BN523" i="72"/>
  <c r="BJ524" i="72"/>
  <c r="BK524" i="72" l="1"/>
  <c r="BL524" i="72" s="1"/>
  <c r="BN524" i="72" l="1"/>
  <c r="BM524" i="72"/>
  <c r="BJ525" i="72"/>
  <c r="BK525" i="72" l="1"/>
  <c r="BL525" i="72" s="1"/>
  <c r="BN525" i="72" l="1"/>
  <c r="BM525" i="72"/>
  <c r="BJ526" i="72"/>
  <c r="BK526" i="72" l="1"/>
  <c r="BM526" i="72" s="1"/>
  <c r="BN526" i="72" l="1"/>
  <c r="BL526" i="72"/>
  <c r="BJ527" i="72"/>
  <c r="BK527" i="72" l="1"/>
  <c r="BL527" i="72" s="1"/>
  <c r="BN527" i="72" l="1"/>
  <c r="BM527" i="72"/>
  <c r="GI6" i="72" l="1"/>
  <c r="GM6" i="72" s="1"/>
  <c r="GH14" i="72" a="1"/>
  <c r="GH17" i="72" a="1"/>
  <c r="GH13" i="72" a="1"/>
  <c r="GH21" i="72" a="1"/>
  <c r="GH15" i="72" a="1"/>
  <c r="GH22" i="72" a="1"/>
  <c r="GH23" i="72" a="1"/>
  <c r="GH18" i="72" a="1"/>
  <c r="GH12" i="72" a="1"/>
  <c r="GH20" i="72" a="1"/>
  <c r="GH19" i="72" a="1"/>
  <c r="GH25" i="72" a="1"/>
  <c r="GH11" i="72" a="1"/>
  <c r="GH16" i="72" a="1"/>
  <c r="K65" i="72" a="1"/>
  <c r="GH6" i="72" a="1"/>
  <c r="GH24" i="72" a="1"/>
  <c r="K48" i="72" a="1"/>
  <c r="K48" i="72" l="1"/>
  <c r="K65" i="72"/>
  <c r="K66" i="72" s="1"/>
  <c r="GH23" i="72"/>
  <c r="GH25" i="72"/>
  <c r="GR25" i="72" s="1"/>
  <c r="GH24" i="72"/>
  <c r="GR24" i="72" s="1"/>
  <c r="GH22" i="72"/>
  <c r="GH21" i="72"/>
  <c r="GR21" i="72" s="1"/>
  <c r="GS21" i="72" s="1"/>
  <c r="C130" i="93" s="1"/>
  <c r="GH20" i="72"/>
  <c r="GH19" i="72"/>
  <c r="GR19" i="72" s="1"/>
  <c r="GS19" i="72" s="1"/>
  <c r="C128" i="93" s="1"/>
  <c r="GH18" i="72"/>
  <c r="GR18" i="72" s="1"/>
  <c r="GH6" i="72"/>
  <c r="GR6" i="72" s="1"/>
  <c r="GH17" i="72"/>
  <c r="GR17" i="72" s="1"/>
  <c r="GH16" i="72"/>
  <c r="GR16" i="72" s="1"/>
  <c r="GH15" i="72"/>
  <c r="GR15" i="72" s="1"/>
  <c r="GH14" i="72"/>
  <c r="GH13" i="72"/>
  <c r="GR13" i="72" s="1"/>
  <c r="GH12" i="72"/>
  <c r="GR12" i="72" s="1"/>
  <c r="GH11" i="72"/>
  <c r="GR11" i="72" s="1"/>
  <c r="GM98" i="72"/>
  <c r="GM99" i="72"/>
  <c r="GM100" i="72"/>
  <c r="GM101" i="72"/>
  <c r="GM102" i="72"/>
  <c r="GM103" i="72"/>
  <c r="GM104" i="72"/>
  <c r="GM105" i="72"/>
  <c r="GM106" i="72"/>
  <c r="GM97" i="72"/>
  <c r="GI98" i="72"/>
  <c r="GI99" i="72"/>
  <c r="GI100" i="72"/>
  <c r="GI101" i="72"/>
  <c r="GI102" i="72"/>
  <c r="GI103" i="72"/>
  <c r="GI104" i="72"/>
  <c r="GI105" i="72"/>
  <c r="GI106" i="72"/>
  <c r="GI97" i="72"/>
  <c r="GM79" i="72"/>
  <c r="GM80" i="72"/>
  <c r="GM81" i="72"/>
  <c r="GM82" i="72"/>
  <c r="GM83" i="72"/>
  <c r="GM84" i="72"/>
  <c r="GM85" i="72"/>
  <c r="GM86" i="72"/>
  <c r="GM87" i="72"/>
  <c r="GM88" i="72"/>
  <c r="GM89" i="72"/>
  <c r="GM90" i="72"/>
  <c r="GM91" i="72"/>
  <c r="GM92" i="72"/>
  <c r="GM78" i="72"/>
  <c r="GI79" i="72"/>
  <c r="GI80" i="72"/>
  <c r="GI81" i="72"/>
  <c r="GI82" i="72"/>
  <c r="GI83" i="72"/>
  <c r="GI84" i="72"/>
  <c r="GI85" i="72"/>
  <c r="GI86" i="72"/>
  <c r="GI87" i="72"/>
  <c r="GI88" i="72"/>
  <c r="GI89" i="72"/>
  <c r="GI90" i="72"/>
  <c r="GI91" i="72"/>
  <c r="GI92" i="72"/>
  <c r="GI78" i="72"/>
  <c r="GM60" i="72"/>
  <c r="GM61" i="72"/>
  <c r="GM62" i="72"/>
  <c r="GM63" i="72"/>
  <c r="GM64" i="72"/>
  <c r="GM65" i="72"/>
  <c r="GM66" i="72"/>
  <c r="GM67" i="72"/>
  <c r="GM68" i="72"/>
  <c r="GM69" i="72"/>
  <c r="GM70" i="72"/>
  <c r="GM71" i="72"/>
  <c r="GM72" i="72"/>
  <c r="GM73" i="72"/>
  <c r="GM59" i="72"/>
  <c r="GI60" i="72"/>
  <c r="GI61" i="72"/>
  <c r="GI62" i="72"/>
  <c r="GI63" i="72"/>
  <c r="GI64" i="72"/>
  <c r="GI65" i="72"/>
  <c r="GI66" i="72"/>
  <c r="GI67" i="72"/>
  <c r="GI68" i="72"/>
  <c r="GI69" i="72"/>
  <c r="GI70" i="72"/>
  <c r="GI71" i="72"/>
  <c r="GI72" i="72"/>
  <c r="GI73" i="72"/>
  <c r="GI59" i="72"/>
  <c r="GJ66" i="72" a="1"/>
  <c r="GF92" i="72" a="1"/>
  <c r="GH72" i="72" a="1"/>
  <c r="GH101" i="72" a="1"/>
  <c r="GL91" i="72" a="1"/>
  <c r="GG68" i="72" a="1"/>
  <c r="GH63" i="72" a="1"/>
  <c r="GK89" i="72" a="1"/>
  <c r="GJ102" i="72" a="1"/>
  <c r="GH80" i="72" a="1"/>
  <c r="GF87" i="72" a="1"/>
  <c r="GJ97" i="72" a="1"/>
  <c r="GF79" i="72" a="1"/>
  <c r="GG102" i="72" a="1"/>
  <c r="GH59" i="72" a="1"/>
  <c r="GJ80" i="72" a="1"/>
  <c r="GL67" i="72" a="1"/>
  <c r="GK63" i="72" a="1"/>
  <c r="GG63" i="72" a="1"/>
  <c r="GL61" i="72" a="1"/>
  <c r="GH105" i="72" a="1"/>
  <c r="GL82" i="72" a="1"/>
  <c r="GH71" i="72" a="1"/>
  <c r="GL69" i="72" a="1"/>
  <c r="GL98" i="72" a="1"/>
  <c r="GF72" i="72" a="1"/>
  <c r="GL105" i="72" a="1"/>
  <c r="GJ106" i="72" a="1"/>
  <c r="GH97" i="72" a="1"/>
  <c r="GL73" i="72" a="1"/>
  <c r="GG65" i="72" a="1"/>
  <c r="GK104" i="72" a="1"/>
  <c r="GG101" i="72" a="1"/>
  <c r="GF102" i="72" a="1"/>
  <c r="GJ61" i="72" a="1"/>
  <c r="GL71" i="72" a="1"/>
  <c r="GH103" i="72" a="1"/>
  <c r="GF105" i="72" a="1"/>
  <c r="GL66" i="72" a="1"/>
  <c r="GJ70" i="72" a="1"/>
  <c r="GH69" i="72" a="1"/>
  <c r="GL70" i="72" a="1"/>
  <c r="GH65" i="72" a="1"/>
  <c r="GF59" i="72" a="1"/>
  <c r="GL63" i="72" a="1"/>
  <c r="GJ82" i="72" a="1"/>
  <c r="GK67" i="72" a="1"/>
  <c r="GF68" i="72" a="1"/>
  <c r="GK70" i="72" a="1"/>
  <c r="GJ87" i="72" a="1"/>
  <c r="GJ59" i="72" a="1"/>
  <c r="GK98" i="72" a="1"/>
  <c r="GH83" i="72" a="1"/>
  <c r="GL79" i="72" a="1"/>
  <c r="GG70" i="72" a="1"/>
  <c r="GF85" i="72" a="1"/>
  <c r="GF98" i="72" a="1"/>
  <c r="GH87" i="72" a="1"/>
  <c r="GK62" i="72" a="1"/>
  <c r="GK91" i="72" a="1"/>
  <c r="GG98" i="72" a="1"/>
  <c r="GL102" i="72" a="1"/>
  <c r="GH98" i="72" a="1"/>
  <c r="GG80" i="72" a="1"/>
  <c r="GL84" i="72" a="1"/>
  <c r="GH89" i="72" a="1"/>
  <c r="GJ81" i="72" a="1"/>
  <c r="GG71" i="72" a="1"/>
  <c r="GH60" i="72" a="1"/>
  <c r="GF63" i="72" a="1"/>
  <c r="GL83" i="72" a="1"/>
  <c r="GL62" i="72" a="1"/>
  <c r="GH67" i="72" a="1"/>
  <c r="GF89" i="72" a="1"/>
  <c r="GL64" i="72" a="1"/>
  <c r="GL80" i="72" a="1"/>
  <c r="GG106" i="72" a="1"/>
  <c r="GK66" i="72" a="1"/>
  <c r="GJ105" i="72" a="1"/>
  <c r="GH90" i="72" a="1"/>
  <c r="GK82" i="72" a="1"/>
  <c r="GK61" i="72" a="1"/>
  <c r="GJ69" i="72" a="1"/>
  <c r="GH106" i="72" a="1"/>
  <c r="GK87" i="72" a="1"/>
  <c r="GG60" i="72" a="1"/>
  <c r="GL72" i="72" a="1"/>
  <c r="GJ64" i="72" a="1"/>
  <c r="GJ86" i="72" a="1"/>
  <c r="GF66" i="72" a="1"/>
  <c r="GG103" i="72" a="1"/>
  <c r="GJ89" i="72" a="1"/>
  <c r="GG64" i="72" a="1"/>
  <c r="GJ104" i="72" a="1"/>
  <c r="GH9" i="72" a="1"/>
  <c r="GH78" i="72" a="1"/>
  <c r="GJ99" i="72" a="1"/>
  <c r="GF84" i="72" a="1"/>
  <c r="GK79" i="72" a="1"/>
  <c r="GJ103" i="72" a="1"/>
  <c r="GJ63" i="72" a="1"/>
  <c r="GF103" i="72" a="1"/>
  <c r="GG73" i="72" a="1"/>
  <c r="GH73" i="72" a="1"/>
  <c r="GG62" i="72" a="1"/>
  <c r="GL92" i="72" a="1"/>
  <c r="GL81" i="72" a="1"/>
  <c r="GJ73" i="72" a="1"/>
  <c r="GG83" i="72" a="1"/>
  <c r="GJ100" i="72" a="1"/>
  <c r="GK85" i="72" a="1"/>
  <c r="GL87" i="72" a="1"/>
  <c r="GG66" i="72" a="1"/>
  <c r="GF64" i="72" a="1"/>
  <c r="GG72" i="72" a="1"/>
  <c r="GG104" i="72" a="1"/>
  <c r="GK90" i="72" a="1"/>
  <c r="GK106" i="72" a="1"/>
  <c r="GG97" i="72" a="1"/>
  <c r="GH79" i="72" a="1"/>
  <c r="GH85" i="72" a="1"/>
  <c r="GL59" i="72" a="1"/>
  <c r="GJ68" i="72" a="1"/>
  <c r="GF69" i="72" a="1"/>
  <c r="GJ78" i="72" a="1"/>
  <c r="GK83" i="72" a="1"/>
  <c r="GL90" i="72" a="1"/>
  <c r="GL68" i="72" a="1"/>
  <c r="GK99" i="72" a="1"/>
  <c r="GH81" i="72" a="1"/>
  <c r="GF67" i="72" a="1"/>
  <c r="GF80" i="72" a="1"/>
  <c r="GP78" i="72"/>
  <c r="GG86" i="72" a="1"/>
  <c r="GH86" i="72" a="1"/>
  <c r="GL97" i="72" a="1"/>
  <c r="GF91" i="72" a="1"/>
  <c r="GF88" i="72" a="1"/>
  <c r="GL101" i="72" a="1"/>
  <c r="GK101" i="72" a="1"/>
  <c r="GF62" i="72" a="1"/>
  <c r="GH64" i="72" a="1"/>
  <c r="GL103" i="72" a="1"/>
  <c r="GG91" i="72" a="1"/>
  <c r="GK80" i="72" a="1"/>
  <c r="GF97" i="72" a="1"/>
  <c r="GL88" i="72" a="1"/>
  <c r="GK88" i="72" a="1"/>
  <c r="GP77" i="72"/>
  <c r="GJ101" i="72" a="1"/>
  <c r="GK68" i="72" a="1"/>
  <c r="GH100" i="72" a="1"/>
  <c r="GK60" i="72" a="1"/>
  <c r="GK81" i="72" a="1"/>
  <c r="GL104" i="72" a="1"/>
  <c r="GF60" i="72" a="1"/>
  <c r="GF73" i="72" a="1"/>
  <c r="GF90" i="72" a="1"/>
  <c r="GG84" i="72" a="1"/>
  <c r="GF106" i="72" a="1"/>
  <c r="GG105" i="72" a="1"/>
  <c r="GK97" i="72" a="1"/>
  <c r="GF100" i="72" a="1"/>
  <c r="GG78" i="72" a="1"/>
  <c r="GJ71" i="72" a="1"/>
  <c r="GK92" i="72" a="1"/>
  <c r="GG61" i="72" a="1"/>
  <c r="GG89" i="72" a="1"/>
  <c r="GG87" i="72" a="1"/>
  <c r="GG99" i="72" a="1"/>
  <c r="GH92" i="72" a="1"/>
  <c r="GH62" i="72" a="1"/>
  <c r="GK69" i="72" a="1"/>
  <c r="GF86" i="72" a="1"/>
  <c r="GG100" i="72" a="1"/>
  <c r="GK59" i="72" a="1"/>
  <c r="GH102" i="72" a="1"/>
  <c r="GH88" i="72" a="1"/>
  <c r="GF78" i="72" a="1"/>
  <c r="GF101" i="72" a="1"/>
  <c r="GH99" i="72" a="1"/>
  <c r="GL85" i="72" a="1"/>
  <c r="GG59" i="72" a="1"/>
  <c r="GG88" i="72" a="1"/>
  <c r="GK73" i="72" a="1"/>
  <c r="GL100" i="72" a="1"/>
  <c r="GK78" i="72" a="1"/>
  <c r="GK100" i="72" a="1"/>
  <c r="GJ62" i="72" a="1"/>
  <c r="GG85" i="72" a="1"/>
  <c r="GJ79" i="72" a="1"/>
  <c r="GF104" i="72" a="1"/>
  <c r="GG81" i="72" a="1"/>
  <c r="GK86" i="72" a="1"/>
  <c r="GK64" i="72" a="1"/>
  <c r="GG67" i="72" a="1"/>
  <c r="GL65" i="72" a="1"/>
  <c r="GJ72" i="72" a="1"/>
  <c r="GJ98" i="72" a="1"/>
  <c r="GH104" i="72" a="1"/>
  <c r="GH8" i="72" a="1"/>
  <c r="GF83" i="72" a="1"/>
  <c r="GK72" i="72" a="1"/>
  <c r="GL78" i="72" a="1"/>
  <c r="GL99" i="72" a="1"/>
  <c r="GL106" i="72" a="1"/>
  <c r="GJ83" i="72" a="1"/>
  <c r="GG79" i="72" a="1"/>
  <c r="GH61" i="72" a="1"/>
  <c r="GJ60" i="72" a="1"/>
  <c r="GK102" i="72" a="1"/>
  <c r="GH7" i="72" a="1"/>
  <c r="GF71" i="72" a="1"/>
  <c r="GK103" i="72" a="1"/>
  <c r="GJ67" i="72" a="1"/>
  <c r="GH82" i="72" a="1"/>
  <c r="GF99" i="72" a="1"/>
  <c r="GK84" i="72" a="1"/>
  <c r="GK65" i="72" a="1"/>
  <c r="GL86" i="72" a="1"/>
  <c r="GH84" i="72" a="1"/>
  <c r="GF81" i="72" a="1"/>
  <c r="GF65" i="72" a="1"/>
  <c r="GJ84" i="72" a="1"/>
  <c r="GH66" i="72" a="1"/>
  <c r="GL89" i="72" a="1"/>
  <c r="GG82" i="72" a="1"/>
  <c r="GK71" i="72" a="1"/>
  <c r="GH68" i="72" a="1"/>
  <c r="GP63" i="72"/>
  <c r="GG69" i="72" a="1"/>
  <c r="GJ88" i="72" a="1"/>
  <c r="GK105" i="72" a="1"/>
  <c r="GJ90" i="72" a="1"/>
  <c r="GJ65" i="72" a="1"/>
  <c r="GF82" i="72" a="1"/>
  <c r="GG90" i="72" a="1"/>
  <c r="GJ92" i="72" a="1"/>
  <c r="GF70" i="72" a="1"/>
  <c r="GJ91" i="72" a="1"/>
  <c r="GG92" i="72" a="1"/>
  <c r="GL60" i="72" a="1"/>
  <c r="GJ85" i="72" a="1"/>
  <c r="GH91" i="72" a="1"/>
  <c r="GH70" i="72" a="1"/>
  <c r="GH10" i="72" a="1"/>
  <c r="GF61" i="72" a="1"/>
  <c r="GO13" i="72" l="1"/>
  <c r="GS12" i="72"/>
  <c r="GS13" i="72"/>
  <c r="GL6" i="72"/>
  <c r="GL21" i="72"/>
  <c r="GL19" i="72"/>
  <c r="GQ17" i="72"/>
  <c r="GQ16" i="72"/>
  <c r="GQ14" i="72"/>
  <c r="GQ15" i="72"/>
  <c r="GP16" i="72"/>
  <c r="GH10" i="72"/>
  <c r="GH9" i="72"/>
  <c r="GR9" i="72" s="1"/>
  <c r="GH8" i="72"/>
  <c r="GH7" i="72"/>
  <c r="GR7" i="72" s="1"/>
  <c r="GK100" i="72"/>
  <c r="GL104" i="72"/>
  <c r="GK103" i="72"/>
  <c r="GJ102" i="72"/>
  <c r="GL100" i="72"/>
  <c r="GK99" i="72"/>
  <c r="GJ98" i="72"/>
  <c r="GL105" i="72"/>
  <c r="GK104" i="72"/>
  <c r="GJ103" i="72"/>
  <c r="GL101" i="72"/>
  <c r="GJ99" i="72"/>
  <c r="GJ106" i="72"/>
  <c r="GJ100" i="72"/>
  <c r="GL106" i="72"/>
  <c r="GK105" i="72"/>
  <c r="GJ104" i="72"/>
  <c r="GL102" i="72"/>
  <c r="GK101" i="72"/>
  <c r="GL98" i="72"/>
  <c r="GK106" i="72"/>
  <c r="GJ105" i="72"/>
  <c r="GL103" i="72"/>
  <c r="GK102" i="72"/>
  <c r="GJ101" i="72"/>
  <c r="GL99" i="72"/>
  <c r="GK98" i="72"/>
  <c r="GK97" i="72"/>
  <c r="GL97" i="72"/>
  <c r="GJ97" i="72"/>
  <c r="GH103" i="72"/>
  <c r="GG98" i="72"/>
  <c r="GH104" i="72"/>
  <c r="GF102" i="72"/>
  <c r="GG99" i="72"/>
  <c r="GH105" i="72"/>
  <c r="GG104" i="72"/>
  <c r="GF103" i="72"/>
  <c r="GH101" i="72"/>
  <c r="GG100" i="72"/>
  <c r="GF99" i="72"/>
  <c r="GF105" i="72"/>
  <c r="GH99" i="72"/>
  <c r="GH100" i="72"/>
  <c r="GH106" i="72"/>
  <c r="GF104" i="72"/>
  <c r="GH102" i="72"/>
  <c r="GG101" i="72"/>
  <c r="GF100" i="72"/>
  <c r="GH98" i="72"/>
  <c r="GG106" i="72"/>
  <c r="GG102" i="72"/>
  <c r="GF101" i="72"/>
  <c r="GF106" i="72"/>
  <c r="GG103" i="72"/>
  <c r="GF98" i="72"/>
  <c r="GG105" i="72"/>
  <c r="GG97" i="72"/>
  <c r="GH97" i="72"/>
  <c r="GF97" i="72"/>
  <c r="GL78" i="72"/>
  <c r="GJ91" i="72"/>
  <c r="GL89" i="72"/>
  <c r="GK88" i="72"/>
  <c r="GJ87" i="72"/>
  <c r="GL85" i="72"/>
  <c r="GK84" i="72"/>
  <c r="GJ83" i="72"/>
  <c r="GL81" i="72"/>
  <c r="GK80" i="72"/>
  <c r="GJ79" i="72"/>
  <c r="GJ92" i="72"/>
  <c r="GL90" i="72"/>
  <c r="GK89" i="72"/>
  <c r="GJ88" i="72"/>
  <c r="GL86" i="72"/>
  <c r="GK85" i="72"/>
  <c r="GJ84" i="72"/>
  <c r="GL82" i="72"/>
  <c r="GK81" i="72"/>
  <c r="GJ80" i="72"/>
  <c r="GO11" i="72" s="1"/>
  <c r="GL91" i="72"/>
  <c r="GL87" i="72"/>
  <c r="GL79" i="72"/>
  <c r="GK92" i="72"/>
  <c r="GK90" i="72"/>
  <c r="GJ89" i="72"/>
  <c r="GK86" i="72"/>
  <c r="GJ85" i="72"/>
  <c r="GL83" i="72"/>
  <c r="GK82" i="72"/>
  <c r="GJ81" i="72"/>
  <c r="GL92" i="72"/>
  <c r="GK91" i="72"/>
  <c r="GJ90" i="72"/>
  <c r="GL88" i="72"/>
  <c r="GK87" i="72"/>
  <c r="GJ86" i="72"/>
  <c r="GL84" i="72"/>
  <c r="GK83" i="72"/>
  <c r="GJ82" i="72"/>
  <c r="GL80" i="72"/>
  <c r="GK79" i="72"/>
  <c r="GK78" i="72"/>
  <c r="GJ78" i="72"/>
  <c r="GG79" i="72"/>
  <c r="GH89" i="72"/>
  <c r="GG88" i="72"/>
  <c r="GF87" i="72"/>
  <c r="GH85" i="72"/>
  <c r="GG84" i="72"/>
  <c r="GF83" i="72"/>
  <c r="GH81" i="72"/>
  <c r="GG80" i="72"/>
  <c r="GF79" i="72"/>
  <c r="GF92" i="72"/>
  <c r="GH90" i="72"/>
  <c r="GG89" i="72"/>
  <c r="GF88" i="72"/>
  <c r="GH86" i="72"/>
  <c r="GG85" i="72"/>
  <c r="GF84" i="72"/>
  <c r="GH82" i="72"/>
  <c r="GG81" i="72"/>
  <c r="GF80" i="72"/>
  <c r="GG92" i="72"/>
  <c r="GH91" i="72"/>
  <c r="GH79" i="72"/>
  <c r="GF91" i="72"/>
  <c r="GG90" i="72"/>
  <c r="GF89" i="72"/>
  <c r="GH87" i="72"/>
  <c r="GG86" i="72"/>
  <c r="GF85" i="72"/>
  <c r="GH83" i="72"/>
  <c r="GG82" i="72"/>
  <c r="GF81" i="72"/>
  <c r="GH92" i="72"/>
  <c r="GG91" i="72"/>
  <c r="GF90" i="72"/>
  <c r="GH88" i="72"/>
  <c r="GG87" i="72"/>
  <c r="GF86" i="72"/>
  <c r="GH84" i="72"/>
  <c r="GG83" i="72"/>
  <c r="GF82" i="72"/>
  <c r="GH80" i="72"/>
  <c r="GG78" i="72"/>
  <c r="GH78" i="72"/>
  <c r="GF78" i="72"/>
  <c r="GL70" i="72"/>
  <c r="GJ73" i="72"/>
  <c r="GL71" i="72"/>
  <c r="GK70" i="72"/>
  <c r="GJ69" i="72"/>
  <c r="GL67" i="72"/>
  <c r="GK66" i="72"/>
  <c r="GJ65" i="72"/>
  <c r="GL63" i="72"/>
  <c r="GK62" i="72"/>
  <c r="GJ61" i="72"/>
  <c r="GK73" i="72"/>
  <c r="GL72" i="72"/>
  <c r="GL68" i="72"/>
  <c r="GJ66" i="72"/>
  <c r="GL64" i="72"/>
  <c r="GJ62" i="72"/>
  <c r="GL60" i="72"/>
  <c r="GK69" i="72"/>
  <c r="GK71" i="72"/>
  <c r="GJ70" i="72"/>
  <c r="GK67" i="72"/>
  <c r="GK63" i="72"/>
  <c r="GL73" i="72"/>
  <c r="GL69" i="72"/>
  <c r="GL61" i="72"/>
  <c r="GL66" i="72"/>
  <c r="GK72" i="72"/>
  <c r="GJ71" i="72"/>
  <c r="GK68" i="72"/>
  <c r="GJ67" i="72"/>
  <c r="GL65" i="72"/>
  <c r="GK64" i="72"/>
  <c r="GJ63" i="72"/>
  <c r="GK60" i="72"/>
  <c r="GJ72" i="72"/>
  <c r="GJ68" i="72"/>
  <c r="GK65" i="72"/>
  <c r="GJ64" i="72"/>
  <c r="GL62" i="72"/>
  <c r="GK61" i="72"/>
  <c r="GJ60" i="72"/>
  <c r="GL59" i="72"/>
  <c r="GK59" i="72"/>
  <c r="GJ59" i="72"/>
  <c r="GH69" i="72"/>
  <c r="GG60" i="72"/>
  <c r="GF72" i="72"/>
  <c r="GH70" i="72"/>
  <c r="GG69" i="72"/>
  <c r="GF68" i="72"/>
  <c r="GH66" i="72"/>
  <c r="GG65" i="72"/>
  <c r="GF64" i="72"/>
  <c r="GH62" i="72"/>
  <c r="GG61" i="72"/>
  <c r="GF60" i="72"/>
  <c r="GG73" i="72"/>
  <c r="GF73" i="72"/>
  <c r="GH71" i="72"/>
  <c r="GG70" i="72"/>
  <c r="GF69" i="72"/>
  <c r="GH67" i="72"/>
  <c r="GG66" i="72"/>
  <c r="GF65" i="72"/>
  <c r="GH63" i="72"/>
  <c r="GG62" i="72"/>
  <c r="GF61" i="72"/>
  <c r="GH72" i="72"/>
  <c r="GF70" i="72"/>
  <c r="GG67" i="72"/>
  <c r="GF66" i="72"/>
  <c r="GH64" i="72"/>
  <c r="GG63" i="72"/>
  <c r="GF62" i="72"/>
  <c r="GH60" i="72"/>
  <c r="GH73" i="72"/>
  <c r="GF71" i="72"/>
  <c r="GG68" i="72"/>
  <c r="GF67" i="72"/>
  <c r="GH65" i="72"/>
  <c r="GF63" i="72"/>
  <c r="GH61" i="72"/>
  <c r="GG71" i="72"/>
  <c r="GH68" i="72"/>
  <c r="GG72" i="72"/>
  <c r="GG64" i="72"/>
  <c r="GG59" i="72"/>
  <c r="GH59" i="72"/>
  <c r="GF59" i="72"/>
  <c r="GK41" i="72"/>
  <c r="GK42" i="72"/>
  <c r="GK43" i="72"/>
  <c r="GK44" i="72"/>
  <c r="GK45" i="72"/>
  <c r="GK46" i="72"/>
  <c r="GK47" i="72"/>
  <c r="GK48" i="72"/>
  <c r="GK49" i="72"/>
  <c r="GK50" i="72"/>
  <c r="GK51" i="72"/>
  <c r="GK52" i="72"/>
  <c r="GK53" i="72"/>
  <c r="GK54" i="72"/>
  <c r="GK40" i="72"/>
  <c r="GH41" i="72"/>
  <c r="GH42" i="72"/>
  <c r="GH43" i="72"/>
  <c r="GH44" i="72"/>
  <c r="GH45" i="72"/>
  <c r="GH46" i="72"/>
  <c r="GH47" i="72"/>
  <c r="GH48" i="72"/>
  <c r="GH49" i="72"/>
  <c r="GH50" i="72"/>
  <c r="GH51" i="72"/>
  <c r="GH52" i="72"/>
  <c r="GH53" i="72"/>
  <c r="GH54" i="72"/>
  <c r="GL15" i="72" a="1"/>
  <c r="GL16" i="72" a="1"/>
  <c r="GL17" i="72" a="1"/>
  <c r="GL14" i="72" a="1"/>
  <c r="GI52" i="72" a="1"/>
  <c r="GI40" i="72" a="1"/>
  <c r="GI43" i="72" a="1"/>
  <c r="GG51" i="72" a="1"/>
  <c r="GG44" i="72" a="1"/>
  <c r="GJ46" i="72" a="1"/>
  <c r="GG41" i="72" a="1"/>
  <c r="GJ47" i="72" a="1"/>
  <c r="GG49" i="72" a="1"/>
  <c r="GG52" i="72" a="1"/>
  <c r="GI48" i="72" a="1"/>
  <c r="GI44" i="72" a="1"/>
  <c r="GJ53" i="72" a="1"/>
  <c r="GJ40" i="72" a="1"/>
  <c r="GG40" i="72" a="1"/>
  <c r="GG47" i="72" a="1"/>
  <c r="GG42" i="72" a="1"/>
  <c r="GG43" i="72" a="1"/>
  <c r="GI51" i="72" a="1"/>
  <c r="GI54" i="72" a="1"/>
  <c r="GG46" i="72" a="1"/>
  <c r="GI47" i="72" a="1"/>
  <c r="GG45" i="72" a="1"/>
  <c r="GG54" i="72" a="1"/>
  <c r="GI41" i="72" a="1"/>
  <c r="GJ52" i="72" a="1"/>
  <c r="GJ44" i="72" a="1"/>
  <c r="GI49" i="72" a="1"/>
  <c r="GG53" i="72" a="1"/>
  <c r="GJ41" i="72" a="1"/>
  <c r="GI45" i="72" a="1"/>
  <c r="GJ45" i="72" a="1"/>
  <c r="GF40" i="72" a="1"/>
  <c r="GJ43" i="72" a="1"/>
  <c r="GI42" i="72" a="1"/>
  <c r="GI46" i="72" a="1"/>
  <c r="GJ50" i="72" a="1"/>
  <c r="GG48" i="72" a="1"/>
  <c r="GJ42" i="72" a="1"/>
  <c r="GJ48" i="72" a="1"/>
  <c r="GJ51" i="72" a="1"/>
  <c r="GJ49" i="72" a="1"/>
  <c r="GI53" i="72" a="1"/>
  <c r="GI50" i="72" a="1"/>
  <c r="GJ54" i="72" a="1"/>
  <c r="GG50" i="72" a="1"/>
  <c r="AM152" i="64" l="1"/>
  <c r="GO6" i="72"/>
  <c r="GO10" i="72"/>
  <c r="AM149" i="64" s="1"/>
  <c r="GO9" i="72"/>
  <c r="AM148" i="64" s="1"/>
  <c r="GO8" i="72"/>
  <c r="AM147" i="64" s="1"/>
  <c r="GL15" i="72"/>
  <c r="GL17" i="72"/>
  <c r="GS17" i="72"/>
  <c r="C126" i="93" s="1"/>
  <c r="GO12" i="72"/>
  <c r="GL16" i="72"/>
  <c r="GS16" i="72"/>
  <c r="C125" i="93" s="1"/>
  <c r="GL14" i="72"/>
  <c r="GN12" i="72"/>
  <c r="GN43" i="72"/>
  <c r="GN42" i="72"/>
  <c r="GN13" i="72"/>
  <c r="R181" i="64" s="1"/>
  <c r="GN11" i="72"/>
  <c r="GN10" i="72"/>
  <c r="GN8" i="72"/>
  <c r="GN9" i="72"/>
  <c r="GJ41" i="72"/>
  <c r="GJ52" i="72"/>
  <c r="GJ48" i="72"/>
  <c r="GJ44" i="72"/>
  <c r="GJ45" i="72"/>
  <c r="GJ51" i="72"/>
  <c r="GJ47" i="72"/>
  <c r="GJ43" i="72"/>
  <c r="GJ49" i="72"/>
  <c r="GJ53" i="72"/>
  <c r="GJ54" i="72"/>
  <c r="GJ50" i="72"/>
  <c r="GJ46" i="72"/>
  <c r="GJ42" i="72"/>
  <c r="GJ40" i="72"/>
  <c r="GI41" i="72"/>
  <c r="GI52" i="72"/>
  <c r="GI44" i="72"/>
  <c r="GI53" i="72"/>
  <c r="GI48" i="72"/>
  <c r="GI49" i="72"/>
  <c r="GI51" i="72"/>
  <c r="GI47" i="72"/>
  <c r="GI43" i="72"/>
  <c r="GO7" i="72" s="1"/>
  <c r="GI45" i="72"/>
  <c r="GI54" i="72"/>
  <c r="GI50" i="72"/>
  <c r="GI46" i="72"/>
  <c r="GI42" i="72"/>
  <c r="GI40" i="72"/>
  <c r="GG41" i="72"/>
  <c r="GG52" i="72"/>
  <c r="GG44" i="72"/>
  <c r="GG53" i="72"/>
  <c r="GG48" i="72"/>
  <c r="GG54" i="72"/>
  <c r="GG49" i="72"/>
  <c r="GG51" i="72"/>
  <c r="GG43" i="72"/>
  <c r="GG50" i="72"/>
  <c r="GG45" i="72"/>
  <c r="GG47" i="72"/>
  <c r="GG46" i="72"/>
  <c r="GG42" i="72"/>
  <c r="GG40" i="72"/>
  <c r="GF40" i="72"/>
  <c r="FD6" i="72"/>
  <c r="DL37" i="92"/>
  <c r="DL36" i="92"/>
  <c r="CW31" i="92"/>
  <c r="CY25" i="92"/>
  <c r="CZ25" i="92" s="1"/>
  <c r="CX25" i="92"/>
  <c r="CX24" i="92"/>
  <c r="CX23" i="92"/>
  <c r="CX22" i="92"/>
  <c r="CX21" i="92"/>
  <c r="CX20" i="92"/>
  <c r="CY19" i="92"/>
  <c r="CZ19" i="92" s="1"/>
  <c r="CX19" i="92"/>
  <c r="CY18" i="92"/>
  <c r="CZ18" i="92" s="1"/>
  <c r="CX18" i="92"/>
  <c r="CW6" i="92"/>
  <c r="CW5" i="92"/>
  <c r="CW4" i="92"/>
  <c r="CY19" i="72"/>
  <c r="CY18" i="72"/>
  <c r="CZ18" i="72" s="1"/>
  <c r="CX19" i="72"/>
  <c r="CX20" i="72"/>
  <c r="CX21" i="72"/>
  <c r="CX22" i="72"/>
  <c r="CX23" i="72"/>
  <c r="CX24" i="72"/>
  <c r="CX25" i="72"/>
  <c r="CX18" i="72"/>
  <c r="CY25" i="72"/>
  <c r="CZ25" i="72" s="1"/>
  <c r="DL37" i="72"/>
  <c r="DL36" i="72"/>
  <c r="EZ57" i="72" a="1"/>
  <c r="EX63" i="72" a="1"/>
  <c r="FB63" i="72" a="1"/>
  <c r="EY23" i="72" a="1"/>
  <c r="EX67" i="72" a="1"/>
  <c r="EW68" i="72" a="1"/>
  <c r="EX61" i="72" a="1"/>
  <c r="FB52" i="72" a="1"/>
  <c r="EX28" i="72" a="1"/>
  <c r="EW58" i="72" a="1"/>
  <c r="GF46" i="72" a="1"/>
  <c r="EW76" i="72" a="1"/>
  <c r="FA68" i="72" a="1"/>
  <c r="DM33" i="72" a="1"/>
  <c r="EZ47" i="72" a="1"/>
  <c r="DA19" i="72" a="1"/>
  <c r="EW85" i="72" a="1"/>
  <c r="EW47" i="72" a="1"/>
  <c r="FC35" i="72" a="1"/>
  <c r="EW70" i="72" a="1"/>
  <c r="FA40" i="72" a="1"/>
  <c r="EY29" i="72" a="1"/>
  <c r="EW32" i="72" a="1"/>
  <c r="EW25" i="72" a="1"/>
  <c r="FC66" i="72" a="1"/>
  <c r="GF42" i="72" a="1"/>
  <c r="EW35" i="72" a="1"/>
  <c r="EW91" i="72" a="1"/>
  <c r="EY19" i="72" a="1"/>
  <c r="EX60" i="72" a="1"/>
  <c r="EZ68" i="72" a="1"/>
  <c r="EW64" i="72" a="1"/>
  <c r="FC63" i="72" a="1"/>
  <c r="FB40" i="72" a="1"/>
  <c r="FB48" i="72" a="1"/>
  <c r="EW34" i="72" a="1"/>
  <c r="EX55" i="72" a="1"/>
  <c r="FC50" i="72" a="1"/>
  <c r="EX42" i="72" a="1"/>
  <c r="GF52" i="72" a="1"/>
  <c r="EZ39" i="72" a="1"/>
  <c r="EW15" i="72" a="1"/>
  <c r="FB31" i="72" a="1"/>
  <c r="FA53" i="72" a="1"/>
  <c r="EW17" i="72" a="1"/>
  <c r="FC39" i="72" a="1"/>
  <c r="EW67" i="72" a="1"/>
  <c r="EX17" i="72" a="1"/>
  <c r="FB68" i="72" a="1"/>
  <c r="EW16" i="72" a="1"/>
  <c r="EY20" i="72" a="1"/>
  <c r="EW31" i="72" a="1"/>
  <c r="EW84" i="72" a="1"/>
  <c r="FC68" i="72" a="1"/>
  <c r="EW72" i="72" a="1"/>
  <c r="EZ53" i="72" a="1"/>
  <c r="EZ45" i="72" a="1"/>
  <c r="GF45" i="72" a="1"/>
  <c r="FB45" i="72" a="1"/>
  <c r="FA61" i="72" a="1"/>
  <c r="EW37" i="72" a="1"/>
  <c r="EW22" i="72" a="1"/>
  <c r="FC64" i="72" a="1"/>
  <c r="DB31" i="92" a="1"/>
  <c r="EX44" i="72" a="1"/>
  <c r="GF41" i="72" a="1"/>
  <c r="EZ41" i="72" a="1"/>
  <c r="EX40" i="72" a="1"/>
  <c r="FA35" i="72" a="1"/>
  <c r="FC65" i="72" a="1"/>
  <c r="EZ48" i="72" a="1"/>
  <c r="FB59" i="72" a="1"/>
  <c r="FA70" i="72" a="1"/>
  <c r="CX3" i="92" a="1"/>
  <c r="GF54" i="72" a="1"/>
  <c r="FB65" i="72" a="1"/>
  <c r="EZ40" i="72" a="1"/>
  <c r="EZ33" i="72" a="1"/>
  <c r="FA42" i="72" a="1"/>
  <c r="EW44" i="72" a="1"/>
  <c r="FB44" i="72" a="1"/>
  <c r="EX64" i="72" a="1"/>
  <c r="EX56" i="72" a="1"/>
  <c r="EZ46" i="72" a="1"/>
  <c r="EW88" i="72" a="1"/>
  <c r="FC62" i="72" a="1"/>
  <c r="EW8" i="72" a="1"/>
  <c r="EW38" i="72" a="1"/>
  <c r="EW74" i="72" a="1"/>
  <c r="FA43" i="72" a="1"/>
  <c r="EW53" i="72" a="1"/>
  <c r="FA37" i="72" a="1"/>
  <c r="FA66" i="72" a="1"/>
  <c r="FA57" i="72" a="1"/>
  <c r="EY24" i="72" a="1"/>
  <c r="EW51" i="72" a="1"/>
  <c r="EZ36" i="72" a="1"/>
  <c r="GF47" i="72" a="1"/>
  <c r="FB56" i="72" a="1"/>
  <c r="FA41" i="72" a="1"/>
  <c r="EW39" i="72" a="1"/>
  <c r="EX54" i="72" a="1"/>
  <c r="FB33" i="72" a="1"/>
  <c r="EX65" i="72" a="1"/>
  <c r="EZ42" i="72" a="1"/>
  <c r="EX59" i="72" a="1"/>
  <c r="EY21" i="72" a="1"/>
  <c r="EX23" i="72" a="1"/>
  <c r="EZ56" i="72" a="1"/>
  <c r="FB43" i="72" a="1"/>
  <c r="FC46" i="72" a="1"/>
  <c r="EW63" i="72" a="1"/>
  <c r="EW81" i="72" a="1"/>
  <c r="FA44" i="72" a="1"/>
  <c r="EZ63" i="72" a="1"/>
  <c r="GF49" i="72" a="1"/>
  <c r="FC41" i="72" a="1"/>
  <c r="EX45" i="72" a="1"/>
  <c r="FC56" i="72" a="1"/>
  <c r="EZ55" i="72" a="1"/>
  <c r="FB67" i="72" a="1"/>
  <c r="EZ59" i="72" a="1"/>
  <c r="FC61" i="72" a="1"/>
  <c r="FC40" i="72" a="1"/>
  <c r="EZ62" i="72" a="1"/>
  <c r="EZ50" i="72" a="1"/>
  <c r="EY28" i="72" a="1"/>
  <c r="EW83" i="72" a="1"/>
  <c r="EX57" i="72" a="1"/>
  <c r="EW20" i="72" a="1"/>
  <c r="EX18" i="72" a="1"/>
  <c r="EW19" i="72" a="1"/>
  <c r="FC69" i="72" a="1"/>
  <c r="EW11" i="72" a="1"/>
  <c r="FA31" i="72" a="1"/>
  <c r="EY26" i="72" a="1"/>
  <c r="EZ70" i="72" a="1"/>
  <c r="EZ58" i="72" a="1"/>
  <c r="FA69" i="72" a="1"/>
  <c r="FA60" i="72" a="1"/>
  <c r="EW36" i="72" a="1"/>
  <c r="EW30" i="72" a="1"/>
  <c r="EX32" i="72" a="1"/>
  <c r="FC42" i="72" a="1"/>
  <c r="EZ34" i="72" a="1"/>
  <c r="FC36" i="72" a="1"/>
  <c r="EX24" i="72" a="1"/>
  <c r="EZ44" i="72" a="1"/>
  <c r="EZ51" i="72" a="1"/>
  <c r="GF51" i="72" a="1"/>
  <c r="EX26" i="72" a="1"/>
  <c r="FC52" i="72" a="1"/>
  <c r="FA32" i="72" a="1"/>
  <c r="FC60" i="72" a="1"/>
  <c r="FC53" i="72" a="1"/>
  <c r="EX31" i="72" a="1"/>
  <c r="EW61" i="72" a="1"/>
  <c r="EW42" i="72" a="1"/>
  <c r="FB64" i="72" a="1"/>
  <c r="EX52" i="72" a="1"/>
  <c r="GF44" i="72" a="1"/>
  <c r="EZ43" i="72" a="1"/>
  <c r="EW65" i="72" a="1"/>
  <c r="EW60" i="72" a="1"/>
  <c r="FA59" i="72" a="1"/>
  <c r="FB54" i="72" a="1"/>
  <c r="EX35" i="72" a="1"/>
  <c r="EW55" i="72" a="1"/>
  <c r="EW52" i="72" a="1"/>
  <c r="EZ69" i="72" a="1"/>
  <c r="EW9" i="72" a="1"/>
  <c r="EW40" i="72" a="1"/>
  <c r="FA46" i="72" a="1"/>
  <c r="EW82" i="72" a="1"/>
  <c r="FC33" i="72" a="1"/>
  <c r="FA58" i="72" a="1"/>
  <c r="FA38" i="72" a="1"/>
  <c r="EW26" i="72" a="1"/>
  <c r="FA49" i="72" a="1"/>
  <c r="EX39" i="72" a="1"/>
  <c r="EY25" i="72" a="1"/>
  <c r="FC55" i="72" a="1"/>
  <c r="EZ65" i="72" a="1"/>
  <c r="EW10" i="72" a="1"/>
  <c r="FA55" i="72" a="1"/>
  <c r="FB55" i="72" a="1"/>
  <c r="EZ64" i="72" a="1"/>
  <c r="EX46" i="72" a="1"/>
  <c r="FB50" i="72" a="1"/>
  <c r="EW46" i="72" a="1"/>
  <c r="EW29" i="72" a="1"/>
  <c r="FA45" i="72" a="1"/>
  <c r="EW48" i="72" a="1"/>
  <c r="FB70" i="72" a="1"/>
  <c r="EX22" i="72" a="1"/>
  <c r="FC43" i="72" a="1"/>
  <c r="EW79" i="72" a="1"/>
  <c r="FB57" i="72" a="1"/>
  <c r="EZ66" i="72" a="1"/>
  <c r="FB58" i="72" a="1"/>
  <c r="EX37" i="72" a="1"/>
  <c r="EW73" i="72" a="1"/>
  <c r="FC54" i="72" a="1"/>
  <c r="FB51" i="72" a="1"/>
  <c r="FB69" i="72" a="1"/>
  <c r="FC31" i="72" a="1"/>
  <c r="FA33" i="72" a="1"/>
  <c r="FB66" i="72" a="1"/>
  <c r="EX33" i="72" a="1"/>
  <c r="EW49" i="72" a="1"/>
  <c r="FA63" i="72" a="1"/>
  <c r="EZ31" i="72" a="1"/>
  <c r="FC57" i="72" a="1"/>
  <c r="FC70" i="72" a="1"/>
  <c r="EX62" i="72" a="1"/>
  <c r="EY18" i="72" a="1"/>
  <c r="EX50" i="72" a="1"/>
  <c r="FB36" i="72" a="1"/>
  <c r="EX38" i="72" a="1"/>
  <c r="EW21" i="72" a="1"/>
  <c r="EX51" i="72" a="1"/>
  <c r="FA34" i="72" a="1"/>
  <c r="FB42" i="72" a="1"/>
  <c r="EZ49" i="72" a="1"/>
  <c r="EW86" i="72" a="1"/>
  <c r="EW45" i="72" a="1"/>
  <c r="EX48" i="72" a="1"/>
  <c r="FA36" i="72" a="1"/>
  <c r="FC34" i="72" a="1"/>
  <c r="FC49" i="72" a="1"/>
  <c r="EX21" i="72" a="1"/>
  <c r="EZ52" i="72" a="1"/>
  <c r="EW27" i="72" a="1"/>
  <c r="EZ61" i="72" a="1"/>
  <c r="FB35" i="72" a="1"/>
  <c r="FA62" i="72" a="1"/>
  <c r="EZ38" i="72" a="1"/>
  <c r="FB38" i="72" a="1"/>
  <c r="FB34" i="72" a="1"/>
  <c r="EW6" i="72" a="1"/>
  <c r="FC51" i="72" a="1"/>
  <c r="FB47" i="72" a="1"/>
  <c r="GF48" i="72" a="1"/>
  <c r="EW89" i="72" a="1"/>
  <c r="FB60" i="72" a="1"/>
  <c r="EX15" i="72" a="1"/>
  <c r="EX16" i="72" a="1"/>
  <c r="EW80" i="72" a="1"/>
  <c r="EX70" i="72" a="1"/>
  <c r="EW75" i="72" a="1"/>
  <c r="EW5" i="72" a="1"/>
  <c r="FA50" i="72" a="1"/>
  <c r="FA39" i="72" a="1"/>
  <c r="EX43" i="72" a="1"/>
  <c r="FB39" i="72" a="1"/>
  <c r="FC59" i="72" a="1"/>
  <c r="FB53" i="72" a="1"/>
  <c r="EW7" i="72" a="1"/>
  <c r="EW41" i="72" a="1"/>
  <c r="EX53" i="72" a="1"/>
  <c r="EY15" i="72" a="1"/>
  <c r="EW33" i="72" a="1"/>
  <c r="GF53" i="72" a="1"/>
  <c r="EW77" i="72" a="1"/>
  <c r="EW87" i="72" a="1"/>
  <c r="EW78" i="72" a="1"/>
  <c r="FA67" i="72" a="1"/>
  <c r="FC38" i="72" a="1"/>
  <c r="FA48" i="72" a="1"/>
  <c r="EX34" i="72" a="1"/>
  <c r="EX29" i="72" a="1"/>
  <c r="EW13" i="72" a="1"/>
  <c r="EW50" i="72" a="1"/>
  <c r="FB62" i="72" a="1"/>
  <c r="EY17" i="72" a="1"/>
  <c r="EZ54" i="72" a="1"/>
  <c r="FA47" i="72" a="1"/>
  <c r="EZ60" i="72" a="1"/>
  <c r="EW24" i="72" a="1"/>
  <c r="EW56" i="72" a="1"/>
  <c r="GF50" i="72" a="1"/>
  <c r="EY27" i="72" a="1"/>
  <c r="EX25" i="72" a="1"/>
  <c r="DM33" i="92" a="1"/>
  <c r="EX19" i="72" a="1"/>
  <c r="FC67" i="72" a="1"/>
  <c r="FB32" i="72" a="1"/>
  <c r="EX41" i="72" a="1"/>
  <c r="FC58" i="72" a="1"/>
  <c r="EW69" i="72" a="1"/>
  <c r="FB41" i="72" a="1"/>
  <c r="EX66" i="72" a="1"/>
  <c r="EX47" i="72" a="1"/>
  <c r="FB49" i="72" a="1"/>
  <c r="EW54" i="72" a="1"/>
  <c r="EW90" i="72" a="1"/>
  <c r="EW62" i="72" a="1"/>
  <c r="GF43" i="72" a="1"/>
  <c r="FC32" i="72" a="1"/>
  <c r="EX58" i="72" a="1"/>
  <c r="EX69" i="72" a="1"/>
  <c r="EW43" i="72" a="1"/>
  <c r="EW18" i="72" a="1"/>
  <c r="EX36" i="72" a="1"/>
  <c r="I148" i="72" a="1"/>
  <c r="FC37" i="72" a="1"/>
  <c r="FC45" i="72" a="1"/>
  <c r="FA54" i="72" a="1"/>
  <c r="FC48" i="72" a="1"/>
  <c r="DB19" i="92" a="1"/>
  <c r="FB46" i="72" a="1"/>
  <c r="EY16" i="72" a="1"/>
  <c r="FB61" i="72" a="1"/>
  <c r="EX20" i="72" a="1"/>
  <c r="FA56" i="72" a="1"/>
  <c r="EW66" i="72" a="1"/>
  <c r="EZ37" i="72" a="1"/>
  <c r="FA64" i="72" a="1"/>
  <c r="EW59" i="72" a="1"/>
  <c r="EZ32" i="72" a="1"/>
  <c r="EY22" i="72" a="1"/>
  <c r="EZ67" i="72" a="1"/>
  <c r="EW28" i="72" a="1"/>
  <c r="EZ35" i="72" a="1"/>
  <c r="EX27" i="72" a="1"/>
  <c r="FA51" i="72" a="1"/>
  <c r="EX68" i="72" a="1"/>
  <c r="FA65" i="72" a="1"/>
  <c r="EX49" i="72" a="1"/>
  <c r="EW23" i="72" a="1"/>
  <c r="EW57" i="72" a="1"/>
  <c r="FA52" i="72" a="1"/>
  <c r="FC47" i="72" a="1"/>
  <c r="FC44" i="72" a="1"/>
  <c r="FB37" i="72" a="1"/>
  <c r="AM151" i="64" l="1"/>
  <c r="AM150" i="64"/>
  <c r="C122" i="93"/>
  <c r="AM146" i="64"/>
  <c r="GN41" i="72"/>
  <c r="GN7" i="72"/>
  <c r="GN6" i="72"/>
  <c r="GF43" i="72"/>
  <c r="HB10" i="72" s="1"/>
  <c r="GF50" i="72"/>
  <c r="GF47" i="72"/>
  <c r="GF42" i="72"/>
  <c r="GF54" i="72"/>
  <c r="GF53" i="72"/>
  <c r="GF41" i="72"/>
  <c r="GF51" i="72"/>
  <c r="GF46" i="72"/>
  <c r="GF49" i="72"/>
  <c r="GF45" i="72"/>
  <c r="GF52" i="72"/>
  <c r="GF48" i="72"/>
  <c r="GF44" i="72"/>
  <c r="I148" i="72"/>
  <c r="EW89" i="72"/>
  <c r="M138" i="64" s="1"/>
  <c r="EW85" i="72"/>
  <c r="M134" i="64" s="1"/>
  <c r="EW88" i="72"/>
  <c r="M137" i="64" s="1"/>
  <c r="EW84" i="72"/>
  <c r="M133" i="64" s="1"/>
  <c r="EW91" i="72"/>
  <c r="M140" i="64" s="1"/>
  <c r="EW87" i="72"/>
  <c r="M136" i="64" s="1"/>
  <c r="EW83" i="72"/>
  <c r="M132" i="64" s="1"/>
  <c r="EW90" i="72"/>
  <c r="M139" i="64" s="1"/>
  <c r="EW86" i="72"/>
  <c r="M135" i="64" s="1"/>
  <c r="EW82" i="72"/>
  <c r="M131" i="64" s="1"/>
  <c r="EW81" i="72"/>
  <c r="M130" i="64" s="1"/>
  <c r="EW80" i="72"/>
  <c r="M129" i="64" s="1"/>
  <c r="EW76" i="72"/>
  <c r="M125" i="64" s="1"/>
  <c r="EW79" i="72"/>
  <c r="M128" i="64" s="1"/>
  <c r="EW75" i="72"/>
  <c r="M124" i="64" s="1"/>
  <c r="EW78" i="72"/>
  <c r="M127" i="64" s="1"/>
  <c r="EW74" i="72"/>
  <c r="M123" i="64" s="1"/>
  <c r="EW77" i="72"/>
  <c r="M126" i="64" s="1"/>
  <c r="EW73" i="72"/>
  <c r="M122" i="64" s="1"/>
  <c r="EW72" i="72"/>
  <c r="M121" i="64" s="1"/>
  <c r="FA35" i="72"/>
  <c r="AG73" i="64" s="1"/>
  <c r="FA39" i="72"/>
  <c r="AG77" i="64" s="1"/>
  <c r="FA43" i="72"/>
  <c r="AG81" i="64" s="1"/>
  <c r="FA47" i="72"/>
  <c r="AG85" i="64" s="1"/>
  <c r="FA51" i="72"/>
  <c r="AG89" i="64" s="1"/>
  <c r="FA55" i="72"/>
  <c r="AG93" i="64" s="1"/>
  <c r="FA59" i="72"/>
  <c r="AG97" i="64" s="1"/>
  <c r="FA63" i="72"/>
  <c r="AG101" i="64" s="1"/>
  <c r="FA67" i="72"/>
  <c r="AG105" i="64" s="1"/>
  <c r="FA32" i="72"/>
  <c r="AG70" i="64" s="1"/>
  <c r="FA60" i="72"/>
  <c r="AG98" i="64" s="1"/>
  <c r="FA56" i="72"/>
  <c r="AG94" i="64" s="1"/>
  <c r="FA33" i="72"/>
  <c r="AG71" i="64" s="1"/>
  <c r="FA37" i="72"/>
  <c r="AG75" i="64" s="1"/>
  <c r="FA41" i="72"/>
  <c r="AG79" i="64" s="1"/>
  <c r="FA45" i="72"/>
  <c r="AG83" i="64" s="1"/>
  <c r="FA49" i="72"/>
  <c r="AG87" i="64" s="1"/>
  <c r="FA53" i="72"/>
  <c r="AG91" i="64" s="1"/>
  <c r="FA57" i="72"/>
  <c r="AG95" i="64" s="1"/>
  <c r="FA61" i="72"/>
  <c r="AG99" i="64" s="1"/>
  <c r="FA65" i="72"/>
  <c r="AG103" i="64" s="1"/>
  <c r="FA69" i="72"/>
  <c r="AG107" i="64" s="1"/>
  <c r="FA68" i="72"/>
  <c r="AG106" i="64" s="1"/>
  <c r="FA36" i="72"/>
  <c r="AG74" i="64" s="1"/>
  <c r="FA52" i="72"/>
  <c r="AG90" i="64" s="1"/>
  <c r="FA34" i="72"/>
  <c r="AG72" i="64" s="1"/>
  <c r="FA38" i="72"/>
  <c r="AG76" i="64" s="1"/>
  <c r="FA42" i="72"/>
  <c r="AG80" i="64" s="1"/>
  <c r="FA46" i="72"/>
  <c r="AG84" i="64" s="1"/>
  <c r="FA50" i="72"/>
  <c r="AG88" i="64" s="1"/>
  <c r="FA54" i="72"/>
  <c r="AG92" i="64" s="1"/>
  <c r="FA58" i="72"/>
  <c r="AG96" i="64" s="1"/>
  <c r="FA62" i="72"/>
  <c r="AG100" i="64" s="1"/>
  <c r="FA66" i="72"/>
  <c r="AG104" i="64" s="1"/>
  <c r="FA70" i="72"/>
  <c r="AG108" i="64" s="1"/>
  <c r="FA40" i="72"/>
  <c r="AG78" i="64" s="1"/>
  <c r="FA44" i="72"/>
  <c r="AG82" i="64" s="1"/>
  <c r="FA48" i="72"/>
  <c r="AG86" i="64" s="1"/>
  <c r="FA64" i="72"/>
  <c r="AG102" i="64" s="1"/>
  <c r="FB35" i="72"/>
  <c r="AK73" i="64" s="1"/>
  <c r="FB39" i="72"/>
  <c r="AK77" i="64" s="1"/>
  <c r="FB43" i="72"/>
  <c r="AK81" i="64" s="1"/>
  <c r="FB47" i="72"/>
  <c r="AK85" i="64" s="1"/>
  <c r="FB51" i="72"/>
  <c r="AK89" i="64" s="1"/>
  <c r="FB55" i="72"/>
  <c r="AK93" i="64" s="1"/>
  <c r="FB59" i="72"/>
  <c r="AK97" i="64" s="1"/>
  <c r="FB63" i="72"/>
  <c r="AK101" i="64" s="1"/>
  <c r="FB67" i="72"/>
  <c r="AK105" i="64" s="1"/>
  <c r="FB32" i="72"/>
  <c r="AK70" i="64" s="1"/>
  <c r="FB36" i="72"/>
  <c r="AK74" i="64" s="1"/>
  <c r="FB40" i="72"/>
  <c r="AK78" i="64" s="1"/>
  <c r="FB44" i="72"/>
  <c r="AK82" i="64" s="1"/>
  <c r="FB48" i="72"/>
  <c r="AK86" i="64" s="1"/>
  <c r="FB52" i="72"/>
  <c r="AK90" i="64" s="1"/>
  <c r="FB56" i="72"/>
  <c r="AK94" i="64" s="1"/>
  <c r="FB60" i="72"/>
  <c r="AK98" i="64" s="1"/>
  <c r="FB64" i="72"/>
  <c r="AK102" i="64" s="1"/>
  <c r="FB68" i="72"/>
  <c r="AK106" i="64" s="1"/>
  <c r="FB33" i="72"/>
  <c r="AK71" i="64" s="1"/>
  <c r="FB37" i="72"/>
  <c r="AK75" i="64" s="1"/>
  <c r="FB41" i="72"/>
  <c r="AK79" i="64" s="1"/>
  <c r="FB45" i="72"/>
  <c r="AK83" i="64" s="1"/>
  <c r="FB49" i="72"/>
  <c r="AK87" i="64" s="1"/>
  <c r="FB53" i="72"/>
  <c r="AK91" i="64" s="1"/>
  <c r="FB57" i="72"/>
  <c r="AK95" i="64" s="1"/>
  <c r="FB61" i="72"/>
  <c r="AK99" i="64" s="1"/>
  <c r="FB65" i="72"/>
  <c r="AK103" i="64" s="1"/>
  <c r="FB69" i="72"/>
  <c r="AK107" i="64" s="1"/>
  <c r="FB34" i="72"/>
  <c r="AK72" i="64" s="1"/>
  <c r="FB38" i="72"/>
  <c r="AK76" i="64" s="1"/>
  <c r="FB42" i="72"/>
  <c r="AK80" i="64" s="1"/>
  <c r="FB46" i="72"/>
  <c r="AK84" i="64" s="1"/>
  <c r="FB50" i="72"/>
  <c r="AK88" i="64" s="1"/>
  <c r="FB54" i="72"/>
  <c r="AK92" i="64" s="1"/>
  <c r="FB58" i="72"/>
  <c r="AK96" i="64" s="1"/>
  <c r="FB62" i="72"/>
  <c r="AK100" i="64" s="1"/>
  <c r="FB66" i="72"/>
  <c r="AK104" i="64" s="1"/>
  <c r="FB70" i="72"/>
  <c r="AK108" i="64" s="1"/>
  <c r="FC35" i="72"/>
  <c r="AO73" i="64" s="1"/>
  <c r="FC39" i="72"/>
  <c r="AO77" i="64" s="1"/>
  <c r="FC67" i="72"/>
  <c r="AO105" i="64" s="1"/>
  <c r="FC43" i="72"/>
  <c r="AO81" i="64" s="1"/>
  <c r="FC32" i="72"/>
  <c r="AO70" i="64" s="1"/>
  <c r="FC36" i="72"/>
  <c r="AO74" i="64" s="1"/>
  <c r="FC40" i="72"/>
  <c r="AO78" i="64" s="1"/>
  <c r="FC44" i="72"/>
  <c r="AO82" i="64" s="1"/>
  <c r="FC48" i="72"/>
  <c r="AO86" i="64" s="1"/>
  <c r="FC52" i="72"/>
  <c r="AO90" i="64" s="1"/>
  <c r="FC56" i="72"/>
  <c r="AO94" i="64" s="1"/>
  <c r="FC60" i="72"/>
  <c r="AO98" i="64" s="1"/>
  <c r="FC64" i="72"/>
  <c r="AO102" i="64" s="1"/>
  <c r="FC68" i="72"/>
  <c r="AO106" i="64" s="1"/>
  <c r="FC63" i="72"/>
  <c r="AO101" i="64" s="1"/>
  <c r="FC55" i="72"/>
  <c r="AO93" i="64" s="1"/>
  <c r="FC33" i="72"/>
  <c r="AO71" i="64" s="1"/>
  <c r="FC37" i="72"/>
  <c r="AO75" i="64" s="1"/>
  <c r="FC41" i="72"/>
  <c r="AO79" i="64" s="1"/>
  <c r="FC45" i="72"/>
  <c r="AO83" i="64" s="1"/>
  <c r="FC49" i="72"/>
  <c r="AO87" i="64" s="1"/>
  <c r="FC53" i="72"/>
  <c r="AO91" i="64" s="1"/>
  <c r="FC57" i="72"/>
  <c r="AO95" i="64" s="1"/>
  <c r="FC61" i="72"/>
  <c r="AO99" i="64" s="1"/>
  <c r="FC65" i="72"/>
  <c r="AO103" i="64" s="1"/>
  <c r="FC69" i="72"/>
  <c r="AO107" i="64" s="1"/>
  <c r="FC47" i="72"/>
  <c r="AO85" i="64" s="1"/>
  <c r="FC59" i="72"/>
  <c r="AO97" i="64" s="1"/>
  <c r="FC34" i="72"/>
  <c r="AO72" i="64" s="1"/>
  <c r="FC38" i="72"/>
  <c r="AO76" i="64" s="1"/>
  <c r="FC42" i="72"/>
  <c r="AO80" i="64" s="1"/>
  <c r="FC46" i="72"/>
  <c r="AO84" i="64" s="1"/>
  <c r="FC50" i="72"/>
  <c r="AO88" i="64" s="1"/>
  <c r="FC54" i="72"/>
  <c r="AO92" i="64" s="1"/>
  <c r="FC58" i="72"/>
  <c r="AO96" i="64" s="1"/>
  <c r="FC62" i="72"/>
  <c r="AO100" i="64" s="1"/>
  <c r="FC66" i="72"/>
  <c r="AO104" i="64" s="1"/>
  <c r="FC70" i="72"/>
  <c r="AO108" i="64" s="1"/>
  <c r="FC51" i="72"/>
  <c r="AO89" i="64" s="1"/>
  <c r="FC31" i="72"/>
  <c r="AO69" i="64" s="1"/>
  <c r="FB31" i="72"/>
  <c r="AK69" i="64" s="1"/>
  <c r="FA31" i="72"/>
  <c r="AG69" i="64" s="1"/>
  <c r="EZ67" i="72"/>
  <c r="W105" i="64" s="1"/>
  <c r="EZ59" i="72"/>
  <c r="W97" i="64" s="1"/>
  <c r="EZ32" i="72"/>
  <c r="W70" i="64" s="1"/>
  <c r="EZ36" i="72"/>
  <c r="W74" i="64" s="1"/>
  <c r="EZ40" i="72"/>
  <c r="W78" i="64" s="1"/>
  <c r="EZ44" i="72"/>
  <c r="W82" i="64" s="1"/>
  <c r="EZ48" i="72"/>
  <c r="W86" i="64" s="1"/>
  <c r="EZ52" i="72"/>
  <c r="W90" i="64" s="1"/>
  <c r="EZ56" i="72"/>
  <c r="W94" i="64" s="1"/>
  <c r="EZ60" i="72"/>
  <c r="W98" i="64" s="1"/>
  <c r="EZ64" i="72"/>
  <c r="W102" i="64" s="1"/>
  <c r="EZ68" i="72"/>
  <c r="W106" i="64" s="1"/>
  <c r="EZ63" i="72"/>
  <c r="W101" i="64" s="1"/>
  <c r="EZ43" i="72"/>
  <c r="W81" i="64" s="1"/>
  <c r="EZ33" i="72"/>
  <c r="W71" i="64" s="1"/>
  <c r="EZ37" i="72"/>
  <c r="W75" i="64" s="1"/>
  <c r="EZ41" i="72"/>
  <c r="W79" i="64" s="1"/>
  <c r="EZ45" i="72"/>
  <c r="W83" i="64" s="1"/>
  <c r="EZ49" i="72"/>
  <c r="W87" i="64" s="1"/>
  <c r="EZ53" i="72"/>
  <c r="W91" i="64" s="1"/>
  <c r="EZ57" i="72"/>
  <c r="W95" i="64" s="1"/>
  <c r="EZ61" i="72"/>
  <c r="W99" i="64" s="1"/>
  <c r="EZ65" i="72"/>
  <c r="W103" i="64" s="1"/>
  <c r="EZ69" i="72"/>
  <c r="W107" i="64" s="1"/>
  <c r="EZ39" i="72"/>
  <c r="W77" i="64" s="1"/>
  <c r="EZ55" i="72"/>
  <c r="W93" i="64" s="1"/>
  <c r="EZ51" i="72"/>
  <c r="W89" i="64" s="1"/>
  <c r="EZ34" i="72"/>
  <c r="W72" i="64" s="1"/>
  <c r="EZ38" i="72"/>
  <c r="W76" i="64" s="1"/>
  <c r="EZ42" i="72"/>
  <c r="W80" i="64" s="1"/>
  <c r="EZ46" i="72"/>
  <c r="W84" i="64" s="1"/>
  <c r="EZ50" i="72"/>
  <c r="W88" i="64" s="1"/>
  <c r="EZ54" i="72"/>
  <c r="W92" i="64" s="1"/>
  <c r="EZ58" i="72"/>
  <c r="W96" i="64" s="1"/>
  <c r="EZ62" i="72"/>
  <c r="W100" i="64" s="1"/>
  <c r="EZ66" i="72"/>
  <c r="W104" i="64" s="1"/>
  <c r="EZ70" i="72"/>
  <c r="W108" i="64" s="1"/>
  <c r="EZ35" i="72"/>
  <c r="W73" i="64" s="1"/>
  <c r="EZ47" i="72"/>
  <c r="W85" i="64" s="1"/>
  <c r="EZ31" i="72"/>
  <c r="W69" i="64" s="1"/>
  <c r="EX43" i="72"/>
  <c r="E81" i="64" s="1"/>
  <c r="EX67" i="72"/>
  <c r="E105" i="64" s="1"/>
  <c r="EX39" i="72"/>
  <c r="E77" i="64" s="1"/>
  <c r="EX63" i="72"/>
  <c r="E101" i="64" s="1"/>
  <c r="EX32" i="72"/>
  <c r="E70" i="64" s="1"/>
  <c r="EX36" i="72"/>
  <c r="E74" i="64" s="1"/>
  <c r="EX40" i="72"/>
  <c r="E78" i="64" s="1"/>
  <c r="EX44" i="72"/>
  <c r="E82" i="64" s="1"/>
  <c r="EX48" i="72"/>
  <c r="E86" i="64" s="1"/>
  <c r="EX52" i="72"/>
  <c r="E90" i="64" s="1"/>
  <c r="EX56" i="72"/>
  <c r="E94" i="64" s="1"/>
  <c r="EX60" i="72"/>
  <c r="E98" i="64" s="1"/>
  <c r="EX64" i="72"/>
  <c r="E102" i="64" s="1"/>
  <c r="EX68" i="72"/>
  <c r="E106" i="64" s="1"/>
  <c r="EX55" i="72"/>
  <c r="E93" i="64" s="1"/>
  <c r="EX35" i="72"/>
  <c r="E73" i="64" s="1"/>
  <c r="EX47" i="72"/>
  <c r="E85" i="64" s="1"/>
  <c r="EX59" i="72"/>
  <c r="E97" i="64" s="1"/>
  <c r="EX33" i="72"/>
  <c r="E71" i="64" s="1"/>
  <c r="EX37" i="72"/>
  <c r="E75" i="64" s="1"/>
  <c r="EX41" i="72"/>
  <c r="E79" i="64" s="1"/>
  <c r="EX45" i="72"/>
  <c r="E83" i="64" s="1"/>
  <c r="EX49" i="72"/>
  <c r="E87" i="64" s="1"/>
  <c r="EX53" i="72"/>
  <c r="E91" i="64" s="1"/>
  <c r="EX57" i="72"/>
  <c r="E95" i="64" s="1"/>
  <c r="EX61" i="72"/>
  <c r="E99" i="64" s="1"/>
  <c r="EX65" i="72"/>
  <c r="E103" i="64" s="1"/>
  <c r="EX69" i="72"/>
  <c r="E107" i="64" s="1"/>
  <c r="EX51" i="72"/>
  <c r="E89" i="64" s="1"/>
  <c r="EX34" i="72"/>
  <c r="E72" i="64" s="1"/>
  <c r="EX38" i="72"/>
  <c r="E76" i="64" s="1"/>
  <c r="EX42" i="72"/>
  <c r="E80" i="64" s="1"/>
  <c r="EX46" i="72"/>
  <c r="E84" i="64" s="1"/>
  <c r="EX50" i="72"/>
  <c r="E88" i="64" s="1"/>
  <c r="EX54" i="72"/>
  <c r="E92" i="64" s="1"/>
  <c r="EX58" i="72"/>
  <c r="E96" i="64" s="1"/>
  <c r="EX62" i="72"/>
  <c r="E100" i="64" s="1"/>
  <c r="EX66" i="72"/>
  <c r="E104" i="64" s="1"/>
  <c r="EX70" i="72"/>
  <c r="E108" i="64" s="1"/>
  <c r="EX31" i="72"/>
  <c r="E69" i="64" s="1"/>
  <c r="EW67" i="72"/>
  <c r="A105" i="64" s="1"/>
  <c r="EW63" i="72"/>
  <c r="A101" i="64" s="1"/>
  <c r="EW59" i="72"/>
  <c r="A97" i="64" s="1"/>
  <c r="EW55" i="72"/>
  <c r="A93" i="64" s="1"/>
  <c r="EW51" i="72"/>
  <c r="A89" i="64" s="1"/>
  <c r="EW47" i="72"/>
  <c r="A85" i="64" s="1"/>
  <c r="EW43" i="72"/>
  <c r="A81" i="64" s="1"/>
  <c r="EW39" i="72"/>
  <c r="A77" i="64" s="1"/>
  <c r="EW35" i="72"/>
  <c r="A73" i="64" s="1"/>
  <c r="EW70" i="72"/>
  <c r="A108" i="64" s="1"/>
  <c r="EW66" i="72"/>
  <c r="A104" i="64" s="1"/>
  <c r="EW62" i="72"/>
  <c r="A100" i="64" s="1"/>
  <c r="EW58" i="72"/>
  <c r="A96" i="64" s="1"/>
  <c r="EW54" i="72"/>
  <c r="A92" i="64" s="1"/>
  <c r="EW50" i="72"/>
  <c r="A88" i="64" s="1"/>
  <c r="EW46" i="72"/>
  <c r="A84" i="64" s="1"/>
  <c r="EW42" i="72"/>
  <c r="A80" i="64" s="1"/>
  <c r="EW38" i="72"/>
  <c r="A76" i="64" s="1"/>
  <c r="EW34" i="72"/>
  <c r="A72" i="64" s="1"/>
  <c r="EW69" i="72"/>
  <c r="A107" i="64" s="1"/>
  <c r="EW65" i="72"/>
  <c r="A103" i="64" s="1"/>
  <c r="EW61" i="72"/>
  <c r="A99" i="64" s="1"/>
  <c r="EW57" i="72"/>
  <c r="A95" i="64" s="1"/>
  <c r="EW53" i="72"/>
  <c r="A91" i="64" s="1"/>
  <c r="EW49" i="72"/>
  <c r="A87" i="64" s="1"/>
  <c r="EW45" i="72"/>
  <c r="A83" i="64" s="1"/>
  <c r="EW41" i="72"/>
  <c r="A79" i="64" s="1"/>
  <c r="EW37" i="72"/>
  <c r="A75" i="64" s="1"/>
  <c r="EW33" i="72"/>
  <c r="A71" i="64" s="1"/>
  <c r="EW68" i="72"/>
  <c r="A106" i="64" s="1"/>
  <c r="EW64" i="72"/>
  <c r="A102" i="64" s="1"/>
  <c r="EW60" i="72"/>
  <c r="A98" i="64" s="1"/>
  <c r="EW56" i="72"/>
  <c r="A94" i="64" s="1"/>
  <c r="EW52" i="72"/>
  <c r="A90" i="64" s="1"/>
  <c r="EW48" i="72"/>
  <c r="A86" i="64" s="1"/>
  <c r="EW44" i="72"/>
  <c r="A82" i="64" s="1"/>
  <c r="EW40" i="72"/>
  <c r="A78" i="64" s="1"/>
  <c r="EW36" i="72"/>
  <c r="A74" i="64" s="1"/>
  <c r="EW32" i="72"/>
  <c r="A70" i="64" s="1"/>
  <c r="EW31" i="72"/>
  <c r="A69" i="64" s="1"/>
  <c r="EW30" i="72"/>
  <c r="AG67" i="64" s="1"/>
  <c r="EY27" i="72"/>
  <c r="EY23" i="72"/>
  <c r="EY19" i="72"/>
  <c r="EY26" i="72"/>
  <c r="EY22" i="72"/>
  <c r="EY18" i="72"/>
  <c r="EY29" i="72"/>
  <c r="EY25" i="72"/>
  <c r="EY21" i="72"/>
  <c r="EY17" i="72"/>
  <c r="EY28" i="72"/>
  <c r="EY24" i="72"/>
  <c r="EY20" i="72"/>
  <c r="EY16" i="72"/>
  <c r="EY15" i="72"/>
  <c r="EX27" i="72"/>
  <c r="EX23" i="72"/>
  <c r="EX19" i="72"/>
  <c r="EX26" i="72"/>
  <c r="EX29" i="72"/>
  <c r="EX25" i="72"/>
  <c r="EX21" i="72"/>
  <c r="EX17" i="72"/>
  <c r="EX22" i="72"/>
  <c r="EX18" i="72"/>
  <c r="EX28" i="72"/>
  <c r="EX24" i="72"/>
  <c r="EX20" i="72"/>
  <c r="EX16" i="72"/>
  <c r="EX15" i="72"/>
  <c r="EW27" i="72"/>
  <c r="B54" i="64" s="1"/>
  <c r="EW23" i="72"/>
  <c r="B50" i="64" s="1"/>
  <c r="EW19" i="72"/>
  <c r="B46" i="64" s="1"/>
  <c r="EW26" i="72"/>
  <c r="B53" i="64" s="1"/>
  <c r="EW22" i="72"/>
  <c r="B49" i="64" s="1"/>
  <c r="EW18" i="72"/>
  <c r="B45" i="64" s="1"/>
  <c r="EW29" i="72"/>
  <c r="B56" i="64" s="1"/>
  <c r="EW25" i="72"/>
  <c r="B52" i="64" s="1"/>
  <c r="EW21" i="72"/>
  <c r="B48" i="64" s="1"/>
  <c r="EW17" i="72"/>
  <c r="B44" i="64" s="1"/>
  <c r="EW28" i="72"/>
  <c r="B55" i="64" s="1"/>
  <c r="EW24" i="72"/>
  <c r="B51" i="64" s="1"/>
  <c r="EW20" i="72"/>
  <c r="B47" i="64" s="1"/>
  <c r="EW16" i="72"/>
  <c r="B43" i="64" s="1"/>
  <c r="EW15" i="72"/>
  <c r="B42" i="64" s="1"/>
  <c r="EW13" i="72"/>
  <c r="B20" i="64" s="1"/>
  <c r="EW11" i="72"/>
  <c r="L15" i="64" s="1"/>
  <c r="EW10" i="72"/>
  <c r="L13" i="64" s="1"/>
  <c r="EW9" i="72"/>
  <c r="L12" i="64" s="1"/>
  <c r="EW8" i="72"/>
  <c r="L11" i="64" s="1"/>
  <c r="EW7" i="72"/>
  <c r="AF10" i="64" s="1"/>
  <c r="EW6" i="72"/>
  <c r="L10" i="64" s="1"/>
  <c r="EW5" i="72"/>
  <c r="L9" i="64" s="1"/>
  <c r="CY20" i="92"/>
  <c r="CY21" i="92" s="1"/>
  <c r="CY22" i="92" s="1"/>
  <c r="DB19" i="92"/>
  <c r="O103" i="90" s="1"/>
  <c r="DM33" i="92"/>
  <c r="CX3" i="92"/>
  <c r="DB31" i="92"/>
  <c r="CW32" i="92"/>
  <c r="CY20" i="72"/>
  <c r="CZ20" i="72" s="1"/>
  <c r="DA19" i="72"/>
  <c r="CZ19" i="72"/>
  <c r="DM33" i="72"/>
  <c r="EH142" i="102"/>
  <c r="DA19" i="92" a="1"/>
  <c r="CZ31" i="92" a="1"/>
  <c r="CY31" i="92" a="1"/>
  <c r="CX31" i="92" a="1"/>
  <c r="DC31" i="92" a="1"/>
  <c r="EG142" i="102"/>
  <c r="DZ154" i="102" a="1"/>
  <c r="EN142" i="102"/>
  <c r="EM142" i="102"/>
  <c r="DY154" i="102" a="1"/>
  <c r="DA31" i="92" a="1"/>
  <c r="DB19" i="72" a="1"/>
  <c r="DA31" i="92" l="1"/>
  <c r="DA19" i="92"/>
  <c r="M103" i="90" s="1"/>
  <c r="DZ154" i="102"/>
  <c r="DY154" i="102"/>
  <c r="HB9" i="72"/>
  <c r="AM145" i="64"/>
  <c r="GN40" i="72"/>
  <c r="GS6" i="72" s="1"/>
  <c r="C115" i="93" s="1"/>
  <c r="CX31" i="92"/>
  <c r="CZ21" i="92"/>
  <c r="CZ20" i="92"/>
  <c r="CZ31" i="92"/>
  <c r="DD31" i="92" s="1"/>
  <c r="Y16" i="91" s="1"/>
  <c r="DC31" i="92"/>
  <c r="CY31" i="92"/>
  <c r="CW33" i="92"/>
  <c r="DM30" i="92"/>
  <c r="DL30" i="92"/>
  <c r="CZ22" i="92"/>
  <c r="CY23" i="92"/>
  <c r="CY21" i="72"/>
  <c r="CY22" i="72" s="1"/>
  <c r="CY23" i="72" s="1"/>
  <c r="CY24" i="72" s="1"/>
  <c r="CZ24" i="72" s="1"/>
  <c r="DB19" i="72"/>
  <c r="DB32" i="92" a="1"/>
  <c r="DC32" i="92" a="1"/>
  <c r="CZ32" i="92" a="1"/>
  <c r="DA22" i="92" a="1"/>
  <c r="CY32" i="92" a="1"/>
  <c r="DA20" i="92" a="1"/>
  <c r="DA32" i="92" a="1"/>
  <c r="DB22" i="92" a="1"/>
  <c r="CX32" i="92" a="1"/>
  <c r="DA21" i="92" a="1"/>
  <c r="DB21" i="92" a="1"/>
  <c r="DB20" i="92" a="1"/>
  <c r="Q32" i="91" l="1"/>
  <c r="Y15" i="91"/>
  <c r="M32" i="91"/>
  <c r="U15" i="91"/>
  <c r="Q134" i="91"/>
  <c r="Y117" i="91"/>
  <c r="Q100" i="91"/>
  <c r="Y83" i="91"/>
  <c r="Q66" i="91"/>
  <c r="Y49" i="91"/>
  <c r="M134" i="91"/>
  <c r="U117" i="91"/>
  <c r="M100" i="91"/>
  <c r="U83" i="91"/>
  <c r="M66" i="91"/>
  <c r="U49" i="91"/>
  <c r="Y32" i="91"/>
  <c r="Q15" i="91"/>
  <c r="M117" i="91"/>
  <c r="U66" i="91"/>
  <c r="Y134" i="91"/>
  <c r="Q117" i="91"/>
  <c r="Y100" i="91"/>
  <c r="Q83" i="91"/>
  <c r="Y66" i="91"/>
  <c r="Q49" i="91"/>
  <c r="M15" i="91"/>
  <c r="U100" i="91"/>
  <c r="M83" i="91"/>
  <c r="M49" i="91"/>
  <c r="U32" i="91"/>
  <c r="U134" i="91"/>
  <c r="S134" i="91"/>
  <c r="AA117" i="91"/>
  <c r="S100" i="91"/>
  <c r="AA83" i="91"/>
  <c r="S66" i="91"/>
  <c r="AA49" i="91"/>
  <c r="W83" i="91"/>
  <c r="O32" i="91"/>
  <c r="W15" i="91"/>
  <c r="O134" i="91"/>
  <c r="W117" i="91"/>
  <c r="O100" i="91"/>
  <c r="O66" i="91"/>
  <c r="W49" i="91"/>
  <c r="AA32" i="91"/>
  <c r="S15" i="91"/>
  <c r="AA134" i="91"/>
  <c r="S117" i="91"/>
  <c r="AA100" i="91"/>
  <c r="S83" i="91"/>
  <c r="AA66" i="91"/>
  <c r="S49" i="91"/>
  <c r="W32" i="91"/>
  <c r="O15" i="91"/>
  <c r="O83" i="91"/>
  <c r="S32" i="91"/>
  <c r="W134" i="91"/>
  <c r="O117" i="91"/>
  <c r="W100" i="91"/>
  <c r="W66" i="91"/>
  <c r="O49" i="91"/>
  <c r="AA15" i="91"/>
  <c r="DA20" i="92"/>
  <c r="M104" i="90" s="1"/>
  <c r="DA21" i="92"/>
  <c r="M105" i="90" s="1"/>
  <c r="Q101" i="90"/>
  <c r="U101" i="90"/>
  <c r="Y101" i="90"/>
  <c r="S101" i="90"/>
  <c r="AA101" i="90"/>
  <c r="W101" i="90"/>
  <c r="DB20" i="92"/>
  <c r="O104" i="90" s="1"/>
  <c r="DB21" i="92"/>
  <c r="O105" i="90" s="1"/>
  <c r="CZ32" i="92"/>
  <c r="DB22" i="92"/>
  <c r="O106" i="90" s="1"/>
  <c r="DA22" i="92"/>
  <c r="M106" i="90" s="1"/>
  <c r="DA32" i="92"/>
  <c r="CX32" i="92"/>
  <c r="DB32" i="92"/>
  <c r="CY32" i="92"/>
  <c r="DC32" i="92"/>
  <c r="CY24" i="92"/>
  <c r="CZ23" i="92"/>
  <c r="CW34" i="92"/>
  <c r="DE31" i="92"/>
  <c r="AA16" i="91" s="1"/>
  <c r="CZ21" i="72"/>
  <c r="CZ22" i="72"/>
  <c r="CZ23" i="72"/>
  <c r="DC33" i="92" a="1"/>
  <c r="DB33" i="92" a="1"/>
  <c r="DA23" i="92" a="1"/>
  <c r="DA33" i="92" a="1"/>
  <c r="CX33" i="92" a="1"/>
  <c r="CZ33" i="92" a="1"/>
  <c r="CY33" i="92" a="1"/>
  <c r="DB23" i="92" a="1"/>
  <c r="DE32" i="92" l="1"/>
  <c r="AA17" i="91" s="1"/>
  <c r="DB33" i="92"/>
  <c r="CY33" i="92"/>
  <c r="DC33" i="92"/>
  <c r="CZ33" i="92"/>
  <c r="DB23" i="92"/>
  <c r="O107" i="90" s="1"/>
  <c r="DA33" i="92"/>
  <c r="DA23" i="92"/>
  <c r="M107" i="90" s="1"/>
  <c r="CX33" i="92"/>
  <c r="CW35" i="92"/>
  <c r="DD32" i="92"/>
  <c r="Y17" i="91" s="1"/>
  <c r="CZ24" i="92"/>
  <c r="CY34" i="92" a="1"/>
  <c r="DA24" i="92" a="1"/>
  <c r="DC34" i="92" a="1"/>
  <c r="DA34" i="92" a="1"/>
  <c r="CZ34" i="92" a="1"/>
  <c r="DB34" i="92" a="1"/>
  <c r="CX34" i="92" a="1"/>
  <c r="DB24" i="92" a="1"/>
  <c r="DD33" i="92" l="1"/>
  <c r="Y18" i="91" s="1"/>
  <c r="CY34" i="92"/>
  <c r="DC34" i="92"/>
  <c r="DA24" i="92"/>
  <c r="CZ34" i="92"/>
  <c r="CX34" i="92"/>
  <c r="DB24" i="92"/>
  <c r="DA34" i="92"/>
  <c r="DB34" i="92"/>
  <c r="CW36" i="92"/>
  <c r="DE33" i="92"/>
  <c r="AA18" i="91" s="1"/>
  <c r="CZ35" i="92" a="1"/>
  <c r="DA35" i="92" a="1"/>
  <c r="DC35" i="92" a="1"/>
  <c r="CX35" i="92" a="1"/>
  <c r="DB35" i="92" a="1"/>
  <c r="CY35" i="92" a="1"/>
  <c r="DL31" i="92" l="1"/>
  <c r="M108" i="90"/>
  <c r="DM31" i="92"/>
  <c r="O108" i="90"/>
  <c r="DB35" i="92"/>
  <c r="CY35" i="92"/>
  <c r="DC35" i="92"/>
  <c r="CZ35" i="92"/>
  <c r="DA35" i="92"/>
  <c r="CX35" i="92"/>
  <c r="DD34" i="92"/>
  <c r="Y19" i="91" s="1"/>
  <c r="CW37" i="92"/>
  <c r="DE34" i="92"/>
  <c r="AA19" i="91" s="1"/>
  <c r="CZ36" i="92" a="1"/>
  <c r="DC36" i="92" a="1"/>
  <c r="CY36" i="92" a="1"/>
  <c r="DA36" i="92" a="1"/>
  <c r="DB36" i="92" a="1"/>
  <c r="CX36" i="92" a="1"/>
  <c r="DN31" i="92" l="1"/>
  <c r="DA36" i="92"/>
  <c r="CX36" i="92"/>
  <c r="CY36" i="92"/>
  <c r="DC36" i="92"/>
  <c r="DB36" i="92"/>
  <c r="CZ36" i="92"/>
  <c r="DE35" i="92"/>
  <c r="AA20" i="91" s="1"/>
  <c r="CW38" i="92"/>
  <c r="DD35" i="92"/>
  <c r="Y20" i="91" s="1"/>
  <c r="DA37" i="92" a="1"/>
  <c r="CX37" i="92" a="1"/>
  <c r="CY37" i="92" a="1"/>
  <c r="CZ37" i="92" a="1"/>
  <c r="DB37" i="92" a="1"/>
  <c r="DC37" i="92" a="1"/>
  <c r="DB37" i="92" l="1"/>
  <c r="CZ37" i="92"/>
  <c r="DA37" i="92"/>
  <c r="CY37" i="92"/>
  <c r="CX37" i="92"/>
  <c r="DC37" i="92"/>
  <c r="DD36" i="92"/>
  <c r="Y21" i="91" s="1"/>
  <c r="CW39" i="92"/>
  <c r="DE36" i="92"/>
  <c r="AA21" i="91" s="1"/>
  <c r="CX38" i="92" a="1"/>
  <c r="DB38" i="92" a="1"/>
  <c r="CZ38" i="92" a="1"/>
  <c r="CY38" i="92" a="1"/>
  <c r="DA38" i="92" a="1"/>
  <c r="DC38" i="92" a="1"/>
  <c r="DE37" i="92" l="1"/>
  <c r="AA22" i="91" s="1"/>
  <c r="CY38" i="92"/>
  <c r="CX38" i="92"/>
  <c r="DB38" i="92"/>
  <c r="DC38" i="92"/>
  <c r="CZ38" i="92"/>
  <c r="DA38" i="92"/>
  <c r="DD37" i="92"/>
  <c r="Y22" i="91" s="1"/>
  <c r="CW40" i="92"/>
  <c r="DC39" i="92" a="1"/>
  <c r="DA39" i="92" a="1"/>
  <c r="CX39" i="92" a="1"/>
  <c r="CZ39" i="92" a="1"/>
  <c r="DB39" i="92" a="1"/>
  <c r="CY39" i="92" a="1"/>
  <c r="CX39" i="92" l="1"/>
  <c r="DB39" i="92"/>
  <c r="DC39" i="92"/>
  <c r="CY39" i="92"/>
  <c r="CZ39" i="92"/>
  <c r="DA39" i="92"/>
  <c r="DE38" i="92"/>
  <c r="AA23" i="91" s="1"/>
  <c r="CW41" i="92"/>
  <c r="DD38" i="92"/>
  <c r="Y23" i="91" s="1"/>
  <c r="CY40" i="92" a="1"/>
  <c r="CZ40" i="92" a="1"/>
  <c r="DA40" i="92" a="1"/>
  <c r="DC40" i="92" a="1"/>
  <c r="DB40" i="92" a="1"/>
  <c r="CX40" i="92" a="1"/>
  <c r="DD39" i="92" l="1"/>
  <c r="Y24" i="91" s="1"/>
  <c r="CZ40" i="92"/>
  <c r="DA40" i="92"/>
  <c r="CX40" i="92"/>
  <c r="CY40" i="92"/>
  <c r="DC40" i="92"/>
  <c r="DB40" i="92"/>
  <c r="CW42" i="92"/>
  <c r="DE39" i="92"/>
  <c r="AA24" i="91" s="1"/>
  <c r="CY41" i="92" a="1"/>
  <c r="CX41" i="92" a="1"/>
  <c r="CZ41" i="92" a="1"/>
  <c r="DC41" i="92" a="1"/>
  <c r="DA41" i="92" a="1"/>
  <c r="DB41" i="92" a="1"/>
  <c r="CY41" i="92" l="1"/>
  <c r="DA41" i="92"/>
  <c r="CZ41" i="92"/>
  <c r="CX41" i="92"/>
  <c r="DC41" i="92"/>
  <c r="DB41" i="92"/>
  <c r="CW43" i="92"/>
  <c r="DD40" i="92"/>
  <c r="Y25" i="91" s="1"/>
  <c r="DE40" i="92"/>
  <c r="AA25" i="91" s="1"/>
  <c r="DH31" i="92"/>
  <c r="J95" i="90" s="1"/>
  <c r="DA42" i="92" a="1"/>
  <c r="DB42" i="92" a="1"/>
  <c r="CY42" i="92" a="1"/>
  <c r="CZ42" i="92" a="1"/>
  <c r="CX42" i="92" a="1"/>
  <c r="DC42" i="92" a="1"/>
  <c r="DC42" i="92" l="1"/>
  <c r="CY42" i="92"/>
  <c r="CZ42" i="92"/>
  <c r="DA42" i="92"/>
  <c r="CX42" i="92"/>
  <c r="DB42" i="92"/>
  <c r="DD41" i="92"/>
  <c r="Y33" i="91" s="1"/>
  <c r="DE41" i="92"/>
  <c r="AA33" i="91" s="1"/>
  <c r="CW44" i="92"/>
  <c r="DC43" i="92" a="1"/>
  <c r="DB43" i="92" a="1"/>
  <c r="CZ43" i="92" a="1"/>
  <c r="CX43" i="92" a="1"/>
  <c r="DA43" i="92" a="1"/>
  <c r="CY43" i="92" a="1"/>
  <c r="DD42" i="92" l="1"/>
  <c r="Y34" i="91" s="1"/>
  <c r="DB43" i="92"/>
  <c r="CY43" i="92"/>
  <c r="DC43" i="92"/>
  <c r="CX43" i="92"/>
  <c r="CZ43" i="92"/>
  <c r="DA43" i="92"/>
  <c r="CW45" i="92"/>
  <c r="DE42" i="92"/>
  <c r="AA34" i="91" s="1"/>
  <c r="CY44" i="92" a="1"/>
  <c r="DA44" i="92" a="1"/>
  <c r="CX44" i="92" a="1"/>
  <c r="DB44" i="92" a="1"/>
  <c r="DC44" i="92" a="1"/>
  <c r="CZ44" i="92" a="1"/>
  <c r="CY44" i="92" l="1"/>
  <c r="CZ44" i="92"/>
  <c r="CX44" i="92"/>
  <c r="DA44" i="92"/>
  <c r="DB44" i="92"/>
  <c r="DC44" i="92"/>
  <c r="CW46" i="92"/>
  <c r="DE43" i="92"/>
  <c r="AA35" i="91" s="1"/>
  <c r="DD43" i="92"/>
  <c r="Y35" i="91" s="1"/>
  <c r="DB45" i="92" a="1"/>
  <c r="DC45" i="92" a="1"/>
  <c r="CY45" i="92" a="1"/>
  <c r="CX45" i="92" a="1"/>
  <c r="CZ45" i="92" a="1"/>
  <c r="DA45" i="92" a="1"/>
  <c r="DE44" i="92" l="1"/>
  <c r="AA36" i="91" s="1"/>
  <c r="DA45" i="92"/>
  <c r="DB45" i="92"/>
  <c r="CY45" i="92"/>
  <c r="CX45" i="92"/>
  <c r="DC45" i="92"/>
  <c r="CZ45" i="92"/>
  <c r="CW47" i="92"/>
  <c r="DD44" i="92"/>
  <c r="Y36" i="91" s="1"/>
  <c r="CX46" i="92" a="1"/>
  <c r="DB46" i="92" a="1"/>
  <c r="CY46" i="92" a="1"/>
  <c r="CZ46" i="92" a="1"/>
  <c r="DC46" i="92" a="1"/>
  <c r="DA46" i="92" a="1"/>
  <c r="CX46" i="92" l="1"/>
  <c r="DA46" i="92"/>
  <c r="DB46" i="92"/>
  <c r="CY46" i="92"/>
  <c r="DC46" i="92"/>
  <c r="CZ46" i="92"/>
  <c r="DE45" i="92"/>
  <c r="AA37" i="91" s="1"/>
  <c r="CW48" i="92"/>
  <c r="DD45" i="92"/>
  <c r="Y37" i="91" s="1"/>
  <c r="DB47" i="92" a="1"/>
  <c r="DC47" i="92" a="1"/>
  <c r="CY47" i="92" a="1"/>
  <c r="CZ47" i="92" a="1"/>
  <c r="DA47" i="92" a="1"/>
  <c r="CX47" i="92" a="1"/>
  <c r="DE46" i="92" l="1"/>
  <c r="AA38" i="91" s="1"/>
  <c r="CY47" i="92"/>
  <c r="DC47" i="92"/>
  <c r="CX47" i="92"/>
  <c r="CZ47" i="92"/>
  <c r="DA47" i="92"/>
  <c r="DB47" i="92"/>
  <c r="DD46" i="92"/>
  <c r="Y38" i="91" s="1"/>
  <c r="CW49" i="92"/>
  <c r="DA48" i="92" a="1"/>
  <c r="CZ48" i="92" a="1"/>
  <c r="CX48" i="92" a="1"/>
  <c r="DC48" i="92" a="1"/>
  <c r="CY48" i="92" a="1"/>
  <c r="DB48" i="92" a="1"/>
  <c r="CY48" i="92" l="1"/>
  <c r="CZ48" i="92"/>
  <c r="DA48" i="92"/>
  <c r="CX48" i="92"/>
  <c r="DB48" i="92"/>
  <c r="DC48" i="92"/>
  <c r="CW50" i="92"/>
  <c r="DD47" i="92"/>
  <c r="Y39" i="91" s="1"/>
  <c r="DE47" i="92"/>
  <c r="AA39" i="91" s="1"/>
  <c r="DA49" i="92" a="1"/>
  <c r="CX49" i="92" a="1"/>
  <c r="DC49" i="92" a="1"/>
  <c r="CZ49" i="92" a="1"/>
  <c r="CY49" i="92" a="1"/>
  <c r="DB49" i="92" a="1"/>
  <c r="DE48" i="92" l="1"/>
  <c r="AA40" i="91" s="1"/>
  <c r="DD48" i="92"/>
  <c r="Y40" i="91" s="1"/>
  <c r="DB49" i="92"/>
  <c r="DA49" i="92"/>
  <c r="DC49" i="92"/>
  <c r="CY49" i="92"/>
  <c r="CZ49" i="92"/>
  <c r="CX49" i="92"/>
  <c r="CW51" i="92"/>
  <c r="CZ50" i="92" a="1"/>
  <c r="CX50" i="92" a="1"/>
  <c r="DB50" i="92" a="1"/>
  <c r="DA50" i="92" a="1"/>
  <c r="DC50" i="92" a="1"/>
  <c r="CY50" i="92" a="1"/>
  <c r="DE49" i="92" l="1"/>
  <c r="AA41" i="91" s="1"/>
  <c r="DC50" i="92"/>
  <c r="DB50" i="92"/>
  <c r="DA50" i="92"/>
  <c r="CZ50" i="92"/>
  <c r="CY50" i="92"/>
  <c r="CX50" i="92"/>
  <c r="CW52" i="92"/>
  <c r="DD49" i="92"/>
  <c r="Y41" i="91" s="1"/>
  <c r="DA51" i="92" a="1"/>
  <c r="CY51" i="92" a="1"/>
  <c r="DC51" i="92" a="1"/>
  <c r="CZ51" i="92" a="1"/>
  <c r="CX51" i="92" a="1"/>
  <c r="DB51" i="92" a="1"/>
  <c r="DH32" i="92" l="1"/>
  <c r="J96" i="90" s="1"/>
  <c r="CZ51" i="92"/>
  <c r="CY51" i="92"/>
  <c r="DA51" i="92"/>
  <c r="DC51" i="92"/>
  <c r="CX51" i="92"/>
  <c r="DB51" i="92"/>
  <c r="DD50" i="92"/>
  <c r="Y42" i="91" s="1"/>
  <c r="CW53" i="92"/>
  <c r="DE50" i="92"/>
  <c r="AA42" i="91" s="1"/>
  <c r="DA52" i="92" a="1"/>
  <c r="CY52" i="92" a="1"/>
  <c r="DB52" i="92" a="1"/>
  <c r="DC52" i="92" a="1"/>
  <c r="CZ52" i="92" a="1"/>
  <c r="CX52" i="92" a="1"/>
  <c r="DC52" i="92" l="1"/>
  <c r="CZ52" i="92"/>
  <c r="DA52" i="92"/>
  <c r="CX52" i="92"/>
  <c r="DB52" i="92"/>
  <c r="CY52" i="92"/>
  <c r="DD51" i="92"/>
  <c r="Y50" i="91" s="1"/>
  <c r="CW54" i="92"/>
  <c r="DE51" i="92"/>
  <c r="AA50" i="91" s="1"/>
  <c r="DC53" i="92" a="1"/>
  <c r="CY53" i="92" a="1"/>
  <c r="CZ53" i="92" a="1"/>
  <c r="DB53" i="92" a="1"/>
  <c r="DA53" i="92" a="1"/>
  <c r="CX53" i="92" a="1"/>
  <c r="DD52" i="92" l="1"/>
  <c r="Y51" i="91" s="1"/>
  <c r="CX53" i="92"/>
  <c r="DB53" i="92"/>
  <c r="DA53" i="92"/>
  <c r="CY53" i="92"/>
  <c r="DC53" i="92"/>
  <c r="CZ53" i="92"/>
  <c r="CW55" i="92"/>
  <c r="DE52" i="92"/>
  <c r="AA51" i="91" s="1"/>
  <c r="CY54" i="92" a="1"/>
  <c r="CX54" i="92" a="1"/>
  <c r="DC54" i="92" a="1"/>
  <c r="DA54" i="92" a="1"/>
  <c r="DB54" i="92" a="1"/>
  <c r="CZ54" i="92" a="1"/>
  <c r="DC54" i="92" l="1"/>
  <c r="CZ54" i="92"/>
  <c r="DB54" i="92"/>
  <c r="DA54" i="92"/>
  <c r="CX54" i="92"/>
  <c r="CY54" i="92"/>
  <c r="DD53" i="92"/>
  <c r="Y52" i="91" s="1"/>
  <c r="DE53" i="92"/>
  <c r="AA52" i="91" s="1"/>
  <c r="CW56" i="92"/>
  <c r="CZ55" i="92" a="1"/>
  <c r="CX55" i="92" a="1"/>
  <c r="DC55" i="92" a="1"/>
  <c r="CY55" i="92" a="1"/>
  <c r="DA55" i="92" a="1"/>
  <c r="DB55" i="92" a="1"/>
  <c r="DD54" i="92" l="1"/>
  <c r="Y53" i="91" s="1"/>
  <c r="DC55" i="92"/>
  <c r="DA55" i="92"/>
  <c r="CZ55" i="92"/>
  <c r="CX55" i="92"/>
  <c r="CY55" i="92"/>
  <c r="DB55" i="92"/>
  <c r="CW57" i="92"/>
  <c r="DE54" i="92"/>
  <c r="AA53" i="91" s="1"/>
  <c r="CY56" i="92" a="1"/>
  <c r="DC56" i="92" a="1"/>
  <c r="DA56" i="92" a="1"/>
  <c r="CZ56" i="92" a="1"/>
  <c r="DB56" i="92" a="1"/>
  <c r="CX56" i="92" a="1"/>
  <c r="DA56" i="92" l="1"/>
  <c r="DB56" i="92"/>
  <c r="CX56" i="92"/>
  <c r="CY56" i="92"/>
  <c r="DC56" i="92"/>
  <c r="CZ56" i="92"/>
  <c r="DD55" i="92"/>
  <c r="Y54" i="91" s="1"/>
  <c r="CW58" i="92"/>
  <c r="DE55" i="92"/>
  <c r="AA54" i="91" s="1"/>
  <c r="DC57" i="92" a="1"/>
  <c r="CZ57" i="92" a="1"/>
  <c r="DA57" i="92" a="1"/>
  <c r="DB57" i="92" a="1"/>
  <c r="CY57" i="92" a="1"/>
  <c r="CX57" i="92" a="1"/>
  <c r="DE56" i="92" l="1"/>
  <c r="AA55" i="91" s="1"/>
  <c r="CZ57" i="92"/>
  <c r="CY57" i="92"/>
  <c r="DC57" i="92"/>
  <c r="DA57" i="92"/>
  <c r="CX57" i="92"/>
  <c r="DB57" i="92"/>
  <c r="CW59" i="92"/>
  <c r="DD56" i="92"/>
  <c r="Y55" i="91" s="1"/>
  <c r="DA58" i="92" a="1"/>
  <c r="CZ58" i="92" a="1"/>
  <c r="DC58" i="92" a="1"/>
  <c r="CY58" i="92" a="1"/>
  <c r="CX58" i="92" a="1"/>
  <c r="DB58" i="92" a="1"/>
  <c r="CX58" i="92" l="1"/>
  <c r="DB58" i="92"/>
  <c r="DC58" i="92"/>
  <c r="CZ58" i="92"/>
  <c r="DA58" i="92"/>
  <c r="CY58" i="92"/>
  <c r="DD57" i="92"/>
  <c r="Y56" i="91" s="1"/>
  <c r="DE57" i="92"/>
  <c r="AA56" i="91" s="1"/>
  <c r="CW60" i="92"/>
  <c r="DB59" i="92" a="1"/>
  <c r="CX59" i="92" a="1"/>
  <c r="CY59" i="92" a="1"/>
  <c r="CZ59" i="92" a="1"/>
  <c r="DC59" i="92" a="1"/>
  <c r="DA59" i="92" a="1"/>
  <c r="DB59" i="92" l="1"/>
  <c r="CY59" i="92"/>
  <c r="DA59" i="92"/>
  <c r="CX59" i="92"/>
  <c r="DC59" i="92"/>
  <c r="CZ59" i="92"/>
  <c r="CW61" i="92"/>
  <c r="DE58" i="92"/>
  <c r="AA57" i="91" s="1"/>
  <c r="DD58" i="92"/>
  <c r="Y57" i="91" s="1"/>
  <c r="CZ60" i="92" a="1"/>
  <c r="DB60" i="92" a="1"/>
  <c r="CX60" i="92" a="1"/>
  <c r="DC60" i="92" a="1"/>
  <c r="CY60" i="92" a="1"/>
  <c r="DA60" i="92" a="1"/>
  <c r="DC60" i="92" l="1"/>
  <c r="DA60" i="92"/>
  <c r="CZ60" i="92"/>
  <c r="CX60" i="92"/>
  <c r="CY60" i="92"/>
  <c r="DB60" i="92"/>
  <c r="DE59" i="92"/>
  <c r="AA58" i="91" s="1"/>
  <c r="CW62" i="92"/>
  <c r="DD59" i="92"/>
  <c r="Y58" i="91" s="1"/>
  <c r="CZ61" i="92" a="1"/>
  <c r="DA61" i="92" a="1"/>
  <c r="DB61" i="92" a="1"/>
  <c r="DC61" i="92" a="1"/>
  <c r="CY61" i="92" a="1"/>
  <c r="CX61" i="92" a="1"/>
  <c r="DH33" i="92" l="1"/>
  <c r="Q95" i="90" s="1"/>
  <c r="DD60" i="92"/>
  <c r="Y59" i="91" s="1"/>
  <c r="CX61" i="92"/>
  <c r="DA61" i="92"/>
  <c r="DB61" i="92"/>
  <c r="CY61" i="92"/>
  <c r="DC61" i="92"/>
  <c r="CZ61" i="92"/>
  <c r="CW63" i="92"/>
  <c r="DE60" i="92"/>
  <c r="AA59" i="91" s="1"/>
  <c r="CX62" i="92" a="1"/>
  <c r="DB62" i="92" a="1"/>
  <c r="DC62" i="92" a="1"/>
  <c r="CZ62" i="92" a="1"/>
  <c r="DA62" i="92" a="1"/>
  <c r="CY62" i="92" a="1"/>
  <c r="DC62" i="92" l="1"/>
  <c r="CZ62" i="92"/>
  <c r="DA62" i="92"/>
  <c r="CX62" i="92"/>
  <c r="DB62" i="92"/>
  <c r="CY62" i="92"/>
  <c r="DE61" i="92"/>
  <c r="AA67" i="91" s="1"/>
  <c r="CW64" i="92"/>
  <c r="DD61" i="92"/>
  <c r="Y67" i="91" s="1"/>
  <c r="DB63" i="92" a="1"/>
  <c r="CZ63" i="92" a="1"/>
  <c r="DC63" i="92" a="1"/>
  <c r="CX63" i="92" a="1"/>
  <c r="DA63" i="92" a="1"/>
  <c r="CY63" i="92" a="1"/>
  <c r="DD62" i="92" l="1"/>
  <c r="Y68" i="91" s="1"/>
  <c r="DB63" i="92"/>
  <c r="CX63" i="92"/>
  <c r="CY63" i="92"/>
  <c r="DC63" i="92"/>
  <c r="CZ63" i="92"/>
  <c r="DA63" i="92"/>
  <c r="CW65" i="92"/>
  <c r="DE62" i="92"/>
  <c r="AA68" i="91" s="1"/>
  <c r="CX64" i="92" a="1"/>
  <c r="DC64" i="92" a="1"/>
  <c r="CZ64" i="92" a="1"/>
  <c r="DB64" i="92" a="1"/>
  <c r="DA64" i="92" a="1"/>
  <c r="CY64" i="92" a="1"/>
  <c r="CX64" i="92" l="1"/>
  <c r="DA64" i="92"/>
  <c r="DB64" i="92"/>
  <c r="CY64" i="92"/>
  <c r="DC64" i="92"/>
  <c r="CZ64" i="92"/>
  <c r="CW66" i="92"/>
  <c r="DE63" i="92"/>
  <c r="AA69" i="91" s="1"/>
  <c r="DD63" i="92"/>
  <c r="Y69" i="91" s="1"/>
  <c r="CX65" i="92" a="1"/>
  <c r="DB65" i="92" a="1"/>
  <c r="DA65" i="92" a="1"/>
  <c r="CZ65" i="92" a="1"/>
  <c r="DC65" i="92" a="1"/>
  <c r="CY65" i="92" a="1"/>
  <c r="DE64" i="92" l="1"/>
  <c r="AA70" i="91" s="1"/>
  <c r="CY65" i="92"/>
  <c r="CZ65" i="92"/>
  <c r="DA65" i="92"/>
  <c r="CX65" i="92"/>
  <c r="DB65" i="92"/>
  <c r="DC65" i="92"/>
  <c r="DD64" i="92"/>
  <c r="Y70" i="91" s="1"/>
  <c r="CW67" i="92"/>
  <c r="DC66" i="92" a="1"/>
  <c r="CY66" i="92" a="1"/>
  <c r="DA66" i="92" a="1"/>
  <c r="CX66" i="92" a="1"/>
  <c r="CZ66" i="92" a="1"/>
  <c r="DB66" i="92" a="1"/>
  <c r="DB66" i="92" l="1"/>
  <c r="CX66" i="92"/>
  <c r="DA66" i="92"/>
  <c r="DC66" i="92"/>
  <c r="CY66" i="92"/>
  <c r="CZ66" i="92"/>
  <c r="DE65" i="92"/>
  <c r="AA71" i="91" s="1"/>
  <c r="DD65" i="92"/>
  <c r="Y71" i="91" s="1"/>
  <c r="CW68" i="92"/>
  <c r="DB67" i="92" a="1"/>
  <c r="CY67" i="92" a="1"/>
  <c r="DA67" i="92" a="1"/>
  <c r="CZ67" i="92" a="1"/>
  <c r="DC67" i="92" a="1"/>
  <c r="CX67" i="92" a="1"/>
  <c r="DE66" i="92" l="1"/>
  <c r="AA72" i="91" s="1"/>
  <c r="CX67" i="92"/>
  <c r="DC67" i="92"/>
  <c r="CZ67" i="92"/>
  <c r="DB67" i="92"/>
  <c r="CY67" i="92"/>
  <c r="DA67" i="92"/>
  <c r="CW69" i="92"/>
  <c r="DD66" i="92"/>
  <c r="Y72" i="91" s="1"/>
  <c r="DB68" i="92" a="1"/>
  <c r="CZ68" i="92" a="1"/>
  <c r="CX68" i="92" a="1"/>
  <c r="CY68" i="92" a="1"/>
  <c r="DA68" i="92" a="1"/>
  <c r="DC68" i="92" a="1"/>
  <c r="CX68" i="92" l="1"/>
  <c r="DB68" i="92"/>
  <c r="CY68" i="92"/>
  <c r="DC68" i="92"/>
  <c r="CZ68" i="92"/>
  <c r="DA68" i="92"/>
  <c r="CW70" i="92"/>
  <c r="DD67" i="92"/>
  <c r="Y73" i="91" s="1"/>
  <c r="DE67" i="92"/>
  <c r="AA73" i="91" s="1"/>
  <c r="CZ69" i="92" a="1"/>
  <c r="DB69" i="92" a="1"/>
  <c r="DC69" i="92" a="1"/>
  <c r="CY69" i="92" a="1"/>
  <c r="DA69" i="92" a="1"/>
  <c r="CX69" i="92" a="1"/>
  <c r="CY69" i="92" l="1"/>
  <c r="DC69" i="92"/>
  <c r="DB69" i="92"/>
  <c r="CX69" i="92"/>
  <c r="CZ69" i="92"/>
  <c r="DA69" i="92"/>
  <c r="DE68" i="92"/>
  <c r="AA74" i="91" s="1"/>
  <c r="DD68" i="92"/>
  <c r="Y74" i="91" s="1"/>
  <c r="CW71" i="92"/>
  <c r="DB70" i="92" a="1"/>
  <c r="DA70" i="92" a="1"/>
  <c r="DC70" i="92" a="1"/>
  <c r="CZ70" i="92" a="1"/>
  <c r="CY70" i="92" a="1"/>
  <c r="CX70" i="92" a="1"/>
  <c r="CX70" i="92" l="1"/>
  <c r="DA70" i="92"/>
  <c r="CY70" i="92"/>
  <c r="DB70" i="92"/>
  <c r="CZ70" i="92"/>
  <c r="DC70" i="92"/>
  <c r="CW72" i="92"/>
  <c r="DD69" i="92"/>
  <c r="Y75" i="91" s="1"/>
  <c r="DE69" i="92"/>
  <c r="AA75" i="91" s="1"/>
  <c r="CY71" i="92" a="1"/>
  <c r="CZ71" i="92" a="1"/>
  <c r="DC71" i="92" a="1"/>
  <c r="DA71" i="92" a="1"/>
  <c r="CX71" i="92" a="1"/>
  <c r="DB71" i="92" a="1"/>
  <c r="DD70" i="92" l="1"/>
  <c r="Y76" i="91" s="1"/>
  <c r="DB71" i="92"/>
  <c r="CZ71" i="92"/>
  <c r="CY71" i="92"/>
  <c r="DC71" i="92"/>
  <c r="DA71" i="92"/>
  <c r="CX71" i="92"/>
  <c r="DE70" i="92"/>
  <c r="AA76" i="91" s="1"/>
  <c r="DH34" i="92"/>
  <c r="Q96" i="90" s="1"/>
  <c r="CW73" i="92"/>
  <c r="DB72" i="92" a="1"/>
  <c r="DC72" i="92" a="1"/>
  <c r="DA72" i="92" a="1"/>
  <c r="CY72" i="92" a="1"/>
  <c r="CX72" i="92" a="1"/>
  <c r="CZ72" i="92" a="1"/>
  <c r="CX72" i="92" l="1"/>
  <c r="DA72" i="92"/>
  <c r="DB72" i="92"/>
  <c r="CY72" i="92"/>
  <c r="DC72" i="92"/>
  <c r="CZ72" i="92"/>
  <c r="CW74" i="92"/>
  <c r="DE71" i="92"/>
  <c r="AA84" i="91" s="1"/>
  <c r="DD71" i="92"/>
  <c r="Y84" i="91" s="1"/>
  <c r="CX73" i="92" a="1"/>
  <c r="CY73" i="92" a="1"/>
  <c r="DA73" i="92" a="1"/>
  <c r="CZ73" i="92" a="1"/>
  <c r="DB73" i="92" a="1"/>
  <c r="DC73" i="92" a="1"/>
  <c r="DE72" i="92" l="1"/>
  <c r="AA85" i="91" s="1"/>
  <c r="CZ73" i="92"/>
  <c r="DB73" i="92"/>
  <c r="CY73" i="92"/>
  <c r="CX73" i="92"/>
  <c r="DC73" i="92"/>
  <c r="DA73" i="92"/>
  <c r="DD72" i="92"/>
  <c r="Y85" i="91" s="1"/>
  <c r="CW75" i="92"/>
  <c r="DA74" i="92" a="1"/>
  <c r="CX74" i="92" a="1"/>
  <c r="CY74" i="92" a="1"/>
  <c r="DB74" i="92" a="1"/>
  <c r="CZ74" i="92" a="1"/>
  <c r="DC74" i="92" a="1"/>
  <c r="DA74" i="92" l="1"/>
  <c r="DC74" i="92"/>
  <c r="CX74" i="92"/>
  <c r="CY74" i="92"/>
  <c r="CZ74" i="92"/>
  <c r="DB74" i="92"/>
  <c r="CW76" i="92"/>
  <c r="DE73" i="92"/>
  <c r="AA86" i="91" s="1"/>
  <c r="DD73" i="92"/>
  <c r="Y86" i="91" s="1"/>
  <c r="CX75" i="92" a="1"/>
  <c r="CZ75" i="92" a="1"/>
  <c r="DB75" i="92" a="1"/>
  <c r="DA75" i="92" a="1"/>
  <c r="DC75" i="92" a="1"/>
  <c r="CY75" i="92" a="1"/>
  <c r="DD74" i="92" l="1"/>
  <c r="Y87" i="91" s="1"/>
  <c r="DE74" i="92"/>
  <c r="AA87" i="91" s="1"/>
  <c r="DB75" i="92"/>
  <c r="DA75" i="92"/>
  <c r="DC75" i="92"/>
  <c r="CY75" i="92"/>
  <c r="CZ75" i="92"/>
  <c r="CX75" i="92"/>
  <c r="CW77" i="92"/>
  <c r="CZ76" i="92" a="1"/>
  <c r="CY76" i="92" a="1"/>
  <c r="DB76" i="92" a="1"/>
  <c r="DA76" i="92" a="1"/>
  <c r="DC76" i="92" a="1"/>
  <c r="CX76" i="92" a="1"/>
  <c r="DB76" i="92" l="1"/>
  <c r="CZ76" i="92"/>
  <c r="DC76" i="92"/>
  <c r="CY76" i="92"/>
  <c r="DA76" i="92"/>
  <c r="CX76" i="92"/>
  <c r="DE75" i="92"/>
  <c r="AA88" i="91" s="1"/>
  <c r="CW78" i="92"/>
  <c r="DD75" i="92"/>
  <c r="Y88" i="91" s="1"/>
  <c r="DA77" i="92" a="1"/>
  <c r="DB77" i="92" a="1"/>
  <c r="DC77" i="92" a="1"/>
  <c r="CY77" i="92" a="1"/>
  <c r="CZ77" i="92" a="1"/>
  <c r="CX77" i="92" a="1"/>
  <c r="DD76" i="92" l="1"/>
  <c r="Y89" i="91" s="1"/>
  <c r="DE76" i="92"/>
  <c r="AA89" i="91" s="1"/>
  <c r="CZ77" i="92"/>
  <c r="DA77" i="92"/>
  <c r="DB77" i="92"/>
  <c r="CX77" i="92"/>
  <c r="CY77" i="92"/>
  <c r="DC77" i="92"/>
  <c r="CW79" i="92"/>
  <c r="CZ78" i="92" a="1"/>
  <c r="DA78" i="92" a="1"/>
  <c r="DB78" i="92" a="1"/>
  <c r="CY78" i="92" a="1"/>
  <c r="CX78" i="92" a="1"/>
  <c r="DC78" i="92" a="1"/>
  <c r="CY78" i="92" l="1"/>
  <c r="DC78" i="92"/>
  <c r="CZ78" i="92"/>
  <c r="CX78" i="92"/>
  <c r="DA78" i="92"/>
  <c r="DB78" i="92"/>
  <c r="DE77" i="92"/>
  <c r="AA90" i="91" s="1"/>
  <c r="CW80" i="92"/>
  <c r="DD77" i="92"/>
  <c r="Y90" i="91" s="1"/>
  <c r="DC79" i="92" a="1"/>
  <c r="CY79" i="92" a="1"/>
  <c r="DB79" i="92" a="1"/>
  <c r="DA79" i="92" a="1"/>
  <c r="CZ79" i="92" a="1"/>
  <c r="CX79" i="92" a="1"/>
  <c r="DD78" i="92" l="1"/>
  <c r="Y91" i="91" s="1"/>
  <c r="DC79" i="92"/>
  <c r="CY79" i="92"/>
  <c r="DA79" i="92"/>
  <c r="CX79" i="92"/>
  <c r="DB79" i="92"/>
  <c r="CZ79" i="92"/>
  <c r="CW81" i="92"/>
  <c r="DE78" i="92"/>
  <c r="AA91" i="91" s="1"/>
  <c r="DA80" i="92" a="1"/>
  <c r="CZ80" i="92" a="1"/>
  <c r="CY80" i="92" a="1"/>
  <c r="DC80" i="92" a="1"/>
  <c r="DB80" i="92" a="1"/>
  <c r="CX80" i="92" a="1"/>
  <c r="CZ80" i="92" l="1"/>
  <c r="DA80" i="92"/>
  <c r="DC80" i="92"/>
  <c r="CX80" i="92"/>
  <c r="DB80" i="92"/>
  <c r="CY80" i="92"/>
  <c r="DD79" i="92"/>
  <c r="Y92" i="91" s="1"/>
  <c r="CW82" i="92"/>
  <c r="DE79" i="92"/>
  <c r="AA92" i="91" s="1"/>
  <c r="DA81" i="92" a="1"/>
  <c r="DC81" i="92" a="1"/>
  <c r="DB81" i="92" a="1"/>
  <c r="CZ81" i="92" a="1"/>
  <c r="CX81" i="92" a="1"/>
  <c r="CY81" i="92" a="1"/>
  <c r="DD80" i="92" l="1"/>
  <c r="Y93" i="91" s="1"/>
  <c r="CX81" i="92"/>
  <c r="CZ81" i="92"/>
  <c r="CY81" i="92"/>
  <c r="DB81" i="92"/>
  <c r="DC81" i="92"/>
  <c r="DA81" i="92"/>
  <c r="DE80" i="92"/>
  <c r="AA93" i="91" s="1"/>
  <c r="DH35" i="92"/>
  <c r="X95" i="90" s="1"/>
  <c r="CW83" i="92"/>
  <c r="DC82" i="92" a="1"/>
  <c r="DA82" i="92" a="1"/>
  <c r="CZ82" i="92" a="1"/>
  <c r="CY82" i="92" a="1"/>
  <c r="DB82" i="92" a="1"/>
  <c r="CX82" i="92" a="1"/>
  <c r="DB82" i="92" l="1"/>
  <c r="DC82" i="92"/>
  <c r="CX82" i="92"/>
  <c r="CY82" i="92"/>
  <c r="DA82" i="92"/>
  <c r="CZ82" i="92"/>
  <c r="DE81" i="92"/>
  <c r="AA101" i="91" s="1"/>
  <c r="DD81" i="92"/>
  <c r="Y101" i="91" s="1"/>
  <c r="CW84" i="92"/>
  <c r="CY83" i="92" a="1"/>
  <c r="DC83" i="92" a="1"/>
  <c r="CX83" i="92" a="1"/>
  <c r="DA83" i="92" a="1"/>
  <c r="DB83" i="92" a="1"/>
  <c r="CZ83" i="92" a="1"/>
  <c r="CZ83" i="92" l="1"/>
  <c r="DA83" i="92"/>
  <c r="CX83" i="92"/>
  <c r="DC83" i="92"/>
  <c r="DB83" i="92"/>
  <c r="CY83" i="92"/>
  <c r="CW85" i="92"/>
  <c r="DE82" i="92"/>
  <c r="AA102" i="91" s="1"/>
  <c r="DD82" i="92"/>
  <c r="Y102" i="91" s="1"/>
  <c r="DC84" i="92" a="1"/>
  <c r="DB84" i="92" a="1"/>
  <c r="DA84" i="92" a="1"/>
  <c r="CY84" i="92" a="1"/>
  <c r="CX84" i="92" a="1"/>
  <c r="CZ84" i="92" a="1"/>
  <c r="DC84" i="92" l="1"/>
  <c r="DA84" i="92"/>
  <c r="DB84" i="92"/>
  <c r="CY84" i="92"/>
  <c r="CX84" i="92"/>
  <c r="CZ84" i="92"/>
  <c r="CW86" i="92"/>
  <c r="DD83" i="92"/>
  <c r="Y103" i="91" s="1"/>
  <c r="DE83" i="92"/>
  <c r="AA103" i="91" s="1"/>
  <c r="CY85" i="92" a="1"/>
  <c r="DC85" i="92" a="1"/>
  <c r="CZ85" i="92" a="1"/>
  <c r="DB85" i="92" a="1"/>
  <c r="CX85" i="92" a="1"/>
  <c r="DA85" i="92" a="1"/>
  <c r="DC85" i="92" l="1"/>
  <c r="CY85" i="92"/>
  <c r="CX85" i="92"/>
  <c r="CZ85" i="92"/>
  <c r="DB85" i="92"/>
  <c r="DA85" i="92"/>
  <c r="DD84" i="92"/>
  <c r="Y104" i="91" s="1"/>
  <c r="CW87" i="92"/>
  <c r="DE84" i="92"/>
  <c r="AA104" i="91" s="1"/>
  <c r="DB86" i="92" a="1"/>
  <c r="DC86" i="92" a="1"/>
  <c r="DA86" i="92" a="1"/>
  <c r="CZ86" i="92" a="1"/>
  <c r="CY86" i="92" a="1"/>
  <c r="CX86" i="92" a="1"/>
  <c r="DB86" i="92" l="1"/>
  <c r="CX86" i="92"/>
  <c r="DA86" i="92"/>
  <c r="CY86" i="92"/>
  <c r="CZ86" i="92"/>
  <c r="DC86" i="92"/>
  <c r="CW88" i="92"/>
  <c r="DD85" i="92"/>
  <c r="Y105" i="91" s="1"/>
  <c r="DE85" i="92"/>
  <c r="AA105" i="91" s="1"/>
  <c r="CX87" i="92" a="1"/>
  <c r="DC87" i="92" a="1"/>
  <c r="DB87" i="92" a="1"/>
  <c r="CY87" i="92" a="1"/>
  <c r="DA87" i="92" a="1"/>
  <c r="CZ87" i="92" a="1"/>
  <c r="DD86" i="92" l="1"/>
  <c r="Y106" i="91" s="1"/>
  <c r="DE86" i="92"/>
  <c r="AA106" i="91" s="1"/>
  <c r="CZ87" i="92"/>
  <c r="DA87" i="92"/>
  <c r="DC87" i="92"/>
  <c r="CY87" i="92"/>
  <c r="CX87" i="92"/>
  <c r="DB87" i="92"/>
  <c r="CW89" i="92"/>
  <c r="DA88" i="92" a="1"/>
  <c r="CY88" i="92" a="1"/>
  <c r="DC88" i="92" a="1"/>
  <c r="DB88" i="92" a="1"/>
  <c r="CZ88" i="92" a="1"/>
  <c r="CX88" i="92" a="1"/>
  <c r="DE87" i="92" l="1"/>
  <c r="AA107" i="91" s="1"/>
  <c r="CY88" i="92"/>
  <c r="CZ88" i="92"/>
  <c r="DA88" i="92"/>
  <c r="DB88" i="92"/>
  <c r="DC88" i="92"/>
  <c r="CX88" i="92"/>
  <c r="DD87" i="92"/>
  <c r="Y107" i="91" s="1"/>
  <c r="CW90" i="92"/>
  <c r="CY89" i="92" a="1"/>
  <c r="DB89" i="92" a="1"/>
  <c r="DC89" i="92" a="1"/>
  <c r="CZ89" i="92" a="1"/>
  <c r="DA89" i="92" a="1"/>
  <c r="CX89" i="92" a="1"/>
  <c r="DD88" i="92" l="1"/>
  <c r="Y108" i="91" s="1"/>
  <c r="CZ89" i="92"/>
  <c r="DB89" i="92"/>
  <c r="CX89" i="92"/>
  <c r="CY89" i="92"/>
  <c r="DC89" i="92"/>
  <c r="DA89" i="92"/>
  <c r="DE88" i="92"/>
  <c r="AA108" i="91" s="1"/>
  <c r="CW91" i="92"/>
  <c r="DC90" i="92" a="1"/>
  <c r="DB90" i="92" a="1"/>
  <c r="CZ90" i="92" a="1"/>
  <c r="DA90" i="92" a="1"/>
  <c r="CX90" i="92" a="1"/>
  <c r="CY90" i="92" a="1"/>
  <c r="CX90" i="92" l="1"/>
  <c r="CY90" i="92"/>
  <c r="CZ90" i="92"/>
  <c r="DB90" i="92"/>
  <c r="DC90" i="92"/>
  <c r="DA90" i="92"/>
  <c r="DE89" i="92"/>
  <c r="AA109" i="91" s="1"/>
  <c r="DD89" i="92"/>
  <c r="Y109" i="91" s="1"/>
  <c r="CW92" i="92"/>
  <c r="DB91" i="92" a="1"/>
  <c r="CY91" i="92" a="1"/>
  <c r="CZ91" i="92" a="1"/>
  <c r="DC91" i="92" a="1"/>
  <c r="DA91" i="92" a="1"/>
  <c r="CX91" i="92" a="1"/>
  <c r="DD90" i="92" l="1"/>
  <c r="Y110" i="91" s="1"/>
  <c r="DC91" i="92"/>
  <c r="CY91" i="92"/>
  <c r="DA91" i="92"/>
  <c r="CZ91" i="92"/>
  <c r="CX91" i="92"/>
  <c r="DB91" i="92"/>
  <c r="CW93" i="92"/>
  <c r="DE90" i="92"/>
  <c r="AA110" i="91" s="1"/>
  <c r="DH36" i="92"/>
  <c r="X96" i="90" s="1"/>
  <c r="CZ92" i="92" a="1"/>
  <c r="DC92" i="92" a="1"/>
  <c r="CY92" i="92" a="1"/>
  <c r="DA92" i="92" a="1"/>
  <c r="CX92" i="92" a="1"/>
  <c r="DB92" i="92" a="1"/>
  <c r="CX92" i="92" l="1"/>
  <c r="DB92" i="92"/>
  <c r="DC92" i="92"/>
  <c r="CZ92" i="92"/>
  <c r="CY92" i="92"/>
  <c r="DA92" i="92"/>
  <c r="DD91" i="92"/>
  <c r="Y118" i="91" s="1"/>
  <c r="CW94" i="92"/>
  <c r="DE91" i="92"/>
  <c r="AA118" i="91" s="1"/>
  <c r="DA93" i="92" a="1"/>
  <c r="DB93" i="92" a="1"/>
  <c r="CZ93" i="92" a="1"/>
  <c r="CY93" i="92" a="1"/>
  <c r="CX93" i="92" a="1"/>
  <c r="DC93" i="92" a="1"/>
  <c r="DE92" i="92" l="1"/>
  <c r="AA119" i="91" s="1"/>
  <c r="DD92" i="92"/>
  <c r="Y119" i="91" s="1"/>
  <c r="DA93" i="92"/>
  <c r="CX93" i="92"/>
  <c r="CZ93" i="92"/>
  <c r="CY93" i="92"/>
  <c r="DC93" i="92"/>
  <c r="DB93" i="92"/>
  <c r="CW95" i="92"/>
  <c r="DA94" i="92" a="1"/>
  <c r="CZ94" i="92" a="1"/>
  <c r="DC94" i="92" a="1"/>
  <c r="CX94" i="92" a="1"/>
  <c r="CY94" i="92" a="1"/>
  <c r="DB94" i="92" a="1"/>
  <c r="DE93" i="92" l="1"/>
  <c r="AA120" i="91" s="1"/>
  <c r="DC94" i="92"/>
  <c r="CZ94" i="92"/>
  <c r="CY94" i="92"/>
  <c r="DB94" i="92"/>
  <c r="DA94" i="92"/>
  <c r="CX94" i="92"/>
  <c r="DD93" i="92"/>
  <c r="Y120" i="91" s="1"/>
  <c r="CW96" i="92"/>
  <c r="DC95" i="92" a="1"/>
  <c r="DB95" i="92" a="1"/>
  <c r="CZ95" i="92" a="1"/>
  <c r="CY95" i="92" a="1"/>
  <c r="CX95" i="92" a="1"/>
  <c r="DA95" i="92" a="1"/>
  <c r="DD94" i="92" l="1"/>
  <c r="Y121" i="91" s="1"/>
  <c r="DA95" i="92"/>
  <c r="CY95" i="92"/>
  <c r="DC95" i="92"/>
  <c r="CX95" i="92"/>
  <c r="DB95" i="92"/>
  <c r="CZ95" i="92"/>
  <c r="DE94" i="92"/>
  <c r="AA121" i="91" s="1"/>
  <c r="CW97" i="92"/>
  <c r="CY96" i="92" a="1"/>
  <c r="CX96" i="92" a="1"/>
  <c r="DB96" i="92" a="1"/>
  <c r="DA96" i="92" a="1"/>
  <c r="DC96" i="92" a="1"/>
  <c r="CZ96" i="92" a="1"/>
  <c r="DE95" i="92" l="1"/>
  <c r="AA122" i="91" s="1"/>
  <c r="CY96" i="92"/>
  <c r="DA96" i="92"/>
  <c r="CX96" i="92"/>
  <c r="DB96" i="92"/>
  <c r="DC96" i="92"/>
  <c r="CZ96" i="92"/>
  <c r="CW98" i="92"/>
  <c r="DD95" i="92"/>
  <c r="Y122" i="91" s="1"/>
  <c r="DC97" i="92" a="1"/>
  <c r="CX97" i="92" a="1"/>
  <c r="CY97" i="92" a="1"/>
  <c r="CZ97" i="92" a="1"/>
  <c r="DA97" i="92" a="1"/>
  <c r="DB97" i="92" a="1"/>
  <c r="DA97" i="92" l="1"/>
  <c r="CZ97" i="92"/>
  <c r="DB97" i="92"/>
  <c r="DC97" i="92"/>
  <c r="CX97" i="92"/>
  <c r="CY97" i="92"/>
  <c r="DE96" i="92"/>
  <c r="AA123" i="91" s="1"/>
  <c r="DD96" i="92"/>
  <c r="Y123" i="91" s="1"/>
  <c r="CW99" i="92"/>
  <c r="CZ98" i="92" a="1"/>
  <c r="CX98" i="92" a="1"/>
  <c r="DC98" i="92" a="1"/>
  <c r="DA98" i="92" a="1"/>
  <c r="CY98" i="92" a="1"/>
  <c r="DB98" i="92" a="1"/>
  <c r="DE97" i="92" l="1"/>
  <c r="AA124" i="91" s="1"/>
  <c r="CX98" i="92"/>
  <c r="CY98" i="92"/>
  <c r="CZ98" i="92"/>
  <c r="DB98" i="92"/>
  <c r="DC98" i="92"/>
  <c r="DA98" i="92"/>
  <c r="DD97" i="92"/>
  <c r="Y124" i="91" s="1"/>
  <c r="CW100" i="92"/>
  <c r="DA99" i="92" a="1"/>
  <c r="CZ99" i="92" a="1"/>
  <c r="DB99" i="92" a="1"/>
  <c r="DC99" i="92" a="1"/>
  <c r="CY99" i="92" a="1"/>
  <c r="CX99" i="92" a="1"/>
  <c r="DD98" i="92" l="1"/>
  <c r="Y125" i="91" s="1"/>
  <c r="DA99" i="92"/>
  <c r="DC99" i="92"/>
  <c r="CY99" i="92"/>
  <c r="CZ99" i="92"/>
  <c r="CX99" i="92"/>
  <c r="DB99" i="92"/>
  <c r="DE98" i="92"/>
  <c r="AA125" i="91" s="1"/>
  <c r="CW101" i="92"/>
  <c r="CY100" i="92" a="1"/>
  <c r="DB100" i="92" a="1"/>
  <c r="CZ100" i="92" a="1"/>
  <c r="DA100" i="92" a="1"/>
  <c r="CX100" i="92" a="1"/>
  <c r="DC100" i="92" a="1"/>
  <c r="DE99" i="92" l="1"/>
  <c r="AA126" i="91" s="1"/>
  <c r="CZ100" i="92"/>
  <c r="DA100" i="92"/>
  <c r="DC100" i="92"/>
  <c r="CY100" i="92"/>
  <c r="CX100" i="92"/>
  <c r="DB100" i="92"/>
  <c r="DD99" i="92"/>
  <c r="Y126" i="91" s="1"/>
  <c r="CW102" i="92"/>
  <c r="CY101" i="92" a="1"/>
  <c r="DC101" i="92" a="1"/>
  <c r="DA101" i="92" a="1"/>
  <c r="CZ101" i="92" a="1"/>
  <c r="CX101" i="92" a="1"/>
  <c r="DB101" i="92" a="1"/>
  <c r="DD100" i="92" l="1"/>
  <c r="Y127" i="91" s="1"/>
  <c r="CX101" i="92"/>
  <c r="DB101" i="92"/>
  <c r="DA101" i="92"/>
  <c r="CZ101" i="92"/>
  <c r="CY101" i="92"/>
  <c r="DC101" i="92"/>
  <c r="CW103" i="92"/>
  <c r="DE100" i="92"/>
  <c r="AA127" i="91" s="1"/>
  <c r="DH37" i="92"/>
  <c r="AE95" i="90" s="1"/>
  <c r="DA102" i="92" a="1"/>
  <c r="DB102" i="92" a="1"/>
  <c r="CZ102" i="92" a="1"/>
  <c r="CX102" i="92" a="1"/>
  <c r="DC102" i="92" a="1"/>
  <c r="CY102" i="92" a="1"/>
  <c r="DC102" i="92" l="1"/>
  <c r="CX102" i="92"/>
  <c r="CZ102" i="92"/>
  <c r="DB102" i="92"/>
  <c r="DA102" i="92"/>
  <c r="CY102" i="92"/>
  <c r="DE101" i="92"/>
  <c r="AA135" i="91" s="1"/>
  <c r="CW104" i="92"/>
  <c r="DD101" i="92"/>
  <c r="Y135" i="91" s="1"/>
  <c r="CZ103" i="92" a="1"/>
  <c r="DA103" i="92" a="1"/>
  <c r="DC103" i="92" a="1"/>
  <c r="DB103" i="92" a="1"/>
  <c r="CX103" i="92" a="1"/>
  <c r="CY103" i="92" a="1"/>
  <c r="DE102" i="92" l="1"/>
  <c r="AA136" i="91" s="1"/>
  <c r="DD102" i="92"/>
  <c r="Y136" i="91" s="1"/>
  <c r="DA103" i="92"/>
  <c r="CY103" i="92"/>
  <c r="CX103" i="92"/>
  <c r="DB103" i="92"/>
  <c r="CZ103" i="92"/>
  <c r="DC103" i="92"/>
  <c r="CW105" i="92"/>
  <c r="CZ104" i="92" a="1"/>
  <c r="DA104" i="92" a="1"/>
  <c r="CY104" i="92" a="1"/>
  <c r="DC104" i="92" a="1"/>
  <c r="DB104" i="92" a="1"/>
  <c r="CX104" i="92" a="1"/>
  <c r="DB104" i="92" l="1"/>
  <c r="CZ104" i="92"/>
  <c r="DC104" i="92"/>
  <c r="CX104" i="92"/>
  <c r="CY104" i="92"/>
  <c r="DA104" i="92"/>
  <c r="DE103" i="92"/>
  <c r="AA137" i="91" s="1"/>
  <c r="DD103" i="92"/>
  <c r="Y137" i="91" s="1"/>
  <c r="CW106" i="92"/>
  <c r="DA105" i="92" a="1"/>
  <c r="CX105" i="92" a="1"/>
  <c r="DB105" i="92" a="1"/>
  <c r="DC105" i="92" a="1"/>
  <c r="CZ105" i="92" a="1"/>
  <c r="CY105" i="92" a="1"/>
  <c r="CY105" i="92" l="1"/>
  <c r="DA105" i="92"/>
  <c r="DC105" i="92"/>
  <c r="CX105" i="92"/>
  <c r="CZ105" i="92"/>
  <c r="DB105" i="92"/>
  <c r="CW107" i="92"/>
  <c r="DE104" i="92"/>
  <c r="AA138" i="91" s="1"/>
  <c r="DD104" i="92"/>
  <c r="Y138" i="91" s="1"/>
  <c r="CZ106" i="92" a="1"/>
  <c r="DB106" i="92" a="1"/>
  <c r="DA106" i="92" a="1"/>
  <c r="CY106" i="92" a="1"/>
  <c r="CX106" i="92" a="1"/>
  <c r="DC106" i="92" a="1"/>
  <c r="DA106" i="92" l="1"/>
  <c r="CY106" i="92"/>
  <c r="CZ106" i="92"/>
  <c r="DB106" i="92"/>
  <c r="DC106" i="92"/>
  <c r="CX106" i="92"/>
  <c r="DD105" i="92"/>
  <c r="Y139" i="91" s="1"/>
  <c r="CW108" i="92"/>
  <c r="DE105" i="92"/>
  <c r="AA139" i="91" s="1"/>
  <c r="DA107" i="92" a="1"/>
  <c r="CX107" i="92" a="1"/>
  <c r="CY107" i="92" a="1"/>
  <c r="DB107" i="92" a="1"/>
  <c r="CZ107" i="92" a="1"/>
  <c r="DC107" i="92" a="1"/>
  <c r="DE106" i="92" l="1"/>
  <c r="AA140" i="91" s="1"/>
  <c r="CY107" i="92"/>
  <c r="DB107" i="92"/>
  <c r="DA107" i="92"/>
  <c r="CZ107" i="92"/>
  <c r="DC107" i="92"/>
  <c r="CX107" i="92"/>
  <c r="CW109" i="92"/>
  <c r="DD106" i="92"/>
  <c r="Y140" i="91" s="1"/>
  <c r="DA108" i="92" a="1"/>
  <c r="DC108" i="92" a="1"/>
  <c r="DB108" i="92" a="1"/>
  <c r="CX108" i="92" a="1"/>
  <c r="CY108" i="92" a="1"/>
  <c r="CZ108" i="92" a="1"/>
  <c r="DC108" i="92" l="1"/>
  <c r="DB108" i="92"/>
  <c r="CX108" i="92"/>
  <c r="CY108" i="92"/>
  <c r="CZ108" i="92"/>
  <c r="DA108" i="92"/>
  <c r="DE107" i="92"/>
  <c r="AA141" i="91" s="1"/>
  <c r="CW110" i="92"/>
  <c r="DD107" i="92"/>
  <c r="Y141" i="91" s="1"/>
  <c r="CX109" i="92" a="1"/>
  <c r="DC109" i="92" a="1"/>
  <c r="DB109" i="92" a="1"/>
  <c r="CY109" i="92" a="1"/>
  <c r="CZ109" i="92" a="1"/>
  <c r="DA109" i="92" a="1"/>
  <c r="DE108" i="92" l="1"/>
  <c r="AA142" i="91" s="1"/>
  <c r="DB109" i="92"/>
  <c r="DC109" i="92"/>
  <c r="CX109" i="92"/>
  <c r="CZ109" i="92"/>
  <c r="DA109" i="92"/>
  <c r="CY109" i="92"/>
  <c r="DD108" i="92"/>
  <c r="Y142" i="91" s="1"/>
  <c r="DA110" i="92" a="1"/>
  <c r="CY110" i="92" a="1"/>
  <c r="DB110" i="92" a="1"/>
  <c r="DC110" i="92" a="1"/>
  <c r="CX110" i="92" a="1"/>
  <c r="CZ110" i="92" a="1"/>
  <c r="CY110" i="92" l="1"/>
  <c r="DC110" i="92"/>
  <c r="CX110" i="92"/>
  <c r="CZ110" i="92"/>
  <c r="DA110" i="92"/>
  <c r="DB110" i="92"/>
  <c r="DE109" i="92"/>
  <c r="AA143" i="91" s="1"/>
  <c r="DD109" i="92"/>
  <c r="Y143" i="91" s="1"/>
  <c r="DH20" i="92" l="1"/>
  <c r="DH21" i="92"/>
  <c r="DH18" i="92"/>
  <c r="DH19" i="92"/>
  <c r="DH25" i="92"/>
  <c r="DH22" i="92"/>
  <c r="DH23" i="92"/>
  <c r="DH24" i="92"/>
  <c r="DG25" i="92"/>
  <c r="DG19" i="92"/>
  <c r="DG20" i="92"/>
  <c r="DG21" i="92"/>
  <c r="DG22" i="92"/>
  <c r="DG23" i="92"/>
  <c r="DG24" i="92"/>
  <c r="DF25" i="92"/>
  <c r="W109" i="90" s="1"/>
  <c r="DF19" i="92"/>
  <c r="W103" i="90" s="1"/>
  <c r="DF20" i="92"/>
  <c r="W104" i="90" s="1"/>
  <c r="DF21" i="92"/>
  <c r="W105" i="90" s="1"/>
  <c r="DF22" i="92"/>
  <c r="W106" i="90" s="1"/>
  <c r="DF23" i="92"/>
  <c r="W107" i="90" s="1"/>
  <c r="DF24" i="92"/>
  <c r="W108" i="90" s="1"/>
  <c r="DE25" i="92"/>
  <c r="U109" i="90" s="1"/>
  <c r="DE19" i="92"/>
  <c r="U103" i="90" s="1"/>
  <c r="DE20" i="92"/>
  <c r="U104" i="90" s="1"/>
  <c r="DE21" i="92"/>
  <c r="U105" i="90" s="1"/>
  <c r="DE22" i="92"/>
  <c r="U106" i="90" s="1"/>
  <c r="DE23" i="92"/>
  <c r="U107" i="90" s="1"/>
  <c r="DE24" i="92"/>
  <c r="U108" i="90" s="1"/>
  <c r="DD18" i="92"/>
  <c r="DD25" i="92"/>
  <c r="S109" i="90" s="1"/>
  <c r="DD19" i="92"/>
  <c r="S103" i="90" s="1"/>
  <c r="DD20" i="92"/>
  <c r="S104" i="90" s="1"/>
  <c r="DD21" i="92"/>
  <c r="S105" i="90" s="1"/>
  <c r="DD22" i="92"/>
  <c r="S106" i="90" s="1"/>
  <c r="DD23" i="92"/>
  <c r="S107" i="90" s="1"/>
  <c r="DD24" i="92"/>
  <c r="S108" i="90" s="1"/>
  <c r="DC18" i="92"/>
  <c r="DC25" i="92"/>
  <c r="Q109" i="90" s="1"/>
  <c r="DC19" i="92"/>
  <c r="Q103" i="90" s="1"/>
  <c r="DC20" i="92"/>
  <c r="Q104" i="90" s="1"/>
  <c r="DC21" i="92"/>
  <c r="Q105" i="90" s="1"/>
  <c r="DC22" i="92"/>
  <c r="Q106" i="90" s="1"/>
  <c r="DC23" i="92"/>
  <c r="Q107" i="90" s="1"/>
  <c r="DC24" i="92"/>
  <c r="Q108" i="90" s="1"/>
  <c r="DD110" i="92"/>
  <c r="Y144" i="91" s="1"/>
  <c r="DG18" i="92"/>
  <c r="DF18" i="92"/>
  <c r="W102" i="90" s="1"/>
  <c r="DE18" i="92"/>
  <c r="U102" i="90" s="1"/>
  <c r="DE110" i="92"/>
  <c r="AA144" i="91" s="1"/>
  <c r="DH38" i="92"/>
  <c r="AE96" i="90" s="1"/>
  <c r="DJ18" i="92" l="1"/>
  <c r="DJ20" i="92"/>
  <c r="AA104" i="90" s="1"/>
  <c r="DJ19" i="92"/>
  <c r="DL41" i="92"/>
  <c r="Q102" i="90"/>
  <c r="DM41" i="92"/>
  <c r="S102" i="90"/>
  <c r="DI25" i="92"/>
  <c r="Y109" i="90" s="1"/>
  <c r="DI19" i="92"/>
  <c r="Y103" i="90" s="1"/>
  <c r="DJ25" i="92"/>
  <c r="AA109" i="90" s="1"/>
  <c r="DJ24" i="92"/>
  <c r="AA108" i="90" s="1"/>
  <c r="DJ23" i="92"/>
  <c r="AA107" i="90" s="1"/>
  <c r="DJ22" i="92"/>
  <c r="AA106" i="90" s="1"/>
  <c r="DJ21" i="92"/>
  <c r="DI24" i="92"/>
  <c r="DI23" i="92"/>
  <c r="Y107" i="90" s="1"/>
  <c r="DI22" i="92"/>
  <c r="DI21" i="92"/>
  <c r="DI20" i="92"/>
  <c r="Y104" i="90" s="1"/>
  <c r="DI18" i="92"/>
  <c r="DM24" i="92" l="1"/>
  <c r="DM18" i="92"/>
  <c r="Y102" i="90"/>
  <c r="DN21" i="92"/>
  <c r="AA105" i="90"/>
  <c r="DM21" i="92"/>
  <c r="Y105" i="90"/>
  <c r="DM22" i="92"/>
  <c r="Y106" i="90"/>
  <c r="Y108" i="90"/>
  <c r="DN19" i="92"/>
  <c r="AA103" i="90"/>
  <c r="DN18" i="92"/>
  <c r="AA102" i="90"/>
  <c r="DL20" i="92"/>
  <c r="DN20" i="92"/>
  <c r="DL22" i="92"/>
  <c r="DN22" i="92"/>
  <c r="DL23" i="92"/>
  <c r="DN23" i="92"/>
  <c r="DL24" i="92"/>
  <c r="DN24" i="92"/>
  <c r="DL25" i="92"/>
  <c r="DN25" i="92"/>
  <c r="DK25" i="92"/>
  <c r="DM25" i="92"/>
  <c r="DK19" i="92"/>
  <c r="DM19" i="92"/>
  <c r="DK20" i="92"/>
  <c r="DM20" i="92"/>
  <c r="DK23" i="92"/>
  <c r="DM23" i="92"/>
  <c r="DL21" i="92"/>
  <c r="DL19" i="92"/>
  <c r="DK21" i="92"/>
  <c r="DK22" i="92"/>
  <c r="DK24" i="92"/>
  <c r="DK18" i="92"/>
  <c r="DL18" i="92"/>
  <c r="DI57" i="92" l="1"/>
  <c r="GL25" i="72" s="1"/>
  <c r="CW31" i="72"/>
  <c r="CZ31" i="72" a="1"/>
  <c r="GS25" i="72" l="1"/>
  <c r="C134" i="93" s="1"/>
  <c r="CZ31" i="72"/>
  <c r="CW32" i="72"/>
  <c r="DA31" i="72" a="1"/>
  <c r="DC31" i="72" a="1"/>
  <c r="CX31" i="72" a="1"/>
  <c r="CY31" i="72" a="1"/>
  <c r="DB31" i="72" a="1"/>
  <c r="CX31" i="72" l="1"/>
  <c r="CY31" i="72"/>
  <c r="DC31" i="72"/>
  <c r="DA31" i="72"/>
  <c r="DB31" i="72"/>
  <c r="CW33" i="72"/>
  <c r="DA32" i="72" a="1"/>
  <c r="DC32" i="72" a="1"/>
  <c r="CZ32" i="72" a="1"/>
  <c r="DB32" i="72" a="1"/>
  <c r="CX32" i="72" a="1"/>
  <c r="CY32" i="72" a="1"/>
  <c r="DC32" i="72" l="1"/>
  <c r="DB32" i="72"/>
  <c r="DA32" i="72"/>
  <c r="CZ32" i="72"/>
  <c r="CY32" i="72"/>
  <c r="CX32" i="72"/>
  <c r="CW34" i="72"/>
  <c r="CZ33" i="72" a="1"/>
  <c r="CX33" i="72" a="1"/>
  <c r="CY33" i="72" a="1"/>
  <c r="DB33" i="72" a="1"/>
  <c r="DC33" i="72" a="1"/>
  <c r="DA33" i="72" a="1"/>
  <c r="DC33" i="72" l="1"/>
  <c r="DB33" i="72"/>
  <c r="DA33" i="72"/>
  <c r="CZ33" i="72"/>
  <c r="CY33" i="72"/>
  <c r="CX33" i="72"/>
  <c r="CW35" i="72"/>
  <c r="DA34" i="72" a="1"/>
  <c r="CZ34" i="72" a="1"/>
  <c r="DC34" i="72" a="1"/>
  <c r="CY34" i="72" a="1"/>
  <c r="DB34" i="72" a="1"/>
  <c r="CX34" i="72" a="1"/>
  <c r="DC34" i="72" l="1"/>
  <c r="DB34" i="72"/>
  <c r="DA34" i="72"/>
  <c r="CZ34" i="72"/>
  <c r="CY34" i="72"/>
  <c r="CX34" i="72"/>
  <c r="CW36" i="72"/>
  <c r="CZ35" i="72" a="1"/>
  <c r="DA35" i="72" a="1"/>
  <c r="CY35" i="72" a="1"/>
  <c r="CX35" i="72" a="1"/>
  <c r="DB35" i="72" a="1"/>
  <c r="DC35" i="72" a="1"/>
  <c r="DC35" i="72" l="1"/>
  <c r="DB35" i="72"/>
  <c r="DA35" i="72"/>
  <c r="CZ35" i="72"/>
  <c r="CY35" i="72"/>
  <c r="CX35" i="72"/>
  <c r="CW37" i="72"/>
  <c r="CX36" i="72" a="1"/>
  <c r="DC36" i="72" a="1"/>
  <c r="CY36" i="72" a="1"/>
  <c r="CZ36" i="72" a="1"/>
  <c r="DA36" i="72" a="1"/>
  <c r="DB36" i="72" a="1"/>
  <c r="DC36" i="72" l="1"/>
  <c r="DB36" i="72"/>
  <c r="DA36" i="72"/>
  <c r="CZ36" i="72"/>
  <c r="CY36" i="72"/>
  <c r="CX36" i="72"/>
  <c r="CW38" i="72"/>
  <c r="DA37" i="72" a="1"/>
  <c r="CX37" i="72" a="1"/>
  <c r="CY37" i="72" a="1"/>
  <c r="DB37" i="72" a="1"/>
  <c r="DC37" i="72" a="1"/>
  <c r="CZ37" i="72" a="1"/>
  <c r="DC37" i="72" l="1"/>
  <c r="DB37" i="72"/>
  <c r="DA37" i="72"/>
  <c r="CZ37" i="72"/>
  <c r="CY37" i="72"/>
  <c r="CX37" i="72"/>
  <c r="CW39" i="72"/>
  <c r="CZ38" i="72" a="1"/>
  <c r="CY38" i="72" a="1"/>
  <c r="DC38" i="72" a="1"/>
  <c r="DB38" i="72" a="1"/>
  <c r="DA38" i="72" a="1"/>
  <c r="CX38" i="72" a="1"/>
  <c r="DC38" i="72" l="1"/>
  <c r="DB38" i="72"/>
  <c r="DA38" i="72"/>
  <c r="CZ38" i="72"/>
  <c r="CY38" i="72"/>
  <c r="CX38" i="72"/>
  <c r="CW40" i="72"/>
  <c r="CX39" i="72" a="1"/>
  <c r="DC39" i="72" a="1"/>
  <c r="DA39" i="72" a="1"/>
  <c r="CZ39" i="72" a="1"/>
  <c r="DB39" i="72" a="1"/>
  <c r="CY39" i="72" a="1"/>
  <c r="DC39" i="72" l="1"/>
  <c r="DB39" i="72"/>
  <c r="DA39" i="72"/>
  <c r="CZ39" i="72"/>
  <c r="CY39" i="72"/>
  <c r="CX39" i="72"/>
  <c r="CW41" i="72"/>
  <c r="DC40" i="72" a="1"/>
  <c r="CX40" i="72" a="1"/>
  <c r="DA40" i="72" a="1"/>
  <c r="CY40" i="72" a="1"/>
  <c r="DB40" i="72" a="1"/>
  <c r="CZ40" i="72" a="1"/>
  <c r="DC40" i="72" l="1"/>
  <c r="DB40" i="72"/>
  <c r="DA40" i="72"/>
  <c r="CZ40" i="72"/>
  <c r="CY40" i="72"/>
  <c r="CX40" i="72"/>
  <c r="CW42" i="72"/>
  <c r="DB41" i="72" a="1"/>
  <c r="DA41" i="72" a="1"/>
  <c r="CZ41" i="72" a="1"/>
  <c r="CY41" i="72" a="1"/>
  <c r="CX41" i="72" a="1"/>
  <c r="DC41" i="72" a="1"/>
  <c r="DH31" i="72" l="1"/>
  <c r="DC41" i="72"/>
  <c r="DB41" i="72"/>
  <c r="DA41" i="72"/>
  <c r="CZ41" i="72"/>
  <c r="CY41" i="72"/>
  <c r="CX41" i="72"/>
  <c r="CW43" i="72"/>
  <c r="DC42" i="72" a="1"/>
  <c r="DA42" i="72" a="1"/>
  <c r="CX42" i="72" a="1"/>
  <c r="CZ42" i="72" a="1"/>
  <c r="CY42" i="72" a="1"/>
  <c r="DB42" i="72" a="1"/>
  <c r="DC42" i="72" l="1"/>
  <c r="DB42" i="72"/>
  <c r="DA42" i="72"/>
  <c r="CZ42" i="72"/>
  <c r="CY42" i="72"/>
  <c r="CX42" i="72"/>
  <c r="CW44" i="72"/>
  <c r="CX43" i="72" a="1"/>
  <c r="DC43" i="72" a="1"/>
  <c r="DA43" i="72" a="1"/>
  <c r="CY43" i="72" a="1"/>
  <c r="CZ43" i="72" a="1"/>
  <c r="DB43" i="72" a="1"/>
  <c r="DC43" i="72" l="1"/>
  <c r="DB43" i="72"/>
  <c r="DA43" i="72"/>
  <c r="CZ43" i="72"/>
  <c r="CY43" i="72"/>
  <c r="CX43" i="72"/>
  <c r="CW45" i="72"/>
  <c r="CZ44" i="72" a="1"/>
  <c r="DC44" i="72" a="1"/>
  <c r="CX44" i="72" a="1"/>
  <c r="DA44" i="72" a="1"/>
  <c r="DB44" i="72" a="1"/>
  <c r="CY44" i="72" a="1"/>
  <c r="DC44" i="72" l="1"/>
  <c r="DB44" i="72"/>
  <c r="DA44" i="72"/>
  <c r="CZ44" i="72"/>
  <c r="CY44" i="72"/>
  <c r="CX44" i="72"/>
  <c r="CW46" i="72"/>
  <c r="CX45" i="72" a="1"/>
  <c r="DA45" i="72" a="1"/>
  <c r="CY45" i="72" a="1"/>
  <c r="DB45" i="72" a="1"/>
  <c r="CZ45" i="72" a="1"/>
  <c r="DC45" i="72" a="1"/>
  <c r="CZ45" i="72" l="1"/>
  <c r="DC45" i="72"/>
  <c r="DB45" i="72"/>
  <c r="DA45" i="72"/>
  <c r="CY45" i="72"/>
  <c r="CX45" i="72"/>
  <c r="CW47" i="72"/>
  <c r="DB46" i="72" a="1"/>
  <c r="CY46" i="72" a="1"/>
  <c r="CX46" i="72" a="1"/>
  <c r="DA46" i="72" a="1"/>
  <c r="DC46" i="72" a="1"/>
  <c r="CZ46" i="72" a="1"/>
  <c r="DC46" i="72" l="1"/>
  <c r="DB46" i="72"/>
  <c r="DA46" i="72"/>
  <c r="CZ46" i="72"/>
  <c r="CY46" i="72"/>
  <c r="CX46" i="72"/>
  <c r="CW48" i="72"/>
  <c r="DA47" i="72" a="1"/>
  <c r="CZ47" i="72" a="1"/>
  <c r="DC47" i="72" a="1"/>
  <c r="CY47" i="72" a="1"/>
  <c r="DB47" i="72" a="1"/>
  <c r="CX47" i="72" a="1"/>
  <c r="DC47" i="72" l="1"/>
  <c r="DB47" i="72"/>
  <c r="DA47" i="72"/>
  <c r="CZ47" i="72"/>
  <c r="CY47" i="72"/>
  <c r="CX47" i="72"/>
  <c r="CW49" i="72"/>
  <c r="DA48" i="72" a="1"/>
  <c r="CY48" i="72" a="1"/>
  <c r="DC48" i="72" a="1"/>
  <c r="DB48" i="72" a="1"/>
  <c r="CX48" i="72" a="1"/>
  <c r="CZ48" i="72" a="1"/>
  <c r="DC48" i="72" l="1"/>
  <c r="DB48" i="72"/>
  <c r="DA48" i="72"/>
  <c r="CZ48" i="72"/>
  <c r="CY48" i="72"/>
  <c r="CX48" i="72"/>
  <c r="CW50" i="72"/>
  <c r="DC49" i="72" a="1"/>
  <c r="CZ49" i="72" a="1"/>
  <c r="DA49" i="72" a="1"/>
  <c r="CY49" i="72" a="1"/>
  <c r="CX49" i="72" a="1"/>
  <c r="DB49" i="72" a="1"/>
  <c r="DC49" i="72" l="1"/>
  <c r="DB49" i="72"/>
  <c r="DA49" i="72"/>
  <c r="CZ49" i="72"/>
  <c r="CY49" i="72"/>
  <c r="CX49" i="72"/>
  <c r="CW51" i="72"/>
  <c r="DC50" i="72" a="1"/>
  <c r="CY50" i="72" a="1"/>
  <c r="DB50" i="72" a="1"/>
  <c r="CZ50" i="72" a="1"/>
  <c r="CX50" i="72" a="1"/>
  <c r="DA50" i="72" a="1"/>
  <c r="DC50" i="72" l="1"/>
  <c r="DB50" i="72"/>
  <c r="DA50" i="72"/>
  <c r="CZ50" i="72"/>
  <c r="CY50" i="72"/>
  <c r="CX50" i="72"/>
  <c r="CW52" i="72"/>
  <c r="DB51" i="72" a="1"/>
  <c r="DA51" i="72" a="1"/>
  <c r="CZ51" i="72" a="1"/>
  <c r="DC51" i="72" a="1"/>
  <c r="CY51" i="72" a="1"/>
  <c r="CX51" i="72" a="1"/>
  <c r="DH32" i="72" l="1"/>
  <c r="DC51" i="72"/>
  <c r="DB51" i="72"/>
  <c r="DA51" i="72"/>
  <c r="CZ51" i="72"/>
  <c r="CY51" i="72"/>
  <c r="CX51" i="72"/>
  <c r="CW53" i="72"/>
  <c r="CX52" i="72" a="1"/>
  <c r="DC52" i="72" a="1"/>
  <c r="CZ52" i="72" a="1"/>
  <c r="DB52" i="72" a="1"/>
  <c r="CY52" i="72" a="1"/>
  <c r="DA52" i="72" a="1"/>
  <c r="DC52" i="72" l="1"/>
  <c r="DB52" i="72"/>
  <c r="DA52" i="72"/>
  <c r="CZ52" i="72"/>
  <c r="CY52" i="72"/>
  <c r="CX52" i="72"/>
  <c r="CW54" i="72"/>
  <c r="DA53" i="72" a="1"/>
  <c r="CZ53" i="72" a="1"/>
  <c r="DC53" i="72" a="1"/>
  <c r="CX53" i="72" a="1"/>
  <c r="DB53" i="72" a="1"/>
  <c r="CY53" i="72" a="1"/>
  <c r="DC53" i="72" l="1"/>
  <c r="DB53" i="72"/>
  <c r="DA53" i="72"/>
  <c r="CZ53" i="72"/>
  <c r="CY53" i="72"/>
  <c r="CX53" i="72"/>
  <c r="CW55" i="72"/>
  <c r="CZ54" i="72" a="1"/>
  <c r="CX54" i="72" a="1"/>
  <c r="CY54" i="72" a="1"/>
  <c r="DC54" i="72" a="1"/>
  <c r="DA54" i="72" a="1"/>
  <c r="DB54" i="72" a="1"/>
  <c r="DC54" i="72" l="1"/>
  <c r="DB54" i="72"/>
  <c r="DA54" i="72"/>
  <c r="CZ54" i="72"/>
  <c r="CY54" i="72"/>
  <c r="CX54" i="72"/>
  <c r="CW56" i="72"/>
  <c r="CX55" i="72" a="1"/>
  <c r="CZ55" i="72" a="1"/>
  <c r="DB55" i="72" a="1"/>
  <c r="DC55" i="72" a="1"/>
  <c r="CY55" i="72" a="1"/>
  <c r="DA55" i="72" a="1"/>
  <c r="DC55" i="72" l="1"/>
  <c r="DB55" i="72"/>
  <c r="DA55" i="72"/>
  <c r="CZ55" i="72"/>
  <c r="CY55" i="72"/>
  <c r="CX55" i="72"/>
  <c r="CW57" i="72"/>
  <c r="CX56" i="72" a="1"/>
  <c r="DB56" i="72" a="1"/>
  <c r="CY56" i="72" a="1"/>
  <c r="DC56" i="72" a="1"/>
  <c r="CZ56" i="72" a="1"/>
  <c r="DA56" i="72" a="1"/>
  <c r="DC56" i="72" l="1"/>
  <c r="DB56" i="72"/>
  <c r="DA56" i="72"/>
  <c r="CZ56" i="72"/>
  <c r="CY56" i="72"/>
  <c r="CX56" i="72"/>
  <c r="CW58" i="72"/>
  <c r="DB57" i="72" a="1"/>
  <c r="CZ57" i="72" a="1"/>
  <c r="DC57" i="72" a="1"/>
  <c r="CY57" i="72" a="1"/>
  <c r="DA57" i="72" a="1"/>
  <c r="CX57" i="72" a="1"/>
  <c r="DC57" i="72" l="1"/>
  <c r="DB57" i="72"/>
  <c r="DA57" i="72"/>
  <c r="CZ57" i="72"/>
  <c r="CY57" i="72"/>
  <c r="CX57" i="72"/>
  <c r="CW59" i="72"/>
  <c r="DA58" i="72" a="1"/>
  <c r="CX58" i="72" a="1"/>
  <c r="DB58" i="72" a="1"/>
  <c r="CZ58" i="72" a="1"/>
  <c r="DC58" i="72" a="1"/>
  <c r="CY58" i="72" a="1"/>
  <c r="DC58" i="72" l="1"/>
  <c r="DB58" i="72"/>
  <c r="DA58" i="72"/>
  <c r="CZ58" i="72"/>
  <c r="CY58" i="72"/>
  <c r="CX58" i="72"/>
  <c r="CW60" i="72"/>
  <c r="CY59" i="72" a="1"/>
  <c r="DC59" i="72" a="1"/>
  <c r="CZ59" i="72" a="1"/>
  <c r="DB59" i="72" a="1"/>
  <c r="CX59" i="72" a="1"/>
  <c r="DA59" i="72" a="1"/>
  <c r="DC59" i="72" l="1"/>
  <c r="DB59" i="72"/>
  <c r="DA59" i="72"/>
  <c r="CZ59" i="72"/>
  <c r="CY59" i="72"/>
  <c r="CX59" i="72"/>
  <c r="CW61" i="72"/>
  <c r="CX60" i="72" a="1"/>
  <c r="CY60" i="72" a="1"/>
  <c r="DC60" i="72" a="1"/>
  <c r="DB60" i="72" a="1"/>
  <c r="CZ60" i="72" a="1"/>
  <c r="DA60" i="72" a="1"/>
  <c r="DC60" i="72" l="1"/>
  <c r="DB60" i="72"/>
  <c r="DA60" i="72"/>
  <c r="CZ60" i="72"/>
  <c r="CY60" i="72"/>
  <c r="CX60" i="72"/>
  <c r="CW62" i="72"/>
  <c r="CX61" i="72" a="1"/>
  <c r="CZ61" i="72" a="1"/>
  <c r="DB61" i="72" a="1"/>
  <c r="DC61" i="72" a="1"/>
  <c r="CY61" i="72" a="1"/>
  <c r="DA61" i="72" a="1"/>
  <c r="DH33" i="72" l="1"/>
  <c r="DC61" i="72"/>
  <c r="DB61" i="72"/>
  <c r="DA61" i="72"/>
  <c r="CZ61" i="72"/>
  <c r="CY61" i="72"/>
  <c r="CX61" i="72"/>
  <c r="CW63" i="72"/>
  <c r="CX62" i="72" a="1"/>
  <c r="CY62" i="72" a="1"/>
  <c r="DA62" i="72" a="1"/>
  <c r="DB62" i="72" a="1"/>
  <c r="DC62" i="72" a="1"/>
  <c r="CZ62" i="72" a="1"/>
  <c r="DC62" i="72" l="1"/>
  <c r="DB62" i="72"/>
  <c r="DA62" i="72"/>
  <c r="CZ62" i="72"/>
  <c r="CY62" i="72"/>
  <c r="CX62" i="72"/>
  <c r="CW64" i="72"/>
  <c r="CZ63" i="72" a="1"/>
  <c r="DA63" i="72" a="1"/>
  <c r="DC63" i="72" a="1"/>
  <c r="CY63" i="72" a="1"/>
  <c r="CX63" i="72" a="1"/>
  <c r="DB63" i="72" a="1"/>
  <c r="DC63" i="72" l="1"/>
  <c r="DB63" i="72"/>
  <c r="DA63" i="72"/>
  <c r="CZ63" i="72"/>
  <c r="CY63" i="72"/>
  <c r="CX63" i="72"/>
  <c r="CW65" i="72"/>
  <c r="DA64" i="72" a="1"/>
  <c r="DB64" i="72" a="1"/>
  <c r="CY64" i="72" a="1"/>
  <c r="CZ64" i="72" a="1"/>
  <c r="DC64" i="72" a="1"/>
  <c r="CX64" i="72" a="1"/>
  <c r="DC64" i="72" l="1"/>
  <c r="DB64" i="72"/>
  <c r="DA64" i="72"/>
  <c r="CZ64" i="72"/>
  <c r="CY64" i="72"/>
  <c r="CX64" i="72"/>
  <c r="CW66" i="72"/>
  <c r="DB65" i="72" a="1"/>
  <c r="CY65" i="72" a="1"/>
  <c r="CX65" i="72" a="1"/>
  <c r="DA65" i="72" a="1"/>
  <c r="CZ65" i="72" a="1"/>
  <c r="DC65" i="72" a="1"/>
  <c r="CZ65" i="72" l="1"/>
  <c r="DC65" i="72"/>
  <c r="DB65" i="72"/>
  <c r="DA65" i="72"/>
  <c r="CY65" i="72"/>
  <c r="CX65" i="72"/>
  <c r="CW67" i="72"/>
  <c r="CX66" i="72" a="1"/>
  <c r="DB66" i="72" a="1"/>
  <c r="DC66" i="72" a="1"/>
  <c r="CY66" i="72" a="1"/>
  <c r="DA66" i="72" a="1"/>
  <c r="CZ66" i="72" a="1"/>
  <c r="DC66" i="72" l="1"/>
  <c r="DB66" i="72"/>
  <c r="DA66" i="72"/>
  <c r="CZ66" i="72"/>
  <c r="CY66" i="72"/>
  <c r="CX66" i="72"/>
  <c r="CW68" i="72"/>
  <c r="DA67" i="72" a="1"/>
  <c r="DB67" i="72" a="1"/>
  <c r="CY67" i="72" a="1"/>
  <c r="DC67" i="72" a="1"/>
  <c r="CX67" i="72" a="1"/>
  <c r="CZ67" i="72" a="1"/>
  <c r="DA67" i="72" l="1"/>
  <c r="CZ67" i="72"/>
  <c r="DC67" i="72"/>
  <c r="DB67" i="72"/>
  <c r="CY67" i="72"/>
  <c r="CX67" i="72"/>
  <c r="CW69" i="72"/>
  <c r="CX68" i="72" a="1"/>
  <c r="DC68" i="72" a="1"/>
  <c r="DA68" i="72" a="1"/>
  <c r="DB68" i="72" a="1"/>
  <c r="CY68" i="72" a="1"/>
  <c r="CZ68" i="72" a="1"/>
  <c r="DB68" i="72" l="1"/>
  <c r="DC68" i="72"/>
  <c r="DA68" i="72"/>
  <c r="CZ68" i="72"/>
  <c r="CY68" i="72"/>
  <c r="CX68" i="72"/>
  <c r="CW70" i="72"/>
  <c r="DB69" i="72" a="1"/>
  <c r="CZ69" i="72" a="1"/>
  <c r="DC69" i="72" a="1"/>
  <c r="CY69" i="72" a="1"/>
  <c r="CX69" i="72" a="1"/>
  <c r="DA69" i="72" a="1"/>
  <c r="DA69" i="72" l="1"/>
  <c r="DB69" i="72"/>
  <c r="DC69" i="72"/>
  <c r="CZ69" i="72"/>
  <c r="CY69" i="72"/>
  <c r="CX69" i="72"/>
  <c r="CW71" i="72"/>
  <c r="DC70" i="72" a="1"/>
  <c r="CY70" i="72" a="1"/>
  <c r="CZ70" i="72" a="1"/>
  <c r="DA70" i="72" a="1"/>
  <c r="CX70" i="72" a="1"/>
  <c r="DB70" i="72" a="1"/>
  <c r="CY70" i="72" l="1"/>
  <c r="DC70" i="72"/>
  <c r="DB70" i="72"/>
  <c r="DA70" i="72"/>
  <c r="CZ70" i="72"/>
  <c r="CX70" i="72"/>
  <c r="CW72" i="72"/>
  <c r="DC71" i="72" a="1"/>
  <c r="CY71" i="72" a="1"/>
  <c r="DA71" i="72" a="1"/>
  <c r="DB71" i="72" a="1"/>
  <c r="CX71" i="72" a="1"/>
  <c r="CZ71" i="72" a="1"/>
  <c r="DH34" i="72" l="1"/>
  <c r="DB71" i="72"/>
  <c r="DC71" i="72"/>
  <c r="DA71" i="72"/>
  <c r="CZ71" i="72"/>
  <c r="CY71" i="72"/>
  <c r="CX71" i="72"/>
  <c r="CW73" i="72"/>
  <c r="CZ72" i="72" a="1"/>
  <c r="DC72" i="72" a="1"/>
  <c r="CX72" i="72" a="1"/>
  <c r="CY72" i="72" a="1"/>
  <c r="DB72" i="72" a="1"/>
  <c r="DA72" i="72" a="1"/>
  <c r="DC72" i="72" l="1"/>
  <c r="DB72" i="72"/>
  <c r="DA72" i="72"/>
  <c r="CZ72" i="72"/>
  <c r="CY72" i="72"/>
  <c r="CX72" i="72"/>
  <c r="CW74" i="72"/>
  <c r="DB73" i="72" a="1"/>
  <c r="DC73" i="72" a="1"/>
  <c r="DA73" i="72" a="1"/>
  <c r="CY73" i="72" a="1"/>
  <c r="CX73" i="72" a="1"/>
  <c r="CZ73" i="72" a="1"/>
  <c r="DC73" i="72" l="1"/>
  <c r="DB73" i="72"/>
  <c r="DA73" i="72"/>
  <c r="CZ73" i="72"/>
  <c r="CY73" i="72"/>
  <c r="CX73" i="72"/>
  <c r="CW75" i="72"/>
  <c r="CZ74" i="72" a="1"/>
  <c r="DA74" i="72" a="1"/>
  <c r="DC74" i="72" a="1"/>
  <c r="CX74" i="72" a="1"/>
  <c r="CY74" i="72" a="1"/>
  <c r="DB74" i="72" a="1"/>
  <c r="DC74" i="72" l="1"/>
  <c r="DB74" i="72"/>
  <c r="DA74" i="72"/>
  <c r="CZ74" i="72"/>
  <c r="CY74" i="72"/>
  <c r="CX74" i="72"/>
  <c r="CW76" i="72"/>
  <c r="DA75" i="72" a="1"/>
  <c r="CZ75" i="72" a="1"/>
  <c r="DB75" i="72" a="1"/>
  <c r="CX75" i="72" a="1"/>
  <c r="DC75" i="72" a="1"/>
  <c r="CY75" i="72" a="1"/>
  <c r="DC75" i="72" l="1"/>
  <c r="CY75" i="72"/>
  <c r="DB75" i="72"/>
  <c r="DA75" i="72"/>
  <c r="CZ75" i="72"/>
  <c r="CX75" i="72"/>
  <c r="CW77" i="72"/>
  <c r="CX76" i="72" a="1"/>
  <c r="DC76" i="72" a="1"/>
  <c r="DA76" i="72" a="1"/>
  <c r="CY76" i="72" a="1"/>
  <c r="CZ76" i="72" a="1"/>
  <c r="DB76" i="72" a="1"/>
  <c r="DC76" i="72" l="1"/>
  <c r="DB76" i="72"/>
  <c r="DA76" i="72"/>
  <c r="CZ76" i="72"/>
  <c r="CY76" i="72"/>
  <c r="CX76" i="72"/>
  <c r="CW78" i="72"/>
  <c r="DA77" i="72" a="1"/>
  <c r="DB77" i="72" a="1"/>
  <c r="DC77" i="72" a="1"/>
  <c r="CX77" i="72" a="1"/>
  <c r="CZ77" i="72" a="1"/>
  <c r="CY77" i="72" a="1"/>
  <c r="DC77" i="72" l="1"/>
  <c r="CZ77" i="72"/>
  <c r="DB77" i="72"/>
  <c r="DA77" i="72"/>
  <c r="CY77" i="72"/>
  <c r="CX77" i="72"/>
  <c r="CW79" i="72"/>
  <c r="DB78" i="72" a="1"/>
  <c r="CZ78" i="72" a="1"/>
  <c r="CX78" i="72" a="1"/>
  <c r="DA78" i="72" a="1"/>
  <c r="DC78" i="72" a="1"/>
  <c r="CY78" i="72" a="1"/>
  <c r="DB78" i="72" l="1"/>
  <c r="CY78" i="72"/>
  <c r="DC78" i="72"/>
  <c r="DA78" i="72"/>
  <c r="CZ78" i="72"/>
  <c r="CX78" i="72"/>
  <c r="CW80" i="72"/>
  <c r="CZ79" i="72" a="1"/>
  <c r="DC79" i="72" a="1"/>
  <c r="CX79" i="72" a="1"/>
  <c r="DA79" i="72" a="1"/>
  <c r="DB79" i="72" a="1"/>
  <c r="CY79" i="72" a="1"/>
  <c r="DC79" i="72" l="1"/>
  <c r="CY79" i="72"/>
  <c r="DB79" i="72"/>
  <c r="DA79" i="72"/>
  <c r="CZ79" i="72"/>
  <c r="CX79" i="72"/>
  <c r="CW81" i="72"/>
  <c r="CX80" i="72" a="1"/>
  <c r="DC80" i="72" a="1"/>
  <c r="CZ80" i="72" a="1"/>
  <c r="DB80" i="72" a="1"/>
  <c r="CY80" i="72" a="1"/>
  <c r="DA80" i="72" a="1"/>
  <c r="DB80" i="72" l="1"/>
  <c r="CZ80" i="72"/>
  <c r="DC80" i="72"/>
  <c r="DA80" i="72"/>
  <c r="CY80" i="72"/>
  <c r="CX80" i="72"/>
  <c r="CW82" i="72"/>
  <c r="CZ81" i="72" a="1"/>
  <c r="DB81" i="72" a="1"/>
  <c r="DA81" i="72" a="1"/>
  <c r="DC81" i="72" a="1"/>
  <c r="CY81" i="72" a="1"/>
  <c r="CX81" i="72" a="1"/>
  <c r="DH35" i="72" l="1"/>
  <c r="DA81" i="72"/>
  <c r="DC81" i="72"/>
  <c r="DB81" i="72"/>
  <c r="CZ81" i="72"/>
  <c r="CY81" i="72"/>
  <c r="CX81" i="72"/>
  <c r="CW83" i="72"/>
  <c r="CZ82" i="72" a="1"/>
  <c r="DA82" i="72" a="1"/>
  <c r="CY82" i="72" a="1"/>
  <c r="CX82" i="72" a="1"/>
  <c r="DB82" i="72" a="1"/>
  <c r="DC82" i="72" a="1"/>
  <c r="DC82" i="72" l="1"/>
  <c r="DB82" i="72"/>
  <c r="DA82" i="72"/>
  <c r="CZ82" i="72"/>
  <c r="CY82" i="72"/>
  <c r="CX82" i="72"/>
  <c r="CW84" i="72"/>
  <c r="DC83" i="72" a="1"/>
  <c r="DA83" i="72" a="1"/>
  <c r="CX83" i="72" a="1"/>
  <c r="CY83" i="72" a="1"/>
  <c r="CZ83" i="72" a="1"/>
  <c r="DB83" i="72" a="1"/>
  <c r="DB83" i="72" l="1"/>
  <c r="CY83" i="72"/>
  <c r="DC83" i="72"/>
  <c r="DA83" i="72"/>
  <c r="CZ83" i="72"/>
  <c r="CX83" i="72"/>
  <c r="CW85" i="72"/>
  <c r="CY84" i="72" a="1"/>
  <c r="DA84" i="72" a="1"/>
  <c r="DC84" i="72" a="1"/>
  <c r="DB84" i="72" a="1"/>
  <c r="CX84" i="72" a="1"/>
  <c r="CZ84" i="72" a="1"/>
  <c r="CY84" i="72" l="1"/>
  <c r="DC84" i="72"/>
  <c r="DB84" i="72"/>
  <c r="DA84" i="72"/>
  <c r="CZ84" i="72"/>
  <c r="CX84" i="72"/>
  <c r="CW86" i="72"/>
  <c r="CX85" i="72" a="1"/>
  <c r="DA85" i="72" a="1"/>
  <c r="CY85" i="72" a="1"/>
  <c r="CZ85" i="72" a="1"/>
  <c r="DC85" i="72" a="1"/>
  <c r="DB85" i="72" a="1"/>
  <c r="DB85" i="72" l="1"/>
  <c r="CY85" i="72"/>
  <c r="DA85" i="72"/>
  <c r="DC85" i="72"/>
  <c r="CZ85" i="72"/>
  <c r="CX85" i="72"/>
  <c r="CW87" i="72"/>
  <c r="DA86" i="72" a="1"/>
  <c r="DC86" i="72" a="1"/>
  <c r="CZ86" i="72" a="1"/>
  <c r="DB86" i="72" a="1"/>
  <c r="CY86" i="72" a="1"/>
  <c r="CX86" i="72" a="1"/>
  <c r="DB86" i="72" l="1"/>
  <c r="CY86" i="72"/>
  <c r="DA86" i="72"/>
  <c r="DC86" i="72"/>
  <c r="CZ86" i="72"/>
  <c r="CX86" i="72"/>
  <c r="CW88" i="72"/>
  <c r="CX87" i="72" a="1"/>
  <c r="DC87" i="72" a="1"/>
  <c r="DB87" i="72" a="1"/>
  <c r="CZ87" i="72" a="1"/>
  <c r="CY87" i="72" a="1"/>
  <c r="DA87" i="72" a="1"/>
  <c r="DB87" i="72" l="1"/>
  <c r="CY87" i="72"/>
  <c r="DA87" i="72"/>
  <c r="DC87" i="72"/>
  <c r="CZ87" i="72"/>
  <c r="CX87" i="72"/>
  <c r="CW89" i="72"/>
  <c r="DC88" i="72" a="1"/>
  <c r="CZ88" i="72" a="1"/>
  <c r="CY88" i="72" a="1"/>
  <c r="CX88" i="72" a="1"/>
  <c r="DB88" i="72" a="1"/>
  <c r="DA88" i="72" a="1"/>
  <c r="CY88" i="72" l="1"/>
  <c r="DB88" i="72"/>
  <c r="CZ88" i="72"/>
  <c r="DA88" i="72"/>
  <c r="DC88" i="72"/>
  <c r="CX88" i="72"/>
  <c r="CW90" i="72"/>
  <c r="DC89" i="72" a="1"/>
  <c r="CZ89" i="72" a="1"/>
  <c r="DA89" i="72" a="1"/>
  <c r="CY89" i="72" a="1"/>
  <c r="DB89" i="72" a="1"/>
  <c r="CX89" i="72" a="1"/>
  <c r="DB89" i="72" l="1"/>
  <c r="DC89" i="72"/>
  <c r="DA89" i="72"/>
  <c r="CY89" i="72"/>
  <c r="CZ89" i="72"/>
  <c r="CX89" i="72"/>
  <c r="CW91" i="72"/>
  <c r="CZ90" i="72" a="1"/>
  <c r="DC90" i="72" a="1"/>
  <c r="CX90" i="72" a="1"/>
  <c r="DA90" i="72" a="1"/>
  <c r="CY90" i="72" a="1"/>
  <c r="DB90" i="72" a="1"/>
  <c r="DC90" i="72" l="1"/>
  <c r="DA90" i="72"/>
  <c r="DB90" i="72"/>
  <c r="CY90" i="72"/>
  <c r="CZ90" i="72"/>
  <c r="CX90" i="72"/>
  <c r="CW92" i="72"/>
  <c r="DA91" i="72" a="1"/>
  <c r="CX91" i="72" a="1"/>
  <c r="DC91" i="72" a="1"/>
  <c r="CY91" i="72" a="1"/>
  <c r="DB91" i="72" a="1"/>
  <c r="CZ91" i="72" a="1"/>
  <c r="DH36" i="72" l="1"/>
  <c r="CY91" i="72"/>
  <c r="CZ91" i="72"/>
  <c r="DA91" i="72"/>
  <c r="DB91" i="72"/>
  <c r="DC91" i="72"/>
  <c r="CX91" i="72"/>
  <c r="CW93" i="72"/>
  <c r="DA92" i="72" a="1"/>
  <c r="DC92" i="72" a="1"/>
  <c r="CZ92" i="72" a="1"/>
  <c r="DB92" i="72" a="1"/>
  <c r="CY92" i="72" a="1"/>
  <c r="CX92" i="72" a="1"/>
  <c r="DA92" i="72" l="1"/>
  <c r="CZ92" i="72"/>
  <c r="DB92" i="72"/>
  <c r="CY92" i="72"/>
  <c r="DC92" i="72"/>
  <c r="CX92" i="72"/>
  <c r="CW94" i="72"/>
  <c r="CZ93" i="72" a="1"/>
  <c r="CY93" i="72" a="1"/>
  <c r="DB93" i="72" a="1"/>
  <c r="DA93" i="72" a="1"/>
  <c r="DC93" i="72" a="1"/>
  <c r="CX93" i="72" a="1"/>
  <c r="DB93" i="72" l="1"/>
  <c r="CY93" i="72"/>
  <c r="DA93" i="72"/>
  <c r="CZ93" i="72"/>
  <c r="DC93" i="72"/>
  <c r="CX93" i="72"/>
  <c r="CW95" i="72"/>
  <c r="DB94" i="72" a="1"/>
  <c r="DA94" i="72" a="1"/>
  <c r="CZ94" i="72" a="1"/>
  <c r="DC94" i="72" a="1"/>
  <c r="CY94" i="72" a="1"/>
  <c r="CX94" i="72" a="1"/>
  <c r="DA94" i="72" l="1"/>
  <c r="DB94" i="72"/>
  <c r="CY94" i="72"/>
  <c r="DC94" i="72"/>
  <c r="CZ94" i="72"/>
  <c r="CX94" i="72"/>
  <c r="CW96" i="72"/>
  <c r="DB95" i="72" a="1"/>
  <c r="CX95" i="72" a="1"/>
  <c r="DC95" i="72" a="1"/>
  <c r="CY95" i="72" a="1"/>
  <c r="DA95" i="72" a="1"/>
  <c r="CZ95" i="72" a="1"/>
  <c r="DB95" i="72" l="1"/>
  <c r="DA95" i="72"/>
  <c r="CY95" i="72"/>
  <c r="DC95" i="72"/>
  <c r="CZ95" i="72"/>
  <c r="CX95" i="72"/>
  <c r="CW97" i="72"/>
  <c r="CX96" i="72" a="1"/>
  <c r="DA96" i="72" a="1"/>
  <c r="DC96" i="72" a="1"/>
  <c r="CY96" i="72" a="1"/>
  <c r="CZ96" i="72" a="1"/>
  <c r="DB96" i="72" a="1"/>
  <c r="CY96" i="72" l="1"/>
  <c r="DA96" i="72"/>
  <c r="DB96" i="72"/>
  <c r="DC96" i="72"/>
  <c r="CZ96" i="72"/>
  <c r="CX96" i="72"/>
  <c r="CW98" i="72"/>
  <c r="CZ97" i="72" a="1"/>
  <c r="DB97" i="72" a="1"/>
  <c r="CX97" i="72" a="1"/>
  <c r="DC97" i="72" a="1"/>
  <c r="CY97" i="72" a="1"/>
  <c r="DA97" i="72" a="1"/>
  <c r="DA97" i="72" l="1"/>
  <c r="DB97" i="72"/>
  <c r="CZ97" i="72"/>
  <c r="CY97" i="72"/>
  <c r="CX97" i="72"/>
  <c r="DC97" i="72"/>
  <c r="CW99" i="72"/>
  <c r="CX98" i="72" a="1"/>
  <c r="CZ98" i="72" a="1"/>
  <c r="DC98" i="72" a="1"/>
  <c r="DA98" i="72" a="1"/>
  <c r="CY98" i="72" a="1"/>
  <c r="DB98" i="72" a="1"/>
  <c r="DB98" i="72" l="1"/>
  <c r="DC98" i="72"/>
  <c r="CY98" i="72"/>
  <c r="CZ98" i="72"/>
  <c r="DA98" i="72"/>
  <c r="CX98" i="72"/>
  <c r="CW100" i="72"/>
  <c r="DC99" i="72" a="1"/>
  <c r="DB99" i="72" a="1"/>
  <c r="DA99" i="72" a="1"/>
  <c r="CY99" i="72" a="1"/>
  <c r="CX99" i="72" a="1"/>
  <c r="CZ99" i="72" a="1"/>
  <c r="CY99" i="72" l="1"/>
  <c r="CZ99" i="72"/>
  <c r="DB99" i="72"/>
  <c r="DA99" i="72"/>
  <c r="DC99" i="72"/>
  <c r="CX99" i="72"/>
  <c r="CW101" i="72"/>
  <c r="CZ100" i="72" a="1"/>
  <c r="DC100" i="72" a="1"/>
  <c r="CX100" i="72" a="1"/>
  <c r="DB100" i="72" a="1"/>
  <c r="CY100" i="72" a="1"/>
  <c r="DA100" i="72" a="1"/>
  <c r="CY100" i="72" l="1"/>
  <c r="DC100" i="72"/>
  <c r="DA100" i="72"/>
  <c r="DB100" i="72"/>
  <c r="CZ100" i="72"/>
  <c r="CX100" i="72"/>
  <c r="CW102" i="72"/>
  <c r="CY101" i="72" a="1"/>
  <c r="DB101" i="72" a="1"/>
  <c r="CX101" i="72" a="1"/>
  <c r="DA101" i="72" a="1"/>
  <c r="CZ101" i="72" a="1"/>
  <c r="DC101" i="72" a="1"/>
  <c r="DH37" i="72" l="1"/>
  <c r="DB101" i="72"/>
  <c r="DA101" i="72"/>
  <c r="CY101" i="72"/>
  <c r="DC101" i="72"/>
  <c r="CZ101" i="72"/>
  <c r="CX101" i="72"/>
  <c r="CW103" i="72"/>
  <c r="DA102" i="72" a="1"/>
  <c r="CX102" i="72" a="1"/>
  <c r="CY102" i="72" a="1"/>
  <c r="CZ102" i="72" a="1"/>
  <c r="DC102" i="72" a="1"/>
  <c r="DB102" i="72" a="1"/>
  <c r="CZ102" i="72" l="1"/>
  <c r="DB102" i="72"/>
  <c r="DA102" i="72"/>
  <c r="CY102" i="72"/>
  <c r="DC102" i="72"/>
  <c r="CX102" i="72"/>
  <c r="CW104" i="72"/>
  <c r="DC103" i="72" a="1"/>
  <c r="CZ103" i="72" a="1"/>
  <c r="DB103" i="72" a="1"/>
  <c r="CY103" i="72" a="1"/>
  <c r="CX103" i="72" a="1"/>
  <c r="DA103" i="72" a="1"/>
  <c r="CY103" i="72" l="1"/>
  <c r="DC103" i="72"/>
  <c r="DA103" i="72"/>
  <c r="CZ103" i="72"/>
  <c r="DB103" i="72"/>
  <c r="CX103" i="72"/>
  <c r="CW105" i="72"/>
  <c r="DB104" i="72" a="1"/>
  <c r="DA104" i="72" a="1"/>
  <c r="CX104" i="72" a="1"/>
  <c r="CZ104" i="72" a="1"/>
  <c r="CY104" i="72" a="1"/>
  <c r="DC104" i="72" a="1"/>
  <c r="DA104" i="72" l="1"/>
  <c r="CX104" i="72"/>
  <c r="CZ104" i="72"/>
  <c r="DB104" i="72"/>
  <c r="CY104" i="72"/>
  <c r="DC104" i="72"/>
  <c r="CW106" i="72"/>
  <c r="DC105" i="72" a="1"/>
  <c r="CX105" i="72" a="1"/>
  <c r="CY105" i="72" a="1"/>
  <c r="DA105" i="72" a="1"/>
  <c r="DB105" i="72" a="1"/>
  <c r="CZ105" i="72" a="1"/>
  <c r="CZ105" i="72" l="1"/>
  <c r="CY105" i="72"/>
  <c r="DA105" i="72"/>
  <c r="CX105" i="72"/>
  <c r="DB105" i="72"/>
  <c r="DC105" i="72"/>
  <c r="CW107" i="72"/>
  <c r="DC106" i="72" a="1"/>
  <c r="CX106" i="72" a="1"/>
  <c r="CZ106" i="72" a="1"/>
  <c r="DA106" i="72" a="1"/>
  <c r="CY106" i="72" a="1"/>
  <c r="DB106" i="72" a="1"/>
  <c r="DA106" i="72" l="1"/>
  <c r="CZ106" i="72"/>
  <c r="DC106" i="72"/>
  <c r="CY106" i="72"/>
  <c r="DB106" i="72"/>
  <c r="CX106" i="72"/>
  <c r="CW108" i="72"/>
  <c r="DC107" i="72" a="1"/>
  <c r="DA107" i="72" a="1"/>
  <c r="CZ107" i="72" a="1"/>
  <c r="DB107" i="72" a="1"/>
  <c r="CX107" i="72" a="1"/>
  <c r="CY107" i="72" a="1"/>
  <c r="CY107" i="72" l="1"/>
  <c r="CX107" i="72"/>
  <c r="DA107" i="72"/>
  <c r="DB107" i="72"/>
  <c r="DC107" i="72"/>
  <c r="CZ107" i="72"/>
  <c r="CW109" i="72"/>
  <c r="DB108" i="72" a="1"/>
  <c r="CY108" i="72" a="1"/>
  <c r="DC108" i="72" a="1"/>
  <c r="CX108" i="72" a="1"/>
  <c r="CZ108" i="72" a="1"/>
  <c r="DA108" i="72" a="1"/>
  <c r="DC108" i="72" l="1"/>
  <c r="CY108" i="72"/>
  <c r="CX108" i="72"/>
  <c r="DA108" i="72"/>
  <c r="DB108" i="72"/>
  <c r="CZ108" i="72"/>
  <c r="CW110" i="72"/>
  <c r="CW5" i="72"/>
  <c r="CW6" i="72"/>
  <c r="CW4" i="72"/>
  <c r="BJ381" i="92"/>
  <c r="BL381" i="92" s="1"/>
  <c r="BM381" i="92" s="1"/>
  <c r="CE10" i="92"/>
  <c r="CE11" i="92" s="1"/>
  <c r="BT10" i="92"/>
  <c r="BT11" i="92" s="1"/>
  <c r="BI10" i="92"/>
  <c r="BI11" i="92" s="1"/>
  <c r="CK7" i="92"/>
  <c r="CJ7" i="92"/>
  <c r="CI7" i="92"/>
  <c r="CH7" i="92"/>
  <c r="CG7" i="92"/>
  <c r="CF7" i="92"/>
  <c r="BZ7" i="92"/>
  <c r="BY7" i="92"/>
  <c r="BX7" i="92"/>
  <c r="BW7" i="92"/>
  <c r="BV7" i="92"/>
  <c r="BU7" i="92"/>
  <c r="BP402" i="92" a="1"/>
  <c r="BV406" i="92" a="1"/>
  <c r="BV403" i="92" a="1"/>
  <c r="BM405" i="92" a="1"/>
  <c r="BV407" i="92" a="1"/>
  <c r="BQ406" i="92" a="1"/>
  <c r="BX403" i="92" a="1"/>
  <c r="BK401" i="92" a="1"/>
  <c r="BO401" i="92" a="1"/>
  <c r="BQ408" i="92" a="1"/>
  <c r="CQ15" i="92" a="1"/>
  <c r="DB109" i="72" a="1"/>
  <c r="BN405" i="92" a="1"/>
  <c r="BW402" i="92" a="1"/>
  <c r="BV402" i="92" a="1"/>
  <c r="BZ407" i="92" a="1"/>
  <c r="BM402" i="92" a="1"/>
  <c r="BU406" i="92" a="1"/>
  <c r="CA402" i="92" a="1"/>
  <c r="BL399" i="92" a="1"/>
  <c r="CB403" i="92" a="1"/>
  <c r="CB399" i="92" a="1"/>
  <c r="BP399" i="92" a="1"/>
  <c r="BK402" i="92" a="1"/>
  <c r="CA401" i="92" a="1"/>
  <c r="BY401" i="92" a="1"/>
  <c r="BM399" i="92" a="1"/>
  <c r="CQ16" i="92" a="1"/>
  <c r="BL406" i="92" a="1"/>
  <c r="BP405" i="92" a="1"/>
  <c r="BP408" i="92" a="1"/>
  <c r="BN402" i="92" a="1"/>
  <c r="BO402" i="92" a="1"/>
  <c r="BQ407" i="92" a="1"/>
  <c r="BZ404" i="92" a="1"/>
  <c r="BV408" i="92" a="1"/>
  <c r="BK404" i="92" a="1"/>
  <c r="CQ21" i="92" a="1"/>
  <c r="BO407" i="92" a="1"/>
  <c r="BQ403" i="92" a="1"/>
  <c r="BN400" i="92" a="1"/>
  <c r="BJ408" i="92" a="1"/>
  <c r="BY406" i="92" a="1"/>
  <c r="BL402" i="92" a="1"/>
  <c r="BU403" i="92" a="1"/>
  <c r="CB404" i="92" a="1"/>
  <c r="BJ405" i="92" a="1"/>
  <c r="BY400" i="92" a="1"/>
  <c r="BY407" i="92" a="1"/>
  <c r="CX3" i="72" a="1"/>
  <c r="BU399" i="92" a="1"/>
  <c r="BX399" i="92" a="1"/>
  <c r="BY402" i="92" a="1"/>
  <c r="CB406" i="92" a="1"/>
  <c r="BV401" i="92" a="1"/>
  <c r="BU402" i="92" a="1"/>
  <c r="CA407" i="92" a="1"/>
  <c r="BV405" i="92" a="1"/>
  <c r="BK403" i="92" a="1"/>
  <c r="BW401" i="92" a="1"/>
  <c r="CQ19" i="92" a="1"/>
  <c r="BW399" i="92" a="1"/>
  <c r="BK405" i="92" a="1"/>
  <c r="BZ408" i="92" a="1"/>
  <c r="BO406" i="92" a="1"/>
  <c r="BY408" i="92" a="1"/>
  <c r="BJ399" i="92" a="1"/>
  <c r="BX405" i="92" a="1"/>
  <c r="BX408" i="92" a="1"/>
  <c r="BN401" i="92" a="1"/>
  <c r="CY109" i="72" a="1"/>
  <c r="BW407" i="92" a="1"/>
  <c r="BK399" i="92" a="1"/>
  <c r="BJ404" i="92" a="1"/>
  <c r="CA403" i="92" a="1"/>
  <c r="BN407" i="92" a="1"/>
  <c r="CQ11" i="92" a="1"/>
  <c r="BJ401" i="92" a="1"/>
  <c r="BO408" i="92" a="1"/>
  <c r="BW403" i="92" a="1"/>
  <c r="BZ401" i="92" a="1"/>
  <c r="BW405" i="92" a="1"/>
  <c r="CA404" i="92" a="1"/>
  <c r="BJ406" i="92" a="1"/>
  <c r="BL408" i="92" a="1"/>
  <c r="BO400" i="92" a="1"/>
  <c r="BO404" i="92" a="1"/>
  <c r="BM403" i="92" a="1"/>
  <c r="CA400" i="92" a="1"/>
  <c r="BZ402" i="92" a="1"/>
  <c r="BO399" i="92" a="1"/>
  <c r="CA406" i="92" a="1"/>
  <c r="BN406" i="92" a="1"/>
  <c r="BK406" i="92" a="1"/>
  <c r="BY399" i="92" a="1"/>
  <c r="BP406" i="92" a="1"/>
  <c r="BQ405" i="92" a="1"/>
  <c r="BJ403" i="92" a="1"/>
  <c r="BV400" i="92" a="1"/>
  <c r="BX406" i="92" a="1"/>
  <c r="CB401" i="92" a="1"/>
  <c r="BW404" i="92" a="1"/>
  <c r="BW406" i="92" a="1"/>
  <c r="CQ20" i="92" a="1"/>
  <c r="BV404" i="92" a="1"/>
  <c r="CB400" i="92" a="1"/>
  <c r="BM400" i="92" a="1"/>
  <c r="CQ10" i="92" a="1"/>
  <c r="BY404" i="92" a="1"/>
  <c r="BX407" i="92" a="1"/>
  <c r="BP400" i="92" a="1"/>
  <c r="BM404" i="92" a="1"/>
  <c r="BN399" i="92" a="1"/>
  <c r="BV399" i="92" a="1"/>
  <c r="BL407" i="92" a="1"/>
  <c r="BK407" i="92" a="1"/>
  <c r="BU405" i="92" a="1"/>
  <c r="CA408" i="92" a="1"/>
  <c r="BX404" i="92" a="1"/>
  <c r="BW400" i="92" a="1"/>
  <c r="BU401" i="92" a="1"/>
  <c r="BP407" i="92" a="1"/>
  <c r="BQ404" i="92" a="1"/>
  <c r="BK408" i="92" a="1"/>
  <c r="CZ109" i="72" a="1"/>
  <c r="BJ402" i="92" a="1"/>
  <c r="BY405" i="92" a="1"/>
  <c r="BQ399" i="92" a="1"/>
  <c r="BL405" i="92" a="1"/>
  <c r="CQ14" i="92" a="1"/>
  <c r="BJ407" i="92" a="1"/>
  <c r="CA399" i="92" a="1"/>
  <c r="CB405" i="92" a="1"/>
  <c r="BX402" i="92" a="1"/>
  <c r="DA109" i="72" a="1"/>
  <c r="BK400" i="92" a="1"/>
  <c r="BL401" i="92" a="1"/>
  <c r="CX109" i="72" a="1"/>
  <c r="BQ400" i="92" a="1"/>
  <c r="CQ9" i="92" a="1"/>
  <c r="BZ403" i="92" a="1"/>
  <c r="BP401" i="92" a="1"/>
  <c r="BO403" i="92" a="1"/>
  <c r="BM406" i="92" a="1"/>
  <c r="CA405" i="92" a="1"/>
  <c r="BX401" i="92" a="1"/>
  <c r="BP403" i="92" a="1"/>
  <c r="BN408" i="92" a="1"/>
  <c r="CB407" i="92" a="1"/>
  <c r="BZ400" i="92" a="1"/>
  <c r="BU404" i="92" a="1"/>
  <c r="BW408" i="92" a="1"/>
  <c r="BL403" i="92" a="1"/>
  <c r="DC109" i="72" a="1"/>
  <c r="BU407" i="92" a="1"/>
  <c r="BN403" i="92" a="1"/>
  <c r="BM408" i="92" a="1"/>
  <c r="BZ405" i="92" a="1"/>
  <c r="CB408" i="92" a="1"/>
  <c r="BY403" i="92" a="1"/>
  <c r="BJ400" i="92" a="1"/>
  <c r="BN404" i="92" a="1"/>
  <c r="BU400" i="92" a="1"/>
  <c r="BU408" i="92" a="1"/>
  <c r="BZ399" i="92" a="1"/>
  <c r="BQ401" i="92" a="1"/>
  <c r="CB402" i="92" a="1"/>
  <c r="BQ402" i="92" a="1"/>
  <c r="BL400" i="92" a="1"/>
  <c r="BZ406" i="92" a="1"/>
  <c r="BP404" i="92" a="1"/>
  <c r="BO405" i="92" a="1"/>
  <c r="BL404" i="92" a="1"/>
  <c r="BX400" i="92" a="1"/>
  <c r="BM401" i="92" a="1"/>
  <c r="BM407" i="92" a="1"/>
  <c r="BY10" i="92" a="1"/>
  <c r="BW10" i="92" a="1"/>
  <c r="DC109" i="72" l="1"/>
  <c r="DB109" i="72"/>
  <c r="DA109" i="72"/>
  <c r="CZ109" i="72"/>
  <c r="CY109" i="72"/>
  <c r="CX109" i="72"/>
  <c r="CX3" i="72"/>
  <c r="CQ9" i="92"/>
  <c r="BY10" i="92"/>
  <c r="CQ19" i="92"/>
  <c r="CQ10" i="92"/>
  <c r="CQ11" i="92"/>
  <c r="J54" i="88" s="1"/>
  <c r="CQ20" i="92"/>
  <c r="CQ16" i="92"/>
  <c r="R54" i="88" s="1"/>
  <c r="CQ14" i="92"/>
  <c r="BW10" i="92"/>
  <c r="CQ15" i="92"/>
  <c r="CQ21" i="92"/>
  <c r="Z54" i="88" s="1"/>
  <c r="BV402" i="92"/>
  <c r="BW402" i="92"/>
  <c r="BX407" i="92"/>
  <c r="BY407" i="92"/>
  <c r="BO399" i="92"/>
  <c r="BO403" i="92"/>
  <c r="BP403" i="92"/>
  <c r="BX399" i="92"/>
  <c r="BK404" i="92"/>
  <c r="BL404" i="92"/>
  <c r="BO400" i="92"/>
  <c r="BZ404" i="92"/>
  <c r="BP400" i="92"/>
  <c r="CA404" i="92"/>
  <c r="BK401" i="92"/>
  <c r="BV405" i="92"/>
  <c r="BL401" i="92"/>
  <c r="BW405" i="92"/>
  <c r="BZ401" i="92"/>
  <c r="BO406" i="92"/>
  <c r="CA401" i="92"/>
  <c r="BQ406" i="92"/>
  <c r="BJ399" i="92"/>
  <c r="BP399" i="92"/>
  <c r="BY399" i="92"/>
  <c r="BQ400" i="92"/>
  <c r="BM401" i="92"/>
  <c r="CB401" i="92"/>
  <c r="BX402" i="92"/>
  <c r="BQ403" i="92"/>
  <c r="BM404" i="92"/>
  <c r="CB404" i="92"/>
  <c r="BX405" i="92"/>
  <c r="BU406" i="92"/>
  <c r="BK408" i="92"/>
  <c r="BU400" i="92"/>
  <c r="BN401" i="92"/>
  <c r="BJ402" i="92"/>
  <c r="BY402" i="92"/>
  <c r="BU403" i="92"/>
  <c r="BN404" i="92"/>
  <c r="BJ405" i="92"/>
  <c r="BY405" i="92"/>
  <c r="BV406" i="92"/>
  <c r="BL408" i="92"/>
  <c r="BK399" i="92"/>
  <c r="BQ399" i="92"/>
  <c r="BZ399" i="92"/>
  <c r="BV400" i="92"/>
  <c r="BO401" i="92"/>
  <c r="BK402" i="92"/>
  <c r="BZ402" i="92"/>
  <c r="BV403" i="92"/>
  <c r="BO404" i="92"/>
  <c r="BK405" i="92"/>
  <c r="BZ405" i="92"/>
  <c r="BW406" i="92"/>
  <c r="BQ408" i="92"/>
  <c r="CA399" i="92"/>
  <c r="BW400" i="92"/>
  <c r="BP401" i="92"/>
  <c r="BL402" i="92"/>
  <c r="CA402" i="92"/>
  <c r="BW403" i="92"/>
  <c r="BP404" i="92"/>
  <c r="BL405" i="92"/>
  <c r="CA405" i="92"/>
  <c r="BZ406" i="92"/>
  <c r="BU408" i="92"/>
  <c r="BL399" i="92"/>
  <c r="BU399" i="92"/>
  <c r="CB399" i="92"/>
  <c r="BX400" i="92"/>
  <c r="BQ401" i="92"/>
  <c r="BM402" i="92"/>
  <c r="CB402" i="92"/>
  <c r="BX403" i="92"/>
  <c r="BQ404" i="92"/>
  <c r="BM405" i="92"/>
  <c r="CB405" i="92"/>
  <c r="CA406" i="92"/>
  <c r="BZ408" i="92"/>
  <c r="BJ400" i="92"/>
  <c r="BY400" i="92"/>
  <c r="BU401" i="92"/>
  <c r="BN402" i="92"/>
  <c r="BJ403" i="92"/>
  <c r="BY403" i="92"/>
  <c r="BU404" i="92"/>
  <c r="BN405" i="92"/>
  <c r="BJ406" i="92"/>
  <c r="CB406" i="92"/>
  <c r="CA408" i="92"/>
  <c r="BM399" i="92"/>
  <c r="BV399" i="92"/>
  <c r="BK400" i="92"/>
  <c r="BZ400" i="92"/>
  <c r="BV401" i="92"/>
  <c r="BO402" i="92"/>
  <c r="BK403" i="92"/>
  <c r="BZ403" i="92"/>
  <c r="BV404" i="92"/>
  <c r="BO405" i="92"/>
  <c r="BK406" i="92"/>
  <c r="BJ407" i="92"/>
  <c r="BL400" i="92"/>
  <c r="CA400" i="92"/>
  <c r="BW401" i="92"/>
  <c r="BP402" i="92"/>
  <c r="BL403" i="92"/>
  <c r="CA403" i="92"/>
  <c r="BW404" i="92"/>
  <c r="BP405" i="92"/>
  <c r="BL406" i="92"/>
  <c r="BM407" i="92"/>
  <c r="BN399" i="92"/>
  <c r="BW399" i="92"/>
  <c r="BM400" i="92"/>
  <c r="CB400" i="92"/>
  <c r="BX401" i="92"/>
  <c r="BQ402" i="92"/>
  <c r="BM403" i="92"/>
  <c r="CB403" i="92"/>
  <c r="BX404" i="92"/>
  <c r="BQ405" i="92"/>
  <c r="BM406" i="92"/>
  <c r="BO407" i="92"/>
  <c r="BN400" i="92"/>
  <c r="BJ401" i="92"/>
  <c r="BY401" i="92"/>
  <c r="BU402" i="92"/>
  <c r="BN403" i="92"/>
  <c r="BJ404" i="92"/>
  <c r="BY404" i="92"/>
  <c r="BU405" i="92"/>
  <c r="BN406" i="92"/>
  <c r="BP407" i="92"/>
  <c r="BX406" i="92"/>
  <c r="BK407" i="92"/>
  <c r="BQ407" i="92"/>
  <c r="BZ407" i="92"/>
  <c r="BM408" i="92"/>
  <c r="BV408" i="92"/>
  <c r="CB408" i="92"/>
  <c r="BP406" i="92"/>
  <c r="BY406" i="92"/>
  <c r="BL407" i="92"/>
  <c r="BU407" i="92"/>
  <c r="CA407" i="92"/>
  <c r="BN408" i="92"/>
  <c r="BW408" i="92"/>
  <c r="BV407" i="92"/>
  <c r="CB407" i="92"/>
  <c r="BO408" i="92"/>
  <c r="BX408" i="92"/>
  <c r="BN407" i="92"/>
  <c r="BW407" i="92"/>
  <c r="BJ408" i="92"/>
  <c r="BP408" i="92"/>
  <c r="BY408" i="92"/>
  <c r="BI12" i="92"/>
  <c r="BT12" i="92"/>
  <c r="CE12" i="92"/>
  <c r="BL382" i="92"/>
  <c r="BM382" i="92"/>
  <c r="BJ382" i="92"/>
  <c r="BK381" i="92"/>
  <c r="BX11" i="92" a="1"/>
  <c r="BN11" i="92" a="1"/>
  <c r="BY11" i="92" a="1"/>
  <c r="DC110" i="72" a="1"/>
  <c r="CG10" i="92" a="1"/>
  <c r="BN10" i="92" a="1"/>
  <c r="CY110" i="72" a="1"/>
  <c r="CI11" i="92" a="1"/>
  <c r="CJ12" i="92" a="1"/>
  <c r="BJ10" i="92" a="1"/>
  <c r="DB110" i="72" a="1"/>
  <c r="CH10" i="92" a="1"/>
  <c r="DA110" i="72" a="1"/>
  <c r="BV11" i="92" a="1"/>
  <c r="BL11" i="92" a="1"/>
  <c r="BW11" i="92" a="1"/>
  <c r="BK11" i="92" a="1"/>
  <c r="CH11" i="92" a="1"/>
  <c r="BM10" i="92" a="1"/>
  <c r="CX110" i="72" a="1"/>
  <c r="BX10" i="92" a="1"/>
  <c r="CZ110" i="72" a="1"/>
  <c r="CJ11" i="92" a="1"/>
  <c r="BJ11" i="92" a="1"/>
  <c r="BM11" i="92" a="1"/>
  <c r="CJ10" i="92" a="1"/>
  <c r="CI10" i="92" a="1"/>
  <c r="CG11" i="92" a="1"/>
  <c r="BL10" i="92" a="1"/>
  <c r="BV12" i="92" a="1"/>
  <c r="CH10" i="92" l="1"/>
  <c r="BL10" i="92"/>
  <c r="BN10" i="92"/>
  <c r="F302" i="89"/>
  <c r="F200" i="89"/>
  <c r="F98" i="89"/>
  <c r="F285" i="89"/>
  <c r="F183" i="89"/>
  <c r="F81" i="89"/>
  <c r="F268" i="89"/>
  <c r="F166" i="89"/>
  <c r="F64" i="89"/>
  <c r="F251" i="89"/>
  <c r="F149" i="89"/>
  <c r="F47" i="89"/>
  <c r="F336" i="89"/>
  <c r="F234" i="89"/>
  <c r="F132" i="89"/>
  <c r="F30" i="89"/>
  <c r="F217" i="89"/>
  <c r="F13" i="89"/>
  <c r="F319" i="89"/>
  <c r="F115" i="89"/>
  <c r="N1027" i="89"/>
  <c r="N925" i="89"/>
  <c r="N823" i="89"/>
  <c r="N721" i="89"/>
  <c r="N613" i="89"/>
  <c r="N511" i="89"/>
  <c r="N409" i="89"/>
  <c r="N301" i="89"/>
  <c r="N199" i="89"/>
  <c r="N97" i="89"/>
  <c r="N1010" i="89"/>
  <c r="N908" i="89"/>
  <c r="N806" i="89"/>
  <c r="N704" i="89"/>
  <c r="N596" i="89"/>
  <c r="N494" i="89"/>
  <c r="N392" i="89"/>
  <c r="N284" i="89"/>
  <c r="N182" i="89"/>
  <c r="N80" i="89"/>
  <c r="N993" i="89"/>
  <c r="N891" i="89"/>
  <c r="N789" i="89"/>
  <c r="N681" i="89"/>
  <c r="N579" i="89"/>
  <c r="N477" i="89"/>
  <c r="N375" i="89"/>
  <c r="N267" i="89"/>
  <c r="N165" i="89"/>
  <c r="N63" i="89"/>
  <c r="N976" i="89"/>
  <c r="N874" i="89"/>
  <c r="N772" i="89"/>
  <c r="N664" i="89"/>
  <c r="N562" i="89"/>
  <c r="N460" i="89"/>
  <c r="N358" i="89"/>
  <c r="N250" i="89"/>
  <c r="N148" i="89"/>
  <c r="N46" i="89"/>
  <c r="N959" i="89"/>
  <c r="N857" i="89"/>
  <c r="N755" i="89"/>
  <c r="N647" i="89"/>
  <c r="N545" i="89"/>
  <c r="N443" i="89"/>
  <c r="N335" i="89"/>
  <c r="N233" i="89"/>
  <c r="N131" i="89"/>
  <c r="N29" i="89"/>
  <c r="N942" i="89"/>
  <c r="N840" i="89"/>
  <c r="N738" i="89"/>
  <c r="N630" i="89"/>
  <c r="N528" i="89"/>
  <c r="N426" i="89"/>
  <c r="N318" i="89"/>
  <c r="N216" i="89"/>
  <c r="N114" i="89"/>
  <c r="N12" i="89"/>
  <c r="CZ110" i="72"/>
  <c r="CY110" i="72"/>
  <c r="DA110" i="72"/>
  <c r="CX110" i="72"/>
  <c r="DC19" i="72" s="1"/>
  <c r="DB110" i="72"/>
  <c r="DC110" i="72"/>
  <c r="DL30" i="72"/>
  <c r="DM30" i="72"/>
  <c r="CG11" i="92"/>
  <c r="BV11" i="92"/>
  <c r="BX10" i="92"/>
  <c r="BM10" i="92"/>
  <c r="BX11" i="92"/>
  <c r="BY11" i="92"/>
  <c r="CJ10" i="92"/>
  <c r="BL11" i="92"/>
  <c r="BM11" i="92"/>
  <c r="CJ12" i="92"/>
  <c r="BN11" i="92"/>
  <c r="BV12" i="92"/>
  <c r="CH11" i="92"/>
  <c r="BJ11" i="92"/>
  <c r="BW11" i="92"/>
  <c r="CI11" i="92"/>
  <c r="CG10" i="92"/>
  <c r="BJ10" i="92"/>
  <c r="CJ11" i="92"/>
  <c r="CI10" i="92"/>
  <c r="BK11" i="92"/>
  <c r="BK382" i="92"/>
  <c r="BM383" i="92"/>
  <c r="BJ383" i="92"/>
  <c r="BL383" i="92"/>
  <c r="BU427" i="92"/>
  <c r="BJ427" i="92"/>
  <c r="BT13" i="92"/>
  <c r="BU411" i="92"/>
  <c r="BJ411" i="92"/>
  <c r="BU443" i="92"/>
  <c r="BJ443" i="92"/>
  <c r="BI13" i="92"/>
  <c r="CE13" i="92"/>
  <c r="BL12" i="92" a="1"/>
  <c r="BN12" i="92" a="1"/>
  <c r="BY12" i="92" a="1"/>
  <c r="BK12" i="92" a="1"/>
  <c r="CI12" i="92" a="1"/>
  <c r="CH12" i="92" a="1"/>
  <c r="CP44" i="92" a="1"/>
  <c r="BJ12" i="92" a="1"/>
  <c r="CG12" i="92" a="1"/>
  <c r="BX12" i="92" a="1"/>
  <c r="BU12" i="92" a="1"/>
  <c r="CF12" i="92" a="1"/>
  <c r="BM12" i="92" a="1"/>
  <c r="BW12" i="92" a="1"/>
  <c r="BN446" i="92" a="1"/>
  <c r="S101" i="36" l="1"/>
  <c r="CP44" i="92"/>
  <c r="P162" i="88" s="1"/>
  <c r="BU12" i="92"/>
  <c r="CF12" i="92"/>
  <c r="CG12" i="92"/>
  <c r="CK12" i="92" s="1"/>
  <c r="DH25" i="72"/>
  <c r="DH19" i="72"/>
  <c r="DH20" i="72"/>
  <c r="DH21" i="72"/>
  <c r="DH22" i="72"/>
  <c r="DH23" i="72"/>
  <c r="DH24" i="72"/>
  <c r="DG25" i="72"/>
  <c r="DG19" i="72"/>
  <c r="DG20" i="72"/>
  <c r="DG21" i="72"/>
  <c r="DG22" i="72"/>
  <c r="DG23" i="72"/>
  <c r="DG24" i="72"/>
  <c r="DF25" i="72"/>
  <c r="W109" i="36" s="1"/>
  <c r="DF19" i="72"/>
  <c r="DF20" i="72"/>
  <c r="DF21" i="72"/>
  <c r="DF22" i="72"/>
  <c r="DF23" i="72"/>
  <c r="DF24" i="72"/>
  <c r="DE25" i="72"/>
  <c r="DE19" i="72"/>
  <c r="DE20" i="72"/>
  <c r="DE21" i="72"/>
  <c r="DE22" i="72"/>
  <c r="DE23" i="72"/>
  <c r="DE24" i="72"/>
  <c r="DD25" i="72"/>
  <c r="DD19" i="72"/>
  <c r="DD20" i="72"/>
  <c r="DD21" i="72"/>
  <c r="DD22" i="72"/>
  <c r="DD23" i="72"/>
  <c r="DD24" i="72"/>
  <c r="DC18" i="72"/>
  <c r="DC25" i="72"/>
  <c r="DC20" i="72"/>
  <c r="DC21" i="72"/>
  <c r="DC22" i="72"/>
  <c r="DC23" i="72"/>
  <c r="DC24" i="72"/>
  <c r="AA101" i="36"/>
  <c r="Y101" i="36"/>
  <c r="DH38" i="72"/>
  <c r="DH18" i="72"/>
  <c r="DG18" i="72"/>
  <c r="DF18" i="72"/>
  <c r="DE18" i="72"/>
  <c r="DD18" i="72"/>
  <c r="W101" i="36"/>
  <c r="Q101" i="36"/>
  <c r="U101" i="36"/>
  <c r="AA134" i="49"/>
  <c r="S134" i="49"/>
  <c r="O134" i="49"/>
  <c r="W134" i="49"/>
  <c r="Q134" i="49"/>
  <c r="M134" i="49"/>
  <c r="Y134" i="49"/>
  <c r="U134" i="49"/>
  <c r="AA117" i="49"/>
  <c r="W117" i="49"/>
  <c r="S117" i="49"/>
  <c r="O117" i="49"/>
  <c r="Y117" i="49"/>
  <c r="U117" i="49"/>
  <c r="M117" i="49"/>
  <c r="Q117" i="49"/>
  <c r="S100" i="49"/>
  <c r="O100" i="49"/>
  <c r="AA100" i="49"/>
  <c r="W100" i="49"/>
  <c r="Q100" i="49"/>
  <c r="M100" i="49"/>
  <c r="Y100" i="49"/>
  <c r="U100" i="49"/>
  <c r="AA83" i="49"/>
  <c r="W83" i="49"/>
  <c r="O83" i="49"/>
  <c r="S83" i="49"/>
  <c r="Y83" i="49"/>
  <c r="U83" i="49"/>
  <c r="Q83" i="49"/>
  <c r="M83" i="49"/>
  <c r="AA66" i="49"/>
  <c r="O66" i="49"/>
  <c r="W66" i="49"/>
  <c r="S66" i="49"/>
  <c r="Y66" i="49"/>
  <c r="U66" i="49"/>
  <c r="Q66" i="49"/>
  <c r="M66" i="49"/>
  <c r="AA49" i="49"/>
  <c r="W49" i="49"/>
  <c r="S49" i="49"/>
  <c r="O49" i="49"/>
  <c r="Q49" i="49"/>
  <c r="Y49" i="49"/>
  <c r="M49" i="49"/>
  <c r="U49" i="49"/>
  <c r="AA32" i="49"/>
  <c r="W32" i="49"/>
  <c r="S32" i="49"/>
  <c r="O32" i="49"/>
  <c r="Y15" i="49"/>
  <c r="Y32" i="49"/>
  <c r="U32" i="49"/>
  <c r="Q32" i="49"/>
  <c r="M32" i="49"/>
  <c r="Q15" i="49"/>
  <c r="U15" i="49"/>
  <c r="M15" i="49"/>
  <c r="BX12" i="92"/>
  <c r="BY12" i="92"/>
  <c r="BL12" i="92"/>
  <c r="BM12" i="92"/>
  <c r="BN12" i="92"/>
  <c r="BJ12" i="92"/>
  <c r="BK12" i="92"/>
  <c r="CH12" i="92"/>
  <c r="BN446" i="92"/>
  <c r="CI12" i="92"/>
  <c r="BW12" i="92"/>
  <c r="CE14" i="92"/>
  <c r="BT14" i="92"/>
  <c r="BL384" i="92"/>
  <c r="BK383" i="92"/>
  <c r="BK438" i="92"/>
  <c r="BK435" i="92"/>
  <c r="BK432" i="92"/>
  <c r="BJ438" i="92"/>
  <c r="BJ435" i="92"/>
  <c r="BJ432" i="92"/>
  <c r="BM439" i="92"/>
  <c r="BM436" i="92"/>
  <c r="BM433" i="92"/>
  <c r="BM430" i="92"/>
  <c r="BL439" i="92"/>
  <c r="BL436" i="92"/>
  <c r="BL433" i="92"/>
  <c r="BL430" i="92"/>
  <c r="BK439" i="92"/>
  <c r="BK436" i="92"/>
  <c r="BK433" i="92"/>
  <c r="BK430" i="92"/>
  <c r="BJ439" i="92"/>
  <c r="BJ436" i="92"/>
  <c r="BJ433" i="92"/>
  <c r="BJ430" i="92"/>
  <c r="BM437" i="92"/>
  <c r="BM434" i="92"/>
  <c r="BM431" i="92"/>
  <c r="BL437" i="92"/>
  <c r="BL434" i="92"/>
  <c r="BL431" i="92"/>
  <c r="BK437" i="92"/>
  <c r="BK434" i="92"/>
  <c r="BK431" i="92"/>
  <c r="BJ437" i="92"/>
  <c r="BJ434" i="92"/>
  <c r="BJ431" i="92"/>
  <c r="BM438" i="92"/>
  <c r="BM435" i="92"/>
  <c r="BM432" i="92"/>
  <c r="BL432" i="92"/>
  <c r="BL438" i="92"/>
  <c r="BL435" i="92"/>
  <c r="BX438" i="92"/>
  <c r="BX435" i="92"/>
  <c r="BX432" i="92"/>
  <c r="BW438" i="92"/>
  <c r="BW435" i="92"/>
  <c r="BW432" i="92"/>
  <c r="BV438" i="92"/>
  <c r="BV435" i="92"/>
  <c r="BV432" i="92"/>
  <c r="BU438" i="92"/>
  <c r="BU435" i="92"/>
  <c r="BU432" i="92"/>
  <c r="BX439" i="92"/>
  <c r="BX436" i="92"/>
  <c r="BX433" i="92"/>
  <c r="BX430" i="92"/>
  <c r="BW439" i="92"/>
  <c r="BW436" i="92"/>
  <c r="BW433" i="92"/>
  <c r="BW430" i="92"/>
  <c r="BV439" i="92"/>
  <c r="BV436" i="92"/>
  <c r="BV433" i="92"/>
  <c r="BV430" i="92"/>
  <c r="BU439" i="92"/>
  <c r="BU436" i="92"/>
  <c r="BU433" i="92"/>
  <c r="BU430" i="92"/>
  <c r="BX437" i="92"/>
  <c r="BX434" i="92"/>
  <c r="BX431" i="92"/>
  <c r="BW437" i="92"/>
  <c r="BW434" i="92"/>
  <c r="BW431" i="92"/>
  <c r="BV437" i="92"/>
  <c r="BV434" i="92"/>
  <c r="BV431" i="92"/>
  <c r="BU431" i="92"/>
  <c r="BU437" i="92"/>
  <c r="BU434" i="92"/>
  <c r="BI14" i="92"/>
  <c r="BJ384" i="92"/>
  <c r="BM454" i="92"/>
  <c r="BM451" i="92"/>
  <c r="BM448" i="92"/>
  <c r="BL454" i="92"/>
  <c r="BL451" i="92"/>
  <c r="BL448" i="92"/>
  <c r="BK454" i="92"/>
  <c r="BK451" i="92"/>
  <c r="BK448" i="92"/>
  <c r="BJ454" i="92"/>
  <c r="BJ451" i="92"/>
  <c r="BJ448" i="92"/>
  <c r="BM455" i="92"/>
  <c r="BM452" i="92"/>
  <c r="BM449" i="92"/>
  <c r="BM446" i="92"/>
  <c r="BL455" i="92"/>
  <c r="BL452" i="92"/>
  <c r="BL449" i="92"/>
  <c r="BL446" i="92"/>
  <c r="BK455" i="92"/>
  <c r="BK452" i="92"/>
  <c r="BK449" i="92"/>
  <c r="BK446" i="92"/>
  <c r="BJ455" i="92"/>
  <c r="BJ452" i="92"/>
  <c r="BJ449" i="92"/>
  <c r="BJ446" i="92"/>
  <c r="BM453" i="92"/>
  <c r="BM450" i="92"/>
  <c r="BM447" i="92"/>
  <c r="BL453" i="92"/>
  <c r="BL450" i="92"/>
  <c r="BL447" i="92"/>
  <c r="BK453" i="92"/>
  <c r="BK450" i="92"/>
  <c r="BK447" i="92"/>
  <c r="BJ447" i="92"/>
  <c r="BJ453" i="92"/>
  <c r="BJ450" i="92"/>
  <c r="BV453" i="92"/>
  <c r="BV450" i="92"/>
  <c r="BV447" i="92"/>
  <c r="BU453" i="92"/>
  <c r="BU450" i="92"/>
  <c r="BU447" i="92"/>
  <c r="BX454" i="92"/>
  <c r="BX451" i="92"/>
  <c r="BX448" i="92"/>
  <c r="BW454" i="92"/>
  <c r="BW451" i="92"/>
  <c r="BW448" i="92"/>
  <c r="BV454" i="92"/>
  <c r="BV451" i="92"/>
  <c r="BV448" i="92"/>
  <c r="BU454" i="92"/>
  <c r="BU451" i="92"/>
  <c r="BU448" i="92"/>
  <c r="BX455" i="92"/>
  <c r="BX452" i="92"/>
  <c r="BX449" i="92"/>
  <c r="BX446" i="92"/>
  <c r="BW455" i="92"/>
  <c r="BW452" i="92"/>
  <c r="BW449" i="92"/>
  <c r="BW446" i="92"/>
  <c r="BV455" i="92"/>
  <c r="BV452" i="92"/>
  <c r="BV449" i="92"/>
  <c r="BV446" i="92"/>
  <c r="BU455" i="92"/>
  <c r="BU452" i="92"/>
  <c r="BU449" i="92"/>
  <c r="BU446" i="92"/>
  <c r="BX453" i="92"/>
  <c r="BX450" i="92"/>
  <c r="BX447" i="92"/>
  <c r="BW453" i="92"/>
  <c r="BW450" i="92"/>
  <c r="BW447" i="92"/>
  <c r="BM423" i="92"/>
  <c r="BM420" i="92"/>
  <c r="BM417" i="92"/>
  <c r="BM414" i="92"/>
  <c r="BL423" i="92"/>
  <c r="BL420" i="92"/>
  <c r="BL417" i="92"/>
  <c r="BL414" i="92"/>
  <c r="BK423" i="92"/>
  <c r="BK420" i="92"/>
  <c r="BK417" i="92"/>
  <c r="BK414" i="92"/>
  <c r="BJ423" i="92"/>
  <c r="BJ420" i="92"/>
  <c r="BJ417" i="92"/>
  <c r="BJ414" i="92"/>
  <c r="BM421" i="92"/>
  <c r="BM418" i="92"/>
  <c r="BM415" i="92"/>
  <c r="BL421" i="92"/>
  <c r="BL418" i="92"/>
  <c r="BL415" i="92"/>
  <c r="BK421" i="92"/>
  <c r="BK418" i="92"/>
  <c r="BK415" i="92"/>
  <c r="BJ421" i="92"/>
  <c r="BJ418" i="92"/>
  <c r="BJ415" i="92"/>
  <c r="BM422" i="92"/>
  <c r="BM419" i="92"/>
  <c r="BM416" i="92"/>
  <c r="BL422" i="92"/>
  <c r="BL419" i="92"/>
  <c r="BK422" i="92"/>
  <c r="BK419" i="92"/>
  <c r="BK416" i="92"/>
  <c r="BJ419" i="92"/>
  <c r="BL416" i="92"/>
  <c r="BJ416" i="92"/>
  <c r="BJ422" i="92"/>
  <c r="BV422" i="92"/>
  <c r="BV419" i="92"/>
  <c r="BV416" i="92"/>
  <c r="BU422" i="92"/>
  <c r="BU419" i="92"/>
  <c r="BU416" i="92"/>
  <c r="BX423" i="92"/>
  <c r="BX420" i="92"/>
  <c r="BX417" i="92"/>
  <c r="BX414" i="92"/>
  <c r="BW423" i="92"/>
  <c r="BW420" i="92"/>
  <c r="BW417" i="92"/>
  <c r="BW414" i="92"/>
  <c r="BV423" i="92"/>
  <c r="BV420" i="92"/>
  <c r="BV417" i="92"/>
  <c r="BV414" i="92"/>
  <c r="BU423" i="92"/>
  <c r="BU420" i="92"/>
  <c r="BU417" i="92"/>
  <c r="BU414" i="92"/>
  <c r="BX421" i="92"/>
  <c r="BX418" i="92"/>
  <c r="BX415" i="92"/>
  <c r="BW421" i="92"/>
  <c r="BW418" i="92"/>
  <c r="BW415" i="92"/>
  <c r="BV421" i="92"/>
  <c r="BV418" i="92"/>
  <c r="BV415" i="92"/>
  <c r="BU421" i="92"/>
  <c r="BU418" i="92"/>
  <c r="BX422" i="92"/>
  <c r="BX419" i="92"/>
  <c r="BX416" i="92"/>
  <c r="BW419" i="92"/>
  <c r="BW416" i="92"/>
  <c r="BW422" i="92"/>
  <c r="BU415" i="92"/>
  <c r="BM384" i="92"/>
  <c r="CK10" i="92"/>
  <c r="CK11" i="92"/>
  <c r="BU13" i="92" a="1"/>
  <c r="BX13" i="92" a="1"/>
  <c r="CG13" i="92" a="1"/>
  <c r="CI13" i="92" a="1"/>
  <c r="CJ13" i="92" a="1"/>
  <c r="BL13" i="92" a="1"/>
  <c r="BY13" i="92" a="1"/>
  <c r="CH13" i="92" a="1"/>
  <c r="BW13" i="92" a="1"/>
  <c r="BJ13" i="92" a="1"/>
  <c r="CF13" i="92" a="1"/>
  <c r="BN13" i="92" a="1"/>
  <c r="BK13" i="92" a="1"/>
  <c r="BV13" i="92" a="1"/>
  <c r="BM13" i="92" a="1"/>
  <c r="Q170" i="88" l="1"/>
  <c r="U705" i="89"/>
  <c r="Q171" i="88"/>
  <c r="U706" i="89"/>
  <c r="Q172" i="88"/>
  <c r="U707" i="89"/>
  <c r="DJ25" i="72"/>
  <c r="DJ24" i="72"/>
  <c r="DJ23" i="72"/>
  <c r="DJ22" i="72"/>
  <c r="DJ21" i="72"/>
  <c r="DJ20" i="72"/>
  <c r="DJ19" i="72"/>
  <c r="DI25" i="72"/>
  <c r="DM25" i="72" s="1"/>
  <c r="DI24" i="72"/>
  <c r="DI23" i="72"/>
  <c r="DI22" i="72"/>
  <c r="DI21" i="72"/>
  <c r="DI20" i="72"/>
  <c r="DI19" i="72"/>
  <c r="W103" i="36"/>
  <c r="W105" i="36"/>
  <c r="W104" i="36"/>
  <c r="W108" i="36"/>
  <c r="Q107" i="36"/>
  <c r="S107" i="36"/>
  <c r="U107" i="36"/>
  <c r="W107" i="36"/>
  <c r="U108" i="36"/>
  <c r="Q106" i="36"/>
  <c r="S106" i="36"/>
  <c r="U106" i="36"/>
  <c r="W106" i="36"/>
  <c r="Q105" i="36"/>
  <c r="S105" i="36"/>
  <c r="U105" i="36"/>
  <c r="Q108" i="36"/>
  <c r="Q104" i="36"/>
  <c r="U104" i="36"/>
  <c r="S104" i="36"/>
  <c r="Q103" i="36"/>
  <c r="S103" i="36"/>
  <c r="U103" i="36"/>
  <c r="S108" i="36"/>
  <c r="Q109" i="36"/>
  <c r="S109" i="36"/>
  <c r="U109" i="36"/>
  <c r="DL41" i="72"/>
  <c r="DM41" i="72"/>
  <c r="U102" i="36"/>
  <c r="W102" i="36"/>
  <c r="S102" i="36"/>
  <c r="Q102" i="36"/>
  <c r="DJ18" i="72"/>
  <c r="DI18" i="72"/>
  <c r="BK13" i="92"/>
  <c r="BV13" i="92"/>
  <c r="BL13" i="92"/>
  <c r="BW13" i="92"/>
  <c r="BM13" i="92"/>
  <c r="BX13" i="92"/>
  <c r="BU13" i="92"/>
  <c r="BN13" i="92"/>
  <c r="BY13" i="92"/>
  <c r="BJ13" i="92"/>
  <c r="CF13" i="92"/>
  <c r="CG13" i="92"/>
  <c r="CK13" i="92" s="1"/>
  <c r="CJ13" i="92"/>
  <c r="CH13" i="92"/>
  <c r="CI13" i="92"/>
  <c r="BM385" i="92"/>
  <c r="BP446" i="92"/>
  <c r="BK384" i="92"/>
  <c r="BI15" i="92"/>
  <c r="BT15" i="92"/>
  <c r="BL385" i="92"/>
  <c r="BJ385" i="92"/>
  <c r="CE15" i="92"/>
  <c r="CI14" i="92" a="1"/>
  <c r="CF14" i="92" a="1"/>
  <c r="CG14" i="92" a="1"/>
  <c r="BU14" i="92" a="1"/>
  <c r="BX14" i="92" a="1"/>
  <c r="CH14" i="92" a="1"/>
  <c r="BL14" i="92" a="1"/>
  <c r="BM14" i="92" a="1"/>
  <c r="BV14" i="92" a="1"/>
  <c r="BY14" i="92" a="1"/>
  <c r="CJ14" i="92" a="1"/>
  <c r="BN14" i="92" a="1"/>
  <c r="BK14" i="92" a="1"/>
  <c r="BJ14" i="92" a="1"/>
  <c r="BW14" i="92" a="1"/>
  <c r="DK20" i="72" l="1"/>
  <c r="Q173" i="88"/>
  <c r="U708" i="89"/>
  <c r="BM468" i="92"/>
  <c r="Z57" i="88" s="1"/>
  <c r="DM19" i="72"/>
  <c r="DK19" i="72"/>
  <c r="DL19" i="72"/>
  <c r="DN19" i="72"/>
  <c r="DL20" i="72"/>
  <c r="DN20" i="72"/>
  <c r="DL21" i="72"/>
  <c r="DN21" i="72"/>
  <c r="DL22" i="72"/>
  <c r="DN22" i="72"/>
  <c r="DL23" i="72"/>
  <c r="DN23" i="72"/>
  <c r="DL24" i="72"/>
  <c r="DN24" i="72"/>
  <c r="DL25" i="72"/>
  <c r="DN25" i="72"/>
  <c r="DM20" i="72"/>
  <c r="DK21" i="72"/>
  <c r="DM21" i="72"/>
  <c r="DK22" i="72"/>
  <c r="DM22" i="72"/>
  <c r="DK23" i="72"/>
  <c r="DM23" i="72"/>
  <c r="DK24" i="72"/>
  <c r="DM24" i="72"/>
  <c r="DK25" i="72"/>
  <c r="AA103" i="36"/>
  <c r="AA104" i="36"/>
  <c r="Y104" i="36"/>
  <c r="Y106" i="36"/>
  <c r="AA105" i="36"/>
  <c r="Y103" i="36"/>
  <c r="AA106" i="36"/>
  <c r="Y108" i="36"/>
  <c r="AA107" i="36"/>
  <c r="DN18" i="72"/>
  <c r="AA108" i="36"/>
  <c r="DM18" i="72"/>
  <c r="Y105" i="36"/>
  <c r="Y107" i="36"/>
  <c r="Y109" i="36"/>
  <c r="AA109" i="36"/>
  <c r="AA102" i="36"/>
  <c r="DL18" i="72"/>
  <c r="Y102" i="36"/>
  <c r="DK18" i="72"/>
  <c r="CJ14" i="92"/>
  <c r="BX14" i="92"/>
  <c r="CH14" i="92"/>
  <c r="BY14" i="92"/>
  <c r="BM14" i="92"/>
  <c r="BN14" i="92"/>
  <c r="BL14" i="92"/>
  <c r="BJ14" i="92"/>
  <c r="BK14" i="92"/>
  <c r="BO14" i="92" s="1"/>
  <c r="U17" i="89" s="1"/>
  <c r="CG14" i="92"/>
  <c r="CK14" i="92" s="1"/>
  <c r="CI14" i="92"/>
  <c r="BW14" i="92"/>
  <c r="BU14" i="92"/>
  <c r="CF14" i="92"/>
  <c r="BV14" i="92"/>
  <c r="BT16" i="92"/>
  <c r="BM386" i="92"/>
  <c r="BL386" i="92"/>
  <c r="BJ386" i="92"/>
  <c r="CE16" i="92"/>
  <c r="BI16" i="92"/>
  <c r="BK385" i="92"/>
  <c r="CJ15" i="92" a="1"/>
  <c r="BY15" i="92" a="1"/>
  <c r="BL15" i="92" a="1"/>
  <c r="CH15" i="92" a="1"/>
  <c r="BM15" i="92" a="1"/>
  <c r="CI15" i="92" a="1"/>
  <c r="CG15" i="92" a="1"/>
  <c r="BX15" i="92" a="1"/>
  <c r="CF15" i="92" a="1"/>
  <c r="BV15" i="92" a="1"/>
  <c r="BW15" i="92" a="1"/>
  <c r="BU15" i="92" a="1"/>
  <c r="BK15" i="92" a="1"/>
  <c r="BN15" i="92" a="1"/>
  <c r="BJ15" i="92" a="1"/>
  <c r="Q174" i="88" l="1"/>
  <c r="U709" i="89"/>
  <c r="Q96" i="88"/>
  <c r="DI57" i="72"/>
  <c r="CI15" i="92"/>
  <c r="CF15" i="92"/>
  <c r="CH15" i="92"/>
  <c r="BJ15" i="92"/>
  <c r="BK15" i="92"/>
  <c r="BO15" i="92" s="1"/>
  <c r="U18" i="89" s="1"/>
  <c r="BV15" i="92"/>
  <c r="CJ15" i="92"/>
  <c r="BU15" i="92"/>
  <c r="BX15" i="92"/>
  <c r="BW15" i="92"/>
  <c r="BY15" i="92"/>
  <c r="BL15" i="92"/>
  <c r="BM15" i="92"/>
  <c r="BN15" i="92"/>
  <c r="CG15" i="92"/>
  <c r="CK15" i="92" s="1"/>
  <c r="BK386" i="92"/>
  <c r="CE17" i="92"/>
  <c r="BJ387" i="92"/>
  <c r="BI17" i="92"/>
  <c r="BM387" i="92"/>
  <c r="BL387" i="92"/>
  <c r="BT17" i="92"/>
  <c r="CJ16" i="92" a="1"/>
  <c r="CI16" i="92" a="1"/>
  <c r="BK16" i="92" a="1"/>
  <c r="BJ16" i="92" a="1"/>
  <c r="CF16" i="92" a="1"/>
  <c r="BW16" i="92" a="1"/>
  <c r="BM16" i="92" a="1"/>
  <c r="BV16" i="92" a="1"/>
  <c r="BY16" i="92" a="1"/>
  <c r="BU16" i="92" a="1"/>
  <c r="BN16" i="92" a="1"/>
  <c r="BX16" i="92" a="1"/>
  <c r="CH16" i="92" a="1"/>
  <c r="CG16" i="92" a="1"/>
  <c r="BL16" i="92" a="1"/>
  <c r="GL24" i="72" l="1"/>
  <c r="GS24" i="72" s="1"/>
  <c r="C133" i="93" s="1"/>
  <c r="Q175" i="88"/>
  <c r="U710" i="89"/>
  <c r="Q97" i="88"/>
  <c r="BW16" i="92"/>
  <c r="BV16" i="92"/>
  <c r="BZ16" i="92" s="1"/>
  <c r="CJ16" i="92"/>
  <c r="CH16" i="92"/>
  <c r="BX16" i="92"/>
  <c r="BJ16" i="92"/>
  <c r="CG16" i="92"/>
  <c r="CK16" i="92" s="1"/>
  <c r="BY16" i="92"/>
  <c r="CF16" i="92"/>
  <c r="BK16" i="92"/>
  <c r="BO16" i="92" s="1"/>
  <c r="U19" i="89" s="1"/>
  <c r="CI16" i="92"/>
  <c r="BU16" i="92"/>
  <c r="BM16" i="92"/>
  <c r="BL16" i="92"/>
  <c r="BN16" i="92"/>
  <c r="BM388" i="92"/>
  <c r="BJ388" i="92"/>
  <c r="BT18" i="92"/>
  <c r="BK387" i="92"/>
  <c r="BI18" i="92"/>
  <c r="CE18" i="92"/>
  <c r="BL388" i="92"/>
  <c r="BL17" i="92" a="1"/>
  <c r="BM17" i="92" a="1"/>
  <c r="BW17" i="92" a="1"/>
  <c r="BN17" i="92" a="1"/>
  <c r="BV17" i="92" a="1"/>
  <c r="BY17" i="92" a="1"/>
  <c r="BU17" i="92" a="1"/>
  <c r="CF17" i="92" a="1"/>
  <c r="CI17" i="92" a="1"/>
  <c r="BX17" i="92" a="1"/>
  <c r="CJ17" i="92" a="1"/>
  <c r="CG17" i="92" a="1"/>
  <c r="BK17" i="92" a="1"/>
  <c r="BJ17" i="92" a="1"/>
  <c r="CH17" i="92" a="1"/>
  <c r="Q176" i="88" l="1"/>
  <c r="U711" i="89"/>
  <c r="Q137" i="88"/>
  <c r="U365" i="89"/>
  <c r="Q98" i="88"/>
  <c r="BW17" i="92"/>
  <c r="BJ17" i="92"/>
  <c r="BX17" i="92"/>
  <c r="BL17" i="92"/>
  <c r="BM17" i="92"/>
  <c r="CJ17" i="92"/>
  <c r="CF17" i="92"/>
  <c r="BK17" i="92"/>
  <c r="BO17" i="92" s="1"/>
  <c r="U20" i="89" s="1"/>
  <c r="CG17" i="92"/>
  <c r="CK17" i="92" s="1"/>
  <c r="CH17" i="92"/>
  <c r="BV17" i="92"/>
  <c r="BZ17" i="92" s="1"/>
  <c r="CI17" i="92"/>
  <c r="BY17" i="92"/>
  <c r="BN17" i="92"/>
  <c r="BU17" i="92"/>
  <c r="BI19" i="92"/>
  <c r="BL389" i="92"/>
  <c r="BT19" i="92"/>
  <c r="BJ389" i="92"/>
  <c r="BK388" i="92"/>
  <c r="BM389" i="92"/>
  <c r="CE19" i="92"/>
  <c r="BL18" i="92" a="1"/>
  <c r="CI18" i="92" a="1"/>
  <c r="CG18" i="92" a="1"/>
  <c r="BX18" i="92" a="1"/>
  <c r="BY18" i="92" a="1"/>
  <c r="CF18" i="92" a="1"/>
  <c r="BM18" i="92" a="1"/>
  <c r="BV18" i="92" a="1"/>
  <c r="CJ18" i="92" a="1"/>
  <c r="CH18" i="92" a="1"/>
  <c r="BN18" i="92" a="1"/>
  <c r="BJ18" i="92" a="1"/>
  <c r="BK18" i="92" a="1"/>
  <c r="BU18" i="92" a="1"/>
  <c r="BW18" i="92" a="1"/>
  <c r="Q138" i="88" l="1"/>
  <c r="U366" i="89"/>
  <c r="Q177" i="88"/>
  <c r="U712" i="89"/>
  <c r="Q99" i="88"/>
  <c r="CH18" i="92"/>
  <c r="CI18" i="92"/>
  <c r="BN18" i="92"/>
  <c r="BJ18" i="92"/>
  <c r="BU18" i="92"/>
  <c r="BW18" i="92"/>
  <c r="BK18" i="92"/>
  <c r="BO18" i="92" s="1"/>
  <c r="U21" i="89" s="1"/>
  <c r="BV18" i="92"/>
  <c r="BZ18" i="92" s="1"/>
  <c r="BL18" i="92"/>
  <c r="BY18" i="92"/>
  <c r="BM18" i="92"/>
  <c r="CJ18" i="92"/>
  <c r="CF18" i="92"/>
  <c r="BX18" i="92"/>
  <c r="CG18" i="92"/>
  <c r="CK18" i="92" s="1"/>
  <c r="BJ390" i="92"/>
  <c r="BI20" i="92"/>
  <c r="BM390" i="92"/>
  <c r="BK389" i="92"/>
  <c r="BT20" i="92"/>
  <c r="CE20" i="92"/>
  <c r="BL390" i="92"/>
  <c r="BX19" i="92" a="1"/>
  <c r="BV19" i="92" a="1"/>
  <c r="BY19" i="92" a="1"/>
  <c r="BW19" i="92" a="1"/>
  <c r="BL19" i="92" a="1"/>
  <c r="CH19" i="92" a="1"/>
  <c r="CF19" i="92" a="1"/>
  <c r="BM19" i="92" a="1"/>
  <c r="CG19" i="92" a="1"/>
  <c r="BU19" i="92" a="1"/>
  <c r="BN19" i="92" a="1"/>
  <c r="BJ19" i="92" a="1"/>
  <c r="BK19" i="92" a="1"/>
  <c r="CJ19" i="92" a="1"/>
  <c r="CI19" i="92" a="1"/>
  <c r="Q178" i="88" l="1"/>
  <c r="U713" i="89"/>
  <c r="Q139" i="88"/>
  <c r="U367" i="89"/>
  <c r="Q100" i="88"/>
  <c r="BY19" i="92"/>
  <c r="BN19" i="92"/>
  <c r="CG19" i="92"/>
  <c r="CK19" i="92" s="1"/>
  <c r="BJ19" i="92"/>
  <c r="CF19" i="92"/>
  <c r="CH19" i="92"/>
  <c r="BK19" i="92"/>
  <c r="BO19" i="92" s="1"/>
  <c r="U22" i="89" s="1"/>
  <c r="CJ19" i="92"/>
  <c r="CI19" i="92"/>
  <c r="BL19" i="92"/>
  <c r="BM19" i="92"/>
  <c r="BW19" i="92"/>
  <c r="BX19" i="92"/>
  <c r="BU19" i="92"/>
  <c r="BV19" i="92"/>
  <c r="BZ19" i="92" s="1"/>
  <c r="BK390" i="92"/>
  <c r="BI21" i="92"/>
  <c r="CE21" i="92"/>
  <c r="BT21" i="92"/>
  <c r="CG20" i="92" a="1"/>
  <c r="CI20" i="92" a="1"/>
  <c r="BV20" i="92" a="1"/>
  <c r="CH20" i="92" a="1"/>
  <c r="BU20" i="92" a="1"/>
  <c r="BN20" i="92" a="1"/>
  <c r="BY20" i="92" a="1"/>
  <c r="BW20" i="92" a="1"/>
  <c r="BK20" i="92" a="1"/>
  <c r="CJ20" i="92" a="1"/>
  <c r="BX20" i="92" a="1"/>
  <c r="CF20" i="92" a="1"/>
  <c r="BL20" i="92" a="1"/>
  <c r="BJ20" i="92" a="1"/>
  <c r="BM20" i="92" a="1"/>
  <c r="Q140" i="88" l="1"/>
  <c r="U368" i="89"/>
  <c r="Q179" i="88"/>
  <c r="U714" i="89"/>
  <c r="Q101" i="88"/>
  <c r="BL20" i="92"/>
  <c r="BM20" i="92"/>
  <c r="BN20" i="92"/>
  <c r="CJ20" i="92"/>
  <c r="CF20" i="92"/>
  <c r="BW20" i="92"/>
  <c r="CG20" i="92"/>
  <c r="CK20" i="92" s="1"/>
  <c r="BV20" i="92"/>
  <c r="BZ20" i="92" s="1"/>
  <c r="CH20" i="92"/>
  <c r="CI20" i="92"/>
  <c r="BU20" i="92"/>
  <c r="BJ20" i="92"/>
  <c r="BX20" i="92"/>
  <c r="BY20" i="92"/>
  <c r="BK20" i="92"/>
  <c r="BO20" i="92" s="1"/>
  <c r="U23" i="89" s="1"/>
  <c r="BI26" i="92"/>
  <c r="CE26" i="92"/>
  <c r="BT26" i="92"/>
  <c r="BX21" i="92" a="1"/>
  <c r="BW21" i="92" a="1"/>
  <c r="BK353" i="92"/>
  <c r="BU21" i="92" a="1"/>
  <c r="BJ21" i="92" a="1"/>
  <c r="BK345" i="92"/>
  <c r="BL21" i="92" a="1"/>
  <c r="CF21" i="92" a="1"/>
  <c r="BY21" i="92" a="1"/>
  <c r="BN21" i="92" a="1"/>
  <c r="BV21" i="92" a="1"/>
  <c r="CI21" i="92" a="1"/>
  <c r="CJ21" i="92" a="1"/>
  <c r="CH21" i="92" a="1"/>
  <c r="BK21" i="92" a="1"/>
  <c r="BM21" i="92" a="1"/>
  <c r="BQ508" i="92"/>
  <c r="CG21" i="92" a="1"/>
  <c r="BK359" i="92" l="1"/>
  <c r="Q180" i="88"/>
  <c r="U715" i="89"/>
  <c r="Q141" i="88"/>
  <c r="U369" i="89"/>
  <c r="Q102" i="88"/>
  <c r="CJ21" i="92"/>
  <c r="BL21" i="92"/>
  <c r="CH21" i="92"/>
  <c r="BY21" i="92"/>
  <c r="BM21" i="92"/>
  <c r="BX21" i="92"/>
  <c r="BV21" i="92"/>
  <c r="BJ21" i="92"/>
  <c r="BU21" i="92"/>
  <c r="BK21" i="92"/>
  <c r="BW21" i="92"/>
  <c r="BN21" i="92"/>
  <c r="CI21" i="92"/>
  <c r="CG21" i="92"/>
  <c r="CF21" i="92"/>
  <c r="CE27" i="92"/>
  <c r="BI27" i="92"/>
  <c r="BT27" i="92"/>
  <c r="BK367" i="92"/>
  <c r="BY26" i="92" a="1"/>
  <c r="CG26" i="92" a="1"/>
  <c r="BY430" i="92" a="1"/>
  <c r="BX26" i="92" a="1"/>
  <c r="BL26" i="92" a="1"/>
  <c r="BN26" i="92" a="1"/>
  <c r="BV26" i="92" a="1"/>
  <c r="BY446" i="92" a="1"/>
  <c r="BW26" i="92" a="1"/>
  <c r="CJ26" i="92" a="1"/>
  <c r="CH26" i="92" a="1"/>
  <c r="BY414" i="92" a="1"/>
  <c r="BM26" i="92" a="1"/>
  <c r="BJ26" i="92" a="1"/>
  <c r="CI26" i="92" a="1"/>
  <c r="BK372" i="92" l="1"/>
  <c r="DO77" i="102" s="1"/>
  <c r="Q104" i="88"/>
  <c r="BY414" i="92"/>
  <c r="CA414" i="92" s="1"/>
  <c r="BJ26" i="92"/>
  <c r="BL26" i="92"/>
  <c r="BY430" i="92"/>
  <c r="CA430" i="92" s="1"/>
  <c r="BV26" i="92"/>
  <c r="BY446" i="92"/>
  <c r="CA446" i="92" s="1"/>
  <c r="BN26" i="92"/>
  <c r="CH26" i="92"/>
  <c r="BM26" i="92"/>
  <c r="CG26" i="92"/>
  <c r="CJ26" i="92"/>
  <c r="BY26" i="92"/>
  <c r="BX26" i="92"/>
  <c r="BW26" i="92"/>
  <c r="CI26" i="92"/>
  <c r="BT28" i="92"/>
  <c r="BI28" i="92"/>
  <c r="CK21" i="92"/>
  <c r="CE28" i="92"/>
  <c r="BK27" i="92" a="1"/>
  <c r="BV27" i="92" a="1"/>
  <c r="CH27" i="92" a="1"/>
  <c r="BY27" i="92" a="1"/>
  <c r="BO430" i="92" a="1"/>
  <c r="BL27" i="92" a="1"/>
  <c r="CG27" i="92" a="1"/>
  <c r="BM27" i="92" a="1"/>
  <c r="CI27" i="92" a="1"/>
  <c r="BX27" i="92" a="1"/>
  <c r="BO446" i="92" a="1"/>
  <c r="BJ27" i="92" a="1"/>
  <c r="BW27" i="92" a="1"/>
  <c r="BN27" i="92" a="1"/>
  <c r="CJ27" i="92" a="1"/>
  <c r="Q181" i="88" l="1"/>
  <c r="U716" i="89"/>
  <c r="BS468" i="92"/>
  <c r="AD57" i="88" s="1"/>
  <c r="BO468" i="92"/>
  <c r="N57" i="88" s="1"/>
  <c r="BQ468" i="92"/>
  <c r="V57" i="88" s="1"/>
  <c r="Q105" i="88"/>
  <c r="CG27" i="92"/>
  <c r="CK27" i="92" s="1"/>
  <c r="BY27" i="92"/>
  <c r="BO446" i="92"/>
  <c r="BQ446" i="92" s="1"/>
  <c r="BK27" i="92"/>
  <c r="BO27" i="92" s="1"/>
  <c r="U31" i="89" s="1"/>
  <c r="BW27" i="92"/>
  <c r="BV27" i="92"/>
  <c r="BZ27" i="92" s="1"/>
  <c r="CH27" i="92"/>
  <c r="CJ27" i="92"/>
  <c r="BM27" i="92"/>
  <c r="BX27" i="92"/>
  <c r="BO430" i="92"/>
  <c r="BQ430" i="92" s="1"/>
  <c r="BN27" i="92"/>
  <c r="CI27" i="92"/>
  <c r="BJ27" i="92"/>
  <c r="BL27" i="92"/>
  <c r="CK26" i="92"/>
  <c r="BT29" i="92"/>
  <c r="CE29" i="92"/>
  <c r="BZ26" i="92"/>
  <c r="BI29" i="92"/>
  <c r="BY28" i="92" a="1"/>
  <c r="CI28" i="92" a="1"/>
  <c r="BV28" i="92" a="1"/>
  <c r="CH28" i="92" a="1"/>
  <c r="BW28" i="92" a="1"/>
  <c r="CG28" i="92" a="1"/>
  <c r="BL28" i="92" a="1"/>
  <c r="BJ28" i="92" a="1"/>
  <c r="CJ28" i="92" a="1"/>
  <c r="BK28" i="92" a="1"/>
  <c r="BM28" i="92" a="1"/>
  <c r="BN28" i="92" a="1"/>
  <c r="BU28" i="92" a="1"/>
  <c r="CF28" i="92" a="1"/>
  <c r="BX28" i="92" a="1"/>
  <c r="S170" i="88" l="1"/>
  <c r="U722" i="89"/>
  <c r="S132" i="88"/>
  <c r="U377" i="89"/>
  <c r="S171" i="88"/>
  <c r="U723" i="89"/>
  <c r="S131" i="88"/>
  <c r="U376" i="89"/>
  <c r="S93" i="88"/>
  <c r="BL468" i="92"/>
  <c r="T57" i="88" s="1"/>
  <c r="BN468" i="92"/>
  <c r="AB57" i="88" s="1"/>
  <c r="BK28" i="92"/>
  <c r="BO28" i="92" s="1"/>
  <c r="U32" i="89" s="1"/>
  <c r="BN28" i="92"/>
  <c r="CH28" i="92"/>
  <c r="BW28" i="92"/>
  <c r="BV28" i="92"/>
  <c r="BZ28" i="92" s="1"/>
  <c r="BM28" i="92"/>
  <c r="CG28" i="92"/>
  <c r="CK28" i="92" s="1"/>
  <c r="CI28" i="92"/>
  <c r="BU28" i="92"/>
  <c r="BJ28" i="92"/>
  <c r="CF28" i="92"/>
  <c r="BY28" i="92"/>
  <c r="BL28" i="92"/>
  <c r="CJ28" i="92"/>
  <c r="BX28" i="92"/>
  <c r="BI30" i="92"/>
  <c r="CE30" i="92"/>
  <c r="BT30" i="92"/>
  <c r="BW29" i="92" a="1"/>
  <c r="CG29" i="92" a="1"/>
  <c r="CI29" i="92" a="1"/>
  <c r="BL29" i="92" a="1"/>
  <c r="BX29" i="92" a="1"/>
  <c r="CH29" i="92" a="1"/>
  <c r="BU29" i="92" a="1"/>
  <c r="BJ29" i="92" a="1"/>
  <c r="BK29" i="92" a="1"/>
  <c r="BM29" i="92" a="1"/>
  <c r="CF29" i="92" a="1"/>
  <c r="BY29" i="92" a="1"/>
  <c r="BN29" i="92" a="1"/>
  <c r="BV29" i="92" a="1"/>
  <c r="CJ29" i="92" a="1"/>
  <c r="S172" i="88" l="1"/>
  <c r="U724" i="89"/>
  <c r="S133" i="88"/>
  <c r="U378" i="89"/>
  <c r="S94" i="88"/>
  <c r="CF29" i="92"/>
  <c r="CG29" i="92"/>
  <c r="CK29" i="92" s="1"/>
  <c r="BX29" i="92"/>
  <c r="BV29" i="92"/>
  <c r="BZ29" i="92" s="1"/>
  <c r="BM29" i="92"/>
  <c r="BW29" i="92"/>
  <c r="BK29" i="92"/>
  <c r="BO29" i="92" s="1"/>
  <c r="U33" i="89" s="1"/>
  <c r="BU29" i="92"/>
  <c r="BN29" i="92"/>
  <c r="BY29" i="92"/>
  <c r="BJ29" i="92"/>
  <c r="BL29" i="92"/>
  <c r="CJ29" i="92"/>
  <c r="CH29" i="92"/>
  <c r="CI29" i="92"/>
  <c r="CE31" i="92"/>
  <c r="BI31" i="92"/>
  <c r="BT31" i="92"/>
  <c r="BW30" i="92" a="1"/>
  <c r="CJ30" i="92" a="1"/>
  <c r="BY30" i="92" a="1"/>
  <c r="BK30" i="92" a="1"/>
  <c r="CH30" i="92" a="1"/>
  <c r="BM30" i="92" a="1"/>
  <c r="CG30" i="92" a="1"/>
  <c r="BJ30" i="92" a="1"/>
  <c r="BL30" i="92" a="1"/>
  <c r="CF30" i="92" a="1"/>
  <c r="BX30" i="92" a="1"/>
  <c r="CI30" i="92" a="1"/>
  <c r="BN30" i="92" a="1"/>
  <c r="BV30" i="92" a="1"/>
  <c r="BU30" i="92" a="1"/>
  <c r="S173" i="88" l="1"/>
  <c r="U725" i="89"/>
  <c r="S134" i="88"/>
  <c r="U379" i="89"/>
  <c r="S95" i="88"/>
  <c r="BL30" i="92"/>
  <c r="BY30" i="92"/>
  <c r="CI30" i="92"/>
  <c r="BK30" i="92"/>
  <c r="BN30" i="92"/>
  <c r="CG30" i="92"/>
  <c r="CK30" i="92" s="1"/>
  <c r="CH30" i="92"/>
  <c r="CJ30" i="92"/>
  <c r="CF30" i="92"/>
  <c r="BW30" i="92"/>
  <c r="BV30" i="92"/>
  <c r="BZ30" i="92" s="1"/>
  <c r="BU30" i="92"/>
  <c r="BJ30" i="92"/>
  <c r="BX30" i="92"/>
  <c r="BM30" i="92"/>
  <c r="BT32" i="92"/>
  <c r="CE32" i="92"/>
  <c r="BI32" i="92"/>
  <c r="CG31" i="92" a="1"/>
  <c r="BW31" i="92" a="1"/>
  <c r="BJ31" i="92" a="1"/>
  <c r="CI31" i="92" a="1"/>
  <c r="BX31" i="92" a="1"/>
  <c r="CF31" i="92" a="1"/>
  <c r="CJ31" i="92" a="1"/>
  <c r="BK31" i="92" a="1"/>
  <c r="BM31" i="92" a="1"/>
  <c r="BU31" i="92" a="1"/>
  <c r="CH31" i="92" a="1"/>
  <c r="BN31" i="92" a="1"/>
  <c r="BV31" i="92" a="1"/>
  <c r="BL31" i="92" a="1"/>
  <c r="BY31" i="92" a="1"/>
  <c r="S135" i="88" l="1"/>
  <c r="U380" i="89"/>
  <c r="S174" i="88"/>
  <c r="U726" i="89"/>
  <c r="CF31" i="92"/>
  <c r="CI31" i="92"/>
  <c r="CJ31" i="92"/>
  <c r="BU31" i="92"/>
  <c r="BV31" i="92"/>
  <c r="BZ31" i="92" s="1"/>
  <c r="BY31" i="92"/>
  <c r="CH31" i="92"/>
  <c r="BL31" i="92"/>
  <c r="BM31" i="92"/>
  <c r="BW31" i="92"/>
  <c r="BX31" i="92"/>
  <c r="BK31" i="92"/>
  <c r="BO31" i="92" s="1"/>
  <c r="U35" i="89" s="1"/>
  <c r="BN31" i="92"/>
  <c r="BJ31" i="92"/>
  <c r="CG31" i="92"/>
  <c r="CK31" i="92" s="1"/>
  <c r="BI33" i="92"/>
  <c r="CE33" i="92"/>
  <c r="BT33" i="92"/>
  <c r="CF32" i="92" a="1"/>
  <c r="BV32" i="92" a="1"/>
  <c r="CI32" i="92" a="1"/>
  <c r="BK32" i="92" a="1"/>
  <c r="BU32" i="92" a="1"/>
  <c r="BX32" i="92" a="1"/>
  <c r="BW32" i="92" a="1"/>
  <c r="BY32" i="92" a="1"/>
  <c r="CJ32" i="92" a="1"/>
  <c r="BN32" i="92" a="1"/>
  <c r="CH32" i="92" a="1"/>
  <c r="BJ32" i="92" a="1"/>
  <c r="BL32" i="92" a="1"/>
  <c r="BM32" i="92" a="1"/>
  <c r="CG32" i="92" a="1"/>
  <c r="S136" i="88" l="1"/>
  <c r="U381" i="89"/>
  <c r="S175" i="88"/>
  <c r="U727" i="89"/>
  <c r="S97" i="88"/>
  <c r="CI32" i="92"/>
  <c r="CF32" i="92"/>
  <c r="CH32" i="92"/>
  <c r="BJ32" i="92"/>
  <c r="CJ32" i="92"/>
  <c r="BM32" i="92"/>
  <c r="BY32" i="92"/>
  <c r="BL32" i="92"/>
  <c r="BK32" i="92"/>
  <c r="BO32" i="92" s="1"/>
  <c r="U36" i="89" s="1"/>
  <c r="BV32" i="92"/>
  <c r="BZ32" i="92" s="1"/>
  <c r="BX32" i="92"/>
  <c r="BN32" i="92"/>
  <c r="CG32" i="92"/>
  <c r="CK32" i="92" s="1"/>
  <c r="BW32" i="92"/>
  <c r="BU32" i="92"/>
  <c r="BI34" i="92"/>
  <c r="CE34" i="92"/>
  <c r="BT34" i="92"/>
  <c r="BV33" i="92" a="1"/>
  <c r="BL33" i="92" a="1"/>
  <c r="BK33" i="92" a="1"/>
  <c r="CI33" i="92" a="1"/>
  <c r="CH33" i="92" a="1"/>
  <c r="BN33" i="92" a="1"/>
  <c r="BJ33" i="92" a="1"/>
  <c r="BX33" i="92" a="1"/>
  <c r="CJ33" i="92" a="1"/>
  <c r="BM33" i="92" a="1"/>
  <c r="CG33" i="92" a="1"/>
  <c r="BU33" i="92" a="1"/>
  <c r="BW33" i="92" a="1"/>
  <c r="CF33" i="92" a="1"/>
  <c r="BY33" i="92" a="1"/>
  <c r="S176" i="88" l="1"/>
  <c r="U728" i="89"/>
  <c r="S137" i="88"/>
  <c r="U382" i="89"/>
  <c r="S98" i="88"/>
  <c r="CF33" i="92"/>
  <c r="BJ33" i="92"/>
  <c r="BY33" i="92"/>
  <c r="BL33" i="92"/>
  <c r="BK33" i="92"/>
  <c r="BO33" i="92" s="1"/>
  <c r="U37" i="89" s="1"/>
  <c r="BU33" i="92"/>
  <c r="BX33" i="92"/>
  <c r="BN33" i="92"/>
  <c r="BM33" i="92"/>
  <c r="CH33" i="92"/>
  <c r="CI33" i="92"/>
  <c r="BV33" i="92"/>
  <c r="BZ33" i="92" s="1"/>
  <c r="BW33" i="92"/>
  <c r="CG33" i="92"/>
  <c r="CK33" i="92" s="1"/>
  <c r="CJ33" i="92"/>
  <c r="BI35" i="92"/>
  <c r="CE35" i="92"/>
  <c r="BT35" i="92"/>
  <c r="BV34" i="92" a="1"/>
  <c r="CF34" i="92" a="1"/>
  <c r="CJ34" i="92" a="1"/>
  <c r="BW34" i="92" a="1"/>
  <c r="BN34" i="92" a="1"/>
  <c r="CH34" i="92" a="1"/>
  <c r="BM34" i="92" a="1"/>
  <c r="BY34" i="92" a="1"/>
  <c r="BX34" i="92" a="1"/>
  <c r="CG34" i="92" a="1"/>
  <c r="CI34" i="92" a="1"/>
  <c r="BK34" i="92" a="1"/>
  <c r="BU34" i="92" a="1"/>
  <c r="BL34" i="92" a="1"/>
  <c r="BJ34" i="92" a="1"/>
  <c r="S138" i="88" l="1"/>
  <c r="U383" i="89"/>
  <c r="S177" i="88"/>
  <c r="U729" i="89"/>
  <c r="S99" i="88"/>
  <c r="CF34" i="92"/>
  <c r="BK34" i="92"/>
  <c r="BO34" i="92" s="1"/>
  <c r="U38" i="89" s="1"/>
  <c r="BN34" i="92"/>
  <c r="CG34" i="92"/>
  <c r="CK34" i="92" s="1"/>
  <c r="BU34" i="92"/>
  <c r="BX34" i="92"/>
  <c r="CI34" i="92"/>
  <c r="BY34" i="92"/>
  <c r="BM34" i="92"/>
  <c r="BL34" i="92"/>
  <c r="BJ34" i="92"/>
  <c r="BV34" i="92"/>
  <c r="BZ34" i="92" s="1"/>
  <c r="BW34" i="92"/>
  <c r="CH34" i="92"/>
  <c r="CJ34" i="92"/>
  <c r="BI36" i="92"/>
  <c r="CE36" i="92"/>
  <c r="BT36" i="92"/>
  <c r="BJ35" i="92" a="1"/>
  <c r="CJ35" i="92" a="1"/>
  <c r="BW35" i="92" a="1"/>
  <c r="BY35" i="92" a="1"/>
  <c r="BL35" i="92" a="1"/>
  <c r="BX35" i="92" a="1"/>
  <c r="BU35" i="92" a="1"/>
  <c r="BN35" i="92" a="1"/>
  <c r="CH35" i="92" a="1"/>
  <c r="BV35" i="92" a="1"/>
  <c r="BM35" i="92" a="1"/>
  <c r="BK35" i="92" a="1"/>
  <c r="CF35" i="92" a="1"/>
  <c r="CG35" i="92" a="1"/>
  <c r="CI35" i="92" a="1"/>
  <c r="S178" i="88" l="1"/>
  <c r="U730" i="89"/>
  <c r="S139" i="88"/>
  <c r="U384" i="89"/>
  <c r="S100" i="88"/>
  <c r="CF35" i="92"/>
  <c r="BV35" i="92"/>
  <c r="BZ35" i="92" s="1"/>
  <c r="BN35" i="92"/>
  <c r="BJ35" i="92"/>
  <c r="BU35" i="92"/>
  <c r="BY35" i="92"/>
  <c r="CH35" i="92"/>
  <c r="BK35" i="92"/>
  <c r="BO35" i="92" s="1"/>
  <c r="U39" i="89" s="1"/>
  <c r="BX35" i="92"/>
  <c r="CI35" i="92"/>
  <c r="BW35" i="92"/>
  <c r="BM35" i="92"/>
  <c r="BL35" i="92"/>
  <c r="CG35" i="92"/>
  <c r="CK35" i="92" s="1"/>
  <c r="CJ35" i="92"/>
  <c r="CE37" i="92"/>
  <c r="BI37" i="92"/>
  <c r="BT37" i="92"/>
  <c r="BV36" i="92" a="1"/>
  <c r="BW36" i="92" a="1"/>
  <c r="CH36" i="92" a="1"/>
  <c r="BJ36" i="92" a="1"/>
  <c r="CG36" i="92" a="1"/>
  <c r="BN36" i="92" a="1"/>
  <c r="CF36" i="92" a="1"/>
  <c r="BU36" i="92" a="1"/>
  <c r="CI36" i="92" a="1"/>
  <c r="BM36" i="92" a="1"/>
  <c r="BK36" i="92" a="1"/>
  <c r="BL36" i="92" a="1"/>
  <c r="BX36" i="92" a="1"/>
  <c r="BY36" i="92" a="1"/>
  <c r="CJ36" i="92" a="1"/>
  <c r="S140" i="88" l="1"/>
  <c r="U385" i="89"/>
  <c r="S179" i="88"/>
  <c r="U731" i="89"/>
  <c r="S101" i="88"/>
  <c r="CI36" i="92"/>
  <c r="BN36" i="92"/>
  <c r="CF36" i="92"/>
  <c r="BK36" i="92"/>
  <c r="BO36" i="92" s="1"/>
  <c r="U40" i="89" s="1"/>
  <c r="BM36" i="92"/>
  <c r="BJ36" i="92"/>
  <c r="BX36" i="92"/>
  <c r="BY36" i="92"/>
  <c r="BV36" i="92"/>
  <c r="BZ36" i="92" s="1"/>
  <c r="BL36" i="92"/>
  <c r="CH36" i="92"/>
  <c r="BU36" i="92"/>
  <c r="CJ36" i="92"/>
  <c r="BW36" i="92"/>
  <c r="CG36" i="92"/>
  <c r="CK36" i="92" s="1"/>
  <c r="BT42" i="92"/>
  <c r="CE42" i="92"/>
  <c r="BI42" i="92"/>
  <c r="CI37" i="92" a="1"/>
  <c r="BW37" i="92" a="1"/>
  <c r="BM37" i="92" a="1"/>
  <c r="BX37" i="92" a="1"/>
  <c r="BV37" i="92" a="1"/>
  <c r="BL345" i="92"/>
  <c r="BP509" i="92"/>
  <c r="CJ37" i="92" a="1"/>
  <c r="BK37" i="92" a="1"/>
  <c r="BY37" i="92" a="1"/>
  <c r="CH37" i="92" a="1"/>
  <c r="CF37" i="92" a="1"/>
  <c r="BL37" i="92" a="1"/>
  <c r="CG37" i="92" a="1"/>
  <c r="BJ37" i="92" a="1"/>
  <c r="BN37" i="92" a="1"/>
  <c r="BQ509" i="92"/>
  <c r="BU37" i="92" a="1"/>
  <c r="S180" i="88" l="1"/>
  <c r="U732" i="89"/>
  <c r="S141" i="88"/>
  <c r="U386" i="89"/>
  <c r="S102" i="88"/>
  <c r="BW37" i="92"/>
  <c r="BL37" i="92"/>
  <c r="BJ37" i="92"/>
  <c r="BV37" i="92"/>
  <c r="BY37" i="92"/>
  <c r="BN37" i="92"/>
  <c r="CG37" i="92"/>
  <c r="CJ37" i="92"/>
  <c r="BK37" i="92"/>
  <c r="CH37" i="92"/>
  <c r="BX37" i="92"/>
  <c r="BU37" i="92"/>
  <c r="BM37" i="92"/>
  <c r="CI37" i="92"/>
  <c r="CF37" i="92"/>
  <c r="CE43" i="92"/>
  <c r="BI43" i="92"/>
  <c r="BT43" i="92"/>
  <c r="BL367" i="92"/>
  <c r="BJ42" i="92" a="1"/>
  <c r="BV42" i="92" a="1"/>
  <c r="BW42" i="92" a="1"/>
  <c r="CH42" i="92" a="1"/>
  <c r="BZ430" i="92" a="1"/>
  <c r="BZ414" i="92" a="1"/>
  <c r="CJ42" i="92" a="1"/>
  <c r="BY42" i="92" a="1"/>
  <c r="CI42" i="92" a="1"/>
  <c r="BZ446" i="92" a="1"/>
  <c r="BL42" i="92" a="1"/>
  <c r="BX42" i="92" a="1"/>
  <c r="BM42" i="92" a="1"/>
  <c r="BN42" i="92" a="1"/>
  <c r="CG42" i="92" a="1"/>
  <c r="BL372" i="92" l="1"/>
  <c r="DP77" i="102" s="1"/>
  <c r="BY42" i="92"/>
  <c r="BW42" i="92"/>
  <c r="BZ414" i="92"/>
  <c r="CB414" i="92" s="1"/>
  <c r="BZ446" i="92"/>
  <c r="BJ42" i="92"/>
  <c r="BM42" i="92"/>
  <c r="CI42" i="92"/>
  <c r="CJ42" i="92"/>
  <c r="BV42" i="92"/>
  <c r="CG42" i="92"/>
  <c r="CH42" i="92"/>
  <c r="BX42" i="92"/>
  <c r="BZ430" i="92"/>
  <c r="CB430" i="92" s="1"/>
  <c r="BL42" i="92"/>
  <c r="BN42" i="92"/>
  <c r="BI44" i="92"/>
  <c r="CK37" i="92"/>
  <c r="BT44" i="92"/>
  <c r="CE44" i="92"/>
  <c r="BZ37" i="92"/>
  <c r="CP45" i="92" a="1"/>
  <c r="BN43" i="92" a="1"/>
  <c r="BX43" i="92" a="1"/>
  <c r="BV43" i="92" a="1"/>
  <c r="CJ43" i="92" a="1"/>
  <c r="BJ43" i="92" a="1"/>
  <c r="BL43" i="92" a="1"/>
  <c r="CH43" i="92" a="1"/>
  <c r="BK43" i="92" a="1"/>
  <c r="BN447" i="92" a="1"/>
  <c r="BN431" i="92" a="1"/>
  <c r="CP37" i="92" a="1"/>
  <c r="BY43" i="92" a="1"/>
  <c r="BM43" i="92" a="1"/>
  <c r="BW43" i="92" a="1"/>
  <c r="CG43" i="92" a="1"/>
  <c r="CI43" i="92" a="1"/>
  <c r="S105" i="88" l="1"/>
  <c r="CP45" i="92"/>
  <c r="P163" i="88" s="1"/>
  <c r="S142" i="88"/>
  <c r="U387" i="89"/>
  <c r="S181" i="88"/>
  <c r="U733" i="89"/>
  <c r="CP37" i="92"/>
  <c r="P124" i="88" s="1"/>
  <c r="BP468" i="92"/>
  <c r="P57" i="88" s="1"/>
  <c r="BR468" i="92"/>
  <c r="X57" i="88" s="1"/>
  <c r="CB446" i="92"/>
  <c r="BN43" i="92"/>
  <c r="BN447" i="92"/>
  <c r="BP447" i="92" s="1"/>
  <c r="BK43" i="92"/>
  <c r="BO43" i="92" s="1"/>
  <c r="U48" i="89" s="1"/>
  <c r="CH43" i="92"/>
  <c r="BN431" i="92"/>
  <c r="BP431" i="92" s="1"/>
  <c r="BK469" i="92" s="1"/>
  <c r="R58" i="88" s="1"/>
  <c r="BX43" i="92"/>
  <c r="BJ43" i="92"/>
  <c r="BM43" i="92"/>
  <c r="BW43" i="92"/>
  <c r="BV43" i="92"/>
  <c r="BZ43" i="92" s="1"/>
  <c r="CJ43" i="92"/>
  <c r="BY43" i="92"/>
  <c r="BL43" i="92"/>
  <c r="CI43" i="92"/>
  <c r="CG43" i="92"/>
  <c r="CK43" i="92" s="1"/>
  <c r="CK42" i="92"/>
  <c r="BI45" i="92"/>
  <c r="CE45" i="92"/>
  <c r="BZ42" i="92"/>
  <c r="BT45" i="92"/>
  <c r="BN44" i="92" a="1"/>
  <c r="BY44" i="92" a="1"/>
  <c r="BV44" i="92" a="1"/>
  <c r="BU44" i="92" a="1"/>
  <c r="CG44" i="92" a="1"/>
  <c r="BX44" i="92" a="1"/>
  <c r="CF44" i="92" a="1"/>
  <c r="BM44" i="92" a="1"/>
  <c r="BK44" i="92" a="1"/>
  <c r="BL44" i="92" a="1"/>
  <c r="CH44" i="92" a="1"/>
  <c r="CJ44" i="92" a="1"/>
  <c r="CI44" i="92" a="1"/>
  <c r="BW44" i="92" a="1"/>
  <c r="BJ44" i="92" a="1"/>
  <c r="U170" i="88" l="1"/>
  <c r="U739" i="89"/>
  <c r="U171" i="88"/>
  <c r="U740" i="89"/>
  <c r="U132" i="88"/>
  <c r="U394" i="89"/>
  <c r="U131" i="88"/>
  <c r="U393" i="89"/>
  <c r="U93" i="88"/>
  <c r="BM469" i="92"/>
  <c r="Z58" i="88" s="1"/>
  <c r="BT468" i="92"/>
  <c r="AF57" i="88" s="1"/>
  <c r="BV44" i="92"/>
  <c r="BZ44" i="92" s="1"/>
  <c r="BN44" i="92"/>
  <c r="BM44" i="92"/>
  <c r="BW44" i="92"/>
  <c r="CI44" i="92"/>
  <c r="BL44" i="92"/>
  <c r="CJ44" i="92"/>
  <c r="CH44" i="92"/>
  <c r="CG44" i="92"/>
  <c r="CK44" i="92" s="1"/>
  <c r="BY44" i="92"/>
  <c r="CF44" i="92"/>
  <c r="BJ44" i="92"/>
  <c r="BX44" i="92"/>
  <c r="BU44" i="92"/>
  <c r="BK44" i="92"/>
  <c r="BO44" i="92" s="1"/>
  <c r="U49" i="89" s="1"/>
  <c r="BT46" i="92"/>
  <c r="BI46" i="92"/>
  <c r="CE46" i="92"/>
  <c r="BX45" i="92" a="1"/>
  <c r="CJ45" i="92" a="1"/>
  <c r="BV45" i="92" a="1"/>
  <c r="BL45" i="92" a="1"/>
  <c r="CF45" i="92" a="1"/>
  <c r="BJ45" i="92" a="1"/>
  <c r="CI45" i="92" a="1"/>
  <c r="BY45" i="92" a="1"/>
  <c r="BN45" i="92" a="1"/>
  <c r="BW45" i="92" a="1"/>
  <c r="BK45" i="92" a="1"/>
  <c r="CG45" i="92" a="1"/>
  <c r="BU45" i="92" a="1"/>
  <c r="CH45" i="92" a="1"/>
  <c r="BM45" i="92" a="1"/>
  <c r="U172" i="88" l="1"/>
  <c r="U741" i="89"/>
  <c r="U133" i="88"/>
  <c r="U395" i="89"/>
  <c r="U94" i="88"/>
  <c r="CG45" i="92"/>
  <c r="CK45" i="92" s="1"/>
  <c r="CJ45" i="92"/>
  <c r="BU45" i="92"/>
  <c r="BL45" i="92"/>
  <c r="CH45" i="92"/>
  <c r="BY45" i="92"/>
  <c r="BN45" i="92"/>
  <c r="BW45" i="92"/>
  <c r="BX45" i="92"/>
  <c r="BV45" i="92"/>
  <c r="BZ45" i="92" s="1"/>
  <c r="BK45" i="92"/>
  <c r="BO45" i="92" s="1"/>
  <c r="U50" i="89" s="1"/>
  <c r="CI45" i="92"/>
  <c r="CF45" i="92"/>
  <c r="BJ45" i="92"/>
  <c r="BM45" i="92"/>
  <c r="BT47" i="92"/>
  <c r="BI47" i="92"/>
  <c r="CE47" i="92"/>
  <c r="BY46" i="92" a="1"/>
  <c r="BL46" i="92" a="1"/>
  <c r="CG46" i="92" a="1"/>
  <c r="CI46" i="92" a="1"/>
  <c r="CH46" i="92" a="1"/>
  <c r="CJ46" i="92" a="1"/>
  <c r="BU46" i="92" a="1"/>
  <c r="BX46" i="92" a="1"/>
  <c r="BK46" i="92" a="1"/>
  <c r="BW46" i="92" a="1"/>
  <c r="BN46" i="92" a="1"/>
  <c r="BM46" i="92" a="1"/>
  <c r="BJ46" i="92" a="1"/>
  <c r="CF46" i="92" a="1"/>
  <c r="U173" i="88" l="1"/>
  <c r="U742" i="89"/>
  <c r="U134" i="88"/>
  <c r="U396" i="89"/>
  <c r="U95" i="88"/>
  <c r="CI46" i="92"/>
  <c r="BK46" i="92"/>
  <c r="BO46" i="92" s="1"/>
  <c r="U51" i="89" s="1"/>
  <c r="BX46" i="92"/>
  <c r="BM46" i="92"/>
  <c r="CG46" i="92"/>
  <c r="CK46" i="92" s="1"/>
  <c r="CF46" i="92"/>
  <c r="CJ46" i="92"/>
  <c r="BJ46" i="92"/>
  <c r="CH46" i="92"/>
  <c r="BL46" i="92"/>
  <c r="BW46" i="92"/>
  <c r="BY46" i="92"/>
  <c r="BU46" i="92"/>
  <c r="BN46" i="92"/>
  <c r="CE48" i="92"/>
  <c r="BI48" i="92"/>
  <c r="BT48" i="92"/>
  <c r="BX47" i="92" a="1"/>
  <c r="CF47" i="92" a="1"/>
  <c r="BV47" i="92" a="1"/>
  <c r="BN47" i="92" a="1"/>
  <c r="BM47" i="92" a="1"/>
  <c r="BL47" i="92" a="1"/>
  <c r="BK47" i="92" a="1"/>
  <c r="CJ47" i="92" a="1"/>
  <c r="BW47" i="92" a="1"/>
  <c r="CH47" i="92" a="1"/>
  <c r="CI47" i="92" a="1"/>
  <c r="BY47" i="92" a="1"/>
  <c r="BJ47" i="92" a="1"/>
  <c r="BU47" i="92" a="1"/>
  <c r="CG47" i="92" a="1"/>
  <c r="U174" i="88" l="1"/>
  <c r="U743" i="89"/>
  <c r="U96" i="88"/>
  <c r="CJ47" i="92"/>
  <c r="CH47" i="92"/>
  <c r="BU47" i="92"/>
  <c r="BJ47" i="92"/>
  <c r="BL47" i="92"/>
  <c r="BW47" i="92"/>
  <c r="CF47" i="92"/>
  <c r="CG47" i="92"/>
  <c r="CK47" i="92" s="1"/>
  <c r="BX47" i="92"/>
  <c r="BV47" i="92"/>
  <c r="BZ47" i="92" s="1"/>
  <c r="CI47" i="92"/>
  <c r="BY47" i="92"/>
  <c r="BN47" i="92"/>
  <c r="BK47" i="92"/>
  <c r="BO47" i="92" s="1"/>
  <c r="U52" i="89" s="1"/>
  <c r="BM47" i="92"/>
  <c r="BI49" i="92"/>
  <c r="CE49" i="92"/>
  <c r="BT49" i="92"/>
  <c r="BM48" i="92" a="1"/>
  <c r="BN48" i="92" a="1"/>
  <c r="CG48" i="92" a="1"/>
  <c r="BJ48" i="92" a="1"/>
  <c r="CI48" i="92" a="1"/>
  <c r="BK48" i="92" a="1"/>
  <c r="BV48" i="92" a="1"/>
  <c r="BY48" i="92" a="1"/>
  <c r="BU48" i="92" a="1"/>
  <c r="CH48" i="92" a="1"/>
  <c r="BX48" i="92" a="1"/>
  <c r="CF48" i="92" a="1"/>
  <c r="BW48" i="92" a="1"/>
  <c r="CJ48" i="92" a="1"/>
  <c r="BL48" i="92" a="1"/>
  <c r="U175" i="88" l="1"/>
  <c r="U744" i="89"/>
  <c r="U136" i="88"/>
  <c r="U398" i="89"/>
  <c r="U97" i="88"/>
  <c r="BM48" i="92"/>
  <c r="BX48" i="92"/>
  <c r="BK48" i="92"/>
  <c r="BO48" i="92" s="1"/>
  <c r="U53" i="89" s="1"/>
  <c r="BJ48" i="92"/>
  <c r="BV48" i="92"/>
  <c r="BZ48" i="92" s="1"/>
  <c r="BL48" i="92"/>
  <c r="CI48" i="92"/>
  <c r="CH48" i="92"/>
  <c r="CJ48" i="92"/>
  <c r="BW48" i="92"/>
  <c r="BN48" i="92"/>
  <c r="BU48" i="92"/>
  <c r="BY48" i="92"/>
  <c r="CG48" i="92"/>
  <c r="CK48" i="92" s="1"/>
  <c r="CF48" i="92"/>
  <c r="CE50" i="92"/>
  <c r="BI50" i="92"/>
  <c r="BT50" i="92"/>
  <c r="BM49" i="92" a="1"/>
  <c r="BK49" i="92" a="1"/>
  <c r="BL49" i="92" a="1"/>
  <c r="CH49" i="92" a="1"/>
  <c r="BV49" i="92" a="1"/>
  <c r="BN49" i="92" a="1"/>
  <c r="CF49" i="92" a="1"/>
  <c r="CI49" i="92" a="1"/>
  <c r="CJ49" i="92" a="1"/>
  <c r="BU49" i="92" a="1"/>
  <c r="BY49" i="92" a="1"/>
  <c r="BW49" i="92" a="1"/>
  <c r="BX49" i="92" a="1"/>
  <c r="CG49" i="92" a="1"/>
  <c r="BJ49" i="92" a="1"/>
  <c r="U137" i="88" l="1"/>
  <c r="U399" i="89"/>
  <c r="U176" i="88"/>
  <c r="U745" i="89"/>
  <c r="U98" i="88"/>
  <c r="BV49" i="92"/>
  <c r="BZ49" i="92" s="1"/>
  <c r="CJ49" i="92"/>
  <c r="BU49" i="92"/>
  <c r="CG49" i="92"/>
  <c r="CK49" i="92" s="1"/>
  <c r="BY49" i="92"/>
  <c r="BJ49" i="92"/>
  <c r="CF49" i="92"/>
  <c r="CH49" i="92"/>
  <c r="BN49" i="92"/>
  <c r="BX49" i="92"/>
  <c r="CI49" i="92"/>
  <c r="BW49" i="92"/>
  <c r="BL49" i="92"/>
  <c r="BM49" i="92"/>
  <c r="BK49" i="92"/>
  <c r="BO49" i="92" s="1"/>
  <c r="U54" i="89" s="1"/>
  <c r="BI51" i="92"/>
  <c r="BT51" i="92"/>
  <c r="CE51" i="92"/>
  <c r="CI50" i="92" a="1"/>
  <c r="BL50" i="92" a="1"/>
  <c r="CG50" i="92" a="1"/>
  <c r="BN50" i="92" a="1"/>
  <c r="BM50" i="92" a="1"/>
  <c r="BX50" i="92" a="1"/>
  <c r="BU50" i="92" a="1"/>
  <c r="CH50" i="92" a="1"/>
  <c r="BJ50" i="92" a="1"/>
  <c r="BY50" i="92" a="1"/>
  <c r="BV50" i="92" a="1"/>
  <c r="BK50" i="92" a="1"/>
  <c r="CF50" i="92" a="1"/>
  <c r="BW50" i="92" a="1"/>
  <c r="CJ50" i="92" a="1"/>
  <c r="U177" i="88" l="1"/>
  <c r="U746" i="89"/>
  <c r="U138" i="88"/>
  <c r="U400" i="89"/>
  <c r="U99" i="88"/>
  <c r="BN50" i="92"/>
  <c r="BY50" i="92"/>
  <c r="BJ50" i="92"/>
  <c r="CH50" i="92"/>
  <c r="BW50" i="92"/>
  <c r="BV50" i="92"/>
  <c r="BZ50" i="92" s="1"/>
  <c r="BU50" i="92"/>
  <c r="CJ50" i="92"/>
  <c r="BX50" i="92"/>
  <c r="BM50" i="92"/>
  <c r="CI50" i="92"/>
  <c r="BL50" i="92"/>
  <c r="CG50" i="92"/>
  <c r="CK50" i="92" s="1"/>
  <c r="CF50" i="92"/>
  <c r="BK50" i="92"/>
  <c r="BO50" i="92" s="1"/>
  <c r="U55" i="89" s="1"/>
  <c r="CE52" i="92"/>
  <c r="BI52" i="92"/>
  <c r="BT52" i="92"/>
  <c r="BL51" i="92" a="1"/>
  <c r="BW51" i="92" a="1"/>
  <c r="CG51" i="92" a="1"/>
  <c r="BU51" i="92" a="1"/>
  <c r="BX51" i="92" a="1"/>
  <c r="BV51" i="92" a="1"/>
  <c r="BY51" i="92" a="1"/>
  <c r="BM51" i="92" a="1"/>
  <c r="BK51" i="92" a="1"/>
  <c r="CI51" i="92" a="1"/>
  <c r="CH51" i="92" a="1"/>
  <c r="CJ51" i="92" a="1"/>
  <c r="BJ51" i="92" a="1"/>
  <c r="CF51" i="92" a="1"/>
  <c r="BN51" i="92" a="1"/>
  <c r="U139" i="88" l="1"/>
  <c r="U401" i="89"/>
  <c r="U178" i="88"/>
  <c r="U747" i="89"/>
  <c r="U100" i="88"/>
  <c r="CH51" i="92"/>
  <c r="BY51" i="92"/>
  <c r="CF51" i="92"/>
  <c r="BV51" i="92"/>
  <c r="BZ51" i="92" s="1"/>
  <c r="BX51" i="92"/>
  <c r="CG51" i="92"/>
  <c r="CK51" i="92" s="1"/>
  <c r="BW51" i="92"/>
  <c r="BU51" i="92"/>
  <c r="CJ51" i="92"/>
  <c r="BM51" i="92"/>
  <c r="BN51" i="92"/>
  <c r="BJ51" i="92"/>
  <c r="CI51" i="92"/>
  <c r="BL51" i="92"/>
  <c r="BK51" i="92"/>
  <c r="BO51" i="92" s="1"/>
  <c r="U56" i="89" s="1"/>
  <c r="BI53" i="92"/>
  <c r="CE53" i="92"/>
  <c r="BT53" i="92"/>
  <c r="BY52" i="92" a="1"/>
  <c r="BM52" i="92" a="1"/>
  <c r="BJ52" i="92" a="1"/>
  <c r="CJ52" i="92" a="1"/>
  <c r="CH52" i="92" a="1"/>
  <c r="BL52" i="92" a="1"/>
  <c r="BU52" i="92" a="1"/>
  <c r="BW52" i="92" a="1"/>
  <c r="BV52" i="92" a="1"/>
  <c r="CF52" i="92" a="1"/>
  <c r="BN52" i="92" a="1"/>
  <c r="BK52" i="92" a="1"/>
  <c r="BX52" i="92" a="1"/>
  <c r="CI52" i="92" a="1"/>
  <c r="CG52" i="92" a="1"/>
  <c r="U140" i="88" l="1"/>
  <c r="U402" i="89"/>
  <c r="U179" i="88"/>
  <c r="U748" i="89"/>
  <c r="U101" i="88"/>
  <c r="BM52" i="92"/>
  <c r="CI52" i="92"/>
  <c r="BY52" i="92"/>
  <c r="BJ52" i="92"/>
  <c r="BK52" i="92"/>
  <c r="BO52" i="92" s="1"/>
  <c r="U57" i="89" s="1"/>
  <c r="BL52" i="92"/>
  <c r="CH52" i="92"/>
  <c r="CJ52" i="92"/>
  <c r="BV52" i="92"/>
  <c r="BZ52" i="92" s="1"/>
  <c r="BW52" i="92"/>
  <c r="CG52" i="92"/>
  <c r="CK52" i="92" s="1"/>
  <c r="BU52" i="92"/>
  <c r="BN52" i="92"/>
  <c r="BX52" i="92"/>
  <c r="CF52" i="92"/>
  <c r="CE58" i="92"/>
  <c r="BI58" i="92"/>
  <c r="BT58" i="92"/>
  <c r="BQ510" i="92"/>
  <c r="CJ53" i="92" a="1"/>
  <c r="BJ53" i="92" a="1"/>
  <c r="CH53" i="92" a="1"/>
  <c r="BY53" i="92" a="1"/>
  <c r="CG53" i="92" a="1"/>
  <c r="CF53" i="92" a="1"/>
  <c r="BU53" i="92" a="1"/>
  <c r="BK53" i="92" a="1"/>
  <c r="BN53" i="92" a="1"/>
  <c r="BM53" i="92" a="1"/>
  <c r="BL53" i="92" a="1"/>
  <c r="BV53" i="92" a="1"/>
  <c r="CI53" i="92" a="1"/>
  <c r="BX53" i="92" a="1"/>
  <c r="BO510" i="92"/>
  <c r="BW53" i="92" a="1"/>
  <c r="U180" i="88" l="1"/>
  <c r="U749" i="89"/>
  <c r="U141" i="88"/>
  <c r="U403" i="89"/>
  <c r="U102" i="88"/>
  <c r="CH53" i="92"/>
  <c r="CI53" i="92"/>
  <c r="BX53" i="92"/>
  <c r="BN53" i="92"/>
  <c r="BV53" i="92"/>
  <c r="BJ53" i="92"/>
  <c r="CF53" i="92"/>
  <c r="BK53" i="92"/>
  <c r="BY53" i="92"/>
  <c r="CG53" i="92"/>
  <c r="BU53" i="92"/>
  <c r="CJ53" i="92"/>
  <c r="BL53" i="92"/>
  <c r="BW53" i="92"/>
  <c r="BM53" i="92"/>
  <c r="BT59" i="92"/>
  <c r="BI59" i="92"/>
  <c r="CE59" i="92"/>
  <c r="BY431" i="92" a="1"/>
  <c r="CJ58" i="92" a="1"/>
  <c r="CI58" i="92" a="1"/>
  <c r="BJ58" i="92" a="1"/>
  <c r="CH58" i="92" a="1"/>
  <c r="BV58" i="92" a="1"/>
  <c r="BL58" i="92" a="1"/>
  <c r="BN58" i="92" a="1"/>
  <c r="CG58" i="92" a="1"/>
  <c r="BM58" i="92" a="1"/>
  <c r="BX58" i="92" a="1"/>
  <c r="BW58" i="92" a="1"/>
  <c r="BY415" i="92" a="1"/>
  <c r="BY58" i="92" a="1"/>
  <c r="BY447" i="92" a="1"/>
  <c r="CH58" i="92" l="1"/>
  <c r="BN58" i="92"/>
  <c r="BJ58" i="92"/>
  <c r="CJ58" i="92"/>
  <c r="BY447" i="92"/>
  <c r="CA447" i="92" s="1"/>
  <c r="CG58" i="92"/>
  <c r="BX58" i="92"/>
  <c r="BV58" i="92"/>
  <c r="BW58" i="92"/>
  <c r="BY431" i="92"/>
  <c r="CA431" i="92" s="1"/>
  <c r="BL58" i="92"/>
  <c r="BY58" i="92"/>
  <c r="BY415" i="92"/>
  <c r="CA415" i="92" s="1"/>
  <c r="CI58" i="92"/>
  <c r="BM58" i="92"/>
  <c r="BT60" i="92"/>
  <c r="BI60" i="92"/>
  <c r="CK53" i="92"/>
  <c r="BZ53" i="92"/>
  <c r="CE60" i="92"/>
  <c r="BN59" i="92" a="1"/>
  <c r="CH59" i="92" a="1"/>
  <c r="BX59" i="92" a="1"/>
  <c r="BK59" i="92" a="1"/>
  <c r="CI59" i="92" a="1"/>
  <c r="BL59" i="92" a="1"/>
  <c r="BO447" i="92" a="1"/>
  <c r="CG59" i="92" a="1"/>
  <c r="BJ59" i="92" a="1"/>
  <c r="BW59" i="92" a="1"/>
  <c r="BM59" i="92" a="1"/>
  <c r="BO431" i="92" a="1"/>
  <c r="BV59" i="92" a="1"/>
  <c r="BY59" i="92" a="1"/>
  <c r="CJ59" i="92" a="1"/>
  <c r="U142" i="88" l="1"/>
  <c r="U404" i="89"/>
  <c r="U181" i="88"/>
  <c r="U750" i="89"/>
  <c r="BQ469" i="92"/>
  <c r="V58" i="88" s="1"/>
  <c r="BS469" i="92"/>
  <c r="AD58" i="88" s="1"/>
  <c r="BO469" i="92"/>
  <c r="N58" i="88" s="1"/>
  <c r="BX59" i="92"/>
  <c r="BO431" i="92"/>
  <c r="BQ431" i="92" s="1"/>
  <c r="CI59" i="92"/>
  <c r="BO447" i="92"/>
  <c r="BQ447" i="92" s="1"/>
  <c r="BV59" i="92"/>
  <c r="BZ59" i="92" s="1"/>
  <c r="BL59" i="92"/>
  <c r="BW59" i="92"/>
  <c r="CJ59" i="92"/>
  <c r="BN59" i="92"/>
  <c r="BY59" i="92"/>
  <c r="BM59" i="92"/>
  <c r="CG59" i="92"/>
  <c r="CK59" i="92" s="1"/>
  <c r="BK59" i="92"/>
  <c r="BO59" i="92" s="1"/>
  <c r="U65" i="89" s="1"/>
  <c r="CH59" i="92"/>
  <c r="BJ59" i="92"/>
  <c r="BZ58" i="92"/>
  <c r="CK58" i="92"/>
  <c r="CE61" i="92"/>
  <c r="BT61" i="92"/>
  <c r="BI61" i="92"/>
  <c r="CG60" i="92" a="1"/>
  <c r="BV60" i="92" a="1"/>
  <c r="CF60" i="92" a="1"/>
  <c r="BU60" i="92" a="1"/>
  <c r="BY60" i="92" a="1"/>
  <c r="BW60" i="92" a="1"/>
  <c r="BX60" i="92" a="1"/>
  <c r="BL60" i="92" a="1"/>
  <c r="BK60" i="92" a="1"/>
  <c r="CH60" i="92" a="1"/>
  <c r="CI60" i="92" a="1"/>
  <c r="BM60" i="92" a="1"/>
  <c r="BN60" i="92" a="1"/>
  <c r="CJ60" i="92" a="1"/>
  <c r="BJ60" i="92" a="1"/>
  <c r="W170" i="88" l="1"/>
  <c r="U756" i="89"/>
  <c r="W132" i="88"/>
  <c r="U411" i="89"/>
  <c r="W171" i="88"/>
  <c r="U757" i="89"/>
  <c r="W131" i="88"/>
  <c r="U410" i="89"/>
  <c r="BL469" i="92"/>
  <c r="T58" i="88" s="1"/>
  <c r="BN469" i="92"/>
  <c r="AB58" i="88" s="1"/>
  <c r="W93" i="88"/>
  <c r="BJ60" i="92"/>
  <c r="CI60" i="92"/>
  <c r="BU60" i="92"/>
  <c r="BN60" i="92"/>
  <c r="BY60" i="92"/>
  <c r="BX60" i="92"/>
  <c r="BV60" i="92"/>
  <c r="BZ60" i="92" s="1"/>
  <c r="BW60" i="92"/>
  <c r="CF60" i="92"/>
  <c r="CJ60" i="92"/>
  <c r="BK60" i="92"/>
  <c r="BO60" i="92" s="1"/>
  <c r="U66" i="89" s="1"/>
  <c r="BL60" i="92"/>
  <c r="CH60" i="92"/>
  <c r="BM60" i="92"/>
  <c r="CG60" i="92"/>
  <c r="CK60" i="92" s="1"/>
  <c r="BI62" i="92"/>
  <c r="BT62" i="92"/>
  <c r="CE62" i="92"/>
  <c r="CJ61" i="92" a="1"/>
  <c r="BY61" i="92" a="1"/>
  <c r="BW61" i="92" a="1"/>
  <c r="BX61" i="92" a="1"/>
  <c r="BL61" i="92" a="1"/>
  <c r="BN61" i="92" a="1"/>
  <c r="CH61" i="92" a="1"/>
  <c r="BK61" i="92" a="1"/>
  <c r="BV61" i="92" a="1"/>
  <c r="BU61" i="92" a="1"/>
  <c r="BM61" i="92" a="1"/>
  <c r="CI61" i="92" a="1"/>
  <c r="BJ61" i="92" a="1"/>
  <c r="CF61" i="92" a="1"/>
  <c r="CG61" i="92" a="1"/>
  <c r="W133" i="88" l="1"/>
  <c r="U412" i="89"/>
  <c r="W172" i="88"/>
  <c r="U758" i="89"/>
  <c r="W94" i="88"/>
  <c r="CG61" i="92"/>
  <c r="CK61" i="92" s="1"/>
  <c r="CJ61" i="92"/>
  <c r="BJ61" i="92"/>
  <c r="BW61" i="92"/>
  <c r="CH61" i="92"/>
  <c r="BY61" i="92"/>
  <c r="CF61" i="92"/>
  <c r="BU61" i="92"/>
  <c r="BK61" i="92"/>
  <c r="BO61" i="92" s="1"/>
  <c r="U67" i="89" s="1"/>
  <c r="BL61" i="92"/>
  <c r="BM61" i="92"/>
  <c r="BN61" i="92"/>
  <c r="CI61" i="92"/>
  <c r="BX61" i="92"/>
  <c r="BV61" i="92"/>
  <c r="BZ61" i="92" s="1"/>
  <c r="BT63" i="92"/>
  <c r="BI63" i="92"/>
  <c r="CE63" i="92"/>
  <c r="CG62" i="92" a="1"/>
  <c r="BK62" i="92" a="1"/>
  <c r="BL62" i="92" a="1"/>
  <c r="BN62" i="92" a="1"/>
  <c r="CF62" i="92" a="1"/>
  <c r="CI62" i="92" a="1"/>
  <c r="BW62" i="92" a="1"/>
  <c r="BJ62" i="92" a="1"/>
  <c r="CH62" i="92" a="1"/>
  <c r="CJ62" i="92" a="1"/>
  <c r="BX62" i="92" a="1"/>
  <c r="BU62" i="92" a="1"/>
  <c r="BY62" i="92" a="1"/>
  <c r="BM62" i="92" a="1"/>
  <c r="W134" i="88" l="1"/>
  <c r="U413" i="89"/>
  <c r="W173" i="88"/>
  <c r="U759" i="89"/>
  <c r="W95" i="88"/>
  <c r="BX62" i="92"/>
  <c r="BN62" i="92"/>
  <c r="CH62" i="92"/>
  <c r="CF62" i="92"/>
  <c r="BJ62" i="92"/>
  <c r="CG62" i="92"/>
  <c r="CK62" i="92" s="1"/>
  <c r="CJ62" i="92"/>
  <c r="BK62" i="92"/>
  <c r="BO62" i="92" s="1"/>
  <c r="U68" i="89" s="1"/>
  <c r="BW62" i="92"/>
  <c r="CI62" i="92"/>
  <c r="BY62" i="92"/>
  <c r="BU62" i="92"/>
  <c r="BL62" i="92"/>
  <c r="BM62" i="92"/>
  <c r="BI64" i="92"/>
  <c r="CE64" i="92"/>
  <c r="BT64" i="92"/>
  <c r="CJ63" i="92" a="1"/>
  <c r="BY63" i="92" a="1"/>
  <c r="CI63" i="92" a="1"/>
  <c r="CF63" i="92" a="1"/>
  <c r="BL63" i="92" a="1"/>
  <c r="BN63" i="92" a="1"/>
  <c r="BU63" i="92" a="1"/>
  <c r="CH63" i="92" a="1"/>
  <c r="BK63" i="92" a="1"/>
  <c r="BJ63" i="92" a="1"/>
  <c r="BM63" i="92" a="1"/>
  <c r="BW63" i="92" a="1"/>
  <c r="BX63" i="92" a="1"/>
  <c r="BV63" i="92" a="1"/>
  <c r="CG63" i="92" a="1"/>
  <c r="W174" i="88" l="1"/>
  <c r="U760" i="89"/>
  <c r="W96" i="88"/>
  <c r="CJ63" i="92"/>
  <c r="CF63" i="92"/>
  <c r="BX63" i="92"/>
  <c r="BK63" i="92"/>
  <c r="BO63" i="92" s="1"/>
  <c r="U69" i="89" s="1"/>
  <c r="BY63" i="92"/>
  <c r="BN63" i="92"/>
  <c r="BJ63" i="92"/>
  <c r="BU63" i="92"/>
  <c r="BL63" i="92"/>
  <c r="BM63" i="92"/>
  <c r="CG63" i="92"/>
  <c r="CK63" i="92" s="1"/>
  <c r="BW63" i="92"/>
  <c r="BV63" i="92"/>
  <c r="BZ63" i="92" s="1"/>
  <c r="CH63" i="92"/>
  <c r="CI63" i="92"/>
  <c r="CE65" i="92"/>
  <c r="BI65" i="92"/>
  <c r="BT65" i="92"/>
  <c r="CH64" i="92" a="1"/>
  <c r="BV64" i="92" a="1"/>
  <c r="CJ64" i="92" a="1"/>
  <c r="CF64" i="92" a="1"/>
  <c r="BW64" i="92" a="1"/>
  <c r="CI64" i="92" a="1"/>
  <c r="BX64" i="92" a="1"/>
  <c r="BL64" i="92" a="1"/>
  <c r="CG64" i="92" a="1"/>
  <c r="BN64" i="92" a="1"/>
  <c r="BM64" i="92" a="1"/>
  <c r="BU64" i="92" a="1"/>
  <c r="BJ64" i="92" a="1"/>
  <c r="BK64" i="92" a="1"/>
  <c r="BY64" i="92" a="1"/>
  <c r="W136" i="88" l="1"/>
  <c r="U415" i="89"/>
  <c r="W175" i="88"/>
  <c r="U761" i="89"/>
  <c r="W97" i="88"/>
  <c r="CJ64" i="92"/>
  <c r="BW64" i="92"/>
  <c r="BX64" i="92"/>
  <c r="BM64" i="92"/>
  <c r="CI64" i="92"/>
  <c r="BN64" i="92"/>
  <c r="BJ64" i="92"/>
  <c r="CH64" i="92"/>
  <c r="BK64" i="92"/>
  <c r="BO64" i="92" s="1"/>
  <c r="U70" i="89" s="1"/>
  <c r="BL64" i="92"/>
  <c r="BV64" i="92"/>
  <c r="BZ64" i="92" s="1"/>
  <c r="BU64" i="92"/>
  <c r="CG64" i="92"/>
  <c r="CK64" i="92" s="1"/>
  <c r="BY64" i="92"/>
  <c r="CF64" i="92"/>
  <c r="BT66" i="92"/>
  <c r="CE66" i="92"/>
  <c r="BI66" i="92"/>
  <c r="BW65" i="92" a="1"/>
  <c r="CG65" i="92" a="1"/>
  <c r="BX65" i="92" a="1"/>
  <c r="BV65" i="92" a="1"/>
  <c r="BU65" i="92" a="1"/>
  <c r="CJ65" i="92" a="1"/>
  <c r="BL65" i="92" a="1"/>
  <c r="BJ65" i="92" a="1"/>
  <c r="BK65" i="92" a="1"/>
  <c r="BN65" i="92" a="1"/>
  <c r="CI65" i="92" a="1"/>
  <c r="BM65" i="92" a="1"/>
  <c r="CF65" i="92" a="1"/>
  <c r="BY65" i="92" a="1"/>
  <c r="CH65" i="92" a="1"/>
  <c r="W137" i="88" l="1"/>
  <c r="U416" i="89"/>
  <c r="W176" i="88"/>
  <c r="U762" i="89"/>
  <c r="W98" i="88"/>
  <c r="BW65" i="92"/>
  <c r="BJ65" i="92"/>
  <c r="BU65" i="92"/>
  <c r="BN65" i="92"/>
  <c r="CJ65" i="92"/>
  <c r="BV65" i="92"/>
  <c r="BZ65" i="92" s="1"/>
  <c r="BL65" i="92"/>
  <c r="CF65" i="92"/>
  <c r="CI65" i="92"/>
  <c r="BK65" i="92"/>
  <c r="BO65" i="92" s="1"/>
  <c r="U71" i="89" s="1"/>
  <c r="BY65" i="92"/>
  <c r="CH65" i="92"/>
  <c r="BM65" i="92"/>
  <c r="BX65" i="92"/>
  <c r="CG65" i="92"/>
  <c r="CK65" i="92" s="1"/>
  <c r="BI67" i="92"/>
  <c r="CE67" i="92"/>
  <c r="BT67" i="92"/>
  <c r="BX66" i="92" a="1"/>
  <c r="BL66" i="92" a="1"/>
  <c r="CG66" i="92" a="1"/>
  <c r="BK66" i="92" a="1"/>
  <c r="BJ66" i="92" a="1"/>
  <c r="BU66" i="92" a="1"/>
  <c r="BM66" i="92" a="1"/>
  <c r="BN66" i="92" a="1"/>
  <c r="CH66" i="92" a="1"/>
  <c r="BY66" i="92" a="1"/>
  <c r="BV66" i="92" a="1"/>
  <c r="CJ66" i="92" a="1"/>
  <c r="CF66" i="92" a="1"/>
  <c r="CI66" i="92" a="1"/>
  <c r="BW66" i="92" a="1"/>
  <c r="W138" i="88" l="1"/>
  <c r="U417" i="89"/>
  <c r="W177" i="88"/>
  <c r="U763" i="89"/>
  <c r="W99" i="88"/>
  <c r="CI66" i="92"/>
  <c r="BM66" i="92"/>
  <c r="BV66" i="92"/>
  <c r="BW66" i="92"/>
  <c r="CJ66" i="92"/>
  <c r="BL66" i="92"/>
  <c r="BN66" i="92"/>
  <c r="BJ66" i="92"/>
  <c r="CH66" i="92"/>
  <c r="BU66" i="92"/>
  <c r="BY66" i="92"/>
  <c r="BX66" i="92"/>
  <c r="BK66" i="92"/>
  <c r="BO66" i="92" s="1"/>
  <c r="U72" i="89" s="1"/>
  <c r="CG66" i="92"/>
  <c r="CF66" i="92"/>
  <c r="BT68" i="92"/>
  <c r="CE68" i="92"/>
  <c r="BI68" i="92"/>
  <c r="BV67" i="92" a="1"/>
  <c r="BY67" i="92" a="1"/>
  <c r="BL67" i="92" a="1"/>
  <c r="CG67" i="92" a="1"/>
  <c r="BU67" i="92" a="1"/>
  <c r="BK67" i="92" a="1"/>
  <c r="BJ67" i="92" a="1"/>
  <c r="CI67" i="92" a="1"/>
  <c r="CF67" i="92" a="1"/>
  <c r="BN67" i="92" a="1"/>
  <c r="CH67" i="92" a="1"/>
  <c r="BM67" i="92" a="1"/>
  <c r="BW67" i="92" a="1"/>
  <c r="CJ67" i="92" a="1"/>
  <c r="BX67" i="92" a="1"/>
  <c r="W100" i="88" l="1"/>
  <c r="BY67" i="92"/>
  <c r="BJ67" i="92"/>
  <c r="BW67" i="92"/>
  <c r="BM67" i="92"/>
  <c r="BN67" i="92"/>
  <c r="BU67" i="92"/>
  <c r="CH67" i="92"/>
  <c r="CF67" i="92"/>
  <c r="BV67" i="92"/>
  <c r="BZ67" i="92" s="1"/>
  <c r="BL67" i="92"/>
  <c r="CJ67" i="92"/>
  <c r="CI67" i="92"/>
  <c r="BK67" i="92"/>
  <c r="BO67" i="92" s="1"/>
  <c r="U73" i="89" s="1"/>
  <c r="BX67" i="92"/>
  <c r="CG67" i="92"/>
  <c r="CK67" i="92" s="1"/>
  <c r="BT69" i="92"/>
  <c r="CE69" i="92"/>
  <c r="BZ66" i="92"/>
  <c r="CK66" i="92"/>
  <c r="BI69" i="92"/>
  <c r="CF68" i="92" a="1"/>
  <c r="CJ68" i="92" a="1"/>
  <c r="BJ68" i="92" a="1"/>
  <c r="BK68" i="92" a="1"/>
  <c r="BU68" i="92" a="1"/>
  <c r="BM68" i="92" a="1"/>
  <c r="CI68" i="92" a="1"/>
  <c r="CG68" i="92" a="1"/>
  <c r="BY68" i="92" a="1"/>
  <c r="BW68" i="92" a="1"/>
  <c r="CH68" i="92" a="1"/>
  <c r="BL68" i="92" a="1"/>
  <c r="BV68" i="92" a="1"/>
  <c r="BN68" i="92" a="1"/>
  <c r="BX68" i="92" a="1"/>
  <c r="W178" i="88" l="1"/>
  <c r="U764" i="89"/>
  <c r="W140" i="88"/>
  <c r="U419" i="89"/>
  <c r="W139" i="88"/>
  <c r="U418" i="89"/>
  <c r="W179" i="88"/>
  <c r="U765" i="89"/>
  <c r="W101" i="88"/>
  <c r="BJ68" i="92"/>
  <c r="BW68" i="92"/>
  <c r="CI68" i="92"/>
  <c r="BK68" i="92"/>
  <c r="BO68" i="92" s="1"/>
  <c r="U74" i="89" s="1"/>
  <c r="CJ68" i="92"/>
  <c r="BV68" i="92"/>
  <c r="BZ68" i="92" s="1"/>
  <c r="BY68" i="92"/>
  <c r="BX68" i="92"/>
  <c r="CG68" i="92"/>
  <c r="CK68" i="92" s="1"/>
  <c r="CH68" i="92"/>
  <c r="BM68" i="92"/>
  <c r="BN68" i="92"/>
  <c r="BU68" i="92"/>
  <c r="BL68" i="92"/>
  <c r="CF68" i="92"/>
  <c r="BI74" i="92"/>
  <c r="BT74" i="92"/>
  <c r="CE74" i="92"/>
  <c r="BY69" i="92" a="1"/>
  <c r="BQ511" i="92"/>
  <c r="CH69" i="92" a="1"/>
  <c r="BV69" i="92" a="1"/>
  <c r="BJ69" i="92" a="1"/>
  <c r="BK69" i="92" a="1"/>
  <c r="BU69" i="92" a="1"/>
  <c r="BO511" i="92"/>
  <c r="CJ69" i="92" a="1"/>
  <c r="BW69" i="92" a="1"/>
  <c r="CF69" i="92" a="1"/>
  <c r="BN69" i="92" a="1"/>
  <c r="BL69" i="92" a="1"/>
  <c r="BM69" i="92" a="1"/>
  <c r="BX69" i="92" a="1"/>
  <c r="CG69" i="92" a="1"/>
  <c r="CI69" i="92" a="1"/>
  <c r="W180" i="88" l="1"/>
  <c r="U766" i="89"/>
  <c r="W141" i="88"/>
  <c r="U420" i="89"/>
  <c r="W102" i="88"/>
  <c r="BJ69" i="92"/>
  <c r="BY69" i="92"/>
  <c r="BK69" i="92"/>
  <c r="CH69" i="92"/>
  <c r="CJ69" i="92"/>
  <c r="CG69" i="92"/>
  <c r="BX69" i="92"/>
  <c r="CI69" i="92"/>
  <c r="BM69" i="92"/>
  <c r="BL69" i="92"/>
  <c r="CF69" i="92"/>
  <c r="BN69" i="92"/>
  <c r="BV69" i="92"/>
  <c r="BW69" i="92"/>
  <c r="BU69" i="92"/>
  <c r="CE75" i="92"/>
  <c r="BT75" i="92"/>
  <c r="BI75" i="92"/>
  <c r="BZ415" i="92" a="1"/>
  <c r="BJ74" i="92" a="1"/>
  <c r="CG74" i="92" a="1"/>
  <c r="CI74" i="92" a="1"/>
  <c r="BZ431" i="92" a="1"/>
  <c r="BV74" i="92" a="1"/>
  <c r="BX74" i="92" a="1"/>
  <c r="BN74" i="92" a="1"/>
  <c r="CH74" i="92" a="1"/>
  <c r="CJ74" i="92" a="1"/>
  <c r="BW74" i="92" a="1"/>
  <c r="BY74" i="92" a="1"/>
  <c r="BM74" i="92" a="1"/>
  <c r="BZ447" i="92" a="1"/>
  <c r="BL74" i="92" a="1"/>
  <c r="BN74" i="92" l="1"/>
  <c r="BX74" i="92"/>
  <c r="CH74" i="92"/>
  <c r="BW74" i="92"/>
  <c r="BM74" i="92"/>
  <c r="BV74" i="92"/>
  <c r="BL74" i="92"/>
  <c r="CI74" i="92"/>
  <c r="BZ447" i="92"/>
  <c r="CG74" i="92"/>
  <c r="BJ74" i="92"/>
  <c r="CJ74" i="92"/>
  <c r="BZ415" i="92"/>
  <c r="CB415" i="92" s="1"/>
  <c r="BY74" i="92"/>
  <c r="BZ431" i="92"/>
  <c r="CB431" i="92" s="1"/>
  <c r="BT76" i="92"/>
  <c r="BI76" i="92"/>
  <c r="CK69" i="92"/>
  <c r="CE76" i="92"/>
  <c r="BZ69" i="92"/>
  <c r="BM75" i="92" a="1"/>
  <c r="CH75" i="92" a="1"/>
  <c r="BN448" i="92" a="1"/>
  <c r="BN75" i="92" a="1"/>
  <c r="BY75" i="92" a="1"/>
  <c r="CI75" i="92" a="1"/>
  <c r="BJ75" i="92" a="1"/>
  <c r="BV75" i="92" a="1"/>
  <c r="BN432" i="92" a="1"/>
  <c r="CP38" i="92" a="1"/>
  <c r="CJ75" i="92" a="1"/>
  <c r="BK75" i="92" a="1"/>
  <c r="CG75" i="92" a="1"/>
  <c r="CP46" i="92" a="1"/>
  <c r="BX75" i="92" a="1"/>
  <c r="BW75" i="92" a="1"/>
  <c r="BL75" i="92" a="1"/>
  <c r="CP46" i="92" l="1"/>
  <c r="P164" i="88" s="1"/>
  <c r="W142" i="88"/>
  <c r="U421" i="89"/>
  <c r="W181" i="88"/>
  <c r="U767" i="89"/>
  <c r="CP38" i="92"/>
  <c r="P125" i="88" s="1"/>
  <c r="CB447" i="92"/>
  <c r="BR469" i="92"/>
  <c r="X58" i="88" s="1"/>
  <c r="BP469" i="92"/>
  <c r="P58" i="88" s="1"/>
  <c r="BY75" i="92"/>
  <c r="CJ75" i="92"/>
  <c r="BX75" i="92"/>
  <c r="BN448" i="92"/>
  <c r="BP448" i="92" s="1"/>
  <c r="CG75" i="92"/>
  <c r="CK75" i="92" s="1"/>
  <c r="BN432" i="92"/>
  <c r="BP432" i="92" s="1"/>
  <c r="BK470" i="92" s="1"/>
  <c r="R59" i="88" s="1"/>
  <c r="BM75" i="92"/>
  <c r="BV75" i="92"/>
  <c r="BZ75" i="92" s="1"/>
  <c r="BJ75" i="92"/>
  <c r="BL75" i="92"/>
  <c r="CI75" i="92"/>
  <c r="BW75" i="92"/>
  <c r="BK75" i="92"/>
  <c r="BO75" i="92" s="1"/>
  <c r="U82" i="89" s="1"/>
  <c r="CH75" i="92"/>
  <c r="BN75" i="92"/>
  <c r="BT77" i="92"/>
  <c r="CK74" i="92"/>
  <c r="BZ74" i="92"/>
  <c r="BI77" i="92"/>
  <c r="CE77" i="92"/>
  <c r="CI76" i="92" a="1"/>
  <c r="BN76" i="92" a="1"/>
  <c r="BV76" i="92" a="1"/>
  <c r="BL76" i="92" a="1"/>
  <c r="BW76" i="92" a="1"/>
  <c r="BX76" i="92" a="1"/>
  <c r="BK76" i="92" a="1"/>
  <c r="CJ76" i="92" a="1"/>
  <c r="CG76" i="92" a="1"/>
  <c r="BJ76" i="92" a="1"/>
  <c r="BY76" i="92" a="1"/>
  <c r="CF76" i="92" a="1"/>
  <c r="BU76" i="92" a="1"/>
  <c r="BM76" i="92" a="1"/>
  <c r="CH76" i="92" a="1"/>
  <c r="Y132" i="88" l="1"/>
  <c r="U428" i="89"/>
  <c r="Y131" i="88"/>
  <c r="U427" i="89"/>
  <c r="Y170" i="88"/>
  <c r="U773" i="89"/>
  <c r="Y171" i="88"/>
  <c r="U774" i="89"/>
  <c r="BM470" i="92"/>
  <c r="Z59" i="88" s="1"/>
  <c r="BT469" i="92"/>
  <c r="AF58" i="88" s="1"/>
  <c r="Y93" i="88"/>
  <c r="BU76" i="92"/>
  <c r="BY76" i="92"/>
  <c r="BN76" i="92"/>
  <c r="BX76" i="92"/>
  <c r="BW76" i="92"/>
  <c r="CJ76" i="92"/>
  <c r="BL76" i="92"/>
  <c r="BJ76" i="92"/>
  <c r="BK76" i="92"/>
  <c r="BO76" i="92" s="1"/>
  <c r="U83" i="89" s="1"/>
  <c r="CF76" i="92"/>
  <c r="BV76" i="92"/>
  <c r="BZ76" i="92" s="1"/>
  <c r="BM76" i="92"/>
  <c r="CG76" i="92"/>
  <c r="CK76" i="92" s="1"/>
  <c r="CH76" i="92"/>
  <c r="CI76" i="92"/>
  <c r="CE78" i="92"/>
  <c r="BT78" i="92"/>
  <c r="BI78" i="92"/>
  <c r="BU77" i="92" a="1"/>
  <c r="BM77" i="92" a="1"/>
  <c r="BK77" i="92" a="1"/>
  <c r="CI77" i="92" a="1"/>
  <c r="BJ77" i="92" a="1"/>
  <c r="BL77" i="92" a="1"/>
  <c r="BY77" i="92" a="1"/>
  <c r="BN77" i="92" a="1"/>
  <c r="CG77" i="92" a="1"/>
  <c r="BW77" i="92" a="1"/>
  <c r="CJ77" i="92" a="1"/>
  <c r="BX77" i="92" a="1"/>
  <c r="CF77" i="92" a="1"/>
  <c r="CH77" i="92" a="1"/>
  <c r="BV77" i="92" a="1"/>
  <c r="Y133" i="88" l="1"/>
  <c r="U429" i="89"/>
  <c r="Y172" i="88"/>
  <c r="U775" i="89"/>
  <c r="Y94" i="88"/>
  <c r="BK77" i="92"/>
  <c r="BO77" i="92" s="1"/>
  <c r="U84" i="89" s="1"/>
  <c r="BU77" i="92"/>
  <c r="CH77" i="92"/>
  <c r="CI77" i="92"/>
  <c r="BM77" i="92"/>
  <c r="BY77" i="92"/>
  <c r="BW77" i="92"/>
  <c r="CJ77" i="92"/>
  <c r="CG77" i="92"/>
  <c r="CK77" i="92" s="1"/>
  <c r="BX77" i="92"/>
  <c r="BJ77" i="92"/>
  <c r="BL77" i="92"/>
  <c r="CF77" i="92"/>
  <c r="BN77" i="92"/>
  <c r="BV77" i="92"/>
  <c r="BZ77" i="92" s="1"/>
  <c r="BT79" i="92"/>
  <c r="BI79" i="92"/>
  <c r="CE79" i="92"/>
  <c r="BW78" i="92" a="1"/>
  <c r="CH78" i="92" a="1"/>
  <c r="BJ78" i="92" a="1"/>
  <c r="BK78" i="92" a="1"/>
  <c r="BX78" i="92" a="1"/>
  <c r="BU78" i="92" a="1"/>
  <c r="BN78" i="92" a="1"/>
  <c r="BM78" i="92" a="1"/>
  <c r="BY78" i="92" a="1"/>
  <c r="CJ78" i="92" a="1"/>
  <c r="CG78" i="92" a="1"/>
  <c r="BL78" i="92" a="1"/>
  <c r="CI78" i="92" a="1"/>
  <c r="CF78" i="92" a="1"/>
  <c r="Y134" i="88" l="1"/>
  <c r="U430" i="89"/>
  <c r="Y173" i="88"/>
  <c r="U776" i="89"/>
  <c r="Y95" i="88"/>
  <c r="BU78" i="92"/>
  <c r="BL78" i="92"/>
  <c r="BN78" i="92"/>
  <c r="CI78" i="92"/>
  <c r="CJ78" i="92"/>
  <c r="BM78" i="92"/>
  <c r="BJ78" i="92"/>
  <c r="BK78" i="92"/>
  <c r="BO78" i="92" s="1"/>
  <c r="U85" i="89" s="1"/>
  <c r="CG78" i="92"/>
  <c r="CK78" i="92" s="1"/>
  <c r="BY78" i="92"/>
  <c r="CH78" i="92"/>
  <c r="BW78" i="92"/>
  <c r="CF78" i="92"/>
  <c r="BX78" i="92"/>
  <c r="BI80" i="92"/>
  <c r="BT80" i="92"/>
  <c r="CE80" i="92"/>
  <c r="CG79" i="92" a="1"/>
  <c r="BV79" i="92" a="1"/>
  <c r="CJ79" i="92" a="1"/>
  <c r="BK79" i="92" a="1"/>
  <c r="BN79" i="92" a="1"/>
  <c r="BJ79" i="92" a="1"/>
  <c r="CF79" i="92" a="1"/>
  <c r="BX79" i="92" a="1"/>
  <c r="CH79" i="92" a="1"/>
  <c r="BL79" i="92" a="1"/>
  <c r="BY79" i="92" a="1"/>
  <c r="BM79" i="92" a="1"/>
  <c r="BU79" i="92" a="1"/>
  <c r="BW79" i="92" a="1"/>
  <c r="CI79" i="92" a="1"/>
  <c r="Y174" i="88" l="1"/>
  <c r="U777" i="89"/>
  <c r="Y96" i="88"/>
  <c r="CI79" i="92"/>
  <c r="BN79" i="92"/>
  <c r="BK79" i="92"/>
  <c r="BO79" i="92" s="1"/>
  <c r="U86" i="89" s="1"/>
  <c r="BY79" i="92"/>
  <c r="BJ79" i="92"/>
  <c r="CJ79" i="92"/>
  <c r="CF79" i="92"/>
  <c r="BM79" i="92"/>
  <c r="CG79" i="92"/>
  <c r="CK79" i="92" s="1"/>
  <c r="BX79" i="92"/>
  <c r="BW79" i="92"/>
  <c r="BU79" i="92"/>
  <c r="CH79" i="92"/>
  <c r="BL79" i="92"/>
  <c r="BV79" i="92"/>
  <c r="BZ79" i="92" s="1"/>
  <c r="BT81" i="92"/>
  <c r="BI81" i="92"/>
  <c r="CE81" i="92"/>
  <c r="CH80" i="92" a="1"/>
  <c r="BJ80" i="92" a="1"/>
  <c r="CI80" i="92" a="1"/>
  <c r="BL80" i="92" a="1"/>
  <c r="CJ80" i="92" a="1"/>
  <c r="BM80" i="92" a="1"/>
  <c r="BU80" i="92" a="1"/>
  <c r="BX80" i="92" a="1"/>
  <c r="BK80" i="92" a="1"/>
  <c r="BN80" i="92" a="1"/>
  <c r="CG80" i="92" a="1"/>
  <c r="BV80" i="92" a="1"/>
  <c r="CF80" i="92" a="1"/>
  <c r="BY80" i="92" a="1"/>
  <c r="BW80" i="92" a="1"/>
  <c r="Y175" i="88" l="1"/>
  <c r="U778" i="89"/>
  <c r="Y136" i="88"/>
  <c r="U432" i="89"/>
  <c r="Y97" i="88"/>
  <c r="CI80" i="92"/>
  <c r="BN80" i="92"/>
  <c r="BJ80" i="92"/>
  <c r="CG80" i="92"/>
  <c r="CK80" i="92" s="1"/>
  <c r="BY80" i="92"/>
  <c r="CJ80" i="92"/>
  <c r="BK80" i="92"/>
  <c r="BO80" i="92" s="1"/>
  <c r="U87" i="89" s="1"/>
  <c r="CH80" i="92"/>
  <c r="BL80" i="92"/>
  <c r="BU80" i="92"/>
  <c r="CF80" i="92"/>
  <c r="BW80" i="92"/>
  <c r="BX80" i="92"/>
  <c r="BV80" i="92"/>
  <c r="BZ80" i="92" s="1"/>
  <c r="BM80" i="92"/>
  <c r="CE82" i="92"/>
  <c r="BT82" i="92"/>
  <c r="BI82" i="92"/>
  <c r="BM81" i="92" a="1"/>
  <c r="BW81" i="92" a="1"/>
  <c r="BK81" i="92" a="1"/>
  <c r="BJ81" i="92" a="1"/>
  <c r="BY81" i="92" a="1"/>
  <c r="BL81" i="92" a="1"/>
  <c r="CG81" i="92" a="1"/>
  <c r="BU81" i="92" a="1"/>
  <c r="CH81" i="92" a="1"/>
  <c r="BV81" i="92" a="1"/>
  <c r="BX81" i="92" a="1"/>
  <c r="CJ81" i="92" a="1"/>
  <c r="CF81" i="92" a="1"/>
  <c r="CI81" i="92" a="1"/>
  <c r="BN81" i="92" a="1"/>
  <c r="Y137" i="88" l="1"/>
  <c r="U433" i="89"/>
  <c r="Y176" i="88"/>
  <c r="U779" i="89"/>
  <c r="Y98" i="88"/>
  <c r="BW81" i="92"/>
  <c r="CJ81" i="92"/>
  <c r="BJ81" i="92"/>
  <c r="CG81" i="92"/>
  <c r="CK81" i="92" s="1"/>
  <c r="BK81" i="92"/>
  <c r="BO81" i="92" s="1"/>
  <c r="U88" i="89" s="1"/>
  <c r="CI81" i="92"/>
  <c r="BN81" i="92"/>
  <c r="CH81" i="92"/>
  <c r="BL81" i="92"/>
  <c r="BM81" i="92"/>
  <c r="BU81" i="92"/>
  <c r="CF81" i="92"/>
  <c r="BY81" i="92"/>
  <c r="BX81" i="92"/>
  <c r="BV81" i="92"/>
  <c r="BZ81" i="92" s="1"/>
  <c r="BT83" i="92"/>
  <c r="BI83" i="92"/>
  <c r="CE83" i="92"/>
  <c r="CH82" i="92" a="1"/>
  <c r="BY82" i="92" a="1"/>
  <c r="BU82" i="92" a="1"/>
  <c r="BV82" i="92" a="1"/>
  <c r="CG82" i="92" a="1"/>
  <c r="CJ82" i="92" a="1"/>
  <c r="BM82" i="92" a="1"/>
  <c r="BN82" i="92" a="1"/>
  <c r="BX82" i="92" a="1"/>
  <c r="CI82" i="92" a="1"/>
  <c r="BK82" i="92" a="1"/>
  <c r="BW82" i="92" a="1"/>
  <c r="BJ82" i="92" a="1"/>
  <c r="BL82" i="92" a="1"/>
  <c r="CF82" i="92" a="1"/>
  <c r="Y177" i="88" l="1"/>
  <c r="U780" i="89"/>
  <c r="Y138" i="88"/>
  <c r="U434" i="89"/>
  <c r="Y99" i="88"/>
  <c r="BK82" i="92"/>
  <c r="BO82" i="92" s="1"/>
  <c r="U89" i="89" s="1"/>
  <c r="BL82" i="92"/>
  <c r="BM82" i="92"/>
  <c r="CH82" i="92"/>
  <c r="BY82" i="92"/>
  <c r="CI82" i="92"/>
  <c r="BX82" i="92"/>
  <c r="CJ82" i="92"/>
  <c r="BV82" i="92"/>
  <c r="BZ82" i="92" s="1"/>
  <c r="CF82" i="92"/>
  <c r="BW82" i="92"/>
  <c r="CG82" i="92"/>
  <c r="CK82" i="92" s="1"/>
  <c r="BU82" i="92"/>
  <c r="BN82" i="92"/>
  <c r="BJ82" i="92"/>
  <c r="CE84" i="92"/>
  <c r="BT84" i="92"/>
  <c r="BI84" i="92"/>
  <c r="BJ83" i="92" a="1"/>
  <c r="CI83" i="92" a="1"/>
  <c r="BK83" i="92" a="1"/>
  <c r="BU83" i="92" a="1"/>
  <c r="BL83" i="92" a="1"/>
  <c r="CF83" i="92" a="1"/>
  <c r="CJ83" i="92" a="1"/>
  <c r="BW83" i="92" a="1"/>
  <c r="BY83" i="92" a="1"/>
  <c r="BV83" i="92" a="1"/>
  <c r="CG83" i="92" a="1"/>
  <c r="BN83" i="92" a="1"/>
  <c r="CH83" i="92" a="1"/>
  <c r="BX83" i="92" a="1"/>
  <c r="BM83" i="92" a="1"/>
  <c r="Y139" i="88" l="1"/>
  <c r="U435" i="89"/>
  <c r="Y178" i="88"/>
  <c r="U781" i="89"/>
  <c r="Y100" i="88"/>
  <c r="BU83" i="92"/>
  <c r="BN83" i="92"/>
  <c r="CH83" i="92"/>
  <c r="CG83" i="92"/>
  <c r="CK83" i="92" s="1"/>
  <c r="BJ83" i="92"/>
  <c r="CI83" i="92"/>
  <c r="BK83" i="92"/>
  <c r="BO83" i="92" s="1"/>
  <c r="U90" i="89" s="1"/>
  <c r="CJ83" i="92"/>
  <c r="BL83" i="92"/>
  <c r="CF83" i="92"/>
  <c r="BM83" i="92"/>
  <c r="BY83" i="92"/>
  <c r="BW83" i="92"/>
  <c r="BX83" i="92"/>
  <c r="BV83" i="92"/>
  <c r="BZ83" i="92" s="1"/>
  <c r="BT85" i="92"/>
  <c r="BI85" i="92"/>
  <c r="CE85" i="92"/>
  <c r="CH84" i="92" a="1"/>
  <c r="BX84" i="92" a="1"/>
  <c r="CG84" i="92" a="1"/>
  <c r="CI84" i="92" a="1"/>
  <c r="BV84" i="92" a="1"/>
  <c r="CF84" i="92" a="1"/>
  <c r="BW84" i="92" a="1"/>
  <c r="BU84" i="92" a="1"/>
  <c r="BM84" i="92" a="1"/>
  <c r="BL84" i="92" a="1"/>
  <c r="BK84" i="92" a="1"/>
  <c r="BN84" i="92" a="1"/>
  <c r="BY84" i="92" a="1"/>
  <c r="BJ84" i="92" a="1"/>
  <c r="CJ84" i="92" a="1"/>
  <c r="Y179" i="88" l="1"/>
  <c r="U782" i="89"/>
  <c r="Y140" i="88"/>
  <c r="U436" i="89"/>
  <c r="Y101" i="88"/>
  <c r="BL84" i="92"/>
  <c r="BM84" i="92"/>
  <c r="CG84" i="92"/>
  <c r="CK84" i="92" s="1"/>
  <c r="BW84" i="92"/>
  <c r="CH84" i="92"/>
  <c r="BU84" i="92"/>
  <c r="CI84" i="92"/>
  <c r="BY84" i="92"/>
  <c r="BK84" i="92"/>
  <c r="BO84" i="92" s="1"/>
  <c r="U91" i="89" s="1"/>
  <c r="CJ84" i="92"/>
  <c r="BX84" i="92"/>
  <c r="CF84" i="92"/>
  <c r="BV84" i="92"/>
  <c r="BZ84" i="92" s="1"/>
  <c r="BN84" i="92"/>
  <c r="BJ84" i="92"/>
  <c r="CE90" i="92"/>
  <c r="BT90" i="92"/>
  <c r="BI90" i="92"/>
  <c r="CF85" i="92" a="1"/>
  <c r="BW85" i="92" a="1"/>
  <c r="CI85" i="92" a="1"/>
  <c r="CJ85" i="92" a="1"/>
  <c r="BJ85" i="92" a="1"/>
  <c r="CH85" i="92" a="1"/>
  <c r="BX85" i="92" a="1"/>
  <c r="BQ512" i="92"/>
  <c r="BU85" i="92" a="1"/>
  <c r="CG85" i="92" a="1"/>
  <c r="BK85" i="92" a="1"/>
  <c r="BL85" i="92" a="1"/>
  <c r="BM85" i="92" a="1"/>
  <c r="BN85" i="92" a="1"/>
  <c r="BO512" i="92"/>
  <c r="BY85" i="92" a="1"/>
  <c r="BV85" i="92" a="1"/>
  <c r="Y180" i="88" l="1"/>
  <c r="U783" i="89"/>
  <c r="Y141" i="88"/>
  <c r="U437" i="89"/>
  <c r="Y102" i="88"/>
  <c r="BV85" i="92"/>
  <c r="BX85" i="92"/>
  <c r="BN85" i="92"/>
  <c r="CH85" i="92"/>
  <c r="CG85" i="92"/>
  <c r="BJ85" i="92"/>
  <c r="CI85" i="92"/>
  <c r="BK85" i="92"/>
  <c r="CJ85" i="92"/>
  <c r="BL85" i="92"/>
  <c r="CF85" i="92"/>
  <c r="BM85" i="92"/>
  <c r="BW85" i="92"/>
  <c r="BU85" i="92"/>
  <c r="BY85" i="92"/>
  <c r="BT91" i="92"/>
  <c r="BI91" i="92"/>
  <c r="CE91" i="92"/>
  <c r="CJ90" i="92" a="1"/>
  <c r="BV90" i="92" a="1"/>
  <c r="BX90" i="92" a="1"/>
  <c r="BY90" i="92" a="1"/>
  <c r="BY432" i="92" a="1"/>
  <c r="BM90" i="92" a="1"/>
  <c r="BY416" i="92" a="1"/>
  <c r="BJ90" i="92" a="1"/>
  <c r="BL90" i="92" a="1"/>
  <c r="BW90" i="92" a="1"/>
  <c r="CG90" i="92" a="1"/>
  <c r="BY448" i="92" a="1"/>
  <c r="BN90" i="92" a="1"/>
  <c r="CH90" i="92" a="1"/>
  <c r="CI90" i="92" a="1"/>
  <c r="BM90" i="92" l="1"/>
  <c r="CG90" i="92"/>
  <c r="BV90" i="92"/>
  <c r="CI90" i="92"/>
  <c r="BW90" i="92"/>
  <c r="BY416" i="92"/>
  <c r="CA416" i="92" s="1"/>
  <c r="CH90" i="92"/>
  <c r="BY90" i="92"/>
  <c r="CJ90" i="92"/>
  <c r="BX90" i="92"/>
  <c r="BY448" i="92"/>
  <c r="CA448" i="92" s="1"/>
  <c r="BN90" i="92"/>
  <c r="BL90" i="92"/>
  <c r="BJ90" i="92"/>
  <c r="BY432" i="92"/>
  <c r="CA432" i="92" s="1"/>
  <c r="CK85" i="92"/>
  <c r="CE92" i="92"/>
  <c r="BT92" i="92"/>
  <c r="BI92" i="92"/>
  <c r="BZ85" i="92"/>
  <c r="BW91" i="92" a="1"/>
  <c r="CJ91" i="92" a="1"/>
  <c r="BV91" i="92" a="1"/>
  <c r="BM91" i="92" a="1"/>
  <c r="BL91" i="92" a="1"/>
  <c r="BK91" i="92" a="1"/>
  <c r="CH91" i="92" a="1"/>
  <c r="BY91" i="92" a="1"/>
  <c r="BO432" i="92" a="1"/>
  <c r="CI91" i="92" a="1"/>
  <c r="BX91" i="92" a="1"/>
  <c r="BN91" i="92" a="1"/>
  <c r="BO448" i="92" a="1"/>
  <c r="BJ91" i="92" a="1"/>
  <c r="CG91" i="92" a="1"/>
  <c r="Y181" i="88" l="1"/>
  <c r="U784" i="89"/>
  <c r="Y142" i="88"/>
  <c r="U438" i="89"/>
  <c r="BS470" i="92"/>
  <c r="AD59" i="88" s="1"/>
  <c r="BO470" i="92"/>
  <c r="N59" i="88" s="1"/>
  <c r="BQ470" i="92"/>
  <c r="V59" i="88" s="1"/>
  <c r="BN91" i="92"/>
  <c r="CJ91" i="92"/>
  <c r="BJ91" i="92"/>
  <c r="BM91" i="92"/>
  <c r="BW91" i="92"/>
  <c r="BY91" i="92"/>
  <c r="BX91" i="92"/>
  <c r="BV91" i="92"/>
  <c r="BZ91" i="92" s="1"/>
  <c r="BO432" i="92"/>
  <c r="BQ432" i="92" s="1"/>
  <c r="CI91" i="92"/>
  <c r="BO448" i="92"/>
  <c r="BQ448" i="92" s="1"/>
  <c r="BK91" i="92"/>
  <c r="BO91" i="92" s="1"/>
  <c r="U99" i="89" s="1"/>
  <c r="CH91" i="92"/>
  <c r="BL91" i="92"/>
  <c r="CG91" i="92"/>
  <c r="CK91" i="92" s="1"/>
  <c r="BI93" i="92"/>
  <c r="CE93" i="92"/>
  <c r="BT93" i="92"/>
  <c r="BZ90" i="92"/>
  <c r="CK90" i="92"/>
  <c r="BN92" i="92" a="1"/>
  <c r="BK92" i="92" a="1"/>
  <c r="CG92" i="92" a="1"/>
  <c r="CF92" i="92" a="1"/>
  <c r="BM92" i="92" a="1"/>
  <c r="CJ92" i="92" a="1"/>
  <c r="BW92" i="92" a="1"/>
  <c r="BU92" i="92" a="1"/>
  <c r="BX92" i="92" a="1"/>
  <c r="BV92" i="92" a="1"/>
  <c r="CH92" i="92" a="1"/>
  <c r="BL92" i="92" a="1"/>
  <c r="CI92" i="92" a="1"/>
  <c r="BJ92" i="92" a="1"/>
  <c r="BY92" i="92" a="1"/>
  <c r="AA171" i="88" l="1"/>
  <c r="U791" i="89"/>
  <c r="AA170" i="88"/>
  <c r="U790" i="89"/>
  <c r="AA131" i="88"/>
  <c r="U444" i="89"/>
  <c r="AA132" i="88"/>
  <c r="U445" i="89"/>
  <c r="BN470" i="92"/>
  <c r="AB59" i="88" s="1"/>
  <c r="BL470" i="92"/>
  <c r="T59" i="88" s="1"/>
  <c r="AA93" i="88"/>
  <c r="CG92" i="92"/>
  <c r="CK92" i="92" s="1"/>
  <c r="CF92" i="92"/>
  <c r="CJ92" i="92"/>
  <c r="CH92" i="92"/>
  <c r="CI92" i="92"/>
  <c r="BV92" i="92"/>
  <c r="BZ92" i="92" s="1"/>
  <c r="BX92" i="92"/>
  <c r="BL92" i="92"/>
  <c r="BW92" i="92"/>
  <c r="BN92" i="92"/>
  <c r="BU92" i="92"/>
  <c r="BY92" i="92"/>
  <c r="BK92" i="92"/>
  <c r="BO92" i="92" s="1"/>
  <c r="U100" i="89" s="1"/>
  <c r="BM92" i="92"/>
  <c r="BJ92" i="92"/>
  <c r="CE94" i="92"/>
  <c r="BI94" i="92"/>
  <c r="BT94" i="92"/>
  <c r="BJ93" i="92" a="1"/>
  <c r="BU93" i="92" a="1"/>
  <c r="BK93" i="92" a="1"/>
  <c r="BV93" i="92" a="1"/>
  <c r="CI93" i="92" a="1"/>
  <c r="BN93" i="92" a="1"/>
  <c r="BX93" i="92" a="1"/>
  <c r="CJ93" i="92" a="1"/>
  <c r="CG93" i="92" a="1"/>
  <c r="BM93" i="92" a="1"/>
  <c r="BL93" i="92" a="1"/>
  <c r="CF93" i="92" a="1"/>
  <c r="BY93" i="92" a="1"/>
  <c r="CH93" i="92" a="1"/>
  <c r="BW93" i="92" a="1"/>
  <c r="AA172" i="88" l="1"/>
  <c r="U792" i="89"/>
  <c r="AA133" i="88"/>
  <c r="U446" i="89"/>
  <c r="AA94" i="88"/>
  <c r="BM93" i="92"/>
  <c r="BJ93" i="92"/>
  <c r="BX93" i="92"/>
  <c r="CG93" i="92"/>
  <c r="CK93" i="92" s="1"/>
  <c r="BV93" i="92"/>
  <c r="BZ93" i="92" s="1"/>
  <c r="CJ93" i="92"/>
  <c r="BU93" i="92"/>
  <c r="CI93" i="92"/>
  <c r="BW93" i="92"/>
  <c r="CF93" i="92"/>
  <c r="CH93" i="92"/>
  <c r="BY93" i="92"/>
  <c r="BK93" i="92"/>
  <c r="BO93" i="92" s="1"/>
  <c r="U101" i="89" s="1"/>
  <c r="BL93" i="92"/>
  <c r="BN93" i="92"/>
  <c r="BI95" i="92"/>
  <c r="CE95" i="92"/>
  <c r="BT95" i="92"/>
  <c r="BN94" i="92" a="1"/>
  <c r="BK94" i="92" a="1"/>
  <c r="BL94" i="92" a="1"/>
  <c r="CJ94" i="92" a="1"/>
  <c r="BX94" i="92" a="1"/>
  <c r="CG94" i="92" a="1"/>
  <c r="BM94" i="92" a="1"/>
  <c r="BU94" i="92" a="1"/>
  <c r="BJ94" i="92" a="1"/>
  <c r="CF94" i="92" a="1"/>
  <c r="BY94" i="92" a="1"/>
  <c r="CI94" i="92" a="1"/>
  <c r="CH94" i="92" a="1"/>
  <c r="BW94" i="92" a="1"/>
  <c r="AA134" i="88" l="1"/>
  <c r="U447" i="89"/>
  <c r="AA173" i="88"/>
  <c r="U793" i="89"/>
  <c r="AA95" i="88"/>
  <c r="BW94" i="92"/>
  <c r="CH94" i="92"/>
  <c r="BN94" i="92"/>
  <c r="CI94" i="92"/>
  <c r="BU94" i="92"/>
  <c r="BK94" i="92"/>
  <c r="BO94" i="92" s="1"/>
  <c r="U102" i="89" s="1"/>
  <c r="BY94" i="92"/>
  <c r="BM94" i="92"/>
  <c r="BJ94" i="92"/>
  <c r="BL94" i="92"/>
  <c r="BX94" i="92"/>
  <c r="CJ94" i="92"/>
  <c r="CG94" i="92"/>
  <c r="CF94" i="92"/>
  <c r="CE96" i="92"/>
  <c r="BI96" i="92"/>
  <c r="BT96" i="92"/>
  <c r="CI95" i="92" a="1"/>
  <c r="BX95" i="92" a="1"/>
  <c r="BK95" i="92" a="1"/>
  <c r="CF95" i="92" a="1"/>
  <c r="BU95" i="92" a="1"/>
  <c r="BW95" i="92" a="1"/>
  <c r="BJ95" i="92" a="1"/>
  <c r="BL95" i="92" a="1"/>
  <c r="BM95" i="92" a="1"/>
  <c r="BY95" i="92" a="1"/>
  <c r="BV95" i="92" a="1"/>
  <c r="CH95" i="92" a="1"/>
  <c r="CJ95" i="92" a="1"/>
  <c r="BN95" i="92" a="1"/>
  <c r="CG95" i="92" a="1"/>
  <c r="AA96" i="88" l="1"/>
  <c r="BJ95" i="92"/>
  <c r="CG95" i="92"/>
  <c r="CK95" i="92" s="1"/>
  <c r="BX95" i="92"/>
  <c r="BY95" i="92"/>
  <c r="CJ95" i="92"/>
  <c r="CH95" i="92"/>
  <c r="BV95" i="92"/>
  <c r="BZ95" i="92" s="1"/>
  <c r="BU95" i="92"/>
  <c r="CI95" i="92"/>
  <c r="BM95" i="92"/>
  <c r="BW95" i="92"/>
  <c r="CF95" i="92"/>
  <c r="BK95" i="92"/>
  <c r="BO95" i="92" s="1"/>
  <c r="U103" i="89" s="1"/>
  <c r="BL95" i="92"/>
  <c r="BN95" i="92"/>
  <c r="BI97" i="92"/>
  <c r="CE97" i="92"/>
  <c r="BT97" i="92"/>
  <c r="CK94" i="92"/>
  <c r="CJ96" i="92" a="1"/>
  <c r="BV96" i="92" a="1"/>
  <c r="CI96" i="92" a="1"/>
  <c r="BJ96" i="92" a="1"/>
  <c r="CH96" i="92" a="1"/>
  <c r="BW96" i="92" a="1"/>
  <c r="BL96" i="92" a="1"/>
  <c r="CG96" i="92" a="1"/>
  <c r="CF96" i="92" a="1"/>
  <c r="BK96" i="92" a="1"/>
  <c r="BU96" i="92" a="1"/>
  <c r="BN96" i="92" a="1"/>
  <c r="BM96" i="92" a="1"/>
  <c r="BX96" i="92" a="1"/>
  <c r="BY96" i="92" a="1"/>
  <c r="AA175" i="88" l="1"/>
  <c r="U795" i="89"/>
  <c r="AA174" i="88"/>
  <c r="U794" i="89"/>
  <c r="AA136" i="88"/>
  <c r="U449" i="89"/>
  <c r="AA97" i="88"/>
  <c r="CI96" i="92"/>
  <c r="BV96" i="92"/>
  <c r="BZ96" i="92" s="1"/>
  <c r="BL96" i="92"/>
  <c r="BW96" i="92"/>
  <c r="BN96" i="92"/>
  <c r="BX96" i="92"/>
  <c r="BU96" i="92"/>
  <c r="BK96" i="92"/>
  <c r="BO96" i="92" s="1"/>
  <c r="U104" i="89" s="1"/>
  <c r="BY96" i="92"/>
  <c r="BM96" i="92"/>
  <c r="BJ96" i="92"/>
  <c r="CH96" i="92"/>
  <c r="CG96" i="92"/>
  <c r="CK96" i="92" s="1"/>
  <c r="CJ96" i="92"/>
  <c r="CF96" i="92"/>
  <c r="CE98" i="92"/>
  <c r="BI98" i="92"/>
  <c r="BT98" i="92"/>
  <c r="BW97" i="92" a="1"/>
  <c r="BV97" i="92" a="1"/>
  <c r="CH97" i="92" a="1"/>
  <c r="BX97" i="92" a="1"/>
  <c r="BL97" i="92" a="1"/>
  <c r="CJ97" i="92" a="1"/>
  <c r="BY97" i="92" a="1"/>
  <c r="CF97" i="92" a="1"/>
  <c r="CG97" i="92" a="1"/>
  <c r="BU97" i="92" a="1"/>
  <c r="BN97" i="92" a="1"/>
  <c r="CI97" i="92" a="1"/>
  <c r="BJ97" i="92" a="1"/>
  <c r="BM97" i="92" a="1"/>
  <c r="BK97" i="92" a="1"/>
  <c r="AA137" i="88" l="1"/>
  <c r="U450" i="89"/>
  <c r="AA176" i="88"/>
  <c r="U796" i="89"/>
  <c r="AA98" i="88"/>
  <c r="BM97" i="92"/>
  <c r="BJ97" i="92"/>
  <c r="BW97" i="92"/>
  <c r="CH97" i="92"/>
  <c r="BY97" i="92"/>
  <c r="CG97" i="92"/>
  <c r="CK97" i="92" s="1"/>
  <c r="BV97" i="92"/>
  <c r="BZ97" i="92" s="1"/>
  <c r="CF97" i="92"/>
  <c r="BX97" i="92"/>
  <c r="CJ97" i="92"/>
  <c r="BU97" i="92"/>
  <c r="CI97" i="92"/>
  <c r="BK97" i="92"/>
  <c r="BO97" i="92" s="1"/>
  <c r="U105" i="89" s="1"/>
  <c r="BL97" i="92"/>
  <c r="BN97" i="92"/>
  <c r="BI99" i="92"/>
  <c r="BT99" i="92"/>
  <c r="CE99" i="92"/>
  <c r="CF98" i="92" a="1"/>
  <c r="BN98" i="92" a="1"/>
  <c r="BJ98" i="92" a="1"/>
  <c r="BL98" i="92" a="1"/>
  <c r="CH98" i="92" a="1"/>
  <c r="BU98" i="92" a="1"/>
  <c r="CI98" i="92" a="1"/>
  <c r="BM98" i="92" a="1"/>
  <c r="BX98" i="92" a="1"/>
  <c r="BK98" i="92" a="1"/>
  <c r="BV98" i="92" a="1"/>
  <c r="BW98" i="92" a="1"/>
  <c r="CJ98" i="92" a="1"/>
  <c r="CG98" i="92" a="1"/>
  <c r="BY98" i="92" a="1"/>
  <c r="AA177" i="88" l="1"/>
  <c r="U797" i="89"/>
  <c r="AA138" i="88"/>
  <c r="U451" i="89"/>
  <c r="AA99" i="88"/>
  <c r="BW98" i="92"/>
  <c r="BX98" i="92"/>
  <c r="CI98" i="92"/>
  <c r="BL98" i="92"/>
  <c r="CG98" i="92"/>
  <c r="CK98" i="92" s="1"/>
  <c r="BN98" i="92"/>
  <c r="CF98" i="92"/>
  <c r="BK98" i="92"/>
  <c r="BO98" i="92" s="1"/>
  <c r="U106" i="89" s="1"/>
  <c r="CJ98" i="92"/>
  <c r="CH98" i="92"/>
  <c r="BM98" i="92"/>
  <c r="BJ98" i="92"/>
  <c r="BU98" i="92"/>
  <c r="BY98" i="92"/>
  <c r="BV98" i="92"/>
  <c r="BZ98" i="92" s="1"/>
  <c r="BT100" i="92"/>
  <c r="BI100" i="92"/>
  <c r="CE100" i="92"/>
  <c r="BK99" i="92" a="1"/>
  <c r="BM99" i="92" a="1"/>
  <c r="BV99" i="92" a="1"/>
  <c r="BW99" i="92" a="1"/>
  <c r="BN99" i="92" a="1"/>
  <c r="CF99" i="92" a="1"/>
  <c r="BJ99" i="92" a="1"/>
  <c r="CG99" i="92" a="1"/>
  <c r="CI99" i="92" a="1"/>
  <c r="BX99" i="92" a="1"/>
  <c r="CH99" i="92" a="1"/>
  <c r="BL99" i="92" a="1"/>
  <c r="CJ99" i="92" a="1"/>
  <c r="BY99" i="92" a="1"/>
  <c r="BU99" i="92" a="1"/>
  <c r="AA139" i="88" l="1"/>
  <c r="U452" i="89"/>
  <c r="AA178" i="88"/>
  <c r="U798" i="89"/>
  <c r="AA100" i="88"/>
  <c r="BM99" i="92"/>
  <c r="BJ99" i="92"/>
  <c r="CH99" i="92"/>
  <c r="BW99" i="92"/>
  <c r="CG99" i="92"/>
  <c r="CK99" i="92" s="1"/>
  <c r="BU99" i="92"/>
  <c r="BY99" i="92"/>
  <c r="CF99" i="92"/>
  <c r="BV99" i="92"/>
  <c r="BZ99" i="92" s="1"/>
  <c r="CJ99" i="92"/>
  <c r="BX99" i="92"/>
  <c r="CI99" i="92"/>
  <c r="BK99" i="92"/>
  <c r="BO99" i="92" s="1"/>
  <c r="U107" i="89" s="1"/>
  <c r="BL99" i="92"/>
  <c r="BN99" i="92"/>
  <c r="BI101" i="92"/>
  <c r="CE101" i="92"/>
  <c r="BT101" i="92"/>
  <c r="CH100" i="92" a="1"/>
  <c r="CF100" i="92" a="1"/>
  <c r="BK100" i="92" a="1"/>
  <c r="CI100" i="92" a="1"/>
  <c r="BJ100" i="92" a="1"/>
  <c r="BX100" i="92" a="1"/>
  <c r="BM100" i="92" a="1"/>
  <c r="BU100" i="92" a="1"/>
  <c r="BN100" i="92" a="1"/>
  <c r="CG100" i="92" a="1"/>
  <c r="BV100" i="92" a="1"/>
  <c r="BW100" i="92" a="1"/>
  <c r="BL100" i="92" a="1"/>
  <c r="BY100" i="92" a="1"/>
  <c r="CJ100" i="92" a="1"/>
  <c r="AA179" i="88" l="1"/>
  <c r="U799" i="89"/>
  <c r="AA140" i="88"/>
  <c r="U453" i="89"/>
  <c r="AA101" i="88"/>
  <c r="CF100" i="92"/>
  <c r="CH100" i="92"/>
  <c r="BX100" i="92"/>
  <c r="BL100" i="92"/>
  <c r="BY100" i="92"/>
  <c r="BN100" i="92"/>
  <c r="BU100" i="92"/>
  <c r="BV100" i="92"/>
  <c r="BZ100" i="92" s="1"/>
  <c r="BK100" i="92"/>
  <c r="BO100" i="92" s="1"/>
  <c r="U108" i="89" s="1"/>
  <c r="BW100" i="92"/>
  <c r="BM100" i="92"/>
  <c r="BJ100" i="92"/>
  <c r="CG100" i="92"/>
  <c r="CK100" i="92" s="1"/>
  <c r="CI100" i="92"/>
  <c r="CJ100" i="92"/>
  <c r="CE106" i="92"/>
  <c r="BI106" i="92"/>
  <c r="BT106" i="92"/>
  <c r="BP353" i="92"/>
  <c r="CJ101" i="92" a="1"/>
  <c r="BO513" i="92"/>
  <c r="BK101" i="92" a="1"/>
  <c r="CH101" i="92" a="1"/>
  <c r="BW101" i="92" a="1"/>
  <c r="CI101" i="92" a="1"/>
  <c r="CG101" i="92" a="1"/>
  <c r="BN101" i="92" a="1"/>
  <c r="BL101" i="92" a="1"/>
  <c r="CF101" i="92" a="1"/>
  <c r="BQ513" i="92"/>
  <c r="BJ101" i="92" a="1"/>
  <c r="BM101" i="92" a="1"/>
  <c r="BX101" i="92" a="1"/>
  <c r="BY101" i="92" a="1"/>
  <c r="BV101" i="92" a="1"/>
  <c r="BU101" i="92" a="1"/>
  <c r="AA180" i="88" l="1"/>
  <c r="U800" i="89"/>
  <c r="AA141" i="88"/>
  <c r="U454" i="89"/>
  <c r="AA102" i="88"/>
  <c r="BM101" i="92"/>
  <c r="BX101" i="92"/>
  <c r="CH101" i="92"/>
  <c r="BU101" i="92"/>
  <c r="CG101" i="92"/>
  <c r="BY101" i="92"/>
  <c r="CI101" i="92"/>
  <c r="BV101" i="92"/>
  <c r="CF101" i="92"/>
  <c r="BJ101" i="92"/>
  <c r="BW101" i="92"/>
  <c r="CJ101" i="92"/>
  <c r="BK101" i="92"/>
  <c r="BL101" i="92"/>
  <c r="BN101" i="92"/>
  <c r="BT107" i="92"/>
  <c r="CE107" i="92"/>
  <c r="BI107" i="92"/>
  <c r="CI106" i="92" a="1"/>
  <c r="BL106" i="92" a="1"/>
  <c r="BV106" i="92" a="1"/>
  <c r="BY106" i="92" a="1"/>
  <c r="BM106" i="92" a="1"/>
  <c r="BW106" i="92" a="1"/>
  <c r="CH106" i="92" a="1"/>
  <c r="BJ106" i="92" a="1"/>
  <c r="BX106" i="92" a="1"/>
  <c r="BZ448" i="92" a="1"/>
  <c r="BZ416" i="92" a="1"/>
  <c r="BN106" i="92" a="1"/>
  <c r="CG106" i="92" a="1"/>
  <c r="CJ106" i="92" a="1"/>
  <c r="BZ432" i="92" a="1"/>
  <c r="BL106" i="92" l="1"/>
  <c r="BY106" i="92"/>
  <c r="BZ432" i="92"/>
  <c r="CB432" i="92" s="1"/>
  <c r="CI106" i="92"/>
  <c r="BV106" i="92"/>
  <c r="BX106" i="92"/>
  <c r="BM106" i="92"/>
  <c r="BW106" i="92"/>
  <c r="BZ448" i="92"/>
  <c r="CB448" i="92" s="1"/>
  <c r="BJ106" i="92"/>
  <c r="CH106" i="92"/>
  <c r="BN106" i="92"/>
  <c r="CG106" i="92"/>
  <c r="CJ106" i="92"/>
  <c r="BZ416" i="92"/>
  <c r="CB416" i="92" s="1"/>
  <c r="CE108" i="92"/>
  <c r="BZ101" i="92"/>
  <c r="CK101" i="92"/>
  <c r="BI108" i="92"/>
  <c r="BT108" i="92"/>
  <c r="CI107" i="92" a="1"/>
  <c r="BL107" i="92" a="1"/>
  <c r="BJ107" i="92" a="1"/>
  <c r="CH107" i="92" a="1"/>
  <c r="BN433" i="92" a="1"/>
  <c r="BW107" i="92" a="1"/>
  <c r="BM107" i="92" a="1"/>
  <c r="CG107" i="92" a="1"/>
  <c r="BX107" i="92" a="1"/>
  <c r="CP39" i="92" a="1"/>
  <c r="BN107" i="92" a="1"/>
  <c r="BV107" i="92" a="1"/>
  <c r="BK107" i="92" a="1"/>
  <c r="CP47" i="92" a="1"/>
  <c r="CJ107" i="92" a="1"/>
  <c r="BN449" i="92" a="1"/>
  <c r="BY107" i="92" a="1"/>
  <c r="CP47" i="92" l="1"/>
  <c r="P165" i="88" s="1"/>
  <c r="AA181" i="88"/>
  <c r="U801" i="89"/>
  <c r="AA142" i="88"/>
  <c r="U455" i="89"/>
  <c r="CP39" i="92"/>
  <c r="BT470" i="92"/>
  <c r="AF59" i="88" s="1"/>
  <c r="BP470" i="92"/>
  <c r="P59" i="88" s="1"/>
  <c r="BR470" i="92"/>
  <c r="X59" i="88" s="1"/>
  <c r="BN433" i="92"/>
  <c r="BP433" i="92" s="1"/>
  <c r="BK471" i="92" s="1"/>
  <c r="R60" i="88" s="1"/>
  <c r="BM107" i="92"/>
  <c r="BN449" i="92"/>
  <c r="BP449" i="92" s="1"/>
  <c r="BJ107" i="92"/>
  <c r="BW107" i="92"/>
  <c r="BN107" i="92"/>
  <c r="BX107" i="92"/>
  <c r="CH107" i="92"/>
  <c r="BY107" i="92"/>
  <c r="CG107" i="92"/>
  <c r="CK107" i="92" s="1"/>
  <c r="BV107" i="92"/>
  <c r="BZ107" i="92" s="1"/>
  <c r="CI107" i="92"/>
  <c r="BK107" i="92"/>
  <c r="BO107" i="92" s="1"/>
  <c r="U116" i="89" s="1"/>
  <c r="CJ107" i="92"/>
  <c r="BL107" i="92"/>
  <c r="BI109" i="92"/>
  <c r="BZ106" i="92"/>
  <c r="CK106" i="92"/>
  <c r="BT109" i="92"/>
  <c r="CE109" i="92"/>
  <c r="CH108" i="92" a="1"/>
  <c r="CI108" i="92" a="1"/>
  <c r="BW108" i="92" a="1"/>
  <c r="CG108" i="92" a="1"/>
  <c r="BM108" i="92" a="1"/>
  <c r="BY108" i="92" a="1"/>
  <c r="CJ108" i="92" a="1"/>
  <c r="BX108" i="92" a="1"/>
  <c r="BL108" i="92" a="1"/>
  <c r="BU108" i="92" a="1"/>
  <c r="BV108" i="92" a="1"/>
  <c r="BK108" i="92" a="1"/>
  <c r="BJ108" i="92" a="1"/>
  <c r="CF108" i="92" a="1"/>
  <c r="BN108" i="92" a="1"/>
  <c r="AC132" i="88" l="1"/>
  <c r="U462" i="89"/>
  <c r="AC171" i="88"/>
  <c r="U808" i="89"/>
  <c r="AC170" i="88"/>
  <c r="U807" i="89"/>
  <c r="AC131" i="88"/>
  <c r="U461" i="89"/>
  <c r="BM471" i="92"/>
  <c r="Z60" i="88" s="1"/>
  <c r="AC93" i="88"/>
  <c r="BV108" i="92"/>
  <c r="BZ108" i="92" s="1"/>
  <c r="BK108" i="92"/>
  <c r="BO108" i="92" s="1"/>
  <c r="U117" i="89" s="1"/>
  <c r="CF108" i="92"/>
  <c r="BW108" i="92"/>
  <c r="BM108" i="92"/>
  <c r="BL108" i="92"/>
  <c r="BX108" i="92"/>
  <c r="BN108" i="92"/>
  <c r="BU108" i="92"/>
  <c r="BJ108" i="92"/>
  <c r="BY108" i="92"/>
  <c r="CG108" i="92"/>
  <c r="CK108" i="92" s="1"/>
  <c r="CH108" i="92"/>
  <c r="CJ108" i="92"/>
  <c r="CI108" i="92"/>
  <c r="BI110" i="92"/>
  <c r="BT110" i="92"/>
  <c r="CE110" i="92"/>
  <c r="BJ109" i="92" a="1"/>
  <c r="BU109" i="92" a="1"/>
  <c r="BL109" i="92" a="1"/>
  <c r="BV109" i="92" a="1"/>
  <c r="CJ109" i="92" a="1"/>
  <c r="CF109" i="92" a="1"/>
  <c r="CH109" i="92" a="1"/>
  <c r="BN109" i="92" a="1"/>
  <c r="BK109" i="92" a="1"/>
  <c r="BM109" i="92" a="1"/>
  <c r="BW109" i="92" a="1"/>
  <c r="BX109" i="92" a="1"/>
  <c r="BY109" i="92" a="1"/>
  <c r="CG109" i="92" a="1"/>
  <c r="CI109" i="92" a="1"/>
  <c r="AC133" i="88" l="1"/>
  <c r="U463" i="89"/>
  <c r="AC172" i="88"/>
  <c r="U809" i="89"/>
  <c r="AC94" i="88"/>
  <c r="BU109" i="92"/>
  <c r="CG109" i="92"/>
  <c r="CK109" i="92" s="1"/>
  <c r="BL109" i="92"/>
  <c r="BY109" i="92"/>
  <c r="BK109" i="92"/>
  <c r="BO109" i="92" s="1"/>
  <c r="U118" i="89" s="1"/>
  <c r="BM109" i="92"/>
  <c r="CJ109" i="92"/>
  <c r="CI109" i="92"/>
  <c r="BN109" i="92"/>
  <c r="CF109" i="92"/>
  <c r="CH109" i="92"/>
  <c r="BJ109" i="92"/>
  <c r="BV109" i="92"/>
  <c r="BZ109" i="92" s="1"/>
  <c r="BW109" i="92"/>
  <c r="BX109" i="92"/>
  <c r="BT111" i="92"/>
  <c r="BI111" i="92"/>
  <c r="CE111" i="92"/>
  <c r="CJ110" i="92" a="1"/>
  <c r="BM110" i="92" a="1"/>
  <c r="BN110" i="92" a="1"/>
  <c r="CG110" i="92" a="1"/>
  <c r="BL110" i="92" a="1"/>
  <c r="BU110" i="92" a="1"/>
  <c r="CF110" i="92" a="1"/>
  <c r="CH110" i="92" a="1"/>
  <c r="BK110" i="92" a="1"/>
  <c r="CI110" i="92" a="1"/>
  <c r="BW110" i="92" a="1"/>
  <c r="BJ110" i="92" a="1"/>
  <c r="BY110" i="92" a="1"/>
  <c r="BX110" i="92" a="1"/>
  <c r="AC173" i="88" l="1"/>
  <c r="U810" i="89"/>
  <c r="AC134" i="88"/>
  <c r="U464" i="89"/>
  <c r="AC95" i="88"/>
  <c r="BJ110" i="92"/>
  <c r="BN110" i="92"/>
  <c r="CG110" i="92"/>
  <c r="CK110" i="92" s="1"/>
  <c r="BW110" i="92"/>
  <c r="BY110" i="92"/>
  <c r="CH110" i="92"/>
  <c r="BX110" i="92"/>
  <c r="CJ110" i="92"/>
  <c r="CI110" i="92"/>
  <c r="CF110" i="92"/>
  <c r="BU110" i="92"/>
  <c r="BK110" i="92"/>
  <c r="BO110" i="92" s="1"/>
  <c r="U119" i="89" s="1"/>
  <c r="BL110" i="92"/>
  <c r="BM110" i="92"/>
  <c r="BI112" i="92"/>
  <c r="BT112" i="92"/>
  <c r="CE112" i="92"/>
  <c r="CH111" i="92" a="1"/>
  <c r="BM111" i="92" a="1"/>
  <c r="BY111" i="92" a="1"/>
  <c r="BV111" i="92" a="1"/>
  <c r="BL111" i="92" a="1"/>
  <c r="BW111" i="92" a="1"/>
  <c r="BN111" i="92" a="1"/>
  <c r="BJ111" i="92" a="1"/>
  <c r="CI111" i="92" a="1"/>
  <c r="CF111" i="92" a="1"/>
  <c r="CJ111" i="92" a="1"/>
  <c r="BX111" i="92" a="1"/>
  <c r="CG111" i="92" a="1"/>
  <c r="BU111" i="92" a="1"/>
  <c r="BK111" i="92" a="1"/>
  <c r="AC174" i="88" l="1"/>
  <c r="U811" i="89"/>
  <c r="AC96" i="88"/>
  <c r="BU111" i="92"/>
  <c r="BK111" i="92"/>
  <c r="BO111" i="92" s="1"/>
  <c r="U120" i="89" s="1"/>
  <c r="CG111" i="92"/>
  <c r="CK111" i="92" s="1"/>
  <c r="BL111" i="92"/>
  <c r="CF111" i="92"/>
  <c r="BM111" i="92"/>
  <c r="CJ111" i="92"/>
  <c r="BN111" i="92"/>
  <c r="CH111" i="92"/>
  <c r="CI111" i="92"/>
  <c r="BW111" i="92"/>
  <c r="BJ111" i="92"/>
  <c r="BY111" i="92"/>
  <c r="BX111" i="92"/>
  <c r="BV111" i="92"/>
  <c r="BZ111" i="92" s="1"/>
  <c r="BT113" i="92"/>
  <c r="BI113" i="92"/>
  <c r="CE113" i="92"/>
  <c r="CH112" i="92" a="1"/>
  <c r="BN112" i="92" a="1"/>
  <c r="BL112" i="92" a="1"/>
  <c r="BU112" i="92" a="1"/>
  <c r="CG112" i="92" a="1"/>
  <c r="CI112" i="92" a="1"/>
  <c r="BX112" i="92" a="1"/>
  <c r="BY112" i="92" a="1"/>
  <c r="BM112" i="92" a="1"/>
  <c r="BW112" i="92" a="1"/>
  <c r="BV112" i="92" a="1"/>
  <c r="CJ112" i="92" a="1"/>
  <c r="CF112" i="92" a="1"/>
  <c r="BJ112" i="92" a="1"/>
  <c r="BK112" i="92" a="1"/>
  <c r="AC136" i="88" l="1"/>
  <c r="U466" i="89"/>
  <c r="AC175" i="88"/>
  <c r="U812" i="89"/>
  <c r="AC97" i="88"/>
  <c r="CH112" i="92"/>
  <c r="BY112" i="92"/>
  <c r="CG112" i="92"/>
  <c r="CK112" i="92" s="1"/>
  <c r="BW112" i="92"/>
  <c r="CF112" i="92"/>
  <c r="BV112" i="92"/>
  <c r="BZ112" i="92" s="1"/>
  <c r="BN112" i="92"/>
  <c r="CJ112" i="92"/>
  <c r="BX112" i="92"/>
  <c r="CI112" i="92"/>
  <c r="BU112" i="92"/>
  <c r="BJ112" i="92"/>
  <c r="BK112" i="92"/>
  <c r="BO112" i="92" s="1"/>
  <c r="U121" i="89" s="1"/>
  <c r="BL112" i="92"/>
  <c r="BM112" i="92"/>
  <c r="BI114" i="92"/>
  <c r="CE114" i="92"/>
  <c r="BT114" i="92"/>
  <c r="CI113" i="92" a="1"/>
  <c r="BU113" i="92" a="1"/>
  <c r="CH113" i="92" a="1"/>
  <c r="BX113" i="92" a="1"/>
  <c r="CF113" i="92" a="1"/>
  <c r="BW113" i="92" a="1"/>
  <c r="BY113" i="92" a="1"/>
  <c r="CJ113" i="92" a="1"/>
  <c r="BL113" i="92" a="1"/>
  <c r="CG113" i="92" a="1"/>
  <c r="BJ113" i="92" a="1"/>
  <c r="BK113" i="92" a="1"/>
  <c r="BM113" i="92" a="1"/>
  <c r="BN113" i="92" a="1"/>
  <c r="BV113" i="92" a="1"/>
  <c r="AC137" i="88" l="1"/>
  <c r="U467" i="89"/>
  <c r="AC176" i="88"/>
  <c r="U813" i="89"/>
  <c r="AC98" i="88"/>
  <c r="CI113" i="92"/>
  <c r="BY113" i="92"/>
  <c r="BL113" i="92"/>
  <c r="BW113" i="92"/>
  <c r="BM113" i="92"/>
  <c r="BX113" i="92"/>
  <c r="BN113" i="92"/>
  <c r="CJ113" i="92"/>
  <c r="BV113" i="92"/>
  <c r="BZ113" i="92" s="1"/>
  <c r="BU113" i="92"/>
  <c r="BJ113" i="92"/>
  <c r="BK113" i="92"/>
  <c r="BO113" i="92" s="1"/>
  <c r="U122" i="89" s="1"/>
  <c r="CH113" i="92"/>
  <c r="CG113" i="92"/>
  <c r="CK113" i="92" s="1"/>
  <c r="CF113" i="92"/>
  <c r="CE115" i="92"/>
  <c r="BI115" i="92"/>
  <c r="BT115" i="92"/>
  <c r="BY114" i="92" a="1"/>
  <c r="BK114" i="92" a="1"/>
  <c r="BJ114" i="92" a="1"/>
  <c r="CI114" i="92" a="1"/>
  <c r="BM114" i="92" a="1"/>
  <c r="BW114" i="92" a="1"/>
  <c r="CF114" i="92" a="1"/>
  <c r="CH114" i="92" a="1"/>
  <c r="BU114" i="92" a="1"/>
  <c r="BV114" i="92" a="1"/>
  <c r="BL114" i="92" a="1"/>
  <c r="BN114" i="92" a="1"/>
  <c r="BX114" i="92" a="1"/>
  <c r="CJ114" i="92" a="1"/>
  <c r="CG114" i="92" a="1"/>
  <c r="AC177" i="88" l="1"/>
  <c r="U814" i="89"/>
  <c r="AC138" i="88"/>
  <c r="U468" i="89"/>
  <c r="AC99" i="88"/>
  <c r="BJ114" i="92"/>
  <c r="BK114" i="92"/>
  <c r="BO114" i="92" s="1"/>
  <c r="U123" i="89" s="1"/>
  <c r="BU114" i="92"/>
  <c r="CG114" i="92"/>
  <c r="CK114" i="92" s="1"/>
  <c r="BY114" i="92"/>
  <c r="CH114" i="92"/>
  <c r="BW114" i="92"/>
  <c r="CI114" i="92"/>
  <c r="BX114" i="92"/>
  <c r="CF114" i="92"/>
  <c r="BV114" i="92"/>
  <c r="BZ114" i="92" s="1"/>
  <c r="CJ114" i="92"/>
  <c r="BL114" i="92"/>
  <c r="BM114" i="92"/>
  <c r="BN114" i="92"/>
  <c r="BT116" i="92"/>
  <c r="CE116" i="92"/>
  <c r="BI116" i="92"/>
  <c r="BX115" i="92" a="1"/>
  <c r="CF115" i="92" a="1"/>
  <c r="BK115" i="92" a="1"/>
  <c r="BL115" i="92" a="1"/>
  <c r="BM115" i="92" a="1"/>
  <c r="BJ115" i="92" a="1"/>
  <c r="CI115" i="92" a="1"/>
  <c r="CH115" i="92" a="1"/>
  <c r="BN115" i="92" a="1"/>
  <c r="CG115" i="92" a="1"/>
  <c r="BV115" i="92" a="1"/>
  <c r="BW115" i="92" a="1"/>
  <c r="BY115" i="92" a="1"/>
  <c r="CJ115" i="92" a="1"/>
  <c r="BU115" i="92" a="1"/>
  <c r="AC178" i="88" l="1"/>
  <c r="U815" i="89"/>
  <c r="AC139" i="88"/>
  <c r="U469" i="89"/>
  <c r="AC100" i="88"/>
  <c r="CF115" i="92"/>
  <c r="CJ115" i="92"/>
  <c r="BL115" i="92"/>
  <c r="BU115" i="92"/>
  <c r="BM115" i="92"/>
  <c r="BY115" i="92"/>
  <c r="BN115" i="92"/>
  <c r="BW115" i="92"/>
  <c r="BX115" i="92"/>
  <c r="BJ115" i="92"/>
  <c r="BV115" i="92"/>
  <c r="BZ115" i="92" s="1"/>
  <c r="BK115" i="92"/>
  <c r="BO115" i="92" s="1"/>
  <c r="U124" i="89" s="1"/>
  <c r="CH115" i="92"/>
  <c r="CG115" i="92"/>
  <c r="CK115" i="92" s="1"/>
  <c r="CI115" i="92"/>
  <c r="CE117" i="92"/>
  <c r="BI117" i="92"/>
  <c r="BT117" i="92"/>
  <c r="CG116" i="92" a="1"/>
  <c r="BY116" i="92" a="1"/>
  <c r="CJ116" i="92" a="1"/>
  <c r="BL116" i="92" a="1"/>
  <c r="BM116" i="92" a="1"/>
  <c r="CF116" i="92" a="1"/>
  <c r="BV116" i="92" a="1"/>
  <c r="BX116" i="92" a="1"/>
  <c r="BN116" i="92" a="1"/>
  <c r="CI116" i="92" a="1"/>
  <c r="CH116" i="92" a="1"/>
  <c r="BU116" i="92" a="1"/>
  <c r="BK116" i="92" a="1"/>
  <c r="BJ116" i="92" a="1"/>
  <c r="BW116" i="92" a="1"/>
  <c r="AC140" i="88" l="1"/>
  <c r="U470" i="89"/>
  <c r="AC179" i="88"/>
  <c r="U816" i="89"/>
  <c r="AC101" i="88"/>
  <c r="BK116" i="92"/>
  <c r="BO116" i="92" s="1"/>
  <c r="U125" i="89" s="1"/>
  <c r="BL116" i="92"/>
  <c r="BX116" i="92"/>
  <c r="CH116" i="92"/>
  <c r="BV116" i="92"/>
  <c r="BZ116" i="92" s="1"/>
  <c r="CG116" i="92"/>
  <c r="CK116" i="92" s="1"/>
  <c r="BU116" i="92"/>
  <c r="CI116" i="92"/>
  <c r="BW116" i="92"/>
  <c r="CF116" i="92"/>
  <c r="BY116" i="92"/>
  <c r="CJ116" i="92"/>
  <c r="BJ116" i="92"/>
  <c r="BM116" i="92"/>
  <c r="BN116" i="92"/>
  <c r="BT122" i="92"/>
  <c r="CE122" i="92"/>
  <c r="BI122" i="92"/>
  <c r="CH117" i="92" a="1"/>
  <c r="BY117" i="92" a="1"/>
  <c r="BW117" i="92" a="1"/>
  <c r="BL117" i="92" a="1"/>
  <c r="BQ353" i="92"/>
  <c r="BJ117" i="92" a="1"/>
  <c r="BV117" i="92" a="1"/>
  <c r="BO514" i="92"/>
  <c r="BN117" i="92" a="1"/>
  <c r="BU117" i="92" a="1"/>
  <c r="CF117" i="92" a="1"/>
  <c r="BK117" i="92" a="1"/>
  <c r="CI117" i="92" a="1"/>
  <c r="BQ514" i="92"/>
  <c r="BM117" i="92" a="1"/>
  <c r="BX117" i="92" a="1"/>
  <c r="CG117" i="92" a="1"/>
  <c r="CJ117" i="92" a="1"/>
  <c r="AC180" i="88" l="1"/>
  <c r="U817" i="89"/>
  <c r="AC141" i="88"/>
  <c r="U471" i="89"/>
  <c r="AC102" i="88"/>
  <c r="CI117" i="92"/>
  <c r="CF117" i="92"/>
  <c r="BX117" i="92"/>
  <c r="BN117" i="92"/>
  <c r="BV117" i="92"/>
  <c r="BM117" i="92"/>
  <c r="BU117" i="92"/>
  <c r="BJ117" i="92"/>
  <c r="BW117" i="92"/>
  <c r="BK117" i="92"/>
  <c r="BY117" i="92"/>
  <c r="BL117" i="92"/>
  <c r="CH117" i="92"/>
  <c r="CG117" i="92"/>
  <c r="CJ117" i="92"/>
  <c r="CE123" i="92"/>
  <c r="BI123" i="92"/>
  <c r="BT123" i="92"/>
  <c r="BX122" i="92" a="1"/>
  <c r="BY122" i="92" a="1"/>
  <c r="CI122" i="92" a="1"/>
  <c r="BJ122" i="92" a="1"/>
  <c r="BN122" i="92" a="1"/>
  <c r="BV122" i="92" a="1"/>
  <c r="CH122" i="92" a="1"/>
  <c r="BM122" i="92" a="1"/>
  <c r="CG122" i="92" a="1"/>
  <c r="BL122" i="92" a="1"/>
  <c r="BW122" i="92" a="1"/>
  <c r="BY449" i="92" a="1"/>
  <c r="CJ122" i="92" a="1"/>
  <c r="BY417" i="92" a="1"/>
  <c r="BY433" i="92" a="1"/>
  <c r="BJ122" i="92" l="1"/>
  <c r="BL122" i="92"/>
  <c r="BY417" i="92"/>
  <c r="CA417" i="92" s="1"/>
  <c r="BX122" i="92"/>
  <c r="CH122" i="92"/>
  <c r="CG122" i="92"/>
  <c r="BW122" i="92"/>
  <c r="CI122" i="92"/>
  <c r="CJ122" i="92"/>
  <c r="BY122" i="92"/>
  <c r="BY433" i="92"/>
  <c r="CA433" i="92" s="1"/>
  <c r="BV122" i="92"/>
  <c r="BM122" i="92"/>
  <c r="BN122" i="92"/>
  <c r="BY449" i="92"/>
  <c r="CA449" i="92" s="1"/>
  <c r="BO117" i="92"/>
  <c r="U126" i="89" s="1"/>
  <c r="BZ117" i="92"/>
  <c r="BT124" i="92"/>
  <c r="CE124" i="92"/>
  <c r="CK117" i="92"/>
  <c r="BI124" i="92"/>
  <c r="BX123" i="92" a="1"/>
  <c r="BK123" i="92" a="1"/>
  <c r="CH123" i="92" a="1"/>
  <c r="CG123" i="92" a="1"/>
  <c r="BN123" i="92" a="1"/>
  <c r="BM123" i="92" a="1"/>
  <c r="BO449" i="92" a="1"/>
  <c r="BY123" i="92" a="1"/>
  <c r="CJ123" i="92" a="1"/>
  <c r="BL123" i="92" a="1"/>
  <c r="BV123" i="92" a="1"/>
  <c r="CI123" i="92" a="1"/>
  <c r="BO433" i="92" a="1"/>
  <c r="BW123" i="92" a="1"/>
  <c r="BJ123" i="92" a="1"/>
  <c r="AC142" i="88" l="1"/>
  <c r="U472" i="89"/>
  <c r="AC181" i="88"/>
  <c r="U818" i="89"/>
  <c r="BS471" i="92"/>
  <c r="AD60" i="88" s="1"/>
  <c r="BQ471" i="92"/>
  <c r="V60" i="88" s="1"/>
  <c r="BO471" i="92"/>
  <c r="N60" i="88" s="1"/>
  <c r="AC103" i="88"/>
  <c r="CG123" i="92"/>
  <c r="CK123" i="92" s="1"/>
  <c r="CI123" i="92"/>
  <c r="BM123" i="92"/>
  <c r="BN123" i="92"/>
  <c r="BX123" i="92"/>
  <c r="BV123" i="92"/>
  <c r="BZ123" i="92" s="1"/>
  <c r="BO433" i="92"/>
  <c r="BQ433" i="92" s="1"/>
  <c r="BO449" i="92"/>
  <c r="BQ449" i="92" s="1"/>
  <c r="BN471" i="92" s="1"/>
  <c r="AB60" i="88" s="1"/>
  <c r="BJ123" i="92"/>
  <c r="BK123" i="92"/>
  <c r="BO123" i="92" s="1"/>
  <c r="U133" i="89" s="1"/>
  <c r="BW123" i="92"/>
  <c r="BL123" i="92"/>
  <c r="BY123" i="92"/>
  <c r="CH123" i="92"/>
  <c r="CJ123" i="92"/>
  <c r="CE125" i="92"/>
  <c r="BI125" i="92"/>
  <c r="BZ122" i="92"/>
  <c r="CK122" i="92"/>
  <c r="BT125" i="92"/>
  <c r="CJ124" i="92" a="1"/>
  <c r="BV124" i="92" a="1"/>
  <c r="BJ124" i="92" a="1"/>
  <c r="BU124" i="92" a="1"/>
  <c r="BX124" i="92" a="1"/>
  <c r="BL124" i="92" a="1"/>
  <c r="BN124" i="92" a="1"/>
  <c r="CF124" i="92" a="1"/>
  <c r="CH124" i="92" a="1"/>
  <c r="BK124" i="92" a="1"/>
  <c r="CI124" i="92" a="1"/>
  <c r="BY124" i="92" a="1"/>
  <c r="BM124" i="92" a="1"/>
  <c r="CG124" i="92" a="1"/>
  <c r="BW124" i="92" a="1"/>
  <c r="AE170" i="88" l="1"/>
  <c r="U824" i="89"/>
  <c r="AE171" i="88"/>
  <c r="U825" i="89"/>
  <c r="AE132" i="88"/>
  <c r="U479" i="89"/>
  <c r="AE131" i="88"/>
  <c r="U478" i="89"/>
  <c r="BL471" i="92"/>
  <c r="T60" i="88" s="1"/>
  <c r="AE93" i="88"/>
  <c r="CH124" i="92"/>
  <c r="CJ124" i="92"/>
  <c r="CF124" i="92"/>
  <c r="CI124" i="92"/>
  <c r="BY124" i="92"/>
  <c r="BM124" i="92"/>
  <c r="BN124" i="92"/>
  <c r="BX124" i="92"/>
  <c r="CG124" i="92"/>
  <c r="CK124" i="92" s="1"/>
  <c r="BV124" i="92"/>
  <c r="BZ124" i="92" s="1"/>
  <c r="BJ124" i="92"/>
  <c r="BU124" i="92"/>
  <c r="BK124" i="92"/>
  <c r="BO124" i="92" s="1"/>
  <c r="U134" i="89" s="1"/>
  <c r="BW124" i="92"/>
  <c r="BL124" i="92"/>
  <c r="BT126" i="92"/>
  <c r="CE126" i="92"/>
  <c r="BI126" i="92"/>
  <c r="BK125" i="92" a="1"/>
  <c r="BL125" i="92" a="1"/>
  <c r="BW125" i="92" a="1"/>
  <c r="CI125" i="92" a="1"/>
  <c r="BX125" i="92" a="1"/>
  <c r="CJ125" i="92" a="1"/>
  <c r="BN125" i="92" a="1"/>
  <c r="CH125" i="92" a="1"/>
  <c r="BU125" i="92" a="1"/>
  <c r="BV125" i="92" a="1"/>
  <c r="BJ125" i="92" a="1"/>
  <c r="CF125" i="92" a="1"/>
  <c r="BY125" i="92" a="1"/>
  <c r="CG125" i="92" a="1"/>
  <c r="BM125" i="92" a="1"/>
  <c r="AE172" i="88" l="1"/>
  <c r="U826" i="89"/>
  <c r="AE133" i="88"/>
  <c r="U480" i="89"/>
  <c r="AE94" i="88"/>
  <c r="BX125" i="92"/>
  <c r="CI125" i="92"/>
  <c r="CF125" i="92"/>
  <c r="BM125" i="92"/>
  <c r="BL125" i="92"/>
  <c r="CG125" i="92"/>
  <c r="CK125" i="92" s="1"/>
  <c r="CH125" i="92"/>
  <c r="CJ125" i="92"/>
  <c r="BN125" i="92"/>
  <c r="BV125" i="92"/>
  <c r="BZ125" i="92" s="1"/>
  <c r="BU125" i="92"/>
  <c r="BJ125" i="92"/>
  <c r="BW125" i="92"/>
  <c r="BK125" i="92"/>
  <c r="BO125" i="92" s="1"/>
  <c r="U135" i="89" s="1"/>
  <c r="BY125" i="92"/>
  <c r="BT127" i="92"/>
  <c r="CE127" i="92"/>
  <c r="BI127" i="92"/>
  <c r="BN126" i="92" a="1"/>
  <c r="CI126" i="92" a="1"/>
  <c r="BY126" i="92" a="1"/>
  <c r="CJ126" i="92" a="1"/>
  <c r="CF126" i="92" a="1"/>
  <c r="BX126" i="92" a="1"/>
  <c r="CG126" i="92" a="1"/>
  <c r="BW126" i="92" a="1"/>
  <c r="CH126" i="92" a="1"/>
  <c r="BM126" i="92" a="1"/>
  <c r="BJ126" i="92" a="1"/>
  <c r="BU126" i="92" a="1"/>
  <c r="BL126" i="92" a="1"/>
  <c r="BK126" i="92" a="1"/>
  <c r="AE173" i="88" l="1"/>
  <c r="U827" i="89"/>
  <c r="AE134" i="88"/>
  <c r="U481" i="89"/>
  <c r="AE95" i="88"/>
  <c r="CH126" i="92"/>
  <c r="CJ126" i="92"/>
  <c r="CI126" i="92"/>
  <c r="BM126" i="92"/>
  <c r="BY126" i="92"/>
  <c r="BN126" i="92"/>
  <c r="BX126" i="92"/>
  <c r="BJ126" i="92"/>
  <c r="BU126" i="92"/>
  <c r="BK126" i="92"/>
  <c r="BO126" i="92" s="1"/>
  <c r="U136" i="89" s="1"/>
  <c r="BW126" i="92"/>
  <c r="BL126" i="92"/>
  <c r="CF126" i="92"/>
  <c r="CG126" i="92"/>
  <c r="CK126" i="92" s="1"/>
  <c r="CE128" i="92"/>
  <c r="BI128" i="92"/>
  <c r="BT128" i="92"/>
  <c r="CF127" i="92" a="1"/>
  <c r="BY127" i="92" a="1"/>
  <c r="BK127" i="92" a="1"/>
  <c r="CI127" i="92" a="1"/>
  <c r="CH127" i="92" a="1"/>
  <c r="BU127" i="92" a="1"/>
  <c r="BL127" i="92" a="1"/>
  <c r="CG127" i="92" a="1"/>
  <c r="BV127" i="92" a="1"/>
  <c r="BM127" i="92" a="1"/>
  <c r="BJ127" i="92" a="1"/>
  <c r="BX127" i="92" a="1"/>
  <c r="BW127" i="92" a="1"/>
  <c r="BN127" i="92" a="1"/>
  <c r="CJ127" i="92" a="1"/>
  <c r="AE174" i="88" l="1"/>
  <c r="U828" i="89"/>
  <c r="AE96" i="88"/>
  <c r="BK127" i="92"/>
  <c r="BO127" i="92" s="1"/>
  <c r="U137" i="89" s="1"/>
  <c r="BL127" i="92"/>
  <c r="CH127" i="92"/>
  <c r="BY127" i="92"/>
  <c r="CF127" i="92"/>
  <c r="BW127" i="92"/>
  <c r="CJ127" i="92"/>
  <c r="BV127" i="92"/>
  <c r="BZ127" i="92" s="1"/>
  <c r="BX127" i="92"/>
  <c r="CG127" i="92"/>
  <c r="CK127" i="92" s="1"/>
  <c r="BU127" i="92"/>
  <c r="CI127" i="92"/>
  <c r="BM127" i="92"/>
  <c r="BN127" i="92"/>
  <c r="BJ127" i="92"/>
  <c r="BT129" i="92"/>
  <c r="CE129" i="92"/>
  <c r="BI129" i="92"/>
  <c r="BK128" i="92" a="1"/>
  <c r="BJ128" i="92" a="1"/>
  <c r="BX128" i="92" a="1"/>
  <c r="CF128" i="92" a="1"/>
  <c r="BU128" i="92" a="1"/>
  <c r="BN128" i="92" a="1"/>
  <c r="CH128" i="92" a="1"/>
  <c r="BW128" i="92" a="1"/>
  <c r="BM128" i="92" a="1"/>
  <c r="BY128" i="92" a="1"/>
  <c r="CI128" i="92" a="1"/>
  <c r="BV128" i="92" a="1"/>
  <c r="CJ128" i="92" a="1"/>
  <c r="CG128" i="92" a="1"/>
  <c r="BL128" i="92" a="1"/>
  <c r="AE136" i="88" l="1"/>
  <c r="U483" i="89"/>
  <c r="AE175" i="88"/>
  <c r="U829" i="89"/>
  <c r="AE97" i="88"/>
  <c r="CJ128" i="92"/>
  <c r="CI128" i="92"/>
  <c r="BM128" i="92"/>
  <c r="BW128" i="92"/>
  <c r="BN128" i="92"/>
  <c r="BY128" i="92"/>
  <c r="BX128" i="92"/>
  <c r="BJ128" i="92"/>
  <c r="BV128" i="92"/>
  <c r="BZ128" i="92" s="1"/>
  <c r="BK128" i="92"/>
  <c r="BO128" i="92" s="1"/>
  <c r="U138" i="89" s="1"/>
  <c r="BU128" i="92"/>
  <c r="BL128" i="92"/>
  <c r="CG128" i="92"/>
  <c r="CK128" i="92" s="1"/>
  <c r="CH128" i="92"/>
  <c r="CF128" i="92"/>
  <c r="CE130" i="92"/>
  <c r="BI130" i="92"/>
  <c r="BT130" i="92"/>
  <c r="CH129" i="92" a="1"/>
  <c r="BU129" i="92" a="1"/>
  <c r="CF129" i="92" a="1"/>
  <c r="CI129" i="92" a="1"/>
  <c r="BL129" i="92" a="1"/>
  <c r="BJ129" i="92" a="1"/>
  <c r="BX129" i="92" a="1"/>
  <c r="BW129" i="92" a="1"/>
  <c r="CG129" i="92" a="1"/>
  <c r="BY129" i="92" a="1"/>
  <c r="CJ129" i="92" a="1"/>
  <c r="BM129" i="92" a="1"/>
  <c r="BN129" i="92" a="1"/>
  <c r="BK129" i="92" a="1"/>
  <c r="BV129" i="92" a="1"/>
  <c r="AE176" i="88" l="1"/>
  <c r="U830" i="89"/>
  <c r="AE137" i="88"/>
  <c r="U484" i="89"/>
  <c r="AE98" i="88"/>
  <c r="BJ129" i="92"/>
  <c r="BK129" i="92"/>
  <c r="BO129" i="92" s="1"/>
  <c r="U139" i="89" s="1"/>
  <c r="BL129" i="92"/>
  <c r="BY129" i="92"/>
  <c r="CF129" i="92"/>
  <c r="BX129" i="92"/>
  <c r="CJ129" i="92"/>
  <c r="BV129" i="92"/>
  <c r="BZ129" i="92" s="1"/>
  <c r="CG129" i="92"/>
  <c r="CK129" i="92" s="1"/>
  <c r="BU129" i="92"/>
  <c r="CI129" i="92"/>
  <c r="BW129" i="92"/>
  <c r="BM129" i="92"/>
  <c r="CH129" i="92"/>
  <c r="BN129" i="92"/>
  <c r="BT131" i="92"/>
  <c r="CE131" i="92"/>
  <c r="BI131" i="92"/>
  <c r="BU130" i="92" a="1"/>
  <c r="BV130" i="92" a="1"/>
  <c r="BX130" i="92" a="1"/>
  <c r="BJ130" i="92" a="1"/>
  <c r="BW130" i="92" a="1"/>
  <c r="CH130" i="92" a="1"/>
  <c r="BN130" i="92" a="1"/>
  <c r="CG130" i="92" a="1"/>
  <c r="BM130" i="92" a="1"/>
  <c r="CJ130" i="92" a="1"/>
  <c r="CI130" i="92" a="1"/>
  <c r="BL130" i="92" a="1"/>
  <c r="CF130" i="92" a="1"/>
  <c r="BY130" i="92" a="1"/>
  <c r="BK130" i="92" a="1"/>
  <c r="AE177" i="88" l="1"/>
  <c r="U831" i="89"/>
  <c r="AE138" i="88"/>
  <c r="U485" i="89"/>
  <c r="AE99" i="88"/>
  <c r="CF130" i="92"/>
  <c r="CJ130" i="92"/>
  <c r="BM130" i="92"/>
  <c r="BU130" i="92"/>
  <c r="BN130" i="92"/>
  <c r="BW130" i="92"/>
  <c r="BY130" i="92"/>
  <c r="BJ130" i="92"/>
  <c r="BX130" i="92"/>
  <c r="BK130" i="92"/>
  <c r="BO130" i="92" s="1"/>
  <c r="U140" i="89" s="1"/>
  <c r="BV130" i="92"/>
  <c r="BZ130" i="92" s="1"/>
  <c r="BL130" i="92"/>
  <c r="CG130" i="92"/>
  <c r="CK130" i="92" s="1"/>
  <c r="CH130" i="92"/>
  <c r="CI130" i="92"/>
  <c r="CE132" i="92"/>
  <c r="BI132" i="92"/>
  <c r="BT132" i="92"/>
  <c r="BL131" i="92" a="1"/>
  <c r="BN131" i="92" a="1"/>
  <c r="BY131" i="92" a="1"/>
  <c r="BM131" i="92" a="1"/>
  <c r="BK131" i="92" a="1"/>
  <c r="BX131" i="92" a="1"/>
  <c r="BJ131" i="92" a="1"/>
  <c r="BV131" i="92" a="1"/>
  <c r="CH131" i="92" a="1"/>
  <c r="CI131" i="92" a="1"/>
  <c r="BW131" i="92" a="1"/>
  <c r="BU131" i="92" a="1"/>
  <c r="CF131" i="92" a="1"/>
  <c r="CG131" i="92" a="1"/>
  <c r="CJ131" i="92" a="1"/>
  <c r="AE178" i="88" l="1"/>
  <c r="U832" i="89"/>
  <c r="AE139" i="88"/>
  <c r="U486" i="89"/>
  <c r="AE100" i="88"/>
  <c r="BK131" i="92"/>
  <c r="BO131" i="92" s="1"/>
  <c r="U141" i="89" s="1"/>
  <c r="BJ131" i="92"/>
  <c r="BL131" i="92"/>
  <c r="BU131" i="92"/>
  <c r="CG131" i="92"/>
  <c r="CK131" i="92" s="1"/>
  <c r="CH131" i="92"/>
  <c r="BX131" i="92"/>
  <c r="CF131" i="92"/>
  <c r="BY131" i="92"/>
  <c r="CI131" i="92"/>
  <c r="BV131" i="92"/>
  <c r="BZ131" i="92" s="1"/>
  <c r="CJ131" i="92"/>
  <c r="BM131" i="92"/>
  <c r="BW131" i="92"/>
  <c r="BN131" i="92"/>
  <c r="BT133" i="92"/>
  <c r="CE133" i="92"/>
  <c r="BI133" i="92"/>
  <c r="CI132" i="92" a="1"/>
  <c r="BM132" i="92" a="1"/>
  <c r="BN132" i="92" a="1"/>
  <c r="BV132" i="92" a="1"/>
  <c r="CG132" i="92" a="1"/>
  <c r="BL132" i="92" a="1"/>
  <c r="BX132" i="92" a="1"/>
  <c r="CF132" i="92" a="1"/>
  <c r="CH132" i="92" a="1"/>
  <c r="BJ132" i="92" a="1"/>
  <c r="BU132" i="92" a="1"/>
  <c r="CJ132" i="92" a="1"/>
  <c r="BY132" i="92" a="1"/>
  <c r="BK132" i="92" a="1"/>
  <c r="BW132" i="92" a="1"/>
  <c r="AE179" i="88" l="1"/>
  <c r="U833" i="89"/>
  <c r="AE140" i="88"/>
  <c r="U487" i="89"/>
  <c r="AE101" i="88"/>
  <c r="CJ132" i="92"/>
  <c r="CF132" i="92"/>
  <c r="BM132" i="92"/>
  <c r="BX132" i="92"/>
  <c r="BV132" i="92"/>
  <c r="BZ132" i="92" s="1"/>
  <c r="BJ132" i="92"/>
  <c r="BW132" i="92"/>
  <c r="BN132" i="92"/>
  <c r="BU132" i="92"/>
  <c r="BK132" i="92"/>
  <c r="BO132" i="92" s="1"/>
  <c r="U142" i="89" s="1"/>
  <c r="BY132" i="92"/>
  <c r="BL132" i="92"/>
  <c r="CG132" i="92"/>
  <c r="CK132" i="92" s="1"/>
  <c r="CH132" i="92"/>
  <c r="CI132" i="92"/>
  <c r="CE138" i="92"/>
  <c r="BI138" i="92"/>
  <c r="BT138" i="92"/>
  <c r="CI133" i="92" a="1"/>
  <c r="BO515" i="92"/>
  <c r="BW133" i="92" a="1"/>
  <c r="BU133" i="92" a="1"/>
  <c r="BL133" i="92" a="1"/>
  <c r="CF133" i="92" a="1"/>
  <c r="BN133" i="92" a="1"/>
  <c r="CH133" i="92" a="1"/>
  <c r="CG133" i="92" a="1"/>
  <c r="BV133" i="92" a="1"/>
  <c r="BX133" i="92" a="1"/>
  <c r="CJ133" i="92" a="1"/>
  <c r="BR353" i="92"/>
  <c r="BM133" i="92" a="1"/>
  <c r="BQ515" i="92"/>
  <c r="BY133" i="92" a="1"/>
  <c r="BK133" i="92" a="1"/>
  <c r="BR345" i="92"/>
  <c r="BJ133" i="92" a="1"/>
  <c r="AE141" i="88" l="1"/>
  <c r="U488" i="89"/>
  <c r="AE180" i="88"/>
  <c r="U834" i="89"/>
  <c r="BR367" i="92"/>
  <c r="BR372" i="92" s="1"/>
  <c r="DV77" i="102" s="1"/>
  <c r="BR359" i="92"/>
  <c r="AE104" i="88" s="1"/>
  <c r="AE102" i="88"/>
  <c r="BX133" i="92"/>
  <c r="CG133" i="92"/>
  <c r="BL133" i="92"/>
  <c r="BV133" i="92"/>
  <c r="CH133" i="92"/>
  <c r="CJ133" i="92"/>
  <c r="BW133" i="92"/>
  <c r="CI133" i="92"/>
  <c r="BU133" i="92"/>
  <c r="BY133" i="92"/>
  <c r="CF133" i="92"/>
  <c r="BJ133" i="92"/>
  <c r="BM133" i="92"/>
  <c r="BN133" i="92"/>
  <c r="BK133" i="92"/>
  <c r="BT139" i="92"/>
  <c r="CE139" i="92"/>
  <c r="BI139" i="92"/>
  <c r="BN138" i="92" a="1"/>
  <c r="BZ449" i="92" a="1"/>
  <c r="BZ417" i="92" a="1"/>
  <c r="CG138" i="92" a="1"/>
  <c r="BV138" i="92" a="1"/>
  <c r="BY138" i="92" a="1"/>
  <c r="BZ433" i="92" a="1"/>
  <c r="CJ138" i="92" a="1"/>
  <c r="BM138" i="92" a="1"/>
  <c r="BW138" i="92" a="1"/>
  <c r="BX138" i="92" a="1"/>
  <c r="BL138" i="92" a="1"/>
  <c r="CH138" i="92" a="1"/>
  <c r="CI138" i="92" a="1"/>
  <c r="BJ138" i="92" a="1"/>
  <c r="AE105" i="88" l="1"/>
  <c r="BJ138" i="92"/>
  <c r="BW138" i="92"/>
  <c r="BY138" i="92"/>
  <c r="BL138" i="92"/>
  <c r="CG138" i="92"/>
  <c r="BZ417" i="92"/>
  <c r="CB417" i="92" s="1"/>
  <c r="CH138" i="92"/>
  <c r="CJ138" i="92"/>
  <c r="CI138" i="92"/>
  <c r="BZ433" i="92"/>
  <c r="CB433" i="92" s="1"/>
  <c r="BM138" i="92"/>
  <c r="BX138" i="92"/>
  <c r="BN138" i="92"/>
  <c r="BV138" i="92"/>
  <c r="BZ449" i="92"/>
  <c r="CB449" i="92" s="1"/>
  <c r="BO133" i="92"/>
  <c r="U143" i="89" s="1"/>
  <c r="BZ133" i="92"/>
  <c r="BT140" i="92"/>
  <c r="CE140" i="92"/>
  <c r="CK133" i="92"/>
  <c r="BI140" i="92"/>
  <c r="BN139" i="92" a="1"/>
  <c r="BN450" i="92" a="1"/>
  <c r="CG139" i="92" a="1"/>
  <c r="BN434" i="92" a="1"/>
  <c r="CP40" i="92" a="1"/>
  <c r="BM139" i="92" a="1"/>
  <c r="BK139" i="92" a="1"/>
  <c r="CP48" i="92" a="1"/>
  <c r="BW139" i="92" a="1"/>
  <c r="BV139" i="92" a="1"/>
  <c r="CJ139" i="92" a="1"/>
  <c r="BL139" i="92" a="1"/>
  <c r="CI139" i="92" a="1"/>
  <c r="BJ139" i="92" a="1"/>
  <c r="BY139" i="92" a="1"/>
  <c r="BX139" i="92" a="1"/>
  <c r="CH139" i="92" a="1"/>
  <c r="CP48" i="92" l="1"/>
  <c r="P166" i="88" s="1"/>
  <c r="AE181" i="88"/>
  <c r="U835" i="89"/>
  <c r="AE142" i="88"/>
  <c r="U489" i="89"/>
  <c r="CP40" i="92"/>
  <c r="P127" i="88" s="1"/>
  <c r="BP471" i="92"/>
  <c r="P60" i="88" s="1"/>
  <c r="BR471" i="92"/>
  <c r="X60" i="88" s="1"/>
  <c r="BT471" i="92"/>
  <c r="AF60" i="88" s="1"/>
  <c r="AE103" i="88"/>
  <c r="BJ139" i="92"/>
  <c r="BK139" i="92"/>
  <c r="BO139" i="92" s="1"/>
  <c r="U150" i="89" s="1"/>
  <c r="BW139" i="92"/>
  <c r="BL139" i="92"/>
  <c r="BY139" i="92"/>
  <c r="CH139" i="92"/>
  <c r="CJ139" i="92"/>
  <c r="CG139" i="92"/>
  <c r="CK139" i="92" s="1"/>
  <c r="CI139" i="92"/>
  <c r="BN450" i="92"/>
  <c r="BP450" i="92" s="1"/>
  <c r="BN434" i="92"/>
  <c r="BP434" i="92" s="1"/>
  <c r="BK472" i="92" s="1"/>
  <c r="R61" i="88" s="1"/>
  <c r="BM139" i="92"/>
  <c r="BN139" i="92"/>
  <c r="BX139" i="92"/>
  <c r="BV139" i="92"/>
  <c r="BZ139" i="92" s="1"/>
  <c r="BT141" i="92"/>
  <c r="CK138" i="92"/>
  <c r="BZ138" i="92"/>
  <c r="CE141" i="92"/>
  <c r="BI141" i="92"/>
  <c r="BK140" i="92" a="1"/>
  <c r="CI140" i="92" a="1"/>
  <c r="CG140" i="92" a="1"/>
  <c r="CJ140" i="92" a="1"/>
  <c r="BL140" i="92" a="1"/>
  <c r="BN140" i="92" a="1"/>
  <c r="CH140" i="92" a="1"/>
  <c r="BY140" i="92" a="1"/>
  <c r="CF140" i="92" a="1"/>
  <c r="BJ140" i="92" a="1"/>
  <c r="BM140" i="92" a="1"/>
  <c r="BU140" i="92" a="1"/>
  <c r="BX140" i="92" a="1"/>
  <c r="BV140" i="92" a="1"/>
  <c r="BW140" i="92" a="1"/>
  <c r="AG132" i="88" l="1"/>
  <c r="U496" i="89"/>
  <c r="AG171" i="88"/>
  <c r="U842" i="89"/>
  <c r="AG131" i="88"/>
  <c r="U495" i="89"/>
  <c r="AG170" i="88"/>
  <c r="U841" i="89"/>
  <c r="BM472" i="92"/>
  <c r="Z61" i="88" s="1"/>
  <c r="AG93" i="88"/>
  <c r="BL140" i="92"/>
  <c r="BU140" i="92"/>
  <c r="BY140" i="92"/>
  <c r="CJ140" i="92"/>
  <c r="CG140" i="92"/>
  <c r="CK140" i="92" s="1"/>
  <c r="CI140" i="92"/>
  <c r="CF140" i="92"/>
  <c r="CH140" i="92"/>
  <c r="BM140" i="92"/>
  <c r="BX140" i="92"/>
  <c r="BW140" i="92"/>
  <c r="BN140" i="92"/>
  <c r="BJ140" i="92"/>
  <c r="BK140" i="92"/>
  <c r="BO140" i="92" s="1"/>
  <c r="U151" i="89" s="1"/>
  <c r="BV140" i="92"/>
  <c r="BZ140" i="92" s="1"/>
  <c r="BT142" i="92"/>
  <c r="BI142" i="92"/>
  <c r="CE142" i="92"/>
  <c r="BL141" i="92" a="1"/>
  <c r="BW141" i="92" a="1"/>
  <c r="BX141" i="92" a="1"/>
  <c r="BK141" i="92" a="1"/>
  <c r="CF141" i="92" a="1"/>
  <c r="CH141" i="92" a="1"/>
  <c r="BY141" i="92" a="1"/>
  <c r="CI141" i="92" a="1"/>
  <c r="BJ141" i="92" a="1"/>
  <c r="CJ141" i="92" a="1"/>
  <c r="BV141" i="92" a="1"/>
  <c r="BN141" i="92" a="1"/>
  <c r="BU141" i="92" a="1"/>
  <c r="CG141" i="92" a="1"/>
  <c r="BM141" i="92" a="1"/>
  <c r="AG172" i="88" l="1"/>
  <c r="U843" i="89"/>
  <c r="AG133" i="88"/>
  <c r="U497" i="89"/>
  <c r="AG94" i="88"/>
  <c r="BM141" i="92"/>
  <c r="CG141" i="92"/>
  <c r="CK141" i="92" s="1"/>
  <c r="BY141" i="92"/>
  <c r="BN141" i="92"/>
  <c r="CH141" i="92"/>
  <c r="BV141" i="92"/>
  <c r="BZ141" i="92" s="1"/>
  <c r="CF141" i="92"/>
  <c r="CJ141" i="92"/>
  <c r="BW141" i="92"/>
  <c r="BU141" i="92"/>
  <c r="CI141" i="92"/>
  <c r="BX141" i="92"/>
  <c r="BJ141" i="92"/>
  <c r="BK141" i="92"/>
  <c r="BO141" i="92" s="1"/>
  <c r="U152" i="89" s="1"/>
  <c r="BL141" i="92"/>
  <c r="BI143" i="92"/>
  <c r="CE143" i="92"/>
  <c r="BT143" i="92"/>
  <c r="BJ142" i="92" a="1"/>
  <c r="CI142" i="92" a="1"/>
  <c r="BU142" i="92" a="1"/>
  <c r="BM142" i="92" a="1"/>
  <c r="BK142" i="92" a="1"/>
  <c r="BY142" i="92" a="1"/>
  <c r="BX142" i="92" a="1"/>
  <c r="BW142" i="92" a="1"/>
  <c r="BN142" i="92" a="1"/>
  <c r="CG142" i="92" a="1"/>
  <c r="CF142" i="92" a="1"/>
  <c r="BL142" i="92" a="1"/>
  <c r="CJ142" i="92" a="1"/>
  <c r="CH142" i="92" a="1"/>
  <c r="AG173" i="88" l="1"/>
  <c r="U844" i="89"/>
  <c r="AG134" i="88"/>
  <c r="U498" i="89"/>
  <c r="AG95" i="88"/>
  <c r="CI142" i="92"/>
  <c r="CF142" i="92"/>
  <c r="BU142" i="92"/>
  <c r="BN142" i="92"/>
  <c r="BM142" i="92"/>
  <c r="BJ142" i="92"/>
  <c r="BY142" i="92"/>
  <c r="BK142" i="92"/>
  <c r="BO142" i="92" s="1"/>
  <c r="U153" i="89" s="1"/>
  <c r="BW142" i="92"/>
  <c r="BX142" i="92"/>
  <c r="BL142" i="92"/>
  <c r="CH142" i="92"/>
  <c r="CG142" i="92"/>
  <c r="CK142" i="92" s="1"/>
  <c r="CJ142" i="92"/>
  <c r="CE144" i="92"/>
  <c r="BI144" i="92"/>
  <c r="BT144" i="92"/>
  <c r="BY143" i="92" a="1"/>
  <c r="BX143" i="92" a="1"/>
  <c r="BJ143" i="92" a="1"/>
  <c r="BN143" i="92" a="1"/>
  <c r="CF143" i="92" a="1"/>
  <c r="CI143" i="92" a="1"/>
  <c r="BU143" i="92" a="1"/>
  <c r="BM143" i="92" a="1"/>
  <c r="CG143" i="92" a="1"/>
  <c r="CH143" i="92" a="1"/>
  <c r="CJ143" i="92" a="1"/>
  <c r="BK143" i="92" a="1"/>
  <c r="BL143" i="92" a="1"/>
  <c r="BV143" i="92" a="1"/>
  <c r="BW143" i="92" a="1"/>
  <c r="AG174" i="88" l="1"/>
  <c r="U845" i="89"/>
  <c r="AG96" i="88"/>
  <c r="BW143" i="92"/>
  <c r="BJ143" i="92"/>
  <c r="BL143" i="92"/>
  <c r="CH143" i="92"/>
  <c r="CI143" i="92"/>
  <c r="CF143" i="92"/>
  <c r="BV143" i="92"/>
  <c r="BZ143" i="92" s="1"/>
  <c r="CG143" i="92"/>
  <c r="CK143" i="92" s="1"/>
  <c r="BU143" i="92"/>
  <c r="BY143" i="92"/>
  <c r="CJ143" i="92"/>
  <c r="BX143" i="92"/>
  <c r="BK143" i="92"/>
  <c r="BO143" i="92" s="1"/>
  <c r="U154" i="89" s="1"/>
  <c r="BM143" i="92"/>
  <c r="BN143" i="92"/>
  <c r="BT145" i="92"/>
  <c r="BI145" i="92"/>
  <c r="CE145" i="92"/>
  <c r="CG144" i="92" a="1"/>
  <c r="CJ144" i="92" a="1"/>
  <c r="BL144" i="92" a="1"/>
  <c r="BX144" i="92" a="1"/>
  <c r="BV144" i="92" a="1"/>
  <c r="BU144" i="92" a="1"/>
  <c r="BY144" i="92" a="1"/>
  <c r="CH144" i="92" a="1"/>
  <c r="CF144" i="92" a="1"/>
  <c r="BN144" i="92" a="1"/>
  <c r="BM144" i="92" a="1"/>
  <c r="BK144" i="92" a="1"/>
  <c r="BW144" i="92" a="1"/>
  <c r="CI144" i="92" a="1"/>
  <c r="BJ144" i="92" a="1"/>
  <c r="AG175" i="88" l="1"/>
  <c r="U846" i="89"/>
  <c r="AG136" i="88"/>
  <c r="U500" i="89"/>
  <c r="AG97" i="88"/>
  <c r="BN144" i="92"/>
  <c r="BL144" i="92"/>
  <c r="CF144" i="92"/>
  <c r="BU144" i="92"/>
  <c r="CG144" i="92"/>
  <c r="CK144" i="92" s="1"/>
  <c r="BV144" i="92"/>
  <c r="BZ144" i="92" s="1"/>
  <c r="BW144" i="92"/>
  <c r="CJ144" i="92"/>
  <c r="BX144" i="92"/>
  <c r="CH144" i="92"/>
  <c r="CI144" i="92"/>
  <c r="BY144" i="92"/>
  <c r="BJ144" i="92"/>
  <c r="BK144" i="92"/>
  <c r="BO144" i="92" s="1"/>
  <c r="U155" i="89" s="1"/>
  <c r="BM144" i="92"/>
  <c r="BI146" i="92"/>
  <c r="CE146" i="92"/>
  <c r="BT146" i="92"/>
  <c r="BN145" i="92" a="1"/>
  <c r="CG145" i="92" a="1"/>
  <c r="BY145" i="92" a="1"/>
  <c r="BL145" i="92" a="1"/>
  <c r="BW145" i="92" a="1"/>
  <c r="CI145" i="92" a="1"/>
  <c r="BJ145" i="92" a="1"/>
  <c r="CJ145" i="92" a="1"/>
  <c r="BX145" i="92" a="1"/>
  <c r="CH145" i="92" a="1"/>
  <c r="BK145" i="92" a="1"/>
  <c r="BU145" i="92" a="1"/>
  <c r="BM145" i="92" a="1"/>
  <c r="CF145" i="92" a="1"/>
  <c r="BV145" i="92" a="1"/>
  <c r="AG137" i="88" l="1"/>
  <c r="U501" i="89"/>
  <c r="AG176" i="88"/>
  <c r="U847" i="89"/>
  <c r="AG98" i="88"/>
  <c r="CJ145" i="92"/>
  <c r="CI145" i="92"/>
  <c r="BY145" i="92"/>
  <c r="BJ145" i="92"/>
  <c r="BU145" i="92"/>
  <c r="BK145" i="92"/>
  <c r="BO145" i="92" s="1"/>
  <c r="U156" i="89" s="1"/>
  <c r="BM145" i="92"/>
  <c r="BV145" i="92"/>
  <c r="BN145" i="92"/>
  <c r="BW145" i="92"/>
  <c r="BX145" i="92"/>
  <c r="CG145" i="92"/>
  <c r="CH145" i="92"/>
  <c r="BL145" i="92"/>
  <c r="CF145" i="92"/>
  <c r="CE147" i="92"/>
  <c r="BI147" i="92"/>
  <c r="BT147" i="92"/>
  <c r="BJ146" i="92" a="1"/>
  <c r="BM146" i="92" a="1"/>
  <c r="CF146" i="92" a="1"/>
  <c r="BN146" i="92" a="1"/>
  <c r="BL146" i="92" a="1"/>
  <c r="BU146" i="92" a="1"/>
  <c r="BK146" i="92" a="1"/>
  <c r="CH146" i="92" a="1"/>
  <c r="BY146" i="92" a="1"/>
  <c r="CI146" i="92" a="1"/>
  <c r="CJ146" i="92" a="1"/>
  <c r="CG146" i="92" a="1"/>
  <c r="BW146" i="92" a="1"/>
  <c r="BV146" i="92" a="1"/>
  <c r="BX146" i="92" a="1"/>
  <c r="AG99" i="88" l="1"/>
  <c r="BK146" i="92"/>
  <c r="BO146" i="92" s="1"/>
  <c r="U157" i="89" s="1"/>
  <c r="BL146" i="92"/>
  <c r="BW146" i="92"/>
  <c r="CG146" i="92"/>
  <c r="CK146" i="92" s="1"/>
  <c r="BU146" i="92"/>
  <c r="CF146" i="92"/>
  <c r="BY146" i="92"/>
  <c r="BV146" i="92"/>
  <c r="BZ146" i="92" s="1"/>
  <c r="CJ146" i="92"/>
  <c r="CH146" i="92"/>
  <c r="BX146" i="92"/>
  <c r="CI146" i="92"/>
  <c r="BM146" i="92"/>
  <c r="BN146" i="92"/>
  <c r="BJ146" i="92"/>
  <c r="CK145" i="92"/>
  <c r="BI148" i="92"/>
  <c r="BZ145" i="92"/>
  <c r="BT148" i="92"/>
  <c r="CE148" i="92"/>
  <c r="BM147" i="92" a="1"/>
  <c r="CI147" i="92" a="1"/>
  <c r="CF147" i="92" a="1"/>
  <c r="BU147" i="92" a="1"/>
  <c r="BK147" i="92" a="1"/>
  <c r="CJ147" i="92" a="1"/>
  <c r="BV147" i="92" a="1"/>
  <c r="BW147" i="92" a="1"/>
  <c r="BJ147" i="92" a="1"/>
  <c r="BY147" i="92" a="1"/>
  <c r="BN147" i="92" a="1"/>
  <c r="CG147" i="92" a="1"/>
  <c r="BL147" i="92" a="1"/>
  <c r="BX147" i="92" a="1"/>
  <c r="CH147" i="92" a="1"/>
  <c r="AG138" i="88" l="1"/>
  <c r="U502" i="89"/>
  <c r="AG139" i="88"/>
  <c r="U503" i="89"/>
  <c r="AG177" i="88"/>
  <c r="U848" i="89"/>
  <c r="AG178" i="88"/>
  <c r="U849" i="89"/>
  <c r="AG100" i="88"/>
  <c r="CI147" i="92"/>
  <c r="BK147" i="92"/>
  <c r="BO147" i="92" s="1"/>
  <c r="U158" i="89" s="1"/>
  <c r="CF147" i="92"/>
  <c r="BM147" i="92"/>
  <c r="CH147" i="92"/>
  <c r="CJ147" i="92"/>
  <c r="BN147" i="92"/>
  <c r="BJ147" i="92"/>
  <c r="BY147" i="92"/>
  <c r="BX147" i="92"/>
  <c r="BL147" i="92"/>
  <c r="BW147" i="92"/>
  <c r="BV147" i="92"/>
  <c r="BZ147" i="92" s="1"/>
  <c r="BU147" i="92"/>
  <c r="CG147" i="92"/>
  <c r="CK147" i="92" s="1"/>
  <c r="CE149" i="92"/>
  <c r="BI149" i="92"/>
  <c r="BT149" i="92"/>
  <c r="CJ148" i="92" a="1"/>
  <c r="CI148" i="92" a="1"/>
  <c r="BJ148" i="92" a="1"/>
  <c r="BX148" i="92" a="1"/>
  <c r="BU148" i="92" a="1"/>
  <c r="BM148" i="92" a="1"/>
  <c r="BL148" i="92" a="1"/>
  <c r="BK148" i="92" a="1"/>
  <c r="BY148" i="92" a="1"/>
  <c r="CF148" i="92" a="1"/>
  <c r="CH148" i="92" a="1"/>
  <c r="BW148" i="92" a="1"/>
  <c r="CG148" i="92" a="1"/>
  <c r="BN148" i="92" a="1"/>
  <c r="BV148" i="92" a="1"/>
  <c r="AG140" i="88" l="1"/>
  <c r="U504" i="89"/>
  <c r="AG179" i="88"/>
  <c r="U850" i="89"/>
  <c r="AG101" i="88"/>
  <c r="BU148" i="92"/>
  <c r="BX148" i="92"/>
  <c r="CJ148" i="92"/>
  <c r="BJ148" i="92"/>
  <c r="CF148" i="92"/>
  <c r="BK148" i="92"/>
  <c r="BO148" i="92" s="1"/>
  <c r="U159" i="89" s="1"/>
  <c r="BN148" i="92"/>
  <c r="BM148" i="92"/>
  <c r="BL148" i="92"/>
  <c r="BY148" i="92"/>
  <c r="CH148" i="92"/>
  <c r="BW148" i="92"/>
  <c r="CG148" i="92"/>
  <c r="CK148" i="92" s="1"/>
  <c r="BV148" i="92"/>
  <c r="BZ148" i="92" s="1"/>
  <c r="CI148" i="92"/>
  <c r="BT154" i="92"/>
  <c r="CE154" i="92"/>
  <c r="BI154" i="92"/>
  <c r="CH149" i="92" a="1"/>
  <c r="CG149" i="92" a="1"/>
  <c r="BL149" i="92" a="1"/>
  <c r="BN149" i="92" a="1"/>
  <c r="BW149" i="92" a="1"/>
  <c r="BM149" i="92" a="1"/>
  <c r="BK149" i="92" a="1"/>
  <c r="BU149" i="92" a="1"/>
  <c r="BV149" i="92" a="1"/>
  <c r="BO516" i="92"/>
  <c r="BS353" i="92"/>
  <c r="CJ149" i="92" a="1"/>
  <c r="BY149" i="92" a="1"/>
  <c r="BX149" i="92" a="1"/>
  <c r="CF149" i="92" a="1"/>
  <c r="BJ149" i="92" a="1"/>
  <c r="BS345" i="92"/>
  <c r="CI149" i="92" a="1"/>
  <c r="BQ516" i="92"/>
  <c r="AG141" i="88" l="1"/>
  <c r="U505" i="89"/>
  <c r="AG180" i="88"/>
  <c r="U851" i="89"/>
  <c r="BS367" i="92"/>
  <c r="BS372" i="92" s="1"/>
  <c r="DW77" i="102" s="1"/>
  <c r="BS359" i="92"/>
  <c r="AG104" i="88" s="1"/>
  <c r="AG102" i="88"/>
  <c r="CJ149" i="92"/>
  <c r="BJ149" i="92"/>
  <c r="BX149" i="92"/>
  <c r="BK149" i="92"/>
  <c r="BY149" i="92"/>
  <c r="BN149" i="92"/>
  <c r="BW149" i="92"/>
  <c r="CF149" i="92"/>
  <c r="BM149" i="92"/>
  <c r="BV149" i="92"/>
  <c r="BU149" i="92"/>
  <c r="BL149" i="92"/>
  <c r="CG149" i="92"/>
  <c r="CH149" i="92"/>
  <c r="CI149" i="92"/>
  <c r="CE155" i="92"/>
  <c r="BI155" i="92"/>
  <c r="BT155" i="92"/>
  <c r="BW154" i="92" a="1"/>
  <c r="BJ154" i="92" a="1"/>
  <c r="CG154" i="92" a="1"/>
  <c r="BY418" i="92" a="1"/>
  <c r="BY154" i="92" a="1"/>
  <c r="BM154" i="92" a="1"/>
  <c r="CI154" i="92" a="1"/>
  <c r="BX154" i="92" a="1"/>
  <c r="CJ154" i="92" a="1"/>
  <c r="BL154" i="92" a="1"/>
  <c r="BN154" i="92" a="1"/>
  <c r="CH154" i="92" a="1"/>
  <c r="BV154" i="92" a="1"/>
  <c r="BY434" i="92" a="1"/>
  <c r="BY450" i="92" a="1"/>
  <c r="AG105" i="88" l="1"/>
  <c r="BM154" i="92"/>
  <c r="BL154" i="92"/>
  <c r="BY434" i="92"/>
  <c r="CA434" i="92" s="1"/>
  <c r="BW154" i="92"/>
  <c r="CI154" i="92"/>
  <c r="BY154" i="92"/>
  <c r="CJ154" i="92"/>
  <c r="BV154" i="92"/>
  <c r="BY418" i="92"/>
  <c r="CA418" i="92" s="1"/>
  <c r="CG154" i="92"/>
  <c r="BX154" i="92"/>
  <c r="CH154" i="92"/>
  <c r="BJ154" i="92"/>
  <c r="BN154" i="92"/>
  <c r="BY450" i="92"/>
  <c r="CA450" i="92" s="1"/>
  <c r="BZ149" i="92"/>
  <c r="BI156" i="92"/>
  <c r="BT156" i="92"/>
  <c r="BO149" i="92"/>
  <c r="U160" i="89" s="1"/>
  <c r="CE156" i="92"/>
  <c r="CK149" i="92"/>
  <c r="BW155" i="92" a="1"/>
  <c r="BM155" i="92" a="1"/>
  <c r="CI155" i="92" a="1"/>
  <c r="CG155" i="92" a="1"/>
  <c r="BO434" i="92" a="1"/>
  <c r="CJ155" i="92" a="1"/>
  <c r="CH155" i="92" a="1"/>
  <c r="BL155" i="92" a="1"/>
  <c r="BK155" i="92" a="1"/>
  <c r="BO450" i="92" a="1"/>
  <c r="BV155" i="92" a="1"/>
  <c r="BJ155" i="92" a="1"/>
  <c r="BY155" i="92" a="1"/>
  <c r="BN155" i="92" a="1"/>
  <c r="BX155" i="92" a="1"/>
  <c r="AG181" i="88" l="1"/>
  <c r="U852" i="89"/>
  <c r="AG142" i="88"/>
  <c r="U506" i="89"/>
  <c r="BO472" i="92"/>
  <c r="N61" i="88" s="1"/>
  <c r="BS472" i="92"/>
  <c r="AD61" i="88" s="1"/>
  <c r="BQ472" i="92"/>
  <c r="V61" i="88" s="1"/>
  <c r="AG103" i="88"/>
  <c r="BO450" i="92"/>
  <c r="BQ450" i="92" s="1"/>
  <c r="BN472" i="92" s="1"/>
  <c r="AB61" i="88" s="1"/>
  <c r="CJ155" i="92"/>
  <c r="BM155" i="92"/>
  <c r="BJ155" i="92"/>
  <c r="BL155" i="92"/>
  <c r="BO434" i="92"/>
  <c r="BQ434" i="92" s="1"/>
  <c r="BN155" i="92"/>
  <c r="BX155" i="92"/>
  <c r="BV155" i="92"/>
  <c r="BZ155" i="92" s="1"/>
  <c r="BY155" i="92"/>
  <c r="CI155" i="92"/>
  <c r="BW155" i="92"/>
  <c r="CG155" i="92"/>
  <c r="CK155" i="92" s="1"/>
  <c r="CH155" i="92"/>
  <c r="BK155" i="92"/>
  <c r="BO155" i="92" s="1"/>
  <c r="U167" i="89" s="1"/>
  <c r="CK154" i="92"/>
  <c r="BI157" i="92"/>
  <c r="CE157" i="92"/>
  <c r="BZ154" i="92"/>
  <c r="BT157" i="92"/>
  <c r="BK156" i="92" a="1"/>
  <c r="CI156" i="92" a="1"/>
  <c r="CG156" i="92" a="1"/>
  <c r="BJ156" i="92" a="1"/>
  <c r="BU156" i="92" a="1"/>
  <c r="BV156" i="92" a="1"/>
  <c r="BL156" i="92" a="1"/>
  <c r="BN156" i="92" a="1"/>
  <c r="CH156" i="92" a="1"/>
  <c r="BX156" i="92" a="1"/>
  <c r="BW156" i="92" a="1"/>
  <c r="BM156" i="92" a="1"/>
  <c r="BY156" i="92" a="1"/>
  <c r="CF156" i="92" a="1"/>
  <c r="CJ156" i="92" a="1"/>
  <c r="AI170" i="88" l="1"/>
  <c r="U858" i="89"/>
  <c r="AI171" i="88"/>
  <c r="U859" i="89"/>
  <c r="AI132" i="88"/>
  <c r="U513" i="89"/>
  <c r="AI131" i="88"/>
  <c r="U512" i="89"/>
  <c r="BL472" i="92"/>
  <c r="T61" i="88" s="1"/>
  <c r="AI93" i="88"/>
  <c r="BW156" i="92"/>
  <c r="BK156" i="92"/>
  <c r="BO156" i="92" s="1"/>
  <c r="U168" i="89" s="1"/>
  <c r="BJ156" i="92"/>
  <c r="BL156" i="92"/>
  <c r="BU156" i="92"/>
  <c r="CH156" i="92"/>
  <c r="CG156" i="92"/>
  <c r="CK156" i="92" s="1"/>
  <c r="CJ156" i="92"/>
  <c r="CI156" i="92"/>
  <c r="BM156" i="92"/>
  <c r="BY156" i="92"/>
  <c r="CF156" i="92"/>
  <c r="BX156" i="92"/>
  <c r="BV156" i="92"/>
  <c r="BZ156" i="92" s="1"/>
  <c r="BN156" i="92"/>
  <c r="BT158" i="92"/>
  <c r="BI158" i="92"/>
  <c r="CE158" i="92"/>
  <c r="BL157" i="92" a="1"/>
  <c r="BM157" i="92" a="1"/>
  <c r="BX157" i="92" a="1"/>
  <c r="CF157" i="92" a="1"/>
  <c r="BU157" i="92" a="1"/>
  <c r="BN157" i="92" a="1"/>
  <c r="CG157" i="92" a="1"/>
  <c r="BK157" i="92" a="1"/>
  <c r="BW157" i="92" a="1"/>
  <c r="CJ157" i="92" a="1"/>
  <c r="CH157" i="92" a="1"/>
  <c r="CI157" i="92" a="1"/>
  <c r="BJ157" i="92" a="1"/>
  <c r="BV157" i="92" a="1"/>
  <c r="BY157" i="92" a="1"/>
  <c r="AI133" i="88" l="1"/>
  <c r="U514" i="89"/>
  <c r="AI172" i="88"/>
  <c r="U860" i="89"/>
  <c r="AI94" i="88"/>
  <c r="BJ157" i="92"/>
  <c r="BL157" i="92"/>
  <c r="BV157" i="92"/>
  <c r="BZ157" i="92" s="1"/>
  <c r="CH157" i="92"/>
  <c r="BX157" i="92"/>
  <c r="CJ157" i="92"/>
  <c r="BY157" i="92"/>
  <c r="CG157" i="92"/>
  <c r="CK157" i="92" s="1"/>
  <c r="BW157" i="92"/>
  <c r="CF157" i="92"/>
  <c r="CI157" i="92"/>
  <c r="BU157" i="92"/>
  <c r="BK157" i="92"/>
  <c r="BO157" i="92" s="1"/>
  <c r="U169" i="89" s="1"/>
  <c r="BN157" i="92"/>
  <c r="BM157" i="92"/>
  <c r="BI159" i="92"/>
  <c r="CE159" i="92"/>
  <c r="BT159" i="92"/>
  <c r="CF158" i="92" a="1"/>
  <c r="BM158" i="92" a="1"/>
  <c r="CH158" i="92" a="1"/>
  <c r="BY158" i="92" a="1"/>
  <c r="CG158" i="92" a="1"/>
  <c r="BK158" i="92" a="1"/>
  <c r="BW158" i="92" a="1"/>
  <c r="BJ158" i="92" a="1"/>
  <c r="BU158" i="92" a="1"/>
  <c r="BL158" i="92" a="1"/>
  <c r="CI158" i="92" a="1"/>
  <c r="CJ158" i="92" a="1"/>
  <c r="BN158" i="92" a="1"/>
  <c r="BX158" i="92" a="1"/>
  <c r="AI134" i="88" l="1"/>
  <c r="U515" i="89"/>
  <c r="AI173" i="88"/>
  <c r="U861" i="89"/>
  <c r="AI95" i="88"/>
  <c r="CI158" i="92"/>
  <c r="CJ158" i="92"/>
  <c r="BW158" i="92"/>
  <c r="BK158" i="92"/>
  <c r="BO158" i="92" s="1"/>
  <c r="U170" i="89" s="1"/>
  <c r="BU158" i="92"/>
  <c r="BN158" i="92"/>
  <c r="BM158" i="92"/>
  <c r="BY158" i="92"/>
  <c r="BX158" i="92"/>
  <c r="BJ158" i="92"/>
  <c r="BL158" i="92"/>
  <c r="CG158" i="92"/>
  <c r="CK158" i="92" s="1"/>
  <c r="CH158" i="92"/>
  <c r="CF158" i="92"/>
  <c r="CE160" i="92"/>
  <c r="BI160" i="92"/>
  <c r="BT160" i="92"/>
  <c r="CI159" i="92" a="1"/>
  <c r="CF159" i="92" a="1"/>
  <c r="BJ159" i="92" a="1"/>
  <c r="CJ159" i="92" a="1"/>
  <c r="BX159" i="92" a="1"/>
  <c r="BU159" i="92" a="1"/>
  <c r="BK159" i="92" a="1"/>
  <c r="BV159" i="92" a="1"/>
  <c r="BM159" i="92" a="1"/>
  <c r="BY159" i="92" a="1"/>
  <c r="CH159" i="92" a="1"/>
  <c r="BL159" i="92" a="1"/>
  <c r="BW159" i="92" a="1"/>
  <c r="BN159" i="92" a="1"/>
  <c r="CG159" i="92" a="1"/>
  <c r="AI174" i="88" l="1"/>
  <c r="U862" i="89"/>
  <c r="AI96" i="88"/>
  <c r="BJ159" i="92"/>
  <c r="BL159" i="92"/>
  <c r="BW159" i="92"/>
  <c r="CG159" i="92"/>
  <c r="CK159" i="92" s="1"/>
  <c r="BU159" i="92"/>
  <c r="CH159" i="92"/>
  <c r="BV159" i="92"/>
  <c r="BZ159" i="92" s="1"/>
  <c r="BY159" i="92"/>
  <c r="CJ159" i="92"/>
  <c r="CF159" i="92"/>
  <c r="BX159" i="92"/>
  <c r="CI159" i="92"/>
  <c r="BK159" i="92"/>
  <c r="BO159" i="92" s="1"/>
  <c r="U171" i="89" s="1"/>
  <c r="BN159" i="92"/>
  <c r="BM159" i="92"/>
  <c r="BT161" i="92"/>
  <c r="CE161" i="92"/>
  <c r="BI161" i="92"/>
  <c r="CG160" i="92" a="1"/>
  <c r="CI160" i="92" a="1"/>
  <c r="BY160" i="92" a="1"/>
  <c r="BM160" i="92" a="1"/>
  <c r="BK160" i="92" a="1"/>
  <c r="BN160" i="92" a="1"/>
  <c r="CJ160" i="92" a="1"/>
  <c r="BW160" i="92" a="1"/>
  <c r="BU160" i="92" a="1"/>
  <c r="BX160" i="92" a="1"/>
  <c r="CH160" i="92" a="1"/>
  <c r="CF160" i="92" a="1"/>
  <c r="BJ160" i="92" a="1"/>
  <c r="BV160" i="92" a="1"/>
  <c r="BL160" i="92" a="1"/>
  <c r="AI136" i="88" l="1"/>
  <c r="U517" i="89"/>
  <c r="AI175" i="88"/>
  <c r="U863" i="89"/>
  <c r="AI97" i="88"/>
  <c r="CI160" i="92"/>
  <c r="CF160" i="92"/>
  <c r="BW160" i="92"/>
  <c r="BN160" i="92"/>
  <c r="BU160" i="92"/>
  <c r="BY160" i="92"/>
  <c r="BM160" i="92"/>
  <c r="BX160" i="92"/>
  <c r="BJ160" i="92"/>
  <c r="BV160" i="92"/>
  <c r="BZ160" i="92" s="1"/>
  <c r="BL160" i="92"/>
  <c r="CJ160" i="92"/>
  <c r="CG160" i="92"/>
  <c r="CK160" i="92" s="1"/>
  <c r="BK160" i="92"/>
  <c r="BO160" i="92" s="1"/>
  <c r="U172" i="89" s="1"/>
  <c r="CH160" i="92"/>
  <c r="CE162" i="92"/>
  <c r="BI162" i="92"/>
  <c r="BT162" i="92"/>
  <c r="CG161" i="92" a="1"/>
  <c r="BN161" i="92" a="1"/>
  <c r="BL161" i="92" a="1"/>
  <c r="BW161" i="92" a="1"/>
  <c r="BX161" i="92" a="1"/>
  <c r="CJ161" i="92" a="1"/>
  <c r="BU161" i="92" a="1"/>
  <c r="CH161" i="92" a="1"/>
  <c r="BY161" i="92" a="1"/>
  <c r="BK161" i="92" a="1"/>
  <c r="BM161" i="92" a="1"/>
  <c r="CF161" i="92" a="1"/>
  <c r="BV161" i="92" a="1"/>
  <c r="BJ161" i="92" a="1"/>
  <c r="CI161" i="92" a="1"/>
  <c r="AI176" i="88" l="1"/>
  <c r="U864" i="89"/>
  <c r="AI137" i="88"/>
  <c r="U518" i="89"/>
  <c r="AI98" i="88"/>
  <c r="CG161" i="92"/>
  <c r="CK161" i="92" s="1"/>
  <c r="BW161" i="92"/>
  <c r="CH161" i="92"/>
  <c r="BL161" i="92"/>
  <c r="BV161" i="92"/>
  <c r="BZ161" i="92" s="1"/>
  <c r="CI161" i="92"/>
  <c r="BU161" i="92"/>
  <c r="CF161" i="92"/>
  <c r="BX161" i="92"/>
  <c r="BK161" i="92"/>
  <c r="BO161" i="92" s="1"/>
  <c r="U173" i="89" s="1"/>
  <c r="BJ161" i="92"/>
  <c r="BY161" i="92"/>
  <c r="BN161" i="92"/>
  <c r="CJ161" i="92"/>
  <c r="BM161" i="92"/>
  <c r="BI163" i="92"/>
  <c r="BT163" i="92"/>
  <c r="CE163" i="92"/>
  <c r="BW162" i="92" a="1"/>
  <c r="CJ162" i="92" a="1"/>
  <c r="BN162" i="92" a="1"/>
  <c r="BJ162" i="92" a="1"/>
  <c r="CI162" i="92" a="1"/>
  <c r="BX162" i="92" a="1"/>
  <c r="BU162" i="92" a="1"/>
  <c r="CH162" i="92" a="1"/>
  <c r="BV162" i="92" a="1"/>
  <c r="BK162" i="92" a="1"/>
  <c r="CF162" i="92" a="1"/>
  <c r="BL162" i="92" a="1"/>
  <c r="BY162" i="92" a="1"/>
  <c r="BM162" i="92" a="1"/>
  <c r="CG162" i="92" a="1"/>
  <c r="AI138" i="88" l="1"/>
  <c r="U519" i="89"/>
  <c r="AI177" i="88"/>
  <c r="U865" i="89"/>
  <c r="AI99" i="88"/>
  <c r="CF162" i="92"/>
  <c r="CI162" i="92"/>
  <c r="BV162" i="92"/>
  <c r="BZ162" i="92" s="1"/>
  <c r="BL162" i="92"/>
  <c r="BW162" i="92"/>
  <c r="BU162" i="92"/>
  <c r="BY162" i="92"/>
  <c r="BX162" i="92"/>
  <c r="BK162" i="92"/>
  <c r="BO162" i="92" s="1"/>
  <c r="U174" i="89" s="1"/>
  <c r="BJ162" i="92"/>
  <c r="CG162" i="92"/>
  <c r="CK162" i="92" s="1"/>
  <c r="CH162" i="92"/>
  <c r="BN162" i="92"/>
  <c r="CJ162" i="92"/>
  <c r="BM162" i="92"/>
  <c r="BI164" i="92"/>
  <c r="CE164" i="92"/>
  <c r="BT164" i="92"/>
  <c r="BV163" i="92" a="1"/>
  <c r="BM163" i="92" a="1"/>
  <c r="BJ163" i="92" a="1"/>
  <c r="BN163" i="92" a="1"/>
  <c r="BK163" i="92" a="1"/>
  <c r="CJ163" i="92" a="1"/>
  <c r="CF163" i="92" a="1"/>
  <c r="BW163" i="92" a="1"/>
  <c r="BY163" i="92" a="1"/>
  <c r="CI163" i="92" a="1"/>
  <c r="BL163" i="92" a="1"/>
  <c r="BU163" i="92" a="1"/>
  <c r="CG163" i="92" a="1"/>
  <c r="CH163" i="92" a="1"/>
  <c r="BX163" i="92" a="1"/>
  <c r="AI139" i="88" l="1"/>
  <c r="U520" i="89"/>
  <c r="AI178" i="88"/>
  <c r="U866" i="89"/>
  <c r="AI100" i="88"/>
  <c r="CF163" i="92"/>
  <c r="CJ163" i="92"/>
  <c r="BV163" i="92"/>
  <c r="BZ163" i="92" s="1"/>
  <c r="BK163" i="92"/>
  <c r="BW163" i="92"/>
  <c r="BN163" i="92"/>
  <c r="BU163" i="92"/>
  <c r="BY163" i="92"/>
  <c r="BM163" i="92"/>
  <c r="BX163" i="92"/>
  <c r="BJ163" i="92"/>
  <c r="BL163" i="92"/>
  <c r="CG163" i="92"/>
  <c r="CK163" i="92" s="1"/>
  <c r="CH163" i="92"/>
  <c r="CI163" i="92"/>
  <c r="CE165" i="92"/>
  <c r="BI165" i="92"/>
  <c r="BT165" i="92"/>
  <c r="BK164" i="92" a="1"/>
  <c r="BX164" i="92" a="1"/>
  <c r="BL164" i="92" a="1"/>
  <c r="CF164" i="92" a="1"/>
  <c r="CI164" i="92" a="1"/>
  <c r="BU164" i="92" a="1"/>
  <c r="BV164" i="92" a="1"/>
  <c r="BW164" i="92" a="1"/>
  <c r="CH164" i="92" a="1"/>
  <c r="BN164" i="92" a="1"/>
  <c r="BY164" i="92" a="1"/>
  <c r="BM164" i="92" a="1"/>
  <c r="CJ164" i="92" a="1"/>
  <c r="CG164" i="92" a="1"/>
  <c r="BJ164" i="92" a="1"/>
  <c r="AI179" i="88" l="1"/>
  <c r="U867" i="89"/>
  <c r="AI140" i="88"/>
  <c r="U521" i="89"/>
  <c r="BJ164" i="92"/>
  <c r="BL164" i="92"/>
  <c r="CH164" i="92"/>
  <c r="BU164" i="92"/>
  <c r="CI164" i="92"/>
  <c r="BV164" i="92"/>
  <c r="BZ164" i="92" s="1"/>
  <c r="CJ164" i="92"/>
  <c r="BY164" i="92"/>
  <c r="CF164" i="92"/>
  <c r="BW164" i="92"/>
  <c r="BX164" i="92"/>
  <c r="CG164" i="92"/>
  <c r="CK164" i="92" s="1"/>
  <c r="BK164" i="92"/>
  <c r="BO164" i="92" s="1"/>
  <c r="U176" i="89" s="1"/>
  <c r="BN164" i="92"/>
  <c r="BM164" i="92"/>
  <c r="BI170" i="92"/>
  <c r="BT170" i="92"/>
  <c r="CE170" i="92"/>
  <c r="BO163" i="92"/>
  <c r="U175" i="89" s="1"/>
  <c r="BK165" i="92" a="1"/>
  <c r="BL165" i="92" a="1"/>
  <c r="BQ517" i="92"/>
  <c r="CJ165" i="92" a="1"/>
  <c r="BW165" i="92" a="1"/>
  <c r="BJ165" i="92" a="1"/>
  <c r="CI165" i="92" a="1"/>
  <c r="BU165" i="92" a="1"/>
  <c r="BM165" i="92" a="1"/>
  <c r="BV165" i="92" a="1"/>
  <c r="BY165" i="92" a="1"/>
  <c r="BO517" i="92"/>
  <c r="CF165" i="92" a="1"/>
  <c r="BX165" i="92" a="1"/>
  <c r="BN165" i="92" a="1"/>
  <c r="CH165" i="92" a="1"/>
  <c r="CG165" i="92" a="1"/>
  <c r="BT353" i="92"/>
  <c r="AI141" i="88" l="1"/>
  <c r="U522" i="89"/>
  <c r="AI180" i="88"/>
  <c r="U868" i="89"/>
  <c r="AI102" i="88"/>
  <c r="AI101" i="88"/>
  <c r="BV165" i="92"/>
  <c r="CH165" i="92"/>
  <c r="BK165" i="92"/>
  <c r="CG165" i="92"/>
  <c r="BN165" i="92"/>
  <c r="CJ165" i="92"/>
  <c r="BM165" i="92"/>
  <c r="BU165" i="92"/>
  <c r="CI165" i="92"/>
  <c r="CF165" i="92"/>
  <c r="BJ165" i="92"/>
  <c r="BL165" i="92"/>
  <c r="BX165" i="92"/>
  <c r="BY165" i="92"/>
  <c r="BW165" i="92"/>
  <c r="BI171" i="92"/>
  <c r="BT171" i="92"/>
  <c r="CE171" i="92"/>
  <c r="BZ450" i="92" a="1"/>
  <c r="BV170" i="92" a="1"/>
  <c r="BY170" i="92" a="1"/>
  <c r="CH170" i="92" a="1"/>
  <c r="CI170" i="92" a="1"/>
  <c r="BM170" i="92" a="1"/>
  <c r="CG170" i="92" a="1"/>
  <c r="BW170" i="92" a="1"/>
  <c r="BK170" i="92" a="1"/>
  <c r="CJ170" i="92" a="1"/>
  <c r="BX170" i="92" a="1"/>
  <c r="BN170" i="92" a="1"/>
  <c r="BL170" i="92" a="1"/>
  <c r="BZ434" i="92" a="1"/>
  <c r="BJ170" i="92" a="1"/>
  <c r="BZ418" i="92" a="1"/>
  <c r="BY170" i="92" l="1"/>
  <c r="CH170" i="92"/>
  <c r="BK170" i="92"/>
  <c r="CJ170" i="92"/>
  <c r="BN170" i="92"/>
  <c r="BM170" i="92"/>
  <c r="CG170" i="92"/>
  <c r="CI170" i="92"/>
  <c r="BJ170" i="92"/>
  <c r="BL170" i="92"/>
  <c r="BZ450" i="92"/>
  <c r="CB450" i="92" s="1"/>
  <c r="BX170" i="92"/>
  <c r="BZ418" i="92"/>
  <c r="CB418" i="92" s="1"/>
  <c r="BV170" i="92"/>
  <c r="BW170" i="92"/>
  <c r="BZ434" i="92"/>
  <c r="CB434" i="92" s="1"/>
  <c r="BT172" i="92"/>
  <c r="BI172" i="92"/>
  <c r="CE172" i="92"/>
  <c r="CK165" i="92"/>
  <c r="BO165" i="92"/>
  <c r="U177" i="89" s="1"/>
  <c r="BZ165" i="92"/>
  <c r="BK171" i="92" a="1"/>
  <c r="CH171" i="92" a="1"/>
  <c r="CI171" i="92" a="1"/>
  <c r="CR36" i="92" a="1"/>
  <c r="BX171" i="92" a="1"/>
  <c r="CG171" i="92" a="1"/>
  <c r="CJ171" i="92" a="1"/>
  <c r="BN435" i="92" a="1"/>
  <c r="BW171" i="92" a="1"/>
  <c r="BJ171" i="92" a="1"/>
  <c r="BN451" i="92" a="1"/>
  <c r="BN171" i="92" a="1"/>
  <c r="CR28" i="92" a="1"/>
  <c r="BM171" i="92" a="1"/>
  <c r="BN419" i="92" a="1"/>
  <c r="CR44" i="92" a="1"/>
  <c r="BV171" i="92" a="1"/>
  <c r="BY171" i="92" a="1"/>
  <c r="BL171" i="92" a="1"/>
  <c r="CR44" i="92" l="1"/>
  <c r="Y162" i="88" s="1"/>
  <c r="AI181" i="88"/>
  <c r="U869" i="89"/>
  <c r="AI142" i="88"/>
  <c r="U523" i="89"/>
  <c r="CR28" i="92"/>
  <c r="Y84" i="88" s="1"/>
  <c r="CR36" i="92"/>
  <c r="Y123" i="88" s="1"/>
  <c r="BR472" i="92"/>
  <c r="X61" i="88" s="1"/>
  <c r="BT472" i="92"/>
  <c r="AF61" i="88" s="1"/>
  <c r="BP472" i="92"/>
  <c r="P61" i="88" s="1"/>
  <c r="AI103" i="88"/>
  <c r="CH171" i="92"/>
  <c r="BX171" i="92"/>
  <c r="BW171" i="92"/>
  <c r="CI171" i="92"/>
  <c r="CG171" i="92"/>
  <c r="CK171" i="92" s="1"/>
  <c r="BY171" i="92"/>
  <c r="BN451" i="92"/>
  <c r="BP451" i="92" s="1"/>
  <c r="BM473" i="92" s="1"/>
  <c r="Z62" i="88" s="1"/>
  <c r="CJ171" i="92"/>
  <c r="BM171" i="92"/>
  <c r="BN171" i="92"/>
  <c r="BV171" i="92"/>
  <c r="BZ171" i="92" s="1"/>
  <c r="BJ171" i="92"/>
  <c r="BN419" i="92"/>
  <c r="BP419" i="92" s="1"/>
  <c r="BI473" i="92" s="1"/>
  <c r="J62" i="88" s="1"/>
  <c r="BN435" i="92"/>
  <c r="BP435" i="92" s="1"/>
  <c r="BK473" i="92" s="1"/>
  <c r="R62" i="88" s="1"/>
  <c r="BK171" i="92"/>
  <c r="BO171" i="92" s="1"/>
  <c r="U184" i="89" s="1"/>
  <c r="BL171" i="92"/>
  <c r="CK170" i="92"/>
  <c r="CE173" i="92"/>
  <c r="BT173" i="92"/>
  <c r="BO170" i="92"/>
  <c r="U183" i="89" s="1"/>
  <c r="BI173" i="92"/>
  <c r="BZ170" i="92"/>
  <c r="BX172" i="92" a="1"/>
  <c r="CG172" i="92" a="1"/>
  <c r="BM172" i="92" a="1"/>
  <c r="BL172" i="92" a="1"/>
  <c r="BN172" i="92" a="1"/>
  <c r="BV172" i="92" a="1"/>
  <c r="CH172" i="92" a="1"/>
  <c r="CJ172" i="92" a="1"/>
  <c r="BY172" i="92" a="1"/>
  <c r="CI172" i="92" a="1"/>
  <c r="BJ172" i="92" a="1"/>
  <c r="CF172" i="92" a="1"/>
  <c r="BW172" i="92" a="1"/>
  <c r="BU172" i="92" a="1"/>
  <c r="BK172" i="92" a="1"/>
  <c r="AK132" i="88" l="1"/>
  <c r="U530" i="89"/>
  <c r="AK171" i="88"/>
  <c r="U876" i="89"/>
  <c r="AK131" i="88"/>
  <c r="U529" i="89"/>
  <c r="AK170" i="88"/>
  <c r="U875" i="89"/>
  <c r="AK93" i="88"/>
  <c r="AK92" i="88"/>
  <c r="CJ172" i="92"/>
  <c r="CI172" i="92"/>
  <c r="BJ172" i="92"/>
  <c r="CF172" i="92"/>
  <c r="BL172" i="92"/>
  <c r="BV172" i="92"/>
  <c r="BZ172" i="92" s="1"/>
  <c r="BX172" i="92"/>
  <c r="BW172" i="92"/>
  <c r="BK172" i="92"/>
  <c r="BO172" i="92" s="1"/>
  <c r="U185" i="89" s="1"/>
  <c r="CG172" i="92"/>
  <c r="CK172" i="92" s="1"/>
  <c r="BM172" i="92"/>
  <c r="BU172" i="92"/>
  <c r="BY172" i="92"/>
  <c r="BN172" i="92"/>
  <c r="CH172" i="92"/>
  <c r="BI174" i="92"/>
  <c r="CE174" i="92"/>
  <c r="BT174" i="92"/>
  <c r="CH173" i="92" a="1"/>
  <c r="BM173" i="92" a="1"/>
  <c r="CF173" i="92" a="1"/>
  <c r="BY173" i="92" a="1"/>
  <c r="CJ173" i="92" a="1"/>
  <c r="CI173" i="92" a="1"/>
  <c r="BW173" i="92" a="1"/>
  <c r="BK173" i="92" a="1"/>
  <c r="BU173" i="92" a="1"/>
  <c r="BN173" i="92" a="1"/>
  <c r="BL173" i="92" a="1"/>
  <c r="BJ173" i="92" a="1"/>
  <c r="BV173" i="92" a="1"/>
  <c r="CG173" i="92" a="1"/>
  <c r="BX173" i="92" a="1"/>
  <c r="AK172" i="88" l="1"/>
  <c r="U877" i="89"/>
  <c r="AK133" i="88"/>
  <c r="U531" i="89"/>
  <c r="AK94" i="88"/>
  <c r="CF173" i="92"/>
  <c r="BN173" i="92"/>
  <c r="BV173" i="92"/>
  <c r="BZ173" i="92" s="1"/>
  <c r="BJ173" i="92"/>
  <c r="CG173" i="92"/>
  <c r="CK173" i="92" s="1"/>
  <c r="BK173" i="92"/>
  <c r="BO173" i="92" s="1"/>
  <c r="U186" i="89" s="1"/>
  <c r="BL173" i="92"/>
  <c r="BW173" i="92"/>
  <c r="BU173" i="92"/>
  <c r="BY173" i="92"/>
  <c r="BM173" i="92"/>
  <c r="BX173" i="92"/>
  <c r="CH173" i="92"/>
  <c r="CI173" i="92"/>
  <c r="CJ173" i="92"/>
  <c r="BT175" i="92"/>
  <c r="CE175" i="92"/>
  <c r="BI175" i="92"/>
  <c r="CF174" i="92" a="1"/>
  <c r="CH174" i="92" a="1"/>
  <c r="BU174" i="92" a="1"/>
  <c r="BJ174" i="92" a="1"/>
  <c r="BY174" i="92" a="1"/>
  <c r="CJ174" i="92" a="1"/>
  <c r="BM174" i="92" a="1"/>
  <c r="BL174" i="92" a="1"/>
  <c r="BK174" i="92" a="1"/>
  <c r="CG174" i="92" a="1"/>
  <c r="CI174" i="92" a="1"/>
  <c r="BX174" i="92" a="1"/>
  <c r="BW174" i="92" a="1"/>
  <c r="BN174" i="92" a="1"/>
  <c r="AK173" i="88" l="1"/>
  <c r="U878" i="89"/>
  <c r="AK134" i="88"/>
  <c r="U532" i="89"/>
  <c r="AK95" i="88"/>
  <c r="CI174" i="92"/>
  <c r="BY174" i="92"/>
  <c r="CG174" i="92"/>
  <c r="CK174" i="92" s="1"/>
  <c r="BK174" i="92"/>
  <c r="BO174" i="92" s="1"/>
  <c r="U187" i="89" s="1"/>
  <c r="BU174" i="92"/>
  <c r="BL174" i="92"/>
  <c r="BJ174" i="92"/>
  <c r="BM174" i="92"/>
  <c r="BX174" i="92"/>
  <c r="BW174" i="92"/>
  <c r="BN174" i="92"/>
  <c r="CH174" i="92"/>
  <c r="CF174" i="92"/>
  <c r="CJ174" i="92"/>
  <c r="CE176" i="92"/>
  <c r="BI176" i="92"/>
  <c r="BT176" i="92"/>
  <c r="BU175" i="92" a="1"/>
  <c r="BJ175" i="92" a="1"/>
  <c r="BL175" i="92" a="1"/>
  <c r="CJ175" i="92" a="1"/>
  <c r="BN175" i="92" a="1"/>
  <c r="BM175" i="92" a="1"/>
  <c r="CF175" i="92" a="1"/>
  <c r="BK175" i="92" a="1"/>
  <c r="BX175" i="92" a="1"/>
  <c r="BV175" i="92" a="1"/>
  <c r="CH175" i="92" a="1"/>
  <c r="CI175" i="92" a="1"/>
  <c r="BY175" i="92" a="1"/>
  <c r="CG175" i="92" a="1"/>
  <c r="BW175" i="92" a="1"/>
  <c r="AK174" i="88" l="1"/>
  <c r="U879" i="89"/>
  <c r="AK96" i="88"/>
  <c r="BM175" i="92"/>
  <c r="BW175" i="92"/>
  <c r="BV175" i="92"/>
  <c r="BZ175" i="92" s="1"/>
  <c r="CG175" i="92"/>
  <c r="CK175" i="92" s="1"/>
  <c r="BU175" i="92"/>
  <c r="CJ175" i="92"/>
  <c r="BY175" i="92"/>
  <c r="CF175" i="92"/>
  <c r="CH175" i="92"/>
  <c r="BN175" i="92"/>
  <c r="BL175" i="92"/>
  <c r="CI175" i="92"/>
  <c r="BJ175" i="92"/>
  <c r="BX175" i="92"/>
  <c r="BK175" i="92"/>
  <c r="BO175" i="92" s="1"/>
  <c r="U188" i="89" s="1"/>
  <c r="BI177" i="92"/>
  <c r="BT177" i="92"/>
  <c r="CE177" i="92"/>
  <c r="BL176" i="92" a="1"/>
  <c r="BM176" i="92" a="1"/>
  <c r="BY176" i="92" a="1"/>
  <c r="BV176" i="92" a="1"/>
  <c r="BW176" i="92" a="1"/>
  <c r="CF176" i="92" a="1"/>
  <c r="BX176" i="92" a="1"/>
  <c r="CI176" i="92" a="1"/>
  <c r="BU176" i="92" a="1"/>
  <c r="CH176" i="92" a="1"/>
  <c r="CG176" i="92" a="1"/>
  <c r="BN176" i="92" a="1"/>
  <c r="CJ176" i="92" a="1"/>
  <c r="BK176" i="92" a="1"/>
  <c r="BJ176" i="92" a="1"/>
  <c r="AK175" i="88" l="1"/>
  <c r="U880" i="89"/>
  <c r="AK136" i="88"/>
  <c r="U534" i="89"/>
  <c r="AK97" i="88"/>
  <c r="CI176" i="92"/>
  <c r="CG176" i="92"/>
  <c r="CK176" i="92" s="1"/>
  <c r="BY176" i="92"/>
  <c r="BV176" i="92"/>
  <c r="BZ176" i="92" s="1"/>
  <c r="BM176" i="92"/>
  <c r="BW176" i="92"/>
  <c r="BX176" i="92"/>
  <c r="BU176" i="92"/>
  <c r="CH176" i="92"/>
  <c r="BJ176" i="92"/>
  <c r="CF176" i="92"/>
  <c r="BK176" i="92"/>
  <c r="BO176" i="92" s="1"/>
  <c r="U189" i="89" s="1"/>
  <c r="BN176" i="92"/>
  <c r="CJ176" i="92"/>
  <c r="BL176" i="92"/>
  <c r="BI178" i="92"/>
  <c r="CE178" i="92"/>
  <c r="BT178" i="92"/>
  <c r="BW177" i="92" a="1"/>
  <c r="BJ177" i="92" a="1"/>
  <c r="CG177" i="92" a="1"/>
  <c r="BV177" i="92" a="1"/>
  <c r="CH177" i="92" a="1"/>
  <c r="BX177" i="92" a="1"/>
  <c r="CF177" i="92" a="1"/>
  <c r="CJ177" i="92" a="1"/>
  <c r="BN177" i="92" a="1"/>
  <c r="CI177" i="92" a="1"/>
  <c r="BL177" i="92" a="1"/>
  <c r="BM177" i="92" a="1"/>
  <c r="BK177" i="92" a="1"/>
  <c r="BY177" i="92" a="1"/>
  <c r="BU177" i="92" a="1"/>
  <c r="AK137" i="88" l="1"/>
  <c r="U535" i="89"/>
  <c r="AK176" i="88"/>
  <c r="U881" i="89"/>
  <c r="AK98" i="88"/>
  <c r="BW177" i="92"/>
  <c r="BU177" i="92"/>
  <c r="BN177" i="92"/>
  <c r="BM177" i="92"/>
  <c r="CF177" i="92"/>
  <c r="BV177" i="92"/>
  <c r="BZ177" i="92" s="1"/>
  <c r="BL177" i="92"/>
  <c r="CJ177" i="92"/>
  <c r="BK177" i="92"/>
  <c r="BO177" i="92" s="1"/>
  <c r="U190" i="89" s="1"/>
  <c r="BJ177" i="92"/>
  <c r="BX177" i="92"/>
  <c r="BY177" i="92"/>
  <c r="CH177" i="92"/>
  <c r="CG177" i="92"/>
  <c r="CK177" i="92" s="1"/>
  <c r="CI177" i="92"/>
  <c r="CE179" i="92"/>
  <c r="BT179" i="92"/>
  <c r="BI179" i="92"/>
  <c r="BY178" i="92" a="1"/>
  <c r="CI178" i="92" a="1"/>
  <c r="BM178" i="92" a="1"/>
  <c r="CH178" i="92" a="1"/>
  <c r="BW178" i="92" a="1"/>
  <c r="BN178" i="92" a="1"/>
  <c r="BX178" i="92" a="1"/>
  <c r="BJ178" i="92" a="1"/>
  <c r="BU178" i="92" a="1"/>
  <c r="BK178" i="92" a="1"/>
  <c r="CG178" i="92" a="1"/>
  <c r="BL178" i="92" a="1"/>
  <c r="CJ178" i="92" a="1"/>
  <c r="BV178" i="92" a="1"/>
  <c r="CF178" i="92" a="1"/>
  <c r="AK138" i="88" l="1"/>
  <c r="U536" i="89"/>
  <c r="AK177" i="88"/>
  <c r="U882" i="89"/>
  <c r="AK99" i="88"/>
  <c r="BX178" i="92"/>
  <c r="CH178" i="92"/>
  <c r="CJ178" i="92"/>
  <c r="BM178" i="92"/>
  <c r="BV178" i="92"/>
  <c r="BK178" i="92"/>
  <c r="BO178" i="92" s="1"/>
  <c r="U191" i="89" s="1"/>
  <c r="BL178" i="92"/>
  <c r="CI178" i="92"/>
  <c r="BJ178" i="92"/>
  <c r="CF178" i="92"/>
  <c r="CG178" i="92"/>
  <c r="BW178" i="92"/>
  <c r="BN178" i="92"/>
  <c r="BY178" i="92"/>
  <c r="BU178" i="92"/>
  <c r="BT180" i="92"/>
  <c r="BI180" i="92"/>
  <c r="CE180" i="92"/>
  <c r="CI179" i="92" a="1"/>
  <c r="BN179" i="92" a="1"/>
  <c r="BU179" i="92" a="1"/>
  <c r="BK179" i="92" a="1"/>
  <c r="BX179" i="92" a="1"/>
  <c r="BW179" i="92" a="1"/>
  <c r="CF179" i="92" a="1"/>
  <c r="BJ179" i="92" a="1"/>
  <c r="BM179" i="92" a="1"/>
  <c r="CH179" i="92" a="1"/>
  <c r="BY179" i="92" a="1"/>
  <c r="CG179" i="92" a="1"/>
  <c r="BL179" i="92" a="1"/>
  <c r="BV179" i="92" a="1"/>
  <c r="CJ179" i="92" a="1"/>
  <c r="AK100" i="88" l="1"/>
  <c r="BL179" i="92"/>
  <c r="BY179" i="92"/>
  <c r="BW179" i="92"/>
  <c r="BM179" i="92"/>
  <c r="BV179" i="92"/>
  <c r="BZ179" i="92" s="1"/>
  <c r="BX179" i="92"/>
  <c r="CI179" i="92"/>
  <c r="CF179" i="92"/>
  <c r="CJ179" i="92"/>
  <c r="BU179" i="92"/>
  <c r="CH179" i="92"/>
  <c r="BN179" i="92"/>
  <c r="BJ179" i="92"/>
  <c r="CG179" i="92"/>
  <c r="CK179" i="92" s="1"/>
  <c r="BK179" i="92"/>
  <c r="BO179" i="92" s="1"/>
  <c r="U192" i="89" s="1"/>
  <c r="BI181" i="92"/>
  <c r="CK178" i="92"/>
  <c r="BZ178" i="92"/>
  <c r="BT181" i="92"/>
  <c r="CE181" i="92"/>
  <c r="BN180" i="92" a="1"/>
  <c r="BU180" i="92" a="1"/>
  <c r="BY180" i="92" a="1"/>
  <c r="CJ180" i="92" a="1"/>
  <c r="BM180" i="92" a="1"/>
  <c r="BL180" i="92" a="1"/>
  <c r="CF180" i="92" a="1"/>
  <c r="CH180" i="92" a="1"/>
  <c r="CI180" i="92" a="1"/>
  <c r="CG180" i="92" a="1"/>
  <c r="BX180" i="92" a="1"/>
  <c r="BK180" i="92" a="1"/>
  <c r="BJ180" i="92" a="1"/>
  <c r="BW180" i="92" a="1"/>
  <c r="BV180" i="92" a="1"/>
  <c r="AK179" i="88" l="1"/>
  <c r="U884" i="89"/>
  <c r="AK140" i="88"/>
  <c r="U538" i="89"/>
  <c r="AK139" i="88"/>
  <c r="U537" i="89"/>
  <c r="AK178" i="88"/>
  <c r="U883" i="89"/>
  <c r="AK101" i="88"/>
  <c r="CG180" i="92"/>
  <c r="CK180" i="92" s="1"/>
  <c r="CJ180" i="92"/>
  <c r="BL180" i="92"/>
  <c r="BV180" i="92"/>
  <c r="BZ180" i="92" s="1"/>
  <c r="BJ180" i="92"/>
  <c r="BK180" i="92"/>
  <c r="BO180" i="92" s="1"/>
  <c r="U193" i="89" s="1"/>
  <c r="BW180" i="92"/>
  <c r="BN180" i="92"/>
  <c r="BY180" i="92"/>
  <c r="BX180" i="92"/>
  <c r="BU180" i="92"/>
  <c r="CH180" i="92"/>
  <c r="BM180" i="92"/>
  <c r="CF180" i="92"/>
  <c r="CI180" i="92"/>
  <c r="BI186" i="92"/>
  <c r="BT186" i="92"/>
  <c r="CE186" i="92"/>
  <c r="CF181" i="92" a="1"/>
  <c r="BJ181" i="92" a="1"/>
  <c r="BQ518" i="92"/>
  <c r="BX181" i="92" a="1"/>
  <c r="BU181" i="92" a="1"/>
  <c r="BL181" i="92" a="1"/>
  <c r="BY181" i="92" a="1"/>
  <c r="BK181" i="92" a="1"/>
  <c r="CG181" i="92" a="1"/>
  <c r="BO518" i="92"/>
  <c r="BW181" i="92" a="1"/>
  <c r="CH181" i="92" a="1"/>
  <c r="CJ181" i="92" a="1"/>
  <c r="BM181" i="92" a="1"/>
  <c r="BU353" i="92"/>
  <c r="BN181" i="92" a="1"/>
  <c r="CI181" i="92" a="1"/>
  <c r="BV181" i="92" a="1"/>
  <c r="AK180" i="88" l="1"/>
  <c r="U885" i="89"/>
  <c r="AK141" i="88"/>
  <c r="U539" i="89"/>
  <c r="AK102" i="88"/>
  <c r="CH181" i="92"/>
  <c r="BL181" i="92"/>
  <c r="CJ181" i="92"/>
  <c r="BJ181" i="92"/>
  <c r="CG181" i="92"/>
  <c r="BN181" i="92"/>
  <c r="BW181" i="92"/>
  <c r="BV181" i="92"/>
  <c r="BK181" i="92"/>
  <c r="BM181" i="92"/>
  <c r="BY181" i="92"/>
  <c r="BX181" i="92"/>
  <c r="CF181" i="92"/>
  <c r="CI181" i="92"/>
  <c r="BU181" i="92"/>
  <c r="BT187" i="92"/>
  <c r="BI187" i="92"/>
  <c r="CE187" i="92"/>
  <c r="BX186" i="92" a="1"/>
  <c r="CJ186" i="92" a="1"/>
  <c r="CH186" i="92" a="1"/>
  <c r="CI186" i="92" a="1"/>
  <c r="BK186" i="92" a="1"/>
  <c r="BV186" i="92" a="1"/>
  <c r="BY435" i="92" a="1"/>
  <c r="BY451" i="92" a="1"/>
  <c r="BY419" i="92" a="1"/>
  <c r="BW186" i="92" a="1"/>
  <c r="BJ186" i="92" a="1"/>
  <c r="BM186" i="92" a="1"/>
  <c r="BN186" i="92" a="1"/>
  <c r="BY186" i="92" a="1"/>
  <c r="BL186" i="92" a="1"/>
  <c r="CG186" i="92" a="1"/>
  <c r="BV186" i="92" l="1"/>
  <c r="BY419" i="92"/>
  <c r="CA419" i="92" s="1"/>
  <c r="BO473" i="92" s="1"/>
  <c r="N62" i="88" s="1"/>
  <c r="CH186" i="92"/>
  <c r="CI186" i="92"/>
  <c r="BY435" i="92"/>
  <c r="CA435" i="92" s="1"/>
  <c r="BQ473" i="92" s="1"/>
  <c r="V62" i="88" s="1"/>
  <c r="BX186" i="92"/>
  <c r="CG186" i="92"/>
  <c r="BY186" i="92"/>
  <c r="BW186" i="92"/>
  <c r="BY451" i="92"/>
  <c r="CA451" i="92" s="1"/>
  <c r="BS473" i="92" s="1"/>
  <c r="AD62" i="88" s="1"/>
  <c r="BN186" i="92"/>
  <c r="CJ186" i="92"/>
  <c r="BJ186" i="92"/>
  <c r="BL186" i="92"/>
  <c r="BM186" i="92"/>
  <c r="BK186" i="92"/>
  <c r="BO181" i="92"/>
  <c r="U194" i="89" s="1"/>
  <c r="BZ181" i="92"/>
  <c r="CK181" i="92"/>
  <c r="CE188" i="92"/>
  <c r="BT188" i="92"/>
  <c r="BI188" i="92"/>
  <c r="BO419" i="92" a="1"/>
  <c r="BO435" i="92" a="1"/>
  <c r="BW187" i="92" a="1"/>
  <c r="BM187" i="92" a="1"/>
  <c r="BY187" i="92" a="1"/>
  <c r="CJ187" i="92" a="1"/>
  <c r="BO451" i="92" a="1"/>
  <c r="CH187" i="92" a="1"/>
  <c r="BN187" i="92" a="1"/>
  <c r="BK187" i="92" a="1"/>
  <c r="BL187" i="92" a="1"/>
  <c r="CI187" i="92" a="1"/>
  <c r="BX187" i="92" a="1"/>
  <c r="BJ187" i="92" a="1"/>
  <c r="CG187" i="92" a="1"/>
  <c r="BV187" i="92" a="1"/>
  <c r="AK142" i="88" l="1"/>
  <c r="U540" i="89"/>
  <c r="AK181" i="88"/>
  <c r="U886" i="89"/>
  <c r="AK103" i="88"/>
  <c r="BL187" i="92"/>
  <c r="CI187" i="92"/>
  <c r="BY187" i="92"/>
  <c r="BO451" i="92"/>
  <c r="BQ451" i="92" s="1"/>
  <c r="BN473" i="92" s="1"/>
  <c r="AB62" i="88" s="1"/>
  <c r="BV187" i="92"/>
  <c r="BZ187" i="92" s="1"/>
  <c r="BX187" i="92"/>
  <c r="BO419" i="92"/>
  <c r="BQ419" i="92" s="1"/>
  <c r="BJ473" i="92" s="1"/>
  <c r="L62" i="88" s="1"/>
  <c r="BN187" i="92"/>
  <c r="BW187" i="92"/>
  <c r="BM187" i="92"/>
  <c r="CJ187" i="92"/>
  <c r="CG187" i="92"/>
  <c r="CK187" i="92" s="1"/>
  <c r="BJ187" i="92"/>
  <c r="CH187" i="92"/>
  <c r="BK187" i="92"/>
  <c r="BO187" i="92" s="1"/>
  <c r="U201" i="89" s="1"/>
  <c r="BO435" i="92"/>
  <c r="BQ435" i="92" s="1"/>
  <c r="BL473" i="92" s="1"/>
  <c r="T62" i="88" s="1"/>
  <c r="CK186" i="92"/>
  <c r="BI189" i="92"/>
  <c r="BO186" i="92"/>
  <c r="U200" i="89" s="1"/>
  <c r="BT189" i="92"/>
  <c r="CE189" i="92"/>
  <c r="BZ186" i="92"/>
  <c r="BV188" i="92" a="1"/>
  <c r="CG188" i="92" a="1"/>
  <c r="BJ188" i="92" a="1"/>
  <c r="BM188" i="92" a="1"/>
  <c r="BL188" i="92" a="1"/>
  <c r="BN188" i="92" a="1"/>
  <c r="BW188" i="92" a="1"/>
  <c r="BY188" i="92" a="1"/>
  <c r="CF188" i="92" a="1"/>
  <c r="BK188" i="92" a="1"/>
  <c r="CJ188" i="92" a="1"/>
  <c r="BX188" i="92" a="1"/>
  <c r="CI188" i="92" a="1"/>
  <c r="BU188" i="92" a="1"/>
  <c r="CH188" i="92" a="1"/>
  <c r="AM170" i="88" l="1"/>
  <c r="U892" i="89"/>
  <c r="AM132" i="88"/>
  <c r="U547" i="89"/>
  <c r="AM171" i="88"/>
  <c r="U893" i="89"/>
  <c r="AM131" i="88"/>
  <c r="U546" i="89"/>
  <c r="AM92" i="88"/>
  <c r="AM93" i="88"/>
  <c r="CG188" i="92"/>
  <c r="CK188" i="92" s="1"/>
  <c r="BJ188" i="92"/>
  <c r="BK188" i="92"/>
  <c r="BO188" i="92" s="1"/>
  <c r="U202" i="89" s="1"/>
  <c r="BL188" i="92"/>
  <c r="CI188" i="92"/>
  <c r="BX188" i="92"/>
  <c r="BN188" i="92"/>
  <c r="BV188" i="92"/>
  <c r="BZ188" i="92" s="1"/>
  <c r="BW188" i="92"/>
  <c r="BU188" i="92"/>
  <c r="BY188" i="92"/>
  <c r="CF188" i="92"/>
  <c r="CH188" i="92"/>
  <c r="CJ188" i="92"/>
  <c r="BM188" i="92"/>
  <c r="BI190" i="92"/>
  <c r="CE190" i="92"/>
  <c r="BT190" i="92"/>
  <c r="CH189" i="92" a="1"/>
  <c r="BJ189" i="92" a="1"/>
  <c r="BX189" i="92" a="1"/>
  <c r="CI189" i="92" a="1"/>
  <c r="BU189" i="92" a="1"/>
  <c r="BW189" i="92" a="1"/>
  <c r="CF189" i="92" a="1"/>
  <c r="BK189" i="92" a="1"/>
  <c r="CG189" i="92" a="1"/>
  <c r="BN189" i="92" a="1"/>
  <c r="BY189" i="92" a="1"/>
  <c r="BV189" i="92" a="1"/>
  <c r="BM189" i="92" a="1"/>
  <c r="CJ189" i="92" a="1"/>
  <c r="BL189" i="92" a="1"/>
  <c r="AM133" i="88" l="1"/>
  <c r="U548" i="89"/>
  <c r="AM172" i="88"/>
  <c r="U894" i="89"/>
  <c r="AM94" i="88"/>
  <c r="CG189" i="92"/>
  <c r="CK189" i="92" s="1"/>
  <c r="BV189" i="92"/>
  <c r="BZ189" i="92" s="1"/>
  <c r="BM189" i="92"/>
  <c r="BW189" i="92"/>
  <c r="BU189" i="92"/>
  <c r="BJ189" i="92"/>
  <c r="CF189" i="92"/>
  <c r="BX189" i="92"/>
  <c r="BK189" i="92"/>
  <c r="BO189" i="92" s="1"/>
  <c r="U203" i="89" s="1"/>
  <c r="BY189" i="92"/>
  <c r="BL189" i="92"/>
  <c r="BN189" i="92"/>
  <c r="CH189" i="92"/>
  <c r="CJ189" i="92"/>
  <c r="CI189" i="92"/>
  <c r="CE191" i="92"/>
  <c r="BI191" i="92"/>
  <c r="BT191" i="92"/>
  <c r="CG190" i="92" a="1"/>
  <c r="CF190" i="92" a="1"/>
  <c r="BN190" i="92" a="1"/>
  <c r="CH190" i="92" a="1"/>
  <c r="BY190" i="92" a="1"/>
  <c r="BL190" i="92" a="1"/>
  <c r="BJ190" i="92" a="1"/>
  <c r="BX190" i="92" a="1"/>
  <c r="BM190" i="92" a="1"/>
  <c r="CJ190" i="92" a="1"/>
  <c r="CI190" i="92" a="1"/>
  <c r="BW190" i="92" a="1"/>
  <c r="BU190" i="92" a="1"/>
  <c r="AM173" i="88" l="1"/>
  <c r="U895" i="89"/>
  <c r="AM134" i="88"/>
  <c r="U549" i="89"/>
  <c r="AM95" i="88"/>
  <c r="BM190" i="92"/>
  <c r="BU190" i="92"/>
  <c r="BJ190" i="92"/>
  <c r="CF190" i="92"/>
  <c r="CI190" i="92"/>
  <c r="BL190" i="92"/>
  <c r="BX190" i="92"/>
  <c r="CH190" i="92"/>
  <c r="BY190" i="92"/>
  <c r="CG190" i="92"/>
  <c r="CK190" i="92" s="1"/>
  <c r="BN190" i="92"/>
  <c r="BW190" i="92"/>
  <c r="CJ190" i="92"/>
  <c r="BT192" i="92"/>
  <c r="BI192" i="92"/>
  <c r="CE192" i="92"/>
  <c r="BV191" i="92" a="1"/>
  <c r="CI191" i="92" a="1"/>
  <c r="BW191" i="92" a="1"/>
  <c r="BL191" i="92" a="1"/>
  <c r="BK191" i="92" a="1"/>
  <c r="BY191" i="92" a="1"/>
  <c r="CG191" i="92" a="1"/>
  <c r="BM191" i="92" a="1"/>
  <c r="CF191" i="92" a="1"/>
  <c r="BN191" i="92" a="1"/>
  <c r="CH191" i="92" a="1"/>
  <c r="BJ191" i="92" a="1"/>
  <c r="BU191" i="92" a="1"/>
  <c r="CJ191" i="92" a="1"/>
  <c r="BX191" i="92" a="1"/>
  <c r="AM174" i="88" l="1"/>
  <c r="U896" i="89"/>
  <c r="BK191" i="92"/>
  <c r="BO191" i="92" s="1"/>
  <c r="U205" i="89" s="1"/>
  <c r="BX191" i="92"/>
  <c r="BW191" i="92"/>
  <c r="BL191" i="92"/>
  <c r="CH191" i="92"/>
  <c r="CG191" i="92"/>
  <c r="CK191" i="92" s="1"/>
  <c r="CF191" i="92"/>
  <c r="BV191" i="92"/>
  <c r="BZ191" i="92" s="1"/>
  <c r="CJ191" i="92"/>
  <c r="BY191" i="92"/>
  <c r="BN191" i="92"/>
  <c r="BJ191" i="92"/>
  <c r="BU191" i="92"/>
  <c r="CI191" i="92"/>
  <c r="BM191" i="92"/>
  <c r="CE193" i="92"/>
  <c r="BT193" i="92"/>
  <c r="BI193" i="92"/>
  <c r="BX192" i="92" a="1"/>
  <c r="BN192" i="92" a="1"/>
  <c r="CG192" i="92" a="1"/>
  <c r="CJ192" i="92" a="1"/>
  <c r="BV192" i="92" a="1"/>
  <c r="BJ192" i="92" a="1"/>
  <c r="CI192" i="92" a="1"/>
  <c r="BU192" i="92" a="1"/>
  <c r="CF192" i="92" a="1"/>
  <c r="CH192" i="92" a="1"/>
  <c r="BM192" i="92" a="1"/>
  <c r="BL192" i="92" a="1"/>
  <c r="BW192" i="92" a="1"/>
  <c r="BY192" i="92" a="1"/>
  <c r="BK192" i="92" a="1"/>
  <c r="AM136" i="88" l="1"/>
  <c r="U551" i="89"/>
  <c r="AM175" i="88"/>
  <c r="U897" i="89"/>
  <c r="AM97" i="88"/>
  <c r="BY192" i="92"/>
  <c r="CH192" i="92"/>
  <c r="CG192" i="92"/>
  <c r="CK192" i="92" s="1"/>
  <c r="BW192" i="92"/>
  <c r="BJ192" i="92"/>
  <c r="BM192" i="92"/>
  <c r="CI192" i="92"/>
  <c r="BK192" i="92"/>
  <c r="BO192" i="92" s="1"/>
  <c r="U206" i="89" s="1"/>
  <c r="CJ192" i="92"/>
  <c r="BL192" i="92"/>
  <c r="CF192" i="92"/>
  <c r="BN192" i="92"/>
  <c r="BU192" i="92"/>
  <c r="BX192" i="92"/>
  <c r="BV192" i="92"/>
  <c r="BZ192" i="92" s="1"/>
  <c r="BI194" i="92"/>
  <c r="CE194" i="92"/>
  <c r="BT194" i="92"/>
  <c r="BN193" i="92" a="1"/>
  <c r="CG193" i="92" a="1"/>
  <c r="BM193" i="92" a="1"/>
  <c r="BK193" i="92" a="1"/>
  <c r="CF193" i="92" a="1"/>
  <c r="BJ193" i="92" a="1"/>
  <c r="CI193" i="92" a="1"/>
  <c r="BX193" i="92" a="1"/>
  <c r="CJ193" i="92" a="1"/>
  <c r="CH193" i="92" a="1"/>
  <c r="BL193" i="92" a="1"/>
  <c r="BY193" i="92" a="1"/>
  <c r="BU193" i="92" a="1"/>
  <c r="BW193" i="92" a="1"/>
  <c r="BV193" i="92" a="1"/>
  <c r="AM137" i="88" l="1"/>
  <c r="U552" i="89"/>
  <c r="AM176" i="88"/>
  <c r="U898" i="89"/>
  <c r="AM98" i="88"/>
  <c r="CI193" i="92"/>
  <c r="BV193" i="92"/>
  <c r="BZ193" i="92" s="1"/>
  <c r="CF193" i="92"/>
  <c r="BK193" i="92"/>
  <c r="BO193" i="92" s="1"/>
  <c r="U207" i="89" s="1"/>
  <c r="BL193" i="92"/>
  <c r="BW193" i="92"/>
  <c r="BN193" i="92"/>
  <c r="BM193" i="92"/>
  <c r="BJ193" i="92"/>
  <c r="CH193" i="92"/>
  <c r="BU193" i="92"/>
  <c r="BY193" i="92"/>
  <c r="CG193" i="92"/>
  <c r="CK193" i="92" s="1"/>
  <c r="BX193" i="92"/>
  <c r="CJ193" i="92"/>
  <c r="CE195" i="92"/>
  <c r="BI195" i="92"/>
  <c r="BT195" i="92"/>
  <c r="BW194" i="92" a="1"/>
  <c r="CH194" i="92" a="1"/>
  <c r="CG194" i="92" a="1"/>
  <c r="BU194" i="92" a="1"/>
  <c r="BX194" i="92" a="1"/>
  <c r="BJ194" i="92" a="1"/>
  <c r="CI194" i="92" a="1"/>
  <c r="BV194" i="92" a="1"/>
  <c r="BL194" i="92" a="1"/>
  <c r="CF194" i="92" a="1"/>
  <c r="BM194" i="92" a="1"/>
  <c r="CJ194" i="92" a="1"/>
  <c r="BN194" i="92" a="1"/>
  <c r="BY194" i="92" a="1"/>
  <c r="BK194" i="92" a="1"/>
  <c r="AM138" i="88" l="1"/>
  <c r="U553" i="89"/>
  <c r="AM177" i="88"/>
  <c r="U899" i="89"/>
  <c r="AM99" i="88"/>
  <c r="BL194" i="92"/>
  <c r="BY194" i="92"/>
  <c r="CG194" i="92"/>
  <c r="CK194" i="92" s="1"/>
  <c r="BK194" i="92"/>
  <c r="BO194" i="92" s="1"/>
  <c r="U208" i="89" s="1"/>
  <c r="CF194" i="92"/>
  <c r="BN194" i="92"/>
  <c r="BV194" i="92"/>
  <c r="BZ194" i="92" s="1"/>
  <c r="CI194" i="92"/>
  <c r="CH194" i="92"/>
  <c r="BW194" i="92"/>
  <c r="CJ194" i="92"/>
  <c r="BU194" i="92"/>
  <c r="BJ194" i="92"/>
  <c r="BX194" i="92"/>
  <c r="BM194" i="92"/>
  <c r="BT196" i="92"/>
  <c r="BI196" i="92"/>
  <c r="CE196" i="92"/>
  <c r="BX195" i="92" a="1"/>
  <c r="BY195" i="92" a="1"/>
  <c r="CI195" i="92" a="1"/>
  <c r="CG195" i="92" a="1"/>
  <c r="BL195" i="92" a="1"/>
  <c r="CF195" i="92" a="1"/>
  <c r="BV195" i="92" a="1"/>
  <c r="BU195" i="92" a="1"/>
  <c r="CJ195" i="92" a="1"/>
  <c r="BJ195" i="92" a="1"/>
  <c r="BK195" i="92" a="1"/>
  <c r="CH195" i="92" a="1"/>
  <c r="BN195" i="92" a="1"/>
  <c r="BW195" i="92" a="1"/>
  <c r="BM195" i="92" a="1"/>
  <c r="AM139" i="88" l="1"/>
  <c r="U554" i="89"/>
  <c r="AM178" i="88"/>
  <c r="U900" i="89"/>
  <c r="AM100" i="88"/>
  <c r="BK195" i="92"/>
  <c r="BO195" i="92" s="1"/>
  <c r="U209" i="89" s="1"/>
  <c r="BX195" i="92"/>
  <c r="BN195" i="92"/>
  <c r="CH195" i="92"/>
  <c r="CI195" i="92"/>
  <c r="BV195" i="92"/>
  <c r="BZ195" i="92" s="1"/>
  <c r="BY195" i="92"/>
  <c r="BU195" i="92"/>
  <c r="BW195" i="92"/>
  <c r="CG195" i="92"/>
  <c r="CK195" i="92" s="1"/>
  <c r="CJ195" i="92"/>
  <c r="BJ195" i="92"/>
  <c r="BL195" i="92"/>
  <c r="CF195" i="92"/>
  <c r="BM195" i="92"/>
  <c r="BT197" i="92"/>
  <c r="BI197" i="92"/>
  <c r="CE197" i="92"/>
  <c r="CI196" i="92" a="1"/>
  <c r="BU196" i="92" a="1"/>
  <c r="CJ196" i="92" a="1"/>
  <c r="BJ196" i="92" a="1"/>
  <c r="CF196" i="92" a="1"/>
  <c r="BK196" i="92" a="1"/>
  <c r="BX196" i="92" a="1"/>
  <c r="BL196" i="92" a="1"/>
  <c r="BM196" i="92" a="1"/>
  <c r="BW196" i="92" a="1"/>
  <c r="BN196" i="92" a="1"/>
  <c r="CG196" i="92" a="1"/>
  <c r="CH196" i="92" a="1"/>
  <c r="BV196" i="92" a="1"/>
  <c r="BY196" i="92" a="1"/>
  <c r="AM140" i="88" l="1"/>
  <c r="U555" i="89"/>
  <c r="AM179" i="88"/>
  <c r="U901" i="89"/>
  <c r="AM101" i="88"/>
  <c r="CH196" i="92"/>
  <c r="BK196" i="92"/>
  <c r="BO196" i="92" s="1"/>
  <c r="U210" i="89" s="1"/>
  <c r="BL196" i="92"/>
  <c r="CF196" i="92"/>
  <c r="BX196" i="92"/>
  <c r="BV196" i="92"/>
  <c r="BZ196" i="92" s="1"/>
  <c r="BJ196" i="92"/>
  <c r="BY196" i="92"/>
  <c r="CJ196" i="92"/>
  <c r="BN196" i="92"/>
  <c r="BU196" i="92"/>
  <c r="CI196" i="92"/>
  <c r="CG196" i="92"/>
  <c r="CK196" i="92" s="1"/>
  <c r="BW196" i="92"/>
  <c r="BM196" i="92"/>
  <c r="BT202" i="92"/>
  <c r="CE202" i="92"/>
  <c r="BI202" i="92"/>
  <c r="BL197" i="92" a="1"/>
  <c r="BM197" i="92" a="1"/>
  <c r="BW197" i="92" a="1"/>
  <c r="BX197" i="92" a="1"/>
  <c r="CF197" i="92" a="1"/>
  <c r="CJ197" i="92" a="1"/>
  <c r="CI197" i="92" a="1"/>
  <c r="BN197" i="92" a="1"/>
  <c r="CH197" i="92" a="1"/>
  <c r="BU197" i="92" a="1"/>
  <c r="BV197" i="92" a="1"/>
  <c r="BQ519" i="92"/>
  <c r="BJ197" i="92" a="1"/>
  <c r="CG197" i="92" a="1"/>
  <c r="BV353" i="92"/>
  <c r="BK197" i="92" a="1"/>
  <c r="BY197" i="92" a="1"/>
  <c r="AM141" i="88" l="1"/>
  <c r="U556" i="89"/>
  <c r="AM180" i="88"/>
  <c r="U902" i="89"/>
  <c r="AM102" i="88"/>
  <c r="CG197" i="92"/>
  <c r="BM197" i="92"/>
  <c r="CF197" i="92"/>
  <c r="BU197" i="92"/>
  <c r="BY197" i="92"/>
  <c r="BX197" i="92"/>
  <c r="BJ197" i="92"/>
  <c r="BK197" i="92"/>
  <c r="BL197" i="92"/>
  <c r="BV197" i="92"/>
  <c r="BN197" i="92"/>
  <c r="BW197" i="92"/>
  <c r="CJ197" i="92"/>
  <c r="CH197" i="92"/>
  <c r="CI197" i="92"/>
  <c r="CE203" i="92"/>
  <c r="BI203" i="92"/>
  <c r="BT203" i="92"/>
  <c r="BZ451" i="92" a="1"/>
  <c r="BZ435" i="92" a="1"/>
  <c r="BX202" i="92" a="1"/>
  <c r="BL202" i="92" a="1"/>
  <c r="BW202" i="92" a="1"/>
  <c r="BK202" i="92" a="1"/>
  <c r="BZ419" i="92" a="1"/>
  <c r="BM202" i="92" a="1"/>
  <c r="CJ202" i="92" a="1"/>
  <c r="CG202" i="92" a="1"/>
  <c r="BJ202" i="92" a="1"/>
  <c r="CI202" i="92" a="1"/>
  <c r="BY202" i="92" a="1"/>
  <c r="BV202" i="92" a="1"/>
  <c r="CH202" i="92" a="1"/>
  <c r="BN202" i="92" a="1"/>
  <c r="BN202" i="92" l="1"/>
  <c r="BZ435" i="92"/>
  <c r="CB435" i="92" s="1"/>
  <c r="BR473" i="92" s="1"/>
  <c r="X62" i="88" s="1"/>
  <c r="CH202" i="92"/>
  <c r="BK202" i="92"/>
  <c r="BY202" i="92"/>
  <c r="BZ419" i="92"/>
  <c r="CB419" i="92" s="1"/>
  <c r="BP473" i="92" s="1"/>
  <c r="P62" i="88" s="1"/>
  <c r="BX202" i="92"/>
  <c r="CI202" i="92"/>
  <c r="BV202" i="92"/>
  <c r="CJ202" i="92"/>
  <c r="BW202" i="92"/>
  <c r="CG202" i="92"/>
  <c r="BJ202" i="92"/>
  <c r="BL202" i="92"/>
  <c r="BM202" i="92"/>
  <c r="BZ451" i="92"/>
  <c r="CB451" i="92" s="1"/>
  <c r="BT473" i="92" s="1"/>
  <c r="AF62" i="88" s="1"/>
  <c r="BI204" i="92"/>
  <c r="BZ197" i="92"/>
  <c r="BO197" i="92"/>
  <c r="U211" i="89" s="1"/>
  <c r="BT204" i="92"/>
  <c r="CE204" i="92"/>
  <c r="CK197" i="92"/>
  <c r="CR37" i="92" a="1"/>
  <c r="BN436" i="92" a="1"/>
  <c r="BX203" i="92" a="1"/>
  <c r="CR45" i="92" a="1"/>
  <c r="BM203" i="92" a="1"/>
  <c r="BN452" i="92" a="1"/>
  <c r="CI203" i="92" a="1"/>
  <c r="CJ203" i="92" a="1"/>
  <c r="BL203" i="92" a="1"/>
  <c r="BJ203" i="92" a="1"/>
  <c r="BV203" i="92" a="1"/>
  <c r="CR29" i="92" a="1"/>
  <c r="BY203" i="92" a="1"/>
  <c r="BN420" i="92" a="1"/>
  <c r="BK203" i="92" a="1"/>
  <c r="CG203" i="92" a="1"/>
  <c r="CH203" i="92" a="1"/>
  <c r="BW203" i="92" a="1"/>
  <c r="BN203" i="92" a="1"/>
  <c r="CR45" i="92" l="1"/>
  <c r="Y163" i="88" s="1"/>
  <c r="AM181" i="88"/>
  <c r="U903" i="89"/>
  <c r="AM142" i="88"/>
  <c r="U557" i="89"/>
  <c r="CR37" i="92"/>
  <c r="Y124" i="88" s="1"/>
  <c r="CR29" i="92"/>
  <c r="Y85" i="88" s="1"/>
  <c r="AM103" i="88"/>
  <c r="CI203" i="92"/>
  <c r="BL203" i="92"/>
  <c r="BJ203" i="92"/>
  <c r="BN203" i="92"/>
  <c r="BY203" i="92"/>
  <c r="BN420" i="92"/>
  <c r="BP420" i="92" s="1"/>
  <c r="BI474" i="92" s="1"/>
  <c r="J63" i="88" s="1"/>
  <c r="BK203" i="92"/>
  <c r="BO203" i="92" s="1"/>
  <c r="U218" i="89" s="1"/>
  <c r="BM203" i="92"/>
  <c r="BW203" i="92"/>
  <c r="CG203" i="92"/>
  <c r="CK203" i="92" s="1"/>
  <c r="BN436" i="92"/>
  <c r="BP436" i="92" s="1"/>
  <c r="BK474" i="92" s="1"/>
  <c r="R63" i="88" s="1"/>
  <c r="BX203" i="92"/>
  <c r="BV203" i="92"/>
  <c r="BZ203" i="92" s="1"/>
  <c r="CJ203" i="92"/>
  <c r="BN452" i="92"/>
  <c r="BP452" i="92" s="1"/>
  <c r="BM474" i="92" s="1"/>
  <c r="Z63" i="88" s="1"/>
  <c r="CH203" i="92"/>
  <c r="BI205" i="92"/>
  <c r="BO202" i="92"/>
  <c r="U217" i="89" s="1"/>
  <c r="BT205" i="92"/>
  <c r="BZ202" i="92"/>
  <c r="CE205" i="92"/>
  <c r="CK202" i="92"/>
  <c r="BU204" i="92" a="1"/>
  <c r="CJ204" i="92" a="1"/>
  <c r="CF204" i="92" a="1"/>
  <c r="BN204" i="92" a="1"/>
  <c r="BX204" i="92" a="1"/>
  <c r="BY204" i="92" a="1"/>
  <c r="CI204" i="92" a="1"/>
  <c r="CG204" i="92" a="1"/>
  <c r="CH204" i="92" a="1"/>
  <c r="BM204" i="92" a="1"/>
  <c r="BJ204" i="92" a="1"/>
  <c r="BL204" i="92" a="1"/>
  <c r="BW204" i="92" a="1"/>
  <c r="BV204" i="92" a="1"/>
  <c r="BK204" i="92" a="1"/>
  <c r="AO170" i="88" l="1"/>
  <c r="U909" i="89"/>
  <c r="AO131" i="88"/>
  <c r="U563" i="89"/>
  <c r="AO171" i="88"/>
  <c r="U910" i="89"/>
  <c r="AO132" i="88"/>
  <c r="U564" i="89"/>
  <c r="AO92" i="88"/>
  <c r="AO93" i="88"/>
  <c r="BX204" i="92"/>
  <c r="CF204" i="92"/>
  <c r="BY204" i="92"/>
  <c r="CJ204" i="92"/>
  <c r="CH204" i="92"/>
  <c r="BW204" i="92"/>
  <c r="BM204" i="92"/>
  <c r="CG204" i="92"/>
  <c r="CK204" i="92" s="1"/>
  <c r="BJ204" i="92"/>
  <c r="CI204" i="92"/>
  <c r="BL204" i="92"/>
  <c r="BK204" i="92"/>
  <c r="BO204" i="92" s="1"/>
  <c r="U219" i="89" s="1"/>
  <c r="BV204" i="92"/>
  <c r="BZ204" i="92" s="1"/>
  <c r="BN204" i="92"/>
  <c r="BU204" i="92"/>
  <c r="BT206" i="92"/>
  <c r="CE206" i="92"/>
  <c r="BI206" i="92"/>
  <c r="BW205" i="92" a="1"/>
  <c r="BL205" i="92" a="1"/>
  <c r="BK205" i="92" a="1"/>
  <c r="BN205" i="92" a="1"/>
  <c r="BY205" i="92" a="1"/>
  <c r="CJ205" i="92" a="1"/>
  <c r="BJ205" i="92" a="1"/>
  <c r="CI205" i="92" a="1"/>
  <c r="BV205" i="92" a="1"/>
  <c r="CH205" i="92" a="1"/>
  <c r="CG205" i="92" a="1"/>
  <c r="CF205" i="92" a="1"/>
  <c r="BX205" i="92" a="1"/>
  <c r="BU205" i="92" a="1"/>
  <c r="BM205" i="92" a="1"/>
  <c r="AO133" i="88" l="1"/>
  <c r="U565" i="89"/>
  <c r="AO172" i="88"/>
  <c r="U911" i="89"/>
  <c r="AO94" i="88"/>
  <c r="BJ205" i="92"/>
  <c r="CI205" i="92"/>
  <c r="BV205" i="92"/>
  <c r="BZ205" i="92" s="1"/>
  <c r="BW205" i="92"/>
  <c r="BU205" i="92"/>
  <c r="BY205" i="92"/>
  <c r="BM205" i="92"/>
  <c r="BL205" i="92"/>
  <c r="BK205" i="92"/>
  <c r="BO205" i="92" s="1"/>
  <c r="U220" i="89" s="1"/>
  <c r="BN205" i="92"/>
  <c r="CH205" i="92"/>
  <c r="CJ205" i="92"/>
  <c r="CF205" i="92"/>
  <c r="BX205" i="92"/>
  <c r="CG205" i="92"/>
  <c r="CK205" i="92" s="1"/>
  <c r="BI207" i="92"/>
  <c r="BT207" i="92"/>
  <c r="CE207" i="92"/>
  <c r="BX206" i="92" a="1"/>
  <c r="BY206" i="92" a="1"/>
  <c r="BJ206" i="92" a="1"/>
  <c r="BM206" i="92" a="1"/>
  <c r="BL206" i="92" a="1"/>
  <c r="CI206" i="92" a="1"/>
  <c r="BU206" i="92" a="1"/>
  <c r="CJ206" i="92" a="1"/>
  <c r="CH206" i="92" a="1"/>
  <c r="BV206" i="92" a="1"/>
  <c r="CF206" i="92" a="1"/>
  <c r="BW206" i="92" a="1"/>
  <c r="BN206" i="92" a="1"/>
  <c r="CG206" i="92" a="1"/>
  <c r="AO173" i="88" l="1"/>
  <c r="U912" i="89"/>
  <c r="AO134" i="88"/>
  <c r="U566" i="89"/>
  <c r="AO95" i="88"/>
  <c r="BX206" i="92"/>
  <c r="CI206" i="92"/>
  <c r="CJ206" i="92"/>
  <c r="CH206" i="92"/>
  <c r="CF206" i="92"/>
  <c r="BV206" i="92"/>
  <c r="BM206" i="92"/>
  <c r="CG206" i="92"/>
  <c r="BW206" i="92"/>
  <c r="BJ206" i="92"/>
  <c r="BL206" i="92"/>
  <c r="BN206" i="92"/>
  <c r="BY206" i="92"/>
  <c r="BU206" i="92"/>
  <c r="BI208" i="92"/>
  <c r="BT208" i="92"/>
  <c r="CE208" i="92"/>
  <c r="BW207" i="92" a="1"/>
  <c r="CF207" i="92" a="1"/>
  <c r="CI207" i="92" a="1"/>
  <c r="BK207" i="92" a="1"/>
  <c r="BV207" i="92" a="1"/>
  <c r="CH207" i="92" a="1"/>
  <c r="BU207" i="92" a="1"/>
  <c r="BJ207" i="92" a="1"/>
  <c r="CJ207" i="92" a="1"/>
  <c r="BY207" i="92" a="1"/>
  <c r="BN207" i="92" a="1"/>
  <c r="BX207" i="92" a="1"/>
  <c r="CG207" i="92" a="1"/>
  <c r="BM207" i="92" a="1"/>
  <c r="BL207" i="92" a="1"/>
  <c r="BV207" i="92" l="1"/>
  <c r="BZ207" i="92" s="1"/>
  <c r="BK207" i="92"/>
  <c r="BO207" i="92" s="1"/>
  <c r="U222" i="89" s="1"/>
  <c r="CH207" i="92"/>
  <c r="BJ207" i="92"/>
  <c r="CJ207" i="92"/>
  <c r="BL207" i="92"/>
  <c r="BN207" i="92"/>
  <c r="CG207" i="92"/>
  <c r="CK207" i="92" s="1"/>
  <c r="CI207" i="92"/>
  <c r="BU207" i="92"/>
  <c r="BX207" i="92"/>
  <c r="BY207" i="92"/>
  <c r="BM207" i="92"/>
  <c r="CF207" i="92"/>
  <c r="BW207" i="92"/>
  <c r="BZ206" i="92"/>
  <c r="CK206" i="92"/>
  <c r="CE209" i="92"/>
  <c r="BI209" i="92"/>
  <c r="BT209" i="92"/>
  <c r="CJ208" i="92" a="1"/>
  <c r="BM208" i="92" a="1"/>
  <c r="CI208" i="92" a="1"/>
  <c r="BN208" i="92" a="1"/>
  <c r="BJ208" i="92" a="1"/>
  <c r="BY208" i="92" a="1"/>
  <c r="BV208" i="92" a="1"/>
  <c r="BK208" i="92" a="1"/>
  <c r="CF208" i="92" a="1"/>
  <c r="BX208" i="92" a="1"/>
  <c r="BW208" i="92" a="1"/>
  <c r="BL208" i="92" a="1"/>
  <c r="CH208" i="92" a="1"/>
  <c r="BU208" i="92" a="1"/>
  <c r="CG208" i="92" a="1"/>
  <c r="AO175" i="88" l="1"/>
  <c r="U914" i="89"/>
  <c r="AO174" i="88"/>
  <c r="U913" i="89"/>
  <c r="AO135" i="88"/>
  <c r="U567" i="89"/>
  <c r="AO136" i="88"/>
  <c r="U568" i="89"/>
  <c r="AO97" i="88"/>
  <c r="BY208" i="92"/>
  <c r="CJ208" i="92"/>
  <c r="BJ208" i="92"/>
  <c r="BW208" i="92"/>
  <c r="BX208" i="92"/>
  <c r="CG208" i="92"/>
  <c r="CK208" i="92" s="1"/>
  <c r="BK208" i="92"/>
  <c r="BO208" i="92" s="1"/>
  <c r="U223" i="89" s="1"/>
  <c r="CI208" i="92"/>
  <c r="CF208" i="92"/>
  <c r="BU208" i="92"/>
  <c r="BM208" i="92"/>
  <c r="BL208" i="92"/>
  <c r="BN208" i="92"/>
  <c r="BV208" i="92"/>
  <c r="BZ208" i="92" s="1"/>
  <c r="CH208" i="92"/>
  <c r="BT210" i="92"/>
  <c r="CE210" i="92"/>
  <c r="BI210" i="92"/>
  <c r="CJ209" i="92" a="1"/>
  <c r="BK209" i="92" a="1"/>
  <c r="BY209" i="92" a="1"/>
  <c r="BW209" i="92" a="1"/>
  <c r="BJ209" i="92" a="1"/>
  <c r="BN209" i="92" a="1"/>
  <c r="CF209" i="92" a="1"/>
  <c r="BX209" i="92" a="1"/>
  <c r="BV209" i="92" a="1"/>
  <c r="CI209" i="92" a="1"/>
  <c r="BM209" i="92" a="1"/>
  <c r="BU209" i="92" a="1"/>
  <c r="CH209" i="92" a="1"/>
  <c r="CG209" i="92" a="1"/>
  <c r="BL209" i="92" a="1"/>
  <c r="AO137" i="88" l="1"/>
  <c r="U569" i="89"/>
  <c r="AO176" i="88"/>
  <c r="U915" i="89"/>
  <c r="AO98" i="88"/>
  <c r="CF209" i="92"/>
  <c r="CI209" i="92"/>
  <c r="BM209" i="92"/>
  <c r="BU209" i="92"/>
  <c r="BJ209" i="92"/>
  <c r="BX209" i="92"/>
  <c r="BK209" i="92"/>
  <c r="BO209" i="92" s="1"/>
  <c r="U224" i="89" s="1"/>
  <c r="BW209" i="92"/>
  <c r="BL209" i="92"/>
  <c r="BY209" i="92"/>
  <c r="BN209" i="92"/>
  <c r="BV209" i="92"/>
  <c r="BZ209" i="92" s="1"/>
  <c r="CH209" i="92"/>
  <c r="CG209" i="92"/>
  <c r="CK209" i="92" s="1"/>
  <c r="CJ209" i="92"/>
  <c r="CE211" i="92"/>
  <c r="BI211" i="92"/>
  <c r="BT211" i="92"/>
  <c r="BL210" i="92" a="1"/>
  <c r="BY210" i="92" a="1"/>
  <c r="BK210" i="92" a="1"/>
  <c r="BU210" i="92" a="1"/>
  <c r="BM210" i="92" a="1"/>
  <c r="BW210" i="92" a="1"/>
  <c r="BX210" i="92" a="1"/>
  <c r="CI210" i="92" a="1"/>
  <c r="BV210" i="92" a="1"/>
  <c r="CG210" i="92" a="1"/>
  <c r="BJ210" i="92" a="1"/>
  <c r="CH210" i="92" a="1"/>
  <c r="BN210" i="92" a="1"/>
  <c r="CJ210" i="92" a="1"/>
  <c r="CF210" i="92" a="1"/>
  <c r="AO177" i="88" l="1"/>
  <c r="U916" i="89"/>
  <c r="AO138" i="88"/>
  <c r="U570" i="89"/>
  <c r="AO99" i="88"/>
  <c r="BY210" i="92"/>
  <c r="CF210" i="92"/>
  <c r="BX210" i="92"/>
  <c r="BV210" i="92"/>
  <c r="BZ210" i="92" s="1"/>
  <c r="CJ210" i="92"/>
  <c r="BU210" i="92"/>
  <c r="BL210" i="92"/>
  <c r="BN210" i="92"/>
  <c r="CH210" i="92"/>
  <c r="BW210" i="92"/>
  <c r="CG210" i="92"/>
  <c r="CK210" i="92" s="1"/>
  <c r="CI210" i="92"/>
  <c r="BM210" i="92"/>
  <c r="BJ210" i="92"/>
  <c r="BK210" i="92"/>
  <c r="BO210" i="92" s="1"/>
  <c r="U225" i="89" s="1"/>
  <c r="CE212" i="92"/>
  <c r="BI212" i="92"/>
  <c r="BT212" i="92"/>
  <c r="BW211" i="92" a="1"/>
  <c r="BM211" i="92" a="1"/>
  <c r="CI211" i="92" a="1"/>
  <c r="BV211" i="92" a="1"/>
  <c r="BK211" i="92" a="1"/>
  <c r="BJ211" i="92" a="1"/>
  <c r="BN211" i="92" a="1"/>
  <c r="BL211" i="92" a="1"/>
  <c r="BU211" i="92" a="1"/>
  <c r="CG211" i="92" a="1"/>
  <c r="CF211" i="92" a="1"/>
  <c r="CJ211" i="92" a="1"/>
  <c r="CH211" i="92" a="1"/>
  <c r="BX211" i="92" a="1"/>
  <c r="BY211" i="92" a="1"/>
  <c r="AO139" i="88" l="1"/>
  <c r="U571" i="89"/>
  <c r="AO178" i="88"/>
  <c r="U917" i="89"/>
  <c r="AO100" i="88"/>
  <c r="BN211" i="92"/>
  <c r="BW211" i="92"/>
  <c r="CG211" i="92"/>
  <c r="CK211" i="92" s="1"/>
  <c r="BV211" i="92"/>
  <c r="BZ211" i="92" s="1"/>
  <c r="BM211" i="92"/>
  <c r="CH211" i="92"/>
  <c r="BU211" i="92"/>
  <c r="BY211" i="92"/>
  <c r="BX211" i="92"/>
  <c r="CF211" i="92"/>
  <c r="BJ211" i="92"/>
  <c r="BK211" i="92"/>
  <c r="BO211" i="92" s="1"/>
  <c r="U226" i="89" s="1"/>
  <c r="CJ211" i="92"/>
  <c r="CI211" i="92"/>
  <c r="BL211" i="92"/>
  <c r="CE213" i="92"/>
  <c r="BT213" i="92"/>
  <c r="BI213" i="92"/>
  <c r="CI212" i="92" a="1"/>
  <c r="BU212" i="92" a="1"/>
  <c r="CJ212" i="92" a="1"/>
  <c r="BN212" i="92" a="1"/>
  <c r="BL212" i="92" a="1"/>
  <c r="CG212" i="92" a="1"/>
  <c r="BK212" i="92" a="1"/>
  <c r="BV212" i="92" a="1"/>
  <c r="BM212" i="92" a="1"/>
  <c r="BY212" i="92" a="1"/>
  <c r="BX212" i="92" a="1"/>
  <c r="BJ212" i="92" a="1"/>
  <c r="CH212" i="92" a="1"/>
  <c r="CF212" i="92" a="1"/>
  <c r="BW212" i="92" a="1"/>
  <c r="AO140" i="88" l="1"/>
  <c r="U572" i="89"/>
  <c r="AO179" i="88"/>
  <c r="U918" i="89"/>
  <c r="AO101" i="88"/>
  <c r="CJ212" i="92"/>
  <c r="BJ212" i="92"/>
  <c r="BK212" i="92"/>
  <c r="BO212" i="92" s="1"/>
  <c r="U227" i="89" s="1"/>
  <c r="BM212" i="92"/>
  <c r="CG212" i="92"/>
  <c r="CK212" i="92" s="1"/>
  <c r="BX212" i="92"/>
  <c r="CH212" i="92"/>
  <c r="CF212" i="92"/>
  <c r="BW212" i="92"/>
  <c r="BL212" i="92"/>
  <c r="BY212" i="92"/>
  <c r="BU212" i="92"/>
  <c r="CI212" i="92"/>
  <c r="BN212" i="92"/>
  <c r="BV212" i="92"/>
  <c r="BZ212" i="92" s="1"/>
  <c r="BI218" i="92"/>
  <c r="BT218" i="92"/>
  <c r="CE218" i="92"/>
  <c r="BM213" i="92" a="1"/>
  <c r="BX213" i="92" a="1"/>
  <c r="BL213" i="92" a="1"/>
  <c r="BK213" i="92" a="1"/>
  <c r="BY213" i="92" a="1"/>
  <c r="CF213" i="92" a="1"/>
  <c r="BP520" i="92"/>
  <c r="CI213" i="92" a="1"/>
  <c r="CJ213" i="92" a="1"/>
  <c r="BN213" i="92" a="1"/>
  <c r="BW353" i="92"/>
  <c r="BV213" i="92" a="1"/>
  <c r="CG213" i="92" a="1"/>
  <c r="BW213" i="92" a="1"/>
  <c r="BQ520" i="92"/>
  <c r="CH213" i="92" a="1"/>
  <c r="BU213" i="92" a="1"/>
  <c r="BJ213" i="92" a="1"/>
  <c r="AO141" i="88" l="1"/>
  <c r="U573" i="89"/>
  <c r="AO180" i="88"/>
  <c r="U919" i="89"/>
  <c r="AO102" i="88"/>
  <c r="BW213" i="92"/>
  <c r="CH213" i="92"/>
  <c r="BJ213" i="92"/>
  <c r="CJ213" i="92"/>
  <c r="BK213" i="92"/>
  <c r="BU213" i="92"/>
  <c r="CG213" i="92"/>
  <c r="BL213" i="92"/>
  <c r="CF213" i="92"/>
  <c r="BM213" i="92"/>
  <c r="CI213" i="92"/>
  <c r="BN213" i="92"/>
  <c r="BY213" i="92"/>
  <c r="BV213" i="92"/>
  <c r="BX213" i="92"/>
  <c r="BT219" i="92"/>
  <c r="CE219" i="92"/>
  <c r="BI219" i="92"/>
  <c r="BN218" i="92" a="1"/>
  <c r="BY420" i="92" a="1"/>
  <c r="BK218" i="92" a="1"/>
  <c r="BW218" i="92" a="1"/>
  <c r="BX218" i="92" a="1"/>
  <c r="BL218" i="92" a="1"/>
  <c r="BY452" i="92" a="1"/>
  <c r="BJ218" i="92" a="1"/>
  <c r="BV218" i="92" a="1"/>
  <c r="CH218" i="92" a="1"/>
  <c r="CI218" i="92" a="1"/>
  <c r="CG218" i="92" a="1"/>
  <c r="BY218" i="92" a="1"/>
  <c r="BY436" i="92" a="1"/>
  <c r="CJ218" i="92" a="1"/>
  <c r="BM218" i="92" a="1"/>
  <c r="CG218" i="92" l="1"/>
  <c r="BY452" i="92"/>
  <c r="CA452" i="92" s="1"/>
  <c r="BS474" i="92" s="1"/>
  <c r="AD63" i="88" s="1"/>
  <c r="BJ218" i="92"/>
  <c r="BK218" i="92"/>
  <c r="BV218" i="92"/>
  <c r="BX218" i="92"/>
  <c r="BY420" i="92"/>
  <c r="CA420" i="92" s="1"/>
  <c r="BO474" i="92" s="1"/>
  <c r="N63" i="88" s="1"/>
  <c r="CH218" i="92"/>
  <c r="CI218" i="92"/>
  <c r="BY436" i="92"/>
  <c r="CA436" i="92" s="1"/>
  <c r="BQ474" i="92" s="1"/>
  <c r="V63" i="88" s="1"/>
  <c r="BY218" i="92"/>
  <c r="BL218" i="92"/>
  <c r="BM218" i="92"/>
  <c r="BN218" i="92"/>
  <c r="BW218" i="92"/>
  <c r="CJ218" i="92"/>
  <c r="CK213" i="92"/>
  <c r="BO213" i="92"/>
  <c r="U228" i="89" s="1"/>
  <c r="BT220" i="92"/>
  <c r="CE220" i="92"/>
  <c r="BZ213" i="92"/>
  <c r="BI220" i="92"/>
  <c r="BV219" i="92" a="1"/>
  <c r="BO436" i="92" a="1"/>
  <c r="CG219" i="92" a="1"/>
  <c r="CJ219" i="92" a="1"/>
  <c r="BM219" i="92" a="1"/>
  <c r="BX219" i="92" a="1"/>
  <c r="BJ219" i="92" a="1"/>
  <c r="BW219" i="92" a="1"/>
  <c r="BN219" i="92" a="1"/>
  <c r="BL219" i="92" a="1"/>
  <c r="BY219" i="92" a="1"/>
  <c r="BO452" i="92" a="1"/>
  <c r="BO420" i="92" a="1"/>
  <c r="BK219" i="92" a="1"/>
  <c r="CH219" i="92" a="1"/>
  <c r="CI219" i="92" a="1"/>
  <c r="AO181" i="88" l="1"/>
  <c r="U920" i="89"/>
  <c r="AO142" i="88"/>
  <c r="U574" i="89"/>
  <c r="AO103" i="88"/>
  <c r="BL219" i="92"/>
  <c r="BO436" i="92"/>
  <c r="BQ436" i="92" s="1"/>
  <c r="BL474" i="92" s="1"/>
  <c r="T63" i="88" s="1"/>
  <c r="BX219" i="92"/>
  <c r="BO420" i="92"/>
  <c r="BQ420" i="92" s="1"/>
  <c r="BJ474" i="92" s="1"/>
  <c r="L63" i="88" s="1"/>
  <c r="CJ219" i="92"/>
  <c r="BM219" i="92"/>
  <c r="BJ219" i="92"/>
  <c r="BV219" i="92"/>
  <c r="BZ219" i="92" s="1"/>
  <c r="CH219" i="92"/>
  <c r="CI219" i="92"/>
  <c r="BY219" i="92"/>
  <c r="BW219" i="92"/>
  <c r="CG219" i="92"/>
  <c r="CK219" i="92" s="1"/>
  <c r="BK219" i="92"/>
  <c r="BO219" i="92" s="1"/>
  <c r="U235" i="89" s="1"/>
  <c r="BN219" i="92"/>
  <c r="BO452" i="92"/>
  <c r="BQ452" i="92" s="1"/>
  <c r="BN474" i="92" s="1"/>
  <c r="AB63" i="88" s="1"/>
  <c r="BZ218" i="92"/>
  <c r="BO218" i="92"/>
  <c r="U234" i="89" s="1"/>
  <c r="CE221" i="92"/>
  <c r="BI221" i="92"/>
  <c r="BT221" i="92"/>
  <c r="CK218" i="92"/>
  <c r="BW220" i="92" a="1"/>
  <c r="BV220" i="92" a="1"/>
  <c r="BK220" i="92" a="1"/>
  <c r="CJ220" i="92" a="1"/>
  <c r="CG220" i="92" a="1"/>
  <c r="CF220" i="92" a="1"/>
  <c r="CH220" i="92" a="1"/>
  <c r="BM220" i="92" a="1"/>
  <c r="BU220" i="92" a="1"/>
  <c r="BN220" i="92" a="1"/>
  <c r="BL220" i="92" a="1"/>
  <c r="CI220" i="92" a="1"/>
  <c r="BY220" i="92" a="1"/>
  <c r="BJ220" i="92" a="1"/>
  <c r="BX220" i="92" a="1"/>
  <c r="AQ131" i="88" l="1"/>
  <c r="U580" i="89"/>
  <c r="AQ171" i="88"/>
  <c r="U927" i="89"/>
  <c r="AQ170" i="88"/>
  <c r="U926" i="89"/>
  <c r="AQ132" i="88"/>
  <c r="U581" i="89"/>
  <c r="AQ93" i="88"/>
  <c r="AQ92" i="88"/>
  <c r="CG220" i="92"/>
  <c r="CK220" i="92" s="1"/>
  <c r="BX220" i="92"/>
  <c r="CI220" i="92"/>
  <c r="BK220" i="92"/>
  <c r="BO220" i="92" s="1"/>
  <c r="U236" i="89" s="1"/>
  <c r="BW220" i="92"/>
  <c r="BM220" i="92"/>
  <c r="BN220" i="92"/>
  <c r="BJ220" i="92"/>
  <c r="BV220" i="92"/>
  <c r="BZ220" i="92" s="1"/>
  <c r="CH220" i="92"/>
  <c r="CJ220" i="92"/>
  <c r="BL220" i="92"/>
  <c r="BU220" i="92"/>
  <c r="BY220" i="92"/>
  <c r="CF220" i="92"/>
  <c r="CE222" i="92"/>
  <c r="BI222" i="92"/>
  <c r="BT222" i="92"/>
  <c r="BN221" i="92" a="1"/>
  <c r="CH221" i="92" a="1"/>
  <c r="BK221" i="92" a="1"/>
  <c r="BW221" i="92" a="1"/>
  <c r="CI221" i="92" a="1"/>
  <c r="BL221" i="92" a="1"/>
  <c r="CG221" i="92" a="1"/>
  <c r="BX221" i="92" a="1"/>
  <c r="BU221" i="92" a="1"/>
  <c r="BJ221" i="92" a="1"/>
  <c r="BM221" i="92" a="1"/>
  <c r="BY221" i="92" a="1"/>
  <c r="CJ221" i="92" a="1"/>
  <c r="BV221" i="92" a="1"/>
  <c r="CF221" i="92" a="1"/>
  <c r="AQ172" i="88" l="1"/>
  <c r="U928" i="89"/>
  <c r="AQ133" i="88"/>
  <c r="U582" i="89"/>
  <c r="AQ94" i="88"/>
  <c r="CH221" i="92"/>
  <c r="BM221" i="92"/>
  <c r="BV221" i="92"/>
  <c r="BZ221" i="92" s="1"/>
  <c r="CJ221" i="92"/>
  <c r="BU221" i="92"/>
  <c r="CF221" i="92"/>
  <c r="CI221" i="92"/>
  <c r="CG221" i="92"/>
  <c r="CK221" i="92" s="1"/>
  <c r="BW221" i="92"/>
  <c r="BJ221" i="92"/>
  <c r="BN221" i="92"/>
  <c r="BX221" i="92"/>
  <c r="BK221" i="92"/>
  <c r="BO221" i="92" s="1"/>
  <c r="U237" i="89" s="1"/>
  <c r="BY221" i="92"/>
  <c r="BL221" i="92"/>
  <c r="BT223" i="92"/>
  <c r="BI223" i="92"/>
  <c r="CE223" i="92"/>
  <c r="BJ222" i="92" a="1"/>
  <c r="CI222" i="92" a="1"/>
  <c r="BW222" i="92" a="1"/>
  <c r="BU222" i="92" a="1"/>
  <c r="BV222" i="92" a="1"/>
  <c r="BY222" i="92" a="1"/>
  <c r="BX222" i="92" a="1"/>
  <c r="BL222" i="92" a="1"/>
  <c r="CG222" i="92" a="1"/>
  <c r="BM222" i="92" a="1"/>
  <c r="BN222" i="92" a="1"/>
  <c r="CH222" i="92" a="1"/>
  <c r="CF222" i="92" a="1"/>
  <c r="CJ222" i="92" a="1"/>
  <c r="AQ134" i="88" l="1"/>
  <c r="U583" i="89"/>
  <c r="AQ173" i="88"/>
  <c r="U929" i="89"/>
  <c r="AQ95" i="88"/>
  <c r="BY222" i="92"/>
  <c r="BU222" i="92"/>
  <c r="BV222" i="92"/>
  <c r="BZ222" i="92" s="1"/>
  <c r="BW222" i="92"/>
  <c r="BX222" i="92"/>
  <c r="CH222" i="92"/>
  <c r="CJ222" i="92"/>
  <c r="CF222" i="92"/>
  <c r="BN222" i="92"/>
  <c r="BL222" i="92"/>
  <c r="CG222" i="92"/>
  <c r="CK222" i="92" s="1"/>
  <c r="BM222" i="92"/>
  <c r="CI222" i="92"/>
  <c r="BJ222" i="92"/>
  <c r="CE224" i="92"/>
  <c r="BT224" i="92"/>
  <c r="BI224" i="92"/>
  <c r="BU223" i="92" a="1"/>
  <c r="CG223" i="92" a="1"/>
  <c r="BW223" i="92" a="1"/>
  <c r="BY223" i="92" a="1"/>
  <c r="CI223" i="92" a="1"/>
  <c r="CH223" i="92" a="1"/>
  <c r="BM223" i="92" a="1"/>
  <c r="BJ223" i="92" a="1"/>
  <c r="BV223" i="92" a="1"/>
  <c r="BX223" i="92" a="1"/>
  <c r="CF223" i="92" a="1"/>
  <c r="BN223" i="92" a="1"/>
  <c r="CJ223" i="92" a="1"/>
  <c r="BK223" i="92" a="1"/>
  <c r="BL223" i="92" a="1"/>
  <c r="AQ135" i="88" l="1"/>
  <c r="U584" i="89"/>
  <c r="AQ174" i="88"/>
  <c r="U930" i="89"/>
  <c r="BX223" i="92"/>
  <c r="BV223" i="92"/>
  <c r="BZ223" i="92" s="1"/>
  <c r="CH223" i="92"/>
  <c r="CJ223" i="92"/>
  <c r="BJ223" i="92"/>
  <c r="BL223" i="92"/>
  <c r="CI223" i="92"/>
  <c r="BM223" i="92"/>
  <c r="CG223" i="92"/>
  <c r="CK223" i="92" s="1"/>
  <c r="BN223" i="92"/>
  <c r="CF223" i="92"/>
  <c r="BK223" i="92"/>
  <c r="BO223" i="92" s="1"/>
  <c r="U239" i="89" s="1"/>
  <c r="BW223" i="92"/>
  <c r="BU223" i="92"/>
  <c r="BY223" i="92"/>
  <c r="BT225" i="92"/>
  <c r="BI225" i="92"/>
  <c r="CE225" i="92"/>
  <c r="BX224" i="92" a="1"/>
  <c r="CF224" i="92" a="1"/>
  <c r="BM224" i="92" a="1"/>
  <c r="CJ224" i="92" a="1"/>
  <c r="BN224" i="92" a="1"/>
  <c r="BY224" i="92" a="1"/>
  <c r="BW224" i="92" a="1"/>
  <c r="BU224" i="92" a="1"/>
  <c r="CI224" i="92" a="1"/>
  <c r="BL224" i="92" a="1"/>
  <c r="CG224" i="92" a="1"/>
  <c r="CH224" i="92" a="1"/>
  <c r="BJ224" i="92" a="1"/>
  <c r="BK224" i="92" a="1"/>
  <c r="BV224" i="92" a="1"/>
  <c r="AQ136" i="88" l="1"/>
  <c r="U585" i="89"/>
  <c r="AQ175" i="88"/>
  <c r="U931" i="89"/>
  <c r="AQ97" i="88"/>
  <c r="CH224" i="92"/>
  <c r="CF224" i="92"/>
  <c r="CG224" i="92"/>
  <c r="CK224" i="92" s="1"/>
  <c r="BL224" i="92"/>
  <c r="BX224" i="92"/>
  <c r="BY224" i="92"/>
  <c r="CJ224" i="92"/>
  <c r="CI224" i="92"/>
  <c r="BK224" i="92"/>
  <c r="BO224" i="92" s="1"/>
  <c r="U240" i="89" s="1"/>
  <c r="BW224" i="92"/>
  <c r="BU224" i="92"/>
  <c r="BV224" i="92"/>
  <c r="BZ224" i="92" s="1"/>
  <c r="BN224" i="92"/>
  <c r="BM224" i="92"/>
  <c r="BJ224" i="92"/>
  <c r="CE226" i="92"/>
  <c r="BI226" i="92"/>
  <c r="BT226" i="92"/>
  <c r="CG225" i="92" a="1"/>
  <c r="CH225" i="92" a="1"/>
  <c r="CJ225" i="92" a="1"/>
  <c r="BU225" i="92" a="1"/>
  <c r="BV225" i="92" a="1"/>
  <c r="BN225" i="92" a="1"/>
  <c r="BL225" i="92" a="1"/>
  <c r="BJ225" i="92" a="1"/>
  <c r="BK225" i="92" a="1"/>
  <c r="BW225" i="92" a="1"/>
  <c r="BY225" i="92" a="1"/>
  <c r="CF225" i="92" a="1"/>
  <c r="CI225" i="92" a="1"/>
  <c r="BX225" i="92" a="1"/>
  <c r="BM225" i="92" a="1"/>
  <c r="AQ176" i="88" l="1"/>
  <c r="U932" i="89"/>
  <c r="AQ137" i="88"/>
  <c r="U586" i="89"/>
  <c r="AQ98" i="88"/>
  <c r="BN225" i="92"/>
  <c r="BW225" i="92"/>
  <c r="CH225" i="92"/>
  <c r="CI225" i="92"/>
  <c r="CG225" i="92"/>
  <c r="CK225" i="92" s="1"/>
  <c r="BM225" i="92"/>
  <c r="BY225" i="92"/>
  <c r="BV225" i="92"/>
  <c r="BZ225" i="92" s="1"/>
  <c r="BU225" i="92"/>
  <c r="BJ225" i="92"/>
  <c r="CJ225" i="92"/>
  <c r="BX225" i="92"/>
  <c r="BK225" i="92"/>
  <c r="BO225" i="92" s="1"/>
  <c r="U241" i="89" s="1"/>
  <c r="CF225" i="92"/>
  <c r="BL225" i="92"/>
  <c r="BT227" i="92"/>
  <c r="CE227" i="92"/>
  <c r="BI227" i="92"/>
  <c r="BU226" i="92" a="1"/>
  <c r="BY226" i="92" a="1"/>
  <c r="BM226" i="92" a="1"/>
  <c r="BJ226" i="92" a="1"/>
  <c r="BX226" i="92" a="1"/>
  <c r="CF226" i="92" a="1"/>
  <c r="BW226" i="92" a="1"/>
  <c r="BN226" i="92" a="1"/>
  <c r="CI226" i="92" a="1"/>
  <c r="CG226" i="92" a="1"/>
  <c r="CH226" i="92" a="1"/>
  <c r="CJ226" i="92" a="1"/>
  <c r="BK226" i="92" a="1"/>
  <c r="BV226" i="92" a="1"/>
  <c r="BL226" i="92" a="1"/>
  <c r="AQ177" i="88" l="1"/>
  <c r="U933" i="89"/>
  <c r="AQ138" i="88"/>
  <c r="U587" i="89"/>
  <c r="AQ99" i="88"/>
  <c r="CJ226" i="92"/>
  <c r="CI226" i="92"/>
  <c r="BW226" i="92"/>
  <c r="BK226" i="92"/>
  <c r="BO226" i="92" s="1"/>
  <c r="U242" i="89" s="1"/>
  <c r="BU226" i="92"/>
  <c r="BV226" i="92"/>
  <c r="BZ226" i="92" s="1"/>
  <c r="BN226" i="92"/>
  <c r="CH226" i="92"/>
  <c r="BX226" i="92"/>
  <c r="BL226" i="92"/>
  <c r="CF226" i="92"/>
  <c r="BM226" i="92"/>
  <c r="BJ226" i="92"/>
  <c r="BY226" i="92"/>
  <c r="CG226" i="92"/>
  <c r="CK226" i="92" s="1"/>
  <c r="CE228" i="92"/>
  <c r="BI228" i="92"/>
  <c r="BT228" i="92"/>
  <c r="BJ227" i="92" a="1"/>
  <c r="BN227" i="92" a="1"/>
  <c r="BW227" i="92" a="1"/>
  <c r="CI227" i="92" a="1"/>
  <c r="BM227" i="92" a="1"/>
  <c r="BU227" i="92" a="1"/>
  <c r="CH227" i="92" a="1"/>
  <c r="BV227" i="92" a="1"/>
  <c r="BL227" i="92" a="1"/>
  <c r="BY227" i="92" a="1"/>
  <c r="CJ227" i="92" a="1"/>
  <c r="BK227" i="92" a="1"/>
  <c r="BX227" i="92" a="1"/>
  <c r="CG227" i="92" a="1"/>
  <c r="CF227" i="92" a="1"/>
  <c r="AQ178" i="88" l="1"/>
  <c r="U934" i="89"/>
  <c r="AQ139" i="88"/>
  <c r="U588" i="89"/>
  <c r="AQ100" i="88"/>
  <c r="BM227" i="92"/>
  <c r="BW227" i="92"/>
  <c r="BX227" i="92"/>
  <c r="BN227" i="92"/>
  <c r="BV227" i="92"/>
  <c r="BZ227" i="92" s="1"/>
  <c r="CF227" i="92"/>
  <c r="CI227" i="92"/>
  <c r="BJ227" i="92"/>
  <c r="CH227" i="92"/>
  <c r="BU227" i="92"/>
  <c r="CG227" i="92"/>
  <c r="CK227" i="92" s="1"/>
  <c r="BK227" i="92"/>
  <c r="BO227" i="92" s="1"/>
  <c r="U243" i="89" s="1"/>
  <c r="CJ227" i="92"/>
  <c r="BY227" i="92"/>
  <c r="BL227" i="92"/>
  <c r="BI229" i="92"/>
  <c r="BT229" i="92"/>
  <c r="CE229" i="92"/>
  <c r="BY228" i="92" a="1"/>
  <c r="CH228" i="92" a="1"/>
  <c r="BN228" i="92" a="1"/>
  <c r="BL228" i="92" a="1"/>
  <c r="BV228" i="92" a="1"/>
  <c r="BW228" i="92" a="1"/>
  <c r="CG228" i="92" a="1"/>
  <c r="BX228" i="92" a="1"/>
  <c r="BU228" i="92" a="1"/>
  <c r="CI228" i="92" a="1"/>
  <c r="BK228" i="92" a="1"/>
  <c r="BM228" i="92" a="1"/>
  <c r="CF228" i="92" a="1"/>
  <c r="CJ228" i="92" a="1"/>
  <c r="BJ228" i="92" a="1"/>
  <c r="AQ140" i="88" l="1"/>
  <c r="U589" i="89"/>
  <c r="AQ179" i="88"/>
  <c r="U935" i="89"/>
  <c r="AQ101" i="88"/>
  <c r="BY228" i="92"/>
  <c r="CH228" i="92"/>
  <c r="BN228" i="92"/>
  <c r="CF228" i="92"/>
  <c r="BM228" i="92"/>
  <c r="BU228" i="92"/>
  <c r="CG228" i="92"/>
  <c r="CK228" i="92" s="1"/>
  <c r="BJ228" i="92"/>
  <c r="CI228" i="92"/>
  <c r="BK228" i="92"/>
  <c r="BO228" i="92" s="1"/>
  <c r="U244" i="89" s="1"/>
  <c r="CJ228" i="92"/>
  <c r="BL228" i="92"/>
  <c r="BV228" i="92"/>
  <c r="BZ228" i="92" s="1"/>
  <c r="BX228" i="92"/>
  <c r="BW228" i="92"/>
  <c r="CE234" i="92"/>
  <c r="BI234" i="92"/>
  <c r="BT234" i="92"/>
  <c r="BW229" i="92" a="1"/>
  <c r="CG229" i="92" a="1"/>
  <c r="BM229" i="92" a="1"/>
  <c r="BP521" i="92"/>
  <c r="CI229" i="92" a="1"/>
  <c r="BY229" i="92" a="1"/>
  <c r="BQ521" i="92"/>
  <c r="BV229" i="92" a="1"/>
  <c r="BX353" i="92"/>
  <c r="BL229" i="92" a="1"/>
  <c r="BX229" i="92" a="1"/>
  <c r="CH229" i="92" a="1"/>
  <c r="BU229" i="92" a="1"/>
  <c r="BJ229" i="92" a="1"/>
  <c r="CJ229" i="92" a="1"/>
  <c r="BN229" i="92" a="1"/>
  <c r="CF229" i="92" a="1"/>
  <c r="BK229" i="92" a="1"/>
  <c r="AQ180" i="88" l="1"/>
  <c r="U936" i="89"/>
  <c r="AQ141" i="88"/>
  <c r="U590" i="89"/>
  <c r="AQ102" i="88"/>
  <c r="BN229" i="92"/>
  <c r="BV229" i="92"/>
  <c r="CH229" i="92"/>
  <c r="BW229" i="92"/>
  <c r="CF229" i="92"/>
  <c r="BM229" i="92"/>
  <c r="BU229" i="92"/>
  <c r="CJ229" i="92"/>
  <c r="BY229" i="92"/>
  <c r="CI229" i="92"/>
  <c r="BX229" i="92"/>
  <c r="CG229" i="92"/>
  <c r="BJ229" i="92"/>
  <c r="BK229" i="92"/>
  <c r="BL229" i="92"/>
  <c r="BI235" i="92"/>
  <c r="BT235" i="92"/>
  <c r="CE235" i="92"/>
  <c r="BX234" i="92" a="1"/>
  <c r="BL234" i="92" a="1"/>
  <c r="CG234" i="92" a="1"/>
  <c r="CI234" i="92" a="1"/>
  <c r="BZ436" i="92" a="1"/>
  <c r="BZ420" i="92" a="1"/>
  <c r="BV234" i="92" a="1"/>
  <c r="BW234" i="92" a="1"/>
  <c r="BM234" i="92" a="1"/>
  <c r="BY234" i="92" a="1"/>
  <c r="BN234" i="92" a="1"/>
  <c r="BJ234" i="92" a="1"/>
  <c r="CJ234" i="92" a="1"/>
  <c r="CH234" i="92" a="1"/>
  <c r="BK234" i="92" a="1"/>
  <c r="BZ452" i="92" a="1"/>
  <c r="BY234" i="92" l="1"/>
  <c r="BN234" i="92"/>
  <c r="BM234" i="92"/>
  <c r="CG234" i="92"/>
  <c r="BJ234" i="92"/>
  <c r="CH234" i="92"/>
  <c r="CI234" i="92"/>
  <c r="BK234" i="92"/>
  <c r="BZ452" i="92"/>
  <c r="CB452" i="92" s="1"/>
  <c r="BT474" i="92" s="1"/>
  <c r="AF63" i="88" s="1"/>
  <c r="CJ234" i="92"/>
  <c r="BL234" i="92"/>
  <c r="BV234" i="92"/>
  <c r="BX234" i="92"/>
  <c r="BZ420" i="92"/>
  <c r="CB420" i="92" s="1"/>
  <c r="BP474" i="92" s="1"/>
  <c r="P63" i="88" s="1"/>
  <c r="BZ436" i="92"/>
  <c r="CB436" i="92" s="1"/>
  <c r="BR474" i="92" s="1"/>
  <c r="X63" i="88" s="1"/>
  <c r="BW234" i="92"/>
  <c r="CK229" i="92"/>
  <c r="CE236" i="92"/>
  <c r="BI236" i="92"/>
  <c r="BT236" i="92"/>
  <c r="BO229" i="92"/>
  <c r="U245" i="89" s="1"/>
  <c r="BZ229" i="92"/>
  <c r="BJ235" i="92" a="1"/>
  <c r="CR30" i="92" a="1"/>
  <c r="BX235" i="92" a="1"/>
  <c r="BN421" i="92" a="1"/>
  <c r="CH235" i="92" a="1"/>
  <c r="BV235" i="92" a="1"/>
  <c r="CR38" i="92" a="1"/>
  <c r="BY235" i="92" a="1"/>
  <c r="BW235" i="92" a="1"/>
  <c r="BN437" i="92" a="1"/>
  <c r="CJ235" i="92" a="1"/>
  <c r="CI235" i="92" a="1"/>
  <c r="CG235" i="92" a="1"/>
  <c r="BN235" i="92" a="1"/>
  <c r="BM235" i="92" a="1"/>
  <c r="BL235" i="92" a="1"/>
  <c r="CR46" i="92" a="1"/>
  <c r="BN453" i="92" a="1"/>
  <c r="BK235" i="92" a="1"/>
  <c r="CR46" i="92" l="1"/>
  <c r="Y164" i="88" s="1"/>
  <c r="AQ181" i="88"/>
  <c r="U937" i="89"/>
  <c r="AQ142" i="88"/>
  <c r="U591" i="89"/>
  <c r="CR38" i="92"/>
  <c r="Y125" i="88" s="1"/>
  <c r="CR30" i="92"/>
  <c r="Y86" i="88" s="1"/>
  <c r="AQ103" i="88"/>
  <c r="BL235" i="92"/>
  <c r="BM235" i="92"/>
  <c r="BK235" i="92"/>
  <c r="BO235" i="92" s="1"/>
  <c r="U252" i="89" s="1"/>
  <c r="BV235" i="92"/>
  <c r="BZ235" i="92" s="1"/>
  <c r="CG235" i="92"/>
  <c r="CK235" i="92" s="1"/>
  <c r="BN453" i="92"/>
  <c r="BP453" i="92" s="1"/>
  <c r="BM475" i="92" s="1"/>
  <c r="Z64" i="88" s="1"/>
  <c r="BW235" i="92"/>
  <c r="BN421" i="92"/>
  <c r="BP421" i="92" s="1"/>
  <c r="BI475" i="92" s="1"/>
  <c r="J64" i="88" s="1"/>
  <c r="CH235" i="92"/>
  <c r="BY235" i="92"/>
  <c r="CI235" i="92"/>
  <c r="BN235" i="92"/>
  <c r="BN437" i="92"/>
  <c r="CJ235" i="92"/>
  <c r="BX235" i="92"/>
  <c r="BJ235" i="92"/>
  <c r="BI237" i="92"/>
  <c r="CK234" i="92"/>
  <c r="BO234" i="92"/>
  <c r="U251" i="89" s="1"/>
  <c r="BT237" i="92"/>
  <c r="CE237" i="92"/>
  <c r="BZ234" i="92"/>
  <c r="BV236" i="92" a="1"/>
  <c r="CI236" i="92" a="1"/>
  <c r="BM236" i="92" a="1"/>
  <c r="BK236" i="92" a="1"/>
  <c r="CF236" i="92" a="1"/>
  <c r="CJ236" i="92" a="1"/>
  <c r="BY236" i="92" a="1"/>
  <c r="BJ236" i="92" a="1"/>
  <c r="BN236" i="92" a="1"/>
  <c r="BL236" i="92" a="1"/>
  <c r="BX236" i="92" a="1"/>
  <c r="BU236" i="92" a="1"/>
  <c r="CG236" i="92" a="1"/>
  <c r="CH236" i="92" a="1"/>
  <c r="BW236" i="92" a="1"/>
  <c r="AS171" i="88" l="1"/>
  <c r="U944" i="89"/>
  <c r="AS132" i="88"/>
  <c r="U598" i="89"/>
  <c r="AS131" i="88"/>
  <c r="U597" i="89"/>
  <c r="AS170" i="88"/>
  <c r="U943" i="89"/>
  <c r="BP437" i="92"/>
  <c r="AS93" i="88"/>
  <c r="AS92" i="88"/>
  <c r="BV236" i="92"/>
  <c r="BZ236" i="92" s="1"/>
  <c r="BJ236" i="92"/>
  <c r="BX236" i="92"/>
  <c r="BK236" i="92"/>
  <c r="BO236" i="92" s="1"/>
  <c r="U253" i="89" s="1"/>
  <c r="BW236" i="92"/>
  <c r="BL236" i="92"/>
  <c r="BM236" i="92"/>
  <c r="BU236" i="92"/>
  <c r="BY236" i="92"/>
  <c r="CH236" i="92"/>
  <c r="CJ236" i="92"/>
  <c r="CI236" i="92"/>
  <c r="CF236" i="92"/>
  <c r="BN236" i="92"/>
  <c r="CG236" i="92"/>
  <c r="CK236" i="92" s="1"/>
  <c r="BI238" i="92"/>
  <c r="BT238" i="92"/>
  <c r="CE238" i="92"/>
  <c r="BN237" i="92" a="1"/>
  <c r="BL237" i="92" a="1"/>
  <c r="BM237" i="92" a="1"/>
  <c r="BJ237" i="92" a="1"/>
  <c r="BW237" i="92" a="1"/>
  <c r="CH237" i="92" a="1"/>
  <c r="BU237" i="92" a="1"/>
  <c r="CG237" i="92" a="1"/>
  <c r="CF237" i="92" a="1"/>
  <c r="CJ237" i="92" a="1"/>
  <c r="BV237" i="92" a="1"/>
  <c r="BK237" i="92" a="1"/>
  <c r="BY237" i="92" a="1"/>
  <c r="BX237" i="92" a="1"/>
  <c r="CI237" i="92" a="1"/>
  <c r="AS133" i="88" l="1"/>
  <c r="U599" i="89"/>
  <c r="AS172" i="88"/>
  <c r="U945" i="89"/>
  <c r="AS94" i="88"/>
  <c r="BK475" i="92"/>
  <c r="R64" i="88" s="1"/>
  <c r="BL237" i="92"/>
  <c r="CG237" i="92"/>
  <c r="CK237" i="92" s="1"/>
  <c r="BJ237" i="92"/>
  <c r="BX237" i="92"/>
  <c r="CH237" i="92"/>
  <c r="CI237" i="92"/>
  <c r="BU237" i="92"/>
  <c r="CF237" i="92"/>
  <c r="BM237" i="92"/>
  <c r="BW237" i="92"/>
  <c r="BK237" i="92"/>
  <c r="BO237" i="92" s="1"/>
  <c r="U254" i="89" s="1"/>
  <c r="CJ237" i="92"/>
  <c r="BN237" i="92"/>
  <c r="BV237" i="92"/>
  <c r="BZ237" i="92" s="1"/>
  <c r="BY237" i="92"/>
  <c r="BI239" i="92"/>
  <c r="BT239" i="92"/>
  <c r="CE239" i="92"/>
  <c r="BW238" i="92" a="1"/>
  <c r="BJ238" i="92" a="1"/>
  <c r="BM238" i="92" a="1"/>
  <c r="BN238" i="92" a="1"/>
  <c r="CJ238" i="92" a="1"/>
  <c r="BY238" i="92" a="1"/>
  <c r="BU238" i="92" a="1"/>
  <c r="BX238" i="92" a="1"/>
  <c r="CF238" i="92" a="1"/>
  <c r="CI238" i="92" a="1"/>
  <c r="CG238" i="92" a="1"/>
  <c r="BV238" i="92" a="1"/>
  <c r="BL238" i="92" a="1"/>
  <c r="CH238" i="92" a="1"/>
  <c r="AS134" i="88" l="1"/>
  <c r="U600" i="89"/>
  <c r="AS173" i="88"/>
  <c r="U946" i="89"/>
  <c r="AS95" i="88"/>
  <c r="CH238" i="92"/>
  <c r="CG238" i="92"/>
  <c r="CK238" i="92" s="1"/>
  <c r="BU238" i="92"/>
  <c r="BN238" i="92"/>
  <c r="BJ238" i="92"/>
  <c r="BM238" i="92"/>
  <c r="CJ238" i="92"/>
  <c r="CF238" i="92"/>
  <c r="BL238" i="92"/>
  <c r="BY238" i="92"/>
  <c r="BV238" i="92"/>
  <c r="BZ238" i="92" s="1"/>
  <c r="BW238" i="92"/>
  <c r="CI238" i="92"/>
  <c r="BX238" i="92"/>
  <c r="BT240" i="92"/>
  <c r="CE240" i="92"/>
  <c r="BI240" i="92"/>
  <c r="BN239" i="92" a="1"/>
  <c r="BM239" i="92" a="1"/>
  <c r="CJ239" i="92" a="1"/>
  <c r="BK239" i="92" a="1"/>
  <c r="CH239" i="92" a="1"/>
  <c r="BJ239" i="92" a="1"/>
  <c r="CG239" i="92" a="1"/>
  <c r="BW239" i="92" a="1"/>
  <c r="BX239" i="92" a="1"/>
  <c r="CI239" i="92" a="1"/>
  <c r="BU239" i="92" a="1"/>
  <c r="BV239" i="92" a="1"/>
  <c r="BY239" i="92" a="1"/>
  <c r="CF239" i="92" a="1"/>
  <c r="BL239" i="92" a="1"/>
  <c r="AS135" i="88" l="1"/>
  <c r="U601" i="89"/>
  <c r="AS174" i="88"/>
  <c r="U947" i="89"/>
  <c r="CI239" i="92"/>
  <c r="BW239" i="92"/>
  <c r="BJ239" i="92"/>
  <c r="BV239" i="92"/>
  <c r="BZ239" i="92" s="1"/>
  <c r="BK239" i="92"/>
  <c r="BO239" i="92" s="1"/>
  <c r="U256" i="89" s="1"/>
  <c r="CG239" i="92"/>
  <c r="CK239" i="92" s="1"/>
  <c r="BM239" i="92"/>
  <c r="BX239" i="92"/>
  <c r="CJ239" i="92"/>
  <c r="BL239" i="92"/>
  <c r="BY239" i="92"/>
  <c r="BN239" i="92"/>
  <c r="BU239" i="92"/>
  <c r="CH239" i="92"/>
  <c r="CF239" i="92"/>
  <c r="CE241" i="92"/>
  <c r="BI241" i="92"/>
  <c r="BT241" i="92"/>
  <c r="BN240" i="92" a="1"/>
  <c r="CJ240" i="92" a="1"/>
  <c r="BM240" i="92" a="1"/>
  <c r="CH240" i="92" a="1"/>
  <c r="BX240" i="92" a="1"/>
  <c r="BL240" i="92" a="1"/>
  <c r="BK240" i="92" a="1"/>
  <c r="BY240" i="92" a="1"/>
  <c r="BV240" i="92" a="1"/>
  <c r="BW240" i="92" a="1"/>
  <c r="CG240" i="92" a="1"/>
  <c r="CI240" i="92" a="1"/>
  <c r="BU240" i="92" a="1"/>
  <c r="BJ240" i="92" a="1"/>
  <c r="CF240" i="92" a="1"/>
  <c r="AS175" i="88" l="1"/>
  <c r="U948" i="89"/>
  <c r="AS136" i="88"/>
  <c r="U602" i="89"/>
  <c r="AS97" i="88"/>
  <c r="BK240" i="92"/>
  <c r="BO240" i="92" s="1"/>
  <c r="U257" i="89" s="1"/>
  <c r="BU240" i="92"/>
  <c r="BX240" i="92"/>
  <c r="CH240" i="92"/>
  <c r="CI240" i="92"/>
  <c r="CG240" i="92"/>
  <c r="CK240" i="92" s="1"/>
  <c r="BN240" i="92"/>
  <c r="CJ240" i="92"/>
  <c r="CF240" i="92"/>
  <c r="BW240" i="92"/>
  <c r="BL240" i="92"/>
  <c r="BY240" i="92"/>
  <c r="BV240" i="92"/>
  <c r="BZ240" i="92" s="1"/>
  <c r="BJ240" i="92"/>
  <c r="BM240" i="92"/>
  <c r="BI242" i="92"/>
  <c r="CE242" i="92"/>
  <c r="BT242" i="92"/>
  <c r="BW241" i="92" a="1"/>
  <c r="CF241" i="92" a="1"/>
  <c r="BL241" i="92" a="1"/>
  <c r="BN241" i="92" a="1"/>
  <c r="BJ241" i="92" a="1"/>
  <c r="BM241" i="92" a="1"/>
  <c r="CJ241" i="92" a="1"/>
  <c r="BX241" i="92" a="1"/>
  <c r="BU241" i="92" a="1"/>
  <c r="CH241" i="92" a="1"/>
  <c r="CG241" i="92" a="1"/>
  <c r="BV241" i="92" a="1"/>
  <c r="BY241" i="92" a="1"/>
  <c r="BK241" i="92" a="1"/>
  <c r="CI241" i="92" a="1"/>
  <c r="AS176" i="88" l="1"/>
  <c r="U949" i="89"/>
  <c r="AS137" i="88"/>
  <c r="U603" i="89"/>
  <c r="AS98" i="88"/>
  <c r="BY241" i="92"/>
  <c r="BJ241" i="92"/>
  <c r="BX241" i="92"/>
  <c r="BL241" i="92"/>
  <c r="CG241" i="92"/>
  <c r="CK241" i="92" s="1"/>
  <c r="BW241" i="92"/>
  <c r="BM241" i="92"/>
  <c r="BV241" i="92"/>
  <c r="BZ241" i="92" s="1"/>
  <c r="BN241" i="92"/>
  <c r="BK241" i="92"/>
  <c r="BO241" i="92" s="1"/>
  <c r="U258" i="89" s="1"/>
  <c r="BU241" i="92"/>
  <c r="CI241" i="92"/>
  <c r="CJ241" i="92"/>
  <c r="CH241" i="92"/>
  <c r="CF241" i="92"/>
  <c r="BT243" i="92"/>
  <c r="BI243" i="92"/>
  <c r="CE243" i="92"/>
  <c r="BV242" i="92" a="1"/>
  <c r="BU242" i="92" a="1"/>
  <c r="BN242" i="92" a="1"/>
  <c r="CH242" i="92" a="1"/>
  <c r="CF242" i="92" a="1"/>
  <c r="BX242" i="92" a="1"/>
  <c r="BW242" i="92" a="1"/>
  <c r="BJ242" i="92" a="1"/>
  <c r="BM242" i="92" a="1"/>
  <c r="BK242" i="92" a="1"/>
  <c r="CJ242" i="92" a="1"/>
  <c r="CG242" i="92" a="1"/>
  <c r="CI242" i="92" a="1"/>
  <c r="BL242" i="92" a="1"/>
  <c r="BY242" i="92" a="1"/>
  <c r="AS177" i="88" l="1"/>
  <c r="U950" i="89"/>
  <c r="AS138" i="88"/>
  <c r="U604" i="89"/>
  <c r="AS99" i="88"/>
  <c r="CJ242" i="92"/>
  <c r="BU242" i="92"/>
  <c r="BN242" i="92"/>
  <c r="CI242" i="92"/>
  <c r="CH242" i="92"/>
  <c r="CG242" i="92"/>
  <c r="CK242" i="92" s="1"/>
  <c r="BK242" i="92"/>
  <c r="BO242" i="92" s="1"/>
  <c r="U259" i="89" s="1"/>
  <c r="BW242" i="92"/>
  <c r="BY242" i="92"/>
  <c r="BX242" i="92"/>
  <c r="CF242" i="92"/>
  <c r="BV242" i="92"/>
  <c r="BZ242" i="92" s="1"/>
  <c r="BJ242" i="92"/>
  <c r="BL242" i="92"/>
  <c r="BM242" i="92"/>
  <c r="BI244" i="92"/>
  <c r="CE244" i="92"/>
  <c r="BT244" i="92"/>
  <c r="BY243" i="92" a="1"/>
  <c r="BL243" i="92" a="1"/>
  <c r="BN243" i="92" a="1"/>
  <c r="BJ243" i="92" a="1"/>
  <c r="CJ243" i="92" a="1"/>
  <c r="CG243" i="92" a="1"/>
  <c r="CH243" i="92" a="1"/>
  <c r="BU243" i="92" a="1"/>
  <c r="BK243" i="92" a="1"/>
  <c r="BM243" i="92" a="1"/>
  <c r="CF243" i="92" a="1"/>
  <c r="BV243" i="92" a="1"/>
  <c r="BW243" i="92" a="1"/>
  <c r="CI243" i="92" a="1"/>
  <c r="BX243" i="92" a="1"/>
  <c r="AS178" i="88" l="1"/>
  <c r="U951" i="89"/>
  <c r="AS139" i="88"/>
  <c r="U605" i="89"/>
  <c r="AS100" i="88"/>
  <c r="BY243" i="92"/>
  <c r="BL243" i="92"/>
  <c r="CG243" i="92"/>
  <c r="CK243" i="92" s="1"/>
  <c r="BW243" i="92"/>
  <c r="BU243" i="92"/>
  <c r="BM243" i="92"/>
  <c r="BV243" i="92"/>
  <c r="BZ243" i="92" s="1"/>
  <c r="BJ243" i="92"/>
  <c r="BN243" i="92"/>
  <c r="CJ243" i="92"/>
  <c r="BX243" i="92"/>
  <c r="BK243" i="92"/>
  <c r="BO243" i="92" s="1"/>
  <c r="U260" i="89" s="1"/>
  <c r="CH243" i="92"/>
  <c r="CI243" i="92"/>
  <c r="CF243" i="92"/>
  <c r="BI245" i="92"/>
  <c r="CE245" i="92"/>
  <c r="BT245" i="92"/>
  <c r="BK244" i="92" a="1"/>
  <c r="BJ244" i="92" a="1"/>
  <c r="BX244" i="92" a="1"/>
  <c r="BL244" i="92" a="1"/>
  <c r="BY244" i="92" a="1"/>
  <c r="CF244" i="92" a="1"/>
  <c r="BW244" i="92" a="1"/>
  <c r="BN244" i="92" a="1"/>
  <c r="CH244" i="92" a="1"/>
  <c r="CG244" i="92" a="1"/>
  <c r="BU244" i="92" a="1"/>
  <c r="CI244" i="92" a="1"/>
  <c r="BV244" i="92" a="1"/>
  <c r="BM244" i="92" a="1"/>
  <c r="CJ244" i="92" a="1"/>
  <c r="AS140" i="88" l="1"/>
  <c r="U606" i="89"/>
  <c r="AS179" i="88"/>
  <c r="U952" i="89"/>
  <c r="AS101" i="88"/>
  <c r="CJ244" i="92"/>
  <c r="BW244" i="92"/>
  <c r="BN244" i="92"/>
  <c r="CF244" i="92"/>
  <c r="BV244" i="92"/>
  <c r="BZ244" i="92" s="1"/>
  <c r="BM244" i="92"/>
  <c r="BK244" i="92"/>
  <c r="BO244" i="92" s="1"/>
  <c r="U261" i="89" s="1"/>
  <c r="CH244" i="92"/>
  <c r="BJ244" i="92"/>
  <c r="BL244" i="92"/>
  <c r="BY244" i="92"/>
  <c r="BX244" i="92"/>
  <c r="CG244" i="92"/>
  <c r="CK244" i="92" s="1"/>
  <c r="BU244" i="92"/>
  <c r="CI244" i="92"/>
  <c r="BI250" i="92"/>
  <c r="CE250" i="92"/>
  <c r="BT250" i="92"/>
  <c r="BJ245" i="92" a="1"/>
  <c r="BU245" i="92" a="1"/>
  <c r="BM245" i="92" a="1"/>
  <c r="CH245" i="92" a="1"/>
  <c r="BK245" i="92" a="1"/>
  <c r="CJ245" i="92" a="1"/>
  <c r="CF245" i="92" a="1"/>
  <c r="BX245" i="92" a="1"/>
  <c r="CI245" i="92" a="1"/>
  <c r="BQ522" i="92"/>
  <c r="BW245" i="92" a="1"/>
  <c r="CG245" i="92" a="1"/>
  <c r="BP522" i="92"/>
  <c r="BY245" i="92" a="1"/>
  <c r="BL245" i="92" a="1"/>
  <c r="BN245" i="92" a="1"/>
  <c r="BY353" i="92"/>
  <c r="BV245" i="92" a="1"/>
  <c r="AS141" i="88" l="1"/>
  <c r="U607" i="89"/>
  <c r="AS180" i="88"/>
  <c r="U953" i="89"/>
  <c r="AS102" i="88"/>
  <c r="CF245" i="92"/>
  <c r="BM245" i="92"/>
  <c r="BL245" i="92"/>
  <c r="BU245" i="92"/>
  <c r="BW245" i="92"/>
  <c r="BK245" i="92"/>
  <c r="BN245" i="92"/>
  <c r="BY245" i="92"/>
  <c r="CH245" i="92"/>
  <c r="CJ245" i="92"/>
  <c r="BX245" i="92"/>
  <c r="BV245" i="92"/>
  <c r="BJ245" i="92"/>
  <c r="CG245" i="92"/>
  <c r="CI245" i="92"/>
  <c r="CE251" i="92"/>
  <c r="BI251" i="92"/>
  <c r="BT251" i="92"/>
  <c r="CI250" i="92" a="1"/>
  <c r="BM250" i="92" a="1"/>
  <c r="BY453" i="92" a="1"/>
  <c r="BX250" i="92" a="1"/>
  <c r="CH250" i="92" a="1"/>
  <c r="CG250" i="92" a="1"/>
  <c r="BV250" i="92" a="1"/>
  <c r="BN250" i="92" a="1"/>
  <c r="BY250" i="92" a="1"/>
  <c r="BW250" i="92" a="1"/>
  <c r="BY437" i="92" a="1"/>
  <c r="BK250" i="92" a="1"/>
  <c r="BJ250" i="92" a="1"/>
  <c r="BY421" i="92" a="1"/>
  <c r="CJ250" i="92" a="1"/>
  <c r="BL250" i="92" a="1"/>
  <c r="BM250" i="92" l="1"/>
  <c r="BY421" i="92"/>
  <c r="CA421" i="92" s="1"/>
  <c r="BO475" i="92" s="1"/>
  <c r="N64" i="88" s="1"/>
  <c r="BN250" i="92"/>
  <c r="BW250" i="92"/>
  <c r="CH250" i="92"/>
  <c r="BY250" i="92"/>
  <c r="BL250" i="92"/>
  <c r="BJ250" i="92"/>
  <c r="BK250" i="92"/>
  <c r="CI250" i="92"/>
  <c r="CG250" i="92"/>
  <c r="BY453" i="92"/>
  <c r="CA453" i="92" s="1"/>
  <c r="BS475" i="92" s="1"/>
  <c r="AD64" i="88" s="1"/>
  <c r="BY437" i="92"/>
  <c r="BX250" i="92"/>
  <c r="BV250" i="92"/>
  <c r="CJ250" i="92"/>
  <c r="CE252" i="92"/>
  <c r="BO245" i="92"/>
  <c r="U262" i="89" s="1"/>
  <c r="BT252" i="92"/>
  <c r="BI252" i="92"/>
  <c r="CK245" i="92"/>
  <c r="BZ245" i="92"/>
  <c r="CH251" i="92" a="1"/>
  <c r="BW251" i="92" a="1"/>
  <c r="BY251" i="92" a="1"/>
  <c r="BK251" i="92" a="1"/>
  <c r="CG251" i="92" a="1"/>
  <c r="BO453" i="92" a="1"/>
  <c r="BX251" i="92" a="1"/>
  <c r="CJ251" i="92" a="1"/>
  <c r="BL251" i="92" a="1"/>
  <c r="BO437" i="92" a="1"/>
  <c r="BM251" i="92" a="1"/>
  <c r="BN251" i="92" a="1"/>
  <c r="BV251" i="92" a="1"/>
  <c r="BO421" i="92" a="1"/>
  <c r="BJ251" i="92" a="1"/>
  <c r="CI251" i="92" a="1"/>
  <c r="AS142" i="88" l="1"/>
  <c r="U608" i="89"/>
  <c r="AS181" i="88"/>
  <c r="U954" i="89"/>
  <c r="CA437" i="92"/>
  <c r="AS103" i="88"/>
  <c r="BJ251" i="92"/>
  <c r="CH251" i="92"/>
  <c r="BO453" i="92"/>
  <c r="BQ453" i="92" s="1"/>
  <c r="BN475" i="92" s="1"/>
  <c r="AB64" i="88" s="1"/>
  <c r="BK251" i="92"/>
  <c r="BO251" i="92" s="1"/>
  <c r="U269" i="89" s="1"/>
  <c r="CJ251" i="92"/>
  <c r="BL251" i="92"/>
  <c r="CG251" i="92"/>
  <c r="CK251" i="92" s="1"/>
  <c r="BO421" i="92"/>
  <c r="BQ421" i="92" s="1"/>
  <c r="BJ475" i="92" s="1"/>
  <c r="L64" i="88" s="1"/>
  <c r="BM251" i="92"/>
  <c r="CI251" i="92"/>
  <c r="BY251" i="92"/>
  <c r="BV251" i="92"/>
  <c r="BZ251" i="92" s="1"/>
  <c r="BW251" i="92"/>
  <c r="BO437" i="92"/>
  <c r="BX251" i="92"/>
  <c r="BN251" i="92"/>
  <c r="CK250" i="92"/>
  <c r="BO250" i="92"/>
  <c r="U268" i="89" s="1"/>
  <c r="BI253" i="92"/>
  <c r="CE253" i="92"/>
  <c r="BZ250" i="92"/>
  <c r="BT253" i="92"/>
  <c r="CF252" i="92" a="1"/>
  <c r="BY252" i="92" a="1"/>
  <c r="CI252" i="92" a="1"/>
  <c r="BW252" i="92" a="1"/>
  <c r="BK252" i="92" a="1"/>
  <c r="BU252" i="92" a="1"/>
  <c r="CJ252" i="92" a="1"/>
  <c r="BV252" i="92" a="1"/>
  <c r="BM252" i="92" a="1"/>
  <c r="BX252" i="92" a="1"/>
  <c r="BN252" i="92" a="1"/>
  <c r="CG252" i="92" a="1"/>
  <c r="CH252" i="92" a="1"/>
  <c r="BL252" i="92" a="1"/>
  <c r="BJ252" i="92" a="1"/>
  <c r="AU170" i="88" l="1"/>
  <c r="U960" i="89"/>
  <c r="AU132" i="88"/>
  <c r="U615" i="89"/>
  <c r="AU131" i="88"/>
  <c r="U614" i="89"/>
  <c r="AU171" i="88"/>
  <c r="U961" i="89"/>
  <c r="AU93" i="88"/>
  <c r="BQ437" i="92"/>
  <c r="AU92" i="88"/>
  <c r="BQ475" i="92"/>
  <c r="V64" i="88" s="1"/>
  <c r="BX252" i="92"/>
  <c r="BL252" i="92"/>
  <c r="BV252" i="92"/>
  <c r="BZ252" i="92" s="1"/>
  <c r="BM252" i="92"/>
  <c r="BN252" i="92"/>
  <c r="CF252" i="92"/>
  <c r="CH252" i="92"/>
  <c r="CJ252" i="92"/>
  <c r="CG252" i="92"/>
  <c r="CK252" i="92" s="1"/>
  <c r="CI252" i="92"/>
  <c r="BU252" i="92"/>
  <c r="BY252" i="92"/>
  <c r="BJ252" i="92"/>
  <c r="BW252" i="92"/>
  <c r="BK252" i="92"/>
  <c r="BO252" i="92" s="1"/>
  <c r="U270" i="89" s="1"/>
  <c r="BT254" i="92"/>
  <c r="BI254" i="92"/>
  <c r="CE254" i="92"/>
  <c r="BM253" i="92" a="1"/>
  <c r="BW253" i="92" a="1"/>
  <c r="CF253" i="92" a="1"/>
  <c r="CJ253" i="92" a="1"/>
  <c r="BU253" i="92" a="1"/>
  <c r="BL253" i="92" a="1"/>
  <c r="BX253" i="92" a="1"/>
  <c r="CH253" i="92" a="1"/>
  <c r="BN253" i="92" a="1"/>
  <c r="BV253" i="92" a="1"/>
  <c r="BK253" i="92" a="1"/>
  <c r="BY253" i="92" a="1"/>
  <c r="CG253" i="92" a="1"/>
  <c r="BJ253" i="92" a="1"/>
  <c r="CI253" i="92" a="1"/>
  <c r="AU172" i="88" l="1"/>
  <c r="U962" i="89"/>
  <c r="AU133" i="88"/>
  <c r="U616" i="89"/>
  <c r="BL475" i="92"/>
  <c r="T64" i="88" s="1"/>
  <c r="AU94" i="88"/>
  <c r="BL253" i="92"/>
  <c r="BM253" i="92"/>
  <c r="CH253" i="92"/>
  <c r="BU253" i="92"/>
  <c r="CJ253" i="92"/>
  <c r="BY253" i="92"/>
  <c r="CG253" i="92"/>
  <c r="CK253" i="92" s="1"/>
  <c r="BV253" i="92"/>
  <c r="BZ253" i="92" s="1"/>
  <c r="CI253" i="92"/>
  <c r="BW253" i="92"/>
  <c r="CF253" i="92"/>
  <c r="BX253" i="92"/>
  <c r="BN253" i="92"/>
  <c r="BJ253" i="92"/>
  <c r="BK253" i="92"/>
  <c r="BO253" i="92" s="1"/>
  <c r="U271" i="89" s="1"/>
  <c r="BI255" i="92"/>
  <c r="CE255" i="92"/>
  <c r="BT255" i="92"/>
  <c r="BW254" i="92" a="1"/>
  <c r="CF254" i="92" a="1"/>
  <c r="BM254" i="92" a="1"/>
  <c r="BJ254" i="92" a="1"/>
  <c r="BU254" i="92" a="1"/>
  <c r="CG254" i="92" a="1"/>
  <c r="CI254" i="92" a="1"/>
  <c r="BV254" i="92" a="1"/>
  <c r="BX254" i="92" a="1"/>
  <c r="BL254" i="92" a="1"/>
  <c r="CH254" i="92" a="1"/>
  <c r="BY254" i="92" a="1"/>
  <c r="BN254" i="92" a="1"/>
  <c r="CJ254" i="92" a="1"/>
  <c r="AU134" i="88" l="1"/>
  <c r="U617" i="89"/>
  <c r="AU173" i="88"/>
  <c r="U963" i="89"/>
  <c r="AU95" i="88"/>
  <c r="CI254" i="92"/>
  <c r="CG254" i="92"/>
  <c r="CK254" i="92" s="1"/>
  <c r="BX254" i="92"/>
  <c r="BJ254" i="92"/>
  <c r="BV254" i="92"/>
  <c r="BZ254" i="92" s="1"/>
  <c r="BU254" i="92"/>
  <c r="BW254" i="92"/>
  <c r="BL254" i="92"/>
  <c r="BY254" i="92"/>
  <c r="BM254" i="92"/>
  <c r="BN254" i="92"/>
  <c r="CH254" i="92"/>
  <c r="CF254" i="92"/>
  <c r="CJ254" i="92"/>
  <c r="CE256" i="92"/>
  <c r="BI256" i="92"/>
  <c r="BT256" i="92"/>
  <c r="CH255" i="92" a="1"/>
  <c r="BU255" i="92" a="1"/>
  <c r="BY255" i="92" a="1"/>
  <c r="BL255" i="92" a="1"/>
  <c r="CF255" i="92" a="1"/>
  <c r="BM255" i="92" a="1"/>
  <c r="BV255" i="92" a="1"/>
  <c r="CI255" i="92" a="1"/>
  <c r="BW255" i="92" a="1"/>
  <c r="BK255" i="92" a="1"/>
  <c r="CJ255" i="92" a="1"/>
  <c r="BN255" i="92" a="1"/>
  <c r="BJ255" i="92" a="1"/>
  <c r="BX255" i="92" a="1"/>
  <c r="CG255" i="92" a="1"/>
  <c r="AU135" i="88" l="1"/>
  <c r="U618" i="89"/>
  <c r="AU174" i="88"/>
  <c r="U964" i="89"/>
  <c r="BN255" i="92"/>
  <c r="BJ255" i="92"/>
  <c r="CG255" i="92"/>
  <c r="CK255" i="92" s="1"/>
  <c r="BU255" i="92"/>
  <c r="CH255" i="92"/>
  <c r="CI255" i="92"/>
  <c r="CJ255" i="92"/>
  <c r="BV255" i="92"/>
  <c r="BZ255" i="92" s="1"/>
  <c r="BL255" i="92"/>
  <c r="BW255" i="92"/>
  <c r="BX255" i="92"/>
  <c r="CF255" i="92"/>
  <c r="BY255" i="92"/>
  <c r="BK255" i="92"/>
  <c r="BO255" i="92" s="1"/>
  <c r="U273" i="89" s="1"/>
  <c r="BM255" i="92"/>
  <c r="BT257" i="92"/>
  <c r="CE257" i="92"/>
  <c r="BI257" i="92"/>
  <c r="BW256" i="92" a="1"/>
  <c r="BX256" i="92" a="1"/>
  <c r="BY256" i="92" a="1"/>
  <c r="BM256" i="92" a="1"/>
  <c r="BN256" i="92" a="1"/>
  <c r="BV256" i="92" a="1"/>
  <c r="CJ256" i="92" a="1"/>
  <c r="BJ256" i="92" a="1"/>
  <c r="CF256" i="92" a="1"/>
  <c r="BL256" i="92" a="1"/>
  <c r="BK256" i="92" a="1"/>
  <c r="CG256" i="92" a="1"/>
  <c r="BU256" i="92" a="1"/>
  <c r="CI256" i="92" a="1"/>
  <c r="CH256" i="92" a="1"/>
  <c r="AU136" i="88" l="1"/>
  <c r="U619" i="89"/>
  <c r="AU175" i="88"/>
  <c r="U965" i="89"/>
  <c r="AU97" i="88"/>
  <c r="CF256" i="92"/>
  <c r="CJ256" i="92"/>
  <c r="BJ256" i="92"/>
  <c r="BW256" i="92"/>
  <c r="BX256" i="92"/>
  <c r="BU256" i="92"/>
  <c r="BL256" i="92"/>
  <c r="BK256" i="92"/>
  <c r="BO256" i="92" s="1"/>
  <c r="U274" i="89" s="1"/>
  <c r="BM256" i="92"/>
  <c r="BN256" i="92"/>
  <c r="BV256" i="92"/>
  <c r="BZ256" i="92" s="1"/>
  <c r="BY256" i="92"/>
  <c r="CH256" i="92"/>
  <c r="CI256" i="92"/>
  <c r="CG256" i="92"/>
  <c r="CK256" i="92" s="1"/>
  <c r="CE258" i="92"/>
  <c r="BT258" i="92"/>
  <c r="BI258" i="92"/>
  <c r="BJ257" i="92" a="1"/>
  <c r="BM257" i="92" a="1"/>
  <c r="BY257" i="92" a="1"/>
  <c r="BW257" i="92" a="1"/>
  <c r="BK257" i="92" a="1"/>
  <c r="CF257" i="92" a="1"/>
  <c r="BV257" i="92" a="1"/>
  <c r="CI257" i="92" a="1"/>
  <c r="BU257" i="92" a="1"/>
  <c r="CH257" i="92" a="1"/>
  <c r="BX257" i="92" a="1"/>
  <c r="BL257" i="92" a="1"/>
  <c r="BN257" i="92" a="1"/>
  <c r="CJ257" i="92" a="1"/>
  <c r="CG257" i="92" a="1"/>
  <c r="AU176" i="88" l="1"/>
  <c r="U966" i="89"/>
  <c r="AU137" i="88"/>
  <c r="U620" i="89"/>
  <c r="AU98" i="88"/>
  <c r="BV257" i="92"/>
  <c r="BZ257" i="92" s="1"/>
  <c r="BK257" i="92"/>
  <c r="BO257" i="92" s="1"/>
  <c r="U275" i="89" s="1"/>
  <c r="BJ257" i="92"/>
  <c r="CI257" i="92"/>
  <c r="BM257" i="92"/>
  <c r="BL257" i="92"/>
  <c r="BU257" i="92"/>
  <c r="CH257" i="92"/>
  <c r="CG257" i="92"/>
  <c r="CK257" i="92" s="1"/>
  <c r="BN257" i="92"/>
  <c r="CF257" i="92"/>
  <c r="CJ257" i="92"/>
  <c r="BY257" i="92"/>
  <c r="BW257" i="92"/>
  <c r="BX257" i="92"/>
  <c r="BI259" i="92"/>
  <c r="CE259" i="92"/>
  <c r="BT259" i="92"/>
  <c r="CI258" i="92" a="1"/>
  <c r="CF258" i="92" a="1"/>
  <c r="BU258" i="92" a="1"/>
  <c r="BN258" i="92" a="1"/>
  <c r="BK258" i="92" a="1"/>
  <c r="BM258" i="92" a="1"/>
  <c r="BV258" i="92" a="1"/>
  <c r="BY258" i="92" a="1"/>
  <c r="CH258" i="92" a="1"/>
  <c r="CJ258" i="92" a="1"/>
  <c r="CG258" i="92" a="1"/>
  <c r="BL258" i="92" a="1"/>
  <c r="BJ258" i="92" a="1"/>
  <c r="BX258" i="92" a="1"/>
  <c r="BW258" i="92" a="1"/>
  <c r="AU138" i="88" l="1"/>
  <c r="U621" i="89"/>
  <c r="AU177" i="88"/>
  <c r="U967" i="89"/>
  <c r="AU99" i="88"/>
  <c r="CG258" i="92"/>
  <c r="CK258" i="92" s="1"/>
  <c r="BY258" i="92"/>
  <c r="BW258" i="92"/>
  <c r="BK258" i="92"/>
  <c r="BO258" i="92" s="1"/>
  <c r="U276" i="89" s="1"/>
  <c r="BV258" i="92"/>
  <c r="BZ258" i="92" s="1"/>
  <c r="BM258" i="92"/>
  <c r="BX258" i="92"/>
  <c r="BN258" i="92"/>
  <c r="BU258" i="92"/>
  <c r="BJ258" i="92"/>
  <c r="BL258" i="92"/>
  <c r="CJ258" i="92"/>
  <c r="CH258" i="92"/>
  <c r="CF258" i="92"/>
  <c r="CI258" i="92"/>
  <c r="CE260" i="92"/>
  <c r="BI260" i="92"/>
  <c r="BT260" i="92"/>
  <c r="BM259" i="92" a="1"/>
  <c r="BW259" i="92" a="1"/>
  <c r="CI259" i="92" a="1"/>
  <c r="BV259" i="92" a="1"/>
  <c r="CG259" i="92" a="1"/>
  <c r="CF259" i="92" a="1"/>
  <c r="BX259" i="92" a="1"/>
  <c r="BJ259" i="92" a="1"/>
  <c r="BK259" i="92" a="1"/>
  <c r="BY259" i="92" a="1"/>
  <c r="BL259" i="92" a="1"/>
  <c r="CH259" i="92" a="1"/>
  <c r="BU259" i="92" a="1"/>
  <c r="BN259" i="92" a="1"/>
  <c r="CJ259" i="92" a="1"/>
  <c r="AU139" i="88" l="1"/>
  <c r="U622" i="89"/>
  <c r="AU178" i="88"/>
  <c r="U968" i="89"/>
  <c r="AU100" i="88"/>
  <c r="BN259" i="92"/>
  <c r="BJ259" i="92"/>
  <c r="BL259" i="92"/>
  <c r="BY259" i="92"/>
  <c r="CH259" i="92"/>
  <c r="BW259" i="92"/>
  <c r="CI259" i="92"/>
  <c r="BX259" i="92"/>
  <c r="CG259" i="92"/>
  <c r="CK259" i="92" s="1"/>
  <c r="BV259" i="92"/>
  <c r="BZ259" i="92" s="1"/>
  <c r="CF259" i="92"/>
  <c r="BU259" i="92"/>
  <c r="CJ259" i="92"/>
  <c r="BK259" i="92"/>
  <c r="BO259" i="92" s="1"/>
  <c r="U277" i="89" s="1"/>
  <c r="BM259" i="92"/>
  <c r="BT261" i="92"/>
  <c r="CE261" i="92"/>
  <c r="BI261" i="92"/>
  <c r="BU260" i="92" a="1"/>
  <c r="BL260" i="92" a="1"/>
  <c r="BK260" i="92" a="1"/>
  <c r="CJ260" i="92" a="1"/>
  <c r="CG260" i="92" a="1"/>
  <c r="CH260" i="92" a="1"/>
  <c r="BJ260" i="92" a="1"/>
  <c r="BM260" i="92" a="1"/>
  <c r="BX260" i="92" a="1"/>
  <c r="CF260" i="92" a="1"/>
  <c r="BW260" i="92" a="1"/>
  <c r="BN260" i="92" a="1"/>
  <c r="CI260" i="92" a="1"/>
  <c r="BV260" i="92" a="1"/>
  <c r="BY260" i="92" a="1"/>
  <c r="AU140" i="88" l="1"/>
  <c r="U623" i="89"/>
  <c r="AU179" i="88"/>
  <c r="U969" i="89"/>
  <c r="AU101" i="88"/>
  <c r="BN260" i="92"/>
  <c r="BX260" i="92"/>
  <c r="BJ260" i="92"/>
  <c r="BU260" i="92"/>
  <c r="BL260" i="92"/>
  <c r="CH260" i="92"/>
  <c r="CJ260" i="92"/>
  <c r="CG260" i="92"/>
  <c r="CK260" i="92" s="1"/>
  <c r="CF260" i="92"/>
  <c r="CI260" i="92"/>
  <c r="BY260" i="92"/>
  <c r="BK260" i="92"/>
  <c r="BO260" i="92" s="1"/>
  <c r="U278" i="89" s="1"/>
  <c r="BW260" i="92"/>
  <c r="BM260" i="92"/>
  <c r="BV260" i="92"/>
  <c r="BZ260" i="92" s="1"/>
  <c r="BT266" i="92"/>
  <c r="CE266" i="92"/>
  <c r="BI266" i="92"/>
  <c r="BU261" i="92" a="1"/>
  <c r="BW261" i="92" a="1"/>
  <c r="BZ353" i="92"/>
  <c r="CJ261" i="92" a="1"/>
  <c r="BX261" i="92" a="1"/>
  <c r="BN261" i="92" a="1"/>
  <c r="BL261" i="92" a="1"/>
  <c r="CG261" i="92" a="1"/>
  <c r="CI261" i="92" a="1"/>
  <c r="BY261" i="92" a="1"/>
  <c r="BM261" i="92" a="1"/>
  <c r="BP523" i="92"/>
  <c r="BV261" i="92" a="1"/>
  <c r="BJ261" i="92" a="1"/>
  <c r="CH261" i="92" a="1"/>
  <c r="BQ523" i="92"/>
  <c r="CF261" i="92" a="1"/>
  <c r="BK261" i="92" a="1"/>
  <c r="AU141" i="88" l="1"/>
  <c r="U624" i="89"/>
  <c r="AU180" i="88"/>
  <c r="U970" i="89"/>
  <c r="AU102" i="88"/>
  <c r="CF261" i="92"/>
  <c r="CJ261" i="92"/>
  <c r="BK261" i="92"/>
  <c r="BV261" i="92"/>
  <c r="BN261" i="92"/>
  <c r="BY261" i="92"/>
  <c r="BW261" i="92"/>
  <c r="BJ261" i="92"/>
  <c r="BX261" i="92"/>
  <c r="BL261" i="92"/>
  <c r="BU261" i="92"/>
  <c r="BM261" i="92"/>
  <c r="CI261" i="92"/>
  <c r="CH261" i="92"/>
  <c r="CG261" i="92"/>
  <c r="CE267" i="92"/>
  <c r="BI267" i="92"/>
  <c r="BT267" i="92"/>
  <c r="BK266" i="92" a="1"/>
  <c r="BZ453" i="92" a="1"/>
  <c r="BL266" i="92" a="1"/>
  <c r="BJ266" i="92" a="1"/>
  <c r="BZ421" i="92" a="1"/>
  <c r="BW266" i="92" a="1"/>
  <c r="BX266" i="92" a="1"/>
  <c r="CJ266" i="92" a="1"/>
  <c r="CI266" i="92" a="1"/>
  <c r="CH266" i="92" a="1"/>
  <c r="BV266" i="92" a="1"/>
  <c r="CG266" i="92" a="1"/>
  <c r="BM266" i="92" a="1"/>
  <c r="BN266" i="92" a="1"/>
  <c r="BY266" i="92" a="1"/>
  <c r="BZ437" i="92" a="1"/>
  <c r="BL266" i="92" l="1"/>
  <c r="BM266" i="92"/>
  <c r="CH266" i="92"/>
  <c r="BY266" i="92"/>
  <c r="CG266" i="92"/>
  <c r="CI266" i="92"/>
  <c r="CJ266" i="92"/>
  <c r="BX266" i="92"/>
  <c r="BV266" i="92"/>
  <c r="BZ437" i="92"/>
  <c r="BJ266" i="92"/>
  <c r="BZ453" i="92"/>
  <c r="CB453" i="92" s="1"/>
  <c r="BT475" i="92" s="1"/>
  <c r="AF64" i="88" s="1"/>
  <c r="BW266" i="92"/>
  <c r="BK266" i="92"/>
  <c r="BZ421" i="92"/>
  <c r="CB421" i="92" s="1"/>
  <c r="BP475" i="92" s="1"/>
  <c r="P64" i="88" s="1"/>
  <c r="BN266" i="92"/>
  <c r="BZ261" i="92"/>
  <c r="CK261" i="92"/>
  <c r="BT268" i="92"/>
  <c r="CE268" i="92"/>
  <c r="BO261" i="92"/>
  <c r="U279" i="89" s="1"/>
  <c r="BI268" i="92"/>
  <c r="BK267" i="92" a="1"/>
  <c r="BL267" i="92" a="1"/>
  <c r="CR31" i="92" a="1"/>
  <c r="CR47" i="92" a="1"/>
  <c r="BM267" i="92" a="1"/>
  <c r="BN454" i="92" a="1"/>
  <c r="BV267" i="92" a="1"/>
  <c r="BX267" i="92" a="1"/>
  <c r="BN422" i="92" a="1"/>
  <c r="CI267" i="92" a="1"/>
  <c r="BN438" i="92" a="1"/>
  <c r="CG267" i="92" a="1"/>
  <c r="BN267" i="92" a="1"/>
  <c r="BJ267" i="92" a="1"/>
  <c r="BY267" i="92" a="1"/>
  <c r="BW267" i="92" a="1"/>
  <c r="CR39" i="92" a="1"/>
  <c r="CJ267" i="92" a="1"/>
  <c r="CH267" i="92" a="1"/>
  <c r="CR47" i="92" l="1"/>
  <c r="Y165" i="88" s="1"/>
  <c r="AU181" i="88"/>
  <c r="U971" i="89"/>
  <c r="AU142" i="88"/>
  <c r="U625" i="89"/>
  <c r="CR39" i="92"/>
  <c r="Y126" i="88" s="1"/>
  <c r="CR31" i="92"/>
  <c r="Y87" i="88" s="1"/>
  <c r="AU103" i="88"/>
  <c r="CB437" i="92"/>
  <c r="BJ267" i="92"/>
  <c r="BY267" i="92"/>
  <c r="BL267" i="92"/>
  <c r="BW267" i="92"/>
  <c r="BM267" i="92"/>
  <c r="BX267" i="92"/>
  <c r="BN438" i="92"/>
  <c r="BP438" i="92" s="1"/>
  <c r="BK476" i="92" s="1"/>
  <c r="R65" i="88" s="1"/>
  <c r="CH267" i="92"/>
  <c r="CG267" i="92"/>
  <c r="CK267" i="92" s="1"/>
  <c r="CI267" i="92"/>
  <c r="BN454" i="92"/>
  <c r="BP454" i="92" s="1"/>
  <c r="BM476" i="92" s="1"/>
  <c r="Z65" i="88" s="1"/>
  <c r="CJ267" i="92"/>
  <c r="BN422" i="92"/>
  <c r="BP422" i="92" s="1"/>
  <c r="BI476" i="92" s="1"/>
  <c r="J65" i="88" s="1"/>
  <c r="BK267" i="92"/>
  <c r="BO267" i="92" s="1"/>
  <c r="U286" i="89" s="1"/>
  <c r="BN267" i="92"/>
  <c r="BV267" i="92"/>
  <c r="BZ267" i="92" s="1"/>
  <c r="BZ266" i="92"/>
  <c r="BT269" i="92"/>
  <c r="CK266" i="92"/>
  <c r="BO266" i="92"/>
  <c r="U285" i="89" s="1"/>
  <c r="CE269" i="92"/>
  <c r="BI269" i="92"/>
  <c r="BV268" i="92" a="1"/>
  <c r="BU268" i="92" a="1"/>
  <c r="CG268" i="92" a="1"/>
  <c r="BW268" i="92" a="1"/>
  <c r="BY268" i="92" a="1"/>
  <c r="BM268" i="92" a="1"/>
  <c r="BN268" i="92" a="1"/>
  <c r="CH268" i="92" a="1"/>
  <c r="CJ268" i="92" a="1"/>
  <c r="BL268" i="92" a="1"/>
  <c r="BK268" i="92" a="1"/>
  <c r="BX268" i="92" a="1"/>
  <c r="CF268" i="92" a="1"/>
  <c r="BJ268" i="92" a="1"/>
  <c r="CI268" i="92" a="1"/>
  <c r="AW132" i="88" l="1"/>
  <c r="U632" i="89"/>
  <c r="AW171" i="88"/>
  <c r="U978" i="89"/>
  <c r="AW170" i="88"/>
  <c r="U977" i="89"/>
  <c r="AW131" i="88"/>
  <c r="U631" i="89"/>
  <c r="AW92" i="88"/>
  <c r="BR475" i="92"/>
  <c r="X64" i="88" s="1"/>
  <c r="AW93" i="88"/>
  <c r="CI268" i="92"/>
  <c r="CJ268" i="92"/>
  <c r="BL268" i="92"/>
  <c r="BY268" i="92"/>
  <c r="BM268" i="92"/>
  <c r="BU268" i="92"/>
  <c r="CH268" i="92"/>
  <c r="BV268" i="92"/>
  <c r="BZ268" i="92" s="1"/>
  <c r="BW268" i="92"/>
  <c r="BK268" i="92"/>
  <c r="BO268" i="92" s="1"/>
  <c r="U287" i="89" s="1"/>
  <c r="CG268" i="92"/>
  <c r="CK268" i="92" s="1"/>
  <c r="CF268" i="92"/>
  <c r="BN268" i="92"/>
  <c r="BJ268" i="92"/>
  <c r="BX268" i="92"/>
  <c r="BT270" i="92"/>
  <c r="CE270" i="92"/>
  <c r="BI270" i="92"/>
  <c r="BN269" i="92" a="1"/>
  <c r="CG269" i="92" a="1"/>
  <c r="CH269" i="92" a="1"/>
  <c r="BM269" i="92" a="1"/>
  <c r="CJ269" i="92" a="1"/>
  <c r="BY269" i="92" a="1"/>
  <c r="BU269" i="92" a="1"/>
  <c r="BL269" i="92" a="1"/>
  <c r="BK269" i="92" a="1"/>
  <c r="BX269" i="92" a="1"/>
  <c r="CI269" i="92" a="1"/>
  <c r="BV269" i="92" a="1"/>
  <c r="BJ269" i="92" a="1"/>
  <c r="CF269" i="92" a="1"/>
  <c r="BW269" i="92" a="1"/>
  <c r="AW133" i="88" l="1"/>
  <c r="U633" i="89"/>
  <c r="AW172" i="88"/>
  <c r="U979" i="89"/>
  <c r="AW94" i="88"/>
  <c r="CG269" i="92"/>
  <c r="CK269" i="92" s="1"/>
  <c r="CJ269" i="92"/>
  <c r="BK269" i="92"/>
  <c r="BO269" i="92" s="1"/>
  <c r="U288" i="89" s="1"/>
  <c r="BY269" i="92"/>
  <c r="BN269" i="92"/>
  <c r="BX269" i="92"/>
  <c r="BU269" i="92"/>
  <c r="BV269" i="92"/>
  <c r="BZ269" i="92" s="1"/>
  <c r="BJ269" i="92"/>
  <c r="BL269" i="92"/>
  <c r="BW269" i="92"/>
  <c r="BM269" i="92"/>
  <c r="CF269" i="92"/>
  <c r="CH269" i="92"/>
  <c r="CI269" i="92"/>
  <c r="CE271" i="92"/>
  <c r="BI271" i="92"/>
  <c r="BT271" i="92"/>
  <c r="CF270" i="92" a="1"/>
  <c r="CH270" i="92" a="1"/>
  <c r="BN270" i="92" a="1"/>
  <c r="BW270" i="92" a="1"/>
  <c r="BY270" i="92" a="1"/>
  <c r="BU270" i="92" a="1"/>
  <c r="BJ270" i="92" a="1"/>
  <c r="BX270" i="92" a="1"/>
  <c r="BL270" i="92" a="1"/>
  <c r="CJ270" i="92" a="1"/>
  <c r="BV270" i="92" a="1"/>
  <c r="BM270" i="92" a="1"/>
  <c r="CG270" i="92" a="1"/>
  <c r="CI270" i="92" a="1"/>
  <c r="AW173" i="88" l="1"/>
  <c r="U980" i="89"/>
  <c r="AW134" i="88"/>
  <c r="U634" i="89"/>
  <c r="AW95" i="88"/>
  <c r="BJ270" i="92"/>
  <c r="BL270" i="92"/>
  <c r="BM270" i="92"/>
  <c r="CH270" i="92"/>
  <c r="BX270" i="92"/>
  <c r="CF270" i="92"/>
  <c r="BU270" i="92"/>
  <c r="BW270" i="92"/>
  <c r="CG270" i="92"/>
  <c r="CK270" i="92" s="1"/>
  <c r="BY270" i="92"/>
  <c r="CJ270" i="92"/>
  <c r="BV270" i="92"/>
  <c r="BZ270" i="92" s="1"/>
  <c r="CI270" i="92"/>
  <c r="BN270" i="92"/>
  <c r="CE272" i="92"/>
  <c r="BT272" i="92"/>
  <c r="BI272" i="92"/>
  <c r="CF271" i="92" a="1"/>
  <c r="CJ271" i="92" a="1"/>
  <c r="BY271" i="92" a="1"/>
  <c r="CH271" i="92" a="1"/>
  <c r="BK271" i="92" a="1"/>
  <c r="BM271" i="92" a="1"/>
  <c r="BX271" i="92" a="1"/>
  <c r="BU271" i="92" a="1"/>
  <c r="BL271" i="92" a="1"/>
  <c r="BV271" i="92" a="1"/>
  <c r="BN271" i="92" a="1"/>
  <c r="BW271" i="92" a="1"/>
  <c r="BJ271" i="92" a="1"/>
  <c r="CI271" i="92" a="1"/>
  <c r="CG271" i="92" a="1"/>
  <c r="AW135" i="88" l="1"/>
  <c r="U635" i="89"/>
  <c r="AW174" i="88"/>
  <c r="U981" i="89"/>
  <c r="BU271" i="92"/>
  <c r="BY271" i="92"/>
  <c r="BK271" i="92"/>
  <c r="BO271" i="92" s="1"/>
  <c r="U290" i="89" s="1"/>
  <c r="CH271" i="92"/>
  <c r="CG271" i="92"/>
  <c r="CK271" i="92" s="1"/>
  <c r="CF271" i="92"/>
  <c r="BL271" i="92"/>
  <c r="CJ271" i="92"/>
  <c r="BN271" i="92"/>
  <c r="BJ271" i="92"/>
  <c r="CI271" i="92"/>
  <c r="BM271" i="92"/>
  <c r="BW271" i="92"/>
  <c r="BX271" i="92"/>
  <c r="BV271" i="92"/>
  <c r="BZ271" i="92" s="1"/>
  <c r="BT273" i="92"/>
  <c r="BI273" i="92"/>
  <c r="CE273" i="92"/>
  <c r="BN272" i="92" a="1"/>
  <c r="CH272" i="92" a="1"/>
  <c r="CI272" i="92" a="1"/>
  <c r="CF272" i="92" a="1"/>
  <c r="CJ272" i="92" a="1"/>
  <c r="BW272" i="92" a="1"/>
  <c r="BL272" i="92" a="1"/>
  <c r="CG272" i="92" a="1"/>
  <c r="BV272" i="92" a="1"/>
  <c r="BY272" i="92" a="1"/>
  <c r="BX272" i="92" a="1"/>
  <c r="BM272" i="92" a="1"/>
  <c r="BU272" i="92" a="1"/>
  <c r="BK272" i="92" a="1"/>
  <c r="BJ272" i="92" a="1"/>
  <c r="AW175" i="88" l="1"/>
  <c r="U982" i="89"/>
  <c r="AW136" i="88"/>
  <c r="U636" i="89"/>
  <c r="AW97" i="88"/>
  <c r="BJ272" i="92"/>
  <c r="BL272" i="92"/>
  <c r="BM272" i="92"/>
  <c r="CH272" i="92"/>
  <c r="BY272" i="92"/>
  <c r="CJ272" i="92"/>
  <c r="BW272" i="92"/>
  <c r="BV272" i="92"/>
  <c r="BZ272" i="92" s="1"/>
  <c r="BX272" i="92"/>
  <c r="CF272" i="92"/>
  <c r="CG272" i="92"/>
  <c r="CK272" i="92" s="1"/>
  <c r="CI272" i="92"/>
  <c r="BU272" i="92"/>
  <c r="BK272" i="92"/>
  <c r="BO272" i="92" s="1"/>
  <c r="U291" i="89" s="1"/>
  <c r="BN272" i="92"/>
  <c r="CE274" i="92"/>
  <c r="BT274" i="92"/>
  <c r="BI274" i="92"/>
  <c r="BW273" i="92" a="1"/>
  <c r="BX273" i="92" a="1"/>
  <c r="BY273" i="92" a="1"/>
  <c r="BK273" i="92" a="1"/>
  <c r="CF273" i="92" a="1"/>
  <c r="BJ273" i="92" a="1"/>
  <c r="BV273" i="92" a="1"/>
  <c r="BM273" i="92" a="1"/>
  <c r="CH273" i="92" a="1"/>
  <c r="CJ273" i="92" a="1"/>
  <c r="BU273" i="92" a="1"/>
  <c r="BN273" i="92" a="1"/>
  <c r="CI273" i="92" a="1"/>
  <c r="BL273" i="92" a="1"/>
  <c r="CG273" i="92" a="1"/>
  <c r="AW176" i="88" l="1"/>
  <c r="U983" i="89"/>
  <c r="AW137" i="88"/>
  <c r="U637" i="89"/>
  <c r="AW98" i="88"/>
  <c r="BX273" i="92"/>
  <c r="BU273" i="92"/>
  <c r="BK273" i="92"/>
  <c r="BO273" i="92" s="1"/>
  <c r="U292" i="89" s="1"/>
  <c r="CH273" i="92"/>
  <c r="BV273" i="92"/>
  <c r="BZ273" i="92" s="1"/>
  <c r="CJ273" i="92"/>
  <c r="BN273" i="92"/>
  <c r="CF273" i="92"/>
  <c r="BJ273" i="92"/>
  <c r="CG273" i="92"/>
  <c r="CK273" i="92" s="1"/>
  <c r="BL273" i="92"/>
  <c r="CI273" i="92"/>
  <c r="BM273" i="92"/>
  <c r="BY273" i="92"/>
  <c r="BW273" i="92"/>
  <c r="BT275" i="92"/>
  <c r="BI275" i="92"/>
  <c r="CE275" i="92"/>
  <c r="BN274" i="92" a="1"/>
  <c r="CJ274" i="92" a="1"/>
  <c r="CI274" i="92" a="1"/>
  <c r="BY274" i="92" a="1"/>
  <c r="BU274" i="92" a="1"/>
  <c r="CF274" i="92" a="1"/>
  <c r="BW274" i="92" a="1"/>
  <c r="BL274" i="92" a="1"/>
  <c r="BV274" i="92" a="1"/>
  <c r="CH274" i="92" a="1"/>
  <c r="BJ274" i="92" a="1"/>
  <c r="BK274" i="92" a="1"/>
  <c r="BM274" i="92" a="1"/>
  <c r="BX274" i="92" a="1"/>
  <c r="CG274" i="92" a="1"/>
  <c r="AW138" i="88" l="1"/>
  <c r="U638" i="89"/>
  <c r="AW177" i="88"/>
  <c r="U984" i="89"/>
  <c r="AW99" i="88"/>
  <c r="CJ274" i="92"/>
  <c r="BY274" i="92"/>
  <c r="BU274" i="92"/>
  <c r="CI274" i="92"/>
  <c r="BM274" i="92"/>
  <c r="BJ274" i="92"/>
  <c r="BK274" i="92"/>
  <c r="BO274" i="92" s="1"/>
  <c r="U293" i="89" s="1"/>
  <c r="BN274" i="92"/>
  <c r="BL274" i="92"/>
  <c r="CH274" i="92"/>
  <c r="BV274" i="92"/>
  <c r="BZ274" i="92" s="1"/>
  <c r="CG274" i="92"/>
  <c r="CK274" i="92" s="1"/>
  <c r="BW274" i="92"/>
  <c r="CF274" i="92"/>
  <c r="BX274" i="92"/>
  <c r="BT276" i="92"/>
  <c r="CE276" i="92"/>
  <c r="BI276" i="92"/>
  <c r="BL275" i="92" a="1"/>
  <c r="BM275" i="92" a="1"/>
  <c r="BY275" i="92" a="1"/>
  <c r="BK275" i="92" a="1"/>
  <c r="CH275" i="92" a="1"/>
  <c r="BV275" i="92" a="1"/>
  <c r="BX275" i="92" a="1"/>
  <c r="BU275" i="92" a="1"/>
  <c r="CF275" i="92" a="1"/>
  <c r="CI275" i="92" a="1"/>
  <c r="BN275" i="92" a="1"/>
  <c r="CG275" i="92" a="1"/>
  <c r="BJ275" i="92" a="1"/>
  <c r="CJ275" i="92" a="1"/>
  <c r="BW275" i="92" a="1"/>
  <c r="AW139" i="88" l="1"/>
  <c r="U639" i="89"/>
  <c r="AW178" i="88"/>
  <c r="U985" i="89"/>
  <c r="AW100" i="88"/>
  <c r="CF275" i="92"/>
  <c r="CJ275" i="92"/>
  <c r="BN275" i="92"/>
  <c r="BK275" i="92"/>
  <c r="BO275" i="92" s="1"/>
  <c r="U294" i="89" s="1"/>
  <c r="BV275" i="92"/>
  <c r="BZ275" i="92" s="1"/>
  <c r="BU275" i="92"/>
  <c r="BY275" i="92"/>
  <c r="BM275" i="92"/>
  <c r="BW275" i="92"/>
  <c r="BX275" i="92"/>
  <c r="BJ275" i="92"/>
  <c r="BL275" i="92"/>
  <c r="CH275" i="92"/>
  <c r="CI275" i="92"/>
  <c r="CG275" i="92"/>
  <c r="CK275" i="92" s="1"/>
  <c r="CE277" i="92"/>
  <c r="BT277" i="92"/>
  <c r="BI277" i="92"/>
  <c r="BV276" i="92" a="1"/>
  <c r="CI276" i="92" a="1"/>
  <c r="BX276" i="92" a="1"/>
  <c r="BU276" i="92" a="1"/>
  <c r="CF276" i="92" a="1"/>
  <c r="BJ276" i="92" a="1"/>
  <c r="BK276" i="92" a="1"/>
  <c r="BN276" i="92" a="1"/>
  <c r="CJ276" i="92" a="1"/>
  <c r="CH276" i="92" a="1"/>
  <c r="BY276" i="92" a="1"/>
  <c r="CG276" i="92" a="1"/>
  <c r="BW276" i="92" a="1"/>
  <c r="BM276" i="92" a="1"/>
  <c r="BL276" i="92" a="1"/>
  <c r="AW140" i="88" l="1"/>
  <c r="U640" i="89"/>
  <c r="AW179" i="88"/>
  <c r="U986" i="89"/>
  <c r="AW101" i="88"/>
  <c r="CF276" i="92"/>
  <c r="BX276" i="92"/>
  <c r="BU276" i="92"/>
  <c r="CH276" i="92"/>
  <c r="BN276" i="92"/>
  <c r="CJ276" i="92"/>
  <c r="BK276" i="92"/>
  <c r="BO276" i="92" s="1"/>
  <c r="U295" i="89" s="1"/>
  <c r="CI276" i="92"/>
  <c r="BJ276" i="92"/>
  <c r="BL276" i="92"/>
  <c r="CG276" i="92"/>
  <c r="CK276" i="92" s="1"/>
  <c r="BM276" i="92"/>
  <c r="BY276" i="92"/>
  <c r="BW276" i="92"/>
  <c r="BV276" i="92"/>
  <c r="BZ276" i="92" s="1"/>
  <c r="BI282" i="92"/>
  <c r="BT282" i="92"/>
  <c r="CE282" i="92"/>
  <c r="BU277" i="92" a="1"/>
  <c r="BV277" i="92" a="1"/>
  <c r="BK277" i="92" a="1"/>
  <c r="CH277" i="92" a="1"/>
  <c r="CA353" i="92"/>
  <c r="CJ277" i="92" a="1"/>
  <c r="CG277" i="92" a="1"/>
  <c r="BP524" i="92"/>
  <c r="BJ277" i="92" a="1"/>
  <c r="BY277" i="92" a="1"/>
  <c r="BM277" i="92" a="1"/>
  <c r="BN277" i="92" a="1"/>
  <c r="CI277" i="92" a="1"/>
  <c r="BQ524" i="92"/>
  <c r="BX277" i="92" a="1"/>
  <c r="CF277" i="92" a="1"/>
  <c r="BL277" i="92" a="1"/>
  <c r="BW277" i="92" a="1"/>
  <c r="AW180" i="88" l="1"/>
  <c r="U987" i="89"/>
  <c r="AW141" i="88"/>
  <c r="U641" i="89"/>
  <c r="AW102" i="88"/>
  <c r="BX277" i="92"/>
  <c r="BU277" i="92"/>
  <c r="CJ277" i="92"/>
  <c r="CI277" i="92"/>
  <c r="BJ277" i="92"/>
  <c r="CG277" i="92"/>
  <c r="BL277" i="92"/>
  <c r="BM277" i="92"/>
  <c r="CH277" i="92"/>
  <c r="BK277" i="92"/>
  <c r="BN277" i="92"/>
  <c r="CF277" i="92"/>
  <c r="BY277" i="92"/>
  <c r="BV277" i="92"/>
  <c r="BW277" i="92"/>
  <c r="BT283" i="92"/>
  <c r="CE283" i="92"/>
  <c r="BI283" i="92"/>
  <c r="CG282" i="92" a="1"/>
  <c r="BX282" i="92" a="1"/>
  <c r="BY282" i="92" a="1"/>
  <c r="BV282" i="92" a="1"/>
  <c r="CI282" i="92" a="1"/>
  <c r="BJ282" i="92" a="1"/>
  <c r="BK282" i="92" a="1"/>
  <c r="CJ282" i="92" a="1"/>
  <c r="CH282" i="92" a="1"/>
  <c r="BY454" i="92" a="1"/>
  <c r="BM282" i="92" a="1"/>
  <c r="BL282" i="92" a="1"/>
  <c r="BW282" i="92" a="1"/>
  <c r="BN282" i="92" a="1"/>
  <c r="BY438" i="92" a="1"/>
  <c r="BY422" i="92" a="1"/>
  <c r="CI282" i="92" l="1"/>
  <c r="BY422" i="92"/>
  <c r="CA422" i="92" s="1"/>
  <c r="BO476" i="92" s="1"/>
  <c r="N65" i="88" s="1"/>
  <c r="BY282" i="92"/>
  <c r="BK282" i="92"/>
  <c r="BJ282" i="92"/>
  <c r="BW282" i="92"/>
  <c r="BY454" i="92"/>
  <c r="CA454" i="92" s="1"/>
  <c r="BS476" i="92" s="1"/>
  <c r="AD65" i="88" s="1"/>
  <c r="BV282" i="92"/>
  <c r="BX282" i="92"/>
  <c r="BM282" i="92"/>
  <c r="BN282" i="92"/>
  <c r="BL282" i="92"/>
  <c r="CG282" i="92"/>
  <c r="CH282" i="92"/>
  <c r="BY438" i="92"/>
  <c r="CA438" i="92" s="1"/>
  <c r="BQ476" i="92" s="1"/>
  <c r="V65" i="88" s="1"/>
  <c r="CJ282" i="92"/>
  <c r="CE284" i="92"/>
  <c r="BO277" i="92"/>
  <c r="U296" i="89" s="1"/>
  <c r="CK277" i="92"/>
  <c r="BT284" i="92"/>
  <c r="BI284" i="92"/>
  <c r="BZ277" i="92"/>
  <c r="CH283" i="92" a="1"/>
  <c r="BO454" i="92" a="1"/>
  <c r="BM283" i="92" a="1"/>
  <c r="BL283" i="92" a="1"/>
  <c r="CJ283" i="92" a="1"/>
  <c r="BN283" i="92" a="1"/>
  <c r="BO422" i="92" a="1"/>
  <c r="CG283" i="92" a="1"/>
  <c r="BW283" i="92" a="1"/>
  <c r="BV283" i="92" a="1"/>
  <c r="BK283" i="92" a="1"/>
  <c r="BY283" i="92" a="1"/>
  <c r="BX283" i="92" a="1"/>
  <c r="CI283" i="92" a="1"/>
  <c r="BJ283" i="92" a="1"/>
  <c r="BO438" i="92" a="1"/>
  <c r="AW142" i="88" l="1"/>
  <c r="U642" i="89"/>
  <c r="AW181" i="88"/>
  <c r="U988" i="89"/>
  <c r="AW103" i="88"/>
  <c r="BV283" i="92"/>
  <c r="BZ283" i="92" s="1"/>
  <c r="BN283" i="92"/>
  <c r="CH283" i="92"/>
  <c r="BJ283" i="92"/>
  <c r="CG283" i="92"/>
  <c r="CK283" i="92" s="1"/>
  <c r="BL283" i="92"/>
  <c r="CJ283" i="92"/>
  <c r="BO438" i="92"/>
  <c r="BQ438" i="92" s="1"/>
  <c r="BL476" i="92" s="1"/>
  <c r="T65" i="88" s="1"/>
  <c r="BM283" i="92"/>
  <c r="BY283" i="92"/>
  <c r="BO422" i="92"/>
  <c r="BQ422" i="92" s="1"/>
  <c r="BJ476" i="92" s="1"/>
  <c r="L65" i="88" s="1"/>
  <c r="BX283" i="92"/>
  <c r="BO454" i="92"/>
  <c r="BQ454" i="92" s="1"/>
  <c r="BN476" i="92" s="1"/>
  <c r="AB65" i="88" s="1"/>
  <c r="BW283" i="92"/>
  <c r="CI283" i="92"/>
  <c r="BK283" i="92"/>
  <c r="BO283" i="92" s="1"/>
  <c r="U303" i="89" s="1"/>
  <c r="BZ282" i="92"/>
  <c r="CE285" i="92"/>
  <c r="BO282" i="92"/>
  <c r="U302" i="89" s="1"/>
  <c r="CK282" i="92"/>
  <c r="BT285" i="92"/>
  <c r="BI285" i="92"/>
  <c r="BK284" i="92" a="1"/>
  <c r="CJ284" i="92" a="1"/>
  <c r="BL284" i="92" a="1"/>
  <c r="CI284" i="92" a="1"/>
  <c r="CG284" i="92" a="1"/>
  <c r="BN284" i="92" a="1"/>
  <c r="BU284" i="92" a="1"/>
  <c r="CH284" i="92" a="1"/>
  <c r="CF284" i="92" a="1"/>
  <c r="BJ284" i="92" a="1"/>
  <c r="BV284" i="92" a="1"/>
  <c r="BX284" i="92" a="1"/>
  <c r="BY284" i="92" a="1"/>
  <c r="BM284" i="92" a="1"/>
  <c r="BW284" i="92" a="1"/>
  <c r="AY171" i="88" l="1"/>
  <c r="U995" i="89"/>
  <c r="AY132" i="88"/>
  <c r="U649" i="89"/>
  <c r="AY131" i="88"/>
  <c r="U648" i="89"/>
  <c r="AY170" i="88"/>
  <c r="U994" i="89"/>
  <c r="AY92" i="88"/>
  <c r="AY93" i="88"/>
  <c r="BL284" i="92"/>
  <c r="BV284" i="92"/>
  <c r="BZ284" i="92" s="1"/>
  <c r="BJ284" i="92"/>
  <c r="CG284" i="92"/>
  <c r="CK284" i="92" s="1"/>
  <c r="CJ284" i="92"/>
  <c r="BX284" i="92"/>
  <c r="CF284" i="92"/>
  <c r="BM284" i="92"/>
  <c r="BU284" i="92"/>
  <c r="BY284" i="92"/>
  <c r="CI284" i="92"/>
  <c r="BW284" i="92"/>
  <c r="BK284" i="92"/>
  <c r="BO284" i="92" s="1"/>
  <c r="U304" i="89" s="1"/>
  <c r="BN284" i="92"/>
  <c r="CH284" i="92"/>
  <c r="BT286" i="92"/>
  <c r="CE286" i="92"/>
  <c r="BI286" i="92"/>
  <c r="BX285" i="92" a="1"/>
  <c r="BM285" i="92" a="1"/>
  <c r="CJ285" i="92" a="1"/>
  <c r="BK285" i="92" a="1"/>
  <c r="CF285" i="92" a="1"/>
  <c r="BN285" i="92" a="1"/>
  <c r="BJ285" i="92" a="1"/>
  <c r="CI285" i="92" a="1"/>
  <c r="BW285" i="92" a="1"/>
  <c r="CH285" i="92" a="1"/>
  <c r="CG285" i="92" a="1"/>
  <c r="BL285" i="92" a="1"/>
  <c r="BU285" i="92" a="1"/>
  <c r="BY285" i="92" a="1"/>
  <c r="BV285" i="92" a="1"/>
  <c r="AY133" i="88" l="1"/>
  <c r="U650" i="89"/>
  <c r="AY172" i="88"/>
  <c r="U996" i="89"/>
  <c r="AY94" i="88"/>
  <c r="CJ285" i="92"/>
  <c r="BV285" i="92"/>
  <c r="BZ285" i="92" s="1"/>
  <c r="CI285" i="92"/>
  <c r="BU285" i="92"/>
  <c r="BJ285" i="92"/>
  <c r="BY285" i="92"/>
  <c r="BX285" i="92"/>
  <c r="BW285" i="92"/>
  <c r="BM285" i="92"/>
  <c r="BK285" i="92"/>
  <c r="BO285" i="92" s="1"/>
  <c r="U305" i="89" s="1"/>
  <c r="BN285" i="92"/>
  <c r="BL285" i="92"/>
  <c r="CF285" i="92"/>
  <c r="CH285" i="92"/>
  <c r="CG285" i="92"/>
  <c r="CK285" i="92" s="1"/>
  <c r="CE287" i="92"/>
  <c r="BT287" i="92"/>
  <c r="BI287" i="92"/>
  <c r="BW286" i="92" a="1"/>
  <c r="CF286" i="92" a="1"/>
  <c r="CI286" i="92" a="1"/>
  <c r="BY286" i="92" a="1"/>
  <c r="BJ286" i="92" a="1"/>
  <c r="BV286" i="92" a="1"/>
  <c r="CH286" i="92" a="1"/>
  <c r="BX286" i="92" a="1"/>
  <c r="BL286" i="92" a="1"/>
  <c r="BM286" i="92" a="1"/>
  <c r="CJ286" i="92" a="1"/>
  <c r="BN286" i="92" a="1"/>
  <c r="BU286" i="92" a="1"/>
  <c r="CG286" i="92" a="1"/>
  <c r="AY134" i="88" l="1"/>
  <c r="U651" i="89"/>
  <c r="AY173" i="88"/>
  <c r="U997" i="89"/>
  <c r="AY95" i="88"/>
  <c r="BY286" i="92"/>
  <c r="CH286" i="92"/>
  <c r="BJ286" i="92"/>
  <c r="CJ286" i="92"/>
  <c r="CG286" i="92"/>
  <c r="CK286" i="92" s="1"/>
  <c r="BL286" i="92"/>
  <c r="CI286" i="92"/>
  <c r="BM286" i="92"/>
  <c r="CF286" i="92"/>
  <c r="BV286" i="92"/>
  <c r="BZ286" i="92" s="1"/>
  <c r="BN286" i="92"/>
  <c r="BW286" i="92"/>
  <c r="BX286" i="92"/>
  <c r="BU286" i="92"/>
  <c r="BT288" i="92"/>
  <c r="BI288" i="92"/>
  <c r="CE288" i="92"/>
  <c r="BK287" i="92" a="1"/>
  <c r="BY287" i="92" a="1"/>
  <c r="BM287" i="92" a="1"/>
  <c r="BW287" i="92" a="1"/>
  <c r="BJ287" i="92" a="1"/>
  <c r="CJ287" i="92" a="1"/>
  <c r="BN287" i="92" a="1"/>
  <c r="BV287" i="92" a="1"/>
  <c r="CF287" i="92" a="1"/>
  <c r="BX287" i="92" a="1"/>
  <c r="BL287" i="92" a="1"/>
  <c r="CG287" i="92" a="1"/>
  <c r="BU287" i="92" a="1"/>
  <c r="CH287" i="92" a="1"/>
  <c r="CI287" i="92" a="1"/>
  <c r="AY174" i="88" l="1"/>
  <c r="U998" i="89"/>
  <c r="AY135" i="88"/>
  <c r="U652" i="89"/>
  <c r="CH287" i="92"/>
  <c r="BJ287" i="92"/>
  <c r="BW287" i="92"/>
  <c r="BL287" i="92"/>
  <c r="CJ287" i="92"/>
  <c r="BU287" i="92"/>
  <c r="BV287" i="92"/>
  <c r="BZ287" i="92" s="1"/>
  <c r="BY287" i="92"/>
  <c r="BX287" i="92"/>
  <c r="CF287" i="92"/>
  <c r="BM287" i="92"/>
  <c r="CG287" i="92"/>
  <c r="CK287" i="92" s="1"/>
  <c r="CI287" i="92"/>
  <c r="BK287" i="92"/>
  <c r="BO287" i="92" s="1"/>
  <c r="U307" i="89" s="1"/>
  <c r="BN287" i="92"/>
  <c r="CE289" i="92"/>
  <c r="BT289" i="92"/>
  <c r="BI289" i="92"/>
  <c r="BV288" i="92" a="1"/>
  <c r="BN288" i="92" a="1"/>
  <c r="CH288" i="92" a="1"/>
  <c r="CI288" i="92" a="1"/>
  <c r="CG288" i="92" a="1"/>
  <c r="CJ288" i="92" a="1"/>
  <c r="BX288" i="92" a="1"/>
  <c r="BW288" i="92" a="1"/>
  <c r="BM288" i="92" a="1"/>
  <c r="BU288" i="92" a="1"/>
  <c r="BJ288" i="92" a="1"/>
  <c r="CF288" i="92" a="1"/>
  <c r="BY288" i="92" a="1"/>
  <c r="BK288" i="92" a="1"/>
  <c r="BL288" i="92" a="1"/>
  <c r="AY136" i="88" l="1"/>
  <c r="U653" i="89"/>
  <c r="AY175" i="88"/>
  <c r="U999" i="89"/>
  <c r="AY97" i="88"/>
  <c r="BJ288" i="92"/>
  <c r="CJ288" i="92"/>
  <c r="CI288" i="92"/>
  <c r="BM288" i="92"/>
  <c r="BW288" i="92"/>
  <c r="BY288" i="92"/>
  <c r="BX288" i="92"/>
  <c r="BU288" i="92"/>
  <c r="BV288" i="92"/>
  <c r="BZ288" i="92" s="1"/>
  <c r="BL288" i="92"/>
  <c r="CH288" i="92"/>
  <c r="BK288" i="92"/>
  <c r="BO288" i="92" s="1"/>
  <c r="U308" i="89" s="1"/>
  <c r="CF288" i="92"/>
  <c r="BN288" i="92"/>
  <c r="CG288" i="92"/>
  <c r="CK288" i="92" s="1"/>
  <c r="CE290" i="92"/>
  <c r="BT290" i="92"/>
  <c r="BI290" i="92"/>
  <c r="BW289" i="92" a="1"/>
  <c r="BK289" i="92" a="1"/>
  <c r="BL289" i="92" a="1"/>
  <c r="CG289" i="92" a="1"/>
  <c r="BX289" i="92" a="1"/>
  <c r="BV289" i="92" a="1"/>
  <c r="BM289" i="92" a="1"/>
  <c r="BJ289" i="92" a="1"/>
  <c r="BN289" i="92" a="1"/>
  <c r="BU289" i="92" a="1"/>
  <c r="CH289" i="92" a="1"/>
  <c r="CI289" i="92" a="1"/>
  <c r="CJ289" i="92" a="1"/>
  <c r="BY289" i="92" a="1"/>
  <c r="CF289" i="92" a="1"/>
  <c r="AY176" i="88" l="1"/>
  <c r="U1000" i="89"/>
  <c r="AY137" i="88"/>
  <c r="U654" i="89"/>
  <c r="AY98" i="88"/>
  <c r="BU289" i="92"/>
  <c r="BV289" i="92"/>
  <c r="BZ289" i="92" s="1"/>
  <c r="CH289" i="92"/>
  <c r="BL289" i="92"/>
  <c r="CG289" i="92"/>
  <c r="CK289" i="92" s="1"/>
  <c r="BK289" i="92"/>
  <c r="BO289" i="92" s="1"/>
  <c r="U309" i="89" s="1"/>
  <c r="CF289" i="92"/>
  <c r="BM289" i="92"/>
  <c r="BN289" i="92"/>
  <c r="BJ289" i="92"/>
  <c r="CJ289" i="92"/>
  <c r="CI289" i="92"/>
  <c r="BW289" i="92"/>
  <c r="BY289" i="92"/>
  <c r="BX289" i="92"/>
  <c r="BT291" i="92"/>
  <c r="BI291" i="92"/>
  <c r="CE291" i="92"/>
  <c r="CF290" i="92" a="1"/>
  <c r="BK290" i="92" a="1"/>
  <c r="BU290" i="92" a="1"/>
  <c r="BW290" i="92" a="1"/>
  <c r="BJ290" i="92" a="1"/>
  <c r="BL290" i="92" a="1"/>
  <c r="BN290" i="92" a="1"/>
  <c r="BM290" i="92" a="1"/>
  <c r="CJ290" i="92" a="1"/>
  <c r="BV290" i="92" a="1"/>
  <c r="CH290" i="92" a="1"/>
  <c r="CG290" i="92" a="1"/>
  <c r="BY290" i="92" a="1"/>
  <c r="CI290" i="92" a="1"/>
  <c r="BX290" i="92" a="1"/>
  <c r="AY138" i="88" l="1"/>
  <c r="U655" i="89"/>
  <c r="AY177" i="88"/>
  <c r="U1001" i="89"/>
  <c r="AY99" i="88"/>
  <c r="BL290" i="92"/>
  <c r="BM290" i="92"/>
  <c r="BN290" i="92"/>
  <c r="BV290" i="92"/>
  <c r="BZ290" i="92" s="1"/>
  <c r="BW290" i="92"/>
  <c r="BY290" i="92"/>
  <c r="CG290" i="92"/>
  <c r="CK290" i="92" s="1"/>
  <c r="BX290" i="92"/>
  <c r="CH290" i="92"/>
  <c r="CJ290" i="92"/>
  <c r="CI290" i="92"/>
  <c r="CF290" i="92"/>
  <c r="BU290" i="92"/>
  <c r="BJ290" i="92"/>
  <c r="BK290" i="92"/>
  <c r="BO290" i="92" s="1"/>
  <c r="U310" i="89" s="1"/>
  <c r="CE292" i="92"/>
  <c r="BT292" i="92"/>
  <c r="BI292" i="92"/>
  <c r="BW291" i="92" a="1"/>
  <c r="BK291" i="92" a="1"/>
  <c r="BX291" i="92" a="1"/>
  <c r="BV291" i="92" a="1"/>
  <c r="CI291" i="92" a="1"/>
  <c r="BL291" i="92" a="1"/>
  <c r="BM291" i="92" a="1"/>
  <c r="CH291" i="92" a="1"/>
  <c r="CJ291" i="92" a="1"/>
  <c r="BJ291" i="92" a="1"/>
  <c r="BU291" i="92" a="1"/>
  <c r="CF291" i="92" a="1"/>
  <c r="BN291" i="92" a="1"/>
  <c r="CG291" i="92" a="1"/>
  <c r="BY291" i="92" a="1"/>
  <c r="AY178" i="88" l="1"/>
  <c r="U1002" i="89"/>
  <c r="AY139" i="88"/>
  <c r="U656" i="89"/>
  <c r="AY100" i="88"/>
  <c r="BX291" i="92"/>
  <c r="BU291" i="92"/>
  <c r="CG291" i="92"/>
  <c r="CK291" i="92" s="1"/>
  <c r="CH291" i="92"/>
  <c r="BL291" i="92"/>
  <c r="CF291" i="92"/>
  <c r="BJ291" i="92"/>
  <c r="CI291" i="92"/>
  <c r="BN291" i="92"/>
  <c r="BK291" i="92"/>
  <c r="BO291" i="92" s="1"/>
  <c r="U311" i="89" s="1"/>
  <c r="BM291" i="92"/>
  <c r="CJ291" i="92"/>
  <c r="BV291" i="92"/>
  <c r="BZ291" i="92" s="1"/>
  <c r="BW291" i="92"/>
  <c r="BY291" i="92"/>
  <c r="BI293" i="92"/>
  <c r="BT293" i="92"/>
  <c r="CE293" i="92"/>
  <c r="BY292" i="92" a="1"/>
  <c r="BM292" i="92" a="1"/>
  <c r="BX292" i="92" a="1"/>
  <c r="CJ292" i="92" a="1"/>
  <c r="BW292" i="92" a="1"/>
  <c r="BL292" i="92" a="1"/>
  <c r="CF292" i="92" a="1"/>
  <c r="CI292" i="92" a="1"/>
  <c r="BV292" i="92" a="1"/>
  <c r="CG292" i="92" a="1"/>
  <c r="BK292" i="92" a="1"/>
  <c r="BJ292" i="92" a="1"/>
  <c r="CH292" i="92" a="1"/>
  <c r="BN292" i="92" a="1"/>
  <c r="BU292" i="92" a="1"/>
  <c r="AY179" i="88" l="1"/>
  <c r="U1003" i="89"/>
  <c r="AY140" i="88"/>
  <c r="U657" i="89"/>
  <c r="AY101" i="88"/>
  <c r="BX292" i="92"/>
  <c r="BU292" i="92"/>
  <c r="CH292" i="92"/>
  <c r="BK292" i="92"/>
  <c r="BO292" i="92" s="1"/>
  <c r="U312" i="89" s="1"/>
  <c r="CG292" i="92"/>
  <c r="CK292" i="92" s="1"/>
  <c r="BL292" i="92"/>
  <c r="CJ292" i="92"/>
  <c r="BM292" i="92"/>
  <c r="BN292" i="92"/>
  <c r="BJ292" i="92"/>
  <c r="CI292" i="92"/>
  <c r="CF292" i="92"/>
  <c r="BV292" i="92"/>
  <c r="BZ292" i="92" s="1"/>
  <c r="BW292" i="92"/>
  <c r="BY292" i="92"/>
  <c r="BT298" i="92"/>
  <c r="CE298" i="92"/>
  <c r="BI298" i="92"/>
  <c r="BX293" i="92" a="1"/>
  <c r="BN293" i="92" a="1"/>
  <c r="BV293" i="92" a="1"/>
  <c r="BU293" i="92" a="1"/>
  <c r="BK293" i="92" a="1"/>
  <c r="CH293" i="92" a="1"/>
  <c r="CF293" i="92" a="1"/>
  <c r="CG293" i="92" a="1"/>
  <c r="CB353" i="92"/>
  <c r="BW293" i="92" a="1"/>
  <c r="CI293" i="92" a="1"/>
  <c r="BL293" i="92" a="1"/>
  <c r="BM293" i="92" a="1"/>
  <c r="BY293" i="92" a="1"/>
  <c r="BQ525" i="92"/>
  <c r="BJ293" i="92" a="1"/>
  <c r="CJ293" i="92" a="1"/>
  <c r="BP525" i="92"/>
  <c r="AY180" i="88" l="1"/>
  <c r="U1004" i="89"/>
  <c r="AY141" i="88"/>
  <c r="U658" i="89"/>
  <c r="AY102" i="88"/>
  <c r="CF293" i="92"/>
  <c r="CJ293" i="92"/>
  <c r="BV293" i="92"/>
  <c r="BW293" i="92"/>
  <c r="BK293" i="92"/>
  <c r="BL293" i="92"/>
  <c r="BX293" i="92"/>
  <c r="BY293" i="92"/>
  <c r="BM293" i="92"/>
  <c r="BN293" i="92"/>
  <c r="BJ293" i="92"/>
  <c r="BU293" i="92"/>
  <c r="CH293" i="92"/>
  <c r="CG293" i="92"/>
  <c r="CI293" i="92"/>
  <c r="BI299" i="92"/>
  <c r="CE299" i="92"/>
  <c r="BT299" i="92"/>
  <c r="BZ438" i="92" a="1"/>
  <c r="BY298" i="92" a="1"/>
  <c r="CI298" i="92" a="1"/>
  <c r="BK298" i="92" a="1"/>
  <c r="BV298" i="92" a="1"/>
  <c r="CH298" i="92" a="1"/>
  <c r="BN298" i="92" a="1"/>
  <c r="BM298" i="92" a="1"/>
  <c r="BW298" i="92" a="1"/>
  <c r="BX298" i="92" a="1"/>
  <c r="BZ454" i="92" a="1"/>
  <c r="CJ298" i="92" a="1"/>
  <c r="BJ298" i="92" a="1"/>
  <c r="CG298" i="92" a="1"/>
  <c r="BL298" i="92" a="1"/>
  <c r="BZ422" i="92" a="1"/>
  <c r="CJ298" i="92" l="1"/>
  <c r="BJ298" i="92"/>
  <c r="BV298" i="92"/>
  <c r="BK298" i="92"/>
  <c r="BY298" i="92"/>
  <c r="BL298" i="92"/>
  <c r="BW298" i="92"/>
  <c r="BN298" i="92"/>
  <c r="BX298" i="92"/>
  <c r="BM298" i="92"/>
  <c r="BZ422" i="92"/>
  <c r="CB422" i="92" s="1"/>
  <c r="BP476" i="92" s="1"/>
  <c r="P65" i="88" s="1"/>
  <c r="CH298" i="92"/>
  <c r="BZ438" i="92"/>
  <c r="CB438" i="92" s="1"/>
  <c r="BR476" i="92" s="1"/>
  <c r="X65" i="88" s="1"/>
  <c r="CG298" i="92"/>
  <c r="BZ454" i="92"/>
  <c r="CB454" i="92" s="1"/>
  <c r="BT476" i="92" s="1"/>
  <c r="AF65" i="88" s="1"/>
  <c r="CI298" i="92"/>
  <c r="CE300" i="92"/>
  <c r="BT300" i="92"/>
  <c r="BI300" i="92"/>
  <c r="BO293" i="92"/>
  <c r="U313" i="89" s="1"/>
  <c r="BZ293" i="92"/>
  <c r="CK293" i="92"/>
  <c r="BY299" i="92" a="1"/>
  <c r="BV299" i="92" a="1"/>
  <c r="BM299" i="92" a="1"/>
  <c r="CR40" i="92" a="1"/>
  <c r="CG299" i="92" a="1"/>
  <c r="BN423" i="92" a="1"/>
  <c r="BW299" i="92" a="1"/>
  <c r="BN455" i="92" a="1"/>
  <c r="CI299" i="92" a="1"/>
  <c r="CJ299" i="92" a="1"/>
  <c r="BK299" i="92" a="1"/>
  <c r="BJ299" i="92" a="1"/>
  <c r="CH299" i="92" a="1"/>
  <c r="BN299" i="92" a="1"/>
  <c r="BL299" i="92" a="1"/>
  <c r="CR48" i="92" a="1"/>
  <c r="CR32" i="92" a="1"/>
  <c r="BN439" i="92" a="1"/>
  <c r="BX299" i="92" a="1"/>
  <c r="CR48" i="92" l="1"/>
  <c r="Y166" i="88" s="1"/>
  <c r="AY181" i="88"/>
  <c r="U1005" i="89"/>
  <c r="AY142" i="88"/>
  <c r="U659" i="89"/>
  <c r="CR32" i="92"/>
  <c r="Y88" i="88" s="1"/>
  <c r="CR40" i="92"/>
  <c r="Y127" i="88" s="1"/>
  <c r="AY103" i="88"/>
  <c r="CH299" i="92"/>
  <c r="CJ299" i="92"/>
  <c r="BK299" i="92"/>
  <c r="BO299" i="92" s="1"/>
  <c r="U320" i="89" s="1"/>
  <c r="CG299" i="92"/>
  <c r="CK299" i="92" s="1"/>
  <c r="BL299" i="92"/>
  <c r="BN299" i="92"/>
  <c r="BN423" i="92"/>
  <c r="BP423" i="92" s="1"/>
  <c r="BI477" i="92" s="1"/>
  <c r="J66" i="88" s="1"/>
  <c r="CI299" i="92"/>
  <c r="BV299" i="92"/>
  <c r="BZ299" i="92" s="1"/>
  <c r="BN439" i="92"/>
  <c r="BP439" i="92" s="1"/>
  <c r="BK477" i="92" s="1"/>
  <c r="R66" i="88" s="1"/>
  <c r="BW299" i="92"/>
  <c r="BN455" i="92"/>
  <c r="BP455" i="92" s="1"/>
  <c r="DO86" i="102" s="1"/>
  <c r="DO91" i="102" s="1"/>
  <c r="DR43" i="102" s="1"/>
  <c r="BJ299" i="92"/>
  <c r="BY299" i="92"/>
  <c r="BM299" i="92"/>
  <c r="BX299" i="92"/>
  <c r="BI301" i="92"/>
  <c r="CE301" i="92"/>
  <c r="BO298" i="92"/>
  <c r="U319" i="89" s="1"/>
  <c r="BZ298" i="92"/>
  <c r="CK298" i="92"/>
  <c r="BT301" i="92"/>
  <c r="BN300" i="92" a="1"/>
  <c r="BX300" i="92" a="1"/>
  <c r="BV300" i="92" a="1"/>
  <c r="CJ300" i="92" a="1"/>
  <c r="BU300" i="92" a="1"/>
  <c r="CI300" i="92" a="1"/>
  <c r="BJ300" i="92" a="1"/>
  <c r="BW300" i="92" a="1"/>
  <c r="CG300" i="92" a="1"/>
  <c r="BM300" i="92" a="1"/>
  <c r="CH300" i="92" a="1"/>
  <c r="BL300" i="92" a="1"/>
  <c r="BY300" i="92" a="1"/>
  <c r="BK300" i="92" a="1"/>
  <c r="CF300" i="92" a="1"/>
  <c r="BA132" i="88" l="1"/>
  <c r="U666" i="89"/>
  <c r="BA171" i="88"/>
  <c r="U1012" i="89"/>
  <c r="BA170" i="88"/>
  <c r="U1011" i="89"/>
  <c r="BA131" i="88"/>
  <c r="U665" i="89"/>
  <c r="BM477" i="92"/>
  <c r="Z66" i="88" s="1"/>
  <c r="BA93" i="88"/>
  <c r="BA92" i="88"/>
  <c r="BW300" i="92"/>
  <c r="BJ300" i="92"/>
  <c r="CH300" i="92"/>
  <c r="CJ300" i="92"/>
  <c r="CG300" i="92"/>
  <c r="CK300" i="92" s="1"/>
  <c r="BK300" i="92"/>
  <c r="BO300" i="92" s="1"/>
  <c r="U321" i="89" s="1"/>
  <c r="CI300" i="92"/>
  <c r="BN300" i="92"/>
  <c r="BL300" i="92"/>
  <c r="BM300" i="92"/>
  <c r="BX300" i="92"/>
  <c r="BY300" i="92"/>
  <c r="BU300" i="92"/>
  <c r="CF300" i="92"/>
  <c r="BV300" i="92"/>
  <c r="BZ300" i="92" s="1"/>
  <c r="BI302" i="92"/>
  <c r="BT302" i="92"/>
  <c r="CE302" i="92"/>
  <c r="BN301" i="92" a="1"/>
  <c r="BK301" i="92" a="1"/>
  <c r="BM301" i="92" a="1"/>
  <c r="CH301" i="92" a="1"/>
  <c r="CJ301" i="92" a="1"/>
  <c r="BY301" i="92" a="1"/>
  <c r="CF301" i="92" a="1"/>
  <c r="BW301" i="92" a="1"/>
  <c r="BL301" i="92" a="1"/>
  <c r="BX301" i="92" a="1"/>
  <c r="BV301" i="92" a="1"/>
  <c r="BJ301" i="92" a="1"/>
  <c r="CG301" i="92" a="1"/>
  <c r="BU301" i="92" a="1"/>
  <c r="CI301" i="92" a="1"/>
  <c r="BA172" i="88" l="1"/>
  <c r="U1013" i="89"/>
  <c r="BA133" i="88"/>
  <c r="U667" i="89"/>
  <c r="BA94" i="88"/>
  <c r="BV301" i="92"/>
  <c r="BZ301" i="92" s="1"/>
  <c r="CF301" i="92"/>
  <c r="BW301" i="92"/>
  <c r="BK301" i="92"/>
  <c r="BO301" i="92" s="1"/>
  <c r="U322" i="89" s="1"/>
  <c r="BL301" i="92"/>
  <c r="BM301" i="92"/>
  <c r="BN301" i="92"/>
  <c r="CH301" i="92"/>
  <c r="CJ301" i="92"/>
  <c r="CG301" i="92"/>
  <c r="CK301" i="92" s="1"/>
  <c r="BY301" i="92"/>
  <c r="BJ301" i="92"/>
  <c r="BX301" i="92"/>
  <c r="CI301" i="92"/>
  <c r="BU301" i="92"/>
  <c r="BT303" i="92"/>
  <c r="BI303" i="92"/>
  <c r="CE303" i="92"/>
  <c r="BU302" i="92" a="1"/>
  <c r="BJ302" i="92" a="1"/>
  <c r="BM302" i="92" a="1"/>
  <c r="CJ302" i="92" a="1"/>
  <c r="BY302" i="92" a="1"/>
  <c r="BW302" i="92" a="1"/>
  <c r="CG302" i="92" a="1"/>
  <c r="BN302" i="92" a="1"/>
  <c r="BV302" i="92" a="1"/>
  <c r="BL302" i="92" a="1"/>
  <c r="CH302" i="92" a="1"/>
  <c r="CF302" i="92" a="1"/>
  <c r="CI302" i="92" a="1"/>
  <c r="BX302" i="92" a="1"/>
  <c r="BA134" i="88" l="1"/>
  <c r="U668" i="89"/>
  <c r="BA173" i="88"/>
  <c r="U1014" i="89"/>
  <c r="BA95" i="88"/>
  <c r="BM302" i="92"/>
  <c r="BY302" i="92"/>
  <c r="CH302" i="92"/>
  <c r="CF302" i="92"/>
  <c r="CJ302" i="92"/>
  <c r="BX302" i="92"/>
  <c r="BW302" i="92"/>
  <c r="CG302" i="92"/>
  <c r="CK302" i="92" s="1"/>
  <c r="BU302" i="92"/>
  <c r="CI302" i="92"/>
  <c r="BV302" i="92"/>
  <c r="BZ302" i="92" s="1"/>
  <c r="BN302" i="92"/>
  <c r="BL302" i="92"/>
  <c r="BJ302" i="92"/>
  <c r="CE304" i="92"/>
  <c r="BT304" i="92"/>
  <c r="BI304" i="92"/>
  <c r="BV303" i="92" a="1"/>
  <c r="CH303" i="92" a="1"/>
  <c r="BU303" i="92" a="1"/>
  <c r="CF303" i="92" a="1"/>
  <c r="BK303" i="92" a="1"/>
  <c r="BW303" i="92" a="1"/>
  <c r="BL303" i="92" a="1"/>
  <c r="BX303" i="92" a="1"/>
  <c r="BN303" i="92" a="1"/>
  <c r="BY303" i="92" a="1"/>
  <c r="CI303" i="92" a="1"/>
  <c r="BJ303" i="92" a="1"/>
  <c r="CG303" i="92" a="1"/>
  <c r="CJ303" i="92" a="1"/>
  <c r="BM303" i="92" a="1"/>
  <c r="BA135" i="88" l="1"/>
  <c r="U669" i="89"/>
  <c r="BA174" i="88"/>
  <c r="U1015" i="89"/>
  <c r="BJ303" i="92"/>
  <c r="CG303" i="92"/>
  <c r="CK303" i="92" s="1"/>
  <c r="CF303" i="92"/>
  <c r="BM303" i="92"/>
  <c r="CI303" i="92"/>
  <c r="BU303" i="92"/>
  <c r="CJ303" i="92"/>
  <c r="BN303" i="92"/>
  <c r="BV303" i="92"/>
  <c r="BZ303" i="92" s="1"/>
  <c r="BK303" i="92"/>
  <c r="BO303" i="92" s="1"/>
  <c r="U324" i="89" s="1"/>
  <c r="BW303" i="92"/>
  <c r="BL303" i="92"/>
  <c r="BY303" i="92"/>
  <c r="CH303" i="92"/>
  <c r="BX303" i="92"/>
  <c r="BT305" i="92"/>
  <c r="CE305" i="92"/>
  <c r="BI305" i="92"/>
  <c r="BM304" i="92" a="1"/>
  <c r="CG304" i="92" a="1"/>
  <c r="BJ304" i="92" a="1"/>
  <c r="BY304" i="92" a="1"/>
  <c r="CF304" i="92" a="1"/>
  <c r="BL304" i="92" a="1"/>
  <c r="BN304" i="92" a="1"/>
  <c r="BU304" i="92" a="1"/>
  <c r="BX304" i="92" a="1"/>
  <c r="CH304" i="92" a="1"/>
  <c r="BW304" i="92" a="1"/>
  <c r="BK304" i="92" a="1"/>
  <c r="BV304" i="92" a="1"/>
  <c r="CJ304" i="92" a="1"/>
  <c r="CI304" i="92" a="1"/>
  <c r="BA175" i="88" l="1"/>
  <c r="U1016" i="89"/>
  <c r="BA136" i="88"/>
  <c r="U670" i="89"/>
  <c r="BA97" i="88"/>
  <c r="CI304" i="92"/>
  <c r="BY304" i="92"/>
  <c r="BW304" i="92"/>
  <c r="BK304" i="92"/>
  <c r="BO304" i="92" s="1"/>
  <c r="U325" i="89" s="1"/>
  <c r="BX304" i="92"/>
  <c r="CJ304" i="92"/>
  <c r="CG304" i="92"/>
  <c r="CK304" i="92" s="1"/>
  <c r="BJ304" i="92"/>
  <c r="BL304" i="92"/>
  <c r="CH304" i="92"/>
  <c r="BU304" i="92"/>
  <c r="BM304" i="92"/>
  <c r="BV304" i="92"/>
  <c r="BZ304" i="92" s="1"/>
  <c r="BN304" i="92"/>
  <c r="CF304" i="92"/>
  <c r="BI306" i="92"/>
  <c r="BT306" i="92"/>
  <c r="CE306" i="92"/>
  <c r="CG305" i="92" a="1"/>
  <c r="BM305" i="92" a="1"/>
  <c r="BW305" i="92" a="1"/>
  <c r="CJ305" i="92" a="1"/>
  <c r="BV305" i="92" a="1"/>
  <c r="BN305" i="92" a="1"/>
  <c r="CI305" i="92" a="1"/>
  <c r="CF305" i="92" a="1"/>
  <c r="BL305" i="92" a="1"/>
  <c r="CH305" i="92" a="1"/>
  <c r="BY305" i="92" a="1"/>
  <c r="BJ305" i="92" a="1"/>
  <c r="BK305" i="92" a="1"/>
  <c r="BX305" i="92" a="1"/>
  <c r="BU305" i="92" a="1"/>
  <c r="BA176" i="88" l="1"/>
  <c r="U1017" i="89"/>
  <c r="BA137" i="88"/>
  <c r="U671" i="89"/>
  <c r="BA98" i="88"/>
  <c r="BV305" i="92"/>
  <c r="BZ305" i="92" s="1"/>
  <c r="BK305" i="92"/>
  <c r="BO305" i="92" s="1"/>
  <c r="U326" i="89" s="1"/>
  <c r="CG305" i="92"/>
  <c r="CK305" i="92" s="1"/>
  <c r="BL305" i="92"/>
  <c r="BU305" i="92"/>
  <c r="BJ305" i="92"/>
  <c r="CI305" i="92"/>
  <c r="BM305" i="92"/>
  <c r="CF305" i="92"/>
  <c r="BN305" i="92"/>
  <c r="CH305" i="92"/>
  <c r="BW305" i="92"/>
  <c r="BY305" i="92"/>
  <c r="CJ305" i="92"/>
  <c r="BX305" i="92"/>
  <c r="BT307" i="92"/>
  <c r="CE307" i="92"/>
  <c r="BI307" i="92"/>
  <c r="CH306" i="92" a="1"/>
  <c r="BW306" i="92" a="1"/>
  <c r="CF306" i="92" a="1"/>
  <c r="CG306" i="92" a="1"/>
  <c r="CI306" i="92" a="1"/>
  <c r="BK306" i="92" a="1"/>
  <c r="BX306" i="92" a="1"/>
  <c r="BV306" i="92" a="1"/>
  <c r="BN306" i="92" a="1"/>
  <c r="CJ306" i="92" a="1"/>
  <c r="BY306" i="92" a="1"/>
  <c r="BM306" i="92" a="1"/>
  <c r="BJ306" i="92" a="1"/>
  <c r="BU306" i="92" a="1"/>
  <c r="BL306" i="92" a="1"/>
  <c r="BA177" i="88" l="1"/>
  <c r="U1018" i="89"/>
  <c r="BA138" i="88"/>
  <c r="U672" i="89"/>
  <c r="BA99" i="88"/>
  <c r="CI306" i="92"/>
  <c r="CG306" i="92"/>
  <c r="CK306" i="92" s="1"/>
  <c r="BY306" i="92"/>
  <c r="BV306" i="92"/>
  <c r="BZ306" i="92" s="1"/>
  <c r="BM306" i="92"/>
  <c r="BX306" i="92"/>
  <c r="BU306" i="92"/>
  <c r="BJ306" i="92"/>
  <c r="BL306" i="92"/>
  <c r="BN306" i="92"/>
  <c r="BW306" i="92"/>
  <c r="CH306" i="92"/>
  <c r="BK306" i="92"/>
  <c r="BO306" i="92" s="1"/>
  <c r="U327" i="89" s="1"/>
  <c r="CJ306" i="92"/>
  <c r="CF306" i="92"/>
  <c r="CE308" i="92"/>
  <c r="BI308" i="92"/>
  <c r="BT308" i="92"/>
  <c r="BW307" i="92" a="1"/>
  <c r="CI307" i="92" a="1"/>
  <c r="BV307" i="92" a="1"/>
  <c r="BX307" i="92" a="1"/>
  <c r="CF307" i="92" a="1"/>
  <c r="CJ307" i="92" a="1"/>
  <c r="BM307" i="92" a="1"/>
  <c r="CH307" i="92" a="1"/>
  <c r="CG307" i="92" a="1"/>
  <c r="BJ307" i="92" a="1"/>
  <c r="BY307" i="92" a="1"/>
  <c r="BN307" i="92" a="1"/>
  <c r="BU307" i="92" a="1"/>
  <c r="BL307" i="92" a="1"/>
  <c r="BK307" i="92" a="1"/>
  <c r="BA139" i="88" l="1"/>
  <c r="U673" i="89"/>
  <c r="BA178" i="88"/>
  <c r="U1019" i="89"/>
  <c r="BA100" i="88"/>
  <c r="BN307" i="92"/>
  <c r="BV307" i="92"/>
  <c r="BZ307" i="92" s="1"/>
  <c r="CF307" i="92"/>
  <c r="CH307" i="92"/>
  <c r="CI307" i="92"/>
  <c r="CG307" i="92"/>
  <c r="CK307" i="92" s="1"/>
  <c r="BM307" i="92"/>
  <c r="BX307" i="92"/>
  <c r="BY307" i="92"/>
  <c r="BW307" i="92"/>
  <c r="BJ307" i="92"/>
  <c r="BK307" i="92"/>
  <c r="BO307" i="92" s="1"/>
  <c r="U328" i="89" s="1"/>
  <c r="CJ307" i="92"/>
  <c r="BU307" i="92"/>
  <c r="BL307" i="92"/>
  <c r="BI309" i="92"/>
  <c r="BT309" i="92"/>
  <c r="CE309" i="92"/>
  <c r="BN308" i="92" a="1"/>
  <c r="BM308" i="92" a="1"/>
  <c r="BY308" i="92" a="1"/>
  <c r="BV308" i="92" a="1"/>
  <c r="BW308" i="92" a="1"/>
  <c r="CJ308" i="92" a="1"/>
  <c r="BK308" i="92" a="1"/>
  <c r="BJ308" i="92" a="1"/>
  <c r="CI308" i="92" a="1"/>
  <c r="CF308" i="92" a="1"/>
  <c r="CG308" i="92" a="1"/>
  <c r="BL308" i="92" a="1"/>
  <c r="BX308" i="92" a="1"/>
  <c r="CH308" i="92" a="1"/>
  <c r="BU308" i="92" a="1"/>
  <c r="BA140" i="88" l="1"/>
  <c r="U674" i="89"/>
  <c r="BA179" i="88"/>
  <c r="U1020" i="89"/>
  <c r="BA101" i="88"/>
  <c r="BU308" i="92"/>
  <c r="BY308" i="92"/>
  <c r="CH308" i="92"/>
  <c r="BJ308" i="92"/>
  <c r="CI308" i="92"/>
  <c r="BK308" i="92"/>
  <c r="BO308" i="92" s="1"/>
  <c r="U329" i="89" s="1"/>
  <c r="CG308" i="92"/>
  <c r="CK308" i="92" s="1"/>
  <c r="BL308" i="92"/>
  <c r="CF308" i="92"/>
  <c r="BM308" i="92"/>
  <c r="CJ308" i="92"/>
  <c r="BN308" i="92"/>
  <c r="BW308" i="92"/>
  <c r="BX308" i="92"/>
  <c r="BV308" i="92"/>
  <c r="BZ308" i="92" s="1"/>
  <c r="BT314" i="92"/>
  <c r="CE314" i="92"/>
  <c r="BI314" i="92"/>
  <c r="BL309" i="92" a="1"/>
  <c r="BN309" i="92" a="1"/>
  <c r="BX309" i="92" a="1"/>
  <c r="BU309" i="92" a="1"/>
  <c r="BK309" i="92" a="1"/>
  <c r="BQ526" i="92"/>
  <c r="CC353" i="92"/>
  <c r="CG309" i="92" a="1"/>
  <c r="CF309" i="92" a="1"/>
  <c r="BV309" i="92" a="1"/>
  <c r="BJ309" i="92" a="1"/>
  <c r="BP526" i="92"/>
  <c r="CI309" i="92" a="1"/>
  <c r="CJ309" i="92" a="1"/>
  <c r="BY309" i="92" a="1"/>
  <c r="CH309" i="92" a="1"/>
  <c r="BW309" i="92" a="1"/>
  <c r="BM309" i="92" a="1"/>
  <c r="BA180" i="88" l="1"/>
  <c r="U1021" i="89"/>
  <c r="BA141" i="88"/>
  <c r="U675" i="89"/>
  <c r="BA102" i="88"/>
  <c r="CF309" i="92"/>
  <c r="BV309" i="92"/>
  <c r="BN309" i="92"/>
  <c r="BW309" i="92"/>
  <c r="BU309" i="92"/>
  <c r="BJ309" i="92"/>
  <c r="BK309" i="92"/>
  <c r="BX309" i="92"/>
  <c r="BY309" i="92"/>
  <c r="CJ309" i="92"/>
  <c r="CI309" i="92"/>
  <c r="BM309" i="92"/>
  <c r="BL309" i="92"/>
  <c r="CH309" i="92"/>
  <c r="CG309" i="92"/>
  <c r="BT315" i="92"/>
  <c r="BI315" i="92"/>
  <c r="CE315" i="92"/>
  <c r="BL314" i="92" a="1"/>
  <c r="BK314" i="92" a="1"/>
  <c r="BN314" i="92" a="1"/>
  <c r="CH314" i="92" a="1"/>
  <c r="BY439" i="92" a="1"/>
  <c r="BM314" i="92" a="1"/>
  <c r="BW314" i="92" a="1"/>
  <c r="CG314" i="92" a="1"/>
  <c r="BV314" i="92" a="1"/>
  <c r="CI314" i="92" a="1"/>
  <c r="BY314" i="92" a="1"/>
  <c r="BX314" i="92" a="1"/>
  <c r="BJ314" i="92" a="1"/>
  <c r="CJ314" i="92" a="1"/>
  <c r="BY423" i="92" a="1"/>
  <c r="BY455" i="92" a="1"/>
  <c r="BM314" i="92" l="1"/>
  <c r="BY314" i="92"/>
  <c r="BV314" i="92"/>
  <c r="BY423" i="92"/>
  <c r="CA423" i="92" s="1"/>
  <c r="DQ84" i="102" s="1"/>
  <c r="DQ89" i="102" s="1"/>
  <c r="DP45" i="102" s="1"/>
  <c r="BX314" i="92"/>
  <c r="BL314" i="92"/>
  <c r="CJ314" i="92"/>
  <c r="CI314" i="92"/>
  <c r="BN314" i="92"/>
  <c r="BY455" i="92"/>
  <c r="CA455" i="92" s="1"/>
  <c r="DQ86" i="102" s="1"/>
  <c r="DQ91" i="102" s="1"/>
  <c r="DR45" i="102" s="1"/>
  <c r="CH314" i="92"/>
  <c r="CG314" i="92"/>
  <c r="BJ314" i="92"/>
  <c r="BY439" i="92"/>
  <c r="CA439" i="92" s="1"/>
  <c r="DQ85" i="102" s="1"/>
  <c r="DQ90" i="102" s="1"/>
  <c r="DQ45" i="102" s="1"/>
  <c r="BW314" i="92"/>
  <c r="BK314" i="92"/>
  <c r="BI316" i="92"/>
  <c r="BO309" i="92"/>
  <c r="U330" i="89" s="1"/>
  <c r="CE316" i="92"/>
  <c r="BT316" i="92"/>
  <c r="CK309" i="92"/>
  <c r="BZ309" i="92"/>
  <c r="CJ315" i="92" a="1"/>
  <c r="BW315" i="92" a="1"/>
  <c r="CI315" i="92" a="1"/>
  <c r="BO455" i="92" a="1"/>
  <c r="CH315" i="92" a="1"/>
  <c r="BX315" i="92" a="1"/>
  <c r="BN315" i="92" a="1"/>
  <c r="BY315" i="92" a="1"/>
  <c r="BV315" i="92" a="1"/>
  <c r="BK315" i="92" a="1"/>
  <c r="BJ315" i="92" a="1"/>
  <c r="BO439" i="92" a="1"/>
  <c r="CG315" i="92" a="1"/>
  <c r="BO423" i="92" a="1"/>
  <c r="BM315" i="92" a="1"/>
  <c r="BL315" i="92" a="1"/>
  <c r="DY94" i="102" l="1"/>
  <c r="DX94" i="102"/>
  <c r="DB51" i="102" s="1"/>
  <c r="BA142" i="88"/>
  <c r="U676" i="89"/>
  <c r="BA181" i="88"/>
  <c r="U1022" i="89"/>
  <c r="BS477" i="92"/>
  <c r="AD66" i="88" s="1"/>
  <c r="BO477" i="92"/>
  <c r="N66" i="88" s="1"/>
  <c r="BQ477" i="92"/>
  <c r="V66" i="88" s="1"/>
  <c r="BA103" i="88"/>
  <c r="BX315" i="92"/>
  <c r="BK315" i="92"/>
  <c r="BO315" i="92" s="1"/>
  <c r="U337" i="89" s="1"/>
  <c r="BM315" i="92"/>
  <c r="BN315" i="92"/>
  <c r="BJ315" i="92"/>
  <c r="BL315" i="92"/>
  <c r="CH315" i="92"/>
  <c r="BO423" i="92"/>
  <c r="BQ423" i="92" s="1"/>
  <c r="BJ477" i="92" s="1"/>
  <c r="L66" i="88" s="1"/>
  <c r="BW315" i="92"/>
  <c r="CG315" i="92"/>
  <c r="CK315" i="92" s="1"/>
  <c r="BV315" i="92"/>
  <c r="BZ315" i="92" s="1"/>
  <c r="CI315" i="92"/>
  <c r="BO439" i="92"/>
  <c r="BQ439" i="92" s="1"/>
  <c r="DP85" i="102" s="1"/>
  <c r="DP90" i="102" s="1"/>
  <c r="DQ44" i="102" s="1"/>
  <c r="CJ315" i="92"/>
  <c r="BY315" i="92"/>
  <c r="BO455" i="92"/>
  <c r="BQ455" i="92" s="1"/>
  <c r="BN477" i="92" s="1"/>
  <c r="AB66" i="88" s="1"/>
  <c r="BI317" i="92"/>
  <c r="BO314" i="92"/>
  <c r="U336" i="89" s="1"/>
  <c r="BT317" i="92"/>
  <c r="BZ314" i="92"/>
  <c r="CE317" i="92"/>
  <c r="CK314" i="92"/>
  <c r="BN316" i="92" a="1"/>
  <c r="CI316" i="92" a="1"/>
  <c r="BJ316" i="92" a="1"/>
  <c r="CH316" i="92" a="1"/>
  <c r="BW316" i="92" a="1"/>
  <c r="BM316" i="92" a="1"/>
  <c r="CJ316" i="92" a="1"/>
  <c r="CG316" i="92" a="1"/>
  <c r="BV316" i="92" a="1"/>
  <c r="BU316" i="92" a="1"/>
  <c r="BL316" i="92" a="1"/>
  <c r="BY316" i="92" a="1"/>
  <c r="CF316" i="92" a="1"/>
  <c r="BK316" i="92" a="1"/>
  <c r="BX316" i="92" a="1"/>
  <c r="BC171" i="88" l="1"/>
  <c r="U1029" i="89"/>
  <c r="BC170" i="88"/>
  <c r="U1028" i="89"/>
  <c r="BC132" i="88"/>
  <c r="U683" i="89"/>
  <c r="BC131" i="88"/>
  <c r="U682" i="89"/>
  <c r="BL477" i="92"/>
  <c r="T66" i="88" s="1"/>
  <c r="BC92" i="88"/>
  <c r="BC93" i="88"/>
  <c r="CH316" i="92"/>
  <c r="BK316" i="92"/>
  <c r="BO316" i="92" s="1"/>
  <c r="U338" i="89" s="1"/>
  <c r="CJ316" i="92"/>
  <c r="BM316" i="92"/>
  <c r="CF316" i="92"/>
  <c r="BN316" i="92"/>
  <c r="BJ316" i="92"/>
  <c r="BU316" i="92"/>
  <c r="BL316" i="92"/>
  <c r="BY316" i="92"/>
  <c r="BW316" i="92"/>
  <c r="BV316" i="92"/>
  <c r="BZ316" i="92" s="1"/>
  <c r="BX316" i="92"/>
  <c r="CG316" i="92"/>
  <c r="CK316" i="92" s="1"/>
  <c r="CI316" i="92"/>
  <c r="CE318" i="92"/>
  <c r="BI318" i="92"/>
  <c r="BT318" i="92"/>
  <c r="CI317" i="92" a="1"/>
  <c r="BN317" i="92" a="1"/>
  <c r="BM317" i="92" a="1"/>
  <c r="BW317" i="92" a="1"/>
  <c r="BV317" i="92" a="1"/>
  <c r="CJ317" i="92" a="1"/>
  <c r="BK317" i="92" a="1"/>
  <c r="BY317" i="92" a="1"/>
  <c r="CH317" i="92" a="1"/>
  <c r="BX317" i="92" a="1"/>
  <c r="CF317" i="92" a="1"/>
  <c r="CG317" i="92" a="1"/>
  <c r="BL317" i="92" a="1"/>
  <c r="BJ317" i="92" a="1"/>
  <c r="BU317" i="92" a="1"/>
  <c r="BC133" i="88" l="1"/>
  <c r="U684" i="89"/>
  <c r="BC172" i="88"/>
  <c r="U1030" i="89"/>
  <c r="BC94" i="88"/>
  <c r="CF317" i="92"/>
  <c r="CJ317" i="92"/>
  <c r="BJ317" i="92"/>
  <c r="BX317" i="92"/>
  <c r="CG317" i="92"/>
  <c r="CK317" i="92" s="1"/>
  <c r="BL317" i="92"/>
  <c r="BV317" i="92"/>
  <c r="BZ317" i="92" s="1"/>
  <c r="BW317" i="92"/>
  <c r="CI317" i="92"/>
  <c r="CH317" i="92"/>
  <c r="BU317" i="92"/>
  <c r="BK317" i="92"/>
  <c r="BO317" i="92" s="1"/>
  <c r="U339" i="89" s="1"/>
  <c r="BM317" i="92"/>
  <c r="BY317" i="92"/>
  <c r="BN317" i="92"/>
  <c r="BI319" i="92"/>
  <c r="BT319" i="92"/>
  <c r="CE319" i="92"/>
  <c r="CG318" i="92" a="1"/>
  <c r="CJ318" i="92" a="1"/>
  <c r="BU318" i="92" a="1"/>
  <c r="CH318" i="92" a="1"/>
  <c r="BN318" i="92" a="1"/>
  <c r="BJ318" i="92" a="1"/>
  <c r="BW318" i="92" a="1"/>
  <c r="BY318" i="92" a="1"/>
  <c r="BX318" i="92" a="1"/>
  <c r="BV318" i="92" a="1"/>
  <c r="BM318" i="92" a="1"/>
  <c r="CF318" i="92" a="1"/>
  <c r="BL318" i="92" a="1"/>
  <c r="CI318" i="92" a="1"/>
  <c r="BC173" i="88" l="1"/>
  <c r="U1031" i="89"/>
  <c r="BC134" i="88"/>
  <c r="U685" i="89"/>
  <c r="BC95" i="88"/>
  <c r="BX318" i="92"/>
  <c r="BM318" i="92"/>
  <c r="BN318" i="92"/>
  <c r="BW318" i="92"/>
  <c r="CI318" i="92"/>
  <c r="CF318" i="92"/>
  <c r="BJ318" i="92"/>
  <c r="BL318" i="92"/>
  <c r="BY318" i="92"/>
  <c r="CG318" i="92"/>
  <c r="CK318" i="92" s="1"/>
  <c r="BV318" i="92"/>
  <c r="BZ318" i="92" s="1"/>
  <c r="CH318" i="92"/>
  <c r="CJ318" i="92"/>
  <c r="BU318" i="92"/>
  <c r="BT320" i="92"/>
  <c r="BI320" i="92"/>
  <c r="CE320" i="92"/>
  <c r="CI319" i="92" a="1"/>
  <c r="BM319" i="92" a="1"/>
  <c r="BY319" i="92" a="1"/>
  <c r="BV319" i="92" a="1"/>
  <c r="CG319" i="92" a="1"/>
  <c r="BW319" i="92" a="1"/>
  <c r="CH319" i="92" a="1"/>
  <c r="CJ319" i="92" a="1"/>
  <c r="BU319" i="92" a="1"/>
  <c r="BL319" i="92" a="1"/>
  <c r="BJ319" i="92" a="1"/>
  <c r="BK319" i="92" a="1"/>
  <c r="BN319" i="92" a="1"/>
  <c r="CF319" i="92" a="1"/>
  <c r="BX319" i="92" a="1"/>
  <c r="BC135" i="88" l="1"/>
  <c r="U686" i="89"/>
  <c r="BC174" i="88"/>
  <c r="U1032" i="89"/>
  <c r="BJ319" i="92"/>
  <c r="BX319" i="92"/>
  <c r="CH319" i="92"/>
  <c r="BV319" i="92"/>
  <c r="BZ319" i="92" s="1"/>
  <c r="CJ319" i="92"/>
  <c r="BW319" i="92"/>
  <c r="CF319" i="92"/>
  <c r="BY319" i="92"/>
  <c r="BK319" i="92"/>
  <c r="BO319" i="92" s="1"/>
  <c r="U341" i="89" s="1"/>
  <c r="CG319" i="92"/>
  <c r="CK319" i="92" s="1"/>
  <c r="BM319" i="92"/>
  <c r="BL319" i="92"/>
  <c r="BU319" i="92"/>
  <c r="CI319" i="92"/>
  <c r="BN319" i="92"/>
  <c r="BI321" i="92"/>
  <c r="CE321" i="92"/>
  <c r="BT321" i="92"/>
  <c r="BV320" i="92" a="1"/>
  <c r="CG320" i="92" a="1"/>
  <c r="BY320" i="92" a="1"/>
  <c r="BK320" i="92" a="1"/>
  <c r="BL320" i="92" a="1"/>
  <c r="CI320" i="92" a="1"/>
  <c r="BU320" i="92" a="1"/>
  <c r="BJ320" i="92" a="1"/>
  <c r="BX320" i="92" a="1"/>
  <c r="CJ320" i="92" a="1"/>
  <c r="BN320" i="92" a="1"/>
  <c r="BM320" i="92" a="1"/>
  <c r="CF320" i="92" a="1"/>
  <c r="BW320" i="92" a="1"/>
  <c r="CH320" i="92" a="1"/>
  <c r="BC136" i="88" l="1"/>
  <c r="U687" i="89"/>
  <c r="BC175" i="88"/>
  <c r="U1033" i="89"/>
  <c r="BC97" i="88"/>
  <c r="CF320" i="92"/>
  <c r="BX320" i="92"/>
  <c r="BM320" i="92"/>
  <c r="BN320" i="92"/>
  <c r="CJ320" i="92"/>
  <c r="BU320" i="92"/>
  <c r="BJ320" i="92"/>
  <c r="BW320" i="92"/>
  <c r="BY320" i="92"/>
  <c r="BV320" i="92"/>
  <c r="BZ320" i="92" s="1"/>
  <c r="CH320" i="92"/>
  <c r="CG320" i="92"/>
  <c r="CK320" i="92" s="1"/>
  <c r="BK320" i="92"/>
  <c r="BO320" i="92" s="1"/>
  <c r="U342" i="89" s="1"/>
  <c r="BL320" i="92"/>
  <c r="CI320" i="92"/>
  <c r="BI322" i="92"/>
  <c r="BT322" i="92"/>
  <c r="CE322" i="92"/>
  <c r="BN321" i="92" a="1"/>
  <c r="BY321" i="92" a="1"/>
  <c r="BV321" i="92" a="1"/>
  <c r="CJ321" i="92" a="1"/>
  <c r="CH321" i="92" a="1"/>
  <c r="BX321" i="92" a="1"/>
  <c r="BL321" i="92" a="1"/>
  <c r="CI321" i="92" a="1"/>
  <c r="BU321" i="92" a="1"/>
  <c r="CG321" i="92" a="1"/>
  <c r="BM321" i="92" a="1"/>
  <c r="CF321" i="92" a="1"/>
  <c r="BW321" i="92" a="1"/>
  <c r="BK321" i="92" a="1"/>
  <c r="BJ321" i="92" a="1"/>
  <c r="BC176" i="88" l="1"/>
  <c r="U1034" i="89"/>
  <c r="BC137" i="88"/>
  <c r="U688" i="89"/>
  <c r="BC98" i="88"/>
  <c r="BX321" i="92"/>
  <c r="CH321" i="92"/>
  <c r="BK321" i="92"/>
  <c r="BO321" i="92" s="1"/>
  <c r="U343" i="89" s="1"/>
  <c r="CJ321" i="92"/>
  <c r="BM321" i="92"/>
  <c r="CF321" i="92"/>
  <c r="BN321" i="92"/>
  <c r="CG321" i="92"/>
  <c r="CK321" i="92" s="1"/>
  <c r="CI321" i="92"/>
  <c r="BJ321" i="92"/>
  <c r="BL321" i="92"/>
  <c r="BY321" i="92"/>
  <c r="BW321" i="92"/>
  <c r="BU321" i="92"/>
  <c r="BV321" i="92"/>
  <c r="BZ321" i="92" s="1"/>
  <c r="BT323" i="92"/>
  <c r="BI323" i="92"/>
  <c r="CE323" i="92"/>
  <c r="BM322" i="92" a="1"/>
  <c r="CJ322" i="92" a="1"/>
  <c r="BU322" i="92" a="1"/>
  <c r="BK322" i="92" a="1"/>
  <c r="BL322" i="92" a="1"/>
  <c r="CI322" i="92" a="1"/>
  <c r="BY322" i="92" a="1"/>
  <c r="CF322" i="92" a="1"/>
  <c r="BV322" i="92" a="1"/>
  <c r="CG322" i="92" a="1"/>
  <c r="BN322" i="92" a="1"/>
  <c r="CH322" i="92" a="1"/>
  <c r="BJ322" i="92" a="1"/>
  <c r="BX322" i="92" a="1"/>
  <c r="BW322" i="92" a="1"/>
  <c r="BC138" i="88" l="1"/>
  <c r="U689" i="89"/>
  <c r="BC177" i="88"/>
  <c r="U1035" i="89"/>
  <c r="BC99" i="88"/>
  <c r="BJ322" i="92"/>
  <c r="BL322" i="92"/>
  <c r="CH322" i="92"/>
  <c r="BW322" i="92"/>
  <c r="CJ322" i="92"/>
  <c r="BY322" i="92"/>
  <c r="CG322" i="92"/>
  <c r="CK322" i="92" s="1"/>
  <c r="BV322" i="92"/>
  <c r="BZ322" i="92" s="1"/>
  <c r="CF322" i="92"/>
  <c r="BU322" i="92"/>
  <c r="CI322" i="92"/>
  <c r="BX322" i="92"/>
  <c r="BM322" i="92"/>
  <c r="BN322" i="92"/>
  <c r="BK322" i="92"/>
  <c r="BO322" i="92" s="1"/>
  <c r="U344" i="89" s="1"/>
  <c r="BI324" i="92"/>
  <c r="CE324" i="92"/>
  <c r="BT324" i="92"/>
  <c r="CG323" i="92" a="1"/>
  <c r="BV323" i="92" a="1"/>
  <c r="BL323" i="92" a="1"/>
  <c r="BY323" i="92" a="1"/>
  <c r="BM323" i="92" a="1"/>
  <c r="BK323" i="92" a="1"/>
  <c r="CI323" i="92" a="1"/>
  <c r="BJ323" i="92" a="1"/>
  <c r="CJ323" i="92" a="1"/>
  <c r="BW323" i="92" a="1"/>
  <c r="BN323" i="92" a="1"/>
  <c r="BU323" i="92" a="1"/>
  <c r="BX323" i="92" a="1"/>
  <c r="CH323" i="92" a="1"/>
  <c r="CF323" i="92" a="1"/>
  <c r="BC178" i="88" l="1"/>
  <c r="U1036" i="89"/>
  <c r="BC139" i="88"/>
  <c r="U690" i="89"/>
  <c r="BC100" i="88"/>
  <c r="CI323" i="92"/>
  <c r="CJ323" i="92"/>
  <c r="BW323" i="92"/>
  <c r="BK323" i="92"/>
  <c r="BO323" i="92" s="1"/>
  <c r="U345" i="89" s="1"/>
  <c r="BX323" i="92"/>
  <c r="BM323" i="92"/>
  <c r="BU323" i="92"/>
  <c r="BN323" i="92"/>
  <c r="BY323" i="92"/>
  <c r="BV323" i="92"/>
  <c r="BZ323" i="92" s="1"/>
  <c r="BJ323" i="92"/>
  <c r="BL323" i="92"/>
  <c r="CH323" i="92"/>
  <c r="CG323" i="92"/>
  <c r="CK323" i="92" s="1"/>
  <c r="CF323" i="92"/>
  <c r="CE325" i="92"/>
  <c r="BI325" i="92"/>
  <c r="BT325" i="92"/>
  <c r="CI324" i="92" a="1"/>
  <c r="BU324" i="92" a="1"/>
  <c r="CF324" i="92" a="1"/>
  <c r="BN324" i="92" a="1"/>
  <c r="BK324" i="92" a="1"/>
  <c r="BJ324" i="92" a="1"/>
  <c r="BV324" i="92" a="1"/>
  <c r="BX324" i="92" a="1"/>
  <c r="BM324" i="92" a="1"/>
  <c r="CG324" i="92" a="1"/>
  <c r="BL324" i="92" a="1"/>
  <c r="CJ324" i="92" a="1"/>
  <c r="BY324" i="92" a="1"/>
  <c r="CH324" i="92" a="1"/>
  <c r="BW324" i="92" a="1"/>
  <c r="BC179" i="88" l="1"/>
  <c r="U1037" i="89"/>
  <c r="BC140" i="88"/>
  <c r="U691" i="89"/>
  <c r="BC101" i="88"/>
  <c r="BJ324" i="92"/>
  <c r="BL324" i="92"/>
  <c r="BX324" i="92"/>
  <c r="CH324" i="92"/>
  <c r="BW324" i="92"/>
  <c r="CG324" i="92"/>
  <c r="CK324" i="92" s="1"/>
  <c r="BY324" i="92"/>
  <c r="CI324" i="92"/>
  <c r="BU324" i="92"/>
  <c r="CF324" i="92"/>
  <c r="BV324" i="92"/>
  <c r="BZ324" i="92" s="1"/>
  <c r="CJ324" i="92"/>
  <c r="BK324" i="92"/>
  <c r="BO324" i="92" s="1"/>
  <c r="U346" i="89" s="1"/>
  <c r="BM324" i="92"/>
  <c r="BN324" i="92"/>
  <c r="BX325" i="92" a="1"/>
  <c r="CF325" i="92" a="1"/>
  <c r="BP527" i="92"/>
  <c r="BJ325" i="92" a="1"/>
  <c r="CI325" i="92" a="1"/>
  <c r="CH325" i="92" a="1"/>
  <c r="BY325" i="92" a="1"/>
  <c r="BW325" i="92" a="1"/>
  <c r="BU325" i="92" a="1"/>
  <c r="BM325" i="92" a="1"/>
  <c r="BN325" i="92" a="1"/>
  <c r="CJ325" i="92" a="1"/>
  <c r="BL325" i="92" a="1"/>
  <c r="CD353" i="92"/>
  <c r="BQ527" i="92"/>
  <c r="BK325" i="92" a="1"/>
  <c r="BV325" i="92" a="1"/>
  <c r="CG325" i="92" a="1"/>
  <c r="BC141" i="88" l="1"/>
  <c r="U692" i="89"/>
  <c r="BC180" i="88"/>
  <c r="U1038" i="89"/>
  <c r="BC102" i="88"/>
  <c r="BW325" i="92"/>
  <c r="BV325" i="92"/>
  <c r="BU325" i="92"/>
  <c r="BX325" i="92"/>
  <c r="BK325" i="92"/>
  <c r="BM325" i="92"/>
  <c r="CI325" i="92"/>
  <c r="BN325" i="92"/>
  <c r="CH325" i="92"/>
  <c r="BJ325" i="92"/>
  <c r="CJ325" i="92"/>
  <c r="BL325" i="92"/>
  <c r="CF325" i="92"/>
  <c r="CG325" i="92"/>
  <c r="BY325" i="92"/>
  <c r="BZ455" i="92" a="1"/>
  <c r="BZ439" i="92" a="1"/>
  <c r="BZ423" i="92" a="1"/>
  <c r="BZ423" i="92" l="1"/>
  <c r="CB423" i="92" s="1"/>
  <c r="DR84" i="102" s="1"/>
  <c r="DR89" i="102" s="1"/>
  <c r="DP46" i="102" s="1"/>
  <c r="BZ455" i="92"/>
  <c r="CB455" i="92" s="1"/>
  <c r="BZ439" i="92"/>
  <c r="CB439" i="92" s="1"/>
  <c r="DR85" i="102" s="1"/>
  <c r="DR90" i="102" s="1"/>
  <c r="DQ46" i="102" s="1"/>
  <c r="BO325" i="92"/>
  <c r="U347" i="89" s="1"/>
  <c r="CK325" i="92"/>
  <c r="BZ325" i="92"/>
  <c r="DP86" i="102" l="1"/>
  <c r="DP91" i="102" s="1"/>
  <c r="DR44" i="102" s="1"/>
  <c r="DR86" i="102"/>
  <c r="DR91" i="102" s="1"/>
  <c r="DR46" i="102" s="1"/>
  <c r="DY95" i="102" s="1"/>
  <c r="BC142" i="88"/>
  <c r="U693" i="89"/>
  <c r="BC181" i="88"/>
  <c r="U1039" i="89"/>
  <c r="BR477" i="92"/>
  <c r="X66" i="88" s="1"/>
  <c r="BT477" i="92"/>
  <c r="AF66" i="88" s="1"/>
  <c r="BP477" i="92"/>
  <c r="P66" i="88" s="1"/>
  <c r="BC103" i="88"/>
  <c r="BJ381" i="72"/>
  <c r="BK381" i="72" s="1"/>
  <c r="BK382" i="72" s="1"/>
  <c r="BK383" i="72" s="1"/>
  <c r="BK384" i="72" s="1"/>
  <c r="BK385" i="72" s="1"/>
  <c r="BK386" i="72" s="1"/>
  <c r="BK387" i="72" s="1"/>
  <c r="BK388" i="72" s="1"/>
  <c r="BK389" i="72" s="1"/>
  <c r="BK390" i="72" s="1"/>
  <c r="CE10" i="72"/>
  <c r="CE11" i="72" s="1"/>
  <c r="CE12" i="72" s="1"/>
  <c r="CE13" i="72" s="1"/>
  <c r="CE14" i="72" s="1"/>
  <c r="CE15" i="72" s="1"/>
  <c r="CE16" i="72" s="1"/>
  <c r="CE17" i="72" s="1"/>
  <c r="CE18" i="72" s="1"/>
  <c r="CE19" i="72" s="1"/>
  <c r="CE20" i="72" s="1"/>
  <c r="CE21" i="72" s="1"/>
  <c r="CE26" i="72" s="1"/>
  <c r="CE27" i="72" s="1"/>
  <c r="CE28" i="72" s="1"/>
  <c r="CE29" i="72" s="1"/>
  <c r="CE30" i="72" s="1"/>
  <c r="CE31" i="72" s="1"/>
  <c r="CE32" i="72" s="1"/>
  <c r="CE33" i="72" s="1"/>
  <c r="CE34" i="72" s="1"/>
  <c r="CE35" i="72" s="1"/>
  <c r="CE36" i="72" s="1"/>
  <c r="CE37" i="72" s="1"/>
  <c r="CE42" i="72" s="1"/>
  <c r="CE43" i="72" s="1"/>
  <c r="CE44" i="72" s="1"/>
  <c r="CE45" i="72" s="1"/>
  <c r="CE46" i="72" s="1"/>
  <c r="CE47" i="72" s="1"/>
  <c r="CE48" i="72" s="1"/>
  <c r="CE49" i="72" s="1"/>
  <c r="CE50" i="72" s="1"/>
  <c r="CE51" i="72" s="1"/>
  <c r="CE52" i="72" s="1"/>
  <c r="CE53" i="72" s="1"/>
  <c r="CE58" i="72" s="1"/>
  <c r="CE59" i="72" s="1"/>
  <c r="CE60" i="72" s="1"/>
  <c r="BT10" i="72"/>
  <c r="BT11" i="72" s="1"/>
  <c r="BT12" i="72" s="1"/>
  <c r="BT13" i="72" s="1"/>
  <c r="BT14" i="72" s="1"/>
  <c r="BT15" i="72" s="1"/>
  <c r="BT16" i="72" s="1"/>
  <c r="BT17" i="72" s="1"/>
  <c r="BT18" i="72" s="1"/>
  <c r="BT19" i="72" s="1"/>
  <c r="BT20" i="72" s="1"/>
  <c r="BT21" i="72" s="1"/>
  <c r="BT26" i="72" s="1"/>
  <c r="BT27" i="72" s="1"/>
  <c r="BT28" i="72" s="1"/>
  <c r="BT29" i="72" s="1"/>
  <c r="BT30" i="72" s="1"/>
  <c r="BT31" i="72" s="1"/>
  <c r="BT32" i="72" s="1"/>
  <c r="BT33" i="72" s="1"/>
  <c r="BT34" i="72" s="1"/>
  <c r="BT35" i="72" s="1"/>
  <c r="BT36" i="72" s="1"/>
  <c r="BT37" i="72" s="1"/>
  <c r="BT42" i="72" s="1"/>
  <c r="BT43" i="72" s="1"/>
  <c r="BT44" i="72" s="1"/>
  <c r="BT45" i="72" s="1"/>
  <c r="BT46" i="72" s="1"/>
  <c r="BT47" i="72" s="1"/>
  <c r="BT48" i="72" s="1"/>
  <c r="BT49" i="72" s="1"/>
  <c r="BT50" i="72" s="1"/>
  <c r="BT51" i="72" s="1"/>
  <c r="BT52" i="72" s="1"/>
  <c r="BT53" i="72" s="1"/>
  <c r="BT58" i="72" s="1"/>
  <c r="BT59" i="72" s="1"/>
  <c r="BT60" i="72" s="1"/>
  <c r="BT61" i="72" s="1"/>
  <c r="BT62" i="72" s="1"/>
  <c r="BT63" i="72" s="1"/>
  <c r="BT64" i="72" s="1"/>
  <c r="BT65" i="72" s="1"/>
  <c r="BT66" i="72" s="1"/>
  <c r="BT67" i="72" s="1"/>
  <c r="BT68" i="72" s="1"/>
  <c r="BT69" i="72" s="1"/>
  <c r="BT74" i="72" s="1"/>
  <c r="BT75" i="72" s="1"/>
  <c r="BT76" i="72" s="1"/>
  <c r="BT77" i="72" s="1"/>
  <c r="BT78" i="72" s="1"/>
  <c r="BT79" i="72" s="1"/>
  <c r="BT80" i="72" s="1"/>
  <c r="BT81" i="72" s="1"/>
  <c r="BT82" i="72" s="1"/>
  <c r="BT83" i="72" s="1"/>
  <c r="BT84" i="72" s="1"/>
  <c r="BT85" i="72" s="1"/>
  <c r="BT90" i="72" s="1"/>
  <c r="BT91" i="72" s="1"/>
  <c r="BT92" i="72" s="1"/>
  <c r="BT93" i="72" s="1"/>
  <c r="BT94" i="72" s="1"/>
  <c r="BT95" i="72" s="1"/>
  <c r="BT96" i="72" s="1"/>
  <c r="BT97" i="72" s="1"/>
  <c r="BT98" i="72" s="1"/>
  <c r="BT99" i="72" s="1"/>
  <c r="BT100" i="72" s="1"/>
  <c r="BT101" i="72" s="1"/>
  <c r="BT106" i="72" s="1"/>
  <c r="BT107" i="72" s="1"/>
  <c r="BT108" i="72" s="1"/>
  <c r="BT109" i="72" s="1"/>
  <c r="BT110" i="72" s="1"/>
  <c r="BT111" i="72" s="1"/>
  <c r="BT112" i="72" s="1"/>
  <c r="BT113" i="72" s="1"/>
  <c r="BT114" i="72" s="1"/>
  <c r="BT115" i="72" s="1"/>
  <c r="BT116" i="72" s="1"/>
  <c r="BT117" i="72" s="1"/>
  <c r="BT122" i="72" s="1"/>
  <c r="BT123" i="72" s="1"/>
  <c r="BT124" i="72" s="1"/>
  <c r="BT125" i="72" s="1"/>
  <c r="BT126" i="72" s="1"/>
  <c r="BT127" i="72" s="1"/>
  <c r="BT128" i="72" s="1"/>
  <c r="BT129" i="72" s="1"/>
  <c r="BT130" i="72" s="1"/>
  <c r="BT131" i="72" s="1"/>
  <c r="BT132" i="72" s="1"/>
  <c r="BT133" i="72" s="1"/>
  <c r="BT138" i="72" s="1"/>
  <c r="BT139" i="72" s="1"/>
  <c r="BT140" i="72" s="1"/>
  <c r="BT141" i="72" s="1"/>
  <c r="BT142" i="72" s="1"/>
  <c r="BT143" i="72" s="1"/>
  <c r="BT144" i="72" s="1"/>
  <c r="BT145" i="72" s="1"/>
  <c r="BT146" i="72" s="1"/>
  <c r="BT147" i="72" s="1"/>
  <c r="BT148" i="72" s="1"/>
  <c r="BT149" i="72" s="1"/>
  <c r="BT154" i="72" s="1"/>
  <c r="BT155" i="72" s="1"/>
  <c r="BT156" i="72" s="1"/>
  <c r="BT157" i="72" s="1"/>
  <c r="BT158" i="72" s="1"/>
  <c r="BT159" i="72" s="1"/>
  <c r="BT160" i="72" s="1"/>
  <c r="BT161" i="72" s="1"/>
  <c r="BT162" i="72" s="1"/>
  <c r="BT163" i="72" s="1"/>
  <c r="BT164" i="72" s="1"/>
  <c r="BT165" i="72" s="1"/>
  <c r="BT170" i="72" s="1"/>
  <c r="BT171" i="72" s="1"/>
  <c r="BT172" i="72" s="1"/>
  <c r="BT173" i="72" s="1"/>
  <c r="BT174" i="72" s="1"/>
  <c r="BT175" i="72" s="1"/>
  <c r="BT176" i="72" s="1"/>
  <c r="BT177" i="72" s="1"/>
  <c r="BT178" i="72" s="1"/>
  <c r="BT179" i="72" s="1"/>
  <c r="BT180" i="72" s="1"/>
  <c r="BT181" i="72" s="1"/>
  <c r="BT186" i="72" s="1"/>
  <c r="BT187" i="72" s="1"/>
  <c r="BT188" i="72" s="1"/>
  <c r="BT189" i="72" s="1"/>
  <c r="BT190" i="72" s="1"/>
  <c r="BT191" i="72" s="1"/>
  <c r="BT192" i="72" s="1"/>
  <c r="BT193" i="72" s="1"/>
  <c r="BT194" i="72" s="1"/>
  <c r="BT195" i="72" s="1"/>
  <c r="BT196" i="72" s="1"/>
  <c r="BT197" i="72" s="1"/>
  <c r="BT202" i="72" s="1"/>
  <c r="BT203" i="72" s="1"/>
  <c r="BT204" i="72" s="1"/>
  <c r="BT205" i="72" s="1"/>
  <c r="BT206" i="72" s="1"/>
  <c r="BT207" i="72" s="1"/>
  <c r="BT208" i="72" s="1"/>
  <c r="BT209" i="72" s="1"/>
  <c r="BT210" i="72" s="1"/>
  <c r="BT211" i="72" s="1"/>
  <c r="BT212" i="72" s="1"/>
  <c r="BT213" i="72" s="1"/>
  <c r="BT218" i="72" s="1"/>
  <c r="BT219" i="72" s="1"/>
  <c r="BT220" i="72" s="1"/>
  <c r="BT221" i="72" s="1"/>
  <c r="BT222" i="72" s="1"/>
  <c r="BT223" i="72" s="1"/>
  <c r="BT224" i="72" s="1"/>
  <c r="BT225" i="72" s="1"/>
  <c r="BT226" i="72" s="1"/>
  <c r="BT227" i="72" s="1"/>
  <c r="BT228" i="72" s="1"/>
  <c r="BT229" i="72" s="1"/>
  <c r="BT234" i="72" s="1"/>
  <c r="BT235" i="72" s="1"/>
  <c r="BT236" i="72" s="1"/>
  <c r="BT237" i="72" s="1"/>
  <c r="BT238" i="72" s="1"/>
  <c r="BT239" i="72" s="1"/>
  <c r="BT240" i="72" s="1"/>
  <c r="BT241" i="72" s="1"/>
  <c r="BT242" i="72" s="1"/>
  <c r="BT243" i="72" s="1"/>
  <c r="BT244" i="72" s="1"/>
  <c r="BT245" i="72" s="1"/>
  <c r="BT250" i="72" s="1"/>
  <c r="BT251" i="72" s="1"/>
  <c r="BT252" i="72" s="1"/>
  <c r="BT253" i="72" s="1"/>
  <c r="BT254" i="72" s="1"/>
  <c r="BT255" i="72" s="1"/>
  <c r="BT256" i="72" s="1"/>
  <c r="BT257" i="72" s="1"/>
  <c r="BT258" i="72" s="1"/>
  <c r="BT259" i="72" s="1"/>
  <c r="BT260" i="72" s="1"/>
  <c r="BT261" i="72" s="1"/>
  <c r="BT266" i="72" s="1"/>
  <c r="BT267" i="72" s="1"/>
  <c r="BT268" i="72" s="1"/>
  <c r="BT269" i="72" s="1"/>
  <c r="BT270" i="72" s="1"/>
  <c r="BT271" i="72" s="1"/>
  <c r="BT272" i="72" s="1"/>
  <c r="BT273" i="72" s="1"/>
  <c r="BT274" i="72" s="1"/>
  <c r="BT275" i="72" s="1"/>
  <c r="BT276" i="72" s="1"/>
  <c r="BT277" i="72" s="1"/>
  <c r="BT282" i="72" s="1"/>
  <c r="BT283" i="72" s="1"/>
  <c r="BT284" i="72" s="1"/>
  <c r="BT285" i="72" s="1"/>
  <c r="BT286" i="72" s="1"/>
  <c r="BT287" i="72" s="1"/>
  <c r="BT288" i="72" s="1"/>
  <c r="BT289" i="72" s="1"/>
  <c r="BT290" i="72" s="1"/>
  <c r="BT291" i="72" s="1"/>
  <c r="BT292" i="72" s="1"/>
  <c r="BT293" i="72" s="1"/>
  <c r="BT298" i="72" s="1"/>
  <c r="BT299" i="72" s="1"/>
  <c r="BT300" i="72" s="1"/>
  <c r="BT301" i="72" s="1"/>
  <c r="BT302" i="72" s="1"/>
  <c r="BT303" i="72" s="1"/>
  <c r="BT304" i="72" s="1"/>
  <c r="BT305" i="72" s="1"/>
  <c r="BT306" i="72" s="1"/>
  <c r="BT307" i="72" s="1"/>
  <c r="BT308" i="72" s="1"/>
  <c r="BT309" i="72" s="1"/>
  <c r="BT314" i="72" s="1"/>
  <c r="CK7" i="72"/>
  <c r="CJ7" i="72"/>
  <c r="CI7" i="72"/>
  <c r="CH7" i="72"/>
  <c r="CG7" i="72"/>
  <c r="CF7" i="72"/>
  <c r="BZ7" i="72"/>
  <c r="BY7" i="72"/>
  <c r="BX7" i="72"/>
  <c r="BW7" i="72"/>
  <c r="BV7" i="72"/>
  <c r="BU7" i="72"/>
  <c r="BI10" i="72"/>
  <c r="BX11" i="72" a="1"/>
  <c r="BV13" i="72" a="1"/>
  <c r="BJ10" i="72" a="1"/>
  <c r="BU14" i="72" a="1"/>
  <c r="BJ10" i="72" l="1"/>
  <c r="DX95" i="102"/>
  <c r="DB52" i="102" s="1"/>
  <c r="BL381" i="72"/>
  <c r="BJ382" i="72"/>
  <c r="CE61" i="72"/>
  <c r="BU14" i="72"/>
  <c r="BV13" i="72"/>
  <c r="BX11" i="72"/>
  <c r="CF28" i="72" a="1"/>
  <c r="CI20" i="72" a="1"/>
  <c r="CI12" i="72" a="1"/>
  <c r="CF16" i="72" a="1"/>
  <c r="CI30" i="72" a="1"/>
  <c r="CI13" i="72" a="1"/>
  <c r="CJ16" i="72" a="1"/>
  <c r="CH27" i="72" a="1"/>
  <c r="BV44" i="72" a="1"/>
  <c r="BU11" i="72" a="1"/>
  <c r="CI17" i="72" a="1"/>
  <c r="CF31" i="72" a="1"/>
  <c r="CI14" i="72" a="1"/>
  <c r="BV29" i="72" a="1"/>
  <c r="CF17" i="72" a="1"/>
  <c r="CI16" i="72" a="1"/>
  <c r="CH26" i="72" a="1"/>
  <c r="CI11" i="72" a="1"/>
  <c r="CI26" i="72" a="1"/>
  <c r="CG20" i="72" a="1"/>
  <c r="CI19" i="72" a="1"/>
  <c r="CI10" i="72" a="1"/>
  <c r="CI15" i="72" a="1"/>
  <c r="BU10" i="72" a="1"/>
  <c r="BW12" i="72" a="1"/>
  <c r="BW32" i="72" a="1"/>
  <c r="CI21" i="72" a="1"/>
  <c r="CH47" i="72" a="1"/>
  <c r="BW28" i="72" a="1"/>
  <c r="CI27" i="72" a="1"/>
  <c r="BW20" i="72" a="1"/>
  <c r="BY94" i="72" a="1"/>
  <c r="BW20" i="72" l="1"/>
  <c r="CI21" i="72"/>
  <c r="BU10" i="72"/>
  <c r="CG20" i="72"/>
  <c r="BU11" i="72"/>
  <c r="CJ16" i="72"/>
  <c r="CF31" i="72"/>
  <c r="CH47" i="72"/>
  <c r="CI13" i="72"/>
  <c r="CI26" i="72"/>
  <c r="BV29" i="72"/>
  <c r="CI10" i="72"/>
  <c r="CI19" i="72"/>
  <c r="CI11" i="72"/>
  <c r="CI30" i="72"/>
  <c r="CI20" i="72"/>
  <c r="CI27" i="72"/>
  <c r="CI17" i="72"/>
  <c r="BL337" i="72"/>
  <c r="CF16" i="72"/>
  <c r="CI15" i="72"/>
  <c r="CI16" i="72"/>
  <c r="CI14" i="72"/>
  <c r="BW12" i="72"/>
  <c r="BV44" i="72"/>
  <c r="BY94" i="72"/>
  <c r="CI12" i="72"/>
  <c r="CF17" i="72"/>
  <c r="CH27" i="72"/>
  <c r="CF28" i="72"/>
  <c r="BW32" i="72"/>
  <c r="CH26" i="72"/>
  <c r="BW28" i="72"/>
  <c r="BT315" i="72"/>
  <c r="BJ383" i="72"/>
  <c r="BM381" i="72"/>
  <c r="BL382" i="72"/>
  <c r="CE62" i="72"/>
  <c r="BM336" i="72" l="1"/>
  <c r="BT316" i="72"/>
  <c r="BM382" i="72"/>
  <c r="BL383" i="72"/>
  <c r="BJ384" i="72"/>
  <c r="BJ385" i="72" s="1"/>
  <c r="BJ386" i="72" s="1"/>
  <c r="BJ387" i="72" s="1"/>
  <c r="BJ388" i="72" s="1"/>
  <c r="BJ389" i="72" s="1"/>
  <c r="BJ390" i="72" s="1"/>
  <c r="CE63" i="72"/>
  <c r="BM337" i="72" l="1"/>
  <c r="BN336" i="72" s="1"/>
  <c r="F81" i="44"/>
  <c r="F64" i="44"/>
  <c r="F336" i="44"/>
  <c r="F200" i="44"/>
  <c r="F217" i="44"/>
  <c r="F268" i="44"/>
  <c r="F13" i="44"/>
  <c r="F285" i="44"/>
  <c r="F132" i="44"/>
  <c r="F149" i="44"/>
  <c r="F30" i="44"/>
  <c r="F166" i="44"/>
  <c r="F302" i="44"/>
  <c r="F47" i="44"/>
  <c r="F183" i="44"/>
  <c r="F319" i="44"/>
  <c r="F98" i="44"/>
  <c r="F234" i="44"/>
  <c r="F115" i="44"/>
  <c r="F251" i="44"/>
  <c r="BT317" i="72"/>
  <c r="BM383" i="72"/>
  <c r="BL384" i="72"/>
  <c r="CE64" i="72"/>
  <c r="BN337" i="72" l="1"/>
  <c r="BO336" i="72" s="1"/>
  <c r="BT318" i="72"/>
  <c r="BM384" i="72"/>
  <c r="BL385" i="72"/>
  <c r="CE65" i="72"/>
  <c r="BI11" i="72"/>
  <c r="BO337" i="72" l="1"/>
  <c r="BP336" i="72" s="1"/>
  <c r="N681" i="44"/>
  <c r="N477" i="44"/>
  <c r="N460" i="44"/>
  <c r="N443" i="44"/>
  <c r="N664" i="44"/>
  <c r="N426" i="44"/>
  <c r="N647" i="44"/>
  <c r="N545" i="44"/>
  <c r="N630" i="44"/>
  <c r="N613" i="44"/>
  <c r="N409" i="44"/>
  <c r="N596" i="44"/>
  <c r="N392" i="44"/>
  <c r="N579" i="44"/>
  <c r="N375" i="44"/>
  <c r="N562" i="44"/>
  <c r="N358" i="44"/>
  <c r="N528" i="44"/>
  <c r="N511" i="44"/>
  <c r="N494" i="44"/>
  <c r="N335" i="44"/>
  <c r="N131" i="44"/>
  <c r="N114" i="44"/>
  <c r="N318" i="44"/>
  <c r="N301" i="44"/>
  <c r="N97" i="44"/>
  <c r="N284" i="44"/>
  <c r="N80" i="44"/>
  <c r="N165" i="44"/>
  <c r="N267" i="44"/>
  <c r="N63" i="44"/>
  <c r="N233" i="44"/>
  <c r="N12" i="44"/>
  <c r="N250" i="44"/>
  <c r="N46" i="44"/>
  <c r="N29" i="44"/>
  <c r="N216" i="44"/>
  <c r="N199" i="44"/>
  <c r="N148" i="44"/>
  <c r="N182" i="44"/>
  <c r="N1027" i="44"/>
  <c r="N891" i="44"/>
  <c r="N755" i="44"/>
  <c r="N1010" i="44"/>
  <c r="N874" i="44"/>
  <c r="N738" i="44"/>
  <c r="N993" i="44"/>
  <c r="N857" i="44"/>
  <c r="N721" i="44"/>
  <c r="N976" i="44"/>
  <c r="N840" i="44"/>
  <c r="N704" i="44"/>
  <c r="N959" i="44"/>
  <c r="N823" i="44"/>
  <c r="N942" i="44"/>
  <c r="N806" i="44"/>
  <c r="N772" i="44"/>
  <c r="N925" i="44"/>
  <c r="N789" i="44"/>
  <c r="N908" i="44"/>
  <c r="BT319" i="72"/>
  <c r="BM385" i="72"/>
  <c r="BL386" i="72"/>
  <c r="CE66" i="72"/>
  <c r="BI12" i="72"/>
  <c r="BP337" i="72" l="1"/>
  <c r="BQ336" i="72" s="1"/>
  <c r="BT320" i="72"/>
  <c r="BM386" i="72"/>
  <c r="BL387" i="72"/>
  <c r="CE67" i="72"/>
  <c r="BI13" i="72"/>
  <c r="BQ337" i="72" l="1"/>
  <c r="BR336" i="72" s="1"/>
  <c r="BT321" i="72"/>
  <c r="BM387" i="72"/>
  <c r="BL388" i="72"/>
  <c r="CE68" i="72"/>
  <c r="BI14" i="72"/>
  <c r="BR337" i="72" l="1"/>
  <c r="BS336" i="72" s="1"/>
  <c r="BT322" i="72"/>
  <c r="BM388" i="72"/>
  <c r="BL389" i="72"/>
  <c r="CE69" i="72"/>
  <c r="BI15" i="72"/>
  <c r="BS337" i="72" l="1"/>
  <c r="BT323" i="72"/>
  <c r="BM389" i="72"/>
  <c r="BL390" i="72"/>
  <c r="CE74" i="72"/>
  <c r="BI16" i="72"/>
  <c r="BT336" i="72" l="1"/>
  <c r="BT337" i="72" s="1"/>
  <c r="BU336" i="72" s="1"/>
  <c r="BU337" i="72" s="1"/>
  <c r="BV336" i="72" s="1"/>
  <c r="BT324" i="72"/>
  <c r="BM390" i="72"/>
  <c r="CE75" i="72"/>
  <c r="BI17" i="72"/>
  <c r="BV337" i="72" l="1"/>
  <c r="BW336" i="72" s="1"/>
  <c r="BT325" i="72"/>
  <c r="CE76" i="72"/>
  <c r="BI18" i="72"/>
  <c r="BW337" i="72" l="1"/>
  <c r="BX336" i="72" s="1"/>
  <c r="CE77" i="72"/>
  <c r="BI19" i="72"/>
  <c r="BX337" i="72" l="1"/>
  <c r="CE78" i="72"/>
  <c r="BI20" i="72"/>
  <c r="BY336" i="72" l="1"/>
  <c r="CE79" i="72"/>
  <c r="BI21" i="72"/>
  <c r="BY337" i="72" l="1"/>
  <c r="BZ336" i="72" s="1"/>
  <c r="CE80" i="72"/>
  <c r="CK20" i="72"/>
  <c r="BI26" i="72"/>
  <c r="U715" i="44" l="1"/>
  <c r="BZ337" i="72"/>
  <c r="Q180" i="34"/>
  <c r="CE81" i="72"/>
  <c r="BI27" i="72"/>
  <c r="CA336" i="72" l="1"/>
  <c r="CA337" i="72" s="1"/>
  <c r="CB336" i="72" s="1"/>
  <c r="CB337" i="72" s="1"/>
  <c r="CC336" i="72" s="1"/>
  <c r="CC337" i="72" s="1"/>
  <c r="CD336" i="72" s="1"/>
  <c r="CD337" i="72" s="1"/>
  <c r="CE82" i="72"/>
  <c r="BI28" i="72"/>
  <c r="CE83" i="72" l="1"/>
  <c r="BI29" i="72"/>
  <c r="CE84" i="72" l="1"/>
  <c r="BI30" i="72"/>
  <c r="CE85" i="72" l="1"/>
  <c r="BI31" i="72"/>
  <c r="CE90" i="72" l="1"/>
  <c r="BI32" i="72"/>
  <c r="CE91" i="72" l="1"/>
  <c r="BI33" i="72"/>
  <c r="CE92" i="72" l="1"/>
  <c r="BI34" i="72"/>
  <c r="CE93" i="72" l="1"/>
  <c r="BI35" i="72"/>
  <c r="CH58" i="72" a="1"/>
  <c r="CH49" i="72" a="1"/>
  <c r="CH21" i="72" a="1"/>
  <c r="BY26" i="72" a="1"/>
  <c r="BM16" i="72" a="1"/>
  <c r="BW305" i="72" a="1"/>
  <c r="CG53" i="72" a="1"/>
  <c r="CJ20" i="72" a="1"/>
  <c r="BJ405" i="72" a="1"/>
  <c r="CJ64" i="72" a="1"/>
  <c r="BY154" i="72" a="1"/>
  <c r="BX64" i="72" a="1"/>
  <c r="BV255" i="72" a="1"/>
  <c r="BW273" i="72" a="1"/>
  <c r="BV144" i="72" a="1"/>
  <c r="BU161" i="72" a="1"/>
  <c r="BX245" i="72" a="1"/>
  <c r="BU240" i="72" a="1"/>
  <c r="BQ405" i="72" a="1"/>
  <c r="BY317" i="72" a="1"/>
  <c r="CF77" i="72" a="1"/>
  <c r="BY322" i="72" a="1"/>
  <c r="BY208" i="72" a="1"/>
  <c r="BV207" i="72" a="1"/>
  <c r="CH32" i="72" a="1"/>
  <c r="BM404" i="72" a="1"/>
  <c r="BU314" i="92" a="1"/>
  <c r="BX186" i="72" a="1"/>
  <c r="BU282" i="92" a="1"/>
  <c r="BX321" i="72" a="1"/>
  <c r="BV242" i="72" a="1"/>
  <c r="BW271" i="72" a="1"/>
  <c r="BX244" i="72" a="1"/>
  <c r="BX35" i="72" a="1"/>
  <c r="BN19" i="72" a="1"/>
  <c r="CG49" i="72" a="1"/>
  <c r="BJ18" i="72" a="1"/>
  <c r="BX127" i="72" a="1"/>
  <c r="BW34" i="72" a="1"/>
  <c r="CF82" i="72" a="1"/>
  <c r="BJ406" i="72" a="1"/>
  <c r="BU139" i="72" a="1"/>
  <c r="BV243" i="72" a="1"/>
  <c r="BU253" i="72" a="1"/>
  <c r="BU138" i="72" a="1"/>
  <c r="BY402" i="72" a="1"/>
  <c r="BM400" i="72" a="1"/>
  <c r="BV108" i="72" a="1"/>
  <c r="BW209" i="72" a="1"/>
  <c r="CI81" i="72" a="1"/>
  <c r="BV315" i="72" a="1"/>
  <c r="BY267" i="72" a="1"/>
  <c r="BU64" i="72" a="1"/>
  <c r="BV251" i="72" a="1"/>
  <c r="BX270" i="72" a="1"/>
  <c r="CJ58" i="72" a="1"/>
  <c r="BU147" i="72" a="1"/>
  <c r="BX286" i="72" a="1"/>
  <c r="BU408" i="72" a="1"/>
  <c r="BU402" i="72" a="1"/>
  <c r="BY33" i="72" a="1"/>
  <c r="BY18" i="72" a="1"/>
  <c r="BU269" i="72" a="1"/>
  <c r="BY13" i="72" a="1"/>
  <c r="BU27" i="92" a="1"/>
  <c r="BY207" i="72" a="1"/>
  <c r="BY316" i="72" a="1"/>
  <c r="BV304" i="72" a="1"/>
  <c r="BK17" i="72" a="1"/>
  <c r="CJ65" i="72" a="1"/>
  <c r="BX75" i="72" a="1"/>
  <c r="BU194" i="72" a="1"/>
  <c r="BX164" i="72" a="1"/>
  <c r="BX287" i="72" a="1"/>
  <c r="BV317" i="72" a="1"/>
  <c r="CJ68" i="72" a="1"/>
  <c r="BV316" i="72" a="1"/>
  <c r="BX149" i="72" a="1"/>
  <c r="BN29" i="72" a="1"/>
  <c r="BU59" i="92" a="1"/>
  <c r="BY225" i="72" a="1"/>
  <c r="BW302" i="72" a="1"/>
  <c r="BU172" i="72" a="1"/>
  <c r="BV157" i="72" a="1"/>
  <c r="BX218" i="72" a="1"/>
  <c r="BW133" i="72" a="1"/>
  <c r="BY197" i="72" a="1"/>
  <c r="BV106" i="72" a="1"/>
  <c r="BW60" i="72" a="1"/>
  <c r="BX92" i="72" a="1"/>
  <c r="BV161" i="72" a="1"/>
  <c r="BU238" i="72" a="1"/>
  <c r="BV266" i="72" a="1"/>
  <c r="BJ403" i="72" a="1"/>
  <c r="CF90" i="72" a="1"/>
  <c r="BU175" i="72" a="1"/>
  <c r="BX154" i="72" a="1"/>
  <c r="BY187" i="72" a="1"/>
  <c r="BX129" i="72" a="1"/>
  <c r="CI37" i="72" a="1"/>
  <c r="BW161" i="72" a="1"/>
  <c r="BU144" i="72" a="1"/>
  <c r="BK15" i="72" a="1"/>
  <c r="BY65" i="72" a="1"/>
  <c r="BY108" i="72" a="1"/>
  <c r="BX209" i="72" a="1"/>
  <c r="BV211" i="72" a="1"/>
  <c r="CF42" i="72" a="1"/>
  <c r="BY16" i="72" a="1"/>
  <c r="BV63" i="72" a="1"/>
  <c r="BV20" i="72" a="1"/>
  <c r="BW158" i="72" a="1"/>
  <c r="BU31" i="72" a="1"/>
  <c r="BY226" i="72" a="1"/>
  <c r="BL28" i="72" a="1"/>
  <c r="BW160" i="72" a="1"/>
  <c r="CF138" i="92" a="1"/>
  <c r="CG30" i="72" a="1"/>
  <c r="BY163" i="72" a="1"/>
  <c r="BX156" i="72" a="1"/>
  <c r="BU284" i="72" a="1"/>
  <c r="BV160" i="72" a="1"/>
  <c r="BV260" i="72" a="1"/>
  <c r="BX211" i="72" a="1"/>
  <c r="BX108" i="72" a="1"/>
  <c r="BO406" i="72" a="1"/>
  <c r="BX273" i="72" a="1"/>
  <c r="CF69" i="72" a="1"/>
  <c r="BX251" i="72" a="1"/>
  <c r="BU318" i="72" a="1"/>
  <c r="BX68" i="72" a="1"/>
  <c r="CF10" i="92" a="1"/>
  <c r="CH59" i="72" a="1"/>
  <c r="CH33" i="72" a="1"/>
  <c r="BY83" i="72" a="1"/>
  <c r="BY306" i="72" a="1"/>
  <c r="BV225" i="72" a="1"/>
  <c r="BU33" i="72" a="1"/>
  <c r="BV46" i="72" a="1"/>
  <c r="BV325" i="72" a="1"/>
  <c r="BN28" i="72" a="1"/>
  <c r="BY269" i="72" a="1"/>
  <c r="CF10" i="72" a="1"/>
  <c r="BY50" i="72" a="1"/>
  <c r="BM14" i="72" a="1"/>
  <c r="BW147" i="72" a="1"/>
  <c r="CF139" i="92" a="1"/>
  <c r="BV197" i="72" a="1"/>
  <c r="BX74" i="72" a="1"/>
  <c r="CH17" i="72" a="1"/>
  <c r="BY98" i="72" a="1"/>
  <c r="CJ92" i="72" a="1"/>
  <c r="BJ15" i="72" a="1"/>
  <c r="BX83" i="72" a="1"/>
  <c r="BL406" i="72" a="1"/>
  <c r="BU203" i="92" a="1"/>
  <c r="BU110" i="72" a="1"/>
  <c r="BY148" i="72" a="1"/>
  <c r="BN15" i="72" a="1"/>
  <c r="BU309" i="72" a="1"/>
  <c r="BL408" i="72" a="1"/>
  <c r="CH92" i="72" a="1"/>
  <c r="CF59" i="92" a="1"/>
  <c r="BV78" i="72" a="1"/>
  <c r="BW47" i="72" a="1"/>
  <c r="BY261" i="72" a="1"/>
  <c r="BX255" i="72" a="1"/>
  <c r="BU257" i="72" a="1"/>
  <c r="BW240" i="72" a="1"/>
  <c r="BY180" i="72" a="1"/>
  <c r="BV234" i="72" a="1"/>
  <c r="BM401" i="72" a="1"/>
  <c r="BX304" i="72" a="1"/>
  <c r="BU243" i="72" a="1"/>
  <c r="CF67" i="72" a="1"/>
  <c r="CF59" i="72" a="1"/>
  <c r="BW62" i="72" a="1"/>
  <c r="BV181" i="72" a="1"/>
  <c r="BU305" i="72" a="1"/>
  <c r="BY241" i="72" a="1"/>
  <c r="BX219" i="72" a="1"/>
  <c r="BV31" i="72" a="1"/>
  <c r="BO399" i="72" a="1"/>
  <c r="BU123" i="72" a="1"/>
  <c r="BV261" i="72" a="1"/>
  <c r="BV125" i="72" a="1"/>
  <c r="BX58" i="72" a="1"/>
  <c r="BO407" i="72" a="1"/>
  <c r="BW288" i="72" a="1"/>
  <c r="CI65" i="72" a="1"/>
  <c r="BX171" i="72" a="1"/>
  <c r="BW111" i="72" a="1"/>
  <c r="BW400" i="72" a="1"/>
  <c r="BW241" i="72" a="1"/>
  <c r="BU170" i="72" a="1"/>
  <c r="BV37" i="72" a="1"/>
  <c r="BW16" i="72" a="1"/>
  <c r="CI52" i="72" a="1"/>
  <c r="BX100" i="72" a="1"/>
  <c r="BW292" i="72" a="1"/>
  <c r="BV15" i="72" a="1"/>
  <c r="BV130" i="72" a="1"/>
  <c r="CF20" i="72" a="1"/>
  <c r="BU32" i="72" a="1"/>
  <c r="BY85" i="72" a="1"/>
  <c r="BU228" i="72" a="1"/>
  <c r="CI76" i="72" a="1"/>
  <c r="BV400" i="72" a="1"/>
  <c r="BK30" i="72" a="1"/>
  <c r="BP400" i="72" a="1"/>
  <c r="BX302" i="72" a="1"/>
  <c r="BU234" i="72" a="1"/>
  <c r="CG44" i="72" a="1"/>
  <c r="CF14" i="72" a="1"/>
  <c r="BW115" i="72" a="1"/>
  <c r="BW253" i="72" a="1"/>
  <c r="BY234" i="72" a="1"/>
  <c r="BY227" i="72" a="1"/>
  <c r="BY239" i="72" a="1"/>
  <c r="BU17" i="72" a="1"/>
  <c r="BV165" i="72" a="1"/>
  <c r="BU306" i="72" a="1"/>
  <c r="BW307" i="72" a="1"/>
  <c r="BV175" i="72" a="1"/>
  <c r="BU222" i="72" a="1"/>
  <c r="BW272" i="72" a="1"/>
  <c r="BW75" i="72" a="1"/>
  <c r="BV406" i="72" a="1"/>
  <c r="BY401" i="72" a="1"/>
  <c r="CF48" i="72" a="1"/>
  <c r="BN32" i="72" a="1"/>
  <c r="BW99" i="72" a="1"/>
  <c r="BU286" i="72" a="1"/>
  <c r="BV188" i="72" a="1"/>
  <c r="BJ12" i="72" a="1"/>
  <c r="BW289" i="72" a="1"/>
  <c r="BU157" i="72" a="1"/>
  <c r="BW81" i="72" a="1"/>
  <c r="BY21" i="72" a="1"/>
  <c r="CJ31" i="72" a="1"/>
  <c r="BU124" i="72" a="1"/>
  <c r="BW306" i="72" a="1"/>
  <c r="BU176" i="72" a="1"/>
  <c r="CF251" i="92" a="1"/>
  <c r="BU99" i="72" a="1"/>
  <c r="CH29" i="72" a="1"/>
  <c r="BX195" i="72" a="1"/>
  <c r="BU187" i="72" a="1"/>
  <c r="BY309" i="72" a="1"/>
  <c r="BV127" i="72" a="1"/>
  <c r="BX142" i="72" a="1"/>
  <c r="CJ30" i="72" a="1"/>
  <c r="BX131" i="72" a="1"/>
  <c r="BY139" i="72" a="1"/>
  <c r="BU18" i="72" a="1"/>
  <c r="BY406" i="72" a="1"/>
  <c r="BX253" i="72" a="1"/>
  <c r="BW65" i="72" a="1"/>
  <c r="BX43" i="72" a="1"/>
  <c r="CI67" i="72" a="1"/>
  <c r="CJ85" i="72" a="1"/>
  <c r="BY405" i="72" a="1"/>
  <c r="BP404" i="72" a="1"/>
  <c r="CJ21" i="72" a="1"/>
  <c r="BU29" i="72" a="1"/>
  <c r="CF37" i="72" a="1"/>
  <c r="BV114" i="72" a="1"/>
  <c r="BU266" i="92" a="1"/>
  <c r="BY141" i="72" a="1"/>
  <c r="BX178" i="72" a="1"/>
  <c r="BY20" i="72" a="1"/>
  <c r="BV155" i="72" a="1"/>
  <c r="BJ399" i="72" a="1"/>
  <c r="BY128" i="72" a="1"/>
  <c r="BU404" i="72" a="1"/>
  <c r="CI42" i="72" a="1"/>
  <c r="BV274" i="72" a="1"/>
  <c r="CG15" i="72" a="1"/>
  <c r="BY288" i="72" a="1"/>
  <c r="CF51" i="72" a="1"/>
  <c r="BX407" i="72" a="1"/>
  <c r="BW78" i="72" a="1"/>
  <c r="CF250" i="92" a="1"/>
  <c r="BU292" i="72" a="1"/>
  <c r="BK408" i="72" a="1"/>
  <c r="CJ67" i="72" a="1"/>
  <c r="CF11" i="92" a="1"/>
  <c r="BW237" i="72" a="1"/>
  <c r="BX282" i="72" a="1"/>
  <c r="CJ35" i="72" a="1"/>
  <c r="BU60" i="72" a="1"/>
  <c r="CI32" i="72" a="1"/>
  <c r="BY213" i="72" a="1"/>
  <c r="BU170" i="92" a="1"/>
  <c r="BW276" i="72" a="1"/>
  <c r="CJ80" i="72" a="1"/>
  <c r="CG45" i="72" a="1"/>
  <c r="BY240" i="72" a="1"/>
  <c r="BU108" i="72" a="1"/>
  <c r="CF64" i="72" a="1"/>
  <c r="BW114" i="72" a="1"/>
  <c r="BV320" i="72" a="1"/>
  <c r="BL27" i="72" a="1"/>
  <c r="BU256" i="72" a="1"/>
  <c r="CF155" i="92" a="1"/>
  <c r="BQ402" i="72" a="1"/>
  <c r="CG77" i="72" a="1"/>
  <c r="BU76" i="72" a="1"/>
  <c r="BW142" i="72" a="1"/>
  <c r="BW187" i="72" a="1"/>
  <c r="BX240" i="72" a="1"/>
  <c r="BW186" i="72" a="1"/>
  <c r="BX115" i="72" a="1"/>
  <c r="BY91" i="72" a="1"/>
  <c r="BK31" i="72" a="1"/>
  <c r="BU224" i="72" a="1"/>
  <c r="BU308" i="72" a="1"/>
  <c r="BV11" i="72" a="1"/>
  <c r="BU83" i="72" a="1"/>
  <c r="BU10" i="92" a="1"/>
  <c r="BV174" i="72" a="1"/>
  <c r="CH19" i="72" a="1"/>
  <c r="CG51" i="72" a="1"/>
  <c r="BM12" i="72" a="1"/>
  <c r="BY129" i="72" a="1"/>
  <c r="BV220" i="72" a="1"/>
  <c r="CG43" i="72" a="1"/>
  <c r="BX146" i="72" a="1"/>
  <c r="BJ16" i="72" a="1"/>
  <c r="BY62" i="72" a="1"/>
  <c r="CH83" i="72" a="1"/>
  <c r="BW113" i="72" a="1"/>
  <c r="BM21" i="72" a="1"/>
  <c r="BY142" i="72" a="1"/>
  <c r="BV224" i="72" a="1"/>
  <c r="BU116" i="72" a="1"/>
  <c r="BV239" i="72" a="1"/>
  <c r="CF84" i="72" a="1"/>
  <c r="BU272" i="72" a="1"/>
  <c r="BX277" i="72" a="1"/>
  <c r="BK399" i="72" a="1"/>
  <c r="CQ11" i="72" a="1"/>
  <c r="BN17" i="72" a="1"/>
  <c r="BW67" i="72" a="1"/>
  <c r="CF298" i="92" a="1"/>
  <c r="CF218" i="92" a="1"/>
  <c r="BW58" i="72" a="1"/>
  <c r="BY399" i="72" a="1"/>
  <c r="CJ11" i="72" a="1"/>
  <c r="BU255" i="72" a="1"/>
  <c r="BU209" i="72" a="1"/>
  <c r="BU98" i="72" a="1"/>
  <c r="BX63" i="72" a="1"/>
  <c r="CJ47" i="72" a="1"/>
  <c r="BX256" i="72" a="1"/>
  <c r="BX241" i="72" a="1"/>
  <c r="BU187" i="92" a="1"/>
  <c r="BM33" i="72" a="1"/>
  <c r="CF91" i="92" a="1"/>
  <c r="BW227" i="72" a="1"/>
  <c r="CJ53" i="72" a="1"/>
  <c r="BX78" i="72" a="1"/>
  <c r="BU115" i="72" a="1"/>
  <c r="BY34" i="72" a="1"/>
  <c r="BX44" i="72" a="1"/>
  <c r="BW116" i="72" a="1"/>
  <c r="BU258" i="72" a="1"/>
  <c r="BU21" i="72" a="1"/>
  <c r="CJ19" i="72" a="1"/>
  <c r="BY112" i="72" a="1"/>
  <c r="BV306" i="72" a="1"/>
  <c r="BY219" i="72" a="1"/>
  <c r="BY407" i="72" a="1"/>
  <c r="BU260" i="72" a="1"/>
  <c r="CI68" i="72" a="1"/>
  <c r="BY205" i="72" a="1"/>
  <c r="BW123" i="72" a="1"/>
  <c r="BY158" i="72" a="1"/>
  <c r="BV99" i="72" a="1"/>
  <c r="CF61" i="72" a="1"/>
  <c r="CF52" i="72" a="1"/>
  <c r="BV259" i="72" a="1"/>
  <c r="BV14" i="72" a="1"/>
  <c r="CG92" i="72" a="1"/>
  <c r="BY319" i="72" a="1"/>
  <c r="BU77" i="72" a="1"/>
  <c r="BL16" i="72" a="1"/>
  <c r="BU287" i="72" a="1"/>
  <c r="BY275" i="72" a="1"/>
  <c r="BX274" i="72" a="1"/>
  <c r="BY258" i="72" a="1"/>
  <c r="BU317" i="72" a="1"/>
  <c r="BV222" i="72" a="1"/>
  <c r="BY59" i="72" a="1"/>
  <c r="BX272" i="72" a="1"/>
  <c r="CJ50" i="72" a="1"/>
  <c r="CH44" i="72" a="1"/>
  <c r="BY250" i="72" a="1"/>
  <c r="BN33" i="72" a="1"/>
  <c r="BX138" i="72" a="1"/>
  <c r="BX91" i="72" a="1"/>
  <c r="CH91" i="72" a="1"/>
  <c r="BV159" i="72" a="1"/>
  <c r="BU252" i="72" a="1"/>
  <c r="BY212" i="72" a="1"/>
  <c r="CH12" i="72" a="1"/>
  <c r="BU125" i="72" a="1"/>
  <c r="BY298" i="72" a="1"/>
  <c r="BU122" i="72" a="1"/>
  <c r="BM30" i="72" a="1"/>
  <c r="BL405" i="72" a="1"/>
  <c r="BU66" i="72" a="1"/>
  <c r="BW223" i="72" a="1"/>
  <c r="BK28" i="72" a="1"/>
  <c r="BV267" i="72" a="1"/>
  <c r="BY130" i="72" a="1"/>
  <c r="BV254" i="72" a="1"/>
  <c r="BY242" i="72" a="1"/>
  <c r="BV257" i="72" a="1"/>
  <c r="BK16" i="72" a="1"/>
  <c r="BY165" i="72" a="1"/>
  <c r="BV17" i="72" a="1"/>
  <c r="CI18" i="72" a="1"/>
  <c r="BU315" i="92" a="1"/>
  <c r="BU251" i="92" a="1"/>
  <c r="BY17" i="72" a="1"/>
  <c r="BU283" i="72" a="1"/>
  <c r="CF68" i="72" a="1"/>
  <c r="BV219" i="72" a="1"/>
  <c r="BW154" i="72" a="1"/>
  <c r="BW191" i="72" a="1"/>
  <c r="BU101" i="72" a="1"/>
  <c r="BY238" i="72" a="1"/>
  <c r="BX193" i="72" a="1"/>
  <c r="BW175" i="72" a="1"/>
  <c r="CF76" i="72" a="1"/>
  <c r="CI31" i="72" a="1"/>
  <c r="BU304" i="72" a="1"/>
  <c r="BX406" i="72" a="1"/>
  <c r="BU196" i="72" a="1"/>
  <c r="CH69" i="72" a="1"/>
  <c r="BW162" i="72" a="1"/>
  <c r="BY155" i="72" a="1"/>
  <c r="BX165" i="72" a="1"/>
  <c r="BV47" i="72" a="1"/>
  <c r="CG60" i="72" a="1"/>
  <c r="BX284" i="72" a="1"/>
  <c r="BY113" i="72" a="1"/>
  <c r="BY14" i="72" a="1"/>
  <c r="CH42" i="72" a="1"/>
  <c r="BW195" i="72" a="1"/>
  <c r="CJ13" i="72" a="1"/>
  <c r="CG19" i="72" a="1"/>
  <c r="BW267" i="72" a="1"/>
  <c r="CG63" i="72" a="1"/>
  <c r="BX309" i="72" a="1"/>
  <c r="BU235" i="72" a="1"/>
  <c r="BW90" i="72" a="1"/>
  <c r="CF186" i="92" a="1"/>
  <c r="BU202" i="92" a="1"/>
  <c r="BY289" i="72" a="1"/>
  <c r="BV236" i="72" a="1"/>
  <c r="BV126" i="72" a="1"/>
  <c r="CI35" i="72" a="1"/>
  <c r="BU27" i="72" a="1"/>
  <c r="BV283" i="72" a="1"/>
  <c r="BU85" i="72" a="1"/>
  <c r="BP408" i="72" a="1"/>
  <c r="BV186" i="72" a="1"/>
  <c r="BW269" i="72" a="1"/>
  <c r="BY229" i="72" a="1"/>
  <c r="BY315" i="72" a="1"/>
  <c r="BW31" i="72" a="1"/>
  <c r="CF171" i="92" a="1"/>
  <c r="BX305" i="72" a="1"/>
  <c r="BY301" i="72" a="1"/>
  <c r="BV58" i="72" a="1"/>
  <c r="BU189" i="72" a="1"/>
  <c r="BL12" i="72" a="1"/>
  <c r="BW226" i="72" a="1"/>
  <c r="CH43" i="72" a="1"/>
  <c r="BX229" i="72" a="1"/>
  <c r="CJ43" i="72" a="1"/>
  <c r="CJ49" i="72" a="1"/>
  <c r="BU82" i="72" a="1"/>
  <c r="BU212" i="72" a="1"/>
  <c r="CJ76" i="72" a="1"/>
  <c r="BV285" i="72" a="1"/>
  <c r="BV173" i="72" a="1"/>
  <c r="CF11" i="72" a="1"/>
  <c r="BV218" i="72" a="1"/>
  <c r="BU106" i="72" a="1"/>
  <c r="BN402" i="72" a="1"/>
  <c r="CJ63" i="72" a="1"/>
  <c r="BU178" i="72" a="1"/>
  <c r="BW79" i="72" a="1"/>
  <c r="BX194" i="72" a="1"/>
  <c r="BX110" i="72" a="1"/>
  <c r="BY122" i="72" a="1"/>
  <c r="BV187" i="72" a="1"/>
  <c r="BX26" i="72" a="1"/>
  <c r="CF123" i="92" a="1"/>
  <c r="BX85" i="72" a="1"/>
  <c r="BX79" i="72" a="1"/>
  <c r="BW77" i="72" a="1"/>
  <c r="BU274" i="72" a="1"/>
  <c r="BV404" i="72" a="1"/>
  <c r="BW124" i="72" a="1"/>
  <c r="BV172" i="72" a="1"/>
  <c r="BW259" i="72" a="1"/>
  <c r="CJ91" i="72" a="1"/>
  <c r="BV124" i="72" a="1"/>
  <c r="BY48" i="72" a="1"/>
  <c r="CJ36" i="72" a="1"/>
  <c r="BU145" i="72" a="1"/>
  <c r="BM27" i="72" a="1"/>
  <c r="BV100" i="72" a="1"/>
  <c r="BU20" i="72" a="1"/>
  <c r="BY220" i="72" a="1"/>
  <c r="BW257" i="72" a="1"/>
  <c r="BU90" i="72" a="1"/>
  <c r="BX109" i="72" a="1"/>
  <c r="BX260" i="72" a="1"/>
  <c r="CF85" i="72" a="1"/>
  <c r="BV66" i="72" a="1"/>
  <c r="BV212" i="72" a="1"/>
  <c r="BV51" i="72" a="1"/>
  <c r="BV322" i="72" a="1"/>
  <c r="BV97" i="72" a="1"/>
  <c r="BX80" i="72" a="1"/>
  <c r="CF27" i="92" a="1"/>
  <c r="BW229" i="72" a="1"/>
  <c r="BU74" i="92" a="1"/>
  <c r="BU28" i="72" a="1"/>
  <c r="BW74" i="72" a="1"/>
  <c r="BU68" i="72" a="1"/>
  <c r="BW268" i="72" a="1"/>
  <c r="CH64" i="72" a="1"/>
  <c r="BY277" i="72" a="1"/>
  <c r="BY324" i="72" a="1"/>
  <c r="BU237" i="72" a="1"/>
  <c r="BW228" i="72" a="1"/>
  <c r="BY203" i="72" a="1"/>
  <c r="BX181" i="72" a="1"/>
  <c r="BX60" i="72" a="1"/>
  <c r="CG75" i="72" a="1"/>
  <c r="BU302" i="72" a="1"/>
  <c r="BV324" i="72" a="1"/>
  <c r="BL400" i="72" a="1"/>
  <c r="BU75" i="72" a="1"/>
  <c r="BU42" i="92" a="1"/>
  <c r="BW49" i="72" a="1"/>
  <c r="BV45" i="72" a="1"/>
  <c r="BY66" i="72" a="1"/>
  <c r="BU401" i="72" a="1"/>
  <c r="BP405" i="72" a="1"/>
  <c r="BV209" i="72" a="1"/>
  <c r="BJ34" i="72" a="1"/>
  <c r="CI92" i="72" a="1"/>
  <c r="BW283" i="72" a="1"/>
  <c r="CF26" i="72" a="1"/>
  <c r="BU300" i="72" a="1"/>
  <c r="BL30" i="72" a="1"/>
  <c r="BU298" i="72" a="1"/>
  <c r="BU245" i="72" a="1"/>
  <c r="BY146" i="72" a="1"/>
  <c r="BN404" i="72" a="1"/>
  <c r="BV33" i="72" a="1"/>
  <c r="BX325" i="72" a="1"/>
  <c r="CQ10" i="72" a="1"/>
  <c r="BV90" i="72" a="1"/>
  <c r="BY68" i="72" a="1"/>
  <c r="BN401" i="72" a="1"/>
  <c r="BX141" i="72" a="1"/>
  <c r="BY42" i="72" a="1"/>
  <c r="BV244" i="72" a="1"/>
  <c r="BW15" i="72" a="1"/>
  <c r="CA401" i="72" a="1"/>
  <c r="BY63" i="72" a="1"/>
  <c r="BV227" i="72" a="1"/>
  <c r="BV91" i="72" a="1"/>
  <c r="CA402" i="72" a="1"/>
  <c r="BX177" i="72" a="1"/>
  <c r="BU79" i="72" a="1"/>
  <c r="BJ13" i="72" a="1"/>
  <c r="BY176" i="72" a="1"/>
  <c r="BX179" i="72" a="1"/>
  <c r="BV408" i="72" a="1"/>
  <c r="BW146" i="72" a="1"/>
  <c r="BV277" i="72" a="1"/>
  <c r="CH78" i="72" a="1"/>
  <c r="CF80" i="72" a="1"/>
  <c r="BU192" i="72" a="1"/>
  <c r="BW250" i="72" a="1"/>
  <c r="BV170" i="72" a="1"/>
  <c r="BU53" i="72" a="1"/>
  <c r="BV16" i="72" a="1"/>
  <c r="CG32" i="72" a="1"/>
  <c r="BU75" i="92" a="1"/>
  <c r="BY27" i="72" a="1"/>
  <c r="BW218" i="72" a="1"/>
  <c r="CI69" i="72" a="1"/>
  <c r="BU241" i="72" a="1"/>
  <c r="BV194" i="72" a="1"/>
  <c r="BV84" i="72" a="1"/>
  <c r="BY181" i="72" a="1"/>
  <c r="BK13" i="72" a="1"/>
  <c r="BV53" i="72" a="1"/>
  <c r="BU320" i="72" a="1"/>
  <c r="BX12" i="72" a="1"/>
  <c r="BW27" i="72" a="1"/>
  <c r="BN21" i="72" a="1"/>
  <c r="CH34" i="72" a="1"/>
  <c r="CG27" i="72" a="1"/>
  <c r="CG42" i="72" a="1"/>
  <c r="BY196" i="72" a="1"/>
  <c r="CH11" i="72" a="1"/>
  <c r="BX133" i="72" a="1"/>
  <c r="BX81" i="72" a="1"/>
  <c r="BU250" i="92" a="1"/>
  <c r="CI47" i="72" a="1"/>
  <c r="BV292" i="72" a="1"/>
  <c r="BM402" i="72" a="1"/>
  <c r="BY400" i="72" a="1"/>
  <c r="BV191" i="72" a="1"/>
  <c r="BV237" i="72" a="1"/>
  <c r="BW287" i="72" a="1"/>
  <c r="BY245" i="72" a="1"/>
  <c r="BW148" i="72" a="1"/>
  <c r="BU44" i="72" a="1"/>
  <c r="BX53" i="72" a="1"/>
  <c r="BY259" i="72" a="1"/>
  <c r="BX17" i="72" a="1"/>
  <c r="BX82" i="72" a="1"/>
  <c r="BW308" i="72" a="1"/>
  <c r="BV34" i="72" a="1"/>
  <c r="BX250" i="72" a="1"/>
  <c r="BQ403" i="72" a="1"/>
  <c r="BX62" i="72" a="1"/>
  <c r="BU35" i="72" a="1"/>
  <c r="BW322" i="72" a="1"/>
  <c r="BU193" i="72" a="1"/>
  <c r="BN408" i="72" a="1"/>
  <c r="BY159" i="72" a="1"/>
  <c r="BX210" i="72" a="1"/>
  <c r="BV192" i="72" a="1"/>
  <c r="BW321" i="72" a="1"/>
  <c r="BW210" i="72" a="1"/>
  <c r="BX291" i="72" a="1"/>
  <c r="BW128" i="72" a="1"/>
  <c r="CF47" i="72" a="1"/>
  <c r="BW254" i="72" a="1"/>
  <c r="BO403" i="72" a="1"/>
  <c r="BY101" i="72" a="1"/>
  <c r="BW92" i="72" a="1"/>
  <c r="BW43" i="72" a="1"/>
  <c r="BU211" i="72" a="1"/>
  <c r="CF30" i="72" a="1"/>
  <c r="CI60" i="72" a="1"/>
  <c r="BU234" i="92" a="1"/>
  <c r="BW325" i="72" a="1"/>
  <c r="BW61" i="72" a="1"/>
  <c r="CF75" i="72" a="1"/>
  <c r="BV68" i="72" a="1"/>
  <c r="BX189" i="72" a="1"/>
  <c r="BY61" i="72" a="1"/>
  <c r="BV133" i="72" a="1"/>
  <c r="CJ17" i="72" a="1"/>
  <c r="BU106" i="92" a="1"/>
  <c r="CG80" i="72" a="1"/>
  <c r="BY32" i="72" a="1"/>
  <c r="CI45" i="72" a="1"/>
  <c r="BY236" i="72" a="1"/>
  <c r="BW274" i="72" a="1"/>
  <c r="BX220" i="72" a="1"/>
  <c r="BX36" i="72" a="1"/>
  <c r="BU273" i="72" a="1"/>
  <c r="BV287" i="72" a="1"/>
  <c r="BX293" i="72" a="1"/>
  <c r="BW301" i="72" a="1"/>
  <c r="BW108" i="72" a="1"/>
  <c r="BV171" i="72" a="1"/>
  <c r="BY285" i="72" a="1"/>
  <c r="BU67" i="72" a="1"/>
  <c r="BV10" i="72" a="1"/>
  <c r="BV308" i="72" a="1"/>
  <c r="BV399" i="72" a="1"/>
  <c r="CJ28" i="72" a="1"/>
  <c r="BV35" i="72" a="1"/>
  <c r="BX197" i="72" a="1"/>
  <c r="BU117" i="72" a="1"/>
  <c r="BV60" i="72" a="1"/>
  <c r="BX29" i="72" a="1"/>
  <c r="BX160" i="72" a="1"/>
  <c r="BM403" i="72" a="1"/>
  <c r="CH36" i="72" a="1"/>
  <c r="BY12" i="72" a="1"/>
  <c r="CI85" i="72" a="1"/>
  <c r="BW197" i="72" a="1"/>
  <c r="BY76" i="72" a="1"/>
  <c r="BW93" i="72" a="1"/>
  <c r="BV62" i="72" a="1"/>
  <c r="BU299" i="92" a="1"/>
  <c r="CJ74" i="72" a="1"/>
  <c r="BY228" i="72" a="1"/>
  <c r="BY174" i="72" a="1"/>
  <c r="BV113" i="72" a="1"/>
  <c r="CH53" i="72" a="1"/>
  <c r="BY52" i="72" a="1"/>
  <c r="CG67" i="72" a="1"/>
  <c r="BY308" i="72" a="1"/>
  <c r="BX147" i="72" a="1"/>
  <c r="CF29" i="72" a="1"/>
  <c r="BV196" i="72" a="1"/>
  <c r="CI48" i="72" a="1"/>
  <c r="BV116" i="72" a="1"/>
  <c r="CI33" i="72" a="1"/>
  <c r="BW402" i="72" a="1"/>
  <c r="BX180" i="72" a="1"/>
  <c r="BW260" i="72" a="1"/>
  <c r="BW314" i="72" a="1"/>
  <c r="BW26" i="72" a="1"/>
  <c r="CH79" i="72" a="1"/>
  <c r="BX148" i="72" a="1"/>
  <c r="CI46" i="72" a="1"/>
  <c r="BV319" i="72" a="1"/>
  <c r="BY202" i="72" a="1"/>
  <c r="BV288" i="72" a="1"/>
  <c r="BY36" i="72" a="1"/>
  <c r="BU407" i="72" a="1"/>
  <c r="BX61" i="72" a="1"/>
  <c r="BX237" i="72" a="1"/>
  <c r="CB401" i="72" a="1"/>
  <c r="BL31" i="72" a="1"/>
  <c r="BX289" i="72" a="1"/>
  <c r="BW256" i="72" a="1"/>
  <c r="BW255" i="72" a="1"/>
  <c r="BX139" i="72" a="1"/>
  <c r="CG26" i="72" a="1"/>
  <c r="BU276" i="72" a="1"/>
  <c r="CI51" i="72" a="1"/>
  <c r="BQ407" i="72" a="1"/>
  <c r="BY126" i="72" a="1"/>
  <c r="BX67" i="72" a="1"/>
  <c r="BW243" i="72" a="1"/>
  <c r="BL20" i="72" a="1"/>
  <c r="BW221" i="72" a="1"/>
  <c r="BV180" i="72" a="1"/>
  <c r="BU163" i="72" a="1"/>
  <c r="BU288" i="72" a="1"/>
  <c r="BV96" i="72" a="1"/>
  <c r="BX124" i="72" a="1"/>
  <c r="BY403" i="72" a="1"/>
  <c r="BV74" i="72" a="1"/>
  <c r="BW127" i="72" a="1"/>
  <c r="BX223" i="72" a="1"/>
  <c r="BU58" i="72" a="1"/>
  <c r="BX33" i="72" a="1"/>
  <c r="BO400" i="72" a="1"/>
  <c r="BV253" i="72" a="1"/>
  <c r="BW211" i="72" a="1"/>
  <c r="BY251" i="72" a="1"/>
  <c r="BV117" i="72" a="1"/>
  <c r="BX117" i="72" a="1"/>
  <c r="BY140" i="72" a="1"/>
  <c r="BU84" i="72" a="1"/>
  <c r="BX221" i="72" a="1"/>
  <c r="BU113" i="72" a="1"/>
  <c r="BX144" i="72" a="1"/>
  <c r="BJ401" i="72" a="1"/>
  <c r="BU213" i="72" a="1"/>
  <c r="CF60" i="72" a="1"/>
  <c r="CF49" i="72" a="1"/>
  <c r="BX300" i="72" a="1"/>
  <c r="BX401" i="72" a="1"/>
  <c r="CI29" i="72" a="1"/>
  <c r="BJ27" i="72" a="1"/>
  <c r="CB408" i="72" a="1"/>
  <c r="CI49" i="72" a="1"/>
  <c r="CJ83" i="72" a="1"/>
  <c r="BW145" i="72" a="1"/>
  <c r="CJ18" i="72" a="1"/>
  <c r="CF46" i="72" a="1"/>
  <c r="CF266" i="92" a="1"/>
  <c r="BW80" i="72" a="1"/>
  <c r="CF282" i="92" a="1"/>
  <c r="BU59" i="72" a="1"/>
  <c r="BY255" i="72" a="1"/>
  <c r="BW275" i="72" a="1"/>
  <c r="BU235" i="92" a="1"/>
  <c r="CI43" i="72" a="1"/>
  <c r="BU159" i="72" a="1"/>
  <c r="CF81" i="72" a="1"/>
  <c r="CF234" i="92" a="1"/>
  <c r="CG14" i="72" a="1"/>
  <c r="BU126" i="72" a="1"/>
  <c r="BV241" i="72" a="1"/>
  <c r="BW59" i="72" a="1"/>
  <c r="BY257" i="72" a="1"/>
  <c r="BU229" i="72" a="1"/>
  <c r="BN18" i="72" a="1"/>
  <c r="BU133" i="72" a="1"/>
  <c r="BU188" i="72" a="1"/>
  <c r="BY194" i="72" a="1"/>
  <c r="BW141" i="72" a="1"/>
  <c r="CG62" i="72" a="1"/>
  <c r="BY404" i="72" a="1"/>
  <c r="BW30" i="72" a="1"/>
  <c r="BV64" i="72" a="1"/>
  <c r="BW399" i="72" a="1"/>
  <c r="BV176" i="72" a="1"/>
  <c r="BY115" i="72" a="1"/>
  <c r="BU218" i="92" a="1"/>
  <c r="BU285" i="72" a="1"/>
  <c r="CJ79" i="72" a="1"/>
  <c r="BY97" i="72" a="1"/>
  <c r="CG50" i="72" a="1"/>
  <c r="BW192" i="72" a="1"/>
  <c r="CJ33" i="72" a="1"/>
  <c r="BU291" i="72" a="1"/>
  <c r="BY178" i="72" a="1"/>
  <c r="BX319" i="72" a="1"/>
  <c r="BV177" i="72" a="1"/>
  <c r="CH81" i="72" a="1"/>
  <c r="BM32" i="72" a="1"/>
  <c r="BX77" i="72" a="1"/>
  <c r="BW252" i="72" a="1"/>
  <c r="BN407" i="72" a="1"/>
  <c r="BY179" i="72" a="1"/>
  <c r="BY293" i="72" a="1"/>
  <c r="BY223" i="72" a="1"/>
  <c r="BX307" i="72" a="1"/>
  <c r="BX290" i="72" a="1"/>
  <c r="BY222" i="72" a="1"/>
  <c r="BY44" i="72" a="1"/>
  <c r="BX140" i="72" a="1"/>
  <c r="BW224" i="72" a="1"/>
  <c r="BU186" i="72" a="1"/>
  <c r="BV36" i="72" a="1"/>
  <c r="BY30" i="72" a="1"/>
  <c r="CA406" i="72" a="1"/>
  <c r="CJ45" i="72" a="1"/>
  <c r="BW100" i="72" a="1"/>
  <c r="BX204" i="72" a="1"/>
  <c r="BV77" i="72" a="1"/>
  <c r="BU173" i="72" a="1"/>
  <c r="BY320" i="72" a="1"/>
  <c r="BY53" i="72" a="1"/>
  <c r="BX292" i="72" a="1"/>
  <c r="CJ12" i="72" a="1"/>
  <c r="BW125" i="72" a="1"/>
  <c r="BU190" i="72" a="1"/>
  <c r="CI91" i="72" a="1"/>
  <c r="BV32" i="72" a="1"/>
  <c r="BU132" i="72" a="1"/>
  <c r="BW82" i="72" a="1"/>
  <c r="CI50" i="72" a="1"/>
  <c r="BY304" i="72" a="1"/>
  <c r="BU143" i="72" a="1"/>
  <c r="CB407" i="72" a="1"/>
  <c r="BL403" i="72" a="1"/>
  <c r="BX212" i="72" a="1"/>
  <c r="BK407" i="72" a="1"/>
  <c r="CJ42" i="72" a="1"/>
  <c r="CI75" i="72" a="1"/>
  <c r="BU267" i="72" a="1"/>
  <c r="BY408" i="72" a="1"/>
  <c r="BY124" i="72" a="1"/>
  <c r="BY284" i="72" a="1"/>
  <c r="BV302" i="72" a="1"/>
  <c r="BY286" i="72" a="1"/>
  <c r="BX66" i="72" a="1"/>
  <c r="BW194" i="72" a="1"/>
  <c r="BL34" i="72" a="1"/>
  <c r="BX188" i="72" a="1"/>
  <c r="BJ19" i="72" a="1"/>
  <c r="BV83" i="72" a="1"/>
  <c r="BV61" i="72" a="1"/>
  <c r="BW309" i="72" a="1"/>
  <c r="BU45" i="72" a="1"/>
  <c r="BL15" i="72" a="1"/>
  <c r="CH90" i="72" a="1"/>
  <c r="BX317" i="72" a="1"/>
  <c r="CJ90" i="72" a="1"/>
  <c r="BW143" i="72" a="1"/>
  <c r="BY161" i="72" a="1"/>
  <c r="BX187" i="72" a="1"/>
  <c r="BU130" i="72" a="1"/>
  <c r="BV95" i="72" a="1"/>
  <c r="BL19" i="72" a="1"/>
  <c r="BW291" i="72" a="1"/>
  <c r="BU154" i="72" a="1"/>
  <c r="BW69" i="72" a="1"/>
  <c r="BU399" i="72" a="1"/>
  <c r="BV143" i="72" a="1"/>
  <c r="BY19" i="72" a="1"/>
  <c r="BY172" i="72" a="1"/>
  <c r="BX176" i="72" a="1"/>
  <c r="BY47" i="72" a="1"/>
  <c r="BJ30" i="72" a="1"/>
  <c r="BK14" i="72" a="1"/>
  <c r="CF83" i="72" a="1"/>
  <c r="BV18" i="72" a="1"/>
  <c r="BY303" i="72" a="1"/>
  <c r="BX15" i="72" a="1"/>
  <c r="CG68" i="72" a="1"/>
  <c r="BY268" i="72" a="1"/>
  <c r="BX130" i="72" a="1"/>
  <c r="CG91" i="72" a="1"/>
  <c r="BU177" i="72" a="1"/>
  <c r="BK27" i="72" a="1"/>
  <c r="BW36" i="72" a="1"/>
  <c r="CI59" i="72" a="1"/>
  <c r="BU165" i="72" a="1"/>
  <c r="BV115" i="72" a="1"/>
  <c r="BX31" i="72" a="1"/>
  <c r="BX69" i="72" a="1"/>
  <c r="BW258" i="72" a="1"/>
  <c r="BY237" i="72" a="1"/>
  <c r="BY143" i="72" a="1"/>
  <c r="BV195" i="72" a="1"/>
  <c r="BV76" i="72" a="1"/>
  <c r="BV307" i="72" a="1"/>
  <c r="BJ404" i="72" a="1"/>
  <c r="BV314" i="72" a="1"/>
  <c r="BY58" i="72" a="1"/>
  <c r="BY29" i="72" a="1"/>
  <c r="BK11" i="72" a="1"/>
  <c r="BW407" i="72" a="1"/>
  <c r="BX320" i="72" a="1"/>
  <c r="BV269" i="72" a="1"/>
  <c r="BU181" i="72" a="1"/>
  <c r="BX303" i="72" a="1"/>
  <c r="BX315" i="72" a="1"/>
  <c r="BX45" i="72" a="1"/>
  <c r="BW323" i="72" a="1"/>
  <c r="BY99" i="72" a="1"/>
  <c r="BY276" i="72" a="1"/>
  <c r="BW212" i="72" a="1"/>
  <c r="BY127" i="72" a="1"/>
  <c r="BU179" i="72" a="1"/>
  <c r="BW173" i="72" a="1"/>
  <c r="BU171" i="92" a="1"/>
  <c r="BY35" i="72" a="1"/>
  <c r="BY254" i="72" a="1"/>
  <c r="BX314" i="72" a="1"/>
  <c r="BL21" i="72" a="1"/>
  <c r="CF43" i="72" a="1"/>
  <c r="BW94" i="72" a="1"/>
  <c r="BW29" i="72" a="1"/>
  <c r="CB404" i="72" a="1"/>
  <c r="CH61" i="72" a="1"/>
  <c r="CG74" i="72" a="1"/>
  <c r="BX191" i="72" a="1"/>
  <c r="CG64" i="72" a="1"/>
  <c r="BX96" i="72" a="1"/>
  <c r="BU63" i="72" a="1"/>
  <c r="BW131" i="72" a="1"/>
  <c r="BX243" i="72" a="1"/>
  <c r="CF34" i="72" a="1"/>
  <c r="BX122" i="72" a="1"/>
  <c r="BK20" i="72" a="1"/>
  <c r="BW285" i="72" a="1"/>
  <c r="CG37" i="72" a="1"/>
  <c r="BX174" i="72" a="1"/>
  <c r="BU49" i="72" a="1"/>
  <c r="BX275" i="72" a="1"/>
  <c r="BK21" i="72" a="1"/>
  <c r="BY299" i="72" a="1"/>
  <c r="BU275" i="72" a="1"/>
  <c r="BU37" i="72" a="1"/>
  <c r="BL18" i="72" a="1"/>
  <c r="CF283" i="92" a="1"/>
  <c r="CI62" i="72" a="1"/>
  <c r="BO401" i="72" a="1"/>
  <c r="CF235" i="92" a="1"/>
  <c r="BX52" i="72" a="1"/>
  <c r="BY221" i="72" a="1"/>
  <c r="CF299" i="92" a="1"/>
  <c r="BW403" i="72" a="1"/>
  <c r="BU97" i="72" a="1"/>
  <c r="BM399" i="72" a="1"/>
  <c r="CG66" i="72" a="1"/>
  <c r="BY256" i="72" a="1"/>
  <c r="BW51" i="72" a="1"/>
  <c r="BX114" i="72" a="1"/>
  <c r="BX10" i="72" a="1"/>
  <c r="BW284" i="72" a="1"/>
  <c r="BW239" i="72" a="1"/>
  <c r="BV94" i="72" a="1"/>
  <c r="BJ17" i="72" a="1"/>
  <c r="CI44" i="72" a="1"/>
  <c r="BJ400" i="72" a="1"/>
  <c r="BY170" i="72" a="1"/>
  <c r="BU290" i="72" a="1"/>
  <c r="BU139" i="92" a="1"/>
  <c r="BU149" i="72" a="1"/>
  <c r="BV189" i="72" a="1"/>
  <c r="BQ408" i="72" a="1"/>
  <c r="CI66" i="72" a="1"/>
  <c r="CF18" i="72" a="1"/>
  <c r="CF74" i="92" a="1"/>
  <c r="BV80" i="72" a="1"/>
  <c r="BX107" i="72" a="1"/>
  <c r="BX271" i="72" a="1"/>
  <c r="BU158" i="72" a="1"/>
  <c r="BJ28" i="72" a="1"/>
  <c r="BU51" i="72" a="1"/>
  <c r="BY10" i="72" a="1"/>
  <c r="BU148" i="72" a="1"/>
  <c r="CJ81" i="72" a="1"/>
  <c r="BW132" i="72" a="1"/>
  <c r="BV273" i="72" a="1"/>
  <c r="BY162" i="72" a="1"/>
  <c r="BW220" i="72" a="1"/>
  <c r="BX20" i="72" a="1"/>
  <c r="BY177" i="72" a="1"/>
  <c r="BW204" i="72" a="1"/>
  <c r="BX192" i="72" a="1"/>
  <c r="BX254" i="72" a="1"/>
  <c r="BU65" i="72" a="1"/>
  <c r="BU301" i="72" a="1"/>
  <c r="BX298" i="72" a="1"/>
  <c r="CI53" i="72" a="1"/>
  <c r="BU406" i="72" a="1"/>
  <c r="BU156" i="72" a="1"/>
  <c r="BY274" i="72" a="1"/>
  <c r="CJ69" i="72" a="1"/>
  <c r="BV93" i="72" a="1"/>
  <c r="BX155" i="72" a="1"/>
  <c r="CH50" i="72" a="1"/>
  <c r="CH74" i="72" a="1"/>
  <c r="CH68" i="72" a="1"/>
  <c r="BV305" i="72" a="1"/>
  <c r="BU203" i="72" a="1"/>
  <c r="BW122" i="72" a="1"/>
  <c r="BV12" i="72" a="1"/>
  <c r="BV190" i="72" a="1"/>
  <c r="BY147" i="72" a="1"/>
  <c r="BV139" i="72" a="1"/>
  <c r="BX65" i="72" a="1"/>
  <c r="BV122" i="72" a="1"/>
  <c r="BL14" i="72" a="1"/>
  <c r="BV252" i="72" a="1"/>
  <c r="CI34" i="72" a="1"/>
  <c r="BV138" i="72" a="1"/>
  <c r="BV110" i="72" a="1"/>
  <c r="CQ16" i="72" a="1"/>
  <c r="BW76" i="72" a="1"/>
  <c r="CJ75" i="72" a="1"/>
  <c r="CF187" i="92" a="1"/>
  <c r="BV268" i="72" a="1"/>
  <c r="CJ10" i="72" a="1"/>
  <c r="BX19" i="72" a="1"/>
  <c r="BW174" i="72" a="1"/>
  <c r="CJ34" i="72" a="1"/>
  <c r="BU140" i="72" a="1"/>
  <c r="BW242" i="72" a="1"/>
  <c r="CG16" i="72" a="1"/>
  <c r="BX259" i="72" a="1"/>
  <c r="CH51" i="72" a="1"/>
  <c r="CB400" i="72" a="1"/>
  <c r="CH15" i="72" a="1"/>
  <c r="BN406" i="72" a="1"/>
  <c r="BW193" i="72" a="1"/>
  <c r="CF106" i="92" a="1"/>
  <c r="BV276" i="72" a="1"/>
  <c r="BO405" i="72" a="1"/>
  <c r="BV291" i="72" a="1"/>
  <c r="CJ46" i="72" a="1"/>
  <c r="CG31" i="72" a="1"/>
  <c r="BU164" i="72" a="1"/>
  <c r="BW17" i="72" a="1"/>
  <c r="CG78" i="72" a="1"/>
  <c r="BV238" i="72" a="1"/>
  <c r="BN20" i="72" a="1"/>
  <c r="CA404" i="72" a="1"/>
  <c r="BY149" i="72" a="1"/>
  <c r="BJ35" i="72" a="1"/>
  <c r="BW202" i="72" a="1"/>
  <c r="BY133" i="72" a="1"/>
  <c r="BW84" i="72" a="1"/>
  <c r="CA408" i="72" a="1"/>
  <c r="BY270" i="72" a="1"/>
  <c r="CH84" i="72" a="1"/>
  <c r="BU405" i="72" a="1"/>
  <c r="CF314" i="92" a="1"/>
  <c r="BV213" i="72" a="1"/>
  <c r="BY93" i="72" a="1"/>
  <c r="BQ401" i="72" a="1"/>
  <c r="BV92" i="72" a="1"/>
  <c r="BJ26" i="72" a="1"/>
  <c r="CF74" i="72" a="1"/>
  <c r="BM15" i="72" a="1"/>
  <c r="BX205" i="72" a="1"/>
  <c r="CF58" i="92" a="1"/>
  <c r="CJ32" i="72" a="1"/>
  <c r="BU69" i="72" a="1"/>
  <c r="BY90" i="72" a="1"/>
  <c r="BN30" i="72" a="1"/>
  <c r="CG85" i="72" a="1"/>
  <c r="BW225" i="72" a="1"/>
  <c r="BW172" i="72" a="1"/>
  <c r="BV132" i="72" a="1"/>
  <c r="CJ29" i="72" a="1"/>
  <c r="BU289" i="72" a="1"/>
  <c r="BY144" i="72" a="1"/>
  <c r="BW176" i="72" a="1"/>
  <c r="BW293" i="72" a="1"/>
  <c r="BX316" i="72" a="1"/>
  <c r="BU146" i="72" a="1"/>
  <c r="BN10" i="72" a="1"/>
  <c r="BU94" i="72" a="1"/>
  <c r="BW324" i="72" a="1"/>
  <c r="BY272" i="72" a="1"/>
  <c r="BU90" i="92" a="1"/>
  <c r="BU13" i="72" a="1"/>
  <c r="BX267" i="72" a="1"/>
  <c r="CH13" i="72" a="1"/>
  <c r="BV123" i="72" a="1"/>
  <c r="BV158" i="72" a="1"/>
  <c r="BY191" i="72" a="1"/>
  <c r="BY77" i="72" a="1"/>
  <c r="BY82" i="72" a="1"/>
  <c r="BU195" i="72" a="1"/>
  <c r="BW316" i="72" a="1"/>
  <c r="CF219" i="92" a="1"/>
  <c r="CF65" i="72" a="1"/>
  <c r="BL33" i="72" a="1"/>
  <c r="BM405" i="72" a="1"/>
  <c r="BY290" i="72" a="1"/>
  <c r="BX34" i="72" a="1"/>
  <c r="BW53" i="72" a="1"/>
  <c r="BY307" i="72" a="1"/>
  <c r="BJ402" i="72" a="1"/>
  <c r="BN399" i="72" a="1"/>
  <c r="BX213" i="72" a="1"/>
  <c r="BX235" i="72" a="1"/>
  <c r="BX46" i="72" a="1"/>
  <c r="BV148" i="72" a="1"/>
  <c r="BX116" i="72" a="1"/>
  <c r="BU112" i="72" a="1"/>
  <c r="BX157" i="72" a="1"/>
  <c r="BU62" i="72" a="1"/>
  <c r="BK19" i="72" a="1"/>
  <c r="BW319" i="72" a="1"/>
  <c r="BU219" i="72" a="1"/>
  <c r="BM20" i="72" a="1"/>
  <c r="CJ59" i="72" a="1"/>
  <c r="BY79" i="72" a="1"/>
  <c r="CG79" i="72" a="1"/>
  <c r="BW234" i="72" a="1"/>
  <c r="BY81" i="72" a="1"/>
  <c r="BM10" i="72" a="1"/>
  <c r="BY117" i="72" a="1"/>
  <c r="CF19" i="72" a="1"/>
  <c r="BV299" i="72" a="1"/>
  <c r="BU95" i="72" a="1"/>
  <c r="BU319" i="72" a="1"/>
  <c r="BX285" i="72" a="1"/>
  <c r="CA405" i="72" a="1"/>
  <c r="BV179" i="72" a="1"/>
  <c r="BW270" i="72" a="1"/>
  <c r="BU221" i="72" a="1"/>
  <c r="BX30" i="72" a="1"/>
  <c r="CJ51" i="72" a="1"/>
  <c r="CQ21" i="72" a="1"/>
  <c r="BN27" i="72" a="1"/>
  <c r="BK10" i="72" a="1"/>
  <c r="BU403" i="72" a="1"/>
  <c r="CH16" i="72" a="1"/>
  <c r="BV98" i="72" a="1"/>
  <c r="CI63" i="72" a="1"/>
  <c r="BW299" i="72" a="1"/>
  <c r="BM26" i="72" a="1"/>
  <c r="BW130" i="72" a="1"/>
  <c r="BY100" i="72" a="1"/>
  <c r="CF170" i="92" a="1"/>
  <c r="CI80" i="72" a="1"/>
  <c r="BW101" i="72" a="1"/>
  <c r="CF63" i="72" a="1"/>
  <c r="BK403" i="72" a="1"/>
  <c r="BW35" i="72" a="1"/>
  <c r="BX99" i="72" a="1"/>
  <c r="CQ19" i="72" a="1"/>
  <c r="BW405" i="72" a="1"/>
  <c r="BX308" i="72" a="1"/>
  <c r="BW180" i="72" a="1"/>
  <c r="BJ408" i="72" a="1"/>
  <c r="BW318" i="72" a="1"/>
  <c r="BV140" i="72" a="1"/>
  <c r="BX175" i="72" a="1"/>
  <c r="BY37" i="72" a="1"/>
  <c r="BY160" i="72" a="1"/>
  <c r="BU250" i="72" a="1"/>
  <c r="CJ14" i="72" a="1"/>
  <c r="CI58" i="72" a="1"/>
  <c r="BU26" i="72" a="1"/>
  <c r="BL399" i="72" a="1"/>
  <c r="BV204" i="72" a="1"/>
  <c r="BY252" i="72" a="1"/>
  <c r="CI64" i="72" a="1"/>
  <c r="CG36" i="72" a="1"/>
  <c r="BY164" i="72" a="1"/>
  <c r="BW14" i="72" a="1"/>
  <c r="BW140" i="72" a="1"/>
  <c r="BY114" i="72" a="1"/>
  <c r="BW106" i="72" a="1"/>
  <c r="BW164" i="72" a="1"/>
  <c r="BN31" i="72" a="1"/>
  <c r="BU271" i="72" a="1"/>
  <c r="BU261" i="72" a="1"/>
  <c r="BO404" i="72" a="1"/>
  <c r="CF91" i="72" a="1"/>
  <c r="BU207" i="72" a="1"/>
  <c r="BL402" i="72" a="1"/>
  <c r="BU26" i="92" a="1"/>
  <c r="BY314" i="72" a="1"/>
  <c r="BX158" i="72" a="1"/>
  <c r="BY106" i="72" a="1"/>
  <c r="BX299" i="72" a="1"/>
  <c r="CH76" i="72" a="1"/>
  <c r="BN13" i="72" a="1"/>
  <c r="BW46" i="72" a="1"/>
  <c r="BN405" i="72" a="1"/>
  <c r="BU43" i="72" a="1"/>
  <c r="BX14" i="72" a="1"/>
  <c r="CJ26" i="72" a="1"/>
  <c r="BW205" i="72" a="1"/>
  <c r="BL404" i="72" a="1"/>
  <c r="BV163" i="72" a="1"/>
  <c r="BX163" i="72" a="1"/>
  <c r="CF26" i="92" a="1"/>
  <c r="BW95" i="72" a="1"/>
  <c r="BY189" i="72" a="1"/>
  <c r="BU42" i="72" a="1"/>
  <c r="BW112" i="72" a="1"/>
  <c r="BW315" i="72" a="1"/>
  <c r="BX234" i="72" a="1"/>
  <c r="BW320" i="72" a="1"/>
  <c r="BW277" i="72" a="1"/>
  <c r="BP399" i="72" a="1"/>
  <c r="BM34" i="72" a="1"/>
  <c r="CG12" i="72" a="1"/>
  <c r="BV272" i="72" a="1"/>
  <c r="BV67" i="72" a="1"/>
  <c r="BY75" i="72" a="1"/>
  <c r="BW21" i="72" a="1"/>
  <c r="CF90" i="92" a="1"/>
  <c r="CQ14" i="72" a="1"/>
  <c r="BV271" i="72" a="1"/>
  <c r="BX239" i="72" a="1"/>
  <c r="CI28" i="72" a="1"/>
  <c r="CF36" i="72" a="1"/>
  <c r="BW98" i="72" a="1"/>
  <c r="BV111" i="72" a="1"/>
  <c r="BN11" i="72" a="1"/>
  <c r="BU298" i="92" a="1"/>
  <c r="BV229" i="72" a="1"/>
  <c r="BK404" i="72" a="1"/>
  <c r="BW189" i="72" a="1"/>
  <c r="BY186" i="72" a="1"/>
  <c r="BW10" i="72" a="1"/>
  <c r="BX170" i="72" a="1"/>
  <c r="BX111" i="72" a="1"/>
  <c r="BQ404" i="72" a="1"/>
  <c r="BW107" i="72" a="1"/>
  <c r="CH85" i="72" a="1"/>
  <c r="BV403" i="72" a="1"/>
  <c r="BU205" i="72" a="1"/>
  <c r="CH65" i="72" a="1"/>
  <c r="BY235" i="72" a="1"/>
  <c r="BX404" i="72" a="1"/>
  <c r="CA407" i="72" a="1"/>
  <c r="BK32" i="72" a="1"/>
  <c r="BW48" i="72" a="1"/>
  <c r="CG61" i="72" a="1"/>
  <c r="BW203" i="72" a="1"/>
  <c r="BW171" i="72" a="1"/>
  <c r="CH46" i="72" a="1"/>
  <c r="BU259" i="72" a="1"/>
  <c r="BX288" i="72" a="1"/>
  <c r="BX128" i="72" a="1"/>
  <c r="BY224" i="72" a="1"/>
  <c r="BY291" i="72" a="1"/>
  <c r="BU220" i="72" a="1"/>
  <c r="CJ84" i="72" a="1"/>
  <c r="BV235" i="72" a="1"/>
  <c r="CG48" i="72" a="1"/>
  <c r="BU270" i="72" a="1"/>
  <c r="BX408" i="72" a="1"/>
  <c r="BW406" i="72" a="1"/>
  <c r="BX222" i="72" a="1"/>
  <c r="BJ29" i="72" a="1"/>
  <c r="BU208" i="72" a="1"/>
  <c r="CF107" i="92" a="1"/>
  <c r="CH63" i="72" a="1"/>
  <c r="BV81" i="72" a="1"/>
  <c r="BW404" i="72" a="1"/>
  <c r="BW110" i="72" a="1"/>
  <c r="BU323" i="72" a="1"/>
  <c r="BU299" i="72" a="1"/>
  <c r="BW317" i="72" a="1"/>
  <c r="BY190" i="72" a="1"/>
  <c r="BV402" i="72" a="1"/>
  <c r="BY266" i="72" a="1"/>
  <c r="BU91" i="92" a="1"/>
  <c r="BV289" i="72" a="1"/>
  <c r="BW117" i="72" a="1"/>
  <c r="BX95" i="72" a="1"/>
  <c r="BU266" i="72" a="1"/>
  <c r="BL26" i="72" a="1"/>
  <c r="CI36" i="72" a="1"/>
  <c r="BL11" i="72" a="1"/>
  <c r="BW96" i="72" a="1"/>
  <c r="BL17" i="72" a="1"/>
  <c r="BW245" i="72" a="1"/>
  <c r="BX49" i="72" a="1"/>
  <c r="BW85" i="72" a="1"/>
  <c r="CI90" i="72" a="1"/>
  <c r="BV407" i="72" a="1"/>
  <c r="BW44" i="72" a="1"/>
  <c r="CG33" i="72" a="1"/>
  <c r="CA403" i="72" a="1"/>
  <c r="CF122" i="92" a="1"/>
  <c r="CF21" i="72" a="1"/>
  <c r="BJ21" i="72" a="1"/>
  <c r="CF44" i="72" a="1"/>
  <c r="BX32" i="72" a="1"/>
  <c r="BX306" i="72" a="1"/>
  <c r="BU277" i="72" a="1"/>
  <c r="CH37" i="72" a="1"/>
  <c r="BW45" i="72" a="1"/>
  <c r="BX190" i="72" a="1"/>
  <c r="CF12" i="72" a="1"/>
  <c r="BV65" i="72" a="1"/>
  <c r="BY132" i="72" a="1"/>
  <c r="BY209" i="72" a="1"/>
  <c r="BM31" i="72" a="1"/>
  <c r="BY107" i="72" a="1"/>
  <c r="BU293" i="72" a="1"/>
  <c r="BY206" i="72" a="1"/>
  <c r="CQ15" i="72" a="1"/>
  <c r="BN14" i="72" a="1"/>
  <c r="BX322" i="72" a="1"/>
  <c r="BY287" i="72" a="1"/>
  <c r="BW266" i="72" a="1"/>
  <c r="BX402" i="72" a="1"/>
  <c r="BV128" i="72" a="1"/>
  <c r="BU251" i="72" a="1"/>
  <c r="BU107" i="92" a="1"/>
  <c r="BW83" i="72" a="1"/>
  <c r="BV208" i="72" a="1"/>
  <c r="BW290" i="72" a="1"/>
  <c r="BO402" i="72" a="1"/>
  <c r="BX318" i="72" a="1"/>
  <c r="BV223" i="72" a="1"/>
  <c r="BV59" i="72" a="1"/>
  <c r="BY46" i="72" a="1"/>
  <c r="BL13" i="72" a="1"/>
  <c r="CF53" i="72" a="1"/>
  <c r="BL10" i="72" a="1"/>
  <c r="BV42" i="72" a="1"/>
  <c r="BU254" i="72" a="1"/>
  <c r="CF43" i="92" a="1"/>
  <c r="BW179" i="72" a="1"/>
  <c r="CH45" i="72" a="1"/>
  <c r="BX21" i="72" a="1"/>
  <c r="BU111" i="72" a="1"/>
  <c r="CB405" i="72" a="1"/>
  <c r="CJ78" i="72" a="1"/>
  <c r="BY49" i="72" a="1"/>
  <c r="BU47" i="72" a="1"/>
  <c r="BY260" i="72" a="1"/>
  <c r="BY323" i="72" a="1"/>
  <c r="BX206" i="72" a="1"/>
  <c r="BY192" i="72" a="1"/>
  <c r="BW149" i="72" a="1"/>
  <c r="BU223" i="72" a="1"/>
  <c r="BX28" i="72" a="1"/>
  <c r="BY193" i="72" a="1"/>
  <c r="BK402" i="72" a="1"/>
  <c r="BW159" i="72" a="1"/>
  <c r="BW261" i="72" a="1"/>
  <c r="BW139" i="72" a="1"/>
  <c r="BX47" i="72" a="1"/>
  <c r="BV82" i="72" a="1"/>
  <c r="BY325" i="72" a="1"/>
  <c r="BY110" i="72" a="1"/>
  <c r="BU30" i="72" a="1"/>
  <c r="BN400" i="72" a="1"/>
  <c r="BU197" i="72" a="1"/>
  <c r="BX252" i="72" a="1"/>
  <c r="BY157" i="72" a="1"/>
  <c r="BU114" i="72" a="1"/>
  <c r="BY74" i="72" a="1"/>
  <c r="BU202" i="72" a="1"/>
  <c r="BV85" i="72" a="1"/>
  <c r="CG13" i="72" a="1"/>
  <c r="BX106" i="72" a="1"/>
  <c r="BV19" i="72" a="1"/>
  <c r="BU48" i="72" a="1"/>
  <c r="BV69" i="72" a="1"/>
  <c r="BL29" i="72" a="1"/>
  <c r="BU267" i="92" a="1"/>
  <c r="BN26" i="72" a="1"/>
  <c r="CG35" i="72" a="1"/>
  <c r="BY171" i="72" a="1"/>
  <c r="BW144" i="72" a="1"/>
  <c r="BY204" i="72" a="1"/>
  <c r="BY28" i="72" a="1"/>
  <c r="BU160" i="72" a="1"/>
  <c r="BX207" i="72" a="1"/>
  <c r="BW206" i="72" a="1"/>
  <c r="BU91" i="72" a="1"/>
  <c r="BW42" i="72" a="1"/>
  <c r="BW11" i="72" a="1"/>
  <c r="BU154" i="92" a="1"/>
  <c r="BX202" i="72" a="1"/>
  <c r="BV270" i="72" a="1"/>
  <c r="BW52" i="72" a="1"/>
  <c r="BM13" i="72" a="1"/>
  <c r="BW222" i="72" a="1"/>
  <c r="BU325" i="72" a="1"/>
  <c r="CG90" i="72" a="1"/>
  <c r="BM11" i="72" a="1"/>
  <c r="BW401" i="72" a="1"/>
  <c r="BY69" i="72" a="1"/>
  <c r="BU400" i="72" a="1"/>
  <c r="BV401" i="72" a="1"/>
  <c r="BU93" i="72" a="1"/>
  <c r="CI78" i="72" a="1"/>
  <c r="BV300" i="72" a="1"/>
  <c r="BY15" i="72" a="1"/>
  <c r="BX48" i="72" a="1"/>
  <c r="BU307" i="72" a="1"/>
  <c r="BJ14" i="72" a="1"/>
  <c r="BX173" i="72" a="1"/>
  <c r="CG58" i="72" a="1"/>
  <c r="BW188" i="72" a="1"/>
  <c r="CH67" i="72" a="1"/>
  <c r="CF75" i="92" a="1"/>
  <c r="BU204" i="72" a="1"/>
  <c r="BU11" i="92" a="1"/>
  <c r="BX203" i="72" a="1"/>
  <c r="BL32" i="72" a="1"/>
  <c r="CI61" i="72" a="1"/>
  <c r="BW408" i="72" a="1"/>
  <c r="BW64" i="72" a="1"/>
  <c r="BW235" i="72" a="1"/>
  <c r="BU100" i="72" a="1"/>
  <c r="BV221" i="72" a="1"/>
  <c r="BK29" i="72" a="1"/>
  <c r="BX242" i="72" a="1"/>
  <c r="CF92" i="72" a="1"/>
  <c r="BY271" i="72" a="1"/>
  <c r="BV107" i="72" a="1"/>
  <c r="BV250" i="72" a="1"/>
  <c r="BU52" i="72" a="1"/>
  <c r="BW219" i="72" a="1"/>
  <c r="BX27" i="72" a="1"/>
  <c r="BV131" i="72" a="1"/>
  <c r="BW19" i="72" a="1"/>
  <c r="BY175" i="72" a="1"/>
  <c r="BM407" i="72" a="1"/>
  <c r="BW155" i="72" a="1"/>
  <c r="CI84" i="72" a="1"/>
  <c r="BY300" i="72" a="1"/>
  <c r="BX42" i="72" a="1"/>
  <c r="BW282" i="72" a="1"/>
  <c r="BW178" i="72" a="1"/>
  <c r="BX196" i="72" a="1"/>
  <c r="BW126" i="72" a="1"/>
  <c r="CJ61" i="72" a="1"/>
  <c r="BW238" i="72" a="1"/>
  <c r="BW298" i="72" a="1"/>
  <c r="BM408" i="72" a="1"/>
  <c r="BW157" i="72" a="1"/>
  <c r="BX301" i="72" a="1"/>
  <c r="BV303" i="72" a="1"/>
  <c r="BX113" i="72" a="1"/>
  <c r="BX224" i="72" a="1"/>
  <c r="CB399" i="72" a="1"/>
  <c r="BK12" i="72" a="1"/>
  <c r="CB402" i="72" a="1"/>
  <c r="CF32" i="72" a="1"/>
  <c r="BW207" i="72" a="1"/>
  <c r="CF78" i="72" a="1"/>
  <c r="BW33" i="72" a="1"/>
  <c r="CQ20" i="72" a="1"/>
  <c r="CF203" i="92" a="1"/>
  <c r="BP401" i="72" a="1"/>
  <c r="BV205" i="72" a="1"/>
  <c r="BW196" i="72" a="1"/>
  <c r="BX283" i="72" a="1"/>
  <c r="BW165" i="72" a="1"/>
  <c r="BU46" i="72" a="1"/>
  <c r="BU282" i="72" a="1"/>
  <c r="BV178" i="72" a="1"/>
  <c r="BV156" i="72" a="1"/>
  <c r="CB406" i="72" a="1"/>
  <c r="CF35" i="72" a="1"/>
  <c r="BV164" i="72" a="1"/>
  <c r="BW213" i="72" a="1"/>
  <c r="BW37" i="72" a="1"/>
  <c r="BV49" i="72" a="1"/>
  <c r="BX76" i="72" a="1"/>
  <c r="CG65" i="72" a="1"/>
  <c r="BY253" i="72" a="1"/>
  <c r="BV258" i="72" a="1"/>
  <c r="BY243" i="72" a="1"/>
  <c r="BV28" i="72" a="1"/>
  <c r="BY156" i="72" a="1"/>
  <c r="BU123" i="92" a="1"/>
  <c r="BP406" i="72" a="1"/>
  <c r="BW109" i="72" a="1"/>
  <c r="BW129" i="72" a="1"/>
  <c r="BU16" i="72" a="1"/>
  <c r="CF202" i="92" a="1"/>
  <c r="BV405" i="72" a="1"/>
  <c r="BU180" i="72" a="1"/>
  <c r="CH18" i="72" a="1"/>
  <c r="CH66" i="72" a="1"/>
  <c r="CJ66" i="72" a="1"/>
  <c r="CI79" i="72" a="1"/>
  <c r="BU314" i="72" a="1"/>
  <c r="BX225" i="72" a="1"/>
  <c r="CH80" i="72" a="1"/>
  <c r="BU227" i="72" a="1"/>
  <c r="BU324" i="72" a="1"/>
  <c r="BW91" i="72" a="1"/>
  <c r="BX400" i="72" a="1"/>
  <c r="BX93" i="72" a="1"/>
  <c r="BW170" i="72" a="1"/>
  <c r="BY305" i="72" a="1"/>
  <c r="BV149" i="72" a="1"/>
  <c r="CF315" i="92" a="1"/>
  <c r="CA400" i="72" a="1"/>
  <c r="BU268" i="72" a="1"/>
  <c r="CJ44" i="72" a="1"/>
  <c r="BV284" i="72" a="1"/>
  <c r="BK18" i="72" a="1"/>
  <c r="BW156" i="72" a="1"/>
  <c r="CG76" i="72" a="1"/>
  <c r="CJ27" i="72" a="1"/>
  <c r="BX159" i="72" a="1"/>
  <c r="BY64" i="72" a="1"/>
  <c r="BX266" i="72" a="1"/>
  <c r="BV290" i="72" a="1"/>
  <c r="CB403" i="72" a="1"/>
  <c r="CJ62" i="72" a="1"/>
  <c r="BX13" i="72" a="1"/>
  <c r="BU15" i="72" a="1"/>
  <c r="CJ77" i="72" a="1"/>
  <c r="BX132" i="72" a="1"/>
  <c r="CH14" i="72" a="1"/>
  <c r="BU303" i="72" a="1"/>
  <c r="BX94" i="72" a="1"/>
  <c r="BV226" i="72" a="1"/>
  <c r="BW208" i="72" a="1"/>
  <c r="CH20" i="72" a="1"/>
  <c r="BY43" i="72" a="1"/>
  <c r="CH28" i="72" a="1"/>
  <c r="BY318" i="72" a="1"/>
  <c r="CG29" i="72" a="1"/>
  <c r="BV142" i="72" a="1"/>
  <c r="CG28" i="72" a="1"/>
  <c r="BU78" i="72" a="1"/>
  <c r="BX276" i="72" a="1"/>
  <c r="CG46" i="72" a="1"/>
  <c r="CG17" i="72" a="1"/>
  <c r="BX269" i="72" a="1"/>
  <c r="BY123" i="72" a="1"/>
  <c r="CG59" i="72" a="1"/>
  <c r="CF45" i="72" a="1"/>
  <c r="BY302" i="72" a="1"/>
  <c r="BY131" i="72" a="1"/>
  <c r="BN16" i="72" a="1"/>
  <c r="BX112" i="72" a="1"/>
  <c r="CH10" i="72" a="1"/>
  <c r="BX399" i="72" a="1"/>
  <c r="BY292" i="72" a="1"/>
  <c r="CJ60" i="72" a="1"/>
  <c r="BV321" i="72" a="1"/>
  <c r="BX50" i="72" a="1"/>
  <c r="BK405" i="72" a="1"/>
  <c r="BV210" i="72" a="1"/>
  <c r="BJ407" i="72" a="1"/>
  <c r="BJ33" i="72" a="1"/>
  <c r="BX403" i="72" a="1"/>
  <c r="BW163" i="72" a="1"/>
  <c r="CF42" i="92" a="1"/>
  <c r="CG82" i="72" a="1"/>
  <c r="BV147" i="72" a="1"/>
  <c r="BX59" i="72" a="1"/>
  <c r="BM18" i="72" a="1"/>
  <c r="CH62" i="72" a="1"/>
  <c r="BU19" i="72" a="1"/>
  <c r="BY211" i="72" a="1"/>
  <c r="BK406" i="72" a="1"/>
  <c r="BY95" i="72" a="1"/>
  <c r="BU107" i="72" a="1"/>
  <c r="BX16" i="72" a="1"/>
  <c r="BW50" i="72" a="1"/>
  <c r="BX101" i="72" a="1"/>
  <c r="BU142" i="72" a="1"/>
  <c r="CF58" i="72" a="1"/>
  <c r="BU225" i="72" a="1"/>
  <c r="BU171" i="72" a="1"/>
  <c r="BV129" i="72" a="1"/>
  <c r="BU141" i="72" a="1"/>
  <c r="BX162" i="72" a="1"/>
  <c r="BU80" i="72" a="1"/>
  <c r="BU283" i="92" a="1"/>
  <c r="BX97" i="72" a="1"/>
  <c r="BW177" i="72" a="1"/>
  <c r="BY111" i="72" a="1"/>
  <c r="BN34" i="72" a="1"/>
  <c r="BK34" i="72" a="1"/>
  <c r="BU219" i="92" a="1"/>
  <c r="BW181" i="72" a="1"/>
  <c r="CJ52" i="72" a="1"/>
  <c r="BL401" i="72" a="1"/>
  <c r="BU96" i="72" a="1"/>
  <c r="CH75" i="72" a="1"/>
  <c r="CF13" i="72" a="1"/>
  <c r="CJ15" i="72" a="1"/>
  <c r="BY84" i="72" a="1"/>
  <c r="BY321" i="72" a="1"/>
  <c r="BN403" i="72" a="1"/>
  <c r="BU322" i="72" a="1"/>
  <c r="BM29" i="72" a="1"/>
  <c r="BU315" i="72" a="1"/>
  <c r="BU50" i="72" a="1"/>
  <c r="CH77" i="72" a="1"/>
  <c r="BX51" i="72" a="1"/>
  <c r="CG84" i="72" a="1"/>
  <c r="BX268" i="72" a="1"/>
  <c r="BY125" i="72" a="1"/>
  <c r="BV146" i="72" a="1"/>
  <c r="BW18" i="72" a="1"/>
  <c r="CF27" i="72" a="1"/>
  <c r="BX238" i="72" a="1"/>
  <c r="BY67" i="72" a="1"/>
  <c r="BV193" i="72" a="1"/>
  <c r="CF66" i="72" a="1"/>
  <c r="BU74" i="72" a="1"/>
  <c r="BW63" i="72" a="1"/>
  <c r="BX258" i="72" a="1"/>
  <c r="CH35" i="72" a="1"/>
  <c r="CH48" i="72" a="1"/>
  <c r="BV286" i="72" a="1"/>
  <c r="BV318" i="72" a="1"/>
  <c r="BU242" i="72" a="1"/>
  <c r="BW138" i="72" a="1"/>
  <c r="BY109" i="72" a="1"/>
  <c r="CG34" i="72" a="1"/>
  <c r="BY116" i="72" a="1"/>
  <c r="BV240" i="72" a="1"/>
  <c r="BY96" i="72" a="1"/>
  <c r="BY282" i="72" a="1"/>
  <c r="BW66" i="72" a="1"/>
  <c r="BU127" i="72" a="1"/>
  <c r="BJ11" i="72" a="1"/>
  <c r="BV112" i="72" a="1"/>
  <c r="BP403" i="72" a="1"/>
  <c r="CH30" i="72" a="1"/>
  <c r="BU218" i="72" a="1"/>
  <c r="BY188" i="72" a="1"/>
  <c r="CG10" i="72" a="1"/>
  <c r="BU128" i="72" a="1"/>
  <c r="BX208" i="72" a="1"/>
  <c r="BV43" i="72" a="1"/>
  <c r="BU162" i="72" a="1"/>
  <c r="BJ31" i="72" a="1"/>
  <c r="BX98" i="72" a="1"/>
  <c r="BM17" i="72" a="1"/>
  <c r="BX323" i="72" a="1"/>
  <c r="CG69" i="72" a="1"/>
  <c r="BU226" i="72" a="1"/>
  <c r="BU155" i="72" a="1"/>
  <c r="BU244" i="72" a="1"/>
  <c r="CJ48" i="72" a="1"/>
  <c r="BX228" i="72" a="1"/>
  <c r="BV228" i="72" a="1"/>
  <c r="BU34" i="72" a="1"/>
  <c r="BV145" i="72" a="1"/>
  <c r="BX37" i="72" a="1"/>
  <c r="BY51" i="72" a="1"/>
  <c r="BU321" i="72" a="1"/>
  <c r="BV48" i="72" a="1"/>
  <c r="BJ32" i="72" a="1"/>
  <c r="CH60" i="72" a="1"/>
  <c r="BV301" i="72" a="1"/>
  <c r="CJ82" i="72" a="1"/>
  <c r="BP402" i="72" a="1"/>
  <c r="BV298" i="72" a="1"/>
  <c r="BW13" i="72" a="1"/>
  <c r="BX18" i="72" a="1"/>
  <c r="BX126" i="72" a="1"/>
  <c r="BV206" i="72" a="1"/>
  <c r="BQ400" i="72" a="1"/>
  <c r="CG81" i="72" a="1"/>
  <c r="BM406" i="72" a="1"/>
  <c r="BU236" i="72" a="1"/>
  <c r="BU316" i="72" a="1"/>
  <c r="CG21" i="72" a="1"/>
  <c r="BY145" i="72" a="1"/>
  <c r="BV79" i="72" a="1"/>
  <c r="CI83" i="72" a="1"/>
  <c r="CF79" i="72" a="1"/>
  <c r="BX143" i="72" a="1"/>
  <c r="BV323" i="72" a="1"/>
  <c r="BV162" i="72" a="1"/>
  <c r="BY80" i="72" a="1"/>
  <c r="BY60" i="72" a="1"/>
  <c r="BU210" i="72" a="1"/>
  <c r="BW190" i="72" a="1"/>
  <c r="BX227" i="72" a="1"/>
  <c r="BM19" i="72" a="1"/>
  <c r="BW68" i="72" a="1"/>
  <c r="CG47" i="72" a="1"/>
  <c r="BY78" i="72" a="1"/>
  <c r="BX261" i="72" a="1"/>
  <c r="CH82" i="72" a="1"/>
  <c r="CF15" i="72" a="1"/>
  <c r="BV21" i="72" a="1"/>
  <c r="BV30" i="72" a="1"/>
  <c r="BU43" i="92" a="1"/>
  <c r="BX145" i="72" a="1"/>
  <c r="BV309" i="72" a="1"/>
  <c r="CF33" i="72" a="1"/>
  <c r="BX123" i="72" a="1"/>
  <c r="BV109" i="72" a="1"/>
  <c r="BV27" i="72" a="1"/>
  <c r="CH52" i="72" a="1"/>
  <c r="BM28" i="72" a="1"/>
  <c r="BP407" i="72" a="1"/>
  <c r="CJ37" i="72" a="1"/>
  <c r="BK26" i="72" a="1"/>
  <c r="BW303" i="72" a="1"/>
  <c r="BY195" i="72" a="1"/>
  <c r="BU58" i="92" a="1"/>
  <c r="CA399" i="72" a="1"/>
  <c r="BU191" i="72" a="1"/>
  <c r="BX90" i="72" a="1"/>
  <c r="BQ406" i="72" a="1"/>
  <c r="CI74" i="72" a="1"/>
  <c r="BU81" i="72" a="1"/>
  <c r="BX236" i="72" a="1"/>
  <c r="BK400" i="72" a="1"/>
  <c r="BU186" i="92" a="1"/>
  <c r="BV101" i="72" a="1"/>
  <c r="CF62" i="72" a="1"/>
  <c r="CG11" i="72" a="1"/>
  <c r="BU122" i="92" a="1"/>
  <c r="BX161" i="72" a="1"/>
  <c r="BU131" i="72" a="1"/>
  <c r="CI77" i="72" a="1"/>
  <c r="CF50" i="72" a="1"/>
  <c r="BJ20" i="72" a="1"/>
  <c r="CI82" i="72" a="1"/>
  <c r="CF154" i="92" a="1"/>
  <c r="BW300" i="72" a="1"/>
  <c r="BW97" i="72" a="1"/>
  <c r="BY45" i="72" a="1"/>
  <c r="BK33" i="72" a="1"/>
  <c r="BK401" i="72" a="1"/>
  <c r="CH31" i="72" a="1"/>
  <c r="BV256" i="72" a="1"/>
  <c r="BY11" i="72" a="1"/>
  <c r="BU92" i="72" a="1"/>
  <c r="BY273" i="72" a="1"/>
  <c r="BY138" i="72" a="1"/>
  <c r="BV141" i="72" a="1"/>
  <c r="BV154" i="72" a="1"/>
  <c r="BU239" i="72" a="1"/>
  <c r="BU138" i="92" a="1"/>
  <c r="BY283" i="72" a="1"/>
  <c r="BY244" i="72" a="1"/>
  <c r="BU12" i="72" a="1"/>
  <c r="BV293" i="72" a="1"/>
  <c r="BL407" i="72" a="1"/>
  <c r="BU109" i="72" a="1"/>
  <c r="BU61" i="72" a="1"/>
  <c r="BQ399" i="72" a="1"/>
  <c r="BW251" i="72" a="1"/>
  <c r="BV203" i="72" a="1"/>
  <c r="BU174" i="72" a="1"/>
  <c r="BY92" i="72" a="1"/>
  <c r="BX257" i="72" a="1"/>
  <c r="BU129" i="72" a="1"/>
  <c r="BV26" i="72" a="1"/>
  <c r="BV282" i="72" a="1"/>
  <c r="CG18" i="72" a="1"/>
  <c r="BY218" i="72" a="1"/>
  <c r="BX84" i="72" a="1"/>
  <c r="BV75" i="72" a="1"/>
  <c r="BW304" i="72" a="1"/>
  <c r="BW244" i="72" a="1"/>
  <c r="CQ9" i="72" a="1"/>
  <c r="BY173" i="72" a="1"/>
  <c r="BY31" i="72" a="1"/>
  <c r="BW286" i="72" a="1"/>
  <c r="BN12" i="72" a="1"/>
  <c r="BU36" i="72" a="1"/>
  <c r="BX405" i="72" a="1"/>
  <c r="BW236" i="72" a="1"/>
  <c r="BV50" i="72" a="1"/>
  <c r="BO408" i="72" a="1"/>
  <c r="BU206" i="72" a="1"/>
  <c r="BV275" i="72" a="1"/>
  <c r="BX226" i="72" a="1"/>
  <c r="BV245" i="72" a="1"/>
  <c r="BV202" i="72" a="1"/>
  <c r="BX324" i="72" a="1"/>
  <c r="BV52" i="72" a="1"/>
  <c r="BU155" i="92" a="1"/>
  <c r="BY210" i="72" a="1"/>
  <c r="BX172" i="72" a="1"/>
  <c r="CG83" i="72" a="1"/>
  <c r="CG52" i="72" a="1"/>
  <c r="CF267" i="92" a="1"/>
  <c r="BX125" i="72" a="1"/>
  <c r="BY308" i="72" l="1"/>
  <c r="BU302" i="72"/>
  <c r="BM33" i="72"/>
  <c r="BY98" i="72"/>
  <c r="BW253" i="72"/>
  <c r="BY218" i="72"/>
  <c r="BY111" i="72"/>
  <c r="BX242" i="72"/>
  <c r="BW36" i="72"/>
  <c r="BP399" i="72"/>
  <c r="BY149" i="72"/>
  <c r="BW194" i="72"/>
  <c r="CG67" i="72"/>
  <c r="BY261" i="72"/>
  <c r="BL408" i="72"/>
  <c r="CH17" i="72"/>
  <c r="BW317" i="72"/>
  <c r="CG18" i="72"/>
  <c r="CK18" i="72" s="1"/>
  <c r="BW177" i="72"/>
  <c r="BK29" i="72"/>
  <c r="BO29" i="72" s="1"/>
  <c r="CI52" i="72"/>
  <c r="BW277" i="72"/>
  <c r="CA404" i="72"/>
  <c r="BX66" i="72"/>
  <c r="BY52" i="72"/>
  <c r="CJ53" i="72"/>
  <c r="BU309" i="72"/>
  <c r="BX74" i="72"/>
  <c r="BW155" i="72"/>
  <c r="BV282" i="72"/>
  <c r="BX97" i="72"/>
  <c r="BV221" i="72"/>
  <c r="BU220" i="72"/>
  <c r="BW320" i="72"/>
  <c r="BN20" i="72"/>
  <c r="BY286" i="72"/>
  <c r="CH53" i="72"/>
  <c r="BW47" i="72"/>
  <c r="BU187" i="92"/>
  <c r="BV197" i="72"/>
  <c r="BV193" i="72"/>
  <c r="BV26" i="72"/>
  <c r="BU283" i="92"/>
  <c r="BU100" i="72"/>
  <c r="BV14" i="72"/>
  <c r="BX234" i="72"/>
  <c r="BV238" i="72"/>
  <c r="BV302" i="72"/>
  <c r="BV113" i="72"/>
  <c r="CG75" i="72"/>
  <c r="BN15" i="72"/>
  <c r="CF139" i="92"/>
  <c r="CH91" i="72"/>
  <c r="BU129" i="72"/>
  <c r="BU80" i="72"/>
  <c r="BW235" i="72"/>
  <c r="BK27" i="72"/>
  <c r="BO27" i="72" s="1"/>
  <c r="BW315" i="72"/>
  <c r="CG78" i="72"/>
  <c r="BY284" i="72"/>
  <c r="BY174" i="72"/>
  <c r="BW227" i="72"/>
  <c r="BX241" i="72"/>
  <c r="BW147" i="72"/>
  <c r="BW115" i="72"/>
  <c r="BX257" i="72"/>
  <c r="BX162" i="72"/>
  <c r="BW64" i="72"/>
  <c r="BW16" i="72"/>
  <c r="BW112" i="72"/>
  <c r="BW17" i="72"/>
  <c r="BY124" i="72"/>
  <c r="BY228" i="72"/>
  <c r="BV78" i="72"/>
  <c r="BY148" i="72"/>
  <c r="BM14" i="72"/>
  <c r="BY29" i="72"/>
  <c r="BY92" i="72"/>
  <c r="BU141" i="72"/>
  <c r="BW408" i="72"/>
  <c r="BY291" i="72"/>
  <c r="BU42" i="72"/>
  <c r="BU164" i="72"/>
  <c r="BY408" i="72"/>
  <c r="CJ74" i="72"/>
  <c r="BX60" i="72"/>
  <c r="BX256" i="72"/>
  <c r="BY50" i="72"/>
  <c r="BU299" i="72"/>
  <c r="BU174" i="72"/>
  <c r="BV129" i="72"/>
  <c r="CI61" i="72"/>
  <c r="BV259" i="72"/>
  <c r="BY189" i="72"/>
  <c r="CG31" i="72"/>
  <c r="CK31" i="72" s="1"/>
  <c r="U727" i="44" s="1"/>
  <c r="BU267" i="72"/>
  <c r="BU299" i="92"/>
  <c r="CF91" i="92"/>
  <c r="BU110" i="72"/>
  <c r="CF10" i="72"/>
  <c r="BJ34" i="72"/>
  <c r="BV203" i="72"/>
  <c r="BU171" i="72"/>
  <c r="BL32" i="72"/>
  <c r="BU177" i="72"/>
  <c r="BW95" i="72"/>
  <c r="CJ46" i="72"/>
  <c r="CI75" i="72"/>
  <c r="BV62" i="72"/>
  <c r="CF59" i="92"/>
  <c r="CJ47" i="72"/>
  <c r="BY269" i="72"/>
  <c r="BW26" i="72"/>
  <c r="BW251" i="72"/>
  <c r="BU225" i="72"/>
  <c r="BX203" i="72"/>
  <c r="BV37" i="72"/>
  <c r="CF26" i="92"/>
  <c r="BV291" i="72"/>
  <c r="CJ42" i="72"/>
  <c r="BW93" i="72"/>
  <c r="BX181" i="72"/>
  <c r="BX63" i="72"/>
  <c r="BN28" i="72"/>
  <c r="BX91" i="72"/>
  <c r="BQ399" i="72"/>
  <c r="CF58" i="72"/>
  <c r="BU11" i="92"/>
  <c r="BY224" i="72"/>
  <c r="BX163" i="72"/>
  <c r="BO405" i="72"/>
  <c r="BK407" i="72"/>
  <c r="BY76" i="72"/>
  <c r="BY203" i="72"/>
  <c r="BU203" i="92"/>
  <c r="BV325" i="72"/>
  <c r="CF14" i="72"/>
  <c r="BU61" i="72"/>
  <c r="BU142" i="72"/>
  <c r="BU204" i="72"/>
  <c r="CF52" i="72"/>
  <c r="BV163" i="72"/>
  <c r="BV276" i="72"/>
  <c r="BX212" i="72"/>
  <c r="BW197" i="72"/>
  <c r="BW228" i="72"/>
  <c r="BU98" i="72"/>
  <c r="BV46" i="72"/>
  <c r="BM407" i="72"/>
  <c r="BU109" i="72"/>
  <c r="BX101" i="72"/>
  <c r="CF75" i="92"/>
  <c r="CG91" i="72"/>
  <c r="BL404" i="72"/>
  <c r="CF106" i="92"/>
  <c r="BL403" i="72"/>
  <c r="CI85" i="72"/>
  <c r="BU237" i="72"/>
  <c r="BL406" i="72"/>
  <c r="BU33" i="72"/>
  <c r="BX125" i="72"/>
  <c r="BL407" i="72"/>
  <c r="BW50" i="72"/>
  <c r="CH67" i="72"/>
  <c r="BU170" i="72"/>
  <c r="BW205" i="72"/>
  <c r="BW193" i="72"/>
  <c r="CB407" i="72"/>
  <c r="BY12" i="72"/>
  <c r="BY324" i="72"/>
  <c r="BU209" i="72"/>
  <c r="BV225" i="72"/>
  <c r="BY58" i="72"/>
  <c r="BV293" i="72"/>
  <c r="BX16" i="72"/>
  <c r="BW188" i="72"/>
  <c r="BX128" i="72"/>
  <c r="CJ26" i="72"/>
  <c r="BN406" i="72"/>
  <c r="BU143" i="72"/>
  <c r="CH36" i="72"/>
  <c r="BY277" i="72"/>
  <c r="BX83" i="72"/>
  <c r="BY306" i="72"/>
  <c r="BY67" i="72"/>
  <c r="BU12" i="72"/>
  <c r="BU107" i="72"/>
  <c r="CG58" i="72"/>
  <c r="CF61" i="72"/>
  <c r="BX14" i="72"/>
  <c r="CH15" i="72"/>
  <c r="BY304" i="72"/>
  <c r="BM403" i="72"/>
  <c r="CH64" i="72"/>
  <c r="BU255" i="72"/>
  <c r="BY83" i="72"/>
  <c r="BU323" i="72"/>
  <c r="BY244" i="72"/>
  <c r="BY95" i="72"/>
  <c r="BX173" i="72"/>
  <c r="BW241" i="72"/>
  <c r="BU43" i="72"/>
  <c r="CB400" i="72"/>
  <c r="CI50" i="72"/>
  <c r="BX160" i="72"/>
  <c r="BW268" i="72"/>
  <c r="BJ15" i="72"/>
  <c r="CH33" i="72"/>
  <c r="BV209" i="72"/>
  <c r="BY283" i="72"/>
  <c r="BK406" i="72"/>
  <c r="BJ14" i="72"/>
  <c r="BX130" i="72"/>
  <c r="BN405" i="72"/>
  <c r="CH51" i="72"/>
  <c r="BW82" i="72"/>
  <c r="BX29" i="72"/>
  <c r="BU68" i="72"/>
  <c r="CJ11" i="72"/>
  <c r="CH59" i="72"/>
  <c r="BX138" i="72"/>
  <c r="BU138" i="92"/>
  <c r="BY211" i="72"/>
  <c r="BU307" i="72"/>
  <c r="BX288" i="72"/>
  <c r="BW46" i="72"/>
  <c r="BX259" i="72"/>
  <c r="BU132" i="72"/>
  <c r="BV60" i="72"/>
  <c r="BW74" i="72"/>
  <c r="BY399" i="72"/>
  <c r="CF10" i="92"/>
  <c r="CG44" i="72"/>
  <c r="BU239" i="72"/>
  <c r="BU19" i="72"/>
  <c r="BX48" i="72"/>
  <c r="BV99" i="72"/>
  <c r="BN13" i="72"/>
  <c r="CG16" i="72"/>
  <c r="CK16" i="72" s="1"/>
  <c r="Q176" i="34" s="1"/>
  <c r="BV32" i="72"/>
  <c r="BU117" i="72"/>
  <c r="BU28" i="72"/>
  <c r="BW58" i="72"/>
  <c r="BX68" i="72"/>
  <c r="BW314" i="72"/>
  <c r="BV154" i="72"/>
  <c r="CH62" i="72"/>
  <c r="BY15" i="72"/>
  <c r="BW400" i="72"/>
  <c r="CH76" i="72"/>
  <c r="BW242" i="72"/>
  <c r="CI91" i="72"/>
  <c r="BX197" i="72"/>
  <c r="BU74" i="92"/>
  <c r="CF218" i="92"/>
  <c r="BU318" i="72"/>
  <c r="BV314" i="72"/>
  <c r="BV141" i="72"/>
  <c r="BM18" i="72"/>
  <c r="BV300" i="72"/>
  <c r="BY268" i="72"/>
  <c r="BX299" i="72"/>
  <c r="BU140" i="72"/>
  <c r="BU190" i="72"/>
  <c r="BV35" i="72"/>
  <c r="BW229" i="72"/>
  <c r="CF298" i="92"/>
  <c r="BX251" i="72"/>
  <c r="BW110" i="72"/>
  <c r="BY138" i="72"/>
  <c r="BX59" i="72"/>
  <c r="CI78" i="72"/>
  <c r="CF29" i="72"/>
  <c r="BY106" i="72"/>
  <c r="CJ34" i="72"/>
  <c r="BW125" i="72"/>
  <c r="CJ28" i="72"/>
  <c r="CF27" i="92"/>
  <c r="BW67" i="72"/>
  <c r="CF69" i="72"/>
  <c r="BY175" i="72"/>
  <c r="BY273" i="72"/>
  <c r="BV147" i="72"/>
  <c r="BU93" i="72"/>
  <c r="BY158" i="72"/>
  <c r="BX158" i="72"/>
  <c r="BW174" i="72"/>
  <c r="CJ12" i="72"/>
  <c r="BV399" i="72"/>
  <c r="BX80" i="72"/>
  <c r="BN17" i="72"/>
  <c r="BX273" i="72"/>
  <c r="BN33" i="72"/>
  <c r="BU92" i="72"/>
  <c r="CG82" i="72"/>
  <c r="BV401" i="72"/>
  <c r="BU259" i="72"/>
  <c r="BY314" i="72"/>
  <c r="BX19" i="72"/>
  <c r="BX292" i="72"/>
  <c r="BV308" i="72"/>
  <c r="BV97" i="72"/>
  <c r="CQ11" i="72"/>
  <c r="J54" i="34" s="1"/>
  <c r="BO406" i="72"/>
  <c r="BX238" i="72"/>
  <c r="BY11" i="72"/>
  <c r="CF42" i="92"/>
  <c r="BU400" i="72"/>
  <c r="BW111" i="72"/>
  <c r="BU26" i="92"/>
  <c r="CJ10" i="72"/>
  <c r="BY53" i="72"/>
  <c r="BV10" i="72"/>
  <c r="BV322" i="72"/>
  <c r="BK399" i="72"/>
  <c r="BX108" i="72"/>
  <c r="BU234" i="72"/>
  <c r="BV256" i="72"/>
  <c r="BW163" i="72"/>
  <c r="BY69" i="72"/>
  <c r="CG68" i="72"/>
  <c r="BL402" i="72"/>
  <c r="BV268" i="72"/>
  <c r="BY320" i="72"/>
  <c r="BU67" i="72"/>
  <c r="BV51" i="72"/>
  <c r="BX277" i="72"/>
  <c r="BX211" i="72"/>
  <c r="BP405" i="72"/>
  <c r="CH31" i="72"/>
  <c r="BX403" i="72"/>
  <c r="BW401" i="72"/>
  <c r="BW123" i="72"/>
  <c r="BU207" i="72"/>
  <c r="CF187" i="92"/>
  <c r="BU173" i="72"/>
  <c r="BY285" i="72"/>
  <c r="BV212" i="72"/>
  <c r="BU272" i="72"/>
  <c r="BV260" i="72"/>
  <c r="BW404" i="72"/>
  <c r="BK401" i="72"/>
  <c r="BJ33" i="72"/>
  <c r="BM11" i="72"/>
  <c r="CH46" i="72"/>
  <c r="CF91" i="72"/>
  <c r="CJ75" i="72"/>
  <c r="BV77" i="72"/>
  <c r="BV171" i="72"/>
  <c r="BV66" i="72"/>
  <c r="CF84" i="72"/>
  <c r="BV160" i="72"/>
  <c r="BJ404" i="72"/>
  <c r="BK33" i="72"/>
  <c r="BO33" i="72" s="1"/>
  <c r="S99" i="34" s="1"/>
  <c r="BJ407" i="72"/>
  <c r="CG90" i="72"/>
  <c r="BX171" i="72"/>
  <c r="BO404" i="72"/>
  <c r="BW76" i="72"/>
  <c r="BX204" i="72"/>
  <c r="BW108" i="72"/>
  <c r="CF85" i="72"/>
  <c r="BV239" i="72"/>
  <c r="BU284" i="72"/>
  <c r="BY250" i="72"/>
  <c r="BY45" i="72"/>
  <c r="BV210" i="72"/>
  <c r="BU325" i="72"/>
  <c r="BX15" i="72"/>
  <c r="BU261" i="72"/>
  <c r="CQ16" i="72"/>
  <c r="BJ427" i="72" s="1"/>
  <c r="BL431" i="72" s="1"/>
  <c r="BW100" i="72"/>
  <c r="BW301" i="72"/>
  <c r="BX260" i="72"/>
  <c r="BU116" i="72"/>
  <c r="BX156" i="72"/>
  <c r="BX302" i="72"/>
  <c r="BW97" i="72"/>
  <c r="BK405" i="72"/>
  <c r="BW222" i="72"/>
  <c r="BW171" i="72"/>
  <c r="BU271" i="72"/>
  <c r="BV110" i="72"/>
  <c r="CJ45" i="72"/>
  <c r="BX293" i="72"/>
  <c r="BX109" i="72"/>
  <c r="BV224" i="72"/>
  <c r="BY163" i="72"/>
  <c r="BW260" i="72"/>
  <c r="BW300" i="72"/>
  <c r="BX50" i="72"/>
  <c r="BM13" i="72"/>
  <c r="BY205" i="72"/>
  <c r="BN31" i="72"/>
  <c r="BV138" i="72"/>
  <c r="CA406" i="72"/>
  <c r="BV287" i="72"/>
  <c r="BU90" i="72"/>
  <c r="BY142" i="72"/>
  <c r="CG30" i="72"/>
  <c r="CK30" i="72" s="1"/>
  <c r="U726" i="44" s="1"/>
  <c r="BW19" i="72"/>
  <c r="CF154" i="92"/>
  <c r="BV321" i="72"/>
  <c r="BW52" i="72"/>
  <c r="BY303" i="72"/>
  <c r="BW164" i="72"/>
  <c r="CI34" i="72"/>
  <c r="BY30" i="72"/>
  <c r="BU273" i="72"/>
  <c r="BW257" i="72"/>
  <c r="BM21" i="72"/>
  <c r="CF138" i="92"/>
  <c r="CF27" i="72"/>
  <c r="CI82" i="72"/>
  <c r="CJ60" i="72"/>
  <c r="BV270" i="72"/>
  <c r="CI65" i="72"/>
  <c r="BW106" i="72"/>
  <c r="BV252" i="72"/>
  <c r="BV36" i="72"/>
  <c r="BX36" i="72"/>
  <c r="BY220" i="72"/>
  <c r="BW113" i="72"/>
  <c r="BW160" i="72"/>
  <c r="BU401" i="72"/>
  <c r="BJ20" i="72"/>
  <c r="BY292" i="72"/>
  <c r="BX202" i="72"/>
  <c r="BL400" i="72"/>
  <c r="BY114" i="72"/>
  <c r="BL14" i="72"/>
  <c r="BU186" i="72"/>
  <c r="BX220" i="72"/>
  <c r="BU20" i="72"/>
  <c r="CH83" i="72"/>
  <c r="BL28" i="72"/>
  <c r="BV81" i="72"/>
  <c r="CF50" i="72"/>
  <c r="BX399" i="72"/>
  <c r="BU154" i="92"/>
  <c r="BW203" i="72"/>
  <c r="BW140" i="72"/>
  <c r="BV122" i="72"/>
  <c r="BW224" i="72"/>
  <c r="BW274" i="72"/>
  <c r="BV100" i="72"/>
  <c r="BY62" i="72"/>
  <c r="BY226" i="72"/>
  <c r="BP400" i="72"/>
  <c r="CI77" i="72"/>
  <c r="CH10" i="72"/>
  <c r="BW11" i="72"/>
  <c r="BV18" i="72"/>
  <c r="BW14" i="72"/>
  <c r="BX65" i="72"/>
  <c r="BX140" i="72"/>
  <c r="BY236" i="72"/>
  <c r="BM27" i="72"/>
  <c r="BJ16" i="72"/>
  <c r="BU31" i="72"/>
  <c r="CF267" i="92"/>
  <c r="BU131" i="72"/>
  <c r="BX112" i="72"/>
  <c r="BW42" i="72"/>
  <c r="CI68" i="72"/>
  <c r="BY164" i="72"/>
  <c r="BV139" i="72"/>
  <c r="BY44" i="72"/>
  <c r="CI45" i="72"/>
  <c r="BU145" i="72"/>
  <c r="BX146" i="72"/>
  <c r="BW158" i="72"/>
  <c r="CH44" i="72"/>
  <c r="BX161" i="72"/>
  <c r="BN16" i="72"/>
  <c r="BU91" i="72"/>
  <c r="BW288" i="72"/>
  <c r="CG36" i="72"/>
  <c r="BY147" i="72"/>
  <c r="BY222" i="72"/>
  <c r="BY32" i="72"/>
  <c r="CJ36" i="72"/>
  <c r="CG43" i="72"/>
  <c r="BV20" i="72"/>
  <c r="BV307" i="72"/>
  <c r="BU122" i="92"/>
  <c r="BY131" i="72"/>
  <c r="BW206" i="72"/>
  <c r="CG61" i="72"/>
  <c r="CI64" i="72"/>
  <c r="BV190" i="72"/>
  <c r="BX290" i="72"/>
  <c r="CG80" i="72"/>
  <c r="BY48" i="72"/>
  <c r="BV220" i="72"/>
  <c r="BV63" i="72"/>
  <c r="BX180" i="72"/>
  <c r="CG11" i="72"/>
  <c r="CK11" i="72" s="1"/>
  <c r="Q171" i="34" s="1"/>
  <c r="BY302" i="72"/>
  <c r="BX207" i="72"/>
  <c r="CF83" i="72"/>
  <c r="BY252" i="72"/>
  <c r="BV12" i="72"/>
  <c r="BX307" i="72"/>
  <c r="BU106" i="92"/>
  <c r="BV124" i="72"/>
  <c r="BY129" i="72"/>
  <c r="BY16" i="72"/>
  <c r="BV131" i="72"/>
  <c r="CF62" i="72"/>
  <c r="CF45" i="72"/>
  <c r="BU160" i="72"/>
  <c r="BU260" i="72"/>
  <c r="BV204" i="72"/>
  <c r="BW122" i="72"/>
  <c r="BY223" i="72"/>
  <c r="CJ17" i="72"/>
  <c r="CJ91" i="72"/>
  <c r="BM12" i="72"/>
  <c r="CF42" i="72"/>
  <c r="BK30" i="72"/>
  <c r="BO30" i="72" s="1"/>
  <c r="BV101" i="72"/>
  <c r="CG59" i="72"/>
  <c r="BY28" i="72"/>
  <c r="BO407" i="72"/>
  <c r="BL399" i="72"/>
  <c r="BU203" i="72"/>
  <c r="BY293" i="72"/>
  <c r="BV133" i="72"/>
  <c r="BW259" i="72"/>
  <c r="CG51" i="72"/>
  <c r="BV211" i="72"/>
  <c r="BW18" i="72"/>
  <c r="BU186" i="92"/>
  <c r="BY123" i="72"/>
  <c r="BY204" i="72"/>
  <c r="BY407" i="72"/>
  <c r="BU26" i="72"/>
  <c r="BV305" i="72"/>
  <c r="BY179" i="72"/>
  <c r="BY61" i="72"/>
  <c r="BV172" i="72"/>
  <c r="CH19" i="72"/>
  <c r="BX209" i="72"/>
  <c r="CJ50" i="72"/>
  <c r="BK400" i="72"/>
  <c r="BX269" i="72"/>
  <c r="BW144" i="72"/>
  <c r="BW48" i="72"/>
  <c r="CI58" i="72"/>
  <c r="CH68" i="72"/>
  <c r="BN407" i="72"/>
  <c r="BX189" i="72"/>
  <c r="BW124" i="72"/>
  <c r="BV174" i="72"/>
  <c r="BY108" i="72"/>
  <c r="BY66" i="72"/>
  <c r="BX236" i="72"/>
  <c r="CG17" i="72"/>
  <c r="CK17" i="72" s="1"/>
  <c r="Q177" i="34" s="1"/>
  <c r="BY171" i="72"/>
  <c r="BK14" i="72"/>
  <c r="BO14" i="72" s="1"/>
  <c r="Q96" i="34" s="1"/>
  <c r="CJ14" i="72"/>
  <c r="CH74" i="72"/>
  <c r="BW252" i="72"/>
  <c r="BV68" i="72"/>
  <c r="BV404" i="72"/>
  <c r="BU10" i="92"/>
  <c r="BY65" i="72"/>
  <c r="CH63" i="72"/>
  <c r="BU81" i="72"/>
  <c r="CG46" i="72"/>
  <c r="CG35" i="72"/>
  <c r="BX58" i="72"/>
  <c r="BU250" i="72"/>
  <c r="CH50" i="72"/>
  <c r="BX77" i="72"/>
  <c r="CF75" i="72"/>
  <c r="BU274" i="72"/>
  <c r="BU83" i="72"/>
  <c r="BK15" i="72"/>
  <c r="BO15" i="72" s="1"/>
  <c r="Q97" i="34" s="1"/>
  <c r="BV400" i="72"/>
  <c r="CI74" i="72"/>
  <c r="BX276" i="72"/>
  <c r="BN26" i="72"/>
  <c r="BY219" i="72"/>
  <c r="BY160" i="72"/>
  <c r="BX155" i="72"/>
  <c r="BM32" i="72"/>
  <c r="BW61" i="72"/>
  <c r="BW77" i="72"/>
  <c r="BV11" i="72"/>
  <c r="BU144" i="72"/>
  <c r="BV76" i="72"/>
  <c r="BQ406" i="72"/>
  <c r="BU78" i="72"/>
  <c r="BU267" i="92"/>
  <c r="BK32" i="72"/>
  <c r="BO32" i="72" s="1"/>
  <c r="S98" i="34" s="1"/>
  <c r="BY37" i="72"/>
  <c r="BV93" i="72"/>
  <c r="CH81" i="72"/>
  <c r="BW325" i="72"/>
  <c r="BX79" i="72"/>
  <c r="BU308" i="72"/>
  <c r="BW161" i="72"/>
  <c r="BX272" i="72"/>
  <c r="BX90" i="72"/>
  <c r="CG28" i="72"/>
  <c r="CK28" i="72" s="1"/>
  <c r="S172" i="34" s="1"/>
  <c r="BL29" i="72"/>
  <c r="BJ30" i="72"/>
  <c r="BX175" i="72"/>
  <c r="CJ69" i="72"/>
  <c r="BV177" i="72"/>
  <c r="BU234" i="92"/>
  <c r="BX85" i="72"/>
  <c r="BU224" i="72"/>
  <c r="CI37" i="72"/>
  <c r="BW402" i="72"/>
  <c r="BU191" i="72"/>
  <c r="BV142" i="72"/>
  <c r="BV69" i="72"/>
  <c r="BV125" i="72"/>
  <c r="BV140" i="72"/>
  <c r="BY274" i="72"/>
  <c r="BX319" i="72"/>
  <c r="CI60" i="72"/>
  <c r="CF123" i="92"/>
  <c r="BK31" i="72"/>
  <c r="BO31" i="72" s="1"/>
  <c r="U35" i="44" s="1"/>
  <c r="BX129" i="72"/>
  <c r="BX27" i="72"/>
  <c r="CA399" i="72"/>
  <c r="CG29" i="72"/>
  <c r="CK29" i="72" s="1"/>
  <c r="S173" i="34" s="1"/>
  <c r="BU48" i="72"/>
  <c r="CA407" i="72"/>
  <c r="BW318" i="72"/>
  <c r="BU156" i="72"/>
  <c r="BY178" i="72"/>
  <c r="CF30" i="72"/>
  <c r="BX26" i="72"/>
  <c r="BY91" i="72"/>
  <c r="BY187" i="72"/>
  <c r="CI76" i="72"/>
  <c r="BU58" i="92"/>
  <c r="BY318" i="72"/>
  <c r="BV19" i="72"/>
  <c r="BV306" i="72"/>
  <c r="BJ408" i="72"/>
  <c r="BU406" i="72"/>
  <c r="BU291" i="72"/>
  <c r="BU211" i="72"/>
  <c r="BV187" i="72"/>
  <c r="BX115" i="72"/>
  <c r="BX154" i="72"/>
  <c r="BV146" i="72"/>
  <c r="BY195" i="72"/>
  <c r="CH28" i="72"/>
  <c r="BX106" i="72"/>
  <c r="BY47" i="72"/>
  <c r="BW180" i="72"/>
  <c r="CI53" i="72"/>
  <c r="CJ33" i="72"/>
  <c r="BW43" i="72"/>
  <c r="BY122" i="72"/>
  <c r="BW186" i="72"/>
  <c r="BU175" i="72"/>
  <c r="BV45" i="72"/>
  <c r="BW303" i="72"/>
  <c r="BY43" i="72"/>
  <c r="CG13" i="72"/>
  <c r="CK13" i="72" s="1"/>
  <c r="U708" i="44" s="1"/>
  <c r="BV261" i="72"/>
  <c r="BX308" i="72"/>
  <c r="BX298" i="72"/>
  <c r="BW192" i="72"/>
  <c r="BW92" i="72"/>
  <c r="BX110" i="72"/>
  <c r="BX240" i="72"/>
  <c r="CF90" i="72"/>
  <c r="BY59" i="72"/>
  <c r="BK26" i="72"/>
  <c r="CH20" i="72"/>
  <c r="BV85" i="72"/>
  <c r="BX404" i="72"/>
  <c r="BW405" i="72"/>
  <c r="BU301" i="72"/>
  <c r="CG50" i="72"/>
  <c r="BY101" i="72"/>
  <c r="BX194" i="72"/>
  <c r="BW187" i="72"/>
  <c r="BJ403" i="72"/>
  <c r="CG52" i="72"/>
  <c r="CJ37" i="72"/>
  <c r="BW208" i="72"/>
  <c r="BU202" i="72"/>
  <c r="BY112" i="72"/>
  <c r="CQ19" i="72"/>
  <c r="BU65" i="72"/>
  <c r="BY97" i="72"/>
  <c r="BO403" i="72"/>
  <c r="BW79" i="72"/>
  <c r="BW142" i="72"/>
  <c r="BV266" i="72"/>
  <c r="CF107" i="92"/>
  <c r="BP407" i="72"/>
  <c r="BV226" i="72"/>
  <c r="BY74" i="72"/>
  <c r="BX176" i="72"/>
  <c r="BX99" i="72"/>
  <c r="BX254" i="72"/>
  <c r="CJ79" i="72"/>
  <c r="BW254" i="72"/>
  <c r="BU178" i="72"/>
  <c r="BU76" i="72"/>
  <c r="BU238" i="72"/>
  <c r="BV195" i="72"/>
  <c r="BM28" i="72"/>
  <c r="BX94" i="72"/>
  <c r="BU114" i="72"/>
  <c r="BU123" i="72"/>
  <c r="BW35" i="72"/>
  <c r="BX192" i="72"/>
  <c r="BU285" i="72"/>
  <c r="CF47" i="72"/>
  <c r="CJ63" i="72"/>
  <c r="CG77" i="72"/>
  <c r="BV161" i="72"/>
  <c r="BU228" i="72"/>
  <c r="CH52" i="72"/>
  <c r="BU303" i="72"/>
  <c r="BY157" i="72"/>
  <c r="BY235" i="72"/>
  <c r="BK403" i="72"/>
  <c r="BW204" i="72"/>
  <c r="BU218" i="92"/>
  <c r="BW128" i="72"/>
  <c r="BN402" i="72"/>
  <c r="BQ402" i="72"/>
  <c r="BX92" i="72"/>
  <c r="BV222" i="72"/>
  <c r="BV27" i="72"/>
  <c r="CH14" i="72"/>
  <c r="BX252" i="72"/>
  <c r="CJ19" i="72"/>
  <c r="CF63" i="72"/>
  <c r="BY177" i="72"/>
  <c r="BY115" i="72"/>
  <c r="BX291" i="72"/>
  <c r="BU106" i="72"/>
  <c r="CF155" i="92"/>
  <c r="BW60" i="72"/>
  <c r="CI33" i="72"/>
  <c r="BV109" i="72"/>
  <c r="BX132" i="72"/>
  <c r="BU197" i="72"/>
  <c r="BY172" i="72"/>
  <c r="BW101" i="72"/>
  <c r="BX20" i="72"/>
  <c r="BV176" i="72"/>
  <c r="BW210" i="72"/>
  <c r="BV218" i="72"/>
  <c r="BU256" i="72"/>
  <c r="BV106" i="72"/>
  <c r="BW219" i="72"/>
  <c r="BX123" i="72"/>
  <c r="CJ77" i="72"/>
  <c r="BN400" i="72"/>
  <c r="BO399" i="72"/>
  <c r="CI80" i="72"/>
  <c r="BW220" i="72"/>
  <c r="BW399" i="72"/>
  <c r="BW321" i="72"/>
  <c r="CF11" i="72"/>
  <c r="BL27" i="72"/>
  <c r="BY197" i="72"/>
  <c r="BU208" i="72"/>
  <c r="CF33" i="72"/>
  <c r="BU15" i="72"/>
  <c r="BU30" i="72"/>
  <c r="CH65" i="72"/>
  <c r="CF170" i="92"/>
  <c r="BY162" i="72"/>
  <c r="BV64" i="72"/>
  <c r="BV192" i="72"/>
  <c r="BV173" i="72"/>
  <c r="BV320" i="72"/>
  <c r="BW133" i="72"/>
  <c r="BY143" i="72"/>
  <c r="BV309" i="72"/>
  <c r="BX13" i="72"/>
  <c r="BY110" i="72"/>
  <c r="BY19" i="72"/>
  <c r="BY100" i="72"/>
  <c r="BV273" i="72"/>
  <c r="BW30" i="72"/>
  <c r="BX210" i="72"/>
  <c r="BV285" i="72"/>
  <c r="BW114" i="72"/>
  <c r="BX218" i="72"/>
  <c r="BY125" i="72"/>
  <c r="BX145" i="72"/>
  <c r="CJ62" i="72"/>
  <c r="BY325" i="72"/>
  <c r="BU21" i="72"/>
  <c r="BW130" i="72"/>
  <c r="BW132" i="72"/>
  <c r="BY404" i="72"/>
  <c r="BY159" i="72"/>
  <c r="CJ76" i="72"/>
  <c r="CF64" i="72"/>
  <c r="BV157" i="72"/>
  <c r="BY85" i="72"/>
  <c r="BU43" i="92"/>
  <c r="CB403" i="72"/>
  <c r="BV82" i="72"/>
  <c r="BV31" i="72"/>
  <c r="BM26" i="72"/>
  <c r="CJ81" i="72"/>
  <c r="CG62" i="72"/>
  <c r="BN408" i="72"/>
  <c r="BU212" i="72"/>
  <c r="BU108" i="72"/>
  <c r="BU172" i="72"/>
  <c r="BU317" i="72"/>
  <c r="BV30" i="72"/>
  <c r="BV290" i="72"/>
  <c r="BX47" i="72"/>
  <c r="BU205" i="72"/>
  <c r="BW299" i="72"/>
  <c r="BU148" i="72"/>
  <c r="BW141" i="72"/>
  <c r="BU193" i="72"/>
  <c r="BU82" i="72"/>
  <c r="BY240" i="72"/>
  <c r="BW302" i="72"/>
  <c r="BW49" i="72"/>
  <c r="BV21" i="72"/>
  <c r="BX266" i="72"/>
  <c r="BW139" i="72"/>
  <c r="BV143" i="72"/>
  <c r="CI63" i="72"/>
  <c r="BY10" i="72"/>
  <c r="BY194" i="72"/>
  <c r="BW322" i="72"/>
  <c r="CJ49" i="72"/>
  <c r="CG45" i="72"/>
  <c r="BY225" i="72"/>
  <c r="BJ29" i="72"/>
  <c r="CF15" i="72"/>
  <c r="BY64" i="72"/>
  <c r="BW261" i="72"/>
  <c r="BX219" i="72"/>
  <c r="BV98" i="72"/>
  <c r="BU51" i="72"/>
  <c r="BU188" i="72"/>
  <c r="BU35" i="72"/>
  <c r="CJ43" i="72"/>
  <c r="CJ80" i="72"/>
  <c r="BU59" i="92"/>
  <c r="BY237" i="72"/>
  <c r="CH82" i="72"/>
  <c r="BX159" i="72"/>
  <c r="BW159" i="72"/>
  <c r="BU399" i="72"/>
  <c r="CH16" i="72"/>
  <c r="BJ28" i="72"/>
  <c r="BU133" i="72"/>
  <c r="BX62" i="72"/>
  <c r="BX229" i="72"/>
  <c r="BW276" i="72"/>
  <c r="BN29" i="72"/>
  <c r="BU52" i="72"/>
  <c r="BX261" i="72"/>
  <c r="CJ27" i="72"/>
  <c r="BK402" i="72"/>
  <c r="BV403" i="72"/>
  <c r="BU403" i="72"/>
  <c r="BU158" i="72"/>
  <c r="BN18" i="72"/>
  <c r="BQ403" i="72"/>
  <c r="CH43" i="72"/>
  <c r="BU170" i="92"/>
  <c r="BX149" i="72"/>
  <c r="BY258" i="72"/>
  <c r="BY78" i="72"/>
  <c r="CG76" i="72"/>
  <c r="BY193" i="72"/>
  <c r="BU258" i="72"/>
  <c r="BK10" i="72"/>
  <c r="BX271" i="72"/>
  <c r="BU229" i="72"/>
  <c r="BX250" i="72"/>
  <c r="BW226" i="72"/>
  <c r="BY213" i="72"/>
  <c r="BV316" i="72"/>
  <c r="BU32" i="72"/>
  <c r="CG47" i="72"/>
  <c r="BW156" i="72"/>
  <c r="BX28" i="72"/>
  <c r="BY241" i="72"/>
  <c r="BN27" i="72"/>
  <c r="BX107" i="72"/>
  <c r="BY257" i="72"/>
  <c r="BV34" i="72"/>
  <c r="BL12" i="72"/>
  <c r="CI32" i="72"/>
  <c r="CJ68" i="72"/>
  <c r="BV116" i="72"/>
  <c r="BW68" i="72"/>
  <c r="BK18" i="72"/>
  <c r="BO18" i="72" s="1"/>
  <c r="Q100" i="34" s="1"/>
  <c r="BU223" i="72"/>
  <c r="BW69" i="72"/>
  <c r="CQ21" i="72"/>
  <c r="BJ443" i="72" s="1"/>
  <c r="BL452" i="72" s="1"/>
  <c r="BV80" i="72"/>
  <c r="BW59" i="72"/>
  <c r="BW308" i="72"/>
  <c r="BU189" i="72"/>
  <c r="BU60" i="72"/>
  <c r="BV317" i="72"/>
  <c r="BX268" i="72"/>
  <c r="BM19" i="72"/>
  <c r="BV284" i="72"/>
  <c r="BW149" i="72"/>
  <c r="CH85" i="72"/>
  <c r="CJ51" i="72"/>
  <c r="CF74" i="92"/>
  <c r="BV241" i="72"/>
  <c r="BX82" i="72"/>
  <c r="BV58" i="72"/>
  <c r="CJ35" i="72"/>
  <c r="BX287" i="72"/>
  <c r="CG83" i="72"/>
  <c r="BX227" i="72"/>
  <c r="CJ44" i="72"/>
  <c r="BY192" i="72"/>
  <c r="BU305" i="72"/>
  <c r="BX30" i="72"/>
  <c r="CF18" i="72"/>
  <c r="BU126" i="72"/>
  <c r="BX17" i="72"/>
  <c r="BY301" i="72"/>
  <c r="BX282" i="72"/>
  <c r="BX164" i="72"/>
  <c r="BX222" i="72"/>
  <c r="BW190" i="72"/>
  <c r="BU268" i="72"/>
  <c r="BX206" i="72"/>
  <c r="BU154" i="72"/>
  <c r="BU221" i="72"/>
  <c r="CI66" i="72"/>
  <c r="CG14" i="72"/>
  <c r="CK14" i="72" s="1"/>
  <c r="U709" i="44" s="1"/>
  <c r="BY259" i="72"/>
  <c r="BX305" i="72"/>
  <c r="BW237" i="72"/>
  <c r="BU194" i="72"/>
  <c r="BX274" i="72"/>
  <c r="BU210" i="72"/>
  <c r="CA400" i="72"/>
  <c r="BY323" i="72"/>
  <c r="BW107" i="72"/>
  <c r="BW270" i="72"/>
  <c r="BQ408" i="72"/>
  <c r="CF234" i="92"/>
  <c r="BX53" i="72"/>
  <c r="CF171" i="92"/>
  <c r="CF11" i="92"/>
  <c r="BX75" i="72"/>
  <c r="BW258" i="72"/>
  <c r="BY60" i="72"/>
  <c r="CF315" i="92"/>
  <c r="BY260" i="72"/>
  <c r="BV181" i="72"/>
  <c r="BV179" i="72"/>
  <c r="BV189" i="72"/>
  <c r="CF81" i="72"/>
  <c r="BU44" i="72"/>
  <c r="BW31" i="72"/>
  <c r="CJ67" i="72"/>
  <c r="CJ65" i="72"/>
  <c r="CF20" i="72"/>
  <c r="BY80" i="72"/>
  <c r="BV149" i="72"/>
  <c r="BU47" i="72"/>
  <c r="BW291" i="72"/>
  <c r="CA405" i="72"/>
  <c r="BU149" i="72"/>
  <c r="BU159" i="72"/>
  <c r="BW148" i="72"/>
  <c r="BY315" i="72"/>
  <c r="BK408" i="72"/>
  <c r="BK17" i="72"/>
  <c r="BO17" i="72" s="1"/>
  <c r="Q99" i="34" s="1"/>
  <c r="BW406" i="72"/>
  <c r="BV162" i="72"/>
  <c r="BY305" i="72"/>
  <c r="BY49" i="72"/>
  <c r="BQ404" i="72"/>
  <c r="BX285" i="72"/>
  <c r="BU139" i="92"/>
  <c r="CI43" i="72"/>
  <c r="BY245" i="72"/>
  <c r="BY229" i="72"/>
  <c r="BU292" i="72"/>
  <c r="BV304" i="72"/>
  <c r="BV250" i="72"/>
  <c r="BV323" i="72"/>
  <c r="BW170" i="72"/>
  <c r="CJ78" i="72"/>
  <c r="BW62" i="72"/>
  <c r="BU319" i="72"/>
  <c r="BU290" i="72"/>
  <c r="BU235" i="92"/>
  <c r="BW287" i="72"/>
  <c r="BW269" i="72"/>
  <c r="CF250" i="92"/>
  <c r="BY316" i="72"/>
  <c r="CG84" i="72"/>
  <c r="BX143" i="72"/>
  <c r="BX93" i="72"/>
  <c r="CB405" i="72"/>
  <c r="BL19" i="72"/>
  <c r="BU95" i="72"/>
  <c r="BY170" i="72"/>
  <c r="BW275" i="72"/>
  <c r="BV237" i="72"/>
  <c r="BV186" i="72"/>
  <c r="BW78" i="72"/>
  <c r="BY207" i="72"/>
  <c r="BY275" i="72"/>
  <c r="CF79" i="72"/>
  <c r="BX400" i="72"/>
  <c r="BU111" i="72"/>
  <c r="BX111" i="72"/>
  <c r="BV299" i="72"/>
  <c r="BJ400" i="72"/>
  <c r="BY255" i="72"/>
  <c r="BV191" i="72"/>
  <c r="BP408" i="72"/>
  <c r="BX407" i="72"/>
  <c r="BU27" i="92"/>
  <c r="BX408" i="72"/>
  <c r="CI83" i="72"/>
  <c r="BW91" i="72"/>
  <c r="BX21" i="72"/>
  <c r="BW116" i="72"/>
  <c r="CF19" i="72"/>
  <c r="CI44" i="72"/>
  <c r="BU59" i="72"/>
  <c r="BY400" i="72"/>
  <c r="BU85" i="72"/>
  <c r="CF51" i="72"/>
  <c r="BY13" i="72"/>
  <c r="BX69" i="72"/>
  <c r="BV79" i="72"/>
  <c r="BU324" i="72"/>
  <c r="CH45" i="72"/>
  <c r="BV95" i="72"/>
  <c r="BY117" i="72"/>
  <c r="BJ17" i="72"/>
  <c r="CF282" i="92"/>
  <c r="BM402" i="72"/>
  <c r="BV283" i="72"/>
  <c r="BY288" i="72"/>
  <c r="BU269" i="72"/>
  <c r="CI48" i="72"/>
  <c r="BY145" i="72"/>
  <c r="BU227" i="72"/>
  <c r="BW179" i="72"/>
  <c r="CF59" i="72"/>
  <c r="BM10" i="72"/>
  <c r="BV94" i="72"/>
  <c r="BW80" i="72"/>
  <c r="BV292" i="72"/>
  <c r="BU27" i="72"/>
  <c r="CG15" i="72"/>
  <c r="CK15" i="72" s="1"/>
  <c r="U710" i="44" s="1"/>
  <c r="BY18" i="72"/>
  <c r="BV130" i="72"/>
  <c r="CG21" i="72"/>
  <c r="CK21" i="72" s="1"/>
  <c r="CH80" i="72"/>
  <c r="CF43" i="92"/>
  <c r="BU130" i="72"/>
  <c r="BY81" i="72"/>
  <c r="BW239" i="72"/>
  <c r="CF266" i="92"/>
  <c r="CI47" i="72"/>
  <c r="CI35" i="72"/>
  <c r="BV274" i="72"/>
  <c r="BY33" i="72"/>
  <c r="BX51" i="72"/>
  <c r="BU316" i="72"/>
  <c r="BX225" i="72"/>
  <c r="BU254" i="72"/>
  <c r="BX170" i="72"/>
  <c r="BW234" i="72"/>
  <c r="BW284" i="72"/>
  <c r="CF46" i="72"/>
  <c r="BU250" i="92"/>
  <c r="BV126" i="72"/>
  <c r="CI42" i="72"/>
  <c r="BU402" i="72"/>
  <c r="BU42" i="92"/>
  <c r="BU236" i="72"/>
  <c r="BU314" i="72"/>
  <c r="BV42" i="72"/>
  <c r="CF67" i="72"/>
  <c r="CG79" i="72"/>
  <c r="BX10" i="72"/>
  <c r="CJ18" i="72"/>
  <c r="BX81" i="72"/>
  <c r="BV236" i="72"/>
  <c r="BU404" i="72"/>
  <c r="BU408" i="72"/>
  <c r="BX172" i="72"/>
  <c r="BM406" i="72"/>
  <c r="CI79" i="72"/>
  <c r="BL10" i="72"/>
  <c r="BX187" i="72"/>
  <c r="BY79" i="72"/>
  <c r="BX114" i="72"/>
  <c r="BW145" i="72"/>
  <c r="BX133" i="72"/>
  <c r="BY289" i="72"/>
  <c r="BY128" i="72"/>
  <c r="BX286" i="72"/>
  <c r="BU270" i="72"/>
  <c r="CG81" i="72"/>
  <c r="CJ66" i="72"/>
  <c r="CF53" i="72"/>
  <c r="BW10" i="72"/>
  <c r="CJ59" i="72"/>
  <c r="BW51" i="72"/>
  <c r="CJ83" i="72"/>
  <c r="CH11" i="72"/>
  <c r="BU202" i="92"/>
  <c r="BJ399" i="72"/>
  <c r="BU147" i="72"/>
  <c r="BU287" i="72"/>
  <c r="BQ400" i="72"/>
  <c r="CH66" i="72"/>
  <c r="BL13" i="72"/>
  <c r="BU243" i="72"/>
  <c r="BM20" i="72"/>
  <c r="BY256" i="72"/>
  <c r="CI49" i="72"/>
  <c r="BY196" i="72"/>
  <c r="CF186" i="92"/>
  <c r="BV155" i="72"/>
  <c r="CJ58" i="72"/>
  <c r="CH77" i="72"/>
  <c r="BV206" i="72"/>
  <c r="CH18" i="72"/>
  <c r="BY46" i="72"/>
  <c r="BY161" i="72"/>
  <c r="BU219" i="72"/>
  <c r="CG66" i="72"/>
  <c r="CB408" i="72"/>
  <c r="CG42" i="72"/>
  <c r="BW90" i="72"/>
  <c r="BY20" i="72"/>
  <c r="BX270" i="72"/>
  <c r="BX31" i="72"/>
  <c r="BX126" i="72"/>
  <c r="BU180" i="72"/>
  <c r="BV59" i="72"/>
  <c r="BY186" i="72"/>
  <c r="BW319" i="72"/>
  <c r="BM399" i="72"/>
  <c r="BJ27" i="72"/>
  <c r="CG27" i="72"/>
  <c r="CK27" i="72" s="1"/>
  <c r="BU235" i="72"/>
  <c r="BX178" i="72"/>
  <c r="BV251" i="72"/>
  <c r="BV15" i="72"/>
  <c r="BX18" i="72"/>
  <c r="BV405" i="72"/>
  <c r="BV223" i="72"/>
  <c r="BX304" i="72"/>
  <c r="BK19" i="72"/>
  <c r="BO19" i="72" s="1"/>
  <c r="BU97" i="72"/>
  <c r="CI29" i="72"/>
  <c r="CH34" i="72"/>
  <c r="BX309" i="72"/>
  <c r="BY141" i="72"/>
  <c r="BU64" i="72"/>
  <c r="BU50" i="72"/>
  <c r="BW13" i="72"/>
  <c r="CF202" i="92"/>
  <c r="BX318" i="72"/>
  <c r="BW143" i="72"/>
  <c r="BU62" i="72"/>
  <c r="BW403" i="72"/>
  <c r="BX401" i="72"/>
  <c r="BN21" i="72"/>
  <c r="CG63" i="72"/>
  <c r="BU266" i="92"/>
  <c r="BY267" i="72"/>
  <c r="BV107" i="72"/>
  <c r="BV298" i="72"/>
  <c r="BU16" i="72"/>
  <c r="BO402" i="72"/>
  <c r="BW189" i="72"/>
  <c r="BX157" i="72"/>
  <c r="CF299" i="92"/>
  <c r="BX300" i="72"/>
  <c r="BW27" i="72"/>
  <c r="BW267" i="72"/>
  <c r="BV114" i="72"/>
  <c r="BV315" i="72"/>
  <c r="CG48" i="72"/>
  <c r="BP402" i="72"/>
  <c r="BW129" i="72"/>
  <c r="BW290" i="72"/>
  <c r="BM401" i="72"/>
  <c r="BU112" i="72"/>
  <c r="BY221" i="72"/>
  <c r="CF49" i="72"/>
  <c r="BX12" i="72"/>
  <c r="CG19" i="72"/>
  <c r="CK19" i="72" s="1"/>
  <c r="CF37" i="72"/>
  <c r="CI81" i="72"/>
  <c r="BL16" i="72"/>
  <c r="CJ82" i="72"/>
  <c r="BW109" i="72"/>
  <c r="BV208" i="72"/>
  <c r="CJ90" i="72"/>
  <c r="BX116" i="72"/>
  <c r="BX52" i="72"/>
  <c r="CF60" i="72"/>
  <c r="BU320" i="72"/>
  <c r="CJ13" i="72"/>
  <c r="BU29" i="72"/>
  <c r="BW209" i="72"/>
  <c r="BV115" i="72"/>
  <c r="BV301" i="72"/>
  <c r="BP406" i="72"/>
  <c r="BW83" i="72"/>
  <c r="BV234" i="72"/>
  <c r="BV148" i="72"/>
  <c r="CF235" i="92"/>
  <c r="BU213" i="72"/>
  <c r="BV53" i="72"/>
  <c r="BW195" i="72"/>
  <c r="CJ21" i="72"/>
  <c r="BV108" i="72"/>
  <c r="BU315" i="72"/>
  <c r="CH60" i="72"/>
  <c r="BU123" i="92"/>
  <c r="BU107" i="92"/>
  <c r="BK404" i="72"/>
  <c r="BX46" i="72"/>
  <c r="BO401" i="72"/>
  <c r="BJ401" i="72"/>
  <c r="BK13" i="72"/>
  <c r="BO13" i="72" s="1"/>
  <c r="CH42" i="72"/>
  <c r="BP404" i="72"/>
  <c r="BM400" i="72"/>
  <c r="BY210" i="72"/>
  <c r="BJ32" i="72"/>
  <c r="BY156" i="72"/>
  <c r="BU251" i="72"/>
  <c r="BX317" i="72"/>
  <c r="BX235" i="72"/>
  <c r="CI62" i="72"/>
  <c r="BX144" i="72"/>
  <c r="BY181" i="72"/>
  <c r="BY14" i="72"/>
  <c r="BY405" i="72"/>
  <c r="BY402" i="72"/>
  <c r="BW292" i="72"/>
  <c r="BV48" i="72"/>
  <c r="BV28" i="72"/>
  <c r="BV128" i="72"/>
  <c r="BY180" i="72"/>
  <c r="BX213" i="72"/>
  <c r="CF283" i="92"/>
  <c r="BU113" i="72"/>
  <c r="BV84" i="72"/>
  <c r="BY113" i="72"/>
  <c r="CJ85" i="72"/>
  <c r="BU138" i="72"/>
  <c r="BM29" i="72"/>
  <c r="BU321" i="72"/>
  <c r="BY243" i="72"/>
  <c r="BX402" i="72"/>
  <c r="BV229" i="72"/>
  <c r="BN399" i="72"/>
  <c r="BL18" i="72"/>
  <c r="BX221" i="72"/>
  <c r="BV194" i="72"/>
  <c r="BX284" i="72"/>
  <c r="CI67" i="72"/>
  <c r="BU253" i="72"/>
  <c r="BV235" i="72"/>
  <c r="BY51" i="72"/>
  <c r="BV258" i="72"/>
  <c r="BW266" i="72"/>
  <c r="CH90" i="72"/>
  <c r="BJ402" i="72"/>
  <c r="BU37" i="72"/>
  <c r="BU84" i="72"/>
  <c r="BU241" i="72"/>
  <c r="CG60" i="72"/>
  <c r="BX43" i="72"/>
  <c r="BV243" i="72"/>
  <c r="BU77" i="72"/>
  <c r="BX37" i="72"/>
  <c r="BY253" i="72"/>
  <c r="BY287" i="72"/>
  <c r="BW240" i="72"/>
  <c r="BY307" i="72"/>
  <c r="BU275" i="72"/>
  <c r="BY140" i="72"/>
  <c r="CI69" i="72"/>
  <c r="BV47" i="72"/>
  <c r="BW65" i="72"/>
  <c r="BU139" i="72"/>
  <c r="BU165" i="72"/>
  <c r="BV145" i="72"/>
  <c r="CG65" i="72"/>
  <c r="BX322" i="72"/>
  <c r="BL15" i="72"/>
  <c r="BW53" i="72"/>
  <c r="BY299" i="72"/>
  <c r="BX117" i="72"/>
  <c r="BW218" i="72"/>
  <c r="BX165" i="72"/>
  <c r="BX253" i="72"/>
  <c r="BJ406" i="72"/>
  <c r="BU322" i="72"/>
  <c r="BU34" i="72"/>
  <c r="BX76" i="72"/>
  <c r="BN14" i="72"/>
  <c r="BU298" i="92"/>
  <c r="BX34" i="72"/>
  <c r="BK21" i="72"/>
  <c r="BV117" i="72"/>
  <c r="BY27" i="72"/>
  <c r="BY155" i="72"/>
  <c r="BY406" i="72"/>
  <c r="CF82" i="72"/>
  <c r="BN403" i="72"/>
  <c r="BV228" i="72"/>
  <c r="BV49" i="72"/>
  <c r="CQ15" i="72"/>
  <c r="BN11" i="72"/>
  <c r="BY290" i="72"/>
  <c r="BX275" i="72"/>
  <c r="BY251" i="72"/>
  <c r="BU75" i="92"/>
  <c r="BW162" i="72"/>
  <c r="BU18" i="72"/>
  <c r="BW34" i="72"/>
  <c r="BY321" i="72"/>
  <c r="BX228" i="72"/>
  <c r="BW37" i="72"/>
  <c r="BY206" i="72"/>
  <c r="BV92" i="72"/>
  <c r="BM405" i="72"/>
  <c r="BU49" i="72"/>
  <c r="BW211" i="72"/>
  <c r="CG32" i="72"/>
  <c r="CK32" i="72" s="1"/>
  <c r="CH69" i="72"/>
  <c r="BY139" i="72"/>
  <c r="BX127" i="72"/>
  <c r="BU155" i="92"/>
  <c r="CJ48" i="72"/>
  <c r="BW213" i="72"/>
  <c r="BU293" i="72"/>
  <c r="BU257" i="72"/>
  <c r="BL33" i="72"/>
  <c r="BX174" i="72"/>
  <c r="BV253" i="72"/>
  <c r="BV16" i="72"/>
  <c r="BU196" i="72"/>
  <c r="BX131" i="72"/>
  <c r="BJ18" i="72"/>
  <c r="BY84" i="72"/>
  <c r="BU244" i="72"/>
  <c r="BV164" i="72"/>
  <c r="BY107" i="72"/>
  <c r="BU45" i="72"/>
  <c r="CF65" i="72"/>
  <c r="CG37" i="72"/>
  <c r="BO400" i="72"/>
  <c r="BU53" i="72"/>
  <c r="BX406" i="72"/>
  <c r="CJ30" i="72"/>
  <c r="CG49" i="72"/>
  <c r="BU75" i="72"/>
  <c r="BU155" i="72"/>
  <c r="CF35" i="72"/>
  <c r="BM31" i="72"/>
  <c r="BV111" i="72"/>
  <c r="CF219" i="92"/>
  <c r="BW285" i="72"/>
  <c r="BX33" i="72"/>
  <c r="BV170" i="72"/>
  <c r="BU304" i="72"/>
  <c r="BX142" i="72"/>
  <c r="BN19" i="72"/>
  <c r="BV196" i="72"/>
  <c r="BU226" i="72"/>
  <c r="CB406" i="72"/>
  <c r="BY209" i="72"/>
  <c r="BQ401" i="72"/>
  <c r="BW316" i="72"/>
  <c r="BK20" i="72"/>
  <c r="BO20" i="72" s="1"/>
  <c r="BU58" i="72"/>
  <c r="BW250" i="72"/>
  <c r="CI31" i="72"/>
  <c r="BV127" i="72"/>
  <c r="BX35" i="72"/>
  <c r="BV52" i="72"/>
  <c r="CG69" i="72"/>
  <c r="BV156" i="72"/>
  <c r="BY132" i="72"/>
  <c r="BW98" i="72"/>
  <c r="BU195" i="72"/>
  <c r="BX122" i="72"/>
  <c r="BX223" i="72"/>
  <c r="BU192" i="72"/>
  <c r="CF76" i="72"/>
  <c r="BY309" i="72"/>
  <c r="BX244" i="72"/>
  <c r="CJ15" i="72"/>
  <c r="BX323" i="72"/>
  <c r="BV178" i="72"/>
  <c r="BV65" i="72"/>
  <c r="BY93" i="72"/>
  <c r="BY82" i="72"/>
  <c r="CF34" i="72"/>
  <c r="BW127" i="72"/>
  <c r="CF80" i="72"/>
  <c r="BW175" i="72"/>
  <c r="BU187" i="72"/>
  <c r="BW271" i="72"/>
  <c r="BX324" i="72"/>
  <c r="BM17" i="72"/>
  <c r="BU282" i="72"/>
  <c r="CF12" i="72"/>
  <c r="CF36" i="72"/>
  <c r="BY77" i="72"/>
  <c r="BX243" i="72"/>
  <c r="BV74" i="72"/>
  <c r="CH78" i="72"/>
  <c r="BX193" i="72"/>
  <c r="BX195" i="72"/>
  <c r="BV242" i="72"/>
  <c r="CF13" i="72"/>
  <c r="BX98" i="72"/>
  <c r="BU46" i="72"/>
  <c r="BX190" i="72"/>
  <c r="BV213" i="72"/>
  <c r="BY191" i="72"/>
  <c r="BW131" i="72"/>
  <c r="BY403" i="72"/>
  <c r="BV277" i="72"/>
  <c r="BY238" i="72"/>
  <c r="CH29" i="72"/>
  <c r="BX321" i="72"/>
  <c r="BV202" i="72"/>
  <c r="BJ31" i="72"/>
  <c r="BW165" i="72"/>
  <c r="BW45" i="72"/>
  <c r="CI28" i="72"/>
  <c r="BV158" i="72"/>
  <c r="BU63" i="72"/>
  <c r="BX124" i="72"/>
  <c r="BW146" i="72"/>
  <c r="BU101" i="72"/>
  <c r="BU99" i="72"/>
  <c r="BU282" i="92"/>
  <c r="CH75" i="72"/>
  <c r="BU162" i="72"/>
  <c r="BX283" i="72"/>
  <c r="CH37" i="72"/>
  <c r="BX239" i="72"/>
  <c r="BV123" i="72"/>
  <c r="BX96" i="72"/>
  <c r="BV96" i="72"/>
  <c r="BV408" i="72"/>
  <c r="BW191" i="72"/>
  <c r="CF251" i="92"/>
  <c r="BX186" i="72"/>
  <c r="BU96" i="72"/>
  <c r="BV43" i="72"/>
  <c r="BW196" i="72"/>
  <c r="BU277" i="72"/>
  <c r="BX44" i="72"/>
  <c r="CH13" i="72"/>
  <c r="CG64" i="72"/>
  <c r="BU288" i="72"/>
  <c r="BX179" i="72"/>
  <c r="BW154" i="72"/>
  <c r="BU176" i="72"/>
  <c r="BU314" i="92"/>
  <c r="BV245" i="72"/>
  <c r="BX208" i="72"/>
  <c r="BV205" i="72"/>
  <c r="BX306" i="72"/>
  <c r="CF314" i="92"/>
  <c r="BX267" i="72"/>
  <c r="BX191" i="72"/>
  <c r="BU163" i="72"/>
  <c r="BY176" i="72"/>
  <c r="BV219" i="72"/>
  <c r="BW306" i="72"/>
  <c r="BM404" i="72"/>
  <c r="BL401" i="72"/>
  <c r="BU128" i="72"/>
  <c r="BP401" i="72"/>
  <c r="BX32" i="72"/>
  <c r="BV271" i="72"/>
  <c r="BU13" i="72"/>
  <c r="CG74" i="72"/>
  <c r="BV180" i="72"/>
  <c r="BJ13" i="72"/>
  <c r="CF68" i="72"/>
  <c r="BU124" i="72"/>
  <c r="CH32" i="72"/>
  <c r="BY319" i="72"/>
  <c r="CG10" i="72"/>
  <c r="CF203" i="92"/>
  <c r="CF44" i="72"/>
  <c r="BY34" i="72"/>
  <c r="BU90" i="92"/>
  <c r="CH61" i="72"/>
  <c r="BW221" i="72"/>
  <c r="BU79" i="72"/>
  <c r="BU283" i="72"/>
  <c r="CJ31" i="72"/>
  <c r="BV207" i="72"/>
  <c r="CI59" i="72"/>
  <c r="BY188" i="72"/>
  <c r="CQ20" i="72"/>
  <c r="BJ21" i="72"/>
  <c r="BU405" i="72"/>
  <c r="BY272" i="72"/>
  <c r="CB404" i="72"/>
  <c r="BL20" i="72"/>
  <c r="BX177" i="72"/>
  <c r="BY17" i="72"/>
  <c r="BY21" i="72"/>
  <c r="BY208" i="72"/>
  <c r="BX100" i="72"/>
  <c r="BU218" i="72"/>
  <c r="BW33" i="72"/>
  <c r="CF21" i="72"/>
  <c r="CQ14" i="72"/>
  <c r="BW324" i="72"/>
  <c r="BW29" i="72"/>
  <c r="BW243" i="72"/>
  <c r="CA402" i="72"/>
  <c r="BU251" i="92"/>
  <c r="BW81" i="72"/>
  <c r="BY322" i="72"/>
  <c r="BX226" i="72"/>
  <c r="CH30" i="72"/>
  <c r="CF78" i="72"/>
  <c r="CF122" i="92"/>
  <c r="CH84" i="72"/>
  <c r="BU94" i="72"/>
  <c r="BW94" i="72"/>
  <c r="BX67" i="72"/>
  <c r="BV91" i="72"/>
  <c r="BU315" i="92"/>
  <c r="BU157" i="72"/>
  <c r="CF77" i="72"/>
  <c r="CJ84" i="72"/>
  <c r="BP403" i="72"/>
  <c r="BW207" i="72"/>
  <c r="CA403" i="72"/>
  <c r="BU115" i="72"/>
  <c r="BN10" i="72"/>
  <c r="CF43" i="72"/>
  <c r="BY126" i="72"/>
  <c r="BV227" i="72"/>
  <c r="CI18" i="72"/>
  <c r="BW289" i="72"/>
  <c r="BY317" i="72"/>
  <c r="CJ52" i="72"/>
  <c r="BV112" i="72"/>
  <c r="CF32" i="72"/>
  <c r="CG33" i="72"/>
  <c r="CK33" i="72" s="1"/>
  <c r="U729" i="44" s="1"/>
  <c r="BY270" i="72"/>
  <c r="BU146" i="72"/>
  <c r="BL21" i="72"/>
  <c r="BQ407" i="72"/>
  <c r="BY63" i="72"/>
  <c r="BV17" i="72"/>
  <c r="BJ12" i="72"/>
  <c r="BQ405" i="72"/>
  <c r="BV275" i="72"/>
  <c r="BJ11" i="72"/>
  <c r="CB402" i="72"/>
  <c r="BW44" i="72"/>
  <c r="CF90" i="92"/>
  <c r="BX316" i="72"/>
  <c r="BX314" i="72"/>
  <c r="CI51" i="72"/>
  <c r="CA401" i="72"/>
  <c r="BY165" i="72"/>
  <c r="BV188" i="72"/>
  <c r="BU240" i="72"/>
  <c r="BU206" i="72"/>
  <c r="BU127" i="72"/>
  <c r="BK12" i="72"/>
  <c r="BO12" i="72" s="1"/>
  <c r="BV407" i="72"/>
  <c r="CA408" i="72"/>
  <c r="BW293" i="72"/>
  <c r="BY254" i="72"/>
  <c r="BU276" i="72"/>
  <c r="BW15" i="72"/>
  <c r="BK16" i="72"/>
  <c r="BO16" i="72" s="1"/>
  <c r="BU286" i="72"/>
  <c r="BX245" i="72"/>
  <c r="BO408" i="72"/>
  <c r="BW66" i="72"/>
  <c r="CB399" i="72"/>
  <c r="CI90" i="72"/>
  <c r="BW309" i="72"/>
  <c r="BW176" i="72"/>
  <c r="BY35" i="72"/>
  <c r="CG26" i="72"/>
  <c r="BV244" i="72"/>
  <c r="BV257" i="72"/>
  <c r="BW99" i="72"/>
  <c r="BU161" i="72"/>
  <c r="BW181" i="72"/>
  <c r="BY282" i="72"/>
  <c r="BX224" i="72"/>
  <c r="BW85" i="72"/>
  <c r="BW21" i="72"/>
  <c r="BY144" i="72"/>
  <c r="BU171" i="92"/>
  <c r="BX139" i="72"/>
  <c r="BY42" i="72"/>
  <c r="BY242" i="72"/>
  <c r="BN32" i="72"/>
  <c r="BV144" i="72"/>
  <c r="BV50" i="72"/>
  <c r="BY96" i="72"/>
  <c r="BX113" i="72"/>
  <c r="BX49" i="72"/>
  <c r="BV61" i="72"/>
  <c r="BU289" i="72"/>
  <c r="BW173" i="72"/>
  <c r="BW255" i="72"/>
  <c r="BX141" i="72"/>
  <c r="BV254" i="72"/>
  <c r="CF48" i="72"/>
  <c r="BW273" i="72"/>
  <c r="BY271" i="72"/>
  <c r="BV240" i="72"/>
  <c r="BV303" i="72"/>
  <c r="BW245" i="72"/>
  <c r="BW84" i="72"/>
  <c r="CJ29" i="72"/>
  <c r="BU179" i="72"/>
  <c r="BW256" i="72"/>
  <c r="BN401" i="72"/>
  <c r="BY130" i="72"/>
  <c r="BY401" i="72"/>
  <c r="BV255" i="72"/>
  <c r="BW236" i="72"/>
  <c r="BY116" i="72"/>
  <c r="BX301" i="72"/>
  <c r="BL17" i="72"/>
  <c r="BY75" i="72"/>
  <c r="BV132" i="72"/>
  <c r="BY127" i="72"/>
  <c r="BX289" i="72"/>
  <c r="BY68" i="72"/>
  <c r="BV267" i="72"/>
  <c r="BV406" i="72"/>
  <c r="BX64" i="72"/>
  <c r="BX405" i="72"/>
  <c r="CG34" i="72"/>
  <c r="CK34" i="72" s="1"/>
  <c r="BW157" i="72"/>
  <c r="BW96" i="72"/>
  <c r="BV83" i="72"/>
  <c r="BW172" i="72"/>
  <c r="BW212" i="72"/>
  <c r="BL31" i="72"/>
  <c r="BV90" i="72"/>
  <c r="BK28" i="72"/>
  <c r="BO28" i="72" s="1"/>
  <c r="BW75" i="72"/>
  <c r="BY154" i="72"/>
  <c r="BU36" i="72"/>
  <c r="BY109" i="72"/>
  <c r="BM408" i="72"/>
  <c r="BL11" i="72"/>
  <c r="BV67" i="72"/>
  <c r="BW225" i="72"/>
  <c r="BY276" i="72"/>
  <c r="CB401" i="72"/>
  <c r="CQ10" i="72"/>
  <c r="BW223" i="72"/>
  <c r="BW272" i="72"/>
  <c r="CJ64" i="72"/>
  <c r="BN12" i="72"/>
  <c r="BW138" i="72"/>
  <c r="BW298" i="72"/>
  <c r="CI36" i="72"/>
  <c r="BY133" i="72"/>
  <c r="CG85" i="72"/>
  <c r="BY99" i="72"/>
  <c r="BX237" i="72"/>
  <c r="BX325" i="72"/>
  <c r="BU66" i="72"/>
  <c r="BU222" i="72"/>
  <c r="BJ405" i="72"/>
  <c r="BW286" i="72"/>
  <c r="BU242" i="72"/>
  <c r="BW238" i="72"/>
  <c r="BL26" i="72"/>
  <c r="BJ19" i="72"/>
  <c r="BN30" i="72"/>
  <c r="BW323" i="72"/>
  <c r="BX61" i="72"/>
  <c r="BV33" i="72"/>
  <c r="BL405" i="72"/>
  <c r="BV175" i="72"/>
  <c r="CJ20" i="72"/>
  <c r="BY31" i="72"/>
  <c r="BV318" i="72"/>
  <c r="CJ61" i="72"/>
  <c r="BU266" i="72"/>
  <c r="BV272" i="72"/>
  <c r="BY90" i="72"/>
  <c r="BX45" i="72"/>
  <c r="BU407" i="72"/>
  <c r="BN404" i="72"/>
  <c r="BM30" i="72"/>
  <c r="BW307" i="72"/>
  <c r="CG53" i="72"/>
  <c r="BY173" i="72"/>
  <c r="BV286" i="72"/>
  <c r="BW126" i="72"/>
  <c r="BX95" i="72"/>
  <c r="BV324" i="72"/>
  <c r="BU69" i="72"/>
  <c r="BX315" i="72"/>
  <c r="BY36" i="72"/>
  <c r="BY146" i="72"/>
  <c r="BU122" i="72"/>
  <c r="BU306" i="72"/>
  <c r="BW305" i="72"/>
  <c r="CQ9" i="72"/>
  <c r="CH48" i="72"/>
  <c r="BX196" i="72"/>
  <c r="BW117" i="72"/>
  <c r="BX255" i="72"/>
  <c r="CJ32" i="72"/>
  <c r="BX303" i="72"/>
  <c r="BV288" i="72"/>
  <c r="BU245" i="72"/>
  <c r="BY298" i="72"/>
  <c r="BV165" i="72"/>
  <c r="BM16" i="72"/>
  <c r="BW244" i="72"/>
  <c r="CH35" i="72"/>
  <c r="BW178" i="72"/>
  <c r="BV289" i="72"/>
  <c r="BX78" i="72"/>
  <c r="CF58" i="92"/>
  <c r="BU181" i="72"/>
  <c r="BY202" i="72"/>
  <c r="BU298" i="72"/>
  <c r="BU125" i="72"/>
  <c r="BU17" i="72"/>
  <c r="BY26" i="72"/>
  <c r="BW304" i="72"/>
  <c r="BX258" i="72"/>
  <c r="BW282" i="72"/>
  <c r="BU91" i="92"/>
  <c r="BX147" i="72"/>
  <c r="BX205" i="72"/>
  <c r="BV269" i="72"/>
  <c r="BV319" i="72"/>
  <c r="BL30" i="72"/>
  <c r="CH12" i="72"/>
  <c r="BY239" i="72"/>
  <c r="CH21" i="72"/>
  <c r="BV75" i="72"/>
  <c r="BW63" i="72"/>
  <c r="BX42" i="72"/>
  <c r="BY266" i="72"/>
  <c r="BW202" i="72"/>
  <c r="BM15" i="72"/>
  <c r="BX320" i="72"/>
  <c r="CI46" i="72"/>
  <c r="BU300" i="72"/>
  <c r="BY212" i="72"/>
  <c r="BY227" i="72"/>
  <c r="CH49" i="72"/>
  <c r="BX84" i="72"/>
  <c r="BU74" i="72"/>
  <c r="BY300" i="72"/>
  <c r="BV402" i="72"/>
  <c r="CG12" i="72"/>
  <c r="CK12" i="72" s="1"/>
  <c r="CF74" i="72"/>
  <c r="BW407" i="72"/>
  <c r="BX148" i="72"/>
  <c r="CF26" i="72"/>
  <c r="BU252" i="72"/>
  <c r="BY234" i="72"/>
  <c r="CH58" i="72"/>
  <c r="BU219" i="92"/>
  <c r="CF66" i="72"/>
  <c r="CI84" i="72"/>
  <c r="BY190" i="72"/>
  <c r="BX188" i="72"/>
  <c r="BJ26" i="72"/>
  <c r="BK11" i="72"/>
  <c r="BO11" i="72" s="1"/>
  <c r="Q93" i="34" s="1"/>
  <c r="CH79" i="72"/>
  <c r="BW283" i="72"/>
  <c r="BV159" i="72"/>
  <c r="U18" i="44"/>
  <c r="BL34" i="72"/>
  <c r="CF92" i="72"/>
  <c r="CG92" i="72"/>
  <c r="CH92" i="72"/>
  <c r="CJ92" i="72"/>
  <c r="CI92" i="72"/>
  <c r="CE94" i="72"/>
  <c r="BM34" i="72"/>
  <c r="BN34" i="72"/>
  <c r="BK34" i="72"/>
  <c r="BO34" i="72" s="1"/>
  <c r="BJ35" i="72"/>
  <c r="BI36" i="72"/>
  <c r="BV347" i="92"/>
  <c r="BR347" i="92"/>
  <c r="CH93" i="72" a="1"/>
  <c r="CC347" i="92"/>
  <c r="CF93" i="72" a="1"/>
  <c r="CI93" i="72" a="1"/>
  <c r="CB354" i="92"/>
  <c r="BU354" i="92"/>
  <c r="BZ346" i="72"/>
  <c r="BK355" i="72"/>
  <c r="BM35" i="72" a="1"/>
  <c r="CD347" i="92"/>
  <c r="BN347" i="92"/>
  <c r="CR37" i="72" a="1"/>
  <c r="CP46" i="72" a="1"/>
  <c r="BK347" i="72"/>
  <c r="BN346" i="72"/>
  <c r="BY414" i="72" a="1"/>
  <c r="BS354" i="92"/>
  <c r="BN35" i="72" a="1"/>
  <c r="CB346" i="92"/>
  <c r="BK346" i="92"/>
  <c r="BP354" i="92"/>
  <c r="BO508" i="72"/>
  <c r="BN354" i="72"/>
  <c r="BO430" i="72" a="1"/>
  <c r="BK354" i="92"/>
  <c r="BS347" i="92"/>
  <c r="BY355" i="92"/>
  <c r="CP40" i="72" a="1"/>
  <c r="CR36" i="72" a="1"/>
  <c r="BN446" i="72" a="1"/>
  <c r="BL36" i="72" a="1"/>
  <c r="CG93" i="72" a="1"/>
  <c r="BU347" i="92"/>
  <c r="BV354" i="92"/>
  <c r="BY346" i="92"/>
  <c r="CA355" i="92"/>
  <c r="BQ508" i="72"/>
  <c r="CD355" i="92"/>
  <c r="BO355" i="92"/>
  <c r="BM354" i="72"/>
  <c r="BP355" i="92"/>
  <c r="BS355" i="92"/>
  <c r="BW347" i="92"/>
  <c r="BK355" i="92"/>
  <c r="BX355" i="92"/>
  <c r="CP39" i="72" a="1"/>
  <c r="CP37" i="72" a="1"/>
  <c r="CC354" i="92"/>
  <c r="CP38" i="72" a="1"/>
  <c r="BU355" i="92"/>
  <c r="BW354" i="92"/>
  <c r="BY354" i="92"/>
  <c r="CA347" i="92"/>
  <c r="BO414" i="72" a="1"/>
  <c r="BR354" i="92"/>
  <c r="BO347" i="92"/>
  <c r="CP28" i="72" a="1"/>
  <c r="BL354" i="72"/>
  <c r="BQ347" i="92"/>
  <c r="BX347" i="92"/>
  <c r="CC346" i="92"/>
  <c r="BP347" i="92"/>
  <c r="BL346" i="72"/>
  <c r="BT355" i="92"/>
  <c r="BO446" i="72" a="1"/>
  <c r="BQ355" i="92"/>
  <c r="BY430" i="72" a="1"/>
  <c r="BW355" i="92"/>
  <c r="CA346" i="92"/>
  <c r="BN414" i="72" a="1"/>
  <c r="CP36" i="72" a="1"/>
  <c r="BT347" i="92"/>
  <c r="BY446" i="72" a="1"/>
  <c r="BT354" i="92"/>
  <c r="BO354" i="92"/>
  <c r="BN355" i="92"/>
  <c r="BZ346" i="92"/>
  <c r="BK347" i="92"/>
  <c r="CR39" i="72" a="1"/>
  <c r="BO346" i="72"/>
  <c r="CP44" i="72" a="1"/>
  <c r="BY347" i="92"/>
  <c r="BM355" i="92"/>
  <c r="CJ93" i="72" a="1"/>
  <c r="BL355" i="92"/>
  <c r="BK35" i="72" a="1"/>
  <c r="BL347" i="92"/>
  <c r="CD346" i="92"/>
  <c r="BZ347" i="92"/>
  <c r="BL346" i="92"/>
  <c r="BX354" i="92"/>
  <c r="BK353" i="72"/>
  <c r="CB355" i="92"/>
  <c r="BQ354" i="92"/>
  <c r="BV355" i="92"/>
  <c r="BR355" i="92"/>
  <c r="BL35" i="72" a="1"/>
  <c r="CC355" i="92"/>
  <c r="BL354" i="92"/>
  <c r="BX346" i="92"/>
  <c r="BK345" i="72"/>
  <c r="CB347" i="92"/>
  <c r="BM355" i="72"/>
  <c r="CR38" i="72" a="1"/>
  <c r="BZ354" i="92"/>
  <c r="BM347" i="92"/>
  <c r="BZ355" i="92"/>
  <c r="BZ354" i="72"/>
  <c r="CA354" i="92"/>
  <c r="CP45" i="72" a="1"/>
  <c r="CR40" i="72" a="1"/>
  <c r="CD354" i="92"/>
  <c r="U37" i="44" l="1"/>
  <c r="U21" i="44"/>
  <c r="U712" i="44"/>
  <c r="U20" i="44"/>
  <c r="S175" i="34"/>
  <c r="U17" i="44"/>
  <c r="BJ411" i="72"/>
  <c r="BL423" i="72" s="1"/>
  <c r="S174" i="34"/>
  <c r="U711" i="44"/>
  <c r="BK455" i="72"/>
  <c r="BM450" i="72"/>
  <c r="Q173" i="34"/>
  <c r="BM446" i="72"/>
  <c r="BJ454" i="72"/>
  <c r="BL450" i="72"/>
  <c r="BM451" i="72"/>
  <c r="BU443" i="72"/>
  <c r="BU447" i="72" s="1"/>
  <c r="BM454" i="72"/>
  <c r="BL449" i="72"/>
  <c r="BM452" i="72"/>
  <c r="BK450" i="72"/>
  <c r="BL451" i="72"/>
  <c r="BK448" i="72"/>
  <c r="BM448" i="72"/>
  <c r="BL447" i="72"/>
  <c r="BJ446" i="72"/>
  <c r="BJ455" i="72"/>
  <c r="BM447" i="72"/>
  <c r="BK451" i="72"/>
  <c r="BJ451" i="72"/>
  <c r="BL448" i="72"/>
  <c r="BL455" i="72"/>
  <c r="BM455" i="72"/>
  <c r="BM453" i="72"/>
  <c r="BL446" i="72"/>
  <c r="Z54" i="34"/>
  <c r="BJ452" i="72"/>
  <c r="BM449" i="72"/>
  <c r="BL454" i="72"/>
  <c r="BK446" i="72"/>
  <c r="BK453" i="72"/>
  <c r="BK447" i="72"/>
  <c r="BK454" i="72"/>
  <c r="BJ447" i="72"/>
  <c r="BK452" i="72"/>
  <c r="BL453" i="72"/>
  <c r="BJ450" i="72"/>
  <c r="BJ453" i="72"/>
  <c r="BJ448" i="72"/>
  <c r="BJ449" i="72"/>
  <c r="BK449" i="72"/>
  <c r="U725" i="44"/>
  <c r="U724" i="44"/>
  <c r="BK437" i="72"/>
  <c r="BK430" i="72"/>
  <c r="S177" i="34"/>
  <c r="BM437" i="72"/>
  <c r="Q175" i="34"/>
  <c r="BU411" i="72"/>
  <c r="BV423" i="72" s="1"/>
  <c r="BU427" i="72"/>
  <c r="BV433" i="72" s="1"/>
  <c r="S97" i="34"/>
  <c r="U36" i="44"/>
  <c r="BL433" i="72"/>
  <c r="BX361" i="92"/>
  <c r="AQ182" i="88" s="1"/>
  <c r="BX369" i="92"/>
  <c r="BX374" i="92" s="1"/>
  <c r="AQ183" i="88" s="1"/>
  <c r="BN414" i="72"/>
  <c r="BP414" i="72" s="1"/>
  <c r="BI468" i="72" s="1"/>
  <c r="J57" i="34" s="1"/>
  <c r="CP28" i="72"/>
  <c r="CR38" i="72"/>
  <c r="BZ368" i="72"/>
  <c r="BZ360" i="72"/>
  <c r="CP37" i="72"/>
  <c r="BM361" i="92"/>
  <c r="U182" i="88" s="1"/>
  <c r="BM369" i="92"/>
  <c r="BM374" i="92" s="1"/>
  <c r="U183" i="88" s="1"/>
  <c r="CA368" i="92"/>
  <c r="CA373" i="92" s="1"/>
  <c r="EE78" i="102" s="1"/>
  <c r="CA360" i="92"/>
  <c r="AW143" i="88" s="1"/>
  <c r="BO369" i="92"/>
  <c r="BO374" i="92" s="1"/>
  <c r="DS79" i="102" s="1"/>
  <c r="BO361" i="92"/>
  <c r="Y182" i="88" s="1"/>
  <c r="BK368" i="92"/>
  <c r="BK373" i="92" s="1"/>
  <c r="BK360" i="92"/>
  <c r="Q143" i="88" s="1"/>
  <c r="CB369" i="92"/>
  <c r="CB374" i="92" s="1"/>
  <c r="AY183" i="88" s="1"/>
  <c r="CB361" i="92"/>
  <c r="AY182" i="88" s="1"/>
  <c r="BY361" i="92"/>
  <c r="AS182" i="88" s="1"/>
  <c r="BY369" i="92"/>
  <c r="BY374" i="92" s="1"/>
  <c r="EC79" i="102" s="1"/>
  <c r="CP40" i="72"/>
  <c r="BW361" i="92"/>
  <c r="AO182" i="88" s="1"/>
  <c r="BW369" i="92"/>
  <c r="BW374" i="92" s="1"/>
  <c r="CD369" i="92"/>
  <c r="CD374" i="92" s="1"/>
  <c r="BC183" i="88" s="1"/>
  <c r="CD361" i="92"/>
  <c r="BC182" i="88" s="1"/>
  <c r="CB360" i="92"/>
  <c r="AY143" i="88" s="1"/>
  <c r="CB368" i="92"/>
  <c r="CB373" i="92" s="1"/>
  <c r="BK359" i="72"/>
  <c r="Q104" i="34" s="1"/>
  <c r="BK367" i="72"/>
  <c r="BK372" i="72" s="1"/>
  <c r="BN446" i="72"/>
  <c r="BP446" i="72" s="1"/>
  <c r="BM468" i="72" s="1"/>
  <c r="CP44" i="72"/>
  <c r="CR40" i="72"/>
  <c r="BY446" i="72"/>
  <c r="CA446" i="72" s="1"/>
  <c r="BS468" i="72" s="1"/>
  <c r="BY430" i="72"/>
  <c r="BO414" i="72"/>
  <c r="BQ414" i="72" s="1"/>
  <c r="BJ468" i="72" s="1"/>
  <c r="L57" i="34" s="1"/>
  <c r="BO430" i="72"/>
  <c r="BQ430" i="72" s="1"/>
  <c r="BL468" i="72" s="1"/>
  <c r="BX360" i="92"/>
  <c r="AQ143" i="88" s="1"/>
  <c r="BX368" i="92"/>
  <c r="BX373" i="92" s="1"/>
  <c r="AQ144" i="88" s="1"/>
  <c r="CR37" i="72"/>
  <c r="BQ369" i="92"/>
  <c r="BQ374" i="92" s="1"/>
  <c r="AC183" i="88" s="1"/>
  <c r="BQ361" i="92"/>
  <c r="AC182" i="88" s="1"/>
  <c r="CA361" i="92"/>
  <c r="AW182" i="88" s="1"/>
  <c r="CA369" i="92"/>
  <c r="CA374" i="92" s="1"/>
  <c r="EE79" i="102" s="1"/>
  <c r="BL360" i="92"/>
  <c r="S143" i="88" s="1"/>
  <c r="BL368" i="92"/>
  <c r="BL373" i="92" s="1"/>
  <c r="DP78" i="102" s="1"/>
  <c r="CP39" i="72"/>
  <c r="CR39" i="72"/>
  <c r="BS361" i="92"/>
  <c r="AG182" i="88" s="1"/>
  <c r="BS369" i="92"/>
  <c r="BS374" i="92" s="1"/>
  <c r="BO446" i="72"/>
  <c r="BQ446" i="72" s="1"/>
  <c r="BN468" i="72" s="1"/>
  <c r="BY368" i="92"/>
  <c r="BY373" i="92" s="1"/>
  <c r="AS144" i="88" s="1"/>
  <c r="BY360" i="92"/>
  <c r="AS143" i="88" s="1"/>
  <c r="BY414" i="72"/>
  <c r="CA414" i="72" s="1"/>
  <c r="BO468" i="72" s="1"/>
  <c r="N57" i="34" s="1"/>
  <c r="CC361" i="92"/>
  <c r="BA182" i="88" s="1"/>
  <c r="CC369" i="92"/>
  <c r="CC374" i="92" s="1"/>
  <c r="BA183" i="88" s="1"/>
  <c r="BZ361" i="92"/>
  <c r="AU182" i="88" s="1"/>
  <c r="BZ369" i="92"/>
  <c r="BZ374" i="92" s="1"/>
  <c r="ED79" i="102" s="1"/>
  <c r="BK361" i="92"/>
  <c r="Q182" i="88" s="1"/>
  <c r="BK369" i="92"/>
  <c r="BK374" i="92" s="1"/>
  <c r="DO79" i="102" s="1"/>
  <c r="BT361" i="92"/>
  <c r="AI182" i="88" s="1"/>
  <c r="BT369" i="92"/>
  <c r="BT374" i="92" s="1"/>
  <c r="BN360" i="72"/>
  <c r="CD368" i="92"/>
  <c r="CD373" i="92" s="1"/>
  <c r="EH78" i="102" s="1"/>
  <c r="CD360" i="92"/>
  <c r="BC143" i="88" s="1"/>
  <c r="BZ360" i="92"/>
  <c r="AU143" i="88" s="1"/>
  <c r="BZ368" i="92"/>
  <c r="BZ373" i="92" s="1"/>
  <c r="AU144" i="88" s="1"/>
  <c r="BL368" i="72"/>
  <c r="BL360" i="72"/>
  <c r="BU369" i="92"/>
  <c r="BU374" i="92" s="1"/>
  <c r="AK183" i="88" s="1"/>
  <c r="BU361" i="92"/>
  <c r="AK182" i="88" s="1"/>
  <c r="BK369" i="72"/>
  <c r="BK374" i="72" s="1"/>
  <c r="BK361" i="72"/>
  <c r="BR361" i="92"/>
  <c r="AE182" i="88" s="1"/>
  <c r="BR369" i="92"/>
  <c r="BR374" i="92" s="1"/>
  <c r="BL369" i="92"/>
  <c r="BL374" i="92" s="1"/>
  <c r="DP79" i="102" s="1"/>
  <c r="BL361" i="92"/>
  <c r="S182" i="88" s="1"/>
  <c r="BN369" i="92"/>
  <c r="BN374" i="92" s="1"/>
  <c r="BN361" i="92"/>
  <c r="W182" i="88" s="1"/>
  <c r="BP361" i="92"/>
  <c r="AA182" i="88" s="1"/>
  <c r="BP369" i="92"/>
  <c r="BP374" i="92" s="1"/>
  <c r="DT79" i="102" s="1"/>
  <c r="CP38" i="72"/>
  <c r="CP46" i="72"/>
  <c r="BV361" i="92"/>
  <c r="AM182" i="88" s="1"/>
  <c r="BV369" i="92"/>
  <c r="BV374" i="92" s="1"/>
  <c r="CR36" i="72"/>
  <c r="CP45" i="72"/>
  <c r="CP36" i="72"/>
  <c r="CC360" i="92"/>
  <c r="BA143" i="88" s="1"/>
  <c r="CC368" i="92"/>
  <c r="CC373" i="92" s="1"/>
  <c r="BA144" i="88" s="1"/>
  <c r="BU446" i="72"/>
  <c r="BJ430" i="72"/>
  <c r="BL432" i="72"/>
  <c r="BL439" i="72"/>
  <c r="BL434" i="72"/>
  <c r="U22" i="44"/>
  <c r="Q101" i="34"/>
  <c r="BO10" i="72"/>
  <c r="BV449" i="72"/>
  <c r="BJ434" i="72"/>
  <c r="BJ431" i="72"/>
  <c r="BL435" i="72"/>
  <c r="BK431" i="72"/>
  <c r="BK435" i="72"/>
  <c r="BM435" i="72"/>
  <c r="Q172" i="34"/>
  <c r="U707" i="44"/>
  <c r="S93" i="34"/>
  <c r="U31" i="44"/>
  <c r="BX452" i="72"/>
  <c r="BX450" i="72"/>
  <c r="BL438" i="72"/>
  <c r="BM432" i="72"/>
  <c r="BK436" i="72"/>
  <c r="BK439" i="72"/>
  <c r="BM438" i="72"/>
  <c r="U33" i="44"/>
  <c r="S95" i="34"/>
  <c r="U23" i="44"/>
  <c r="Q102" i="34"/>
  <c r="Q94" i="34"/>
  <c r="U15" i="44"/>
  <c r="BV453" i="72"/>
  <c r="BV451" i="72"/>
  <c r="BK433" i="72"/>
  <c r="BJ433" i="72"/>
  <c r="Q174" i="34"/>
  <c r="BM436" i="72"/>
  <c r="BK434" i="72"/>
  <c r="CK10" i="72"/>
  <c r="BO26" i="72"/>
  <c r="U706" i="44"/>
  <c r="U713" i="44"/>
  <c r="Q178" i="34"/>
  <c r="BW449" i="72"/>
  <c r="BJ438" i="72"/>
  <c r="BV452" i="72"/>
  <c r="BW450" i="72"/>
  <c r="R54" i="34"/>
  <c r="BK432" i="72"/>
  <c r="BJ436" i="72"/>
  <c r="BL437" i="72"/>
  <c r="S96" i="34"/>
  <c r="U34" i="44"/>
  <c r="BW455" i="72"/>
  <c r="BU450" i="72"/>
  <c r="BL430" i="72"/>
  <c r="BJ432" i="72"/>
  <c r="BL436" i="72"/>
  <c r="CK26" i="72"/>
  <c r="BO21" i="72"/>
  <c r="BW448" i="72"/>
  <c r="BW454" i="72"/>
  <c r="BK438" i="72"/>
  <c r="BM430" i="72"/>
  <c r="BM431" i="72"/>
  <c r="BJ435" i="72"/>
  <c r="BV447" i="72"/>
  <c r="BM434" i="72"/>
  <c r="BM439" i="72"/>
  <c r="S94" i="34"/>
  <c r="U32" i="44"/>
  <c r="Q98" i="34"/>
  <c r="U19" i="44"/>
  <c r="Q179" i="34"/>
  <c r="U714" i="44"/>
  <c r="U14" i="44"/>
  <c r="BU451" i="72"/>
  <c r="BJ439" i="72"/>
  <c r="BJ437" i="72"/>
  <c r="BM433" i="72"/>
  <c r="S176" i="34"/>
  <c r="U728" i="44"/>
  <c r="U16" i="44"/>
  <c r="Q95" i="34"/>
  <c r="S171" i="34"/>
  <c r="U723" i="44"/>
  <c r="BX453" i="72"/>
  <c r="BV455" i="72"/>
  <c r="BX448" i="72"/>
  <c r="BX449" i="72"/>
  <c r="BU455" i="72"/>
  <c r="BX446" i="72"/>
  <c r="BW446" i="72"/>
  <c r="BW452" i="72"/>
  <c r="BU453" i="72"/>
  <c r="BW447" i="72"/>
  <c r="BX451" i="72"/>
  <c r="BV448" i="72"/>
  <c r="BU449" i="72"/>
  <c r="BV454" i="72"/>
  <c r="BW451" i="72"/>
  <c r="BX454" i="72"/>
  <c r="BV446" i="72"/>
  <c r="BU448" i="72"/>
  <c r="BW453" i="72"/>
  <c r="BU452" i="72"/>
  <c r="BV450" i="72"/>
  <c r="BX455" i="72"/>
  <c r="BM423" i="72"/>
  <c r="BJ420" i="72"/>
  <c r="BM421" i="72"/>
  <c r="BL421" i="72"/>
  <c r="BL418" i="72"/>
  <c r="BL422" i="72"/>
  <c r="BJ418" i="72"/>
  <c r="BL419" i="72"/>
  <c r="BL415" i="72"/>
  <c r="BL416" i="72"/>
  <c r="BL417" i="72"/>
  <c r="BK423" i="72"/>
  <c r="BM420" i="72"/>
  <c r="BL420" i="72"/>
  <c r="EB78" i="102"/>
  <c r="BJ414" i="72"/>
  <c r="BM415" i="72"/>
  <c r="BM417" i="72"/>
  <c r="BK418" i="72"/>
  <c r="BM414" i="72"/>
  <c r="BJ417" i="72"/>
  <c r="BK420" i="72"/>
  <c r="BL414" i="72"/>
  <c r="BK414" i="72"/>
  <c r="BK415" i="72"/>
  <c r="BM422" i="72"/>
  <c r="BJ422" i="72"/>
  <c r="BK417" i="72"/>
  <c r="BJ416" i="72"/>
  <c r="BJ415" i="72"/>
  <c r="BM416" i="72"/>
  <c r="BK416" i="72"/>
  <c r="BK421" i="72"/>
  <c r="BK422" i="72"/>
  <c r="BK419" i="72"/>
  <c r="BJ421" i="72"/>
  <c r="BM419" i="72"/>
  <c r="BJ419" i="72"/>
  <c r="BM418" i="72"/>
  <c r="BJ423" i="72"/>
  <c r="U716" i="44"/>
  <c r="Q181" i="34"/>
  <c r="U38" i="44"/>
  <c r="U730" i="44"/>
  <c r="S178" i="34"/>
  <c r="BL35" i="72"/>
  <c r="CI93" i="72"/>
  <c r="CG93" i="72"/>
  <c r="CH93" i="72"/>
  <c r="CJ93" i="72"/>
  <c r="CF93" i="72"/>
  <c r="CE95" i="72"/>
  <c r="CK35" i="72"/>
  <c r="BL36" i="72"/>
  <c r="S100" i="34"/>
  <c r="BM35" i="72"/>
  <c r="BN35" i="72"/>
  <c r="BK35" i="72"/>
  <c r="BO35" i="72" s="1"/>
  <c r="BI37" i="72"/>
  <c r="CG94" i="72" a="1"/>
  <c r="CF94" i="72" a="1"/>
  <c r="BJ36" i="72" a="1"/>
  <c r="BL355" i="72"/>
  <c r="BL347" i="72"/>
  <c r="BN36" i="72" a="1"/>
  <c r="CH94" i="72" a="1"/>
  <c r="CI94" i="72" a="1"/>
  <c r="BM36" i="72" a="1"/>
  <c r="CJ94" i="72" a="1"/>
  <c r="BK36" i="72" a="1"/>
  <c r="BL37" i="72" a="1"/>
  <c r="BW434" i="72" l="1"/>
  <c r="BU420" i="72"/>
  <c r="BV436" i="72"/>
  <c r="BV417" i="72"/>
  <c r="BX434" i="72"/>
  <c r="BX435" i="72"/>
  <c r="BW436" i="72"/>
  <c r="BW437" i="72"/>
  <c r="BV432" i="72"/>
  <c r="BU437" i="72"/>
  <c r="BV419" i="72"/>
  <c r="BU431" i="72"/>
  <c r="BX417" i="72"/>
  <c r="BX419" i="72"/>
  <c r="AA183" i="88"/>
  <c r="BW419" i="72"/>
  <c r="BW423" i="72"/>
  <c r="BW439" i="72"/>
  <c r="BW435" i="72"/>
  <c r="BX436" i="72"/>
  <c r="BV438" i="72"/>
  <c r="BX439" i="72"/>
  <c r="BV437" i="72"/>
  <c r="BW414" i="72"/>
  <c r="BV435" i="72"/>
  <c r="AS183" i="88"/>
  <c r="BX431" i="72"/>
  <c r="BX432" i="72"/>
  <c r="BX430" i="72"/>
  <c r="BX433" i="72"/>
  <c r="BV434" i="72"/>
  <c r="BW433" i="72"/>
  <c r="BU439" i="72"/>
  <c r="BU436" i="72"/>
  <c r="BV439" i="72"/>
  <c r="BV430" i="72"/>
  <c r="BW438" i="72"/>
  <c r="BX437" i="72"/>
  <c r="BU438" i="72"/>
  <c r="BW430" i="72"/>
  <c r="DU79" i="102"/>
  <c r="BV431" i="72"/>
  <c r="BU435" i="72"/>
  <c r="BU432" i="72"/>
  <c r="BW431" i="72"/>
  <c r="BU433" i="72"/>
  <c r="BU434" i="72"/>
  <c r="BU430" i="72"/>
  <c r="BX438" i="72"/>
  <c r="AU183" i="88"/>
  <c r="BX447" i="72"/>
  <c r="BU454" i="72"/>
  <c r="BX420" i="72"/>
  <c r="BV418" i="72"/>
  <c r="EG78" i="102"/>
  <c r="BW415" i="72"/>
  <c r="BU416" i="72"/>
  <c r="BW420" i="72"/>
  <c r="BX416" i="72"/>
  <c r="BX418" i="72"/>
  <c r="BU418" i="72"/>
  <c r="AW183" i="88"/>
  <c r="BU422" i="72"/>
  <c r="BV422" i="72"/>
  <c r="BU414" i="72"/>
  <c r="BX423" i="72"/>
  <c r="BW418" i="72"/>
  <c r="BV416" i="72"/>
  <c r="EF79" i="102"/>
  <c r="BX421" i="72"/>
  <c r="BX415" i="72"/>
  <c r="BV415" i="72"/>
  <c r="BU415" i="72"/>
  <c r="BV421" i="72"/>
  <c r="BU417" i="72"/>
  <c r="EG79" i="102"/>
  <c r="BV420" i="72"/>
  <c r="BW416" i="72"/>
  <c r="BW421" i="72"/>
  <c r="ED78" i="102"/>
  <c r="BU421" i="72"/>
  <c r="BV414" i="72"/>
  <c r="BW417" i="72"/>
  <c r="BU423" i="72"/>
  <c r="BX414" i="72"/>
  <c r="BU419" i="72"/>
  <c r="BW422" i="72"/>
  <c r="BX422" i="72"/>
  <c r="BC144" i="88"/>
  <c r="EC78" i="102"/>
  <c r="S183" i="88"/>
  <c r="EB79" i="102"/>
  <c r="BW432" i="72"/>
  <c r="AI183" i="88"/>
  <c r="DX79" i="102"/>
  <c r="AG183" i="88"/>
  <c r="DW79" i="102"/>
  <c r="Q92" i="34"/>
  <c r="U13" i="44"/>
  <c r="S92" i="34"/>
  <c r="U30" i="44"/>
  <c r="AW144" i="88"/>
  <c r="U705" i="44"/>
  <c r="Q170" i="34"/>
  <c r="Q103" i="34"/>
  <c r="U24" i="44"/>
  <c r="S170" i="34"/>
  <c r="U722" i="44"/>
  <c r="DR79" i="102"/>
  <c r="W183" i="88"/>
  <c r="Q105" i="34"/>
  <c r="DO77" i="93"/>
  <c r="DZ79" i="102"/>
  <c r="AM183" i="88"/>
  <c r="DO79" i="93"/>
  <c r="Q183" i="34"/>
  <c r="S144" i="88"/>
  <c r="Q183" i="88"/>
  <c r="EA79" i="102"/>
  <c r="AO183" i="88"/>
  <c r="EH79" i="102"/>
  <c r="Y183" i="88"/>
  <c r="EF78" i="102"/>
  <c r="AY144" i="88"/>
  <c r="DO78" i="102"/>
  <c r="Q144" i="88"/>
  <c r="DQ79" i="102"/>
  <c r="DY79" i="102"/>
  <c r="DV79" i="102"/>
  <c r="AE183" i="88"/>
  <c r="U39" i="44"/>
  <c r="U731" i="44"/>
  <c r="BL369" i="72"/>
  <c r="BL374" i="72" s="1"/>
  <c r="DP79" i="93" s="1"/>
  <c r="S179" i="34"/>
  <c r="CF94" i="72"/>
  <c r="CJ94" i="72"/>
  <c r="CI94" i="72"/>
  <c r="CG94" i="72"/>
  <c r="CH94" i="72"/>
  <c r="CE96" i="72"/>
  <c r="CK36" i="72"/>
  <c r="BL37" i="72"/>
  <c r="S101" i="34"/>
  <c r="BN36" i="72"/>
  <c r="BM36" i="72"/>
  <c r="BJ36" i="72"/>
  <c r="BK36" i="72"/>
  <c r="BO36" i="72" s="1"/>
  <c r="BI42" i="72"/>
  <c r="BL361" i="72"/>
  <c r="CH95" i="72" a="1"/>
  <c r="CI95" i="72" a="1"/>
  <c r="BM37" i="72" a="1"/>
  <c r="BJ42" i="72" a="1"/>
  <c r="CF95" i="72" a="1"/>
  <c r="DR42" i="102"/>
  <c r="CJ95" i="72" a="1"/>
  <c r="BO509" i="72"/>
  <c r="BZ446" i="72" a="1"/>
  <c r="CG95" i="72" a="1"/>
  <c r="BJ37" i="72" a="1"/>
  <c r="BN37" i="72" a="1"/>
  <c r="BQ509" i="72"/>
  <c r="BK37" i="72" a="1"/>
  <c r="U40" i="44" l="1"/>
  <c r="U732" i="44"/>
  <c r="S183" i="34"/>
  <c r="S180" i="34"/>
  <c r="CH95" i="72"/>
  <c r="CI95" i="72"/>
  <c r="CG95" i="72"/>
  <c r="CF95" i="72"/>
  <c r="CJ95" i="72"/>
  <c r="CE97" i="72"/>
  <c r="CK37" i="72"/>
  <c r="BZ446" i="72"/>
  <c r="S102" i="34"/>
  <c r="BM37" i="72"/>
  <c r="BK37" i="72"/>
  <c r="BJ37" i="72"/>
  <c r="BN37" i="72"/>
  <c r="BI43" i="72"/>
  <c r="BJ42" i="72"/>
  <c r="BN42" i="72" a="1"/>
  <c r="CF96" i="72" a="1"/>
  <c r="BZ414" i="72" a="1"/>
  <c r="BN431" i="72" a="1"/>
  <c r="CI96" i="72" a="1"/>
  <c r="CH96" i="72" a="1"/>
  <c r="BL42" i="72" a="1"/>
  <c r="CJ96" i="72" a="1"/>
  <c r="BL345" i="72"/>
  <c r="BM42" i="72" a="1"/>
  <c r="BK42" i="72" a="1"/>
  <c r="BL43" i="72" a="1"/>
  <c r="BN447" i="72" a="1"/>
  <c r="CG96" i="72" a="1"/>
  <c r="U733" i="44" l="1"/>
  <c r="S181" i="34"/>
  <c r="BL42" i="72"/>
  <c r="CB446" i="72"/>
  <c r="CJ96" i="72"/>
  <c r="CI96" i="72"/>
  <c r="CH96" i="72"/>
  <c r="CF96" i="72"/>
  <c r="CG96" i="72"/>
  <c r="CE98" i="72"/>
  <c r="CK42" i="72"/>
  <c r="BZ42" i="72"/>
  <c r="BN447" i="72"/>
  <c r="BN431" i="72"/>
  <c r="BP431" i="72" s="1"/>
  <c r="BL43" i="72"/>
  <c r="BZ414" i="72"/>
  <c r="BO37" i="72"/>
  <c r="BK42" i="72"/>
  <c r="BM42" i="72"/>
  <c r="BN42" i="72"/>
  <c r="BI44" i="72"/>
  <c r="BL367" i="72"/>
  <c r="BL359" i="72"/>
  <c r="CJ97" i="72" a="1"/>
  <c r="BK43" i="72" a="1"/>
  <c r="CF97" i="72" a="1"/>
  <c r="BM43" i="72" a="1"/>
  <c r="BL353" i="72"/>
  <c r="BJ43" i="72" a="1"/>
  <c r="CI97" i="72" a="1"/>
  <c r="CP29" i="72" a="1"/>
  <c r="BN43" i="72" a="1"/>
  <c r="CH97" i="72" a="1"/>
  <c r="BL44" i="72" a="1"/>
  <c r="CG97" i="72" a="1"/>
  <c r="BN415" i="72" a="1"/>
  <c r="BL372" i="72" l="1"/>
  <c r="DP77" i="93" s="1"/>
  <c r="U393" i="44"/>
  <c r="U41" i="44"/>
  <c r="U739" i="44"/>
  <c r="CP29" i="72"/>
  <c r="BT468" i="72"/>
  <c r="U170" i="34"/>
  <c r="U131" i="34"/>
  <c r="BK469" i="72"/>
  <c r="BP447" i="72"/>
  <c r="BN43" i="72"/>
  <c r="CB414" i="72"/>
  <c r="BN415" i="72"/>
  <c r="BP415" i="72" s="1"/>
  <c r="CG97" i="72"/>
  <c r="CJ97" i="72"/>
  <c r="CF97" i="72"/>
  <c r="CI97" i="72"/>
  <c r="CH97" i="72"/>
  <c r="CE99" i="72"/>
  <c r="CK43" i="72"/>
  <c r="BZ43" i="72"/>
  <c r="BL44" i="72"/>
  <c r="S103" i="34"/>
  <c r="BK43" i="72"/>
  <c r="BO43" i="72" s="1"/>
  <c r="BO42" i="72"/>
  <c r="BM43" i="72"/>
  <c r="BJ43" i="72"/>
  <c r="BI45" i="72"/>
  <c r="CF98" i="72" a="1"/>
  <c r="BK44" i="72" a="1"/>
  <c r="CH98" i="72" a="1"/>
  <c r="BM44" i="72" a="1"/>
  <c r="BL45" i="72" a="1"/>
  <c r="CI98" i="72" a="1"/>
  <c r="CG98" i="72" a="1"/>
  <c r="BJ44" i="72" a="1"/>
  <c r="CJ98" i="72" a="1"/>
  <c r="BN44" i="72" a="1"/>
  <c r="S105" i="34" l="1"/>
  <c r="U740" i="44"/>
  <c r="U48" i="44"/>
  <c r="U394" i="44"/>
  <c r="U47" i="44"/>
  <c r="BP468" i="72"/>
  <c r="P57" i="34" s="1"/>
  <c r="BI469" i="72"/>
  <c r="J58" i="34" s="1"/>
  <c r="U171" i="34"/>
  <c r="U132" i="34"/>
  <c r="R58" i="34"/>
  <c r="BM469" i="72"/>
  <c r="Z58" i="34" s="1"/>
  <c r="CG98" i="72"/>
  <c r="CH98" i="72"/>
  <c r="CI98" i="72"/>
  <c r="CF98" i="72"/>
  <c r="CJ98" i="72"/>
  <c r="CE100" i="72"/>
  <c r="CK44" i="72"/>
  <c r="BZ44" i="72"/>
  <c r="BL45" i="72"/>
  <c r="U93" i="34"/>
  <c r="U92" i="34"/>
  <c r="BJ44" i="72"/>
  <c r="BN44" i="72"/>
  <c r="BK44" i="72"/>
  <c r="BO44" i="72" s="1"/>
  <c r="BM44" i="72"/>
  <c r="BI46" i="72"/>
  <c r="BM46" i="72" a="1"/>
  <c r="BJ45" i="72" a="1"/>
  <c r="BM45" i="72" a="1"/>
  <c r="CH99" i="72" a="1"/>
  <c r="BK45" i="72" a="1"/>
  <c r="CJ99" i="72" a="1"/>
  <c r="CI99" i="72" a="1"/>
  <c r="BN45" i="72" a="1"/>
  <c r="CG99" i="72" a="1"/>
  <c r="CF99" i="72" a="1"/>
  <c r="U49" i="44" l="1"/>
  <c r="U395" i="44"/>
  <c r="U741" i="44"/>
  <c r="U172" i="34"/>
  <c r="U133" i="34"/>
  <c r="BN45" i="72"/>
  <c r="CF99" i="72"/>
  <c r="CJ99" i="72"/>
  <c r="CH99" i="72"/>
  <c r="CG99" i="72"/>
  <c r="CI99" i="72"/>
  <c r="CE101" i="72"/>
  <c r="CK45" i="72"/>
  <c r="BZ45" i="72"/>
  <c r="U94" i="34"/>
  <c r="BJ45" i="72"/>
  <c r="BM45" i="72"/>
  <c r="BK45" i="72"/>
  <c r="BO45" i="72" s="1"/>
  <c r="BM46" i="72"/>
  <c r="BI47" i="72"/>
  <c r="BL46" i="72" a="1"/>
  <c r="CG100" i="72" a="1"/>
  <c r="BK46" i="72" a="1"/>
  <c r="CJ100" i="72" a="1"/>
  <c r="BN46" i="72" a="1"/>
  <c r="CF100" i="72" a="1"/>
  <c r="CH100" i="72" a="1"/>
  <c r="BJ46" i="72" a="1"/>
  <c r="CI100" i="72" a="1"/>
  <c r="BL47" i="72" a="1"/>
  <c r="U742" i="44" l="1"/>
  <c r="U50" i="44"/>
  <c r="U396" i="44"/>
  <c r="U173" i="34"/>
  <c r="U134" i="34"/>
  <c r="BL46" i="72"/>
  <c r="BN46" i="72"/>
  <c r="CI100" i="72"/>
  <c r="CF100" i="72"/>
  <c r="CG100" i="72"/>
  <c r="CH100" i="72"/>
  <c r="CJ100" i="72"/>
  <c r="CE106" i="72"/>
  <c r="CK46" i="72"/>
  <c r="BZ46" i="72"/>
  <c r="BL47" i="72"/>
  <c r="U95" i="34"/>
  <c r="BJ46" i="72"/>
  <c r="BK46" i="72"/>
  <c r="BO46" i="72" s="1"/>
  <c r="BI48" i="72"/>
  <c r="CG101" i="72" a="1"/>
  <c r="CF101" i="72" a="1"/>
  <c r="CJ101" i="72" a="1"/>
  <c r="BJ47" i="72" a="1"/>
  <c r="BK47" i="72" a="1"/>
  <c r="CH101" i="72" a="1"/>
  <c r="BN47" i="72" a="1"/>
  <c r="BM47" i="72" a="1"/>
  <c r="CI101" i="72" a="1"/>
  <c r="BL48" i="72" a="1"/>
  <c r="U51" i="44" l="1"/>
  <c r="U397" i="44"/>
  <c r="U743" i="44"/>
  <c r="U174" i="34"/>
  <c r="U135" i="34"/>
  <c r="BK47" i="72"/>
  <c r="BO47" i="72" s="1"/>
  <c r="CH101" i="72"/>
  <c r="CJ101" i="72"/>
  <c r="CI101" i="72"/>
  <c r="CG101" i="72"/>
  <c r="CF101" i="72"/>
  <c r="CE107" i="72"/>
  <c r="CK47" i="72"/>
  <c r="BZ47" i="72"/>
  <c r="BL48" i="72"/>
  <c r="U96" i="34"/>
  <c r="BM47" i="72"/>
  <c r="BJ47" i="72"/>
  <c r="BN47" i="72"/>
  <c r="BI49" i="72"/>
  <c r="CF106" i="72" a="1"/>
  <c r="BN48" i="72" a="1"/>
  <c r="CH106" i="72" a="1"/>
  <c r="BM48" i="72" a="1"/>
  <c r="CI106" i="72" a="1"/>
  <c r="CJ106" i="72" a="1"/>
  <c r="CG106" i="72" a="1"/>
  <c r="BJ48" i="72" a="1"/>
  <c r="BK48" i="72" a="1"/>
  <c r="BL49" i="72" a="1"/>
  <c r="U52" i="44" l="1"/>
  <c r="U398" i="44"/>
  <c r="U744" i="44"/>
  <c r="U175" i="34"/>
  <c r="U136" i="34"/>
  <c r="U97" i="34"/>
  <c r="CI106" i="72"/>
  <c r="CH106" i="72"/>
  <c r="CG106" i="72"/>
  <c r="CJ106" i="72"/>
  <c r="CF106" i="72"/>
  <c r="CE108" i="72"/>
  <c r="CK48" i="72"/>
  <c r="BZ48" i="72"/>
  <c r="BL49" i="72"/>
  <c r="BM48" i="72"/>
  <c r="BK48" i="72"/>
  <c r="BO48" i="72" s="1"/>
  <c r="BJ48" i="72"/>
  <c r="BN48" i="72"/>
  <c r="BI50" i="72"/>
  <c r="CP47" i="72" a="1"/>
  <c r="BM49" i="72" a="1"/>
  <c r="CJ107" i="72" a="1"/>
  <c r="BL50" i="72" a="1"/>
  <c r="BK49" i="72" a="1"/>
  <c r="CF107" i="72" a="1"/>
  <c r="BJ49" i="72" a="1"/>
  <c r="CH107" i="72" a="1"/>
  <c r="CG107" i="72" a="1"/>
  <c r="BN49" i="72" a="1"/>
  <c r="CI107" i="72" a="1"/>
  <c r="CP47" i="72" l="1"/>
  <c r="U745" i="44"/>
  <c r="U53" i="44"/>
  <c r="U399" i="44"/>
  <c r="U176" i="34"/>
  <c r="U137" i="34"/>
  <c r="BN49" i="72"/>
  <c r="CF107" i="72"/>
  <c r="CI107" i="72"/>
  <c r="CG107" i="72"/>
  <c r="CJ107" i="72"/>
  <c r="CH107" i="72"/>
  <c r="CE109" i="72"/>
  <c r="CK49" i="72"/>
  <c r="BZ49" i="72"/>
  <c r="BL50" i="72"/>
  <c r="U98" i="34"/>
  <c r="BM49" i="72"/>
  <c r="BK49" i="72"/>
  <c r="BO49" i="72" s="1"/>
  <c r="BJ49" i="72"/>
  <c r="BI51" i="72"/>
  <c r="BM50" i="72" a="1"/>
  <c r="BK50" i="72" a="1"/>
  <c r="CH108" i="72" a="1"/>
  <c r="BJ50" i="72" a="1"/>
  <c r="CG108" i="72" a="1"/>
  <c r="BN50" i="72" a="1"/>
  <c r="CJ108" i="72" a="1"/>
  <c r="CI108" i="72" a="1"/>
  <c r="CF108" i="72" a="1"/>
  <c r="BL51" i="72" a="1"/>
  <c r="U400" i="44" l="1"/>
  <c r="U54" i="44"/>
  <c r="U746" i="44"/>
  <c r="U177" i="34"/>
  <c r="U138" i="34"/>
  <c r="BN50" i="72"/>
  <c r="CG108" i="72"/>
  <c r="CH108" i="72"/>
  <c r="CJ108" i="72"/>
  <c r="CI108" i="72"/>
  <c r="CF108" i="72"/>
  <c r="CE110" i="72"/>
  <c r="CK50" i="72"/>
  <c r="BZ50" i="72"/>
  <c r="BL51" i="72"/>
  <c r="U99" i="34"/>
  <c r="BJ50" i="72"/>
  <c r="BK50" i="72"/>
  <c r="BM50" i="72"/>
  <c r="BI52" i="72"/>
  <c r="CI109" i="72" a="1"/>
  <c r="CF109" i="72" a="1"/>
  <c r="BL52" i="72" a="1"/>
  <c r="BK51" i="72" a="1"/>
  <c r="CH109" i="72" a="1"/>
  <c r="BN51" i="72" a="1"/>
  <c r="BM51" i="72" a="1"/>
  <c r="CJ109" i="72" a="1"/>
  <c r="BJ51" i="72" a="1"/>
  <c r="CG109" i="72" a="1"/>
  <c r="U401" i="44" l="1"/>
  <c r="U747" i="44"/>
  <c r="U178" i="34"/>
  <c r="U139" i="34"/>
  <c r="BJ51" i="72"/>
  <c r="CJ109" i="72"/>
  <c r="CF109" i="72"/>
  <c r="CI109" i="72"/>
  <c r="CH109" i="72"/>
  <c r="CG109" i="72"/>
  <c r="CE111" i="72"/>
  <c r="CK51" i="72"/>
  <c r="BZ51" i="72"/>
  <c r="BL52" i="72"/>
  <c r="BK51" i="72"/>
  <c r="BO51" i="72" s="1"/>
  <c r="BM51" i="72"/>
  <c r="BN51" i="72"/>
  <c r="BO50" i="72"/>
  <c r="BI53" i="72"/>
  <c r="BM52" i="72" a="1"/>
  <c r="BK52" i="72" a="1"/>
  <c r="BN52" i="72" a="1"/>
  <c r="BJ52" i="72" a="1"/>
  <c r="CI110" i="72" a="1"/>
  <c r="CH110" i="72" a="1"/>
  <c r="CF110" i="72" a="1"/>
  <c r="CG110" i="72" a="1"/>
  <c r="CJ110" i="72" a="1"/>
  <c r="BL53" i="72" a="1"/>
  <c r="U55" i="44" l="1"/>
  <c r="U402" i="44"/>
  <c r="U56" i="44"/>
  <c r="U748" i="44"/>
  <c r="U179" i="34"/>
  <c r="U140" i="34"/>
  <c r="CH110" i="72"/>
  <c r="CG110" i="72"/>
  <c r="CJ110" i="72"/>
  <c r="CI110" i="72"/>
  <c r="CF110" i="72"/>
  <c r="CE112" i="72"/>
  <c r="CK52" i="72"/>
  <c r="BZ52" i="72"/>
  <c r="BL53" i="72"/>
  <c r="U100" i="34"/>
  <c r="U101" i="34"/>
  <c r="BJ52" i="72"/>
  <c r="BK52" i="72"/>
  <c r="BO52" i="72" s="1"/>
  <c r="BM52" i="72"/>
  <c r="BN52" i="72"/>
  <c r="BI58" i="72"/>
  <c r="CG111" i="72" a="1"/>
  <c r="BO510" i="72"/>
  <c r="BY447" i="72" a="1"/>
  <c r="BM53" i="72" a="1"/>
  <c r="BY431" i="72" a="1"/>
  <c r="CI111" i="72" a="1"/>
  <c r="BJ53" i="72" a="1"/>
  <c r="CF111" i="72" a="1"/>
  <c r="BN53" i="72" a="1"/>
  <c r="BM347" i="72"/>
  <c r="BQ510" i="72"/>
  <c r="BK53" i="72" a="1"/>
  <c r="CJ111" i="72" a="1"/>
  <c r="BM346" i="72"/>
  <c r="BP510" i="72"/>
  <c r="CH111" i="72" a="1"/>
  <c r="BJ58" i="72" a="1"/>
  <c r="BM360" i="72" l="1"/>
  <c r="U143" i="34" s="1"/>
  <c r="BM368" i="72"/>
  <c r="BM373" i="72" s="1"/>
  <c r="DQ78" i="93" s="1"/>
  <c r="BM361" i="72"/>
  <c r="BM369" i="72"/>
  <c r="BM374" i="72" s="1"/>
  <c r="DQ79" i="93" s="1"/>
  <c r="U749" i="44"/>
  <c r="U403" i="44"/>
  <c r="U57" i="44"/>
  <c r="U180" i="34"/>
  <c r="U141" i="34"/>
  <c r="CG111" i="72"/>
  <c r="CF111" i="72"/>
  <c r="CI111" i="72"/>
  <c r="CJ111" i="72"/>
  <c r="CH111" i="72"/>
  <c r="CE113" i="72"/>
  <c r="CK53" i="72"/>
  <c r="BZ53" i="72"/>
  <c r="BY447" i="72"/>
  <c r="BY431" i="72"/>
  <c r="U102" i="34"/>
  <c r="BJ53" i="72"/>
  <c r="BN53" i="72"/>
  <c r="BM53" i="72"/>
  <c r="BK53" i="72"/>
  <c r="BJ58" i="72"/>
  <c r="BI59" i="72"/>
  <c r="CG112" i="72" a="1"/>
  <c r="BL59" i="72" a="1"/>
  <c r="BN58" i="72" a="1"/>
  <c r="BO447" i="72" a="1"/>
  <c r="BK58" i="72" a="1"/>
  <c r="BM58" i="72" a="1"/>
  <c r="BY415" i="72" a="1"/>
  <c r="CJ112" i="72" a="1"/>
  <c r="BL58" i="72" a="1"/>
  <c r="CF112" i="72" a="1"/>
  <c r="CH112" i="72" a="1"/>
  <c r="CI112" i="72" a="1"/>
  <c r="BO431" i="72" a="1"/>
  <c r="U183" i="34" l="1"/>
  <c r="U144" i="34"/>
  <c r="U404" i="44"/>
  <c r="U750" i="44"/>
  <c r="U181" i="34"/>
  <c r="U142" i="34"/>
  <c r="BL58" i="72"/>
  <c r="CA447" i="72"/>
  <c r="CA431" i="72"/>
  <c r="CF112" i="72"/>
  <c r="CI112" i="72"/>
  <c r="CG112" i="72"/>
  <c r="CJ112" i="72"/>
  <c r="CH112" i="72"/>
  <c r="CE114" i="72"/>
  <c r="CK58" i="72"/>
  <c r="BZ58" i="72"/>
  <c r="BO447" i="72"/>
  <c r="BO431" i="72"/>
  <c r="BQ431" i="72" s="1"/>
  <c r="BL59" i="72"/>
  <c r="BY415" i="72"/>
  <c r="BO53" i="72"/>
  <c r="BM58" i="72"/>
  <c r="BN58" i="72"/>
  <c r="BK58" i="72"/>
  <c r="BI60" i="72"/>
  <c r="BJ59" i="72" a="1"/>
  <c r="CG113" i="72" a="1"/>
  <c r="BN59" i="72" a="1"/>
  <c r="CI113" i="72" a="1"/>
  <c r="CJ113" i="72" a="1"/>
  <c r="CH113" i="72" a="1"/>
  <c r="CF113" i="72" a="1"/>
  <c r="BK59" i="72" a="1"/>
  <c r="BM59" i="72" a="1"/>
  <c r="BO415" i="72" a="1"/>
  <c r="BL60" i="72" a="1"/>
  <c r="U58" i="44" l="1"/>
  <c r="U756" i="44"/>
  <c r="U410" i="44"/>
  <c r="W170" i="34"/>
  <c r="W131" i="34"/>
  <c r="BL469" i="72"/>
  <c r="BQ469" i="72"/>
  <c r="BS469" i="72"/>
  <c r="CA415" i="72"/>
  <c r="BQ447" i="72"/>
  <c r="CI113" i="72"/>
  <c r="CH113" i="72"/>
  <c r="CF113" i="72"/>
  <c r="CG113" i="72"/>
  <c r="CJ113" i="72"/>
  <c r="CE115" i="72"/>
  <c r="CK59" i="72"/>
  <c r="BZ59" i="72"/>
  <c r="BL60" i="72"/>
  <c r="U103" i="34"/>
  <c r="BO415" i="72"/>
  <c r="BQ415" i="72" s="1"/>
  <c r="BO58" i="72"/>
  <c r="BN59" i="72"/>
  <c r="BJ59" i="72"/>
  <c r="BK59" i="72"/>
  <c r="BO59" i="72" s="1"/>
  <c r="BM59" i="72"/>
  <c r="BI61" i="72"/>
  <c r="CJ114" i="72" a="1"/>
  <c r="BJ60" i="72" a="1"/>
  <c r="CI114" i="72" a="1"/>
  <c r="BK60" i="72" a="1"/>
  <c r="BL61" i="72" a="1"/>
  <c r="BM60" i="72" a="1"/>
  <c r="CF114" i="72" a="1"/>
  <c r="BN60" i="72" a="1"/>
  <c r="CH114" i="72" a="1"/>
  <c r="CG114" i="72" a="1"/>
  <c r="U411" i="44" l="1"/>
  <c r="U757" i="44"/>
  <c r="U65" i="44"/>
  <c r="U64" i="44"/>
  <c r="W171" i="34"/>
  <c r="W132" i="34"/>
  <c r="AD58" i="34"/>
  <c r="V58" i="34"/>
  <c r="T58" i="34"/>
  <c r="BO469" i="72"/>
  <c r="BJ469" i="72"/>
  <c r="BN469" i="72"/>
  <c r="BN60" i="72"/>
  <c r="CJ114" i="72"/>
  <c r="CH114" i="72"/>
  <c r="CG114" i="72"/>
  <c r="CI114" i="72"/>
  <c r="CF114" i="72"/>
  <c r="CE116" i="72"/>
  <c r="CK60" i="72"/>
  <c r="BZ60" i="72"/>
  <c r="BL61" i="72"/>
  <c r="W92" i="34"/>
  <c r="W93" i="34"/>
  <c r="BK60" i="72"/>
  <c r="BO60" i="72" s="1"/>
  <c r="BM60" i="72"/>
  <c r="BJ60" i="72"/>
  <c r="BI62" i="72"/>
  <c r="BL62" i="72" a="1"/>
  <c r="CH115" i="72" a="1"/>
  <c r="BJ61" i="72" a="1"/>
  <c r="CF115" i="72" a="1"/>
  <c r="CG115" i="72" a="1"/>
  <c r="CJ115" i="72" a="1"/>
  <c r="CI115" i="72" a="1"/>
  <c r="BM61" i="72" a="1"/>
  <c r="BN61" i="72" a="1"/>
  <c r="BK61" i="72" a="1"/>
  <c r="U66" i="44" l="1"/>
  <c r="U758" i="44"/>
  <c r="U412" i="44"/>
  <c r="W172" i="34"/>
  <c r="W133" i="34"/>
  <c r="L58" i="34"/>
  <c r="N58" i="34"/>
  <c r="AB58" i="34"/>
  <c r="CJ115" i="72"/>
  <c r="CI115" i="72"/>
  <c r="CH115" i="72"/>
  <c r="CG115" i="72"/>
  <c r="CF115" i="72"/>
  <c r="CE117" i="72"/>
  <c r="CK61" i="72"/>
  <c r="BZ61" i="72"/>
  <c r="BL62" i="72"/>
  <c r="W94" i="34"/>
  <c r="BK61" i="72"/>
  <c r="BO61" i="72" s="1"/>
  <c r="BN61" i="72"/>
  <c r="BJ61" i="72"/>
  <c r="BM61" i="72"/>
  <c r="BI63" i="72"/>
  <c r="BM62" i="72" a="1"/>
  <c r="BN62" i="72" a="1"/>
  <c r="CG116" i="72" a="1"/>
  <c r="CF116" i="72" a="1"/>
  <c r="BK62" i="72" a="1"/>
  <c r="CI116" i="72" a="1"/>
  <c r="BJ62" i="72" a="1"/>
  <c r="BL63" i="72" a="1"/>
  <c r="CH116" i="72" a="1"/>
  <c r="CJ116" i="72" a="1"/>
  <c r="U413" i="44" l="1"/>
  <c r="U759" i="44"/>
  <c r="U67" i="44"/>
  <c r="W173" i="34"/>
  <c r="W134" i="34"/>
  <c r="BK62" i="72"/>
  <c r="BO62" i="72" s="1"/>
  <c r="CJ116" i="72"/>
  <c r="CH116" i="72"/>
  <c r="CG116" i="72"/>
  <c r="CF116" i="72"/>
  <c r="CI116" i="72"/>
  <c r="CE122" i="72"/>
  <c r="CK62" i="72"/>
  <c r="BZ62" i="72"/>
  <c r="BL63" i="72"/>
  <c r="W95" i="34"/>
  <c r="BM62" i="72"/>
  <c r="BJ62" i="72"/>
  <c r="BN62" i="72"/>
  <c r="BI64" i="72"/>
  <c r="CH117" i="72" a="1"/>
  <c r="BM63" i="72" a="1"/>
  <c r="CF117" i="72" a="1"/>
  <c r="BJ63" i="72" a="1"/>
  <c r="BN63" i="72" a="1"/>
  <c r="BK63" i="72" a="1"/>
  <c r="CG117" i="72" a="1"/>
  <c r="CI117" i="72" a="1"/>
  <c r="CJ117" i="72" a="1"/>
  <c r="BN64" i="72" a="1"/>
  <c r="U68" i="44" l="1"/>
  <c r="U760" i="44"/>
  <c r="U414" i="44"/>
  <c r="W174" i="34"/>
  <c r="W135" i="34"/>
  <c r="W96" i="34"/>
  <c r="CI117" i="72"/>
  <c r="CF117" i="72"/>
  <c r="CG117" i="72"/>
  <c r="CH117" i="72"/>
  <c r="CJ117" i="72"/>
  <c r="CE123" i="72"/>
  <c r="CK63" i="72"/>
  <c r="BZ63" i="72"/>
  <c r="BJ63" i="72"/>
  <c r="BN63" i="72"/>
  <c r="BM63" i="72"/>
  <c r="BK63" i="72"/>
  <c r="BO63" i="72" s="1"/>
  <c r="BN64" i="72"/>
  <c r="BI65" i="72"/>
  <c r="CH122" i="72" a="1"/>
  <c r="BL64" i="72" a="1"/>
  <c r="CF122" i="72" a="1"/>
  <c r="BL65" i="72" a="1"/>
  <c r="BM64" i="72" a="1"/>
  <c r="CI122" i="72" a="1"/>
  <c r="BJ64" i="72" a="1"/>
  <c r="CJ122" i="72" a="1"/>
  <c r="BK64" i="72" a="1"/>
  <c r="CG122" i="72" a="1"/>
  <c r="U69" i="44" l="1"/>
  <c r="U415" i="44"/>
  <c r="U761" i="44"/>
  <c r="W175" i="34"/>
  <c r="W136" i="34"/>
  <c r="BL64" i="72"/>
  <c r="CI122" i="72"/>
  <c r="CH122" i="72"/>
  <c r="CF122" i="72"/>
  <c r="CJ122" i="72"/>
  <c r="CG122" i="72"/>
  <c r="CE124" i="72"/>
  <c r="CK64" i="72"/>
  <c r="BZ64" i="72"/>
  <c r="BL65" i="72"/>
  <c r="W97" i="34"/>
  <c r="BM64" i="72"/>
  <c r="BJ64" i="72"/>
  <c r="BK64" i="72"/>
  <c r="BO64" i="72" s="1"/>
  <c r="BI66" i="72"/>
  <c r="BJ65" i="72" a="1"/>
  <c r="CH123" i="72" a="1"/>
  <c r="BM65" i="72" a="1"/>
  <c r="CJ123" i="72" a="1"/>
  <c r="BN65" i="72" a="1"/>
  <c r="CF123" i="72" a="1"/>
  <c r="BK65" i="72" a="1"/>
  <c r="CI123" i="72" a="1"/>
  <c r="CG123" i="72" a="1"/>
  <c r="BL66" i="72" a="1"/>
  <c r="U416" i="44" l="1"/>
  <c r="U70" i="44"/>
  <c r="U762" i="44"/>
  <c r="W176" i="34"/>
  <c r="W137" i="34"/>
  <c r="BK65" i="72"/>
  <c r="BO65" i="72" s="1"/>
  <c r="CJ123" i="72"/>
  <c r="CI123" i="72"/>
  <c r="CG123" i="72"/>
  <c r="CF123" i="72"/>
  <c r="CH123" i="72"/>
  <c r="CE125" i="72"/>
  <c r="CK65" i="72"/>
  <c r="BZ65" i="72"/>
  <c r="BL66" i="72"/>
  <c r="W98" i="34"/>
  <c r="BN65" i="72"/>
  <c r="BM65" i="72"/>
  <c r="BJ65" i="72"/>
  <c r="BI67" i="72"/>
  <c r="CF124" i="72" a="1"/>
  <c r="BM66" i="72" a="1"/>
  <c r="BJ66" i="72" a="1"/>
  <c r="CH124" i="72" a="1"/>
  <c r="CG124" i="72" a="1"/>
  <c r="BK66" i="72" a="1"/>
  <c r="CI124" i="72" a="1"/>
  <c r="CJ124" i="72" a="1"/>
  <c r="BN66" i="72" a="1"/>
  <c r="BL67" i="72" a="1"/>
  <c r="U71" i="44" l="1"/>
  <c r="U417" i="44"/>
  <c r="U763" i="44"/>
  <c r="W177" i="34"/>
  <c r="W138" i="34"/>
  <c r="W99" i="34"/>
  <c r="CJ124" i="72"/>
  <c r="CF124" i="72"/>
  <c r="CG124" i="72"/>
  <c r="CH124" i="72"/>
  <c r="CI124" i="72"/>
  <c r="CE126" i="72"/>
  <c r="CK66" i="72"/>
  <c r="BZ66" i="72"/>
  <c r="BL67" i="72"/>
  <c r="BJ66" i="72"/>
  <c r="BK66" i="72"/>
  <c r="BO66" i="72" s="1"/>
  <c r="BN66" i="72"/>
  <c r="BM66" i="72"/>
  <c r="BI68" i="72"/>
  <c r="CI125" i="72" a="1"/>
  <c r="CJ125" i="72" a="1"/>
  <c r="BK67" i="72" a="1"/>
  <c r="BN67" i="72" a="1"/>
  <c r="CG125" i="72" a="1"/>
  <c r="CF125" i="72" a="1"/>
  <c r="BM67" i="72" a="1"/>
  <c r="CH125" i="72" a="1"/>
  <c r="BJ67" i="72" a="1"/>
  <c r="BJ68" i="72" a="1"/>
  <c r="U418" i="44" l="1"/>
  <c r="U764" i="44"/>
  <c r="U72" i="44"/>
  <c r="W178" i="34"/>
  <c r="W139" i="34"/>
  <c r="BK67" i="72"/>
  <c r="BO67" i="72" s="1"/>
  <c r="CI125" i="72"/>
  <c r="CF125" i="72"/>
  <c r="CG125" i="72"/>
  <c r="CJ125" i="72"/>
  <c r="CH125" i="72"/>
  <c r="CE127" i="72"/>
  <c r="CK67" i="72"/>
  <c r="BZ67" i="72"/>
  <c r="W100" i="34"/>
  <c r="BN67" i="72"/>
  <c r="BJ67" i="72"/>
  <c r="BM67" i="72"/>
  <c r="BJ68" i="72"/>
  <c r="BI69" i="72"/>
  <c r="CH126" i="72" a="1"/>
  <c r="BK68" i="72" a="1"/>
  <c r="CI126" i="72" a="1"/>
  <c r="BM68" i="72" a="1"/>
  <c r="CF126" i="72" a="1"/>
  <c r="CJ126" i="72" a="1"/>
  <c r="BN68" i="72" a="1"/>
  <c r="BL68" i="72" a="1"/>
  <c r="CG126" i="72" a="1"/>
  <c r="BM69" i="72" a="1"/>
  <c r="U73" i="44" l="1"/>
  <c r="U419" i="44"/>
  <c r="U765" i="44"/>
  <c r="BN368" i="72"/>
  <c r="BN373" i="72" s="1"/>
  <c r="DR78" i="93" s="1"/>
  <c r="W179" i="34"/>
  <c r="W140" i="34"/>
  <c r="BL68" i="72"/>
  <c r="BK68" i="72"/>
  <c r="W101" i="34"/>
  <c r="BN68" i="72"/>
  <c r="CI126" i="72"/>
  <c r="CF126" i="72"/>
  <c r="CG126" i="72"/>
  <c r="CH126" i="72"/>
  <c r="CJ126" i="72"/>
  <c r="CE128" i="72"/>
  <c r="CK68" i="72"/>
  <c r="BZ68" i="72"/>
  <c r="BM68" i="72"/>
  <c r="BM69" i="72"/>
  <c r="BI74" i="72"/>
  <c r="BP511" i="72"/>
  <c r="BN69" i="72" a="1"/>
  <c r="BL69" i="72" a="1"/>
  <c r="BZ447" i="72" a="1"/>
  <c r="CH127" i="72" a="1"/>
  <c r="BZ431" i="72" a="1"/>
  <c r="CF127" i="72" a="1"/>
  <c r="CG127" i="72" a="1"/>
  <c r="BJ69" i="72" a="1"/>
  <c r="BK74" i="72" a="1"/>
  <c r="CJ127" i="72" a="1"/>
  <c r="BQ511" i="72"/>
  <c r="BK69" i="72" a="1"/>
  <c r="CI127" i="72" a="1"/>
  <c r="U420" i="44" l="1"/>
  <c r="U766" i="44"/>
  <c r="W144" i="34"/>
  <c r="W143" i="34"/>
  <c r="BO68" i="72"/>
  <c r="W180" i="34"/>
  <c r="W141" i="34"/>
  <c r="BL69" i="72"/>
  <c r="CF127" i="72"/>
  <c r="CH127" i="72"/>
  <c r="CI127" i="72"/>
  <c r="CJ127" i="72"/>
  <c r="CG127" i="72"/>
  <c r="CE129" i="72"/>
  <c r="CK69" i="72"/>
  <c r="BZ69" i="72"/>
  <c r="BZ447" i="72"/>
  <c r="BZ431" i="72"/>
  <c r="BJ69" i="72"/>
  <c r="BN69" i="72"/>
  <c r="BK69" i="72"/>
  <c r="BK74" i="72"/>
  <c r="BI75" i="72"/>
  <c r="CI128" i="72" a="1"/>
  <c r="BN416" i="72" a="1"/>
  <c r="BN74" i="72" a="1"/>
  <c r="CH128" i="72" a="1"/>
  <c r="BO511" i="72"/>
  <c r="CJ128" i="72" a="1"/>
  <c r="CP30" i="72" a="1"/>
  <c r="BJ74" i="72" a="1"/>
  <c r="CF128" i="72" a="1"/>
  <c r="BZ415" i="72" a="1"/>
  <c r="BN432" i="72" a="1"/>
  <c r="CG128" i="72" a="1"/>
  <c r="BM74" i="72" a="1"/>
  <c r="BL74" i="72" a="1"/>
  <c r="BN448" i="72" a="1"/>
  <c r="BL75" i="72" a="1"/>
  <c r="U767" i="44" l="1"/>
  <c r="U74" i="44"/>
  <c r="U421" i="44"/>
  <c r="CP30" i="72"/>
  <c r="W102" i="34"/>
  <c r="W181" i="34"/>
  <c r="W142" i="34"/>
  <c r="BL74" i="72"/>
  <c r="CB447" i="72"/>
  <c r="CB431" i="72"/>
  <c r="BN416" i="72"/>
  <c r="BP416" i="72" s="1"/>
  <c r="CG128" i="72"/>
  <c r="CJ128" i="72"/>
  <c r="CH128" i="72"/>
  <c r="CF128" i="72"/>
  <c r="CI128" i="72"/>
  <c r="CE130" i="72"/>
  <c r="CK74" i="72"/>
  <c r="BZ74" i="72"/>
  <c r="BN448" i="72"/>
  <c r="BN432" i="72"/>
  <c r="BP432" i="72" s="1"/>
  <c r="BL75" i="72"/>
  <c r="BJ74" i="72"/>
  <c r="BZ415" i="72"/>
  <c r="BO69" i="72"/>
  <c r="BO74" i="72"/>
  <c r="BM74" i="72"/>
  <c r="BN74" i="72"/>
  <c r="BI76" i="72"/>
  <c r="CH129" i="72" a="1"/>
  <c r="BM75" i="72" a="1"/>
  <c r="CG129" i="72" a="1"/>
  <c r="BK75" i="72" a="1"/>
  <c r="CI129" i="72" a="1"/>
  <c r="BJ75" i="72" a="1"/>
  <c r="BN75" i="72" a="1"/>
  <c r="CJ129" i="72" a="1"/>
  <c r="CF129" i="72" a="1"/>
  <c r="BK76" i="72" a="1"/>
  <c r="U427" i="44" l="1"/>
  <c r="U773" i="44"/>
  <c r="U81" i="44"/>
  <c r="U75" i="44"/>
  <c r="BI470" i="72"/>
  <c r="J59" i="34" s="1"/>
  <c r="Y170" i="34"/>
  <c r="Y131" i="34"/>
  <c r="BM75" i="72"/>
  <c r="BK470" i="72"/>
  <c r="BR469" i="72"/>
  <c r="BT469" i="72"/>
  <c r="CB415" i="72"/>
  <c r="BP448" i="72"/>
  <c r="CG129" i="72"/>
  <c r="CH129" i="72"/>
  <c r="CF129" i="72"/>
  <c r="CI129" i="72"/>
  <c r="CJ129" i="72"/>
  <c r="CE131" i="72"/>
  <c r="CK75" i="72"/>
  <c r="BZ75" i="72"/>
  <c r="W103" i="34"/>
  <c r="Y92" i="34"/>
  <c r="BJ75" i="72"/>
  <c r="BN75" i="72"/>
  <c r="BK75" i="72"/>
  <c r="BO75" i="72" s="1"/>
  <c r="BK76" i="72"/>
  <c r="BO76" i="72" s="1"/>
  <c r="BI77" i="72"/>
  <c r="CH130" i="72" a="1"/>
  <c r="BM76" i="72" a="1"/>
  <c r="CI130" i="72" a="1"/>
  <c r="BJ76" i="72" a="1"/>
  <c r="BN76" i="72" a="1"/>
  <c r="BL76" i="72" a="1"/>
  <c r="CG130" i="72" a="1"/>
  <c r="CF130" i="72" a="1"/>
  <c r="CJ130" i="72" a="1"/>
  <c r="BM77" i="72" a="1"/>
  <c r="U774" i="44" l="1"/>
  <c r="U82" i="44"/>
  <c r="U83" i="44"/>
  <c r="U428" i="44"/>
  <c r="Y171" i="34"/>
  <c r="Y132" i="34"/>
  <c r="BL76" i="72"/>
  <c r="AF58" i="34"/>
  <c r="X58" i="34"/>
  <c r="R59" i="34"/>
  <c r="BM470" i="72"/>
  <c r="Z59" i="34" s="1"/>
  <c r="BP469" i="72"/>
  <c r="CG130" i="72"/>
  <c r="CH130" i="72"/>
  <c r="CI130" i="72"/>
  <c r="CF130" i="72"/>
  <c r="CJ130" i="72"/>
  <c r="CE132" i="72"/>
  <c r="CK76" i="72"/>
  <c r="BZ76" i="72"/>
  <c r="Y94" i="34"/>
  <c r="Y93" i="34"/>
  <c r="BM76" i="72"/>
  <c r="BN76" i="72"/>
  <c r="BJ76" i="72"/>
  <c r="BM77" i="72"/>
  <c r="BI78" i="72"/>
  <c r="BJ77" i="72" a="1"/>
  <c r="CG131" i="72" a="1"/>
  <c r="BN78" i="72" a="1"/>
  <c r="CI131" i="72" a="1"/>
  <c r="BN77" i="72" a="1"/>
  <c r="BK77" i="72" a="1"/>
  <c r="CF131" i="72" a="1"/>
  <c r="CH131" i="72" a="1"/>
  <c r="BL77" i="72" a="1"/>
  <c r="CJ131" i="72" a="1"/>
  <c r="U429" i="44" l="1"/>
  <c r="U775" i="44"/>
  <c r="Y172" i="34"/>
  <c r="Y133" i="34"/>
  <c r="BL77" i="72"/>
  <c r="P58" i="34"/>
  <c r="CJ131" i="72"/>
  <c r="CF131" i="72"/>
  <c r="CG131" i="72"/>
  <c r="CI131" i="72"/>
  <c r="CH131" i="72"/>
  <c r="CE133" i="72"/>
  <c r="CK77" i="72"/>
  <c r="BZ77" i="72"/>
  <c r="BJ77" i="72"/>
  <c r="BK77" i="72"/>
  <c r="BO77" i="72" s="1"/>
  <c r="BN77" i="72"/>
  <c r="BN78" i="72"/>
  <c r="BI79" i="72"/>
  <c r="CH132" i="72" a="1"/>
  <c r="BL78" i="72" a="1"/>
  <c r="CI132" i="72" a="1"/>
  <c r="BM78" i="72" a="1"/>
  <c r="BJ78" i="72" a="1"/>
  <c r="CF132" i="72" a="1"/>
  <c r="BK78" i="72" a="1"/>
  <c r="CJ132" i="72" a="1"/>
  <c r="CG132" i="72" a="1"/>
  <c r="BK79" i="72" a="1"/>
  <c r="U84" i="44" l="1"/>
  <c r="U430" i="44"/>
  <c r="U776" i="44"/>
  <c r="BK78" i="72"/>
  <c r="BO78" i="72" s="1"/>
  <c r="Y173" i="34"/>
  <c r="Y134" i="34"/>
  <c r="BL78" i="72"/>
  <c r="CJ132" i="72"/>
  <c r="CF132" i="72"/>
  <c r="CI132" i="72"/>
  <c r="CH132" i="72"/>
  <c r="CG132" i="72"/>
  <c r="CE138" i="72"/>
  <c r="CK78" i="72"/>
  <c r="BZ78" i="72"/>
  <c r="Y95" i="34"/>
  <c r="BJ78" i="72"/>
  <c r="BM78" i="72"/>
  <c r="BK79" i="72"/>
  <c r="BO79" i="72" s="1"/>
  <c r="BI80" i="72"/>
  <c r="CJ133" i="72" a="1"/>
  <c r="BN79" i="72" a="1"/>
  <c r="CI133" i="72" a="1"/>
  <c r="CG133" i="72" a="1"/>
  <c r="CH133" i="72" a="1"/>
  <c r="BL79" i="72" a="1"/>
  <c r="CF133" i="72" a="1"/>
  <c r="BJ79" i="72" a="1"/>
  <c r="BM79" i="72" a="1"/>
  <c r="BN80" i="72" a="1"/>
  <c r="U777" i="44" l="1"/>
  <c r="U431" i="44"/>
  <c r="U86" i="44"/>
  <c r="U85" i="44"/>
  <c r="Y96" i="34"/>
  <c r="Y174" i="34"/>
  <c r="Y135" i="34"/>
  <c r="BL79" i="72"/>
  <c r="CF133" i="72"/>
  <c r="CG133" i="72"/>
  <c r="CJ133" i="72"/>
  <c r="CI133" i="72"/>
  <c r="CH133" i="72"/>
  <c r="CE139" i="72"/>
  <c r="CK79" i="72"/>
  <c r="BZ79" i="72"/>
  <c r="Y97" i="34"/>
  <c r="BM79" i="72"/>
  <c r="BN79" i="72"/>
  <c r="BJ79" i="72"/>
  <c r="BN80" i="72"/>
  <c r="BI81" i="72"/>
  <c r="CG138" i="72" a="1"/>
  <c r="CJ138" i="72" a="1"/>
  <c r="BM80" i="72" a="1"/>
  <c r="BK80" i="72" a="1"/>
  <c r="CH138" i="72" a="1"/>
  <c r="CF138" i="72" a="1"/>
  <c r="CI138" i="72" a="1"/>
  <c r="BL80" i="72" a="1"/>
  <c r="BL81" i="72" a="1"/>
  <c r="BJ80" i="72" a="1"/>
  <c r="U432" i="44" l="1"/>
  <c r="U778" i="44"/>
  <c r="Y175" i="34"/>
  <c r="Y136" i="34"/>
  <c r="BL80" i="72"/>
  <c r="CI138" i="72"/>
  <c r="CG138" i="72"/>
  <c r="CF138" i="72"/>
  <c r="CJ138" i="72"/>
  <c r="CH138" i="72"/>
  <c r="CE140" i="72"/>
  <c r="CK80" i="72"/>
  <c r="BZ80" i="72"/>
  <c r="BL81" i="72"/>
  <c r="BK80" i="72"/>
  <c r="BO80" i="72" s="1"/>
  <c r="BJ80" i="72"/>
  <c r="BM80" i="72"/>
  <c r="BI82" i="72"/>
  <c r="BM81" i="72" a="1"/>
  <c r="BJ81" i="72" a="1"/>
  <c r="BK81" i="72" a="1"/>
  <c r="BM353" i="72"/>
  <c r="CF139" i="72" a="1"/>
  <c r="CH139" i="72" a="1"/>
  <c r="CJ139" i="72" a="1"/>
  <c r="CI139" i="72" a="1"/>
  <c r="CG139" i="72" a="1"/>
  <c r="CP48" i="72" a="1"/>
  <c r="BN81" i="72" a="1"/>
  <c r="BM345" i="72"/>
  <c r="BL82" i="72" a="1"/>
  <c r="CP48" i="72" l="1"/>
  <c r="U87" i="44"/>
  <c r="U779" i="44"/>
  <c r="U433" i="44"/>
  <c r="BM367" i="72"/>
  <c r="BM372" i="72" s="1"/>
  <c r="DQ77" i="93" s="1"/>
  <c r="BM359" i="72"/>
  <c r="Y176" i="34"/>
  <c r="Y137" i="34"/>
  <c r="BK81" i="72"/>
  <c r="BO81" i="72" s="1"/>
  <c r="CF139" i="72"/>
  <c r="CG139" i="72"/>
  <c r="CH139" i="72"/>
  <c r="CI139" i="72"/>
  <c r="CJ139" i="72"/>
  <c r="CE141" i="72"/>
  <c r="CK81" i="72"/>
  <c r="BZ81" i="72"/>
  <c r="BL82" i="72"/>
  <c r="Y98" i="34"/>
  <c r="BN81" i="72"/>
  <c r="BJ81" i="72"/>
  <c r="BM81" i="72"/>
  <c r="BI83" i="72"/>
  <c r="CH140" i="72" a="1"/>
  <c r="CJ140" i="72" a="1"/>
  <c r="BK82" i="72" a="1"/>
  <c r="BN82" i="72" a="1"/>
  <c r="CI140" i="72" a="1"/>
  <c r="CF140" i="72" a="1"/>
  <c r="BM82" i="72" a="1"/>
  <c r="CG140" i="72" a="1"/>
  <c r="BJ82" i="72" a="1"/>
  <c r="BJ83" i="72" a="1"/>
  <c r="U434" i="44" l="1"/>
  <c r="U88" i="44"/>
  <c r="U780" i="44"/>
  <c r="U105" i="34"/>
  <c r="Y177" i="34"/>
  <c r="Y138" i="34"/>
  <c r="BK82" i="72"/>
  <c r="BO82" i="72" s="1"/>
  <c r="BN82" i="72"/>
  <c r="Y99" i="34"/>
  <c r="CG140" i="72"/>
  <c r="CH140" i="72"/>
  <c r="CF140" i="72"/>
  <c r="CJ140" i="72"/>
  <c r="CI140" i="72"/>
  <c r="CE142" i="72"/>
  <c r="CK82" i="72"/>
  <c r="BZ82" i="72"/>
  <c r="BM82" i="72"/>
  <c r="BJ82" i="72"/>
  <c r="BJ83" i="72"/>
  <c r="BI84" i="72"/>
  <c r="CH141" i="72" a="1"/>
  <c r="CJ141" i="72" a="1"/>
  <c r="CF141" i="72" a="1"/>
  <c r="BK83" i="72" a="1"/>
  <c r="BL83" i="72" a="1"/>
  <c r="BM83" i="72" a="1"/>
  <c r="CI141" i="72" a="1"/>
  <c r="BN83" i="72" a="1"/>
  <c r="CG141" i="72" a="1"/>
  <c r="BM84" i="72" a="1"/>
  <c r="U781" i="44" l="1"/>
  <c r="U89" i="44"/>
  <c r="U435" i="44"/>
  <c r="Y178" i="34"/>
  <c r="Y139" i="34"/>
  <c r="BL83" i="72"/>
  <c r="CG141" i="72"/>
  <c r="CF141" i="72"/>
  <c r="CI141" i="72"/>
  <c r="CJ141" i="72"/>
  <c r="CH141" i="72"/>
  <c r="CE143" i="72"/>
  <c r="CK83" i="72"/>
  <c r="BZ83" i="72"/>
  <c r="Y100" i="34"/>
  <c r="BN83" i="72"/>
  <c r="BK83" i="72"/>
  <c r="BO83" i="72" s="1"/>
  <c r="BM83" i="72"/>
  <c r="BM84" i="72"/>
  <c r="BI85" i="72"/>
  <c r="BL84" i="72" a="1"/>
  <c r="BJ84" i="72" a="1"/>
  <c r="BK84" i="72" a="1"/>
  <c r="CH142" i="72" a="1"/>
  <c r="CF142" i="72" a="1"/>
  <c r="BO354" i="72"/>
  <c r="BN84" i="72" a="1"/>
  <c r="CJ142" i="72" a="1"/>
  <c r="CG142" i="72" a="1"/>
  <c r="CI142" i="72" a="1"/>
  <c r="BK85" i="72" a="1"/>
  <c r="U436" i="44" l="1"/>
  <c r="U90" i="44"/>
  <c r="U782" i="44"/>
  <c r="BO368" i="72"/>
  <c r="BO373" i="72" s="1"/>
  <c r="DS78" i="93" s="1"/>
  <c r="BL84" i="72"/>
  <c r="Y179" i="34"/>
  <c r="Y140" i="34"/>
  <c r="CJ142" i="72"/>
  <c r="CG142" i="72"/>
  <c r="CH142" i="72"/>
  <c r="CI142" i="72"/>
  <c r="CF142" i="72"/>
  <c r="CE144" i="72"/>
  <c r="CK84" i="72"/>
  <c r="BZ84" i="72"/>
  <c r="Y101" i="34"/>
  <c r="BK84" i="72"/>
  <c r="BO84" i="72" s="1"/>
  <c r="BJ84" i="72"/>
  <c r="BN84" i="72"/>
  <c r="BK85" i="72"/>
  <c r="BI90" i="72"/>
  <c r="BO360" i="72"/>
  <c r="BY416" i="72" a="1"/>
  <c r="CF143" i="72" a="1"/>
  <c r="CH143" i="72" a="1"/>
  <c r="BP512" i="72"/>
  <c r="CG143" i="72" a="1"/>
  <c r="BO512" i="72"/>
  <c r="BQ512" i="72"/>
  <c r="CI143" i="72" a="1"/>
  <c r="BJ85" i="72" a="1"/>
  <c r="BY432" i="72" a="1"/>
  <c r="BN85" i="72" a="1"/>
  <c r="CJ143" i="72" a="1"/>
  <c r="BL85" i="72" a="1"/>
  <c r="BY448" i="72" a="1"/>
  <c r="BM85" i="72" a="1"/>
  <c r="BL90" i="72" a="1"/>
  <c r="U783" i="44" l="1"/>
  <c r="U437" i="44"/>
  <c r="U91" i="44"/>
  <c r="Y144" i="34"/>
  <c r="Y143" i="34"/>
  <c r="Y180" i="34"/>
  <c r="Y141" i="34"/>
  <c r="BL85" i="72"/>
  <c r="CG143" i="72"/>
  <c r="CJ143" i="72"/>
  <c r="CI143" i="72"/>
  <c r="CF143" i="72"/>
  <c r="CH143" i="72"/>
  <c r="CE145" i="72"/>
  <c r="CK85" i="72"/>
  <c r="BZ85" i="72"/>
  <c r="BY448" i="72"/>
  <c r="BY432" i="72"/>
  <c r="CA432" i="72" s="1"/>
  <c r="BL90" i="72"/>
  <c r="Y102" i="34"/>
  <c r="BY416" i="72"/>
  <c r="BO85" i="72"/>
  <c r="BJ85" i="72"/>
  <c r="BN85" i="72"/>
  <c r="BM85" i="72"/>
  <c r="BI91" i="72"/>
  <c r="BO432" i="72" a="1"/>
  <c r="CI144" i="72" a="1"/>
  <c r="CH144" i="72" a="1"/>
  <c r="BM90" i="72" a="1"/>
  <c r="BL91" i="72" a="1"/>
  <c r="BN90" i="72" a="1"/>
  <c r="CJ144" i="72" a="1"/>
  <c r="BJ90" i="72" a="1"/>
  <c r="BK90" i="72" a="1"/>
  <c r="CG144" i="72" a="1"/>
  <c r="BO448" i="72" a="1"/>
  <c r="CF144" i="72" a="1"/>
  <c r="U438" i="44" l="1"/>
  <c r="U784" i="44"/>
  <c r="U92" i="44"/>
  <c r="Y181" i="34"/>
  <c r="Y142" i="34"/>
  <c r="BJ90" i="72"/>
  <c r="BQ470" i="72"/>
  <c r="CA448" i="72"/>
  <c r="CA416" i="72"/>
  <c r="CI144" i="72"/>
  <c r="CH144" i="72"/>
  <c r="CJ144" i="72"/>
  <c r="CF144" i="72"/>
  <c r="CG144" i="72"/>
  <c r="CE146" i="72"/>
  <c r="CK90" i="72"/>
  <c r="BZ90" i="72"/>
  <c r="BO448" i="72"/>
  <c r="BO432" i="72"/>
  <c r="BQ432" i="72" s="1"/>
  <c r="BL91" i="72"/>
  <c r="Y103" i="34"/>
  <c r="BK90" i="72"/>
  <c r="BM90" i="72"/>
  <c r="BN90" i="72"/>
  <c r="BI92" i="72"/>
  <c r="BN91" i="72" a="1"/>
  <c r="BM91" i="72" a="1"/>
  <c r="BJ91" i="72" a="1"/>
  <c r="CF145" i="72" a="1"/>
  <c r="CJ145" i="72" a="1"/>
  <c r="BO416" i="72" a="1"/>
  <c r="CG145" i="72" a="1"/>
  <c r="BK91" i="72" a="1"/>
  <c r="CI145" i="72" a="1"/>
  <c r="CH145" i="72" a="1"/>
  <c r="BL92" i="72" a="1"/>
  <c r="BN91" i="72" l="1"/>
  <c r="U444" i="44"/>
  <c r="U790" i="44"/>
  <c r="AA170" i="34"/>
  <c r="AA131" i="34"/>
  <c r="BK91" i="72"/>
  <c r="BO91" i="72" s="1"/>
  <c r="V59" i="34"/>
  <c r="BS470" i="72"/>
  <c r="BL470" i="72"/>
  <c r="BO470" i="72"/>
  <c r="BQ448" i="72"/>
  <c r="CH145" i="72"/>
  <c r="CI145" i="72"/>
  <c r="CG145" i="72"/>
  <c r="CF145" i="72"/>
  <c r="CJ145" i="72"/>
  <c r="CE147" i="72"/>
  <c r="CK91" i="72"/>
  <c r="BZ91" i="72"/>
  <c r="BL92" i="72"/>
  <c r="BO416" i="72"/>
  <c r="BQ416" i="72" s="1"/>
  <c r="BO90" i="72"/>
  <c r="BJ91" i="72"/>
  <c r="BM91" i="72"/>
  <c r="BI93" i="72"/>
  <c r="CG146" i="72" a="1"/>
  <c r="BJ92" i="72" a="1"/>
  <c r="BN92" i="72" a="1"/>
  <c r="CI146" i="72" a="1"/>
  <c r="CF146" i="72" a="1"/>
  <c r="BM92" i="72" a="1"/>
  <c r="CH146" i="72" a="1"/>
  <c r="BK92" i="72" a="1"/>
  <c r="BL93" i="72" a="1"/>
  <c r="CJ146" i="72" a="1"/>
  <c r="U98" i="44" l="1"/>
  <c r="U99" i="44"/>
  <c r="U791" i="44"/>
  <c r="U445" i="44"/>
  <c r="AA171" i="34"/>
  <c r="AA132" i="34"/>
  <c r="BM92" i="72"/>
  <c r="BK92" i="72"/>
  <c r="BO92" i="72" s="1"/>
  <c r="T59" i="34"/>
  <c r="AD59" i="34"/>
  <c r="N59" i="34"/>
  <c r="BJ470" i="72"/>
  <c r="BN470" i="72"/>
  <c r="CJ146" i="72"/>
  <c r="CI146" i="72"/>
  <c r="CG146" i="72"/>
  <c r="CH146" i="72"/>
  <c r="CF146" i="72"/>
  <c r="CE148" i="72"/>
  <c r="CK92" i="72"/>
  <c r="BZ92" i="72"/>
  <c r="AA93" i="34"/>
  <c r="BL93" i="72"/>
  <c r="AA92" i="34"/>
  <c r="BJ92" i="72"/>
  <c r="BN92" i="72"/>
  <c r="BI94" i="72"/>
  <c r="BJ93" i="72" a="1"/>
  <c r="BK94" i="72" a="1"/>
  <c r="CF147" i="72" a="1"/>
  <c r="CI147" i="72" a="1"/>
  <c r="BK93" i="72" a="1"/>
  <c r="CJ147" i="72" a="1"/>
  <c r="BN93" i="72" a="1"/>
  <c r="CH147" i="72" a="1"/>
  <c r="CG147" i="72" a="1"/>
  <c r="BM93" i="72" a="1"/>
  <c r="U792" i="44" l="1"/>
  <c r="U100" i="44"/>
  <c r="U446" i="44"/>
  <c r="AA172" i="34"/>
  <c r="AA133" i="34"/>
  <c r="AA94" i="34"/>
  <c r="AB59" i="34"/>
  <c r="L59" i="34"/>
  <c r="BN93" i="72"/>
  <c r="CG147" i="72"/>
  <c r="CI147" i="72"/>
  <c r="CF147" i="72"/>
  <c r="CH147" i="72"/>
  <c r="CJ147" i="72"/>
  <c r="CE149" i="72"/>
  <c r="CK93" i="72"/>
  <c r="BZ93" i="72"/>
  <c r="BK93" i="72"/>
  <c r="BO93" i="72" s="1"/>
  <c r="BJ93" i="72"/>
  <c r="BM93" i="72"/>
  <c r="BK94" i="72"/>
  <c r="BO94" i="72" s="1"/>
  <c r="BI95" i="72"/>
  <c r="CF148" i="72" a="1"/>
  <c r="CH148" i="72" a="1"/>
  <c r="CI148" i="72" a="1"/>
  <c r="CJ148" i="72" a="1"/>
  <c r="CG148" i="72" a="1"/>
  <c r="BN94" i="72" a="1"/>
  <c r="BJ94" i="72" a="1"/>
  <c r="BM94" i="72" a="1"/>
  <c r="BL94" i="72" a="1"/>
  <c r="BM95" i="72" a="1"/>
  <c r="U447" i="44" l="1"/>
  <c r="U102" i="44"/>
  <c r="U793" i="44"/>
  <c r="U101" i="44"/>
  <c r="AA173" i="34"/>
  <c r="AA134" i="34"/>
  <c r="BL94" i="72"/>
  <c r="CI148" i="72"/>
  <c r="CF148" i="72"/>
  <c r="CH148" i="72"/>
  <c r="CJ148" i="72"/>
  <c r="CG148" i="72"/>
  <c r="CE154" i="72"/>
  <c r="CK94" i="72"/>
  <c r="BZ94" i="72"/>
  <c r="AA96" i="34"/>
  <c r="AA95" i="34"/>
  <c r="BM94" i="72"/>
  <c r="BN94" i="72"/>
  <c r="BJ94" i="72"/>
  <c r="BM95" i="72"/>
  <c r="BI96" i="72"/>
  <c r="CI149" i="72" a="1"/>
  <c r="BN95" i="72" a="1"/>
  <c r="BL95" i="72" a="1"/>
  <c r="BJ95" i="72" a="1"/>
  <c r="BK95" i="72" a="1"/>
  <c r="CJ149" i="72" a="1"/>
  <c r="CG149" i="72" a="1"/>
  <c r="CF149" i="72" a="1"/>
  <c r="CH149" i="72" a="1"/>
  <c r="BK96" i="72" a="1"/>
  <c r="U448" i="44" l="1"/>
  <c r="U794" i="44"/>
  <c r="AA174" i="34"/>
  <c r="AA135" i="34"/>
  <c r="BL95" i="72"/>
  <c r="CJ149" i="72"/>
  <c r="CH149" i="72"/>
  <c r="CG149" i="72"/>
  <c r="CI149" i="72"/>
  <c r="CF149" i="72"/>
  <c r="CE155" i="72"/>
  <c r="CK95" i="72"/>
  <c r="BZ95" i="72"/>
  <c r="BN95" i="72"/>
  <c r="BK95" i="72"/>
  <c r="BO95" i="72" s="1"/>
  <c r="BJ95" i="72"/>
  <c r="BK96" i="72"/>
  <c r="BO96" i="72" s="1"/>
  <c r="BI97" i="72"/>
  <c r="CH154" i="72" a="1"/>
  <c r="CG154" i="72" a="1"/>
  <c r="BL96" i="72" a="1"/>
  <c r="CI154" i="72" a="1"/>
  <c r="BM96" i="72" a="1"/>
  <c r="CF154" i="72" a="1"/>
  <c r="BN96" i="72" a="1"/>
  <c r="BJ96" i="72" a="1"/>
  <c r="CJ154" i="72" a="1"/>
  <c r="BL97" i="72" a="1"/>
  <c r="U103" i="44" l="1"/>
  <c r="U104" i="44"/>
  <c r="U449" i="44"/>
  <c r="U795" i="44"/>
  <c r="AA175" i="34"/>
  <c r="AA136" i="34"/>
  <c r="BJ96" i="72"/>
  <c r="BL96" i="72"/>
  <c r="CH154" i="72"/>
  <c r="CI154" i="72"/>
  <c r="CG154" i="72"/>
  <c r="CF154" i="72"/>
  <c r="CJ154" i="72"/>
  <c r="CE156" i="72"/>
  <c r="CK96" i="72"/>
  <c r="BZ96" i="72"/>
  <c r="BL97" i="72"/>
  <c r="AA98" i="34"/>
  <c r="AA97" i="34"/>
  <c r="BN96" i="72"/>
  <c r="BM96" i="72"/>
  <c r="BI98" i="72"/>
  <c r="BK97" i="72" a="1"/>
  <c r="CH155" i="72" a="1"/>
  <c r="CF155" i="72" a="1"/>
  <c r="BN97" i="72" a="1"/>
  <c r="CI155" i="72" a="1"/>
  <c r="CG155" i="72" a="1"/>
  <c r="CJ155" i="72" a="1"/>
  <c r="BM97" i="72" a="1"/>
  <c r="BJ97" i="72" a="1"/>
  <c r="BN98" i="72" a="1"/>
  <c r="U796" i="44" l="1"/>
  <c r="U450" i="44"/>
  <c r="AA176" i="34"/>
  <c r="AA137" i="34"/>
  <c r="BN97" i="72"/>
  <c r="CI155" i="72"/>
  <c r="CH155" i="72"/>
  <c r="CJ155" i="72"/>
  <c r="CG155" i="72"/>
  <c r="CF155" i="72"/>
  <c r="CE157" i="72"/>
  <c r="CK97" i="72"/>
  <c r="BZ97" i="72"/>
  <c r="BK97" i="72"/>
  <c r="BO97" i="72" s="1"/>
  <c r="BJ97" i="72"/>
  <c r="BM97" i="72"/>
  <c r="BN98" i="72"/>
  <c r="BI99" i="72"/>
  <c r="CH156" i="72" a="1"/>
  <c r="BJ98" i="72" a="1"/>
  <c r="CG156" i="72" a="1"/>
  <c r="CI156" i="72" a="1"/>
  <c r="BL99" i="72" a="1"/>
  <c r="BK98" i="72" a="1"/>
  <c r="BL98" i="72" a="1"/>
  <c r="CJ156" i="72" a="1"/>
  <c r="CF156" i="72" a="1"/>
  <c r="BM98" i="72" a="1"/>
  <c r="U105" i="44" l="1"/>
  <c r="U451" i="44"/>
  <c r="U797" i="44"/>
  <c r="AA177" i="34"/>
  <c r="AA138" i="34"/>
  <c r="BL98" i="72"/>
  <c r="CI156" i="72"/>
  <c r="CF156" i="72"/>
  <c r="CJ156" i="72"/>
  <c r="CH156" i="72"/>
  <c r="CG156" i="72"/>
  <c r="CE158" i="72"/>
  <c r="CK98" i="72"/>
  <c r="BZ98" i="72"/>
  <c r="BL99" i="72"/>
  <c r="BM98" i="72"/>
  <c r="AA99" i="34"/>
  <c r="BJ98" i="72"/>
  <c r="BK98" i="72"/>
  <c r="BO98" i="72" s="1"/>
  <c r="BI100" i="72"/>
  <c r="CI157" i="72" a="1"/>
  <c r="CJ157" i="72" a="1"/>
  <c r="BM99" i="72" a="1"/>
  <c r="BN99" i="72" a="1"/>
  <c r="CG157" i="72" a="1"/>
  <c r="CH157" i="72" a="1"/>
  <c r="BK99" i="72" a="1"/>
  <c r="CF157" i="72" a="1"/>
  <c r="BJ99" i="72" a="1"/>
  <c r="BL100" i="72" a="1"/>
  <c r="U452" i="44" l="1"/>
  <c r="U106" i="44"/>
  <c r="U798" i="44"/>
  <c r="AA178" i="34"/>
  <c r="AA139" i="34"/>
  <c r="CJ157" i="72"/>
  <c r="CI157" i="72"/>
  <c r="CH157" i="72"/>
  <c r="CG157" i="72"/>
  <c r="CF157" i="72"/>
  <c r="CE159" i="72"/>
  <c r="CK99" i="72"/>
  <c r="BZ99" i="72"/>
  <c r="BL100" i="72"/>
  <c r="AA100" i="34"/>
  <c r="BN99" i="72"/>
  <c r="BM99" i="72"/>
  <c r="BJ99" i="72"/>
  <c r="BK99" i="72"/>
  <c r="BO99" i="72" s="1"/>
  <c r="BI101" i="72"/>
  <c r="BP354" i="72"/>
  <c r="BJ100" i="72" a="1"/>
  <c r="BN100" i="72" a="1"/>
  <c r="CG158" i="72" a="1"/>
  <c r="BP347" i="72"/>
  <c r="CJ158" i="72" a="1"/>
  <c r="BK100" i="72" a="1"/>
  <c r="CI158" i="72" a="1"/>
  <c r="CF158" i="72" a="1"/>
  <c r="BP346" i="72"/>
  <c r="BM101" i="72" a="1"/>
  <c r="CH158" i="72" a="1"/>
  <c r="BP355" i="72"/>
  <c r="BM100" i="72" a="1"/>
  <c r="U107" i="44" l="1"/>
  <c r="U453" i="44"/>
  <c r="U799" i="44"/>
  <c r="BP368" i="72"/>
  <c r="BP373" i="72" s="1"/>
  <c r="DT78" i="93" s="1"/>
  <c r="BP369" i="72"/>
  <c r="BP374" i="72" s="1"/>
  <c r="DT79" i="93" s="1"/>
  <c r="BP361" i="72"/>
  <c r="BP360" i="72"/>
  <c r="AA179" i="34"/>
  <c r="AA140" i="34"/>
  <c r="BN100" i="72"/>
  <c r="CI158" i="72"/>
  <c r="CF158" i="72"/>
  <c r="CJ158" i="72"/>
  <c r="CG158" i="72"/>
  <c r="CH158" i="72"/>
  <c r="CE160" i="72"/>
  <c r="CK100" i="72"/>
  <c r="BZ100" i="72"/>
  <c r="AA101" i="34"/>
  <c r="BJ100" i="72"/>
  <c r="BK100" i="72"/>
  <c r="BO100" i="72" s="1"/>
  <c r="BM100" i="72"/>
  <c r="BM101" i="72"/>
  <c r="BI106" i="72"/>
  <c r="CI159" i="72" a="1"/>
  <c r="BJ101" i="72" a="1"/>
  <c r="BZ432" i="72" a="1"/>
  <c r="BP513" i="72"/>
  <c r="CF159" i="72" a="1"/>
  <c r="BL101" i="72" a="1"/>
  <c r="BK101" i="72" a="1"/>
  <c r="BQ513" i="72"/>
  <c r="BO513" i="72"/>
  <c r="CJ159" i="72" a="1"/>
  <c r="CH159" i="72" a="1"/>
  <c r="BN101" i="72" a="1"/>
  <c r="CG159" i="72" a="1"/>
  <c r="BZ448" i="72" a="1"/>
  <c r="BL106" i="72" a="1"/>
  <c r="U454" i="44" l="1"/>
  <c r="U800" i="44"/>
  <c r="U108" i="44"/>
  <c r="AA144" i="34"/>
  <c r="AA183" i="34"/>
  <c r="AA143" i="34"/>
  <c r="AA180" i="34"/>
  <c r="AA141" i="34"/>
  <c r="BL101" i="72"/>
  <c r="CH159" i="72"/>
  <c r="CI159" i="72"/>
  <c r="CJ159" i="72"/>
  <c r="CF159" i="72"/>
  <c r="CG159" i="72"/>
  <c r="CE161" i="72"/>
  <c r="CK101" i="72"/>
  <c r="BZ101" i="72"/>
  <c r="BZ448" i="72"/>
  <c r="BZ432" i="72"/>
  <c r="BL106" i="72"/>
  <c r="AA102" i="34"/>
  <c r="BN101" i="72"/>
  <c r="BJ101" i="72"/>
  <c r="BK101" i="72"/>
  <c r="BI107" i="72"/>
  <c r="BK106" i="72" a="1"/>
  <c r="BN449" i="72" a="1"/>
  <c r="CH160" i="72" a="1"/>
  <c r="CJ160" i="72" a="1"/>
  <c r="BZ416" i="72" a="1"/>
  <c r="BN106" i="72" a="1"/>
  <c r="BN433" i="72" a="1"/>
  <c r="CI160" i="72" a="1"/>
  <c r="CG160" i="72" a="1"/>
  <c r="BN107" i="72" a="1"/>
  <c r="CF160" i="72" a="1"/>
  <c r="BJ106" i="72" a="1"/>
  <c r="BM106" i="72" a="1"/>
  <c r="U801" i="44" l="1"/>
  <c r="U455" i="44"/>
  <c r="AA181" i="34"/>
  <c r="AA142" i="34"/>
  <c r="BJ106" i="72"/>
  <c r="CB448" i="72"/>
  <c r="CB432" i="72"/>
  <c r="BZ416" i="72"/>
  <c r="CJ160" i="72"/>
  <c r="CF160" i="72"/>
  <c r="CG160" i="72"/>
  <c r="CI160" i="72"/>
  <c r="CH160" i="72"/>
  <c r="CE162" i="72"/>
  <c r="CK106" i="72"/>
  <c r="BZ106" i="72"/>
  <c r="BN449" i="72"/>
  <c r="BN433" i="72"/>
  <c r="BP433" i="72" s="1"/>
  <c r="BO101" i="72"/>
  <c r="BM106" i="72"/>
  <c r="BN106" i="72"/>
  <c r="BK106" i="72"/>
  <c r="BN107" i="72"/>
  <c r="BI108" i="72"/>
  <c r="CJ161" i="72" a="1"/>
  <c r="CP31" i="72" a="1"/>
  <c r="BL107" i="72" a="1"/>
  <c r="BL108" i="72" a="1"/>
  <c r="CH161" i="72" a="1"/>
  <c r="CF161" i="72" a="1"/>
  <c r="BJ107" i="72" a="1"/>
  <c r="BN417" i="72" a="1"/>
  <c r="BN347" i="72"/>
  <c r="CI161" i="72" a="1"/>
  <c r="BM107" i="72" a="1"/>
  <c r="BN355" i="72"/>
  <c r="BK107" i="72" a="1"/>
  <c r="CG161" i="72" a="1"/>
  <c r="U109" i="44" l="1"/>
  <c r="U461" i="44"/>
  <c r="U807" i="44"/>
  <c r="BN361" i="72"/>
  <c r="BN369" i="72"/>
  <c r="BN374" i="72" s="1"/>
  <c r="DR79" i="93" s="1"/>
  <c r="CP31" i="72"/>
  <c r="AC170" i="34"/>
  <c r="AC131" i="34"/>
  <c r="BR470" i="72"/>
  <c r="BK471" i="72"/>
  <c r="BT470" i="72"/>
  <c r="BL107" i="72"/>
  <c r="CB416" i="72"/>
  <c r="BP449" i="72"/>
  <c r="CG161" i="72"/>
  <c r="CI161" i="72"/>
  <c r="CJ161" i="72"/>
  <c r="CF161" i="72"/>
  <c r="CH161" i="72"/>
  <c r="CE163" i="72"/>
  <c r="CK107" i="72"/>
  <c r="BZ107" i="72"/>
  <c r="BL108" i="72"/>
  <c r="AA103" i="34"/>
  <c r="BN417" i="72"/>
  <c r="BP417" i="72" s="1"/>
  <c r="BK107" i="72"/>
  <c r="BO107" i="72" s="1"/>
  <c r="BJ107" i="72"/>
  <c r="BO106" i="72"/>
  <c r="BM107" i="72"/>
  <c r="BI109" i="72"/>
  <c r="BJ108" i="72" a="1"/>
  <c r="CJ162" i="72" a="1"/>
  <c r="BM108" i="72" a="1"/>
  <c r="BK108" i="72" a="1"/>
  <c r="CG162" i="72" a="1"/>
  <c r="CI162" i="72" a="1"/>
  <c r="CF162" i="72" a="1"/>
  <c r="CH162" i="72" a="1"/>
  <c r="BN108" i="72" a="1"/>
  <c r="BN109" i="72" a="1"/>
  <c r="U808" i="44" l="1"/>
  <c r="U116" i="44"/>
  <c r="U115" i="44"/>
  <c r="U462" i="44"/>
  <c r="BI471" i="72"/>
  <c r="J60" i="34" s="1"/>
  <c r="W183" i="34"/>
  <c r="AC171" i="34"/>
  <c r="AC132" i="34"/>
  <c r="AF59" i="34"/>
  <c r="R60" i="34"/>
  <c r="X59" i="34"/>
  <c r="BP470" i="72"/>
  <c r="BM471" i="72"/>
  <c r="Z60" i="34" s="1"/>
  <c r="CG162" i="72"/>
  <c r="CF162" i="72"/>
  <c r="CH162" i="72"/>
  <c r="CI162" i="72"/>
  <c r="CJ162" i="72"/>
  <c r="CE164" i="72"/>
  <c r="CK108" i="72"/>
  <c r="BZ108" i="72"/>
  <c r="AC92" i="34"/>
  <c r="AC93" i="34"/>
  <c r="BM108" i="72"/>
  <c r="BJ108" i="72"/>
  <c r="BN108" i="72"/>
  <c r="BK108" i="72"/>
  <c r="BO108" i="72" s="1"/>
  <c r="BN109" i="72"/>
  <c r="BI110" i="72"/>
  <c r="CF163" i="72" a="1"/>
  <c r="BJ109" i="72" a="1"/>
  <c r="CJ163" i="72" a="1"/>
  <c r="BK109" i="72" a="1"/>
  <c r="BL109" i="72" a="1"/>
  <c r="BM109" i="72" a="1"/>
  <c r="CI163" i="72" a="1"/>
  <c r="CH163" i="72" a="1"/>
  <c r="CG163" i="72" a="1"/>
  <c r="BL110" i="72" a="1"/>
  <c r="U117" i="44" l="1"/>
  <c r="U463" i="44"/>
  <c r="U809" i="44"/>
  <c r="AC172" i="34"/>
  <c r="AC133" i="34"/>
  <c r="BL109" i="72"/>
  <c r="P59" i="34"/>
  <c r="CG163" i="72"/>
  <c r="CH163" i="72"/>
  <c r="CJ163" i="72"/>
  <c r="CF163" i="72"/>
  <c r="CI163" i="72"/>
  <c r="CE165" i="72"/>
  <c r="CK109" i="72"/>
  <c r="BZ109" i="72"/>
  <c r="BL110" i="72"/>
  <c r="AC94" i="34"/>
  <c r="BK109" i="72"/>
  <c r="BO109" i="72" s="1"/>
  <c r="BJ109" i="72"/>
  <c r="BM109" i="72"/>
  <c r="BI111" i="72"/>
  <c r="CI164" i="72" a="1"/>
  <c r="BJ110" i="72" a="1"/>
  <c r="CJ164" i="72" a="1"/>
  <c r="BN110" i="72" a="1"/>
  <c r="CH164" i="72" a="1"/>
  <c r="BM110" i="72" a="1"/>
  <c r="CG164" i="72" a="1"/>
  <c r="CF164" i="72" a="1"/>
  <c r="BK110" i="72" a="1"/>
  <c r="BN111" i="72" a="1"/>
  <c r="U464" i="44" l="1"/>
  <c r="U118" i="44"/>
  <c r="U810" i="44"/>
  <c r="AC173" i="34"/>
  <c r="AC134" i="34"/>
  <c r="CH164" i="72"/>
  <c r="CG164" i="72"/>
  <c r="CJ164" i="72"/>
  <c r="CI164" i="72"/>
  <c r="CF164" i="72"/>
  <c r="CE170" i="72"/>
  <c r="CK110" i="72"/>
  <c r="BZ110" i="72"/>
  <c r="AC95" i="34"/>
  <c r="BJ110" i="72"/>
  <c r="BK110" i="72"/>
  <c r="BO110" i="72" s="1"/>
  <c r="BN110" i="72"/>
  <c r="BM110" i="72"/>
  <c r="BN111" i="72"/>
  <c r="BI112" i="72"/>
  <c r="BM111" i="72" a="1"/>
  <c r="CF165" i="72" a="1"/>
  <c r="CG165" i="72" a="1"/>
  <c r="CJ165" i="72" a="1"/>
  <c r="BJ111" i="72" a="1"/>
  <c r="BP345" i="72"/>
  <c r="BL111" i="72" a="1"/>
  <c r="BL112" i="72" a="1"/>
  <c r="BP353" i="72"/>
  <c r="CI165" i="72" a="1"/>
  <c r="CH165" i="72" a="1"/>
  <c r="BK111" i="72" a="1"/>
  <c r="U119" i="44" l="1"/>
  <c r="U465" i="44"/>
  <c r="U811" i="44"/>
  <c r="BP367" i="72"/>
  <c r="BP372" i="72" s="1"/>
  <c r="DT77" i="93" s="1"/>
  <c r="BP359" i="72"/>
  <c r="AC174" i="34"/>
  <c r="AC135" i="34"/>
  <c r="BM111" i="72"/>
  <c r="BL111" i="72"/>
  <c r="CF165" i="72"/>
  <c r="CI165" i="72"/>
  <c r="CJ165" i="72"/>
  <c r="CH165" i="72"/>
  <c r="CG165" i="72"/>
  <c r="CE171" i="72"/>
  <c r="CK111" i="72"/>
  <c r="BZ111" i="72"/>
  <c r="BL112" i="72"/>
  <c r="AC96" i="34"/>
  <c r="BJ111" i="72"/>
  <c r="BK111" i="72"/>
  <c r="BO111" i="72" s="1"/>
  <c r="BI113" i="72"/>
  <c r="CH170" i="72" a="1"/>
  <c r="CJ170" i="72" a="1"/>
  <c r="BN112" i="72" a="1"/>
  <c r="CF170" i="72" a="1"/>
  <c r="BK112" i="72" a="1"/>
  <c r="BM112" i="72" a="1"/>
  <c r="BJ112" i="72" a="1"/>
  <c r="CG170" i="72" a="1"/>
  <c r="CI170" i="72" a="1"/>
  <c r="BL113" i="72" a="1"/>
  <c r="U812" i="44" l="1"/>
  <c r="U466" i="44"/>
  <c r="U120" i="44"/>
  <c r="AA105" i="34"/>
  <c r="AC175" i="34"/>
  <c r="AC136" i="34"/>
  <c r="BM112" i="72"/>
  <c r="CJ170" i="72"/>
  <c r="CH170" i="72"/>
  <c r="CF170" i="72"/>
  <c r="CI170" i="72"/>
  <c r="CG170" i="72"/>
  <c r="CE172" i="72"/>
  <c r="CK112" i="72"/>
  <c r="BZ112" i="72"/>
  <c r="BL113" i="72"/>
  <c r="AC97" i="34"/>
  <c r="BK112" i="72"/>
  <c r="BO112" i="72" s="1"/>
  <c r="BJ112" i="72"/>
  <c r="BN112" i="72"/>
  <c r="BI114" i="72"/>
  <c r="CR44" i="72" a="1"/>
  <c r="BJ113" i="72" a="1"/>
  <c r="BM113" i="72" a="1"/>
  <c r="BK113" i="72" a="1"/>
  <c r="CJ171" i="72" a="1"/>
  <c r="CG171" i="72" a="1"/>
  <c r="BN113" i="72" a="1"/>
  <c r="BL114" i="72" a="1"/>
  <c r="CI171" i="72" a="1"/>
  <c r="CF171" i="72" a="1"/>
  <c r="CH171" i="72" a="1"/>
  <c r="CR44" i="72" l="1"/>
  <c r="U813" i="44"/>
  <c r="U121" i="44"/>
  <c r="U467" i="44"/>
  <c r="AC176" i="34"/>
  <c r="AC137" i="34"/>
  <c r="BJ113" i="72"/>
  <c r="CF171" i="72"/>
  <c r="CG171" i="72"/>
  <c r="CH171" i="72"/>
  <c r="CJ171" i="72"/>
  <c r="CI171" i="72"/>
  <c r="CE173" i="72"/>
  <c r="CK113" i="72"/>
  <c r="BZ113" i="72"/>
  <c r="BL114" i="72"/>
  <c r="AC98" i="34"/>
  <c r="BN113" i="72"/>
  <c r="BK113" i="72"/>
  <c r="BM113" i="72"/>
  <c r="BI115" i="72"/>
  <c r="CG172" i="72" a="1"/>
  <c r="BK114" i="72" a="1"/>
  <c r="CH172" i="72" a="1"/>
  <c r="BJ114" i="72" a="1"/>
  <c r="CI172" i="72" a="1"/>
  <c r="CJ172" i="72" a="1"/>
  <c r="BN114" i="72" a="1"/>
  <c r="BM114" i="72" a="1"/>
  <c r="CF172" i="72" a="1"/>
  <c r="BL115" i="72" a="1"/>
  <c r="U468" i="44" l="1"/>
  <c r="U814" i="44"/>
  <c r="AC177" i="34"/>
  <c r="AC138" i="34"/>
  <c r="BM114" i="72"/>
  <c r="CI172" i="72"/>
  <c r="CJ172" i="72"/>
  <c r="CH172" i="72"/>
  <c r="CG172" i="72"/>
  <c r="CF172" i="72"/>
  <c r="CE174" i="72"/>
  <c r="CK114" i="72"/>
  <c r="BZ114" i="72"/>
  <c r="BL115" i="72"/>
  <c r="BO113" i="72"/>
  <c r="BJ114" i="72"/>
  <c r="BN114" i="72"/>
  <c r="BK114" i="72"/>
  <c r="BI116" i="72"/>
  <c r="BJ115" i="72" a="1"/>
  <c r="BK115" i="72" a="1"/>
  <c r="BM115" i="72" a="1"/>
  <c r="CI173" i="72" a="1"/>
  <c r="CJ173" i="72" a="1"/>
  <c r="BN115" i="72" a="1"/>
  <c r="CH173" i="72" a="1"/>
  <c r="CF173" i="72" a="1"/>
  <c r="CG173" i="72" a="1"/>
  <c r="BJ116" i="72" a="1"/>
  <c r="U122" i="44" l="1"/>
  <c r="U469" i="44"/>
  <c r="U815" i="44"/>
  <c r="AC178" i="34"/>
  <c r="AC139" i="34"/>
  <c r="CF173" i="72"/>
  <c r="CI173" i="72"/>
  <c r="CG173" i="72"/>
  <c r="CJ173" i="72"/>
  <c r="CH173" i="72"/>
  <c r="CE175" i="72"/>
  <c r="CK115" i="72"/>
  <c r="BZ115" i="72"/>
  <c r="AC99" i="34"/>
  <c r="BO114" i="72"/>
  <c r="BK115" i="72"/>
  <c r="BO115" i="72" s="1"/>
  <c r="BN115" i="72"/>
  <c r="BJ115" i="72"/>
  <c r="BM115" i="72"/>
  <c r="BJ116" i="72"/>
  <c r="BI117" i="72"/>
  <c r="BQ355" i="72"/>
  <c r="CG174" i="72" a="1"/>
  <c r="CF174" i="72" a="1"/>
  <c r="CH174" i="72" a="1"/>
  <c r="BN116" i="72" a="1"/>
  <c r="BQ346" i="72"/>
  <c r="BL116" i="72" a="1"/>
  <c r="BK116" i="72" a="1"/>
  <c r="CJ174" i="72" a="1"/>
  <c r="BM116" i="72" a="1"/>
  <c r="CI174" i="72" a="1"/>
  <c r="BN117" i="72" a="1"/>
  <c r="U123" i="44" l="1"/>
  <c r="U124" i="44"/>
  <c r="U470" i="44"/>
  <c r="U816" i="44"/>
  <c r="BQ368" i="72"/>
  <c r="BQ373" i="72" s="1"/>
  <c r="DU78" i="93" s="1"/>
  <c r="BL116" i="72"/>
  <c r="AC179" i="34"/>
  <c r="AC140" i="34"/>
  <c r="CH174" i="72"/>
  <c r="CG174" i="72"/>
  <c r="CI174" i="72"/>
  <c r="CJ174" i="72"/>
  <c r="CF174" i="72"/>
  <c r="CE176" i="72"/>
  <c r="CK116" i="72"/>
  <c r="BZ116" i="72"/>
  <c r="AC101" i="34"/>
  <c r="AC100" i="34"/>
  <c r="BM116" i="72"/>
  <c r="BN116" i="72"/>
  <c r="BK116" i="72"/>
  <c r="BN117" i="72"/>
  <c r="BI122" i="72"/>
  <c r="BQ360" i="72"/>
  <c r="CI175" i="72" a="1"/>
  <c r="CF175" i="72" a="1"/>
  <c r="BP514" i="72"/>
  <c r="BQ347" i="72"/>
  <c r="CG175" i="72" a="1"/>
  <c r="BY449" i="72" a="1"/>
  <c r="BQ514" i="72"/>
  <c r="CH175" i="72" a="1"/>
  <c r="BQ354" i="72"/>
  <c r="BM117" i="72" a="1"/>
  <c r="BK117" i="72" a="1"/>
  <c r="BL117" i="72" a="1"/>
  <c r="CJ175" i="72" a="1"/>
  <c r="BY433" i="72" a="1"/>
  <c r="BJ117" i="72" a="1"/>
  <c r="BL122" i="72" a="1"/>
  <c r="BQ369" i="72" l="1"/>
  <c r="BQ374" i="72" s="1"/>
  <c r="DU79" i="93" s="1"/>
  <c r="BQ361" i="72"/>
  <c r="U817" i="44"/>
  <c r="U471" i="44"/>
  <c r="AC144" i="34"/>
  <c r="AC143" i="34"/>
  <c r="AC180" i="34"/>
  <c r="AC141" i="34"/>
  <c r="BL117" i="72"/>
  <c r="CF175" i="72"/>
  <c r="CI175" i="72"/>
  <c r="CG175" i="72"/>
  <c r="CH175" i="72"/>
  <c r="CJ175" i="72"/>
  <c r="CE177" i="72"/>
  <c r="CK117" i="72"/>
  <c r="BZ117" i="72"/>
  <c r="BY449" i="72"/>
  <c r="BY433" i="72"/>
  <c r="CA433" i="72" s="1"/>
  <c r="BL122" i="72"/>
  <c r="BO116" i="72"/>
  <c r="BK117" i="72"/>
  <c r="BJ117" i="72"/>
  <c r="BM117" i="72"/>
  <c r="BI123" i="72"/>
  <c r="CF176" i="72" a="1"/>
  <c r="BY417" i="72" a="1"/>
  <c r="BO433" i="72" a="1"/>
  <c r="BJ122" i="72" a="1"/>
  <c r="BN122" i="72" a="1"/>
  <c r="CG176" i="72" a="1"/>
  <c r="BO449" i="72" a="1"/>
  <c r="BO514" i="72"/>
  <c r="CH176" i="72" a="1"/>
  <c r="CJ176" i="72" a="1"/>
  <c r="BK122" i="72" a="1"/>
  <c r="CI176" i="72" a="1"/>
  <c r="BM122" i="72" a="1"/>
  <c r="BL123" i="72" a="1"/>
  <c r="AC183" i="34" l="1"/>
  <c r="U472" i="44"/>
  <c r="U125" i="44"/>
  <c r="U818" i="44"/>
  <c r="AC181" i="34"/>
  <c r="AC142" i="34"/>
  <c r="BJ122" i="72"/>
  <c r="BQ471" i="72"/>
  <c r="CA449" i="72"/>
  <c r="CG176" i="72"/>
  <c r="CJ176" i="72"/>
  <c r="CF176" i="72"/>
  <c r="CI176" i="72"/>
  <c r="CH176" i="72"/>
  <c r="CE178" i="72"/>
  <c r="CK122" i="72"/>
  <c r="BZ122" i="72"/>
  <c r="BO449" i="72"/>
  <c r="BO433" i="72"/>
  <c r="BQ433" i="72" s="1"/>
  <c r="BL123" i="72"/>
  <c r="AC102" i="34"/>
  <c r="BY417" i="72"/>
  <c r="BO117" i="72"/>
  <c r="BM122" i="72"/>
  <c r="BK122" i="72"/>
  <c r="BN122" i="72"/>
  <c r="BI124" i="72"/>
  <c r="CF177" i="72" a="1"/>
  <c r="CI177" i="72" a="1"/>
  <c r="BJ123" i="72" a="1"/>
  <c r="BM123" i="72" a="1"/>
  <c r="BO417" i="72" a="1"/>
  <c r="CH177" i="72" a="1"/>
  <c r="CJ177" i="72" a="1"/>
  <c r="BK123" i="72" a="1"/>
  <c r="BN123" i="72" a="1"/>
  <c r="BM124" i="72" a="1"/>
  <c r="CG177" i="72" a="1"/>
  <c r="U478" i="44" l="1"/>
  <c r="U824" i="44"/>
  <c r="U126" i="44"/>
  <c r="BK123" i="72"/>
  <c r="BO123" i="72" s="1"/>
  <c r="AE170" i="34"/>
  <c r="AE131" i="34"/>
  <c r="V60" i="34"/>
  <c r="BS471" i="72"/>
  <c r="BL471" i="72"/>
  <c r="CA417" i="72"/>
  <c r="BQ449" i="72"/>
  <c r="CJ177" i="72"/>
  <c r="CH177" i="72"/>
  <c r="CG177" i="72"/>
  <c r="CF177" i="72"/>
  <c r="CI177" i="72"/>
  <c r="CE179" i="72"/>
  <c r="CK123" i="72"/>
  <c r="BZ123" i="72"/>
  <c r="AC103" i="34"/>
  <c r="BO417" i="72"/>
  <c r="BQ417" i="72" s="1"/>
  <c r="BO122" i="72"/>
  <c r="BM123" i="72"/>
  <c r="BN123" i="72"/>
  <c r="BJ123" i="72"/>
  <c r="BM124" i="72"/>
  <c r="BI125" i="72"/>
  <c r="CH178" i="72" a="1"/>
  <c r="BK124" i="72" a="1"/>
  <c r="BJ124" i="72" a="1"/>
  <c r="BL124" i="72" a="1"/>
  <c r="CJ178" i="72" a="1"/>
  <c r="CG178" i="72" a="1"/>
  <c r="BN124" i="72" a="1"/>
  <c r="CF178" i="72" a="1"/>
  <c r="BJ125" i="72" a="1"/>
  <c r="CI178" i="72" a="1"/>
  <c r="U479" i="44" l="1"/>
  <c r="U825" i="44"/>
  <c r="U133" i="44"/>
  <c r="U132" i="44"/>
  <c r="AE171" i="34"/>
  <c r="AE132" i="34"/>
  <c r="BL124" i="72"/>
  <c r="T60" i="34"/>
  <c r="AD60" i="34"/>
  <c r="BO471" i="72"/>
  <c r="BN471" i="72"/>
  <c r="BJ471" i="72"/>
  <c r="CG178" i="72"/>
  <c r="CJ178" i="72"/>
  <c r="CH178" i="72"/>
  <c r="CI178" i="72"/>
  <c r="CF178" i="72"/>
  <c r="CE180" i="72"/>
  <c r="CK124" i="72"/>
  <c r="BZ124" i="72"/>
  <c r="AE93" i="34"/>
  <c r="AE92" i="34"/>
  <c r="BJ124" i="72"/>
  <c r="BK124" i="72"/>
  <c r="BO124" i="72" s="1"/>
  <c r="BN124" i="72"/>
  <c r="BJ125" i="72"/>
  <c r="BI126" i="72"/>
  <c r="BK125" i="72" a="1"/>
  <c r="CF179" i="72" a="1"/>
  <c r="BM125" i="72" a="1"/>
  <c r="CI179" i="72" a="1"/>
  <c r="CJ179" i="72" a="1"/>
  <c r="BN125" i="72" a="1"/>
  <c r="CH179" i="72" a="1"/>
  <c r="BL125" i="72" a="1"/>
  <c r="CG179" i="72" a="1"/>
  <c r="BN126" i="72" a="1"/>
  <c r="U826" i="44" l="1"/>
  <c r="U480" i="44"/>
  <c r="U134" i="44"/>
  <c r="AE172" i="34"/>
  <c r="AE133" i="34"/>
  <c r="BL125" i="72"/>
  <c r="N60" i="34"/>
  <c r="AB60" i="34"/>
  <c r="L60" i="34"/>
  <c r="CI179" i="72"/>
  <c r="CJ179" i="72"/>
  <c r="CG179" i="72"/>
  <c r="CF179" i="72"/>
  <c r="CH179" i="72"/>
  <c r="CE181" i="72"/>
  <c r="CK125" i="72"/>
  <c r="BZ125" i="72"/>
  <c r="AE94" i="34"/>
  <c r="BN125" i="72"/>
  <c r="BM125" i="72"/>
  <c r="BK125" i="72"/>
  <c r="BN126" i="72"/>
  <c r="BI127" i="72"/>
  <c r="BL126" i="72" a="1"/>
  <c r="BK126" i="72" a="1"/>
  <c r="CG180" i="72" a="1"/>
  <c r="CH180" i="72" a="1"/>
  <c r="CI180" i="72" a="1"/>
  <c r="BJ126" i="72" a="1"/>
  <c r="CF180" i="72" a="1"/>
  <c r="CJ180" i="72" a="1"/>
  <c r="BM126" i="72" a="1"/>
  <c r="BL127" i="72" a="1"/>
  <c r="U481" i="44" l="1"/>
  <c r="U827" i="44"/>
  <c r="AE173" i="34"/>
  <c r="AE134" i="34"/>
  <c r="BL126" i="72"/>
  <c r="CH180" i="72"/>
  <c r="CJ180" i="72"/>
  <c r="CG180" i="72"/>
  <c r="CI180" i="72"/>
  <c r="CF180" i="72"/>
  <c r="CE186" i="72"/>
  <c r="CK126" i="72"/>
  <c r="BZ126" i="72"/>
  <c r="BL127" i="72"/>
  <c r="BO125" i="72"/>
  <c r="BJ126" i="72"/>
  <c r="BK126" i="72"/>
  <c r="BO126" i="72" s="1"/>
  <c r="BM126" i="72"/>
  <c r="BI128" i="72"/>
  <c r="BJ127" i="72" a="1"/>
  <c r="BK127" i="72" a="1"/>
  <c r="CJ181" i="72" a="1"/>
  <c r="CH181" i="72" a="1"/>
  <c r="CI181" i="72" a="1"/>
  <c r="BN127" i="72" a="1"/>
  <c r="BM127" i="72" a="1"/>
  <c r="CF181" i="72" a="1"/>
  <c r="CG181" i="72" a="1"/>
  <c r="BL128" i="72" a="1"/>
  <c r="U136" i="44" l="1"/>
  <c r="U828" i="44"/>
  <c r="U135" i="44"/>
  <c r="U482" i="44"/>
  <c r="AE174" i="34"/>
  <c r="AE135" i="34"/>
  <c r="BK127" i="72"/>
  <c r="BO127" i="72" s="1"/>
  <c r="CI181" i="72"/>
  <c r="CJ181" i="72"/>
  <c r="CF181" i="72"/>
  <c r="CG181" i="72"/>
  <c r="CH181" i="72"/>
  <c r="CE187" i="72"/>
  <c r="CK127" i="72"/>
  <c r="BZ127" i="72"/>
  <c r="BL128" i="72"/>
  <c r="AE96" i="34"/>
  <c r="AE95" i="34"/>
  <c r="BM127" i="72"/>
  <c r="BN127" i="72"/>
  <c r="BJ127" i="72"/>
  <c r="BI129" i="72"/>
  <c r="BK128" i="72" a="1"/>
  <c r="BJ128" i="72" a="1"/>
  <c r="CI186" i="72" a="1"/>
  <c r="CG186" i="72" a="1"/>
  <c r="CH186" i="72" a="1"/>
  <c r="BN128" i="72" a="1"/>
  <c r="CF186" i="72" a="1"/>
  <c r="CJ186" i="72" a="1"/>
  <c r="BM128" i="72" a="1"/>
  <c r="BK129" i="72" a="1"/>
  <c r="U137" i="44" l="1"/>
  <c r="U483" i="44"/>
  <c r="U829" i="44"/>
  <c r="BN128" i="72"/>
  <c r="AE175" i="34"/>
  <c r="AE136" i="34"/>
  <c r="AE97" i="34"/>
  <c r="CJ186" i="72"/>
  <c r="CG186" i="72"/>
  <c r="CI186" i="72"/>
  <c r="CF186" i="72"/>
  <c r="CH186" i="72"/>
  <c r="CE188" i="72"/>
  <c r="CK128" i="72"/>
  <c r="BZ128" i="72"/>
  <c r="BK128" i="72"/>
  <c r="BO128" i="72" s="1"/>
  <c r="BM128" i="72"/>
  <c r="BJ128" i="72"/>
  <c r="BK129" i="72"/>
  <c r="BO129" i="72" s="1"/>
  <c r="BI130" i="72"/>
  <c r="CJ187" i="72" a="1"/>
  <c r="BM129" i="72" a="1"/>
  <c r="BN129" i="72" a="1"/>
  <c r="BL129" i="72" a="1"/>
  <c r="CG187" i="72" a="1"/>
  <c r="BJ129" i="72" a="1"/>
  <c r="CH187" i="72" a="1"/>
  <c r="CF187" i="72" a="1"/>
  <c r="BQ353" i="72"/>
  <c r="BQ345" i="72"/>
  <c r="CI187" i="72" a="1"/>
  <c r="BL130" i="72" a="1"/>
  <c r="U138" i="44" l="1"/>
  <c r="U139" i="44"/>
  <c r="U484" i="44"/>
  <c r="U830" i="44"/>
  <c r="BQ367" i="72"/>
  <c r="BQ372" i="72" s="1"/>
  <c r="DU77" i="93" s="1"/>
  <c r="BQ359" i="72"/>
  <c r="AE176" i="34"/>
  <c r="AE137" i="34"/>
  <c r="BL129" i="72"/>
  <c r="BM129" i="72"/>
  <c r="CG187" i="72"/>
  <c r="CJ187" i="72"/>
  <c r="CI187" i="72"/>
  <c r="CH187" i="72"/>
  <c r="CF187" i="72"/>
  <c r="CE189" i="72"/>
  <c r="CK129" i="72"/>
  <c r="BZ129" i="72"/>
  <c r="BL130" i="72"/>
  <c r="AE99" i="34"/>
  <c r="AE98" i="34"/>
  <c r="BN129" i="72"/>
  <c r="BJ129" i="72"/>
  <c r="BI131" i="72"/>
  <c r="CI188" i="72" a="1"/>
  <c r="BK130" i="72" a="1"/>
  <c r="CG188" i="72" a="1"/>
  <c r="CJ188" i="72" a="1"/>
  <c r="CF188" i="72" a="1"/>
  <c r="BN130" i="72" a="1"/>
  <c r="BM130" i="72" a="1"/>
  <c r="CH188" i="72" a="1"/>
  <c r="BJ130" i="72" a="1"/>
  <c r="BL131" i="72" a="1"/>
  <c r="U485" i="44" l="1"/>
  <c r="U831" i="44"/>
  <c r="AC105" i="34"/>
  <c r="AE177" i="34"/>
  <c r="AE138" i="34"/>
  <c r="BM130" i="72"/>
  <c r="BN130" i="72"/>
  <c r="CH188" i="72"/>
  <c r="CG188" i="72"/>
  <c r="CF188" i="72"/>
  <c r="CI188" i="72"/>
  <c r="CJ188" i="72"/>
  <c r="CE190" i="72"/>
  <c r="CK130" i="72"/>
  <c r="BZ130" i="72"/>
  <c r="BL131" i="72"/>
  <c r="BJ130" i="72"/>
  <c r="BK130" i="72"/>
  <c r="BO130" i="72" s="1"/>
  <c r="BI132" i="72"/>
  <c r="CF189" i="72" a="1"/>
  <c r="BJ131" i="72" a="1"/>
  <c r="CI189" i="72" a="1"/>
  <c r="BN131" i="72" a="1"/>
  <c r="CH189" i="72" a="1"/>
  <c r="BM131" i="72" a="1"/>
  <c r="BN132" i="72" a="1"/>
  <c r="CG189" i="72" a="1"/>
  <c r="CJ189" i="72" a="1"/>
  <c r="BK131" i="72" a="1"/>
  <c r="U832" i="44" l="1"/>
  <c r="U140" i="44"/>
  <c r="U486" i="44"/>
  <c r="AE178" i="34"/>
  <c r="AE139" i="34"/>
  <c r="CH189" i="72"/>
  <c r="CI189" i="72"/>
  <c r="CF189" i="72"/>
  <c r="CJ189" i="72"/>
  <c r="CG189" i="72"/>
  <c r="CE191" i="72"/>
  <c r="CK131" i="72"/>
  <c r="BZ131" i="72"/>
  <c r="AE100" i="34"/>
  <c r="BM131" i="72"/>
  <c r="BJ131" i="72"/>
  <c r="BN131" i="72"/>
  <c r="BK131" i="72"/>
  <c r="BO131" i="72" s="1"/>
  <c r="BN132" i="72"/>
  <c r="BI133" i="72"/>
  <c r="CH190" i="72" a="1"/>
  <c r="CF190" i="72" a="1"/>
  <c r="BL132" i="72" a="1"/>
  <c r="BJ132" i="72" a="1"/>
  <c r="BK132" i="72" a="1"/>
  <c r="BR346" i="72"/>
  <c r="CJ190" i="72" a="1"/>
  <c r="BR354" i="72"/>
  <c r="CG190" i="72" a="1"/>
  <c r="BR347" i="72"/>
  <c r="BR355" i="72"/>
  <c r="BL133" i="72" a="1"/>
  <c r="CI190" i="72" a="1"/>
  <c r="BM132" i="72" a="1"/>
  <c r="U141" i="44" l="1"/>
  <c r="U487" i="44"/>
  <c r="U833" i="44"/>
  <c r="BR369" i="72"/>
  <c r="BR374" i="72" s="1"/>
  <c r="DV79" i="93" s="1"/>
  <c r="BR368" i="72"/>
  <c r="BR373" i="72" s="1"/>
  <c r="DV78" i="93" s="1"/>
  <c r="AE179" i="34"/>
  <c r="AE140" i="34"/>
  <c r="BL132" i="72"/>
  <c r="CH190" i="72"/>
  <c r="CG190" i="72"/>
  <c r="CI190" i="72"/>
  <c r="CJ190" i="72"/>
  <c r="CF190" i="72"/>
  <c r="CE192" i="72"/>
  <c r="CK132" i="72"/>
  <c r="BZ132" i="72"/>
  <c r="BR361" i="72"/>
  <c r="BR360" i="72"/>
  <c r="BL133" i="72"/>
  <c r="AE101" i="34"/>
  <c r="BK132" i="72"/>
  <c r="BO132" i="72" s="1"/>
  <c r="BJ132" i="72"/>
  <c r="BM132" i="72"/>
  <c r="BI138" i="72"/>
  <c r="BK133" i="72" a="1"/>
  <c r="BJ133" i="72" a="1"/>
  <c r="BZ433" i="72" a="1"/>
  <c r="BQ515" i="72"/>
  <c r="CJ191" i="72" a="1"/>
  <c r="CG191" i="72" a="1"/>
  <c r="BN133" i="72" a="1"/>
  <c r="BO515" i="72"/>
  <c r="BP515" i="72"/>
  <c r="CI191" i="72" a="1"/>
  <c r="BM133" i="72" a="1"/>
  <c r="BZ449" i="72" a="1"/>
  <c r="CF191" i="72" a="1"/>
  <c r="CH191" i="72" a="1"/>
  <c r="BL138" i="72" a="1"/>
  <c r="U834" i="44" l="1"/>
  <c r="U142" i="44"/>
  <c r="U488" i="44"/>
  <c r="AE183" i="34"/>
  <c r="AE144" i="34"/>
  <c r="AE143" i="34"/>
  <c r="AE180" i="34"/>
  <c r="AE141" i="34"/>
  <c r="CI191" i="72"/>
  <c r="CJ191" i="72"/>
  <c r="CF191" i="72"/>
  <c r="CG191" i="72"/>
  <c r="CH191" i="72"/>
  <c r="CE193" i="72"/>
  <c r="CK133" i="72"/>
  <c r="BZ133" i="72"/>
  <c r="BZ449" i="72"/>
  <c r="BZ433" i="72"/>
  <c r="BL138" i="72"/>
  <c r="AE102" i="34"/>
  <c r="BJ133" i="72"/>
  <c r="BK133" i="72"/>
  <c r="BM133" i="72"/>
  <c r="BN133" i="72"/>
  <c r="BI139" i="72"/>
  <c r="BN434" i="72" a="1"/>
  <c r="CH192" i="72" a="1"/>
  <c r="BN138" i="72" a="1"/>
  <c r="BJ138" i="72" a="1"/>
  <c r="CI192" i="72" a="1"/>
  <c r="CJ192" i="72" a="1"/>
  <c r="BZ417" i="72" a="1"/>
  <c r="BL139" i="72" a="1"/>
  <c r="CF192" i="72" a="1"/>
  <c r="BK138" i="72" a="1"/>
  <c r="BN450" i="72" a="1"/>
  <c r="BM138" i="72" a="1"/>
  <c r="CG192" i="72" a="1"/>
  <c r="U489" i="44" l="1"/>
  <c r="U835" i="44"/>
  <c r="BJ138" i="72"/>
  <c r="AE181" i="34"/>
  <c r="AE142" i="34"/>
  <c r="CB449" i="72"/>
  <c r="CB433" i="72"/>
  <c r="CG192" i="72"/>
  <c r="CH192" i="72"/>
  <c r="CI192" i="72"/>
  <c r="CF192" i="72"/>
  <c r="CJ192" i="72"/>
  <c r="CE194" i="72"/>
  <c r="CK138" i="72"/>
  <c r="BZ138" i="72"/>
  <c r="BN450" i="72"/>
  <c r="BN434" i="72"/>
  <c r="BP434" i="72" s="1"/>
  <c r="BL139" i="72"/>
  <c r="BM138" i="72"/>
  <c r="BZ417" i="72"/>
  <c r="BO133" i="72"/>
  <c r="BK138" i="72"/>
  <c r="BN138" i="72"/>
  <c r="BI140" i="72"/>
  <c r="CP32" i="72" a="1"/>
  <c r="CG193" i="72" a="1"/>
  <c r="BK139" i="72" a="1"/>
  <c r="CF193" i="72" a="1"/>
  <c r="BN139" i="72" a="1"/>
  <c r="BN418" i="72" a="1"/>
  <c r="BM139" i="72" a="1"/>
  <c r="BJ139" i="72" a="1"/>
  <c r="CH193" i="72" a="1"/>
  <c r="BL140" i="72" a="1"/>
  <c r="CI193" i="72" a="1"/>
  <c r="CJ193" i="72" a="1"/>
  <c r="U143" i="44" l="1"/>
  <c r="U495" i="44"/>
  <c r="U841" i="44"/>
  <c r="CP32" i="72"/>
  <c r="AG170" i="34"/>
  <c r="AG131" i="34"/>
  <c r="BK472" i="72"/>
  <c r="BR471" i="72"/>
  <c r="BT471" i="72"/>
  <c r="CB417" i="72"/>
  <c r="BP450" i="72"/>
  <c r="CH193" i="72"/>
  <c r="CJ193" i="72"/>
  <c r="CI193" i="72"/>
  <c r="CG193" i="72"/>
  <c r="CF193" i="72"/>
  <c r="CE195" i="72"/>
  <c r="CK139" i="72"/>
  <c r="BZ139" i="72"/>
  <c r="BL140" i="72"/>
  <c r="AE103" i="34"/>
  <c r="BN418" i="72"/>
  <c r="BP418" i="72" s="1"/>
  <c r="BO138" i="72"/>
  <c r="BJ139" i="72"/>
  <c r="BK139" i="72"/>
  <c r="BO139" i="72" s="1"/>
  <c r="BN139" i="72"/>
  <c r="BM139" i="72"/>
  <c r="BI141" i="72"/>
  <c r="CI194" i="72" a="1"/>
  <c r="BN140" i="72" a="1"/>
  <c r="CG194" i="72" a="1"/>
  <c r="BK140" i="72" a="1"/>
  <c r="BM140" i="72" a="1"/>
  <c r="CJ194" i="72" a="1"/>
  <c r="BL141" i="72" a="1"/>
  <c r="CH194" i="72" a="1"/>
  <c r="BJ140" i="72" a="1"/>
  <c r="CF194" i="72" a="1"/>
  <c r="U496" i="44" l="1"/>
  <c r="U842" i="44"/>
  <c r="U150" i="44"/>
  <c r="U149" i="44"/>
  <c r="BI472" i="72"/>
  <c r="J61" i="34" s="1"/>
  <c r="AG171" i="34"/>
  <c r="AG132" i="34"/>
  <c r="AF60" i="34"/>
  <c r="X60" i="34"/>
  <c r="R61" i="34"/>
  <c r="BP471" i="72"/>
  <c r="BM472" i="72"/>
  <c r="Z61" i="34" s="1"/>
  <c r="CG194" i="72"/>
  <c r="CI194" i="72"/>
  <c r="CJ194" i="72"/>
  <c r="CH194" i="72"/>
  <c r="CF194" i="72"/>
  <c r="CE196" i="72"/>
  <c r="CK140" i="72"/>
  <c r="BZ140" i="72"/>
  <c r="BL141" i="72"/>
  <c r="AG92" i="34"/>
  <c r="AG93" i="34"/>
  <c r="BJ140" i="72"/>
  <c r="BM140" i="72"/>
  <c r="BK140" i="72"/>
  <c r="BO140" i="72" s="1"/>
  <c r="BN140" i="72"/>
  <c r="BI142" i="72"/>
  <c r="CH195" i="72" a="1"/>
  <c r="CI195" i="72" a="1"/>
  <c r="BM141" i="72" a="1"/>
  <c r="BJ141" i="72" a="1"/>
  <c r="BK141" i="72" a="1"/>
  <c r="CJ195" i="72" a="1"/>
  <c r="CF195" i="72" a="1"/>
  <c r="CG195" i="72" a="1"/>
  <c r="BN141" i="72" a="1"/>
  <c r="BL142" i="72" a="1"/>
  <c r="U497" i="44" l="1"/>
  <c r="U843" i="44"/>
  <c r="U151" i="44"/>
  <c r="AG172" i="34"/>
  <c r="AG133" i="34"/>
  <c r="P60" i="34"/>
  <c r="CG195" i="72"/>
  <c r="CI195" i="72"/>
  <c r="CJ195" i="72"/>
  <c r="CH195" i="72"/>
  <c r="CF195" i="72"/>
  <c r="CE197" i="72"/>
  <c r="CK141" i="72"/>
  <c r="BZ141" i="72"/>
  <c r="BL142" i="72"/>
  <c r="BN141" i="72"/>
  <c r="BJ141" i="72"/>
  <c r="AG94" i="34"/>
  <c r="BM141" i="72"/>
  <c r="BK141" i="72"/>
  <c r="BI143" i="72"/>
  <c r="CH196" i="72" a="1"/>
  <c r="CF196" i="72" a="1"/>
  <c r="BM142" i="72" a="1"/>
  <c r="CG196" i="72" a="1"/>
  <c r="CI196" i="72" a="1"/>
  <c r="CJ196" i="72" a="1"/>
  <c r="BN142" i="72" a="1"/>
  <c r="BJ142" i="72" a="1"/>
  <c r="BK142" i="72" a="1"/>
  <c r="BL143" i="72" a="1"/>
  <c r="U844" i="44" l="1"/>
  <c r="U498" i="44"/>
  <c r="AG173" i="34"/>
  <c r="AG134" i="34"/>
  <c r="BM142" i="72"/>
  <c r="CG196" i="72"/>
  <c r="CF196" i="72"/>
  <c r="CJ196" i="72"/>
  <c r="CI196" i="72"/>
  <c r="CH196" i="72"/>
  <c r="CE202" i="72"/>
  <c r="CK142" i="72"/>
  <c r="BZ142" i="72"/>
  <c r="BL143" i="72"/>
  <c r="BO141" i="72"/>
  <c r="BK142" i="72"/>
  <c r="BO142" i="72" s="1"/>
  <c r="BJ142" i="72"/>
  <c r="BN142" i="72"/>
  <c r="BI144" i="72"/>
  <c r="CF197" i="72" a="1"/>
  <c r="BM143" i="72" a="1"/>
  <c r="BK143" i="72" a="1"/>
  <c r="CI197" i="72" a="1"/>
  <c r="CG197" i="72" a="1"/>
  <c r="CH197" i="72" a="1"/>
  <c r="BJ143" i="72" a="1"/>
  <c r="BN143" i="72" a="1"/>
  <c r="BL144" i="72" a="1"/>
  <c r="CJ197" i="72" a="1"/>
  <c r="U845" i="44" l="1"/>
  <c r="U153" i="44"/>
  <c r="U152" i="44"/>
  <c r="U499" i="44"/>
  <c r="AG174" i="34"/>
  <c r="AG135" i="34"/>
  <c r="BK143" i="72"/>
  <c r="BO143" i="72" s="1"/>
  <c r="CG197" i="72"/>
  <c r="CI197" i="72"/>
  <c r="CH197" i="72"/>
  <c r="CF197" i="72"/>
  <c r="CJ197" i="72"/>
  <c r="CE203" i="72"/>
  <c r="CK143" i="72"/>
  <c r="BZ143" i="72"/>
  <c r="BL144" i="72"/>
  <c r="AG96" i="34"/>
  <c r="AG95" i="34"/>
  <c r="BJ143" i="72"/>
  <c r="BN143" i="72"/>
  <c r="BM143" i="72"/>
  <c r="BI145" i="72"/>
  <c r="CH202" i="72" a="1"/>
  <c r="BN144" i="72" a="1"/>
  <c r="CI202" i="72" a="1"/>
  <c r="CG202" i="72" a="1"/>
  <c r="CJ202" i="72" a="1"/>
  <c r="CF202" i="72" a="1"/>
  <c r="BJ144" i="72" a="1"/>
  <c r="BM144" i="72" a="1"/>
  <c r="BK144" i="72" a="1"/>
  <c r="BN145" i="72" a="1"/>
  <c r="U154" i="44" l="1"/>
  <c r="U500" i="44"/>
  <c r="U846" i="44"/>
  <c r="BK144" i="72"/>
  <c r="BO144" i="72" s="1"/>
  <c r="AG175" i="34"/>
  <c r="AG136" i="34"/>
  <c r="AG97" i="34"/>
  <c r="CG202" i="72"/>
  <c r="CI202" i="72"/>
  <c r="CF202" i="72"/>
  <c r="CJ202" i="72"/>
  <c r="CH202" i="72"/>
  <c r="CE204" i="72"/>
  <c r="CK144" i="72"/>
  <c r="BZ144" i="72"/>
  <c r="BN144" i="72"/>
  <c r="BJ144" i="72"/>
  <c r="BM144" i="72"/>
  <c r="BN145" i="72"/>
  <c r="BI146" i="72"/>
  <c r="CR45" i="72" a="1"/>
  <c r="CJ203" i="72" a="1"/>
  <c r="CI203" i="72" a="1"/>
  <c r="BM145" i="72" a="1"/>
  <c r="CF203" i="72" a="1"/>
  <c r="CG203" i="72" a="1"/>
  <c r="BJ145" i="72" a="1"/>
  <c r="CH203" i="72" a="1"/>
  <c r="BL146" i="72" a="1"/>
  <c r="BL145" i="72" a="1"/>
  <c r="BK145" i="72" a="1"/>
  <c r="CR45" i="72" l="1"/>
  <c r="U847" i="44"/>
  <c r="U501" i="44"/>
  <c r="AG98" i="34"/>
  <c r="U155" i="44"/>
  <c r="AG176" i="34"/>
  <c r="AG137" i="34"/>
  <c r="BL145" i="72"/>
  <c r="CG203" i="72"/>
  <c r="CI203" i="72"/>
  <c r="CJ203" i="72"/>
  <c r="CF203" i="72"/>
  <c r="CH203" i="72"/>
  <c r="CE205" i="72"/>
  <c r="CK145" i="72"/>
  <c r="BZ145" i="72"/>
  <c r="BL146" i="72"/>
  <c r="BJ145" i="72"/>
  <c r="BK145" i="72"/>
  <c r="BO145" i="72" s="1"/>
  <c r="BM145" i="72"/>
  <c r="BI147" i="72"/>
  <c r="BJ146" i="72" a="1"/>
  <c r="CJ204" i="72" a="1"/>
  <c r="BK146" i="72" a="1"/>
  <c r="CH204" i="72" a="1"/>
  <c r="BM146" i="72" a="1"/>
  <c r="BN146" i="72" a="1"/>
  <c r="CI204" i="72" a="1"/>
  <c r="CG204" i="72" a="1"/>
  <c r="CF204" i="72" a="1"/>
  <c r="BK147" i="72" a="1"/>
  <c r="U156" i="44" l="1"/>
  <c r="U502" i="44"/>
  <c r="U848" i="44"/>
  <c r="AG177" i="34"/>
  <c r="AG138" i="34"/>
  <c r="BK146" i="72"/>
  <c r="BO146" i="72" s="1"/>
  <c r="CH204" i="72"/>
  <c r="CJ204" i="72"/>
  <c r="CF204" i="72"/>
  <c r="CI204" i="72"/>
  <c r="CG204" i="72"/>
  <c r="CE206" i="72"/>
  <c r="CK146" i="72"/>
  <c r="BZ146" i="72"/>
  <c r="BJ146" i="72"/>
  <c r="AG99" i="34"/>
  <c r="BM146" i="72"/>
  <c r="BN146" i="72"/>
  <c r="BK147" i="72"/>
  <c r="BO147" i="72" s="1"/>
  <c r="BI148" i="72"/>
  <c r="BR353" i="72"/>
  <c r="CH205" i="72" a="1"/>
  <c r="BL147" i="72" a="1"/>
  <c r="CF205" i="72" a="1"/>
  <c r="CG205" i="72" a="1"/>
  <c r="BN147" i="72" a="1"/>
  <c r="CI205" i="72" a="1"/>
  <c r="BM147" i="72" a="1"/>
  <c r="CJ205" i="72" a="1"/>
  <c r="BJ147" i="72" a="1"/>
  <c r="BL148" i="72" a="1"/>
  <c r="U157" i="44" l="1"/>
  <c r="U503" i="44"/>
  <c r="U158" i="44"/>
  <c r="U849" i="44"/>
  <c r="AG178" i="34"/>
  <c r="AG139" i="34"/>
  <c r="BL147" i="72"/>
  <c r="CH205" i="72"/>
  <c r="CJ205" i="72"/>
  <c r="CI205" i="72"/>
  <c r="CG205" i="72"/>
  <c r="CF205" i="72"/>
  <c r="CE207" i="72"/>
  <c r="CK147" i="72"/>
  <c r="BZ147" i="72"/>
  <c r="BL148" i="72"/>
  <c r="AG101" i="34"/>
  <c r="AG100" i="34"/>
  <c r="BN147" i="72"/>
  <c r="BM147" i="72"/>
  <c r="BJ147" i="72"/>
  <c r="BI149" i="72"/>
  <c r="BS346" i="72"/>
  <c r="CH206" i="72" a="1"/>
  <c r="BJ148" i="72" a="1"/>
  <c r="BR345" i="72"/>
  <c r="BR359" i="72" l="1"/>
  <c r="BR367" i="72"/>
  <c r="BR372" i="72" s="1"/>
  <c r="DV77" i="93" s="1"/>
  <c r="CI206" i="72" a="1"/>
  <c r="BS355" i="72"/>
  <c r="CG206" i="72" a="1"/>
  <c r="CJ206" i="72" a="1"/>
  <c r="BK148" i="72" a="1"/>
  <c r="BS354" i="72"/>
  <c r="CF206" i="72" a="1"/>
  <c r="BM148" i="72" a="1"/>
  <c r="BS347" i="72"/>
  <c r="BL149" i="72" a="1"/>
  <c r="BN148" i="72" a="1"/>
  <c r="U504" i="44" l="1"/>
  <c r="U850" i="44"/>
  <c r="BS369" i="72"/>
  <c r="BS374" i="72" s="1"/>
  <c r="DW79" i="93" s="1"/>
  <c r="BS368" i="72"/>
  <c r="BS373" i="72" s="1"/>
  <c r="DW78" i="93" s="1"/>
  <c r="AE105" i="34"/>
  <c r="AG179" i="34"/>
  <c r="AG140" i="34"/>
  <c r="BM148" i="72"/>
  <c r="CG206" i="72"/>
  <c r="CI206" i="72"/>
  <c r="CH206" i="72"/>
  <c r="CF206" i="72"/>
  <c r="CJ206" i="72"/>
  <c r="CE208" i="72"/>
  <c r="CK148" i="72"/>
  <c r="BS361" i="72"/>
  <c r="BS360" i="72"/>
  <c r="BL149" i="72"/>
  <c r="BN148" i="72"/>
  <c r="BJ148" i="72"/>
  <c r="BK148" i="72"/>
  <c r="BO148" i="72" s="1"/>
  <c r="BI154" i="72"/>
  <c r="BJ149" i="72" a="1"/>
  <c r="CH207" i="72" a="1"/>
  <c r="BY450" i="72" a="1"/>
  <c r="BM149" i="72" a="1"/>
  <c r="BQ516" i="72"/>
  <c r="BK149" i="72" a="1"/>
  <c r="BY434" i="72" a="1"/>
  <c r="CF207" i="72" a="1"/>
  <c r="CG207" i="72" a="1"/>
  <c r="BO516" i="72"/>
  <c r="CI207" i="72" a="1"/>
  <c r="BN149" i="72" a="1"/>
  <c r="CJ207" i="72" a="1"/>
  <c r="BJ154" i="72" a="1"/>
  <c r="U851" i="44" l="1"/>
  <c r="U159" i="44"/>
  <c r="AG183" i="34"/>
  <c r="AG144" i="34"/>
  <c r="AG143" i="34"/>
  <c r="AG180" i="34"/>
  <c r="CI207" i="72"/>
  <c r="CG207" i="72"/>
  <c r="CF207" i="72"/>
  <c r="CH207" i="72"/>
  <c r="CJ207" i="72"/>
  <c r="CE209" i="72"/>
  <c r="CK149" i="72"/>
  <c r="BY450" i="72"/>
  <c r="BY434" i="72"/>
  <c r="AG102" i="34"/>
  <c r="BM149" i="72"/>
  <c r="BN149" i="72"/>
  <c r="BK149" i="72"/>
  <c r="BJ149" i="72"/>
  <c r="BJ154" i="72"/>
  <c r="BI155" i="72"/>
  <c r="BN154" i="72" a="1"/>
  <c r="CJ208" i="72" a="1"/>
  <c r="BY418" i="72" a="1"/>
  <c r="BO450" i="72" a="1"/>
  <c r="CI208" i="72" a="1"/>
  <c r="CG208" i="72" a="1"/>
  <c r="CF208" i="72" a="1"/>
  <c r="CH208" i="72" a="1"/>
  <c r="BO434" i="72" a="1"/>
  <c r="BK154" i="72" a="1"/>
  <c r="BL154" i="72" a="1"/>
  <c r="BM154" i="72" a="1"/>
  <c r="BL155" i="72" a="1"/>
  <c r="U852" i="44" l="1"/>
  <c r="BM154" i="72"/>
  <c r="AG181" i="34"/>
  <c r="BL154" i="72"/>
  <c r="CA450" i="72"/>
  <c r="CA434" i="72"/>
  <c r="CF208" i="72"/>
  <c r="CJ208" i="72"/>
  <c r="CG208" i="72"/>
  <c r="CH208" i="72"/>
  <c r="CI208" i="72"/>
  <c r="CE210" i="72"/>
  <c r="CK154" i="72"/>
  <c r="BZ154" i="72"/>
  <c r="BO450" i="72"/>
  <c r="BO434" i="72"/>
  <c r="BQ434" i="72" s="1"/>
  <c r="BL155" i="72"/>
  <c r="BK154" i="72"/>
  <c r="BO154" i="72" s="1"/>
  <c r="BN154" i="72"/>
  <c r="BY418" i="72"/>
  <c r="BO149" i="72"/>
  <c r="BI156" i="72"/>
  <c r="BN155" i="72" a="1"/>
  <c r="CJ209" i="72" a="1"/>
  <c r="BJ155" i="72" a="1"/>
  <c r="CI209" i="72" a="1"/>
  <c r="CG209" i="72" a="1"/>
  <c r="CH209" i="72" a="1"/>
  <c r="BK155" i="72" a="1"/>
  <c r="CF209" i="72" a="1"/>
  <c r="BO418" i="72" a="1"/>
  <c r="BM155" i="72" a="1"/>
  <c r="BL156" i="72" a="1"/>
  <c r="U166" i="44" l="1"/>
  <c r="U512" i="44"/>
  <c r="U160" i="44"/>
  <c r="U858" i="44"/>
  <c r="AI170" i="34"/>
  <c r="AI131" i="34"/>
  <c r="BN155" i="72"/>
  <c r="BL472" i="72"/>
  <c r="BQ472" i="72"/>
  <c r="BS472" i="72"/>
  <c r="CA418" i="72"/>
  <c r="BQ450" i="72"/>
  <c r="CH209" i="72"/>
  <c r="CG209" i="72"/>
  <c r="CI209" i="72"/>
  <c r="CJ209" i="72"/>
  <c r="CF209" i="72"/>
  <c r="CE211" i="72"/>
  <c r="CK155" i="72"/>
  <c r="BZ155" i="72"/>
  <c r="BL156" i="72"/>
  <c r="AG103" i="34"/>
  <c r="BK155" i="72"/>
  <c r="BO155" i="72" s="1"/>
  <c r="BO418" i="72"/>
  <c r="BQ418" i="72" s="1"/>
  <c r="AI92" i="34"/>
  <c r="BM155" i="72"/>
  <c r="BJ155" i="72"/>
  <c r="BI157" i="72"/>
  <c r="BK157" i="72" a="1"/>
  <c r="CJ210" i="72" a="1"/>
  <c r="BM156" i="72" a="1"/>
  <c r="CG210" i="72" a="1"/>
  <c r="CF210" i="72" a="1"/>
  <c r="BJ156" i="72" a="1"/>
  <c r="CH210" i="72" a="1"/>
  <c r="BK156" i="72" a="1"/>
  <c r="CI210" i="72" a="1"/>
  <c r="BN156" i="72" a="1"/>
  <c r="U859" i="44" l="1"/>
  <c r="U513" i="44"/>
  <c r="U167" i="44"/>
  <c r="AI171" i="34"/>
  <c r="AI132" i="34"/>
  <c r="AD61" i="34"/>
  <c r="V61" i="34"/>
  <c r="T61" i="34"/>
  <c r="BO472" i="72"/>
  <c r="BJ472" i="72"/>
  <c r="BN472" i="72"/>
  <c r="BK156" i="72"/>
  <c r="BO156" i="72" s="1"/>
  <c r="CJ210" i="72"/>
  <c r="CH210" i="72"/>
  <c r="CF210" i="72"/>
  <c r="CI210" i="72"/>
  <c r="CG210" i="72"/>
  <c r="CE212" i="72"/>
  <c r="CK156" i="72"/>
  <c r="BZ156" i="72"/>
  <c r="AI93" i="34"/>
  <c r="BM156" i="72"/>
  <c r="BJ156" i="72"/>
  <c r="BN156" i="72"/>
  <c r="BK157" i="72"/>
  <c r="BO157" i="72" s="1"/>
  <c r="BI158" i="72"/>
  <c r="BJ157" i="72" a="1"/>
  <c r="CG211" i="72" a="1"/>
  <c r="BN158" i="72" a="1"/>
  <c r="CF211" i="72" a="1"/>
  <c r="BM157" i="72" a="1"/>
  <c r="CH211" i="72" a="1"/>
  <c r="CI211" i="72" a="1"/>
  <c r="BN157" i="72" a="1"/>
  <c r="BL157" i="72" a="1"/>
  <c r="CJ211" i="72" a="1"/>
  <c r="U860" i="44" l="1"/>
  <c r="U514" i="44"/>
  <c r="U169" i="44"/>
  <c r="U168" i="44"/>
  <c r="AI172" i="34"/>
  <c r="AI133" i="34"/>
  <c r="BN157" i="72"/>
  <c r="BL157" i="72"/>
  <c r="L61" i="34"/>
  <c r="AB61" i="34"/>
  <c r="N61" i="34"/>
  <c r="AI94" i="34"/>
  <c r="CF211" i="72"/>
  <c r="CH211" i="72"/>
  <c r="CI211" i="72"/>
  <c r="CJ211" i="72"/>
  <c r="CG211" i="72"/>
  <c r="CE213" i="72"/>
  <c r="CK157" i="72"/>
  <c r="BZ157" i="72"/>
  <c r="AI95" i="34"/>
  <c r="BM157" i="72"/>
  <c r="BJ157" i="72"/>
  <c r="BN158" i="72"/>
  <c r="BI159" i="72"/>
  <c r="CJ212" i="72" a="1"/>
  <c r="CI212" i="72" a="1"/>
  <c r="BL158" i="72" a="1"/>
  <c r="CG212" i="72" a="1"/>
  <c r="CF212" i="72" a="1"/>
  <c r="BM158" i="72" a="1"/>
  <c r="BK158" i="72" a="1"/>
  <c r="BL159" i="72" a="1"/>
  <c r="BJ158" i="72" a="1"/>
  <c r="CH212" i="72" a="1"/>
  <c r="U861" i="44" l="1"/>
  <c r="U515" i="44"/>
  <c r="AI173" i="34"/>
  <c r="AI134" i="34"/>
  <c r="BL158" i="72"/>
  <c r="CH212" i="72"/>
  <c r="CG212" i="72"/>
  <c r="CI212" i="72"/>
  <c r="CJ212" i="72"/>
  <c r="CF212" i="72"/>
  <c r="CE218" i="72"/>
  <c r="CK158" i="72"/>
  <c r="BZ158" i="72"/>
  <c r="BL159" i="72"/>
  <c r="BM158" i="72"/>
  <c r="BJ158" i="72"/>
  <c r="BK158" i="72"/>
  <c r="BO158" i="72" s="1"/>
  <c r="BI160" i="72"/>
  <c r="CG213" i="72" a="1"/>
  <c r="BN159" i="72" a="1"/>
  <c r="BK159" i="72" a="1"/>
  <c r="CI213" i="72" a="1"/>
  <c r="CF213" i="72" a="1"/>
  <c r="BJ159" i="72" a="1"/>
  <c r="CH213" i="72" a="1"/>
  <c r="CJ213" i="72" a="1"/>
  <c r="BM159" i="72" a="1"/>
  <c r="BL160" i="72" a="1"/>
  <c r="U170" i="44" l="1"/>
  <c r="U516" i="44"/>
  <c r="U862" i="44"/>
  <c r="AI174" i="34"/>
  <c r="AI135" i="34"/>
  <c r="BJ159" i="72"/>
  <c r="CH213" i="72"/>
  <c r="CF213" i="72"/>
  <c r="CI213" i="72"/>
  <c r="CG213" i="72"/>
  <c r="CJ213" i="72"/>
  <c r="CE219" i="72"/>
  <c r="CK159" i="72"/>
  <c r="BZ159" i="72"/>
  <c r="BL160" i="72"/>
  <c r="AI96" i="34"/>
  <c r="BK159" i="72"/>
  <c r="BN159" i="72"/>
  <c r="BM159" i="72"/>
  <c r="BI161" i="72"/>
  <c r="BN160" i="72" a="1"/>
  <c r="CG218" i="72" a="1"/>
  <c r="CI218" i="72" a="1"/>
  <c r="CH218" i="72" a="1"/>
  <c r="BM160" i="72" a="1"/>
  <c r="CF218" i="72" a="1"/>
  <c r="BJ160" i="72" a="1"/>
  <c r="CJ218" i="72" a="1"/>
  <c r="BK160" i="72" a="1"/>
  <c r="BK161" i="72" a="1"/>
  <c r="U517" i="44" l="1"/>
  <c r="U863" i="44"/>
  <c r="AI175" i="34"/>
  <c r="AI136" i="34"/>
  <c r="CH218" i="72"/>
  <c r="CI218" i="72"/>
  <c r="CJ218" i="72"/>
  <c r="CG218" i="72"/>
  <c r="CF218" i="72"/>
  <c r="CE220" i="72"/>
  <c r="CK160" i="72"/>
  <c r="BZ160" i="72"/>
  <c r="BO159" i="72"/>
  <c r="BN160" i="72"/>
  <c r="BK160" i="72"/>
  <c r="BO160" i="72" s="1"/>
  <c r="BM160" i="72"/>
  <c r="BJ160" i="72"/>
  <c r="BK161" i="72"/>
  <c r="BO161" i="72" s="1"/>
  <c r="BI162" i="72"/>
  <c r="CG219" i="72" a="1"/>
  <c r="BJ161" i="72" a="1"/>
  <c r="CI219" i="72" a="1"/>
  <c r="BN161" i="72" a="1"/>
  <c r="BM161" i="72" a="1"/>
  <c r="CJ219" i="72" a="1"/>
  <c r="CF219" i="72" a="1"/>
  <c r="BN353" i="72"/>
  <c r="CH219" i="72" a="1"/>
  <c r="BL161" i="72" a="1"/>
  <c r="BN345" i="72"/>
  <c r="BL162" i="72" a="1"/>
  <c r="U173" i="44" l="1"/>
  <c r="U172" i="44"/>
  <c r="U171" i="44"/>
  <c r="U518" i="44"/>
  <c r="U864" i="44"/>
  <c r="BN367" i="72"/>
  <c r="BN372" i="72" s="1"/>
  <c r="DR77" i="93" s="1"/>
  <c r="BN359" i="72"/>
  <c r="AI176" i="34"/>
  <c r="AI137" i="34"/>
  <c r="BL161" i="72"/>
  <c r="CG219" i="72"/>
  <c r="CH219" i="72"/>
  <c r="CI219" i="72"/>
  <c r="CJ219" i="72"/>
  <c r="CF219" i="72"/>
  <c r="CE221" i="72"/>
  <c r="CK161" i="72"/>
  <c r="BZ161" i="72"/>
  <c r="BL162" i="72"/>
  <c r="AI99" i="34"/>
  <c r="AI98" i="34"/>
  <c r="AI97" i="34"/>
  <c r="BJ161" i="72"/>
  <c r="BM161" i="72"/>
  <c r="BN161" i="72"/>
  <c r="BI163" i="72"/>
  <c r="CH220" i="72" a="1"/>
  <c r="BJ162" i="72" a="1"/>
  <c r="BM162" i="72" a="1"/>
  <c r="CG220" i="72" a="1"/>
  <c r="CJ220" i="72" a="1"/>
  <c r="CF220" i="72" a="1"/>
  <c r="CI220" i="72" a="1"/>
  <c r="BK162" i="72" a="1"/>
  <c r="BN163" i="72" a="1"/>
  <c r="BN162" i="72" a="1"/>
  <c r="U865" i="44" l="1"/>
  <c r="U519" i="44"/>
  <c r="W105" i="34"/>
  <c r="AI177" i="34"/>
  <c r="AI138" i="34"/>
  <c r="BM162" i="72"/>
  <c r="CH220" i="72"/>
  <c r="CG220" i="72"/>
  <c r="CI220" i="72"/>
  <c r="CF220" i="72"/>
  <c r="CJ220" i="72"/>
  <c r="CE222" i="72"/>
  <c r="CK162" i="72"/>
  <c r="BZ162" i="72"/>
  <c r="BJ162" i="72"/>
  <c r="BK162" i="72"/>
  <c r="BO162" i="72" s="1"/>
  <c r="BN162" i="72"/>
  <c r="BN163" i="72"/>
  <c r="BI164" i="72"/>
  <c r="CF221" i="72" a="1"/>
  <c r="CJ221" i="72" a="1"/>
  <c r="BJ163" i="72" a="1"/>
  <c r="CG221" i="72" a="1"/>
  <c r="BK163" i="72" a="1"/>
  <c r="CH221" i="72" a="1"/>
  <c r="CI221" i="72" a="1"/>
  <c r="BM163" i="72" a="1"/>
  <c r="BL163" i="72" a="1"/>
  <c r="BK164" i="72" a="1"/>
  <c r="U174" i="44" l="1"/>
  <c r="U866" i="44"/>
  <c r="U520" i="44"/>
  <c r="BL163" i="72"/>
  <c r="AI178" i="34"/>
  <c r="AI139" i="34"/>
  <c r="CJ221" i="72"/>
  <c r="CH221" i="72"/>
  <c r="CF221" i="72"/>
  <c r="CI221" i="72"/>
  <c r="CG221" i="72"/>
  <c r="CE223" i="72"/>
  <c r="CK163" i="72"/>
  <c r="BZ163" i="72"/>
  <c r="AI100" i="34"/>
  <c r="BM163" i="72"/>
  <c r="BJ163" i="72"/>
  <c r="BK163" i="72"/>
  <c r="BK164" i="72"/>
  <c r="BO164" i="72" s="1"/>
  <c r="BI165" i="72"/>
  <c r="BL164" i="72" a="1"/>
  <c r="BM164" i="72" a="1"/>
  <c r="BJ164" i="72" a="1"/>
  <c r="CG222" i="72" a="1"/>
  <c r="CH222" i="72" a="1"/>
  <c r="BT346" i="72"/>
  <c r="CI222" i="72" a="1"/>
  <c r="CF222" i="72" a="1"/>
  <c r="BT354" i="72"/>
  <c r="BN164" i="72" a="1"/>
  <c r="BT347" i="72"/>
  <c r="BT355" i="72"/>
  <c r="BK165" i="72" a="1"/>
  <c r="CJ222" i="72" a="1"/>
  <c r="U176" i="44" l="1"/>
  <c r="U867" i="44"/>
  <c r="U521" i="44"/>
  <c r="BT368" i="72"/>
  <c r="BT373" i="72" s="1"/>
  <c r="DX78" i="93" s="1"/>
  <c r="BT369" i="72"/>
  <c r="BT374" i="72" s="1"/>
  <c r="DX79" i="93" s="1"/>
  <c r="AI179" i="34"/>
  <c r="AI140" i="34"/>
  <c r="BL164" i="72"/>
  <c r="CJ222" i="72"/>
  <c r="CH222" i="72"/>
  <c r="CF222" i="72"/>
  <c r="CI222" i="72"/>
  <c r="CG222" i="72"/>
  <c r="CE224" i="72"/>
  <c r="CK164" i="72"/>
  <c r="BZ164" i="72"/>
  <c r="BT361" i="72"/>
  <c r="BT360" i="72"/>
  <c r="AI102" i="34"/>
  <c r="BN164" i="72"/>
  <c r="BJ164" i="72"/>
  <c r="BO163" i="72"/>
  <c r="BM164" i="72"/>
  <c r="BK165" i="72"/>
  <c r="BI170" i="72"/>
  <c r="BS345" i="72"/>
  <c r="BS353" i="72"/>
  <c r="CI223" i="72" a="1"/>
  <c r="BZ434" i="72" a="1"/>
  <c r="BQ517" i="72"/>
  <c r="CJ223" i="72" a="1"/>
  <c r="BN170" i="72" a="1"/>
  <c r="BJ165" i="72" a="1"/>
  <c r="CG223" i="72" a="1"/>
  <c r="CF223" i="72" a="1"/>
  <c r="BN165" i="72" a="1"/>
  <c r="BZ450" i="72" a="1"/>
  <c r="BL165" i="72" a="1"/>
  <c r="BP517" i="72"/>
  <c r="BO517" i="72"/>
  <c r="BZ418" i="72" a="1"/>
  <c r="BM165" i="72" a="1"/>
  <c r="CH223" i="72" a="1"/>
  <c r="U522" i="44" l="1"/>
  <c r="U868" i="44"/>
  <c r="U175" i="44"/>
  <c r="BS367" i="72"/>
  <c r="BS372" i="72" s="1"/>
  <c r="DW77" i="93" s="1"/>
  <c r="AI144" i="34"/>
  <c r="AI183" i="34"/>
  <c r="AI143" i="34"/>
  <c r="BS359" i="72"/>
  <c r="AI180" i="34"/>
  <c r="AI141" i="34"/>
  <c r="BL165" i="72"/>
  <c r="CG223" i="72"/>
  <c r="CJ223" i="72"/>
  <c r="CF223" i="72"/>
  <c r="CI223" i="72"/>
  <c r="CH223" i="72"/>
  <c r="CE225" i="72"/>
  <c r="CK165" i="72"/>
  <c r="BZ165" i="72"/>
  <c r="BZ450" i="72"/>
  <c r="BZ434" i="72"/>
  <c r="BZ418" i="72"/>
  <c r="BO165" i="72"/>
  <c r="AI101" i="34"/>
  <c r="BN165" i="72"/>
  <c r="BJ165" i="72"/>
  <c r="BM165" i="72"/>
  <c r="BN170" i="72"/>
  <c r="BI171" i="72"/>
  <c r="CG224" i="72" a="1"/>
  <c r="BL170" i="72" a="1"/>
  <c r="BK170" i="72" a="1"/>
  <c r="CI224" i="72" a="1"/>
  <c r="BJ171" i="72" a="1"/>
  <c r="CF224" i="72" a="1"/>
  <c r="CJ224" i="72" a="1"/>
  <c r="BN435" i="72" a="1"/>
  <c r="BN451" i="72" a="1"/>
  <c r="CH224" i="72" a="1"/>
  <c r="BJ170" i="72" a="1"/>
  <c r="BM170" i="72" a="1"/>
  <c r="BL170" i="72" l="1"/>
  <c r="U869" i="44"/>
  <c r="U177" i="44"/>
  <c r="U523" i="44"/>
  <c r="AG105" i="34"/>
  <c r="AI181" i="34"/>
  <c r="AI142" i="34"/>
  <c r="CB450" i="72"/>
  <c r="CB434" i="72"/>
  <c r="CB418" i="72"/>
  <c r="CG224" i="72"/>
  <c r="CF224" i="72"/>
  <c r="CH224" i="72"/>
  <c r="CI224" i="72"/>
  <c r="CJ224" i="72"/>
  <c r="CE226" i="72"/>
  <c r="CK170" i="72"/>
  <c r="BZ170" i="72"/>
  <c r="BN451" i="72"/>
  <c r="BN435" i="72"/>
  <c r="BP435" i="72" s="1"/>
  <c r="AI103" i="34"/>
  <c r="BM170" i="72"/>
  <c r="BJ170" i="72"/>
  <c r="BK170" i="72"/>
  <c r="BJ171" i="72"/>
  <c r="BI172" i="72"/>
  <c r="BM171" i="72" a="1"/>
  <c r="CJ225" i="72" a="1"/>
  <c r="BL172" i="72" a="1"/>
  <c r="BN171" i="72" a="1"/>
  <c r="BN419" i="72" a="1"/>
  <c r="CG225" i="72" a="1"/>
  <c r="CH225" i="72" a="1"/>
  <c r="CI225" i="72" a="1"/>
  <c r="BK171" i="72" a="1"/>
  <c r="CF225" i="72" a="1"/>
  <c r="CR28" i="72" a="1"/>
  <c r="BL171" i="72" a="1"/>
  <c r="U529" i="44" l="1"/>
  <c r="U875" i="44"/>
  <c r="CR28" i="72"/>
  <c r="BK171" i="72"/>
  <c r="BO171" i="72" s="1"/>
  <c r="AK170" i="34"/>
  <c r="AK131" i="34"/>
  <c r="BL171" i="72"/>
  <c r="BP472" i="72"/>
  <c r="BR472" i="72"/>
  <c r="BK473" i="72"/>
  <c r="BT472" i="72"/>
  <c r="BP451" i="72"/>
  <c r="CF225" i="72"/>
  <c r="CI225" i="72"/>
  <c r="CJ225" i="72"/>
  <c r="CG225" i="72"/>
  <c r="CH225" i="72"/>
  <c r="CE227" i="72"/>
  <c r="CK171" i="72"/>
  <c r="BZ171" i="72"/>
  <c r="BL172" i="72"/>
  <c r="BN419" i="72"/>
  <c r="BP419" i="72" s="1"/>
  <c r="BI473" i="72" s="1"/>
  <c r="BO170" i="72"/>
  <c r="BM171" i="72"/>
  <c r="BN171" i="72"/>
  <c r="BI173" i="72"/>
  <c r="CI226" i="72" a="1"/>
  <c r="BN172" i="72" a="1"/>
  <c r="CJ226" i="72" a="1"/>
  <c r="CG226" i="72" a="1"/>
  <c r="CH226" i="72" a="1"/>
  <c r="CF226" i="72" a="1"/>
  <c r="BM172" i="72" a="1"/>
  <c r="BK172" i="72" a="1"/>
  <c r="BJ172" i="72" a="1"/>
  <c r="BJ173" i="72" a="1"/>
  <c r="U530" i="44" l="1"/>
  <c r="U184" i="44"/>
  <c r="U183" i="44"/>
  <c r="U876" i="44"/>
  <c r="AK171" i="34"/>
  <c r="AK132" i="34"/>
  <c r="AF61" i="34"/>
  <c r="R62" i="34"/>
  <c r="X61" i="34"/>
  <c r="P61" i="34"/>
  <c r="BM473" i="72"/>
  <c r="Z62" i="34" s="1"/>
  <c r="J62" i="34"/>
  <c r="CI226" i="72"/>
  <c r="CH226" i="72"/>
  <c r="CG226" i="72"/>
  <c r="CJ226" i="72"/>
  <c r="CF226" i="72"/>
  <c r="CE228" i="72"/>
  <c r="CK172" i="72"/>
  <c r="BZ172" i="72"/>
  <c r="AK93" i="34"/>
  <c r="AK92" i="34"/>
  <c r="BK172" i="72"/>
  <c r="BO172" i="72" s="1"/>
  <c r="BJ172" i="72"/>
  <c r="BM172" i="72"/>
  <c r="BN172" i="72"/>
  <c r="BJ173" i="72"/>
  <c r="BI174" i="72"/>
  <c r="CH227" i="72" a="1"/>
  <c r="BM173" i="72" a="1"/>
  <c r="BL173" i="72" a="1"/>
  <c r="CG227" i="72" a="1"/>
  <c r="BN173" i="72" a="1"/>
  <c r="BK173" i="72" a="1"/>
  <c r="CI227" i="72" a="1"/>
  <c r="CF227" i="72" a="1"/>
  <c r="CJ227" i="72" a="1"/>
  <c r="BL174" i="72" a="1"/>
  <c r="U877" i="44" l="1"/>
  <c r="U185" i="44"/>
  <c r="U531" i="44"/>
  <c r="AK172" i="34"/>
  <c r="AK133" i="34"/>
  <c r="BL173" i="72"/>
  <c r="CG227" i="72"/>
  <c r="CH227" i="72"/>
  <c r="CF227" i="72"/>
  <c r="CI227" i="72"/>
  <c r="CJ227" i="72"/>
  <c r="CE229" i="72"/>
  <c r="CK173" i="72"/>
  <c r="BZ173" i="72"/>
  <c r="BL174" i="72"/>
  <c r="AK94" i="34"/>
  <c r="BK173" i="72"/>
  <c r="BM173" i="72"/>
  <c r="BN173" i="72"/>
  <c r="BI175" i="72"/>
  <c r="CF228" i="72" a="1"/>
  <c r="BK174" i="72" a="1"/>
  <c r="CG228" i="72" a="1"/>
  <c r="CH228" i="72" a="1"/>
  <c r="CJ228" i="72" a="1"/>
  <c r="BJ174" i="72" a="1"/>
  <c r="BM174" i="72" a="1"/>
  <c r="BN174" i="72" a="1"/>
  <c r="CI228" i="72" a="1"/>
  <c r="BN175" i="72" a="1"/>
  <c r="U878" i="44" l="1"/>
  <c r="U532" i="44"/>
  <c r="AK173" i="34"/>
  <c r="AK134" i="34"/>
  <c r="CG228" i="72"/>
  <c r="CI228" i="72"/>
  <c r="CF228" i="72"/>
  <c r="CJ228" i="72"/>
  <c r="CH228" i="72"/>
  <c r="CE234" i="72"/>
  <c r="CK174" i="72"/>
  <c r="BZ174" i="72"/>
  <c r="BO173" i="72"/>
  <c r="BM174" i="72"/>
  <c r="BJ174" i="72"/>
  <c r="BK174" i="72"/>
  <c r="BO174" i="72" s="1"/>
  <c r="BN174" i="72"/>
  <c r="BN175" i="72"/>
  <c r="BI176" i="72"/>
  <c r="BK175" i="72" a="1"/>
  <c r="CH229" i="72" a="1"/>
  <c r="CF229" i="72" a="1"/>
  <c r="CI229" i="72" a="1"/>
  <c r="BJ175" i="72" a="1"/>
  <c r="BL175" i="72" a="1"/>
  <c r="CG229" i="72" a="1"/>
  <c r="CJ229" i="72" a="1"/>
  <c r="BM175" i="72" a="1"/>
  <c r="BJ176" i="72" a="1"/>
  <c r="U187" i="44" l="1"/>
  <c r="U533" i="44"/>
  <c r="U186" i="44"/>
  <c r="U879" i="44"/>
  <c r="AK174" i="34"/>
  <c r="AK135" i="34"/>
  <c r="BL175" i="72"/>
  <c r="CH229" i="72"/>
  <c r="CF229" i="72"/>
  <c r="CI229" i="72"/>
  <c r="CJ229" i="72"/>
  <c r="CG229" i="72"/>
  <c r="CE235" i="72"/>
  <c r="CK175" i="72"/>
  <c r="BZ175" i="72"/>
  <c r="AK96" i="34"/>
  <c r="AK95" i="34"/>
  <c r="BM175" i="72"/>
  <c r="BK175" i="72"/>
  <c r="BO175" i="72" s="1"/>
  <c r="BJ175" i="72"/>
  <c r="BJ176" i="72"/>
  <c r="BI177" i="72"/>
  <c r="BL176" i="72" a="1"/>
  <c r="CI234" i="72" a="1"/>
  <c r="BN176" i="72" a="1"/>
  <c r="CG234" i="72" a="1"/>
  <c r="BK176" i="72" a="1"/>
  <c r="CH234" i="72" a="1"/>
  <c r="CF234" i="72" a="1"/>
  <c r="CJ234" i="72" a="1"/>
  <c r="BM176" i="72" a="1"/>
  <c r="BJ177" i="72" a="1"/>
  <c r="U188" i="44" l="1"/>
  <c r="U534" i="44"/>
  <c r="U880" i="44"/>
  <c r="BL176" i="72"/>
  <c r="AK175" i="34"/>
  <c r="AK136" i="34"/>
  <c r="CI234" i="72"/>
  <c r="CG234" i="72"/>
  <c r="CH234" i="72"/>
  <c r="CJ234" i="72"/>
  <c r="CF234" i="72"/>
  <c r="CE236" i="72"/>
  <c r="CK176" i="72"/>
  <c r="BZ176" i="72"/>
  <c r="AK97" i="34"/>
  <c r="BM176" i="72"/>
  <c r="BK176" i="72"/>
  <c r="BN176" i="72"/>
  <c r="BJ177" i="72"/>
  <c r="BI178" i="72"/>
  <c r="CF235" i="72" a="1"/>
  <c r="CI235" i="72" a="1"/>
  <c r="CH235" i="72" a="1"/>
  <c r="BN177" i="72" a="1"/>
  <c r="CG235" i="72" a="1"/>
  <c r="CJ235" i="72" a="1"/>
  <c r="CR46" i="72" a="1"/>
  <c r="BL177" i="72" a="1"/>
  <c r="BK177" i="72" a="1"/>
  <c r="BM177" i="72" a="1"/>
  <c r="BL178" i="72" a="1"/>
  <c r="CR46" i="72" l="1"/>
  <c r="U535" i="44"/>
  <c r="U881" i="44"/>
  <c r="AK176" i="34"/>
  <c r="AK137" i="34"/>
  <c r="BN177" i="72"/>
  <c r="BK177" i="72"/>
  <c r="BO177" i="72" s="1"/>
  <c r="BL177" i="72"/>
  <c r="BM177" i="72"/>
  <c r="CJ235" i="72"/>
  <c r="CF235" i="72"/>
  <c r="CG235" i="72"/>
  <c r="CH235" i="72"/>
  <c r="CI235" i="72"/>
  <c r="CE237" i="72"/>
  <c r="CK177" i="72"/>
  <c r="BZ177" i="72"/>
  <c r="BL178" i="72"/>
  <c r="BO176" i="72"/>
  <c r="BI179" i="72"/>
  <c r="CF236" i="72" a="1"/>
  <c r="BK178" i="72" a="1"/>
  <c r="CH236" i="72" a="1"/>
  <c r="BM178" i="72" a="1"/>
  <c r="CI236" i="72" a="1"/>
  <c r="CG236" i="72" a="1"/>
  <c r="BJ178" i="72" a="1"/>
  <c r="CJ236" i="72" a="1"/>
  <c r="BN178" i="72" a="1"/>
  <c r="BL179" i="72" a="1"/>
  <c r="U190" i="44" l="1"/>
  <c r="U189" i="44"/>
  <c r="U536" i="44"/>
  <c r="U882" i="44"/>
  <c r="AK177" i="34"/>
  <c r="AK138" i="34"/>
  <c r="AK99" i="34"/>
  <c r="BK178" i="72"/>
  <c r="BO178" i="72" s="1"/>
  <c r="CI236" i="72"/>
  <c r="CJ236" i="72"/>
  <c r="CF236" i="72"/>
  <c r="CG236" i="72"/>
  <c r="CH236" i="72"/>
  <c r="CE238" i="72"/>
  <c r="CK178" i="72"/>
  <c r="BZ178" i="72"/>
  <c r="BL179" i="72"/>
  <c r="AK98" i="34"/>
  <c r="BN178" i="72"/>
  <c r="BJ178" i="72"/>
  <c r="BM178" i="72"/>
  <c r="BI180" i="72"/>
  <c r="BN179" i="72" a="1"/>
  <c r="BK179" i="72" a="1"/>
  <c r="BJ179" i="72" a="1"/>
  <c r="CI237" i="72" a="1"/>
  <c r="CF237" i="72" a="1"/>
  <c r="CH237" i="72" a="1"/>
  <c r="CJ237" i="72" a="1"/>
  <c r="CG237" i="72" a="1"/>
  <c r="BM179" i="72" a="1"/>
  <c r="BL180" i="72" a="1"/>
  <c r="U883" i="44" l="1"/>
  <c r="U537" i="44"/>
  <c r="U191" i="44"/>
  <c r="AK178" i="34"/>
  <c r="AK139" i="34"/>
  <c r="AK100" i="34"/>
  <c r="CH237" i="72"/>
  <c r="CG237" i="72"/>
  <c r="CF237" i="72"/>
  <c r="CJ237" i="72"/>
  <c r="CI237" i="72"/>
  <c r="CE239" i="72"/>
  <c r="CK179" i="72"/>
  <c r="BZ179" i="72"/>
  <c r="BL180" i="72"/>
  <c r="BK179" i="72"/>
  <c r="BO179" i="72" s="1"/>
  <c r="BJ179" i="72"/>
  <c r="BM179" i="72"/>
  <c r="BN179" i="72"/>
  <c r="BI181" i="72"/>
  <c r="BJ180" i="72" a="1"/>
  <c r="BU347" i="72"/>
  <c r="CH238" i="72" a="1"/>
  <c r="BK180" i="72" a="1"/>
  <c r="BM180" i="72" a="1"/>
  <c r="CG238" i="72" a="1"/>
  <c r="BN180" i="72" a="1"/>
  <c r="BU354" i="72"/>
  <c r="BL181" i="72" a="1"/>
  <c r="CF238" i="72" a="1"/>
  <c r="CI238" i="72" a="1"/>
  <c r="BU355" i="72"/>
  <c r="CJ238" i="72" a="1"/>
  <c r="BU346" i="72"/>
  <c r="U538" i="44" l="1"/>
  <c r="U192" i="44"/>
  <c r="U884" i="44"/>
  <c r="BU368" i="72"/>
  <c r="BU373" i="72" s="1"/>
  <c r="DY78" i="93" s="1"/>
  <c r="BU369" i="72"/>
  <c r="BU374" i="72" s="1"/>
  <c r="DY79" i="93" s="1"/>
  <c r="AK179" i="34"/>
  <c r="AK140" i="34"/>
  <c r="BJ180" i="72"/>
  <c r="BN180" i="72"/>
  <c r="CJ238" i="72"/>
  <c r="CH238" i="72"/>
  <c r="CF238" i="72"/>
  <c r="CG238" i="72"/>
  <c r="CI238" i="72"/>
  <c r="CE240" i="72"/>
  <c r="CK180" i="72"/>
  <c r="BZ180" i="72"/>
  <c r="BU361" i="72"/>
  <c r="BU360" i="72"/>
  <c r="BL181" i="72"/>
  <c r="AK101" i="34"/>
  <c r="BM180" i="72"/>
  <c r="BK180" i="72"/>
  <c r="BI186" i="72"/>
  <c r="BN181" i="72" a="1"/>
  <c r="BM181" i="72" a="1"/>
  <c r="CI239" i="72" a="1"/>
  <c r="BT353" i="72"/>
  <c r="BP518" i="72"/>
  <c r="BJ181" i="72" a="1"/>
  <c r="BK181" i="72" a="1"/>
  <c r="BY435" i="72" a="1"/>
  <c r="BQ518" i="72"/>
  <c r="BY451" i="72" a="1"/>
  <c r="CG239" i="72" a="1"/>
  <c r="CF239" i="72" a="1"/>
  <c r="CJ239" i="72" a="1"/>
  <c r="CH239" i="72" a="1"/>
  <c r="BJ186" i="72" a="1"/>
  <c r="U539" i="44" l="1"/>
  <c r="U885" i="44"/>
  <c r="AK183" i="34"/>
  <c r="AK144" i="34"/>
  <c r="BJ181" i="72"/>
  <c r="AK143" i="34"/>
  <c r="AK180" i="34"/>
  <c r="AK141" i="34"/>
  <c r="CI239" i="72"/>
  <c r="CG239" i="72"/>
  <c r="CF239" i="72"/>
  <c r="CJ239" i="72"/>
  <c r="CH239" i="72"/>
  <c r="CE241" i="72"/>
  <c r="CK181" i="72"/>
  <c r="BZ181" i="72"/>
  <c r="BY451" i="72"/>
  <c r="BY435" i="72"/>
  <c r="BO180" i="72"/>
  <c r="BN181" i="72"/>
  <c r="BK181" i="72"/>
  <c r="BM181" i="72"/>
  <c r="BJ186" i="72"/>
  <c r="BI187" i="72"/>
  <c r="BN186" i="72" a="1"/>
  <c r="BO451" i="72" a="1"/>
  <c r="BK186" i="72" a="1"/>
  <c r="BM186" i="72" a="1"/>
  <c r="CF240" i="72" a="1"/>
  <c r="BT345" i="72"/>
  <c r="BO435" i="72" a="1"/>
  <c r="CI240" i="72" a="1"/>
  <c r="CG240" i="72" a="1"/>
  <c r="CH240" i="72" a="1"/>
  <c r="CJ240" i="72" a="1"/>
  <c r="BY419" i="72" a="1"/>
  <c r="BO518" i="72"/>
  <c r="BL186" i="72" a="1"/>
  <c r="BL187" i="72" a="1"/>
  <c r="U540" i="44" l="1"/>
  <c r="U193" i="44"/>
  <c r="U886" i="44"/>
  <c r="BT367" i="72"/>
  <c r="BT372" i="72" s="1"/>
  <c r="DX77" i="93" s="1"/>
  <c r="BL186" i="72"/>
  <c r="BT359" i="72"/>
  <c r="AK181" i="34"/>
  <c r="AK142" i="34"/>
  <c r="CA451" i="72"/>
  <c r="CA435" i="72"/>
  <c r="CI240" i="72"/>
  <c r="CG240" i="72"/>
  <c r="CH240" i="72"/>
  <c r="CJ240" i="72"/>
  <c r="CF240" i="72"/>
  <c r="CE242" i="72"/>
  <c r="CK186" i="72"/>
  <c r="BZ186" i="72"/>
  <c r="BO451" i="72"/>
  <c r="BO435" i="72"/>
  <c r="BQ435" i="72" s="1"/>
  <c r="BL187" i="72"/>
  <c r="BK186" i="72"/>
  <c r="BO186" i="72" s="1"/>
  <c r="BM186" i="72"/>
  <c r="BY419" i="72"/>
  <c r="BO181" i="72"/>
  <c r="AK102" i="34"/>
  <c r="BN186" i="72"/>
  <c r="BI188" i="72"/>
  <c r="BK187" i="72" a="1"/>
  <c r="CF241" i="72" a="1"/>
  <c r="BJ187" i="72" a="1"/>
  <c r="BM187" i="72" a="1"/>
  <c r="BN187" i="72" a="1"/>
  <c r="CG241" i="72" a="1"/>
  <c r="BO419" i="72" a="1"/>
  <c r="CJ241" i="72" a="1"/>
  <c r="CH241" i="72" a="1"/>
  <c r="CI241" i="72" a="1"/>
  <c r="BK188" i="72" a="1"/>
  <c r="U546" i="44" l="1"/>
  <c r="U892" i="44"/>
  <c r="U194" i="44"/>
  <c r="U200" i="44"/>
  <c r="BK187" i="72"/>
  <c r="BO187" i="72" s="1"/>
  <c r="AI105" i="34"/>
  <c r="AM170" i="34"/>
  <c r="AM131" i="34"/>
  <c r="BL473" i="72"/>
  <c r="BQ473" i="72"/>
  <c r="BS473" i="72"/>
  <c r="CA419" i="72"/>
  <c r="BQ451" i="72"/>
  <c r="CG241" i="72"/>
  <c r="CF241" i="72"/>
  <c r="CI241" i="72"/>
  <c r="CJ241" i="72"/>
  <c r="CH241" i="72"/>
  <c r="CE243" i="72"/>
  <c r="CK187" i="72"/>
  <c r="BZ187" i="72"/>
  <c r="BO419" i="72"/>
  <c r="BQ419" i="72" s="1"/>
  <c r="AM92" i="34"/>
  <c r="AK103" i="34"/>
  <c r="BM187" i="72"/>
  <c r="BN187" i="72"/>
  <c r="BJ187" i="72"/>
  <c r="BK188" i="72"/>
  <c r="BO188" i="72" s="1"/>
  <c r="BI189" i="72"/>
  <c r="CH242" i="72" a="1"/>
  <c r="CG242" i="72" a="1"/>
  <c r="BM188" i="72" a="1"/>
  <c r="CI242" i="72" a="1"/>
  <c r="BN188" i="72" a="1"/>
  <c r="BJ188" i="72" a="1"/>
  <c r="CJ242" i="72" a="1"/>
  <c r="BL188" i="72" a="1"/>
  <c r="CF242" i="72" a="1"/>
  <c r="BL189" i="72" a="1"/>
  <c r="U201" i="44" l="1"/>
  <c r="U202" i="44"/>
  <c r="U547" i="44"/>
  <c r="U893" i="44"/>
  <c r="AM171" i="34"/>
  <c r="AM132" i="34"/>
  <c r="BL188" i="72"/>
  <c r="AD62" i="34"/>
  <c r="V62" i="34"/>
  <c r="T62" i="34"/>
  <c r="BN473" i="72"/>
  <c r="BO473" i="72"/>
  <c r="BJ473" i="72"/>
  <c r="CJ242" i="72"/>
  <c r="CI242" i="72"/>
  <c r="CF242" i="72"/>
  <c r="CH242" i="72"/>
  <c r="CG242" i="72"/>
  <c r="CE244" i="72"/>
  <c r="CK188" i="72"/>
  <c r="BZ188" i="72"/>
  <c r="AM93" i="34"/>
  <c r="BL189" i="72"/>
  <c r="AM94" i="34"/>
  <c r="BN188" i="72"/>
  <c r="BM188" i="72"/>
  <c r="BJ188" i="72"/>
  <c r="BI190" i="72"/>
  <c r="BN189" i="72" a="1"/>
  <c r="CH243" i="72" a="1"/>
  <c r="CI243" i="72" a="1"/>
  <c r="BL190" i="72" a="1"/>
  <c r="BJ189" i="72" a="1"/>
  <c r="CF243" i="72" a="1"/>
  <c r="BK189" i="72" a="1"/>
  <c r="BM189" i="72" a="1"/>
  <c r="CG243" i="72" a="1"/>
  <c r="CJ243" i="72" a="1"/>
  <c r="U894" i="44" l="1"/>
  <c r="U548" i="44"/>
  <c r="AM172" i="34"/>
  <c r="AM133" i="34"/>
  <c r="N62" i="34"/>
  <c r="L62" i="34"/>
  <c r="AB62" i="34"/>
  <c r="CG243" i="72"/>
  <c r="CF243" i="72"/>
  <c r="CJ243" i="72"/>
  <c r="CI243" i="72"/>
  <c r="CH243" i="72"/>
  <c r="CE245" i="72"/>
  <c r="CK189" i="72"/>
  <c r="BZ189" i="72"/>
  <c r="BL190" i="72"/>
  <c r="BN189" i="72"/>
  <c r="BJ189" i="72"/>
  <c r="BK189" i="72"/>
  <c r="BO189" i="72" s="1"/>
  <c r="BM189" i="72"/>
  <c r="BI191" i="72"/>
  <c r="CH244" i="72" a="1"/>
  <c r="CG244" i="72" a="1"/>
  <c r="CI244" i="72" a="1"/>
  <c r="BJ190" i="72" a="1"/>
  <c r="CJ244" i="72" a="1"/>
  <c r="BK190" i="72" a="1"/>
  <c r="BM190" i="72" a="1"/>
  <c r="BN190" i="72" a="1"/>
  <c r="CF244" i="72" a="1"/>
  <c r="BL191" i="72" a="1"/>
  <c r="U203" i="44" l="1"/>
  <c r="U549" i="44"/>
  <c r="U895" i="44"/>
  <c r="AM173" i="34"/>
  <c r="AM134" i="34"/>
  <c r="BJ190" i="72"/>
  <c r="CI244" i="72"/>
  <c r="CJ244" i="72"/>
  <c r="CG244" i="72"/>
  <c r="CF244" i="72"/>
  <c r="CH244" i="72"/>
  <c r="CE250" i="72"/>
  <c r="CK190" i="72"/>
  <c r="BZ190" i="72"/>
  <c r="BL191" i="72"/>
  <c r="AM95" i="34"/>
  <c r="BN190" i="72"/>
  <c r="BM190" i="72"/>
  <c r="BK190" i="72"/>
  <c r="BI192" i="72"/>
  <c r="CF245" i="72" a="1"/>
  <c r="CI245" i="72" a="1"/>
  <c r="BM191" i="72" a="1"/>
  <c r="BJ191" i="72" a="1"/>
  <c r="CG245" i="72" a="1"/>
  <c r="CH245" i="72" a="1"/>
  <c r="CJ245" i="72" a="1"/>
  <c r="BN191" i="72" a="1"/>
  <c r="BK191" i="72" a="1"/>
  <c r="BL192" i="72" a="1"/>
  <c r="U896" i="44" l="1"/>
  <c r="U550" i="44"/>
  <c r="AM174" i="34"/>
  <c r="AM135" i="34"/>
  <c r="CG245" i="72"/>
  <c r="CF245" i="72"/>
  <c r="CH245" i="72"/>
  <c r="CI245" i="72"/>
  <c r="CJ245" i="72"/>
  <c r="CE251" i="72"/>
  <c r="CK191" i="72"/>
  <c r="BZ191" i="72"/>
  <c r="BL192" i="72"/>
  <c r="BO190" i="72"/>
  <c r="BK191" i="72"/>
  <c r="BO191" i="72" s="1"/>
  <c r="BM191" i="72"/>
  <c r="BJ191" i="72"/>
  <c r="BN191" i="72"/>
  <c r="BI193" i="72"/>
  <c r="CJ250" i="72" a="1"/>
  <c r="BK192" i="72" a="1"/>
  <c r="BN192" i="72" a="1"/>
  <c r="CF250" i="72" a="1"/>
  <c r="BM192" i="72" a="1"/>
  <c r="BJ192" i="72" a="1"/>
  <c r="CI250" i="72" a="1"/>
  <c r="CH250" i="72" a="1"/>
  <c r="CG250" i="72" a="1"/>
  <c r="BL193" i="72" a="1"/>
  <c r="U205" i="44" l="1"/>
  <c r="U204" i="44"/>
  <c r="U551" i="44"/>
  <c r="U897" i="44"/>
  <c r="AM175" i="34"/>
  <c r="AM136" i="34"/>
  <c r="CI250" i="72"/>
  <c r="CH250" i="72"/>
  <c r="CJ250" i="72"/>
  <c r="CG250" i="72"/>
  <c r="CF250" i="72"/>
  <c r="CE252" i="72"/>
  <c r="CK192" i="72"/>
  <c r="BZ192" i="72"/>
  <c r="BL193" i="72"/>
  <c r="BN192" i="72"/>
  <c r="AM97" i="34"/>
  <c r="AM96" i="34"/>
  <c r="BM192" i="72"/>
  <c r="BK192" i="72"/>
  <c r="BO192" i="72" s="1"/>
  <c r="BJ192" i="72"/>
  <c r="BI194" i="72"/>
  <c r="BJ193" i="72" a="1"/>
  <c r="CF251" i="72" a="1"/>
  <c r="CJ251" i="72" a="1"/>
  <c r="CG251" i="72" a="1"/>
  <c r="BK193" i="72" a="1"/>
  <c r="CI251" i="72" a="1"/>
  <c r="CH251" i="72" a="1"/>
  <c r="BM193" i="72" a="1"/>
  <c r="BN193" i="72" a="1"/>
  <c r="BL194" i="72" a="1"/>
  <c r="U206" i="44" l="1"/>
  <c r="U552" i="44"/>
  <c r="U898" i="44"/>
  <c r="BJ193" i="72"/>
  <c r="AM176" i="34"/>
  <c r="AM137" i="34"/>
  <c r="BK193" i="72"/>
  <c r="BO193" i="72" s="1"/>
  <c r="CI251" i="72"/>
  <c r="CJ251" i="72"/>
  <c r="CG251" i="72"/>
  <c r="CF251" i="72"/>
  <c r="CH251" i="72"/>
  <c r="CE253" i="72"/>
  <c r="CK193" i="72"/>
  <c r="BZ193" i="72"/>
  <c r="BL194" i="72"/>
  <c r="AM98" i="34"/>
  <c r="BM193" i="72"/>
  <c r="BN193" i="72"/>
  <c r="BI195" i="72"/>
  <c r="BJ194" i="72" a="1"/>
  <c r="CG252" i="72" a="1"/>
  <c r="BM194" i="72" a="1"/>
  <c r="CI252" i="72" a="1"/>
  <c r="BN194" i="72" a="1"/>
  <c r="CJ252" i="72" a="1"/>
  <c r="BK194" i="72" a="1"/>
  <c r="CH252" i="72" a="1"/>
  <c r="CF252" i="72" a="1"/>
  <c r="BN195" i="72" a="1"/>
  <c r="U553" i="44" l="1"/>
  <c r="U207" i="44"/>
  <c r="U899" i="44"/>
  <c r="AM177" i="34"/>
  <c r="AM138" i="34"/>
  <c r="AM99" i="34"/>
  <c r="BM194" i="72"/>
  <c r="CI252" i="72"/>
  <c r="CH252" i="72"/>
  <c r="CJ252" i="72"/>
  <c r="CG252" i="72"/>
  <c r="CF252" i="72"/>
  <c r="CE254" i="72"/>
  <c r="CK194" i="72"/>
  <c r="BZ194" i="72"/>
  <c r="BJ194" i="72"/>
  <c r="BK194" i="72"/>
  <c r="BO194" i="72" s="1"/>
  <c r="BN194" i="72"/>
  <c r="BN195" i="72"/>
  <c r="BI196" i="72"/>
  <c r="CI253" i="72" a="1"/>
  <c r="BM195" i="72" a="1"/>
  <c r="CJ253" i="72" a="1"/>
  <c r="BK195" i="72" a="1"/>
  <c r="CF253" i="72" a="1"/>
  <c r="CG253" i="72" a="1"/>
  <c r="BL195" i="72" a="1"/>
  <c r="BJ195" i="72" a="1"/>
  <c r="CH253" i="72" a="1"/>
  <c r="BL196" i="72" a="1"/>
  <c r="U554" i="44" l="1"/>
  <c r="U208" i="44"/>
  <c r="U900" i="44"/>
  <c r="AM178" i="34"/>
  <c r="AM139" i="34"/>
  <c r="BL195" i="72"/>
  <c r="CJ253" i="72"/>
  <c r="CG253" i="72"/>
  <c r="CF253" i="72"/>
  <c r="CH253" i="72"/>
  <c r="CI253" i="72"/>
  <c r="CE255" i="72"/>
  <c r="CK195" i="72"/>
  <c r="BZ195" i="72"/>
  <c r="BL196" i="72"/>
  <c r="AM100" i="34"/>
  <c r="BJ195" i="72"/>
  <c r="BK195" i="72"/>
  <c r="BO195" i="72" s="1"/>
  <c r="BM195" i="72"/>
  <c r="BI197" i="72"/>
  <c r="CG254" i="72" a="1"/>
  <c r="BM196" i="72" a="1"/>
  <c r="CF254" i="72" a="1"/>
  <c r="BK196" i="72" a="1"/>
  <c r="CI254" i="72" a="1"/>
  <c r="CH254" i="72" a="1"/>
  <c r="BV355" i="72"/>
  <c r="BN196" i="72" a="1"/>
  <c r="BL197" i="72" a="1"/>
  <c r="BV347" i="72"/>
  <c r="BJ196" i="72" a="1"/>
  <c r="CJ254" i="72" a="1"/>
  <c r="BV354" i="72"/>
  <c r="U209" i="44" l="1"/>
  <c r="U555" i="44"/>
  <c r="U901" i="44"/>
  <c r="BV369" i="72"/>
  <c r="BV374" i="72" s="1"/>
  <c r="DZ79" i="93" s="1"/>
  <c r="AM179" i="34"/>
  <c r="AM140" i="34"/>
  <c r="BN196" i="72"/>
  <c r="CJ254" i="72"/>
  <c r="CI254" i="72"/>
  <c r="CF254" i="72"/>
  <c r="CH254" i="72"/>
  <c r="CG254" i="72"/>
  <c r="CE256" i="72"/>
  <c r="CK196" i="72"/>
  <c r="BZ196" i="72"/>
  <c r="BV361" i="72"/>
  <c r="BL197" i="72"/>
  <c r="AM101" i="34"/>
  <c r="BJ196" i="72"/>
  <c r="BM196" i="72"/>
  <c r="BK196" i="72"/>
  <c r="BO196" i="72" s="1"/>
  <c r="BI202" i="72"/>
  <c r="BZ435" i="72" a="1"/>
  <c r="CF255" i="72" a="1"/>
  <c r="CH255" i="72" a="1"/>
  <c r="BJ197" i="72" a="1"/>
  <c r="BQ519" i="72"/>
  <c r="CG255" i="72" a="1"/>
  <c r="BM197" i="72" a="1"/>
  <c r="BZ451" i="72" a="1"/>
  <c r="CJ255" i="72" a="1"/>
  <c r="CI255" i="72" a="1"/>
  <c r="BP519" i="72"/>
  <c r="BN197" i="72" a="1"/>
  <c r="BK197" i="72" a="1"/>
  <c r="BV346" i="72"/>
  <c r="BO519" i="72"/>
  <c r="BL202" i="72" a="1"/>
  <c r="BV360" i="72" l="1"/>
  <c r="AM143" i="34" s="1"/>
  <c r="BV368" i="72"/>
  <c r="BV373" i="72" s="1"/>
  <c r="DZ78" i="93" s="1"/>
  <c r="U556" i="44"/>
  <c r="U902" i="44"/>
  <c r="U210" i="44"/>
  <c r="AM183" i="34"/>
  <c r="AM180" i="34"/>
  <c r="AM141" i="34"/>
  <c r="CJ255" i="72"/>
  <c r="CI255" i="72"/>
  <c r="CF255" i="72"/>
  <c r="CH255" i="72"/>
  <c r="CG255" i="72"/>
  <c r="CE257" i="72"/>
  <c r="CK197" i="72"/>
  <c r="BZ197" i="72"/>
  <c r="BZ451" i="72"/>
  <c r="BZ435" i="72"/>
  <c r="BL202" i="72"/>
  <c r="AM102" i="34"/>
  <c r="BN197" i="72"/>
  <c r="BK197" i="72"/>
  <c r="BJ197" i="72"/>
  <c r="BM197" i="72"/>
  <c r="BI203" i="72"/>
  <c r="CJ256" i="72" a="1"/>
  <c r="CF256" i="72" a="1"/>
  <c r="CI256" i="72" a="1"/>
  <c r="BU345" i="72"/>
  <c r="CG256" i="72" a="1"/>
  <c r="BU353" i="72"/>
  <c r="BN452" i="72" a="1"/>
  <c r="BN202" i="72" a="1"/>
  <c r="BK202" i="72" a="1"/>
  <c r="BZ419" i="72" a="1"/>
  <c r="BK203" i="72" a="1"/>
  <c r="CH256" i="72" a="1"/>
  <c r="BM202" i="72" a="1"/>
  <c r="BJ202" i="72" a="1"/>
  <c r="BN436" i="72" a="1"/>
  <c r="AM144" i="34" l="1"/>
  <c r="U557" i="44"/>
  <c r="U903" i="44"/>
  <c r="BU367" i="72"/>
  <c r="BU372" i="72" s="1"/>
  <c r="DY77" i="93" s="1"/>
  <c r="BK202" i="72"/>
  <c r="BO202" i="72" s="1"/>
  <c r="BU359" i="72"/>
  <c r="AM181" i="34"/>
  <c r="AM142" i="34"/>
  <c r="CB451" i="72"/>
  <c r="CB435" i="72"/>
  <c r="CH256" i="72"/>
  <c r="CF256" i="72"/>
  <c r="CG256" i="72"/>
  <c r="CJ256" i="72"/>
  <c r="CI256" i="72"/>
  <c r="CE258" i="72"/>
  <c r="CK202" i="72"/>
  <c r="BZ202" i="72"/>
  <c r="BN452" i="72"/>
  <c r="BN436" i="72"/>
  <c r="BP436" i="72" s="1"/>
  <c r="BZ419" i="72"/>
  <c r="BO197" i="72"/>
  <c r="BN202" i="72"/>
  <c r="BM202" i="72"/>
  <c r="BJ202" i="72"/>
  <c r="BK203" i="72"/>
  <c r="BO203" i="72" s="1"/>
  <c r="BI204" i="72"/>
  <c r="CG257" i="72" a="1"/>
  <c r="BM203" i="72" a="1"/>
  <c r="CH257" i="72" a="1"/>
  <c r="BJ203" i="72" a="1"/>
  <c r="CI257" i="72" a="1"/>
  <c r="CF257" i="72" a="1"/>
  <c r="BL203" i="72" a="1"/>
  <c r="BN420" i="72" a="1"/>
  <c r="CR29" i="72" a="1"/>
  <c r="CJ257" i="72" a="1"/>
  <c r="BN203" i="72" a="1"/>
  <c r="BL204" i="72" a="1"/>
  <c r="U217" i="44" l="1"/>
  <c r="U211" i="44"/>
  <c r="U909" i="44"/>
  <c r="U218" i="44"/>
  <c r="U563" i="44"/>
  <c r="CR29" i="72"/>
  <c r="BN420" i="72"/>
  <c r="BP420" i="72" s="1"/>
  <c r="BI474" i="72" s="1"/>
  <c r="J63" i="34" s="1"/>
  <c r="AK105" i="34"/>
  <c r="AO170" i="34"/>
  <c r="AO131" i="34"/>
  <c r="BK474" i="72"/>
  <c r="BR473" i="72"/>
  <c r="BT473" i="72"/>
  <c r="BL203" i="72"/>
  <c r="CB419" i="72"/>
  <c r="BP452" i="72"/>
  <c r="CI257" i="72"/>
  <c r="CG257" i="72"/>
  <c r="CJ257" i="72"/>
  <c r="CF257" i="72"/>
  <c r="CH257" i="72"/>
  <c r="CE259" i="72"/>
  <c r="CK203" i="72"/>
  <c r="BZ203" i="72"/>
  <c r="BL204" i="72"/>
  <c r="AM103" i="34"/>
  <c r="AO93" i="34"/>
  <c r="AO92" i="34"/>
  <c r="BN203" i="72"/>
  <c r="BJ203" i="72"/>
  <c r="BM203" i="72"/>
  <c r="BI205" i="72"/>
  <c r="CH258" i="72" a="1"/>
  <c r="CJ258" i="72" a="1"/>
  <c r="BN204" i="72" a="1"/>
  <c r="CG258" i="72" a="1"/>
  <c r="CF258" i="72" a="1"/>
  <c r="CI258" i="72" a="1"/>
  <c r="BM204" i="72" a="1"/>
  <c r="BJ204" i="72" a="1"/>
  <c r="BK204" i="72" a="1"/>
  <c r="BL205" i="72" a="1"/>
  <c r="U564" i="44" l="1"/>
  <c r="U910" i="44"/>
  <c r="AO171" i="34"/>
  <c r="AO132" i="34"/>
  <c r="BJ204" i="72"/>
  <c r="R63" i="34"/>
  <c r="AF62" i="34"/>
  <c r="X62" i="34"/>
  <c r="BP473" i="72"/>
  <c r="BM474" i="72"/>
  <c r="Z63" i="34" s="1"/>
  <c r="CH258" i="72"/>
  <c r="CI258" i="72"/>
  <c r="CG258" i="72"/>
  <c r="CJ258" i="72"/>
  <c r="CF258" i="72"/>
  <c r="CE260" i="72"/>
  <c r="CK204" i="72"/>
  <c r="BZ204" i="72"/>
  <c r="BL205" i="72"/>
  <c r="BK204" i="72"/>
  <c r="BN204" i="72"/>
  <c r="BM204" i="72"/>
  <c r="BI206" i="72"/>
  <c r="CI259" i="72" a="1"/>
  <c r="CF259" i="72" a="1"/>
  <c r="BM205" i="72" a="1"/>
  <c r="BJ205" i="72" a="1"/>
  <c r="CH259" i="72" a="1"/>
  <c r="CJ259" i="72" a="1"/>
  <c r="BK205" i="72" a="1"/>
  <c r="BN205" i="72" a="1"/>
  <c r="CG259" i="72" a="1"/>
  <c r="BM206" i="72" a="1"/>
  <c r="U911" i="44" l="1"/>
  <c r="U565" i="44"/>
  <c r="AO172" i="34"/>
  <c r="AO133" i="34"/>
  <c r="BM205" i="72"/>
  <c r="P62" i="34"/>
  <c r="CG259" i="72"/>
  <c r="CH259" i="72"/>
  <c r="CI259" i="72"/>
  <c r="CF259" i="72"/>
  <c r="CJ259" i="72"/>
  <c r="CE261" i="72"/>
  <c r="CK205" i="72"/>
  <c r="BZ205" i="72"/>
  <c r="BO204" i="72"/>
  <c r="BK205" i="72"/>
  <c r="BO205" i="72" s="1"/>
  <c r="BJ205" i="72"/>
  <c r="BN205" i="72"/>
  <c r="BM206" i="72"/>
  <c r="BI207" i="72"/>
  <c r="CJ260" i="72" a="1"/>
  <c r="BL206" i="72" a="1"/>
  <c r="BN206" i="72" a="1"/>
  <c r="CG260" i="72" a="1"/>
  <c r="CH260" i="72" a="1"/>
  <c r="CF260" i="72" a="1"/>
  <c r="CI260" i="72" a="1"/>
  <c r="BK206" i="72" a="1"/>
  <c r="BJ206" i="72" a="1"/>
  <c r="BL207" i="72" a="1"/>
  <c r="U566" i="44" l="1"/>
  <c r="U220" i="44"/>
  <c r="U219" i="44"/>
  <c r="U912" i="44"/>
  <c r="BL206" i="72"/>
  <c r="AO173" i="34"/>
  <c r="AO134" i="34"/>
  <c r="CG260" i="72"/>
  <c r="CF260" i="72"/>
  <c r="CH260" i="72"/>
  <c r="CI260" i="72"/>
  <c r="CJ260" i="72"/>
  <c r="CE266" i="72"/>
  <c r="CK206" i="72"/>
  <c r="BZ206" i="72"/>
  <c r="BL207" i="72"/>
  <c r="AO95" i="34"/>
  <c r="AO94" i="34"/>
  <c r="BJ206" i="72"/>
  <c r="BK206" i="72"/>
  <c r="BO206" i="72" s="1"/>
  <c r="BN206" i="72"/>
  <c r="BI208" i="72"/>
  <c r="BM207" i="72" a="1"/>
  <c r="BK207" i="72" a="1"/>
  <c r="CG261" i="72" a="1"/>
  <c r="BJ207" i="72" a="1"/>
  <c r="BZ355" i="72"/>
  <c r="BN207" i="72" a="1"/>
  <c r="CJ261" i="72" a="1"/>
  <c r="CI261" i="72" a="1"/>
  <c r="CH261" i="72" a="1"/>
  <c r="BZ347" i="72"/>
  <c r="CF261" i="72" a="1"/>
  <c r="BL208" i="72" a="1"/>
  <c r="U221" i="44" l="1"/>
  <c r="U567" i="44"/>
  <c r="U913" i="44"/>
  <c r="BZ369" i="72"/>
  <c r="BZ361" i="72"/>
  <c r="AO174" i="34"/>
  <c r="AO135" i="34"/>
  <c r="BJ207" i="72"/>
  <c r="CG261" i="72"/>
  <c r="CI261" i="72"/>
  <c r="CH261" i="72"/>
  <c r="CF261" i="72"/>
  <c r="CJ261" i="72"/>
  <c r="CE267" i="72"/>
  <c r="CK207" i="72"/>
  <c r="BZ207" i="72"/>
  <c r="BL208" i="72"/>
  <c r="AO96" i="34"/>
  <c r="BM207" i="72"/>
  <c r="BK207" i="72"/>
  <c r="BN207" i="72"/>
  <c r="BI209" i="72"/>
  <c r="BK208" i="72" a="1"/>
  <c r="CJ266" i="72" a="1"/>
  <c r="CH266" i="72" a="1"/>
  <c r="CG266" i="72" a="1"/>
  <c r="BN208" i="72" a="1"/>
  <c r="BM208" i="72" a="1"/>
  <c r="BJ208" i="72" a="1"/>
  <c r="CF266" i="72" a="1"/>
  <c r="CI266" i="72" a="1"/>
  <c r="BK209" i="72" a="1"/>
  <c r="U568" i="44" l="1"/>
  <c r="U914" i="44"/>
  <c r="AO175" i="34"/>
  <c r="AO136" i="34"/>
  <c r="BM208" i="72"/>
  <c r="CH266" i="72"/>
  <c r="CF266" i="72"/>
  <c r="CI266" i="72"/>
  <c r="CG266" i="72"/>
  <c r="CJ266" i="72"/>
  <c r="CE268" i="72"/>
  <c r="CK208" i="72"/>
  <c r="BZ208" i="72"/>
  <c r="BO207" i="72"/>
  <c r="BJ208" i="72"/>
  <c r="BK208" i="72"/>
  <c r="BO208" i="72" s="1"/>
  <c r="BN208" i="72"/>
  <c r="BK209" i="72"/>
  <c r="BO209" i="72" s="1"/>
  <c r="BI210" i="72"/>
  <c r="BJ209" i="72" a="1"/>
  <c r="CF267" i="72" a="1"/>
  <c r="CR47" i="72" a="1"/>
  <c r="CG267" i="72" a="1"/>
  <c r="BL210" i="72" a="1"/>
  <c r="BL209" i="72" a="1"/>
  <c r="CI267" i="72" a="1"/>
  <c r="BM209" i="72" a="1"/>
  <c r="CJ267" i="72" a="1"/>
  <c r="CH267" i="72" a="1"/>
  <c r="BN209" i="72" a="1"/>
  <c r="CR47" i="72" l="1"/>
  <c r="U224" i="44"/>
  <c r="U223" i="44"/>
  <c r="U222" i="44"/>
  <c r="U569" i="44"/>
  <c r="U915" i="44"/>
  <c r="AO176" i="34"/>
  <c r="AO137" i="34"/>
  <c r="BL209" i="72"/>
  <c r="CI267" i="72"/>
  <c r="CF267" i="72"/>
  <c r="CH267" i="72"/>
  <c r="CG267" i="72"/>
  <c r="CJ267" i="72"/>
  <c r="CE269" i="72"/>
  <c r="CK209" i="72"/>
  <c r="BZ209" i="72"/>
  <c r="BL210" i="72"/>
  <c r="AO99" i="34"/>
  <c r="AO98" i="34"/>
  <c r="AO97" i="34"/>
  <c r="BM209" i="72"/>
  <c r="BN209" i="72"/>
  <c r="BJ209" i="72"/>
  <c r="BI211" i="72"/>
  <c r="BJ210" i="72" a="1"/>
  <c r="BK210" i="72" a="1"/>
  <c r="CI268" i="72" a="1"/>
  <c r="BN210" i="72" a="1"/>
  <c r="CF268" i="72" a="1"/>
  <c r="CJ268" i="72" a="1"/>
  <c r="BM210" i="72" a="1"/>
  <c r="CG268" i="72" a="1"/>
  <c r="BL211" i="72" a="1"/>
  <c r="CH268" i="72" a="1"/>
  <c r="U570" i="44" l="1"/>
  <c r="U916" i="44"/>
  <c r="AO177" i="34"/>
  <c r="AO138" i="34"/>
  <c r="BK210" i="72"/>
  <c r="BO210" i="72" s="1"/>
  <c r="CF268" i="72"/>
  <c r="CJ268" i="72"/>
  <c r="CH268" i="72"/>
  <c r="CG268" i="72"/>
  <c r="CI268" i="72"/>
  <c r="CE270" i="72"/>
  <c r="CK210" i="72"/>
  <c r="BZ210" i="72"/>
  <c r="BL211" i="72"/>
  <c r="BN210" i="72"/>
  <c r="BM210" i="72"/>
  <c r="BJ210" i="72"/>
  <c r="BI212" i="72"/>
  <c r="CF269" i="72" a="1"/>
  <c r="BM212" i="72" a="1"/>
  <c r="CJ269" i="72" a="1"/>
  <c r="BN211" i="72" a="1"/>
  <c r="BK211" i="72" a="1"/>
  <c r="BM211" i="72" a="1"/>
  <c r="BJ211" i="72" a="1"/>
  <c r="CH269" i="72" a="1"/>
  <c r="CI269" i="72" a="1"/>
  <c r="CG269" i="72" a="1"/>
  <c r="U225" i="44" l="1"/>
  <c r="U571" i="44"/>
  <c r="U917" i="44"/>
  <c r="AO178" i="34"/>
  <c r="AO139" i="34"/>
  <c r="BM211" i="72"/>
  <c r="CG269" i="72"/>
  <c r="CI269" i="72"/>
  <c r="CF269" i="72"/>
  <c r="CJ269" i="72"/>
  <c r="CH269" i="72"/>
  <c r="CE271" i="72"/>
  <c r="CK211" i="72"/>
  <c r="BZ211" i="72"/>
  <c r="BN211" i="72"/>
  <c r="BJ211" i="72"/>
  <c r="BK211" i="72"/>
  <c r="BO211" i="72" s="1"/>
  <c r="AO100" i="34"/>
  <c r="BM212" i="72"/>
  <c r="BI213" i="72"/>
  <c r="BN212" i="72" a="1"/>
  <c r="BJ212" i="72" a="1"/>
  <c r="BW347" i="72"/>
  <c r="BL212" i="72" a="1"/>
  <c r="CH270" i="72" a="1"/>
  <c r="BW346" i="72"/>
  <c r="CF270" i="72" a="1"/>
  <c r="BW354" i="72"/>
  <c r="CJ270" i="72" a="1"/>
  <c r="BW355" i="72"/>
  <c r="CI270" i="72" a="1"/>
  <c r="BK212" i="72" a="1"/>
  <c r="CG270" i="72" a="1"/>
  <c r="BL213" i="72" a="1"/>
  <c r="U572" i="44" l="1"/>
  <c r="U226" i="44"/>
  <c r="U918" i="44"/>
  <c r="BW368" i="72"/>
  <c r="BW373" i="72" s="1"/>
  <c r="EA78" i="93" s="1"/>
  <c r="BW369" i="72"/>
  <c r="BW374" i="72" s="1"/>
  <c r="EA79" i="93" s="1"/>
  <c r="AO179" i="34"/>
  <c r="AO140" i="34"/>
  <c r="BJ212" i="72"/>
  <c r="BL212" i="72"/>
  <c r="CJ270" i="72"/>
  <c r="CG270" i="72"/>
  <c r="CH270" i="72"/>
  <c r="CI270" i="72"/>
  <c r="CF270" i="72"/>
  <c r="CE272" i="72"/>
  <c r="CK212" i="72"/>
  <c r="BZ212" i="72"/>
  <c r="BW361" i="72"/>
  <c r="BW360" i="72"/>
  <c r="BL213" i="72"/>
  <c r="AO101" i="34"/>
  <c r="BN212" i="72"/>
  <c r="BK212" i="72"/>
  <c r="BI218" i="72"/>
  <c r="BY436" i="72" a="1"/>
  <c r="CH271" i="72" a="1"/>
  <c r="BY452" i="72" a="1"/>
  <c r="CJ271" i="72" a="1"/>
  <c r="CI271" i="72" a="1"/>
  <c r="CG271" i="72" a="1"/>
  <c r="BK213" i="72" a="1"/>
  <c r="BQ520" i="72"/>
  <c r="BJ213" i="72" a="1"/>
  <c r="BM213" i="72" a="1"/>
  <c r="BP520" i="72"/>
  <c r="BN213" i="72" a="1"/>
  <c r="CF271" i="72" a="1"/>
  <c r="BL218" i="72" a="1"/>
  <c r="U573" i="44" l="1"/>
  <c r="U919" i="44"/>
  <c r="AO183" i="34"/>
  <c r="AO144" i="34"/>
  <c r="AO143" i="34"/>
  <c r="AO180" i="34"/>
  <c r="AO141" i="34"/>
  <c r="BJ213" i="72"/>
  <c r="CI271" i="72"/>
  <c r="CJ271" i="72"/>
  <c r="CF271" i="72"/>
  <c r="CH271" i="72"/>
  <c r="CG271" i="72"/>
  <c r="CE273" i="72"/>
  <c r="CK213" i="72"/>
  <c r="BZ213" i="72"/>
  <c r="BY452" i="72"/>
  <c r="BY436" i="72"/>
  <c r="BL218" i="72"/>
  <c r="BO212" i="72"/>
  <c r="BM213" i="72"/>
  <c r="BN213" i="72"/>
  <c r="BK213" i="72"/>
  <c r="BI219" i="72"/>
  <c r="CJ272" i="72" a="1"/>
  <c r="BO436" i="72" a="1"/>
  <c r="BM218" i="72" a="1"/>
  <c r="CI272" i="72" a="1"/>
  <c r="BO452" i="72" a="1"/>
  <c r="BJ218" i="72" a="1"/>
  <c r="BO520" i="72"/>
  <c r="BK218" i="72" a="1"/>
  <c r="CH272" i="72" a="1"/>
  <c r="BN218" i="72" a="1"/>
  <c r="BY420" i="72" a="1"/>
  <c r="CF272" i="72" a="1"/>
  <c r="CG272" i="72" a="1"/>
  <c r="BM219" i="72" a="1"/>
  <c r="U227" i="44" l="1"/>
  <c r="U920" i="44"/>
  <c r="U574" i="44"/>
  <c r="AO181" i="34"/>
  <c r="AO142" i="34"/>
  <c r="CA452" i="72"/>
  <c r="CA436" i="72"/>
  <c r="CG272" i="72"/>
  <c r="CH272" i="72"/>
  <c r="CF272" i="72"/>
  <c r="CI272" i="72"/>
  <c r="CJ272" i="72"/>
  <c r="CE274" i="72"/>
  <c r="CK218" i="72"/>
  <c r="BZ218" i="72"/>
  <c r="BO452" i="72"/>
  <c r="BO436" i="72"/>
  <c r="BQ436" i="72" s="1"/>
  <c r="BY420" i="72"/>
  <c r="BO213" i="72"/>
  <c r="AO102" i="34"/>
  <c r="BJ218" i="72"/>
  <c r="BK218" i="72"/>
  <c r="BN218" i="72"/>
  <c r="BM218" i="72"/>
  <c r="BM219" i="72"/>
  <c r="BI220" i="72"/>
  <c r="BV345" i="72"/>
  <c r="BL219" i="72" a="1"/>
  <c r="BN219" i="72" a="1"/>
  <c r="CF273" i="72" a="1"/>
  <c r="CJ273" i="72" a="1"/>
  <c r="BL220" i="72" a="1"/>
  <c r="BK219" i="72" a="1"/>
  <c r="CI273" i="72" a="1"/>
  <c r="CH273" i="72" a="1"/>
  <c r="BV353" i="72"/>
  <c r="BJ219" i="72" a="1"/>
  <c r="BO420" i="72" a="1"/>
  <c r="CG273" i="72" a="1"/>
  <c r="U228" i="44" l="1"/>
  <c r="U926" i="44"/>
  <c r="U580" i="44"/>
  <c r="BV367" i="72"/>
  <c r="BV372" i="72" s="1"/>
  <c r="DZ77" i="93" s="1"/>
  <c r="BV359" i="72"/>
  <c r="AQ170" i="34"/>
  <c r="AQ131" i="34"/>
  <c r="BL219" i="72"/>
  <c r="BQ474" i="72"/>
  <c r="BL474" i="72"/>
  <c r="BS474" i="72"/>
  <c r="CA420" i="72"/>
  <c r="BQ452" i="72"/>
  <c r="CF273" i="72"/>
  <c r="CG273" i="72"/>
  <c r="CH273" i="72"/>
  <c r="CJ273" i="72"/>
  <c r="CI273" i="72"/>
  <c r="CE275" i="72"/>
  <c r="CK219" i="72"/>
  <c r="BZ219" i="72"/>
  <c r="BL220" i="72"/>
  <c r="AO103" i="34"/>
  <c r="BO420" i="72"/>
  <c r="BQ420" i="72" s="1"/>
  <c r="BO218" i="72"/>
  <c r="BK219" i="72"/>
  <c r="BO219" i="72" s="1"/>
  <c r="BN219" i="72"/>
  <c r="BJ219" i="72"/>
  <c r="BI221" i="72"/>
  <c r="BJ220" i="72" a="1"/>
  <c r="BM220" i="72" a="1"/>
  <c r="BN220" i="72" a="1"/>
  <c r="CJ274" i="72" a="1"/>
  <c r="CG274" i="72" a="1"/>
  <c r="CH274" i="72" a="1"/>
  <c r="CF274" i="72" a="1"/>
  <c r="CI274" i="72" a="1"/>
  <c r="BK220" i="72" a="1"/>
  <c r="BL221" i="72" a="1"/>
  <c r="U927" i="44" l="1"/>
  <c r="U581" i="44"/>
  <c r="U235" i="44"/>
  <c r="U234" i="44"/>
  <c r="AM105" i="34"/>
  <c r="AQ171" i="34"/>
  <c r="AQ132" i="34"/>
  <c r="AD63" i="34"/>
  <c r="T63" i="34"/>
  <c r="V63" i="34"/>
  <c r="BO474" i="72"/>
  <c r="BJ474" i="72"/>
  <c r="BN474" i="72"/>
  <c r="CJ274" i="72"/>
  <c r="CF274" i="72"/>
  <c r="CI274" i="72"/>
  <c r="CH274" i="72"/>
  <c r="CG274" i="72"/>
  <c r="CE276" i="72"/>
  <c r="CK220" i="72"/>
  <c r="BZ220" i="72"/>
  <c r="BL221" i="72"/>
  <c r="AQ92" i="34"/>
  <c r="AQ93" i="34"/>
  <c r="BN220" i="72"/>
  <c r="BK220" i="72"/>
  <c r="BO220" i="72" s="1"/>
  <c r="BJ220" i="72"/>
  <c r="BM220" i="72"/>
  <c r="BI222" i="72"/>
  <c r="CI275" i="72" a="1"/>
  <c r="BM221" i="72" a="1"/>
  <c r="CG275" i="72" a="1"/>
  <c r="BN222" i="72" a="1"/>
  <c r="BN221" i="72" a="1"/>
  <c r="BK221" i="72" a="1"/>
  <c r="CH275" i="72" a="1"/>
  <c r="CJ275" i="72" a="1"/>
  <c r="BJ221" i="72" a="1"/>
  <c r="CF275" i="72" a="1"/>
  <c r="U236" i="44" l="1"/>
  <c r="U582" i="44"/>
  <c r="U928" i="44"/>
  <c r="AQ172" i="34"/>
  <c r="AQ133" i="34"/>
  <c r="N63" i="34"/>
  <c r="AB63" i="34"/>
  <c r="L63" i="34"/>
  <c r="BJ221" i="72"/>
  <c r="CF275" i="72"/>
  <c r="CG275" i="72"/>
  <c r="CI275" i="72"/>
  <c r="CH275" i="72"/>
  <c r="CJ275" i="72"/>
  <c r="CE277" i="72"/>
  <c r="CK221" i="72"/>
  <c r="BZ221" i="72"/>
  <c r="AQ94" i="34"/>
  <c r="BK221" i="72"/>
  <c r="BM221" i="72"/>
  <c r="BN221" i="72"/>
  <c r="BN222" i="72"/>
  <c r="BI223" i="72"/>
  <c r="CH276" i="72" a="1"/>
  <c r="BM222" i="72" a="1"/>
  <c r="BJ222" i="72" a="1"/>
  <c r="BL222" i="72" a="1"/>
  <c r="BK222" i="72" a="1"/>
  <c r="CJ276" i="72" a="1"/>
  <c r="CG276" i="72" a="1"/>
  <c r="CF276" i="72" a="1"/>
  <c r="CI276" i="72" a="1"/>
  <c r="BL223" i="72" a="1"/>
  <c r="U583" i="44" l="1"/>
  <c r="U929" i="44"/>
  <c r="AQ173" i="34"/>
  <c r="AQ134" i="34"/>
  <c r="BL222" i="72"/>
  <c r="CI276" i="72"/>
  <c r="CJ276" i="72"/>
  <c r="CH276" i="72"/>
  <c r="CG276" i="72"/>
  <c r="CF276" i="72"/>
  <c r="CE282" i="72"/>
  <c r="CK222" i="72"/>
  <c r="BZ222" i="72"/>
  <c r="BL223" i="72"/>
  <c r="BO221" i="72"/>
  <c r="BJ222" i="72"/>
  <c r="BK222" i="72"/>
  <c r="BO222" i="72" s="1"/>
  <c r="BM222" i="72"/>
  <c r="BI224" i="72"/>
  <c r="CJ277" i="72" a="1"/>
  <c r="BM223" i="72" a="1"/>
  <c r="BK223" i="72" a="1"/>
  <c r="CH277" i="72" a="1"/>
  <c r="CG277" i="72" a="1"/>
  <c r="CI277" i="72" a="1"/>
  <c r="BK224" i="72" a="1"/>
  <c r="BJ223" i="72" a="1"/>
  <c r="CF277" i="72" a="1"/>
  <c r="BN223" i="72" a="1"/>
  <c r="U238" i="44" l="1"/>
  <c r="U237" i="44"/>
  <c r="U584" i="44"/>
  <c r="U930" i="44"/>
  <c r="AQ174" i="34"/>
  <c r="AQ135" i="34"/>
  <c r="BM223" i="72"/>
  <c r="CH277" i="72"/>
  <c r="CI277" i="72"/>
  <c r="CF277" i="72"/>
  <c r="CG277" i="72"/>
  <c r="CJ277" i="72"/>
  <c r="CE283" i="72"/>
  <c r="CK223" i="72"/>
  <c r="BZ223" i="72"/>
  <c r="AQ96" i="34"/>
  <c r="AQ95" i="34"/>
  <c r="BK223" i="72"/>
  <c r="BO223" i="72" s="1"/>
  <c r="BN223" i="72"/>
  <c r="BJ223" i="72"/>
  <c r="BK224" i="72"/>
  <c r="BO224" i="72" s="1"/>
  <c r="BI225" i="72"/>
  <c r="BL224" i="72" a="1"/>
  <c r="CG282" i="72" a="1"/>
  <c r="CJ282" i="72" a="1"/>
  <c r="CI282" i="72" a="1"/>
  <c r="CH282" i="72" a="1"/>
  <c r="BJ224" i="72" a="1"/>
  <c r="BN224" i="72" a="1"/>
  <c r="BM224" i="72" a="1"/>
  <c r="CF282" i="72" a="1"/>
  <c r="BL225" i="72" a="1"/>
  <c r="U239" i="44" l="1"/>
  <c r="U585" i="44"/>
  <c r="U931" i="44"/>
  <c r="U240" i="44"/>
  <c r="AQ175" i="34"/>
  <c r="AQ136" i="34"/>
  <c r="BL224" i="72"/>
  <c r="CJ282" i="72"/>
  <c r="CG282" i="72"/>
  <c r="CF282" i="72"/>
  <c r="CI282" i="72"/>
  <c r="CH282" i="72"/>
  <c r="CE284" i="72"/>
  <c r="CK224" i="72"/>
  <c r="BZ224" i="72"/>
  <c r="BL225" i="72"/>
  <c r="AQ98" i="34"/>
  <c r="AQ97" i="34"/>
  <c r="BJ224" i="72"/>
  <c r="BM224" i="72"/>
  <c r="BN224" i="72"/>
  <c r="BI226" i="72"/>
  <c r="CF283" i="72" a="1"/>
  <c r="CJ283" i="72" a="1"/>
  <c r="BK225" i="72" a="1"/>
  <c r="BM225" i="72" a="1"/>
  <c r="BN225" i="72" a="1"/>
  <c r="CH283" i="72" a="1"/>
  <c r="CI283" i="72" a="1"/>
  <c r="CG283" i="72" a="1"/>
  <c r="BJ225" i="72" a="1"/>
  <c r="BL226" i="72" a="1"/>
  <c r="U932" i="44" l="1"/>
  <c r="U586" i="44"/>
  <c r="AQ176" i="34"/>
  <c r="AQ137" i="34"/>
  <c r="BJ225" i="72"/>
  <c r="CF283" i="72"/>
  <c r="CH283" i="72"/>
  <c r="CJ283" i="72"/>
  <c r="CG283" i="72"/>
  <c r="CI283" i="72"/>
  <c r="CE285" i="72"/>
  <c r="CK225" i="72"/>
  <c r="BZ225" i="72"/>
  <c r="BL226" i="72"/>
  <c r="BM225" i="72"/>
  <c r="BN225" i="72"/>
  <c r="BK225" i="72"/>
  <c r="BI227" i="72"/>
  <c r="BM226" i="72" a="1"/>
  <c r="CI284" i="72" a="1"/>
  <c r="BK226" i="72" a="1"/>
  <c r="CJ284" i="72" a="1"/>
  <c r="CH284" i="72" a="1"/>
  <c r="CG284" i="72" a="1"/>
  <c r="CF284" i="72" a="1"/>
  <c r="BJ226" i="72" a="1"/>
  <c r="BN226" i="72" a="1"/>
  <c r="BL227" i="72" a="1"/>
  <c r="U587" i="44" l="1"/>
  <c r="U933" i="44"/>
  <c r="AQ177" i="34"/>
  <c r="AQ138" i="34"/>
  <c r="BM226" i="72"/>
  <c r="BK226" i="72"/>
  <c r="BO226" i="72" s="1"/>
  <c r="CJ284" i="72"/>
  <c r="CH284" i="72"/>
  <c r="CF284" i="72"/>
  <c r="CI284" i="72"/>
  <c r="CG284" i="72"/>
  <c r="CE286" i="72"/>
  <c r="CK226" i="72"/>
  <c r="BZ226" i="72"/>
  <c r="BL227" i="72"/>
  <c r="BO225" i="72"/>
  <c r="BN226" i="72"/>
  <c r="BJ226" i="72"/>
  <c r="BI228" i="72"/>
  <c r="CI285" i="72" a="1"/>
  <c r="CF285" i="72" a="1"/>
  <c r="CH285" i="72" a="1"/>
  <c r="BK227" i="72" a="1"/>
  <c r="BJ227" i="72" a="1"/>
  <c r="BM227" i="72" a="1"/>
  <c r="CJ285" i="72" a="1"/>
  <c r="CG285" i="72" a="1"/>
  <c r="BN227" i="72" a="1"/>
  <c r="BL228" i="72" a="1"/>
  <c r="U242" i="44" l="1"/>
  <c r="U241" i="44"/>
  <c r="U588" i="44"/>
  <c r="U934" i="44"/>
  <c r="AQ178" i="34"/>
  <c r="AQ139" i="34"/>
  <c r="AQ100" i="34"/>
  <c r="BJ227" i="72"/>
  <c r="CJ285" i="72"/>
  <c r="CH285" i="72"/>
  <c r="CG285" i="72"/>
  <c r="CF285" i="72"/>
  <c r="CI285" i="72"/>
  <c r="CE287" i="72"/>
  <c r="CK227" i="72"/>
  <c r="BZ227" i="72"/>
  <c r="BL228" i="72"/>
  <c r="BK227" i="72"/>
  <c r="BO227" i="72" s="1"/>
  <c r="AQ99" i="34"/>
  <c r="BM227" i="72"/>
  <c r="BN227" i="72"/>
  <c r="BI229" i="72"/>
  <c r="CF286" i="72" a="1"/>
  <c r="BX355" i="72"/>
  <c r="CH286" i="72" a="1"/>
  <c r="CJ286" i="72" a="1"/>
  <c r="BX347" i="72"/>
  <c r="BM228" i="72" a="1"/>
  <c r="BJ228" i="72" a="1"/>
  <c r="BN228" i="72" a="1"/>
  <c r="BK228" i="72" a="1"/>
  <c r="BX354" i="72"/>
  <c r="CI286" i="72" a="1"/>
  <c r="CG286" i="72" a="1"/>
  <c r="BL229" i="72" a="1"/>
  <c r="U935" i="44" l="1"/>
  <c r="U243" i="44"/>
  <c r="U589" i="44"/>
  <c r="BX369" i="72"/>
  <c r="BX374" i="72" s="1"/>
  <c r="EB79" i="93" s="1"/>
  <c r="BM228" i="72"/>
  <c r="AQ179" i="34"/>
  <c r="AQ140" i="34"/>
  <c r="BJ228" i="72"/>
  <c r="CF286" i="72"/>
  <c r="CI286" i="72"/>
  <c r="CJ286" i="72"/>
  <c r="CH286" i="72"/>
  <c r="CG286" i="72"/>
  <c r="CE288" i="72"/>
  <c r="CK228" i="72"/>
  <c r="BZ228" i="72"/>
  <c r="BX361" i="72"/>
  <c r="BL229" i="72"/>
  <c r="AQ101" i="34"/>
  <c r="BN228" i="72"/>
  <c r="BK228" i="72"/>
  <c r="BI234" i="72"/>
  <c r="BZ436" i="72" a="1"/>
  <c r="BJ229" i="72" a="1"/>
  <c r="CG287" i="72" a="1"/>
  <c r="BK229" i="72" a="1"/>
  <c r="BP521" i="72"/>
  <c r="CI287" i="72" a="1"/>
  <c r="CF287" i="72" a="1"/>
  <c r="CH287" i="72" a="1"/>
  <c r="BX346" i="72"/>
  <c r="BM229" i="72" a="1"/>
  <c r="BZ452" i="72" a="1"/>
  <c r="CJ287" i="72" a="1"/>
  <c r="BN229" i="72" a="1"/>
  <c r="BQ521" i="72"/>
  <c r="BK234" i="72" a="1"/>
  <c r="BX360" i="72" l="1"/>
  <c r="AQ143" i="34" s="1"/>
  <c r="BX368" i="72"/>
  <c r="BX373" i="72" s="1"/>
  <c r="EB78" i="93" s="1"/>
  <c r="U936" i="44"/>
  <c r="U590" i="44"/>
  <c r="AQ183" i="34"/>
  <c r="AQ180" i="34"/>
  <c r="AQ141" i="34"/>
  <c r="BN229" i="72"/>
  <c r="CF287" i="72"/>
  <c r="CJ287" i="72"/>
  <c r="CI287" i="72"/>
  <c r="CH287" i="72"/>
  <c r="CG287" i="72"/>
  <c r="CE289" i="72"/>
  <c r="CK229" i="72"/>
  <c r="BZ229" i="72"/>
  <c r="BZ452" i="72"/>
  <c r="BZ436" i="72"/>
  <c r="BO228" i="72"/>
  <c r="BK229" i="72"/>
  <c r="BJ229" i="72"/>
  <c r="BM229" i="72"/>
  <c r="BK234" i="72"/>
  <c r="BI235" i="72"/>
  <c r="CR30" i="72" a="1"/>
  <c r="BZ420" i="72" a="1"/>
  <c r="CH288" i="72" a="1"/>
  <c r="BN234" i="72" a="1"/>
  <c r="BL234" i="72" a="1"/>
  <c r="BJ234" i="72" a="1"/>
  <c r="CF288" i="72" a="1"/>
  <c r="CG288" i="72" a="1"/>
  <c r="CI288" i="72" a="1"/>
  <c r="BN421" i="72" a="1"/>
  <c r="BM234" i="72" a="1"/>
  <c r="BN453" i="72" a="1"/>
  <c r="BO521" i="72"/>
  <c r="BN437" i="72" a="1"/>
  <c r="CJ288" i="72" a="1"/>
  <c r="BL235" i="72" a="1"/>
  <c r="AQ144" i="34" l="1"/>
  <c r="U591" i="44"/>
  <c r="U937" i="44"/>
  <c r="U244" i="44"/>
  <c r="CR30" i="72"/>
  <c r="AQ181" i="34"/>
  <c r="AQ142" i="34"/>
  <c r="BL234" i="72"/>
  <c r="CB452" i="72"/>
  <c r="CB436" i="72"/>
  <c r="CJ288" i="72"/>
  <c r="CG288" i="72"/>
  <c r="CH288" i="72"/>
  <c r="CI288" i="72"/>
  <c r="CF288" i="72"/>
  <c r="CE290" i="72"/>
  <c r="CK234" i="72"/>
  <c r="BZ234" i="72"/>
  <c r="BN453" i="72"/>
  <c r="BN437" i="72"/>
  <c r="BL235" i="72"/>
  <c r="BZ420" i="72"/>
  <c r="BN421" i="72"/>
  <c r="BP421" i="72" s="1"/>
  <c r="BI475" i="72" s="1"/>
  <c r="BO229" i="72"/>
  <c r="AQ102" i="34"/>
  <c r="BO234" i="72"/>
  <c r="BJ234" i="72"/>
  <c r="BM234" i="72"/>
  <c r="BN234" i="72"/>
  <c r="BI236" i="72"/>
  <c r="BN235" i="72" a="1"/>
  <c r="CG289" i="72" a="1"/>
  <c r="BM235" i="72" a="1"/>
  <c r="CJ289" i="72" a="1"/>
  <c r="CI289" i="72" a="1"/>
  <c r="CH289" i="72" a="1"/>
  <c r="BK235" i="72" a="1"/>
  <c r="CF289" i="72" a="1"/>
  <c r="BJ235" i="72" a="1"/>
  <c r="BJ236" i="72" a="1"/>
  <c r="U943" i="44" l="1"/>
  <c r="U597" i="44"/>
  <c r="U251" i="44"/>
  <c r="U245" i="44"/>
  <c r="BM235" i="72"/>
  <c r="AS170" i="34"/>
  <c r="AS131" i="34"/>
  <c r="BP437" i="72"/>
  <c r="BK475" i="72" s="1"/>
  <c r="BR474" i="72"/>
  <c r="BT474" i="72"/>
  <c r="J64" i="34"/>
  <c r="CB420" i="72"/>
  <c r="BP453" i="72"/>
  <c r="CJ289" i="72"/>
  <c r="CI289" i="72"/>
  <c r="CH289" i="72"/>
  <c r="CF289" i="72"/>
  <c r="CG289" i="72"/>
  <c r="CE291" i="72"/>
  <c r="CK235" i="72"/>
  <c r="BZ235" i="72"/>
  <c r="AQ103" i="34"/>
  <c r="AS92" i="34"/>
  <c r="BK235" i="72"/>
  <c r="BO235" i="72" s="1"/>
  <c r="BJ235" i="72"/>
  <c r="BN235" i="72"/>
  <c r="BJ236" i="72"/>
  <c r="BI237" i="72"/>
  <c r="CH290" i="72" a="1"/>
  <c r="BW353" i="72"/>
  <c r="BN236" i="72" a="1"/>
  <c r="BK236" i="72" a="1"/>
  <c r="CJ290" i="72" a="1"/>
  <c r="CI290" i="72" a="1"/>
  <c r="CF290" i="72" a="1"/>
  <c r="BM236" i="72" a="1"/>
  <c r="BL236" i="72" a="1"/>
  <c r="CG290" i="72" a="1"/>
  <c r="BL237" i="72" a="1"/>
  <c r="U944" i="44" l="1"/>
  <c r="U252" i="44"/>
  <c r="U598" i="44"/>
  <c r="BL236" i="72"/>
  <c r="AS171" i="34"/>
  <c r="AS132" i="34"/>
  <c r="AF63" i="34"/>
  <c r="X63" i="34"/>
  <c r="R64" i="34"/>
  <c r="BM475" i="72"/>
  <c r="Z64" i="34" s="1"/>
  <c r="BP474" i="72"/>
  <c r="CG290" i="72"/>
  <c r="CJ290" i="72"/>
  <c r="CF290" i="72"/>
  <c r="CI290" i="72"/>
  <c r="CH290" i="72"/>
  <c r="CE292" i="72"/>
  <c r="CK236" i="72"/>
  <c r="BZ236" i="72"/>
  <c r="BL237" i="72"/>
  <c r="AS93" i="34"/>
  <c r="BK236" i="72"/>
  <c r="BM236" i="72"/>
  <c r="BN236" i="72"/>
  <c r="BI238" i="72"/>
  <c r="BM237" i="72" a="1"/>
  <c r="CJ291" i="72" a="1"/>
  <c r="BK237" i="72" a="1"/>
  <c r="CF291" i="72" a="1"/>
  <c r="BN237" i="72" a="1"/>
  <c r="CG291" i="72" a="1"/>
  <c r="CH291" i="72" a="1"/>
  <c r="BL238" i="72" a="1"/>
  <c r="BW345" i="72"/>
  <c r="CI291" i="72" a="1"/>
  <c r="BJ237" i="72" a="1"/>
  <c r="U945" i="44" l="1"/>
  <c r="U599" i="44"/>
  <c r="BW367" i="72"/>
  <c r="BW372" i="72" s="1"/>
  <c r="EA77" i="93" s="1"/>
  <c r="BW359" i="72"/>
  <c r="AS172" i="34"/>
  <c r="AS133" i="34"/>
  <c r="BJ237" i="72"/>
  <c r="P63" i="34"/>
  <c r="CI291" i="72"/>
  <c r="CJ291" i="72"/>
  <c r="CH291" i="72"/>
  <c r="CG291" i="72"/>
  <c r="CF291" i="72"/>
  <c r="CE293" i="72"/>
  <c r="CK237" i="72"/>
  <c r="BZ237" i="72"/>
  <c r="BL238" i="72"/>
  <c r="BO236" i="72"/>
  <c r="BK237" i="72"/>
  <c r="BM237" i="72"/>
  <c r="BN237" i="72"/>
  <c r="BI239" i="72"/>
  <c r="BK238" i="72" a="1"/>
  <c r="CF292" i="72" a="1"/>
  <c r="BN238" i="72" a="1"/>
  <c r="CG292" i="72" a="1"/>
  <c r="CH292" i="72" a="1"/>
  <c r="CI292" i="72" a="1"/>
  <c r="CJ292" i="72" a="1"/>
  <c r="BM238" i="72" a="1"/>
  <c r="BJ238" i="72" a="1"/>
  <c r="BL239" i="72" a="1"/>
  <c r="U253" i="44" l="1"/>
  <c r="U600" i="44"/>
  <c r="U946" i="44"/>
  <c r="AO105" i="34"/>
  <c r="AS173" i="34"/>
  <c r="AS134" i="34"/>
  <c r="CF292" i="72"/>
  <c r="CG292" i="72"/>
  <c r="CJ292" i="72"/>
  <c r="CI292" i="72"/>
  <c r="CH292" i="72"/>
  <c r="CE298" i="72"/>
  <c r="CK238" i="72"/>
  <c r="BZ238" i="72"/>
  <c r="BL239" i="72"/>
  <c r="AS94" i="34"/>
  <c r="BO237" i="72"/>
  <c r="BN238" i="72"/>
  <c r="BK238" i="72"/>
  <c r="BO238" i="72" s="1"/>
  <c r="BJ238" i="72"/>
  <c r="BM238" i="72"/>
  <c r="BI240" i="72"/>
  <c r="BN239" i="72" a="1"/>
  <c r="CG293" i="72" a="1"/>
  <c r="CJ293" i="72" a="1"/>
  <c r="CH293" i="72" a="1"/>
  <c r="BM239" i="72" a="1"/>
  <c r="BJ239" i="72" a="1"/>
  <c r="BL240" i="72" a="1"/>
  <c r="CF293" i="72" a="1"/>
  <c r="BK239" i="72" a="1"/>
  <c r="CI293" i="72" a="1"/>
  <c r="U254" i="44" l="1"/>
  <c r="U601" i="44"/>
  <c r="U255" i="44"/>
  <c r="U947" i="44"/>
  <c r="BM239" i="72"/>
  <c r="AS174" i="34"/>
  <c r="AS135" i="34"/>
  <c r="CJ293" i="72"/>
  <c r="CG293" i="72"/>
  <c r="CI293" i="72"/>
  <c r="CH293" i="72"/>
  <c r="CF293" i="72"/>
  <c r="CE299" i="72"/>
  <c r="CK239" i="72"/>
  <c r="BZ239" i="72"/>
  <c r="BL240" i="72"/>
  <c r="AS95" i="34"/>
  <c r="AS96" i="34"/>
  <c r="BJ239" i="72"/>
  <c r="BN239" i="72"/>
  <c r="BK239" i="72"/>
  <c r="BO239" i="72" s="1"/>
  <c r="BI241" i="72"/>
  <c r="BM240" i="72" a="1"/>
  <c r="BN240" i="72" a="1"/>
  <c r="CG298" i="72" a="1"/>
  <c r="CI298" i="72" a="1"/>
  <c r="CJ298" i="72" a="1"/>
  <c r="BJ240" i="72" a="1"/>
  <c r="CH298" i="72" a="1"/>
  <c r="CF298" i="72" a="1"/>
  <c r="BK240" i="72" a="1"/>
  <c r="BL241" i="72" a="1"/>
  <c r="U602" i="44" l="1"/>
  <c r="U948" i="44"/>
  <c r="U256" i="44"/>
  <c r="AS175" i="34"/>
  <c r="AS136" i="34"/>
  <c r="BM240" i="72"/>
  <c r="CH298" i="72"/>
  <c r="CJ298" i="72"/>
  <c r="CF298" i="72"/>
  <c r="CI298" i="72"/>
  <c r="CG298" i="72"/>
  <c r="CE300" i="72"/>
  <c r="CK240" i="72"/>
  <c r="BZ240" i="72"/>
  <c r="BL241" i="72"/>
  <c r="AS97" i="34"/>
  <c r="BK240" i="72"/>
  <c r="BO240" i="72" s="1"/>
  <c r="BN240" i="72"/>
  <c r="BJ240" i="72"/>
  <c r="BI242" i="72"/>
  <c r="CJ299" i="72" a="1"/>
  <c r="BN241" i="72" a="1"/>
  <c r="BK241" i="72" a="1"/>
  <c r="CH299" i="72" a="1"/>
  <c r="CI299" i="72" a="1"/>
  <c r="BM241" i="72" a="1"/>
  <c r="BJ241" i="72" a="1"/>
  <c r="CR48" i="72" a="1"/>
  <c r="CF299" i="72" a="1"/>
  <c r="CG299" i="72" a="1"/>
  <c r="BL242" i="72" a="1"/>
  <c r="CR48" i="72" l="1"/>
  <c r="U257" i="44"/>
  <c r="U603" i="44"/>
  <c r="U949" i="44"/>
  <c r="AS176" i="34"/>
  <c r="AS137" i="34"/>
  <c r="BN241" i="72"/>
  <c r="CI299" i="72"/>
  <c r="CH299" i="72"/>
  <c r="CG299" i="72"/>
  <c r="CJ299" i="72"/>
  <c r="CF299" i="72"/>
  <c r="CE301" i="72"/>
  <c r="CK241" i="72"/>
  <c r="BZ241" i="72"/>
  <c r="BL242" i="72"/>
  <c r="AS98" i="34"/>
  <c r="BK241" i="72"/>
  <c r="BO241" i="72" s="1"/>
  <c r="BM241" i="72"/>
  <c r="BJ241" i="72"/>
  <c r="BI243" i="72"/>
  <c r="BJ242" i="72" a="1"/>
  <c r="BN242" i="72" a="1"/>
  <c r="CH300" i="72" a="1"/>
  <c r="CI300" i="72" a="1"/>
  <c r="CF300" i="72" a="1"/>
  <c r="BM242" i="72" a="1"/>
  <c r="CG300" i="72" a="1"/>
  <c r="BK242" i="72" a="1"/>
  <c r="CJ300" i="72" a="1"/>
  <c r="BL243" i="72" a="1"/>
  <c r="U258" i="44" l="1"/>
  <c r="U604" i="44"/>
  <c r="U950" i="44"/>
  <c r="AS177" i="34"/>
  <c r="AS138" i="34"/>
  <c r="BN242" i="72"/>
  <c r="CI300" i="72"/>
  <c r="CH300" i="72"/>
  <c r="CJ300" i="72"/>
  <c r="CG300" i="72"/>
  <c r="CF300" i="72"/>
  <c r="CE302" i="72"/>
  <c r="CK242" i="72"/>
  <c r="BZ242" i="72"/>
  <c r="BL243" i="72"/>
  <c r="AS99" i="34"/>
  <c r="BM242" i="72"/>
  <c r="BK242" i="72"/>
  <c r="BJ242" i="72"/>
  <c r="BI244" i="72"/>
  <c r="BJ243" i="72" a="1"/>
  <c r="CF301" i="72" a="1"/>
  <c r="CI301" i="72" a="1"/>
  <c r="BN243" i="72" a="1"/>
  <c r="BL244" i="72" a="1"/>
  <c r="CH301" i="72" a="1"/>
  <c r="CJ301" i="72" a="1"/>
  <c r="CG301" i="72" a="1"/>
  <c r="BM243" i="72" a="1"/>
  <c r="BK243" i="72" a="1"/>
  <c r="U605" i="44" l="1"/>
  <c r="U951" i="44"/>
  <c r="AS178" i="34"/>
  <c r="AS139" i="34"/>
  <c r="BM243" i="72"/>
  <c r="CJ301" i="72"/>
  <c r="CG301" i="72"/>
  <c r="CI301" i="72"/>
  <c r="CH301" i="72"/>
  <c r="CF301" i="72"/>
  <c r="CE303" i="72"/>
  <c r="CK243" i="72"/>
  <c r="BZ243" i="72"/>
  <c r="BL244" i="72"/>
  <c r="BO242" i="72"/>
  <c r="BN243" i="72"/>
  <c r="BJ243" i="72"/>
  <c r="BK243" i="72"/>
  <c r="BO243" i="72" s="1"/>
  <c r="BI245" i="72"/>
  <c r="BY346" i="72"/>
  <c r="BM244" i="72" a="1"/>
  <c r="CF302" i="72" a="1"/>
  <c r="BY355" i="72"/>
  <c r="BJ244" i="72" a="1"/>
  <c r="CJ302" i="72" a="1"/>
  <c r="BK244" i="72" a="1"/>
  <c r="CH302" i="72" a="1"/>
  <c r="BN244" i="72" a="1"/>
  <c r="CI302" i="72" a="1"/>
  <c r="BL245" i="72" a="1"/>
  <c r="CG302" i="72" a="1"/>
  <c r="BY347" i="72"/>
  <c r="BY354" i="72"/>
  <c r="U260" i="44" l="1"/>
  <c r="U259" i="44"/>
  <c r="U606" i="44"/>
  <c r="U952" i="44"/>
  <c r="BY369" i="72"/>
  <c r="BY374" i="72" s="1"/>
  <c r="EC79" i="93" s="1"/>
  <c r="BY368" i="72"/>
  <c r="BY373" i="72" s="1"/>
  <c r="EC78" i="93" s="1"/>
  <c r="AS179" i="34"/>
  <c r="AS140" i="34"/>
  <c r="BN244" i="72"/>
  <c r="CJ302" i="72"/>
  <c r="CI302" i="72"/>
  <c r="CH302" i="72"/>
  <c r="CF302" i="72"/>
  <c r="CG302" i="72"/>
  <c r="CE304" i="72"/>
  <c r="CK244" i="72"/>
  <c r="BZ244" i="72"/>
  <c r="BY361" i="72"/>
  <c r="BY360" i="72"/>
  <c r="BL245" i="72"/>
  <c r="AS101" i="34"/>
  <c r="AS100" i="34"/>
  <c r="BJ244" i="72"/>
  <c r="BM244" i="72"/>
  <c r="BK244" i="72"/>
  <c r="BO244" i="72" s="1"/>
  <c r="BI250" i="72"/>
  <c r="CI303" i="72" a="1"/>
  <c r="BY437" i="72" a="1"/>
  <c r="BY453" i="72" a="1"/>
  <c r="BL250" i="72" a="1"/>
  <c r="BJ245" i="72" a="1"/>
  <c r="BQ522" i="72"/>
  <c r="BO522" i="72"/>
  <c r="BM245" i="72" a="1"/>
  <c r="BN245" i="72" a="1"/>
  <c r="BP522" i="72"/>
  <c r="CG303" i="72" a="1"/>
  <c r="BK245" i="72" a="1"/>
  <c r="CF303" i="72" a="1"/>
  <c r="CH303" i="72" a="1"/>
  <c r="CJ303" i="72" a="1"/>
  <c r="BM245" i="72" l="1"/>
  <c r="U261" i="44"/>
  <c r="U953" i="44"/>
  <c r="U607" i="44"/>
  <c r="AS144" i="34"/>
  <c r="AS183" i="34"/>
  <c r="AS143" i="34"/>
  <c r="AS180" i="34"/>
  <c r="AS141" i="34"/>
  <c r="CF303" i="72"/>
  <c r="CJ303" i="72"/>
  <c r="CI303" i="72"/>
  <c r="CG303" i="72"/>
  <c r="CH303" i="72"/>
  <c r="CE305" i="72"/>
  <c r="CK245" i="72"/>
  <c r="BZ245" i="72"/>
  <c r="BY453" i="72"/>
  <c r="BY437" i="72"/>
  <c r="BL250" i="72"/>
  <c r="AS102" i="34"/>
  <c r="BN245" i="72"/>
  <c r="BJ245" i="72"/>
  <c r="BK245" i="72"/>
  <c r="BI251" i="72"/>
  <c r="BN250" i="72" a="1"/>
  <c r="CI304" i="72" a="1"/>
  <c r="CH304" i="72" a="1"/>
  <c r="CF304" i="72" a="1"/>
  <c r="BK250" i="72" a="1"/>
  <c r="CJ304" i="72" a="1"/>
  <c r="BJ250" i="72" a="1"/>
  <c r="BY421" i="72" a="1"/>
  <c r="BK251" i="72" a="1"/>
  <c r="BM250" i="72" a="1"/>
  <c r="BO453" i="72" a="1"/>
  <c r="CG304" i="72" a="1"/>
  <c r="BO437" i="72" a="1"/>
  <c r="U608" i="44" l="1"/>
  <c r="U954" i="44"/>
  <c r="BK250" i="72"/>
  <c r="BO250" i="72" s="1"/>
  <c r="AS181" i="34"/>
  <c r="AS142" i="34"/>
  <c r="CA453" i="72"/>
  <c r="CA437" i="72"/>
  <c r="CJ304" i="72"/>
  <c r="CF304" i="72"/>
  <c r="CI304" i="72"/>
  <c r="CH304" i="72"/>
  <c r="CG304" i="72"/>
  <c r="CE306" i="72"/>
  <c r="CK250" i="72"/>
  <c r="BZ250" i="72"/>
  <c r="BO453" i="72"/>
  <c r="BO437" i="72"/>
  <c r="BY421" i="72"/>
  <c r="BO245" i="72"/>
  <c r="BM250" i="72"/>
  <c r="BJ250" i="72"/>
  <c r="BN250" i="72"/>
  <c r="BK251" i="72"/>
  <c r="BO251" i="72" s="1"/>
  <c r="BI252" i="72"/>
  <c r="BL251" i="72" a="1"/>
  <c r="CI305" i="72" a="1"/>
  <c r="CG305" i="72" a="1"/>
  <c r="BO421" i="72" a="1"/>
  <c r="CH305" i="72" a="1"/>
  <c r="BJ251" i="72" a="1"/>
  <c r="BM251" i="72" a="1"/>
  <c r="CF305" i="72" a="1"/>
  <c r="CJ305" i="72" a="1"/>
  <c r="BN251" i="72" a="1"/>
  <c r="BL252" i="72" a="1"/>
  <c r="U268" i="44" l="1"/>
  <c r="U960" i="44"/>
  <c r="U262" i="44"/>
  <c r="U614" i="44"/>
  <c r="U269" i="44"/>
  <c r="BO421" i="72"/>
  <c r="BQ421" i="72" s="1"/>
  <c r="BJ475" i="72" s="1"/>
  <c r="AU170" i="34"/>
  <c r="AU131" i="34"/>
  <c r="BQ437" i="72"/>
  <c r="BL475" i="72" s="1"/>
  <c r="BQ475" i="72"/>
  <c r="BS475" i="72"/>
  <c r="BL251" i="72"/>
  <c r="CA421" i="72"/>
  <c r="BQ453" i="72"/>
  <c r="CG305" i="72"/>
  <c r="CF305" i="72"/>
  <c r="CI305" i="72"/>
  <c r="CJ305" i="72"/>
  <c r="CH305" i="72"/>
  <c r="CE307" i="72"/>
  <c r="CK251" i="72"/>
  <c r="BZ251" i="72"/>
  <c r="BL252" i="72"/>
  <c r="AS103" i="34"/>
  <c r="AU92" i="34"/>
  <c r="AU93" i="34"/>
  <c r="BM251" i="72"/>
  <c r="BN251" i="72"/>
  <c r="BJ251" i="72"/>
  <c r="BI253" i="72"/>
  <c r="CG306" i="72" a="1"/>
  <c r="CF306" i="72" a="1"/>
  <c r="BN252" i="72" a="1"/>
  <c r="CI306" i="72" a="1"/>
  <c r="BJ252" i="72" a="1"/>
  <c r="CJ306" i="72" a="1"/>
  <c r="CH306" i="72" a="1"/>
  <c r="BM252" i="72" a="1"/>
  <c r="BK252" i="72" a="1"/>
  <c r="BL253" i="72" a="1"/>
  <c r="U615" i="44" l="1"/>
  <c r="U961" i="44"/>
  <c r="AU171" i="34"/>
  <c r="AU132" i="34"/>
  <c r="AD64" i="34"/>
  <c r="V64" i="34"/>
  <c r="T64" i="34"/>
  <c r="L64" i="34"/>
  <c r="BO475" i="72"/>
  <c r="BN475" i="72"/>
  <c r="BN252" i="72"/>
  <c r="CH306" i="72"/>
  <c r="CF306" i="72"/>
  <c r="CJ306" i="72"/>
  <c r="CG306" i="72"/>
  <c r="CI306" i="72"/>
  <c r="CE308" i="72"/>
  <c r="CK252" i="72"/>
  <c r="BZ252" i="72"/>
  <c r="BL253" i="72"/>
  <c r="BK252" i="72"/>
  <c r="BO252" i="72" s="1"/>
  <c r="BM252" i="72"/>
  <c r="BJ252" i="72"/>
  <c r="BI254" i="72"/>
  <c r="CF307" i="72" a="1"/>
  <c r="BJ253" i="72" a="1"/>
  <c r="CH307" i="72" a="1"/>
  <c r="CJ307" i="72" a="1"/>
  <c r="BN253" i="72" a="1"/>
  <c r="BK253" i="72" a="1"/>
  <c r="CG307" i="72" a="1"/>
  <c r="CI307" i="72" a="1"/>
  <c r="BM253" i="72" a="1"/>
  <c r="BL254" i="72" a="1"/>
  <c r="U962" i="44" l="1"/>
  <c r="U616" i="44"/>
  <c r="U270" i="44"/>
  <c r="AU172" i="34"/>
  <c r="AU133" i="34"/>
  <c r="AB64" i="34"/>
  <c r="N64" i="34"/>
  <c r="BM253" i="72"/>
  <c r="CF307" i="72"/>
  <c r="CH307" i="72"/>
  <c r="CI307" i="72"/>
  <c r="CJ307" i="72"/>
  <c r="CG307" i="72"/>
  <c r="CE309" i="72"/>
  <c r="CK253" i="72"/>
  <c r="BZ253" i="72"/>
  <c r="BL254" i="72"/>
  <c r="AU94" i="34"/>
  <c r="BJ253" i="72"/>
  <c r="BK253" i="72"/>
  <c r="BO253" i="72" s="1"/>
  <c r="BN253" i="72"/>
  <c r="BI255" i="72"/>
  <c r="CF308" i="72" a="1"/>
  <c r="BJ254" i="72" a="1"/>
  <c r="BN254" i="72" a="1"/>
  <c r="BM254" i="72" a="1"/>
  <c r="CJ308" i="72" a="1"/>
  <c r="BK254" i="72" a="1"/>
  <c r="CH308" i="72" a="1"/>
  <c r="CI308" i="72" a="1"/>
  <c r="CG308" i="72" a="1"/>
  <c r="BL255" i="72" a="1"/>
  <c r="U617" i="44" l="1"/>
  <c r="U271" i="44"/>
  <c r="U963" i="44"/>
  <c r="AU173" i="34"/>
  <c r="AU134" i="34"/>
  <c r="BJ254" i="72"/>
  <c r="CI308" i="72"/>
  <c r="CH308" i="72"/>
  <c r="CG308" i="72"/>
  <c r="CF308" i="72"/>
  <c r="CJ308" i="72"/>
  <c r="CE314" i="72"/>
  <c r="CK254" i="72"/>
  <c r="BZ254" i="72"/>
  <c r="BL255" i="72"/>
  <c r="AU95" i="34"/>
  <c r="BM254" i="72"/>
  <c r="BK254" i="72"/>
  <c r="BN254" i="72"/>
  <c r="BI256" i="72"/>
  <c r="BM255" i="72" a="1"/>
  <c r="BK255" i="72" a="1"/>
  <c r="BJ255" i="72" a="1"/>
  <c r="CI309" i="72" a="1"/>
  <c r="BX353" i="72"/>
  <c r="CJ309" i="72" a="1"/>
  <c r="BL256" i="72" a="1"/>
  <c r="CG309" i="72" a="1"/>
  <c r="BX345" i="72"/>
  <c r="BN255" i="72" a="1"/>
  <c r="CH309" i="72" a="1"/>
  <c r="CF309" i="72" a="1"/>
  <c r="U618" i="44" l="1"/>
  <c r="U964" i="44"/>
  <c r="BX367" i="72"/>
  <c r="BX372" i="72" s="1"/>
  <c r="EB77" i="93" s="1"/>
  <c r="BX359" i="72"/>
  <c r="AU174" i="34"/>
  <c r="AU135" i="34"/>
  <c r="CF309" i="72"/>
  <c r="CG309" i="72"/>
  <c r="CI309" i="72"/>
  <c r="CJ309" i="72"/>
  <c r="CH309" i="72"/>
  <c r="CE315" i="72"/>
  <c r="CK255" i="72"/>
  <c r="BZ255" i="72"/>
  <c r="BL256" i="72"/>
  <c r="BO254" i="72"/>
  <c r="BN255" i="72"/>
  <c r="BK255" i="72"/>
  <c r="BO255" i="72" s="1"/>
  <c r="BM255" i="72"/>
  <c r="BJ255" i="72"/>
  <c r="BI257" i="72"/>
  <c r="CJ314" i="72" a="1"/>
  <c r="CF314" i="72" a="1"/>
  <c r="BN256" i="72" a="1"/>
  <c r="BK256" i="72" a="1"/>
  <c r="CG314" i="72" a="1"/>
  <c r="BJ256" i="72" a="1"/>
  <c r="CI314" i="72" a="1"/>
  <c r="BM256" i="72" a="1"/>
  <c r="CH314" i="72" a="1"/>
  <c r="BL257" i="72" a="1"/>
  <c r="U273" i="44" l="1"/>
  <c r="U272" i="44"/>
  <c r="U619" i="44"/>
  <c r="U965" i="44"/>
  <c r="AQ105" i="34"/>
  <c r="AU175" i="34"/>
  <c r="AU136" i="34"/>
  <c r="BJ256" i="72"/>
  <c r="CJ314" i="72"/>
  <c r="CI314" i="72"/>
  <c r="CG314" i="72"/>
  <c r="CH314" i="72"/>
  <c r="CF314" i="72"/>
  <c r="CE316" i="72"/>
  <c r="CK256" i="72"/>
  <c r="BZ256" i="72"/>
  <c r="BL257" i="72"/>
  <c r="AU97" i="34"/>
  <c r="AU96" i="34"/>
  <c r="BK256" i="72"/>
  <c r="BM256" i="72"/>
  <c r="BN256" i="72"/>
  <c r="BI258" i="72"/>
  <c r="CI315" i="72" a="1"/>
  <c r="BJ257" i="72" a="1"/>
  <c r="CH315" i="72" a="1"/>
  <c r="BM257" i="72" a="1"/>
  <c r="BN257" i="72" a="1"/>
  <c r="CF315" i="72" a="1"/>
  <c r="CJ315" i="72" a="1"/>
  <c r="BK257" i="72" a="1"/>
  <c r="BL258" i="72" a="1"/>
  <c r="CG315" i="72" a="1"/>
  <c r="U620" i="44" l="1"/>
  <c r="U966" i="44"/>
  <c r="AU176" i="34"/>
  <c r="AU137" i="34"/>
  <c r="BK257" i="72"/>
  <c r="BO257" i="72" s="1"/>
  <c r="CH315" i="72"/>
  <c r="CJ315" i="72"/>
  <c r="CG315" i="72"/>
  <c r="CI315" i="72"/>
  <c r="CF315" i="72"/>
  <c r="CE317" i="72"/>
  <c r="CK257" i="72"/>
  <c r="BZ257" i="72"/>
  <c r="BL258" i="72"/>
  <c r="BJ257" i="72"/>
  <c r="BN257" i="72"/>
  <c r="BO256" i="72"/>
  <c r="BM257" i="72"/>
  <c r="BI259" i="72"/>
  <c r="BJ258" i="72" a="1"/>
  <c r="CI316" i="72" a="1"/>
  <c r="BM258" i="72" a="1"/>
  <c r="CJ316" i="72" a="1"/>
  <c r="CF316" i="72" a="1"/>
  <c r="CG316" i="72" a="1"/>
  <c r="BL259" i="72" a="1"/>
  <c r="BN258" i="72" a="1"/>
  <c r="CH316" i="72" a="1"/>
  <c r="BK258" i="72" a="1"/>
  <c r="U274" i="44" l="1"/>
  <c r="U275" i="44"/>
  <c r="U621" i="44"/>
  <c r="U967" i="44"/>
  <c r="AU177" i="34"/>
  <c r="AU138" i="34"/>
  <c r="AU99" i="34"/>
  <c r="CG316" i="72"/>
  <c r="CI316" i="72"/>
  <c r="CF316" i="72"/>
  <c r="CJ316" i="72"/>
  <c r="CH316" i="72"/>
  <c r="CE318" i="72"/>
  <c r="CK258" i="72"/>
  <c r="BZ258" i="72"/>
  <c r="BL259" i="72"/>
  <c r="AU98" i="34"/>
  <c r="BK258" i="72"/>
  <c r="BO258" i="72" s="1"/>
  <c r="BN258" i="72"/>
  <c r="BM258" i="72"/>
  <c r="BJ258" i="72"/>
  <c r="BI260" i="72"/>
  <c r="BM259" i="72" a="1"/>
  <c r="BK259" i="72" a="1"/>
  <c r="BN259" i="72" a="1"/>
  <c r="BJ259" i="72" a="1"/>
  <c r="CG317" i="72" a="1"/>
  <c r="CF317" i="72" a="1"/>
  <c r="CI317" i="72" a="1"/>
  <c r="CJ317" i="72" a="1"/>
  <c r="CH317" i="72" a="1"/>
  <c r="BL260" i="72" a="1"/>
  <c r="U622" i="44" l="1"/>
  <c r="U968" i="44"/>
  <c r="U276" i="44"/>
  <c r="AU178" i="34"/>
  <c r="AU139" i="34"/>
  <c r="CG317" i="72"/>
  <c r="CF317" i="72"/>
  <c r="CJ317" i="72"/>
  <c r="CH317" i="72"/>
  <c r="CI317" i="72"/>
  <c r="CE319" i="72"/>
  <c r="CK259" i="72"/>
  <c r="BZ259" i="72"/>
  <c r="BL260" i="72"/>
  <c r="AU100" i="34"/>
  <c r="BN259" i="72"/>
  <c r="BK259" i="72"/>
  <c r="BO259" i="72" s="1"/>
  <c r="BJ259" i="72"/>
  <c r="BM259" i="72"/>
  <c r="BI261" i="72"/>
  <c r="CG318" i="72" a="1"/>
  <c r="BN260" i="72" a="1"/>
  <c r="BJ260" i="72" a="1"/>
  <c r="CH318" i="72" a="1"/>
  <c r="CJ318" i="72" a="1"/>
  <c r="BM260" i="72" a="1"/>
  <c r="CI318" i="72" a="1"/>
  <c r="BK260" i="72" a="1"/>
  <c r="CF318" i="72" a="1"/>
  <c r="BM261" i="72" a="1"/>
  <c r="U277" i="44" l="1"/>
  <c r="U623" i="44"/>
  <c r="U969" i="44"/>
  <c r="AU179" i="34"/>
  <c r="AU140" i="34"/>
  <c r="BM260" i="72"/>
  <c r="CI318" i="72"/>
  <c r="CH318" i="72"/>
  <c r="CJ318" i="72"/>
  <c r="CF318" i="72"/>
  <c r="CG318" i="72"/>
  <c r="CE320" i="72"/>
  <c r="CK260" i="72"/>
  <c r="BZ260" i="72"/>
  <c r="BN260" i="72"/>
  <c r="AU101" i="34"/>
  <c r="BJ260" i="72"/>
  <c r="BK260" i="72"/>
  <c r="BO260" i="72" s="1"/>
  <c r="BM261" i="72"/>
  <c r="BI266" i="72"/>
  <c r="BZ345" i="72"/>
  <c r="BL261" i="72" a="1"/>
  <c r="BN261" i="72" a="1"/>
  <c r="CF319" i="72" a="1"/>
  <c r="BK261" i="72" a="1"/>
  <c r="BZ353" i="72"/>
  <c r="BO523" i="72"/>
  <c r="CI319" i="72" a="1"/>
  <c r="BZ437" i="72" a="1"/>
  <c r="CG319" i="72" a="1"/>
  <c r="CH319" i="72" a="1"/>
  <c r="BQ523" i="72"/>
  <c r="BZ453" i="72" a="1"/>
  <c r="CJ319" i="72" a="1"/>
  <c r="BJ261" i="72" a="1"/>
  <c r="BP523" i="72"/>
  <c r="BN266" i="72" a="1"/>
  <c r="U624" i="44" l="1"/>
  <c r="U278" i="44"/>
  <c r="U970" i="44"/>
  <c r="BZ367" i="72"/>
  <c r="BZ359" i="72"/>
  <c r="AU180" i="34"/>
  <c r="AU141" i="34"/>
  <c r="BL261" i="72"/>
  <c r="CF319" i="72"/>
  <c r="CG319" i="72"/>
  <c r="CJ319" i="72"/>
  <c r="CH319" i="72"/>
  <c r="CI319" i="72"/>
  <c r="CE321" i="72"/>
  <c r="CK261" i="72"/>
  <c r="BZ261" i="72"/>
  <c r="BZ453" i="72"/>
  <c r="BZ437" i="72"/>
  <c r="AU102" i="34"/>
  <c r="BJ261" i="72"/>
  <c r="BK261" i="72"/>
  <c r="BN261" i="72"/>
  <c r="BN266" i="72"/>
  <c r="BI267" i="72"/>
  <c r="CJ320" i="72" a="1"/>
  <c r="BN438" i="72" a="1"/>
  <c r="BM266" i="72" a="1"/>
  <c r="BJ266" i="72" a="1"/>
  <c r="BK266" i="72" a="1"/>
  <c r="BZ421" i="72" a="1"/>
  <c r="CI320" i="72" a="1"/>
  <c r="BL266" i="72" a="1"/>
  <c r="CF320" i="72" a="1"/>
  <c r="CH320" i="72" a="1"/>
  <c r="BN454" i="72" a="1"/>
  <c r="CG320" i="72" a="1"/>
  <c r="BJ267" i="72" a="1"/>
  <c r="U625" i="44" l="1"/>
  <c r="U971" i="44"/>
  <c r="AU181" i="34"/>
  <c r="AU142" i="34"/>
  <c r="BL266" i="72"/>
  <c r="CB453" i="72"/>
  <c r="CB437" i="72"/>
  <c r="CI320" i="72"/>
  <c r="CJ320" i="72"/>
  <c r="CF320" i="72"/>
  <c r="CG320" i="72"/>
  <c r="CH320" i="72"/>
  <c r="CE322" i="72"/>
  <c r="CK266" i="72"/>
  <c r="BZ266" i="72"/>
  <c r="BN454" i="72"/>
  <c r="BN438" i="72"/>
  <c r="BP438" i="72" s="1"/>
  <c r="BZ421" i="72"/>
  <c r="BO261" i="72"/>
  <c r="BK266" i="72"/>
  <c r="BJ266" i="72"/>
  <c r="BM266" i="72"/>
  <c r="BJ267" i="72"/>
  <c r="BI268" i="72"/>
  <c r="BM267" i="72" a="1"/>
  <c r="CG321" i="72" a="1"/>
  <c r="CH321" i="72" a="1"/>
  <c r="BK267" i="72" a="1"/>
  <c r="BO347" i="72"/>
  <c r="CR31" i="72" a="1"/>
  <c r="BL267" i="72" a="1"/>
  <c r="CI321" i="72" a="1"/>
  <c r="CJ321" i="72" a="1"/>
  <c r="CF321" i="72" a="1"/>
  <c r="BN422" i="72" a="1"/>
  <c r="BN267" i="72" a="1"/>
  <c r="BO355" i="72"/>
  <c r="BL268" i="72" a="1"/>
  <c r="BM267" i="72" l="1"/>
  <c r="U279" i="44"/>
  <c r="U631" i="44"/>
  <c r="U977" i="44"/>
  <c r="BO369" i="72"/>
  <c r="BO374" i="72" s="1"/>
  <c r="DS79" i="93" s="1"/>
  <c r="CR31" i="72"/>
  <c r="BO361" i="72"/>
  <c r="AW170" i="34"/>
  <c r="AW131" i="34"/>
  <c r="BR475" i="72"/>
  <c r="BT475" i="72"/>
  <c r="BK476" i="72"/>
  <c r="BK267" i="72"/>
  <c r="BO267" i="72" s="1"/>
  <c r="BL267" i="72"/>
  <c r="CB421" i="72"/>
  <c r="BP454" i="72"/>
  <c r="CG321" i="72"/>
  <c r="CH321" i="72"/>
  <c r="CI321" i="72"/>
  <c r="CF321" i="72"/>
  <c r="CJ321" i="72"/>
  <c r="CE323" i="72"/>
  <c r="CK267" i="72"/>
  <c r="BZ267" i="72"/>
  <c r="BL268" i="72"/>
  <c r="AU103" i="34"/>
  <c r="BN422" i="72"/>
  <c r="BP422" i="72" s="1"/>
  <c r="BI476" i="72" s="1"/>
  <c r="BO266" i="72"/>
  <c r="BN267" i="72"/>
  <c r="BI269" i="72"/>
  <c r="BK268" i="72" a="1"/>
  <c r="CI322" i="72" a="1"/>
  <c r="BN268" i="72" a="1"/>
  <c r="CJ322" i="72" a="1"/>
  <c r="CH322" i="72" a="1"/>
  <c r="BJ268" i="72" a="1"/>
  <c r="CF322" i="72" a="1"/>
  <c r="CG322" i="72" a="1"/>
  <c r="BM268" i="72" a="1"/>
  <c r="BM269" i="72" a="1"/>
  <c r="U286" i="44" l="1"/>
  <c r="U285" i="44"/>
  <c r="U632" i="44"/>
  <c r="U978" i="44"/>
  <c r="Y183" i="34"/>
  <c r="AW171" i="34"/>
  <c r="AW132" i="34"/>
  <c r="R65" i="34"/>
  <c r="AF64" i="34"/>
  <c r="X64" i="34"/>
  <c r="BM476" i="72"/>
  <c r="Z65" i="34" s="1"/>
  <c r="BP475" i="72"/>
  <c r="J65" i="34"/>
  <c r="CH322" i="72"/>
  <c r="CI322" i="72"/>
  <c r="CG322" i="72"/>
  <c r="CF322" i="72"/>
  <c r="CJ322" i="72"/>
  <c r="CE324" i="72"/>
  <c r="CK268" i="72"/>
  <c r="BZ268" i="72"/>
  <c r="AW93" i="34"/>
  <c r="AW92" i="34"/>
  <c r="BK268" i="72"/>
  <c r="BO268" i="72" s="1"/>
  <c r="BJ268" i="72"/>
  <c r="BN268" i="72"/>
  <c r="BM268" i="72"/>
  <c r="BM269" i="72"/>
  <c r="BI270" i="72"/>
  <c r="CH323" i="72" a="1"/>
  <c r="BJ269" i="72" a="1"/>
  <c r="BN269" i="72" a="1"/>
  <c r="CF323" i="72" a="1"/>
  <c r="BL269" i="72" a="1"/>
  <c r="CG323" i="72" a="1"/>
  <c r="BL270" i="72" a="1"/>
  <c r="BK269" i="72" a="1"/>
  <c r="CI323" i="72" a="1"/>
  <c r="CJ323" i="72" a="1"/>
  <c r="U287" i="44" l="1"/>
  <c r="U633" i="44"/>
  <c r="U979" i="44"/>
  <c r="AW172" i="34"/>
  <c r="AW133" i="34"/>
  <c r="BL269" i="72"/>
  <c r="P64" i="34"/>
  <c r="CJ323" i="72"/>
  <c r="CF323" i="72"/>
  <c r="CI323" i="72"/>
  <c r="CG323" i="72"/>
  <c r="CH323" i="72"/>
  <c r="CE325" i="72"/>
  <c r="CK269" i="72"/>
  <c r="BZ269" i="72"/>
  <c r="BL270" i="72"/>
  <c r="AW94" i="34"/>
  <c r="BK269" i="72"/>
  <c r="BO269" i="72" s="1"/>
  <c r="BN269" i="72"/>
  <c r="BJ269" i="72"/>
  <c r="BI271" i="72"/>
  <c r="CH324" i="72" a="1"/>
  <c r="CF324" i="72" a="1"/>
  <c r="CJ324" i="72" a="1"/>
  <c r="BM270" i="72" a="1"/>
  <c r="CG324" i="72" a="1"/>
  <c r="BN270" i="72" a="1"/>
  <c r="CI324" i="72" a="1"/>
  <c r="BJ270" i="72" a="1"/>
  <c r="BK270" i="72" a="1"/>
  <c r="BL271" i="72" a="1"/>
  <c r="U288" i="44" l="1"/>
  <c r="U634" i="44"/>
  <c r="U980" i="44"/>
  <c r="AW173" i="34"/>
  <c r="AW134" i="34"/>
  <c r="BN270" i="72"/>
  <c r="CH324" i="72"/>
  <c r="CG324" i="72"/>
  <c r="CJ324" i="72"/>
  <c r="CI324" i="72"/>
  <c r="CF324" i="72"/>
  <c r="CK270" i="72"/>
  <c r="BZ270" i="72"/>
  <c r="BL271" i="72"/>
  <c r="AW95" i="34"/>
  <c r="BM270" i="72"/>
  <c r="BK270" i="72"/>
  <c r="BO270" i="72" s="1"/>
  <c r="BJ270" i="72"/>
  <c r="BI272" i="72"/>
  <c r="BJ271" i="72" a="1"/>
  <c r="BN271" i="72" a="1"/>
  <c r="CH325" i="72" a="1"/>
  <c r="CI325" i="72" a="1"/>
  <c r="CF325" i="72" a="1"/>
  <c r="CG325" i="72" a="1"/>
  <c r="BL272" i="72" a="1"/>
  <c r="BK271" i="72" a="1"/>
  <c r="BM271" i="72" a="1"/>
  <c r="CJ325" i="72" a="1"/>
  <c r="U289" i="44" l="1"/>
  <c r="U635" i="44"/>
  <c r="U981" i="44"/>
  <c r="AW174" i="34"/>
  <c r="AW135" i="34"/>
  <c r="BN271" i="72"/>
  <c r="CG325" i="72"/>
  <c r="CI325" i="72"/>
  <c r="CH325" i="72"/>
  <c r="CJ325" i="72"/>
  <c r="CF325" i="72"/>
  <c r="CK271" i="72"/>
  <c r="BZ271" i="72"/>
  <c r="BL272" i="72"/>
  <c r="AW96" i="34"/>
  <c r="BK271" i="72"/>
  <c r="BO271" i="72" s="1"/>
  <c r="BM271" i="72"/>
  <c r="BJ271" i="72"/>
  <c r="BI273" i="72"/>
  <c r="BJ272" i="72" a="1"/>
  <c r="BM272" i="72" a="1"/>
  <c r="BN272" i="72" a="1"/>
  <c r="BL273" i="72" a="1"/>
  <c r="BK272" i="72" a="1"/>
  <c r="U290" i="44" l="1"/>
  <c r="U636" i="44"/>
  <c r="U982" i="44"/>
  <c r="BZ374" i="72"/>
  <c r="ED79" i="93" s="1"/>
  <c r="AW175" i="34"/>
  <c r="AW136" i="34"/>
  <c r="BJ272" i="72"/>
  <c r="CK272" i="72"/>
  <c r="BZ272" i="72"/>
  <c r="BL273" i="72"/>
  <c r="AW97" i="34"/>
  <c r="BN272" i="72"/>
  <c r="BM272" i="72"/>
  <c r="BK272" i="72"/>
  <c r="BI274" i="72"/>
  <c r="BN273" i="72" a="1"/>
  <c r="BJ273" i="72" a="1"/>
  <c r="BY345" i="72"/>
  <c r="BK273" i="72" a="1"/>
  <c r="BM273" i="72" a="1"/>
  <c r="BL274" i="72" a="1"/>
  <c r="U983" i="44" l="1"/>
  <c r="U637" i="44"/>
  <c r="AU183" i="34"/>
  <c r="BY367" i="72"/>
  <c r="BY372" i="72" s="1"/>
  <c r="EC77" i="93" s="1"/>
  <c r="BY359" i="72"/>
  <c r="AW176" i="34"/>
  <c r="AW137" i="34"/>
  <c r="CK273" i="72"/>
  <c r="BZ273" i="72"/>
  <c r="BL274" i="72"/>
  <c r="BO272" i="72"/>
  <c r="BJ273" i="72"/>
  <c r="BM273" i="72"/>
  <c r="BN273" i="72"/>
  <c r="BK273" i="72"/>
  <c r="BO273" i="72" s="1"/>
  <c r="BI275" i="72"/>
  <c r="BJ274" i="72" a="1"/>
  <c r="BY353" i="72"/>
  <c r="BK274" i="72" a="1"/>
  <c r="BN274" i="72" a="1"/>
  <c r="BL275" i="72" a="1"/>
  <c r="BM274" i="72" a="1"/>
  <c r="BN274" i="72" l="1"/>
  <c r="U638" i="44"/>
  <c r="U984" i="44"/>
  <c r="U292" i="44"/>
  <c r="U291" i="44"/>
  <c r="AS105" i="34"/>
  <c r="AW177" i="34"/>
  <c r="AW138" i="34"/>
  <c r="CK274" i="72"/>
  <c r="BZ274" i="72"/>
  <c r="BL275" i="72"/>
  <c r="BK274" i="72"/>
  <c r="BO274" i="72" s="1"/>
  <c r="AW99" i="34"/>
  <c r="AW98" i="34"/>
  <c r="BM274" i="72"/>
  <c r="BJ274" i="72"/>
  <c r="BI276" i="72"/>
  <c r="BJ275" i="72" a="1"/>
  <c r="BL276" i="72" a="1"/>
  <c r="BK275" i="72" a="1"/>
  <c r="BN275" i="72" a="1"/>
  <c r="BM275" i="72" a="1"/>
  <c r="U639" i="44" l="1"/>
  <c r="U293" i="44"/>
  <c r="U985" i="44"/>
  <c r="AW178" i="34"/>
  <c r="AW139" i="34"/>
  <c r="BM275" i="72"/>
  <c r="BJ275" i="72"/>
  <c r="CK275" i="72"/>
  <c r="BZ275" i="72"/>
  <c r="BL276" i="72"/>
  <c r="BK275" i="72"/>
  <c r="BO275" i="72" s="1"/>
  <c r="AW100" i="34"/>
  <c r="BN275" i="72"/>
  <c r="BI277" i="72"/>
  <c r="BM276" i="72" a="1"/>
  <c r="BN276" i="72" a="1"/>
  <c r="CA347" i="72"/>
  <c r="BK276" i="72" a="1"/>
  <c r="CA355" i="72"/>
  <c r="BJ276" i="72" a="1"/>
  <c r="CA354" i="72"/>
  <c r="CA346" i="72"/>
  <c r="BL277" i="72" a="1"/>
  <c r="U640" i="44" l="1"/>
  <c r="U986" i="44"/>
  <c r="U294" i="44"/>
  <c r="CA369" i="72"/>
  <c r="CA374" i="72" s="1"/>
  <c r="EE79" i="93" s="1"/>
  <c r="CA368" i="72"/>
  <c r="CA373" i="72" s="1"/>
  <c r="EE78" i="93" s="1"/>
  <c r="AW179" i="34"/>
  <c r="AW140" i="34"/>
  <c r="BN276" i="72"/>
  <c r="CK276" i="72"/>
  <c r="BZ276" i="72"/>
  <c r="CA361" i="72"/>
  <c r="BL277" i="72"/>
  <c r="AW101" i="34"/>
  <c r="BM276" i="72"/>
  <c r="BJ276" i="72"/>
  <c r="BK276" i="72"/>
  <c r="BO276" i="72" s="1"/>
  <c r="BI282" i="72"/>
  <c r="CA360" i="72"/>
  <c r="BY454" i="72" a="1"/>
  <c r="BP524" i="72"/>
  <c r="BM277" i="72" a="1"/>
  <c r="BN277" i="72" a="1"/>
  <c r="BK277" i="72" a="1"/>
  <c r="BO524" i="72"/>
  <c r="BJ277" i="72" a="1"/>
  <c r="BY438" i="72" a="1"/>
  <c r="BQ524" i="72"/>
  <c r="BM282" i="72" a="1"/>
  <c r="U987" i="44" l="1"/>
  <c r="U295" i="44"/>
  <c r="U641" i="44"/>
  <c r="AW183" i="34"/>
  <c r="AW144" i="34"/>
  <c r="AW143" i="34"/>
  <c r="AW180" i="34"/>
  <c r="AW141" i="34"/>
  <c r="CK277" i="72"/>
  <c r="BZ277" i="72"/>
  <c r="BY454" i="72"/>
  <c r="BY438" i="72"/>
  <c r="AW102" i="34"/>
  <c r="BK277" i="72"/>
  <c r="BO277" i="72" s="1"/>
  <c r="BN277" i="72"/>
  <c r="BJ277" i="72"/>
  <c r="BM277" i="72"/>
  <c r="BM282" i="72"/>
  <c r="BI283" i="72"/>
  <c r="BN282" i="72" a="1"/>
  <c r="BO454" i="72" a="1"/>
  <c r="BJ282" i="72" a="1"/>
  <c r="BL282" i="72" a="1"/>
  <c r="BK282" i="72" a="1"/>
  <c r="BY422" i="72" a="1"/>
  <c r="BO438" i="72" a="1"/>
  <c r="BL283" i="72" a="1"/>
  <c r="U296" i="44" l="1"/>
  <c r="U642" i="44"/>
  <c r="U988" i="44"/>
  <c r="BL282" i="72"/>
  <c r="BJ282" i="72"/>
  <c r="AW181" i="34"/>
  <c r="AW142" i="34"/>
  <c r="CA454" i="72"/>
  <c r="CA438" i="72"/>
  <c r="CK282" i="72"/>
  <c r="BZ282" i="72"/>
  <c r="BO454" i="72"/>
  <c r="BO438" i="72"/>
  <c r="BQ438" i="72" s="1"/>
  <c r="BL283" i="72"/>
  <c r="AW103" i="34"/>
  <c r="BK282" i="72"/>
  <c r="BO282" i="72" s="1"/>
  <c r="BY422" i="72"/>
  <c r="BN282" i="72"/>
  <c r="BI284" i="72"/>
  <c r="BO422" i="72" a="1"/>
  <c r="BM283" i="72" a="1"/>
  <c r="BN283" i="72" a="1"/>
  <c r="BJ283" i="72" a="1"/>
  <c r="BK283" i="72" a="1"/>
  <c r="BL284" i="72" a="1"/>
  <c r="U302" i="44" l="1"/>
  <c r="U648" i="44"/>
  <c r="U994" i="44"/>
  <c r="AY170" i="34"/>
  <c r="AY131" i="34"/>
  <c r="BK283" i="72"/>
  <c r="BO283" i="72" s="1"/>
  <c r="BL476" i="72"/>
  <c r="BQ476" i="72"/>
  <c r="BS476" i="72"/>
  <c r="CA422" i="72"/>
  <c r="BQ454" i="72"/>
  <c r="CK283" i="72"/>
  <c r="BZ283" i="72"/>
  <c r="BL284" i="72"/>
  <c r="AY92" i="34"/>
  <c r="BO422" i="72"/>
  <c r="BQ422" i="72" s="1"/>
  <c r="BM283" i="72"/>
  <c r="BN283" i="72"/>
  <c r="BJ283" i="72"/>
  <c r="BI285" i="72"/>
  <c r="BM284" i="72" a="1"/>
  <c r="BL285" i="72" a="1"/>
  <c r="BJ284" i="72" a="1"/>
  <c r="BN284" i="72" a="1"/>
  <c r="BK284" i="72" a="1"/>
  <c r="U995" i="44" l="1"/>
  <c r="U303" i="44"/>
  <c r="U649" i="44"/>
  <c r="AY171" i="34"/>
  <c r="AY132" i="34"/>
  <c r="BN284" i="72"/>
  <c r="AD65" i="34"/>
  <c r="V65" i="34"/>
  <c r="T65" i="34"/>
  <c r="BO476" i="72"/>
  <c r="BJ476" i="72"/>
  <c r="BN476" i="72"/>
  <c r="BJ284" i="72"/>
  <c r="CK284" i="72"/>
  <c r="BZ284" i="72"/>
  <c r="AY93" i="34"/>
  <c r="BL285" i="72"/>
  <c r="BK284" i="72"/>
  <c r="BM284" i="72"/>
  <c r="BI286" i="72"/>
  <c r="BJ285" i="72" a="1"/>
  <c r="BN285" i="72" a="1"/>
  <c r="BK285" i="72" a="1"/>
  <c r="BM285" i="72" a="1"/>
  <c r="BL286" i="72" a="1"/>
  <c r="U650" i="44" l="1"/>
  <c r="U996" i="44"/>
  <c r="AY172" i="34"/>
  <c r="AY133" i="34"/>
  <c r="BN285" i="72"/>
  <c r="AB65" i="34"/>
  <c r="L65" i="34"/>
  <c r="N65" i="34"/>
  <c r="CK285" i="72"/>
  <c r="BZ285" i="72"/>
  <c r="BL286" i="72"/>
  <c r="BO284" i="72"/>
  <c r="BJ285" i="72"/>
  <c r="BM285" i="72"/>
  <c r="BK285" i="72"/>
  <c r="BO285" i="72" s="1"/>
  <c r="BI287" i="72"/>
  <c r="BK286" i="72" a="1"/>
  <c r="BL287" i="72" a="1"/>
  <c r="BM286" i="72" a="1"/>
  <c r="BJ286" i="72" a="1"/>
  <c r="BN286" i="72" a="1"/>
  <c r="U997" i="44" l="1"/>
  <c r="U304" i="44"/>
  <c r="U651" i="44"/>
  <c r="U305" i="44"/>
  <c r="AY173" i="34"/>
  <c r="AY134" i="34"/>
  <c r="BN286" i="72"/>
  <c r="CK286" i="72"/>
  <c r="BZ286" i="72"/>
  <c r="BL287" i="72"/>
  <c r="AY95" i="34"/>
  <c r="AY94" i="34"/>
  <c r="BM286" i="72"/>
  <c r="BJ286" i="72"/>
  <c r="BK286" i="72"/>
  <c r="BO286" i="72" s="1"/>
  <c r="BI288" i="72"/>
  <c r="BN287" i="72" a="1"/>
  <c r="BJ287" i="72" a="1"/>
  <c r="BK287" i="72" a="1"/>
  <c r="BM287" i="72" a="1"/>
  <c r="BM288" i="72" a="1"/>
  <c r="U998" i="44" l="1"/>
  <c r="U306" i="44"/>
  <c r="U652" i="44"/>
  <c r="AY174" i="34"/>
  <c r="AY135" i="34"/>
  <c r="CK287" i="72"/>
  <c r="BZ287" i="72"/>
  <c r="BN287" i="72"/>
  <c r="AY96" i="34"/>
  <c r="BM287" i="72"/>
  <c r="BK287" i="72"/>
  <c r="BO287" i="72" s="1"/>
  <c r="BJ287" i="72"/>
  <c r="BM288" i="72"/>
  <c r="BI289" i="72"/>
  <c r="BL288" i="72" a="1"/>
  <c r="BK288" i="72" a="1"/>
  <c r="BN288" i="72" a="1"/>
  <c r="BJ289" i="72" a="1"/>
  <c r="BJ288" i="72" a="1"/>
  <c r="U653" i="44" l="1"/>
  <c r="U999" i="44"/>
  <c r="U307" i="44"/>
  <c r="AY175" i="34"/>
  <c r="AY136" i="34"/>
  <c r="BL288" i="72"/>
  <c r="CK288" i="72"/>
  <c r="BZ288" i="72"/>
  <c r="AY97" i="34"/>
  <c r="BJ288" i="72"/>
  <c r="BN288" i="72"/>
  <c r="BK288" i="72"/>
  <c r="BO288" i="72" s="1"/>
  <c r="BJ289" i="72"/>
  <c r="BI290" i="72"/>
  <c r="BN289" i="72" a="1"/>
  <c r="BM289" i="72" a="1"/>
  <c r="BL289" i="72" a="1"/>
  <c r="BK289" i="72" a="1"/>
  <c r="BL290" i="72" a="1"/>
  <c r="BL289" i="72" l="1"/>
  <c r="U654" i="44"/>
  <c r="U1000" i="44"/>
  <c r="U308" i="44"/>
  <c r="AY176" i="34"/>
  <c r="AY137" i="34"/>
  <c r="CK289" i="72"/>
  <c r="BZ289" i="72"/>
  <c r="BL290" i="72"/>
  <c r="BK289" i="72"/>
  <c r="BO289" i="72" s="1"/>
  <c r="AY98" i="34"/>
  <c r="BN289" i="72"/>
  <c r="BM289" i="72"/>
  <c r="BI291" i="72"/>
  <c r="BN291" i="72" a="1"/>
  <c r="BM290" i="72" a="1"/>
  <c r="BK290" i="72" a="1"/>
  <c r="BJ290" i="72" a="1"/>
  <c r="BN290" i="72" a="1"/>
  <c r="BJ290" i="72" l="1"/>
  <c r="BK290" i="72"/>
  <c r="BO290" i="72" s="1"/>
  <c r="AY100" i="34" s="1"/>
  <c r="U309" i="44"/>
  <c r="U1001" i="44"/>
  <c r="U655" i="44"/>
  <c r="AY177" i="34"/>
  <c r="AY138" i="34"/>
  <c r="CK290" i="72"/>
  <c r="BZ290" i="72"/>
  <c r="AY99" i="34"/>
  <c r="BM290" i="72"/>
  <c r="BN290" i="72"/>
  <c r="BN291" i="72"/>
  <c r="BI292" i="72"/>
  <c r="BL291" i="72" a="1"/>
  <c r="BJ291" i="72" a="1"/>
  <c r="BL292" i="72" a="1"/>
  <c r="BM291" i="72" a="1"/>
  <c r="BK291" i="72" a="1"/>
  <c r="U310" i="44" l="1"/>
  <c r="BL291" i="72"/>
  <c r="U656" i="44"/>
  <c r="U1002" i="44"/>
  <c r="AY178" i="34"/>
  <c r="AY139" i="34"/>
  <c r="CK291" i="72"/>
  <c r="BZ291" i="72"/>
  <c r="BL292" i="72"/>
  <c r="BM291" i="72"/>
  <c r="BJ291" i="72"/>
  <c r="BK291" i="72"/>
  <c r="BO291" i="72" s="1"/>
  <c r="BI293" i="72"/>
  <c r="CB347" i="72"/>
  <c r="CB346" i="72"/>
  <c r="CB355" i="72"/>
  <c r="BJ292" i="72" a="1"/>
  <c r="BM292" i="72" a="1"/>
  <c r="BK292" i="72" a="1"/>
  <c r="BL293" i="72" a="1"/>
  <c r="BN292" i="72" a="1"/>
  <c r="CB354" i="72"/>
  <c r="U1003" i="44" l="1"/>
  <c r="U311" i="44"/>
  <c r="U657" i="44"/>
  <c r="CB368" i="72"/>
  <c r="CB373" i="72" s="1"/>
  <c r="EF78" i="93" s="1"/>
  <c r="CB369" i="72"/>
  <c r="CB374" i="72" s="1"/>
  <c r="EF79" i="93" s="1"/>
  <c r="AY179" i="34"/>
  <c r="AY140" i="34"/>
  <c r="BN292" i="72"/>
  <c r="CK292" i="72"/>
  <c r="BZ292" i="72"/>
  <c r="CB361" i="72"/>
  <c r="BL293" i="72"/>
  <c r="AY101" i="34"/>
  <c r="BK292" i="72"/>
  <c r="BO292" i="72" s="1"/>
  <c r="BM292" i="72"/>
  <c r="BJ292" i="72"/>
  <c r="BI298" i="72"/>
  <c r="CB360" i="72"/>
  <c r="BK293" i="72" a="1"/>
  <c r="BZ454" i="72" a="1"/>
  <c r="BP525" i="72"/>
  <c r="BQ525" i="72"/>
  <c r="BM293" i="72" a="1"/>
  <c r="BN293" i="72" a="1"/>
  <c r="BO525" i="72"/>
  <c r="BJ293" i="72" a="1"/>
  <c r="BZ438" i="72" a="1"/>
  <c r="BM298" i="72" a="1"/>
  <c r="U1004" i="44" l="1"/>
  <c r="U312" i="44"/>
  <c r="U658" i="44"/>
  <c r="AY183" i="34"/>
  <c r="AY144" i="34"/>
  <c r="AY143" i="34"/>
  <c r="AY180" i="34"/>
  <c r="AY141" i="34"/>
  <c r="CK293" i="72"/>
  <c r="BZ293" i="72"/>
  <c r="BZ454" i="72"/>
  <c r="BZ438" i="72"/>
  <c r="AY102" i="34"/>
  <c r="BM293" i="72"/>
  <c r="BN293" i="72"/>
  <c r="BJ293" i="72"/>
  <c r="BK293" i="72"/>
  <c r="BM298" i="72"/>
  <c r="BI299" i="72"/>
  <c r="BL298" i="72" a="1"/>
  <c r="BK298" i="72" a="1"/>
  <c r="BN439" i="72" a="1"/>
  <c r="BN455" i="72" a="1"/>
  <c r="BZ422" i="72" a="1"/>
  <c r="BN298" i="72" a="1"/>
  <c r="BJ298" i="72" a="1"/>
  <c r="BL299" i="72" a="1"/>
  <c r="U1005" i="44" l="1"/>
  <c r="U659" i="44"/>
  <c r="BL298" i="72"/>
  <c r="AY181" i="34"/>
  <c r="AY142" i="34"/>
  <c r="CB454" i="72"/>
  <c r="CB438" i="72"/>
  <c r="CK298" i="72"/>
  <c r="BZ298" i="72"/>
  <c r="BN455" i="72"/>
  <c r="BN439" i="72"/>
  <c r="BP439" i="72" s="1"/>
  <c r="BL299" i="72"/>
  <c r="BZ422" i="72"/>
  <c r="BO293" i="72"/>
  <c r="BK298" i="72"/>
  <c r="BJ298" i="72"/>
  <c r="BN298" i="72"/>
  <c r="BI300" i="72"/>
  <c r="BK299" i="72" a="1"/>
  <c r="BN299" i="72" a="1"/>
  <c r="BJ299" i="72" a="1"/>
  <c r="CR32" i="72" a="1"/>
  <c r="BM299" i="72" a="1"/>
  <c r="BN423" i="72" a="1"/>
  <c r="BL300" i="72" a="1"/>
  <c r="U1011" i="44" l="1"/>
  <c r="U665" i="44"/>
  <c r="U313" i="44"/>
  <c r="CR32" i="72"/>
  <c r="BA170" i="34"/>
  <c r="BA131" i="34"/>
  <c r="BK299" i="72"/>
  <c r="BO299" i="72" s="1"/>
  <c r="BK477" i="72"/>
  <c r="BR476" i="72"/>
  <c r="BT476" i="72"/>
  <c r="CB422" i="72"/>
  <c r="BP455" i="72"/>
  <c r="DO86" i="93" s="1"/>
  <c r="DO91" i="93" s="1"/>
  <c r="DR43" i="93" s="1"/>
  <c r="CK299" i="72"/>
  <c r="BZ299" i="72"/>
  <c r="BL300" i="72"/>
  <c r="AY103" i="34"/>
  <c r="BN423" i="72"/>
  <c r="BP423" i="72" s="1"/>
  <c r="DO84" i="93" s="1"/>
  <c r="DO89" i="93" s="1"/>
  <c r="DP43" i="93" s="1"/>
  <c r="BO298" i="72"/>
  <c r="BJ299" i="72"/>
  <c r="BN299" i="72"/>
  <c r="BM299" i="72"/>
  <c r="BI301" i="72"/>
  <c r="BM300" i="72" a="1"/>
  <c r="BJ300" i="72" a="1"/>
  <c r="BN300" i="72" a="1"/>
  <c r="BK300" i="72" a="1"/>
  <c r="BK301" i="72" a="1"/>
  <c r="U1012" i="44" l="1"/>
  <c r="U666" i="44"/>
  <c r="U319" i="44"/>
  <c r="U320" i="44"/>
  <c r="BI477" i="72"/>
  <c r="J66" i="34" s="1"/>
  <c r="BA171" i="34"/>
  <c r="BA132" i="34"/>
  <c r="BM300" i="72"/>
  <c r="AF65" i="34"/>
  <c r="X65" i="34"/>
  <c r="R66" i="34"/>
  <c r="BM477" i="72"/>
  <c r="Z66" i="34" s="1"/>
  <c r="BP476" i="72"/>
  <c r="CK300" i="72"/>
  <c r="BZ300" i="72"/>
  <c r="BA93" i="34"/>
  <c r="BA92" i="34"/>
  <c r="BN300" i="72"/>
  <c r="BJ300" i="72"/>
  <c r="BK300" i="72"/>
  <c r="BO300" i="72" s="1"/>
  <c r="BK301" i="72"/>
  <c r="BO301" i="72" s="1"/>
  <c r="BI302" i="72"/>
  <c r="BN301" i="72" a="1"/>
  <c r="BJ301" i="72" a="1"/>
  <c r="BM301" i="72" a="1"/>
  <c r="BL301" i="72" a="1"/>
  <c r="BL302" i="72" a="1"/>
  <c r="U667" i="44" l="1"/>
  <c r="U1013" i="44"/>
  <c r="U322" i="44"/>
  <c r="U321" i="44"/>
  <c r="BL301" i="72"/>
  <c r="BA172" i="34"/>
  <c r="BA133" i="34"/>
  <c r="P65" i="34"/>
  <c r="CK301" i="72"/>
  <c r="BZ301" i="72"/>
  <c r="BL302" i="72"/>
  <c r="BA94" i="34"/>
  <c r="BA95" i="34"/>
  <c r="BJ301" i="72"/>
  <c r="BN301" i="72"/>
  <c r="BM301" i="72"/>
  <c r="BI303" i="72"/>
  <c r="BM302" i="72" a="1"/>
  <c r="BK302" i="72" a="1"/>
  <c r="BJ302" i="72" a="1"/>
  <c r="BN302" i="72" a="1"/>
  <c r="BL303" i="72" a="1"/>
  <c r="U668" i="44" l="1"/>
  <c r="U1014" i="44"/>
  <c r="BA173" i="34"/>
  <c r="BA134" i="34"/>
  <c r="CK302" i="72"/>
  <c r="BZ302" i="72"/>
  <c r="BL303" i="72"/>
  <c r="BK302" i="72"/>
  <c r="BO302" i="72" s="1"/>
  <c r="BJ302" i="72"/>
  <c r="BN302" i="72"/>
  <c r="BM302" i="72"/>
  <c r="BI304" i="72"/>
  <c r="BK303" i="72" a="1"/>
  <c r="BJ303" i="72" a="1"/>
  <c r="BN303" i="72" a="1"/>
  <c r="BM303" i="72" a="1"/>
  <c r="BL304" i="72" a="1"/>
  <c r="U323" i="44" l="1"/>
  <c r="U1015" i="44"/>
  <c r="U669" i="44"/>
  <c r="BA174" i="34"/>
  <c r="BA135" i="34"/>
  <c r="CK303" i="72"/>
  <c r="BZ303" i="72"/>
  <c r="BL304" i="72"/>
  <c r="BA96" i="34"/>
  <c r="BJ303" i="72"/>
  <c r="BM303" i="72"/>
  <c r="BN303" i="72"/>
  <c r="BK303" i="72"/>
  <c r="BO303" i="72" s="1"/>
  <c r="BI305" i="72"/>
  <c r="BJ304" i="72" a="1"/>
  <c r="BM304" i="72" a="1"/>
  <c r="BM305" i="72" a="1"/>
  <c r="BK304" i="72" a="1"/>
  <c r="BN304" i="72" a="1"/>
  <c r="U670" i="44" l="1"/>
  <c r="U1016" i="44"/>
  <c r="U324" i="44"/>
  <c r="BA175" i="34"/>
  <c r="BA136" i="34"/>
  <c r="CK304" i="72"/>
  <c r="BZ304" i="72"/>
  <c r="BA97" i="34"/>
  <c r="BN304" i="72"/>
  <c r="BK304" i="72"/>
  <c r="BO304" i="72" s="1"/>
  <c r="BJ304" i="72"/>
  <c r="BM304" i="72"/>
  <c r="BM305" i="72"/>
  <c r="BI306" i="72"/>
  <c r="BK305" i="72" a="1"/>
  <c r="BJ305" i="72" a="1"/>
  <c r="BL306" i="72" a="1"/>
  <c r="BN305" i="72" a="1"/>
  <c r="BL305" i="72" a="1"/>
  <c r="BL305" i="72" l="1"/>
  <c r="U1017" i="44"/>
  <c r="U671" i="44"/>
  <c r="U325" i="44"/>
  <c r="BA176" i="34"/>
  <c r="BA137" i="34"/>
  <c r="CK305" i="72"/>
  <c r="BZ305" i="72"/>
  <c r="BL306" i="72"/>
  <c r="BA98" i="34"/>
  <c r="BN305" i="72"/>
  <c r="BK305" i="72"/>
  <c r="BO305" i="72" s="1"/>
  <c r="BJ305" i="72"/>
  <c r="BI307" i="72"/>
  <c r="BM306" i="72" a="1"/>
  <c r="BL307" i="72" a="1"/>
  <c r="BK306" i="72" a="1"/>
  <c r="BN306" i="72" a="1"/>
  <c r="BJ306" i="72" a="1"/>
  <c r="BM306" i="72" l="1"/>
  <c r="U1018" i="44"/>
  <c r="U672" i="44"/>
  <c r="U326" i="44"/>
  <c r="BA177" i="34"/>
  <c r="BA138" i="34"/>
  <c r="CK306" i="72"/>
  <c r="BZ306" i="72"/>
  <c r="BL307" i="72"/>
  <c r="BA99" i="34"/>
  <c r="BJ306" i="72"/>
  <c r="BN306" i="72"/>
  <c r="BK306" i="72"/>
  <c r="BI308" i="72"/>
  <c r="BN307" i="72" a="1"/>
  <c r="BK307" i="72" a="1"/>
  <c r="BM307" i="72" a="1"/>
  <c r="BJ307" i="72" a="1"/>
  <c r="BL308" i="72" a="1"/>
  <c r="BM307" i="72" l="1"/>
  <c r="U673" i="44"/>
  <c r="U1019" i="44"/>
  <c r="BA178" i="34"/>
  <c r="BA139" i="34"/>
  <c r="CK307" i="72"/>
  <c r="BZ307" i="72"/>
  <c r="BL308" i="72"/>
  <c r="BK307" i="72"/>
  <c r="BO307" i="72" s="1"/>
  <c r="BO306" i="72"/>
  <c r="BN307" i="72"/>
  <c r="BJ307" i="72"/>
  <c r="BI309" i="72"/>
  <c r="CC346" i="72"/>
  <c r="BK308" i="72" a="1"/>
  <c r="BJ309" i="72" a="1"/>
  <c r="CC354" i="72"/>
  <c r="BJ308" i="72" a="1"/>
  <c r="BM308" i="72" a="1"/>
  <c r="CC355" i="72"/>
  <c r="CC347" i="72"/>
  <c r="BN308" i="72" a="1"/>
  <c r="BK308" i="72" l="1"/>
  <c r="BO308" i="72" s="1"/>
  <c r="BA102" i="34" s="1"/>
  <c r="U328" i="44"/>
  <c r="U327" i="44"/>
  <c r="U674" i="44"/>
  <c r="U1020" i="44"/>
  <c r="CC369" i="72"/>
  <c r="CC374" i="72" s="1"/>
  <c r="EG79" i="93" s="1"/>
  <c r="CC368" i="72"/>
  <c r="CC373" i="72" s="1"/>
  <c r="EG78" i="93" s="1"/>
  <c r="BA179" i="34"/>
  <c r="BA140" i="34"/>
  <c r="CK308" i="72"/>
  <c r="BZ308" i="72"/>
  <c r="CC361" i="72"/>
  <c r="BA100" i="34"/>
  <c r="BA101" i="34"/>
  <c r="BM308" i="72"/>
  <c r="BN308" i="72"/>
  <c r="BJ308" i="72"/>
  <c r="BJ309" i="72"/>
  <c r="BI314" i="72"/>
  <c r="CC360" i="72"/>
  <c r="BY455" i="72" a="1"/>
  <c r="BY439" i="72" a="1"/>
  <c r="BO526" i="72"/>
  <c r="CA345" i="72"/>
  <c r="BL309" i="72" a="1"/>
  <c r="CC353" i="72"/>
  <c r="BQ526" i="72"/>
  <c r="BK309" i="72" a="1"/>
  <c r="BN309" i="72" a="1"/>
  <c r="CA353" i="72"/>
  <c r="BM309" i="72" a="1"/>
  <c r="BL314" i="72" a="1"/>
  <c r="CC345" i="72"/>
  <c r="BP526" i="72"/>
  <c r="U329" i="44" l="1"/>
  <c r="U675" i="44"/>
  <c r="U1021" i="44"/>
  <c r="CC367" i="72"/>
  <c r="CC372" i="72" s="1"/>
  <c r="EG77" i="93" s="1"/>
  <c r="CA367" i="72"/>
  <c r="CA372" i="72" s="1"/>
  <c r="EE77" i="93" s="1"/>
  <c r="BL309" i="72"/>
  <c r="BA183" i="34"/>
  <c r="BA144" i="34"/>
  <c r="BA143" i="34"/>
  <c r="CA359" i="72"/>
  <c r="BA180" i="34"/>
  <c r="BA141" i="34"/>
  <c r="CK309" i="72"/>
  <c r="BZ309" i="72"/>
  <c r="BY455" i="72"/>
  <c r="BY439" i="72"/>
  <c r="BL314" i="72"/>
  <c r="BM309" i="72"/>
  <c r="BN309" i="72"/>
  <c r="BK309" i="72"/>
  <c r="BI315" i="72"/>
  <c r="CC359" i="72"/>
  <c r="BJ314" i="72" a="1"/>
  <c r="BK314" i="72" a="1"/>
  <c r="BM314" i="72" a="1"/>
  <c r="BO455" i="72" a="1"/>
  <c r="BO439" i="72" a="1"/>
  <c r="BN314" i="72" a="1"/>
  <c r="BY423" i="72" a="1"/>
  <c r="BM315" i="72" a="1"/>
  <c r="U676" i="44" l="1"/>
  <c r="U1022" i="44"/>
  <c r="AW105" i="34"/>
  <c r="BA105" i="34"/>
  <c r="BA181" i="34"/>
  <c r="BA142" i="34"/>
  <c r="BJ314" i="72"/>
  <c r="CA455" i="72"/>
  <c r="DQ86" i="93" s="1"/>
  <c r="DQ91" i="93" s="1"/>
  <c r="DR45" i="93" s="1"/>
  <c r="CA439" i="72"/>
  <c r="CK314" i="72"/>
  <c r="BZ314" i="72"/>
  <c r="BO455" i="72"/>
  <c r="BO439" i="72"/>
  <c r="BQ439" i="72" s="1"/>
  <c r="DP85" i="93" s="1"/>
  <c r="DP90" i="93" s="1"/>
  <c r="DQ44" i="93" s="1"/>
  <c r="BY423" i="72"/>
  <c r="BO309" i="72"/>
  <c r="BK314" i="72"/>
  <c r="BM314" i="72"/>
  <c r="BN314" i="72"/>
  <c r="BM315" i="72"/>
  <c r="BI316" i="72"/>
  <c r="BJ315" i="72" a="1"/>
  <c r="BN315" i="72" a="1"/>
  <c r="BO423" i="72" a="1"/>
  <c r="BK315" i="72" a="1"/>
  <c r="BL315" i="72" a="1"/>
  <c r="BL316" i="72" a="1"/>
  <c r="U330" i="44" l="1"/>
  <c r="U682" i="44"/>
  <c r="U1028" i="44"/>
  <c r="BZ373" i="72"/>
  <c r="ED78" i="93" s="1"/>
  <c r="AU143" i="34"/>
  <c r="BC170" i="34"/>
  <c r="BC131" i="34"/>
  <c r="BL315" i="72"/>
  <c r="BK315" i="72"/>
  <c r="BO315" i="72" s="1"/>
  <c r="BL477" i="72"/>
  <c r="BQ477" i="72"/>
  <c r="BS477" i="72"/>
  <c r="CA423" i="72"/>
  <c r="DQ84" i="93" s="1"/>
  <c r="DQ89" i="93" s="1"/>
  <c r="DP45" i="93" s="1"/>
  <c r="BQ455" i="72"/>
  <c r="CK315" i="72"/>
  <c r="BZ315" i="72"/>
  <c r="BL316" i="72"/>
  <c r="BA103" i="34"/>
  <c r="BO423" i="72"/>
  <c r="BQ423" i="72" s="1"/>
  <c r="DP84" i="93" s="1"/>
  <c r="DP89" i="93" s="1"/>
  <c r="DP44" i="93" s="1"/>
  <c r="BO314" i="72"/>
  <c r="BJ315" i="72"/>
  <c r="BN315" i="72"/>
  <c r="BI317" i="72"/>
  <c r="BM316" i="72" a="1"/>
  <c r="BN316" i="72" a="1"/>
  <c r="BJ316" i="72" a="1"/>
  <c r="BK316" i="72" a="1"/>
  <c r="BL317" i="72" a="1"/>
  <c r="U683" i="44" l="1"/>
  <c r="U337" i="44"/>
  <c r="U1029" i="44"/>
  <c r="U336" i="44"/>
  <c r="AU144" i="34"/>
  <c r="BC171" i="34"/>
  <c r="BC132" i="34"/>
  <c r="BJ316" i="72"/>
  <c r="AD66" i="34"/>
  <c r="V66" i="34"/>
  <c r="T66" i="34"/>
  <c r="BO477" i="72"/>
  <c r="BN477" i="72"/>
  <c r="BJ477" i="72"/>
  <c r="CK316" i="72"/>
  <c r="BZ316" i="72"/>
  <c r="BL317" i="72"/>
  <c r="BC92" i="34"/>
  <c r="BC93" i="34"/>
  <c r="BM316" i="72"/>
  <c r="BK316" i="72"/>
  <c r="BN316" i="72"/>
  <c r="BI318" i="72"/>
  <c r="BN317" i="72" a="1"/>
  <c r="BJ317" i="72" a="1"/>
  <c r="BM317" i="72" a="1"/>
  <c r="BK317" i="72" a="1"/>
  <c r="BL318" i="72" a="1"/>
  <c r="U684" i="44" l="1"/>
  <c r="U1030" i="44"/>
  <c r="BC172" i="34"/>
  <c r="BC133" i="34"/>
  <c r="AB66" i="34"/>
  <c r="N66" i="34"/>
  <c r="L66" i="34"/>
  <c r="CK317" i="72"/>
  <c r="BZ317" i="72"/>
  <c r="BL318" i="72"/>
  <c r="BO316" i="72"/>
  <c r="BM317" i="72"/>
  <c r="BJ317" i="72"/>
  <c r="BK317" i="72"/>
  <c r="BO317" i="72" s="1"/>
  <c r="BN317" i="72"/>
  <c r="BI319" i="72"/>
  <c r="BK318" i="72" a="1"/>
  <c r="BM319" i="72" a="1"/>
  <c r="BM318" i="72" a="1"/>
  <c r="BJ318" i="72" a="1"/>
  <c r="BN318" i="72" a="1"/>
  <c r="U1031" i="44" l="1"/>
  <c r="U685" i="44"/>
  <c r="U339" i="44"/>
  <c r="U338" i="44"/>
  <c r="BC173" i="34"/>
  <c r="BC134" i="34"/>
  <c r="BK318" i="72"/>
  <c r="BO318" i="72" s="1"/>
  <c r="BJ318" i="72"/>
  <c r="CK318" i="72"/>
  <c r="BZ318" i="72"/>
  <c r="BC95" i="34"/>
  <c r="BC94" i="34"/>
  <c r="BN318" i="72"/>
  <c r="BM318" i="72"/>
  <c r="BM319" i="72"/>
  <c r="BI320" i="72"/>
  <c r="BL319" i="72" a="1"/>
  <c r="BJ319" i="72" a="1"/>
  <c r="BL320" i="72" a="1"/>
  <c r="BK319" i="72" a="1"/>
  <c r="BN319" i="72" a="1"/>
  <c r="U340" i="44" l="1"/>
  <c r="U686" i="44"/>
  <c r="U1032" i="44"/>
  <c r="BC174" i="34"/>
  <c r="BC135" i="34"/>
  <c r="BC96" i="34"/>
  <c r="BL319" i="72"/>
  <c r="CK319" i="72"/>
  <c r="BZ319" i="72"/>
  <c r="BL320" i="72"/>
  <c r="BK319" i="72"/>
  <c r="BO319" i="72" s="1"/>
  <c r="BN319" i="72"/>
  <c r="BJ319" i="72"/>
  <c r="BI321" i="72"/>
  <c r="BL321" i="72" a="1"/>
  <c r="BM320" i="72" a="1"/>
  <c r="BN320" i="72" a="1"/>
  <c r="BJ320" i="72" a="1"/>
  <c r="BK320" i="72" a="1"/>
  <c r="U1033" i="44" l="1"/>
  <c r="U687" i="44"/>
  <c r="U341" i="44"/>
  <c r="BC175" i="34"/>
  <c r="BC136" i="34"/>
  <c r="BN320" i="72"/>
  <c r="CK320" i="72"/>
  <c r="BZ320" i="72"/>
  <c r="BL321" i="72"/>
  <c r="BC97" i="34"/>
  <c r="BM320" i="72"/>
  <c r="BJ320" i="72"/>
  <c r="BK320" i="72"/>
  <c r="BO320" i="72" s="1"/>
  <c r="BI322" i="72"/>
  <c r="BK321" i="72" a="1"/>
  <c r="BJ321" i="72" a="1"/>
  <c r="BL322" i="72" a="1"/>
  <c r="BM321" i="72" a="1"/>
  <c r="BO345" i="72"/>
  <c r="BN321" i="72" a="1"/>
  <c r="U688" i="44" l="1"/>
  <c r="U1034" i="44"/>
  <c r="U342" i="44"/>
  <c r="BO367" i="72"/>
  <c r="BO372" i="72" s="1"/>
  <c r="DS77" i="93" s="1"/>
  <c r="BO359" i="72"/>
  <c r="BC176" i="34"/>
  <c r="BC137" i="34"/>
  <c r="BK321" i="72"/>
  <c r="BO321" i="72" s="1"/>
  <c r="CK321" i="72"/>
  <c r="BZ321" i="72"/>
  <c r="BL322" i="72"/>
  <c r="BC98" i="34"/>
  <c r="BJ321" i="72"/>
  <c r="BM321" i="72"/>
  <c r="BN321" i="72"/>
  <c r="BI323" i="72"/>
  <c r="BO353" i="72"/>
  <c r="BM322" i="72" a="1"/>
  <c r="BL323" i="72" a="1"/>
  <c r="BJ322" i="72" a="1"/>
  <c r="BN322" i="72" a="1"/>
  <c r="BK322" i="72" a="1"/>
  <c r="U1035" i="44" l="1"/>
  <c r="U343" i="44"/>
  <c r="U689" i="44"/>
  <c r="Y105" i="34"/>
  <c r="BC177" i="34"/>
  <c r="BC138" i="34"/>
  <c r="BC99" i="34"/>
  <c r="CK322" i="72"/>
  <c r="BZ322" i="72"/>
  <c r="BL323" i="72"/>
  <c r="BJ322" i="72"/>
  <c r="BN322" i="72"/>
  <c r="BM322" i="72"/>
  <c r="BK322" i="72"/>
  <c r="BO322" i="72" s="1"/>
  <c r="BI324" i="72"/>
  <c r="BN323" i="72" a="1"/>
  <c r="BL324" i="72" a="1"/>
  <c r="BJ323" i="72" a="1"/>
  <c r="BK323" i="72" a="1"/>
  <c r="BM323" i="72" a="1"/>
  <c r="U344" i="44" l="1"/>
  <c r="U1036" i="44"/>
  <c r="U690" i="44"/>
  <c r="BC178" i="34"/>
  <c r="BC139" i="34"/>
  <c r="BJ323" i="72"/>
  <c r="BK323" i="72"/>
  <c r="BO323" i="72" s="1"/>
  <c r="CK323" i="72"/>
  <c r="BZ323" i="72"/>
  <c r="BL324" i="72"/>
  <c r="BC100" i="34"/>
  <c r="BN323" i="72"/>
  <c r="BM323" i="72"/>
  <c r="BI325" i="72"/>
  <c r="BN324" i="72" a="1"/>
  <c r="BM325" i="72" a="1"/>
  <c r="CD354" i="72"/>
  <c r="BJ324" i="72" a="1"/>
  <c r="BM324" i="72" a="1"/>
  <c r="CD346" i="72"/>
  <c r="CD347" i="72"/>
  <c r="BK324" i="72" a="1"/>
  <c r="CD355" i="72"/>
  <c r="U691" i="44" l="1"/>
  <c r="U1037" i="44"/>
  <c r="U345" i="44"/>
  <c r="CD368" i="72"/>
  <c r="CD373" i="72" s="1"/>
  <c r="EH78" i="93" s="1"/>
  <c r="BC179" i="34"/>
  <c r="BC140" i="34"/>
  <c r="BC101" i="34"/>
  <c r="BJ324" i="72"/>
  <c r="CK324" i="72"/>
  <c r="BZ324" i="72"/>
  <c r="BN324" i="72"/>
  <c r="BK324" i="72"/>
  <c r="BM324" i="72"/>
  <c r="BM325" i="72"/>
  <c r="CD360" i="72"/>
  <c r="CD369" i="72"/>
  <c r="CD361" i="72"/>
  <c r="BZ439" i="72" a="1"/>
  <c r="BQ527" i="72"/>
  <c r="BP527" i="72"/>
  <c r="CD353" i="72"/>
  <c r="BN325" i="72" a="1"/>
  <c r="BJ325" i="72" a="1"/>
  <c r="BL325" i="72" a="1"/>
  <c r="BZ455" i="72" a="1"/>
  <c r="BK325" i="72" a="1"/>
  <c r="CD374" i="72" l="1"/>
  <c r="EH79" i="93" s="1"/>
  <c r="U692" i="44"/>
  <c r="U1038" i="44"/>
  <c r="BC144" i="34"/>
  <c r="BC143" i="34"/>
  <c r="BC180" i="34"/>
  <c r="BC141" i="34"/>
  <c r="BL325" i="72"/>
  <c r="CK325" i="72"/>
  <c r="BZ325" i="72"/>
  <c r="BZ455" i="72"/>
  <c r="BZ439" i="72"/>
  <c r="BO324" i="72"/>
  <c r="BK325" i="72"/>
  <c r="BJ325" i="72"/>
  <c r="BN325" i="72"/>
  <c r="J69" i="72"/>
  <c r="Z57" i="85"/>
  <c r="Z58" i="85"/>
  <c r="Z59" i="85"/>
  <c r="Z60" i="85"/>
  <c r="Z61" i="85"/>
  <c r="Z62" i="85"/>
  <c r="Z63" i="85"/>
  <c r="Z64" i="85"/>
  <c r="Z65" i="85"/>
  <c r="Z56" i="85"/>
  <c r="C159" i="72"/>
  <c r="C160" i="72"/>
  <c r="C161" i="72"/>
  <c r="C162" i="72"/>
  <c r="C163" i="72"/>
  <c r="C164" i="72"/>
  <c r="E223" i="72" a="1"/>
  <c r="I223" i="72" a="1"/>
  <c r="D223" i="72" a="1"/>
  <c r="F228" i="72" a="1"/>
  <c r="J71" i="72" a="1"/>
  <c r="L72" i="72" a="1"/>
  <c r="H228" i="72" a="1"/>
  <c r="E221" i="72" a="1"/>
  <c r="I221" i="72" a="1"/>
  <c r="H222" i="72" a="1"/>
  <c r="H221" i="72" a="1"/>
  <c r="H224" i="72" a="1"/>
  <c r="H227" i="72" a="1"/>
  <c r="L73" i="72" a="1"/>
  <c r="E230" i="72" a="1"/>
  <c r="E225" i="72" a="1"/>
  <c r="I228" i="72" a="1"/>
  <c r="J57" i="72" a="1"/>
  <c r="I226" i="72" a="1"/>
  <c r="J73" i="72" a="1"/>
  <c r="G229" i="72" a="1"/>
  <c r="F222" i="72" a="1"/>
  <c r="L55" i="72" a="1"/>
  <c r="CB353" i="72"/>
  <c r="J58" i="72" a="1"/>
  <c r="L76" i="72" a="1"/>
  <c r="L70" i="72" a="1"/>
  <c r="J70" i="72" a="1"/>
  <c r="E227" i="72" a="1"/>
  <c r="L59" i="72" a="1"/>
  <c r="D228" i="72" a="1"/>
  <c r="L56" i="72" a="1"/>
  <c r="F227" i="72" a="1"/>
  <c r="H223" i="72" a="1"/>
  <c r="H225" i="72" a="1"/>
  <c r="F229" i="72" a="1"/>
  <c r="E222" i="72" a="1"/>
  <c r="J72" i="72" a="1"/>
  <c r="I230" i="72" a="1"/>
  <c r="E229" i="72" a="1"/>
  <c r="BZ423" i="72" a="1"/>
  <c r="G224" i="72" a="1"/>
  <c r="H226" i="72" a="1"/>
  <c r="I225" i="72" a="1"/>
  <c r="D230" i="72" a="1"/>
  <c r="L53" i="72" a="1"/>
  <c r="J56" i="72" a="1"/>
  <c r="L58" i="72" a="1"/>
  <c r="J55" i="72" a="1"/>
  <c r="G221" i="72" a="1"/>
  <c r="J75" i="72" a="1"/>
  <c r="G227" i="72" a="1"/>
  <c r="I222" i="72" a="1"/>
  <c r="E228" i="72" a="1"/>
  <c r="CB345" i="72"/>
  <c r="D226" i="72" a="1"/>
  <c r="D229" i="72" a="1"/>
  <c r="G222" i="72" a="1"/>
  <c r="BO527" i="72"/>
  <c r="E226" i="72" a="1"/>
  <c r="G230" i="72" a="1"/>
  <c r="L71" i="72" a="1"/>
  <c r="L57" i="72" a="1"/>
  <c r="I227" i="72" a="1"/>
  <c r="H230" i="72" a="1"/>
  <c r="E224" i="72" a="1"/>
  <c r="L74" i="72" a="1"/>
  <c r="J74" i="72" a="1"/>
  <c r="I229" i="72" a="1"/>
  <c r="L75" i="72" a="1"/>
  <c r="E159" i="72" a="1"/>
  <c r="F230" i="72" a="1"/>
  <c r="F221" i="72" a="1"/>
  <c r="G226" i="72" a="1"/>
  <c r="G225" i="72" a="1"/>
  <c r="L54" i="72" a="1"/>
  <c r="D227" i="72" a="1"/>
  <c r="F223" i="72" a="1"/>
  <c r="G228" i="72" a="1"/>
  <c r="D222" i="72" a="1"/>
  <c r="I224" i="72" a="1"/>
  <c r="F226" i="72" a="1"/>
  <c r="D225" i="72" a="1"/>
  <c r="D224" i="72" a="1"/>
  <c r="D221" i="72" a="1"/>
  <c r="F225" i="72" a="1"/>
  <c r="G223" i="72" a="1"/>
  <c r="H229" i="72" a="1"/>
  <c r="J59" i="72" a="1"/>
  <c r="J76" i="72" a="1"/>
  <c r="F224" i="72" a="1"/>
  <c r="BC183" i="34" l="1"/>
  <c r="U346" i="44"/>
  <c r="U693" i="44"/>
  <c r="U1039" i="44"/>
  <c r="CB367" i="72"/>
  <c r="CB372" i="72" s="1"/>
  <c r="EF77" i="93" s="1"/>
  <c r="CB359" i="72"/>
  <c r="BC181" i="34"/>
  <c r="BC142" i="34"/>
  <c r="CB455" i="72"/>
  <c r="CB439" i="72"/>
  <c r="BZ423" i="72"/>
  <c r="BO325" i="72"/>
  <c r="BC102" i="34"/>
  <c r="L74" i="72"/>
  <c r="L73" i="72"/>
  <c r="L76" i="72"/>
  <c r="L72" i="72"/>
  <c r="L75" i="72"/>
  <c r="L71" i="72"/>
  <c r="J74" i="72"/>
  <c r="J73" i="72"/>
  <c r="J76" i="72"/>
  <c r="J72" i="72"/>
  <c r="J75" i="72"/>
  <c r="J71" i="72"/>
  <c r="L70" i="72"/>
  <c r="M70" i="72" s="1"/>
  <c r="J70" i="72"/>
  <c r="K70" i="72" s="1"/>
  <c r="L59" i="72"/>
  <c r="L57" i="72"/>
  <c r="L56" i="72"/>
  <c r="L55" i="72"/>
  <c r="L58" i="72"/>
  <c r="L54" i="72"/>
  <c r="L53" i="72"/>
  <c r="M53" i="72" s="1"/>
  <c r="O67" i="30" s="1"/>
  <c r="J58" i="72"/>
  <c r="J59" i="72"/>
  <c r="J57" i="72"/>
  <c r="K57" i="72" s="1"/>
  <c r="J56" i="72"/>
  <c r="K56" i="72" s="1"/>
  <c r="J55" i="72"/>
  <c r="K55" i="72" s="1"/>
  <c r="G224" i="72"/>
  <c r="G230" i="72"/>
  <c r="H229" i="72"/>
  <c r="I228" i="72"/>
  <c r="E228" i="72"/>
  <c r="F227" i="72"/>
  <c r="G226" i="72"/>
  <c r="H225" i="72"/>
  <c r="I224" i="72"/>
  <c r="E224" i="72"/>
  <c r="F223" i="72"/>
  <c r="G222" i="72"/>
  <c r="H221" i="72"/>
  <c r="F230" i="72"/>
  <c r="G229" i="72"/>
  <c r="H228" i="72"/>
  <c r="I227" i="72"/>
  <c r="E227" i="72"/>
  <c r="F226" i="72"/>
  <c r="G225" i="72"/>
  <c r="H224" i="72"/>
  <c r="I223" i="72"/>
  <c r="E223" i="72"/>
  <c r="F222" i="72"/>
  <c r="G221" i="72"/>
  <c r="I230" i="72"/>
  <c r="E230" i="72"/>
  <c r="F229" i="72"/>
  <c r="G228" i="72"/>
  <c r="H227" i="72"/>
  <c r="I226" i="72"/>
  <c r="E226" i="72"/>
  <c r="F225" i="72"/>
  <c r="H223" i="72"/>
  <c r="I222" i="72"/>
  <c r="E222" i="72"/>
  <c r="F221" i="72"/>
  <c r="H230" i="72"/>
  <c r="I229" i="72"/>
  <c r="E229" i="72"/>
  <c r="F228" i="72"/>
  <c r="G227" i="72"/>
  <c r="H226" i="72"/>
  <c r="I225" i="72"/>
  <c r="E225" i="72"/>
  <c r="F224" i="72"/>
  <c r="G223" i="72"/>
  <c r="H222" i="72"/>
  <c r="I221" i="72"/>
  <c r="E221" i="72"/>
  <c r="D229" i="72"/>
  <c r="D225" i="72"/>
  <c r="D228" i="72"/>
  <c r="D224" i="72"/>
  <c r="D227" i="72"/>
  <c r="D223" i="72"/>
  <c r="D230" i="72"/>
  <c r="D226" i="72"/>
  <c r="D222" i="72"/>
  <c r="D221" i="72"/>
  <c r="E159" i="72"/>
  <c r="CA338" i="93" a="1"/>
  <c r="DR42" i="93"/>
  <c r="BS338" i="93"/>
  <c r="DP86" i="93" l="1"/>
  <c r="DP91" i="93" s="1"/>
  <c r="DR44" i="93" s="1"/>
  <c r="DR86" i="93"/>
  <c r="DR91" i="93" s="1"/>
  <c r="DR46" i="93" s="1"/>
  <c r="CA338" i="93"/>
  <c r="U347" i="44"/>
  <c r="K58" i="72"/>
  <c r="AY105" i="34"/>
  <c r="BR477" i="72"/>
  <c r="BT477" i="72"/>
  <c r="CB423" i="72"/>
  <c r="DR84" i="93" s="1"/>
  <c r="DR89" i="93" s="1"/>
  <c r="DP46" i="93" s="1"/>
  <c r="BC103" i="34"/>
  <c r="M71" i="72"/>
  <c r="K74" i="72"/>
  <c r="M72" i="72"/>
  <c r="M75" i="72"/>
  <c r="M73" i="72"/>
  <c r="M74" i="72"/>
  <c r="K72" i="72"/>
  <c r="K71" i="72"/>
  <c r="K75" i="72"/>
  <c r="K73" i="72"/>
  <c r="M54" i="72"/>
  <c r="M55" i="72"/>
  <c r="U67" i="30" s="1"/>
  <c r="M57" i="72"/>
  <c r="Y67" i="30" s="1"/>
  <c r="M58" i="72"/>
  <c r="AA67" i="30" s="1"/>
  <c r="M56" i="72"/>
  <c r="W67" i="30" s="1"/>
  <c r="J221" i="72"/>
  <c r="X56" i="85" s="1"/>
  <c r="K221" i="72"/>
  <c r="K229" i="72"/>
  <c r="J229" i="72"/>
  <c r="X64" i="85" s="1"/>
  <c r="K230" i="72"/>
  <c r="J228" i="72"/>
  <c r="X63" i="85" s="1"/>
  <c r="K228" i="72"/>
  <c r="J222" i="72"/>
  <c r="X57" i="85" s="1"/>
  <c r="K222" i="72"/>
  <c r="J227" i="72"/>
  <c r="X62" i="85" s="1"/>
  <c r="J224" i="72"/>
  <c r="X59" i="85" s="1"/>
  <c r="K227" i="72"/>
  <c r="K226" i="72"/>
  <c r="BU338" i="93"/>
  <c r="CD338" i="93" a="1"/>
  <c r="BW338" i="93"/>
  <c r="CC338" i="93" a="1"/>
  <c r="BV338" i="93"/>
  <c r="CE338" i="93" a="1"/>
  <c r="CF338" i="93" a="1"/>
  <c r="BX338" i="93"/>
  <c r="DY93" i="93" l="1"/>
  <c r="DX93" i="93"/>
  <c r="DB50" i="93" s="1"/>
  <c r="CF338" i="93"/>
  <c r="CC338" i="93"/>
  <c r="CE338" i="93"/>
  <c r="CD338" i="93"/>
  <c r="H66" i="72"/>
  <c r="H65" i="72"/>
  <c r="H67" i="72" s="1"/>
  <c r="H49" i="72"/>
  <c r="S67" i="30"/>
  <c r="AF66" i="34"/>
  <c r="X66" i="34"/>
  <c r="BP477" i="72"/>
  <c r="J225" i="72"/>
  <c r="X60" i="85" s="1"/>
  <c r="K224" i="72"/>
  <c r="K223" i="72"/>
  <c r="J230" i="72"/>
  <c r="X65" i="85" s="1"/>
  <c r="K225" i="72"/>
  <c r="J223" i="72"/>
  <c r="X58" i="85" s="1"/>
  <c r="J226" i="72"/>
  <c r="X61" i="85" s="1"/>
  <c r="BT338" i="93"/>
  <c r="CB338" i="93" a="1"/>
  <c r="CB338" i="93" l="1"/>
  <c r="P66" i="34"/>
  <c r="J197" i="72"/>
  <c r="J198" i="72" s="1"/>
  <c r="AG23" i="4" l="1"/>
  <c r="H29" i="72" a="1"/>
  <c r="U37" i="72" a="1"/>
  <c r="H39" i="72" a="1"/>
  <c r="H23" i="72" a="1"/>
  <c r="U24" i="72" a="1"/>
  <c r="H5" i="72" a="1"/>
  <c r="H38" i="72" a="1"/>
  <c r="U40" i="72" a="1"/>
  <c r="U25" i="72" a="1"/>
  <c r="AE10" i="72" a="1"/>
  <c r="H22" i="72" a="1"/>
  <c r="U15" i="72" a="1"/>
  <c r="U36" i="72" a="1"/>
  <c r="U20" i="72" a="1"/>
  <c r="U9" i="72" a="1"/>
  <c r="H4" i="72" a="1"/>
  <c r="H28" i="72" a="1"/>
  <c r="U43" i="72" a="1"/>
  <c r="AS5" i="72"/>
  <c r="U38" i="72" a="1"/>
  <c r="AH32" i="72" a="1"/>
  <c r="AT5" i="72"/>
  <c r="U42" i="72" a="1"/>
  <c r="U27" i="72" a="1"/>
  <c r="H37" i="72" a="1"/>
  <c r="U17" i="72" a="1"/>
  <c r="U28" i="72" a="1"/>
  <c r="H41" i="72" a="1"/>
  <c r="H31" i="72" a="1"/>
  <c r="U26" i="72" a="1"/>
  <c r="U19" i="72" a="1"/>
  <c r="AH31" i="72" a="1"/>
  <c r="U13" i="72" a="1"/>
  <c r="U7" i="72" a="1"/>
  <c r="H32" i="72" a="1"/>
  <c r="U5" i="72" a="1"/>
  <c r="AZ114" i="72" a="1"/>
  <c r="AH33" i="72" a="1"/>
  <c r="H11" i="72" a="1"/>
  <c r="H24" i="72" a="1"/>
  <c r="U4" i="72" a="1"/>
  <c r="AH35" i="72" a="1"/>
  <c r="H20" i="72" a="1"/>
  <c r="U14" i="72" a="1"/>
  <c r="U35" i="72" a="1"/>
  <c r="AH21" i="72" a="1"/>
  <c r="H12" i="72" a="1"/>
  <c r="H25" i="72" a="1"/>
  <c r="U8" i="72" a="1"/>
  <c r="H7" i="72" a="1"/>
  <c r="U21" i="72" a="1"/>
  <c r="AZ117" i="72" a="1"/>
  <c r="H6" i="72" a="1"/>
  <c r="U32" i="72" a="1"/>
  <c r="H40" i="72" a="1"/>
  <c r="AZ115" i="72" a="1"/>
  <c r="U31" i="72" a="1"/>
  <c r="H14" i="72" a="1"/>
  <c r="AZ113" i="72" a="1"/>
  <c r="U16" i="72" a="1"/>
  <c r="H9" i="72" a="1"/>
  <c r="I49" i="93"/>
  <c r="H13" i="72" a="1"/>
  <c r="H43" i="72" a="1"/>
  <c r="H27" i="72" a="1"/>
  <c r="U18" i="72" a="1"/>
  <c r="AZ112" i="72" a="1"/>
  <c r="H26" i="72" a="1"/>
  <c r="H16" i="72" a="1"/>
  <c r="H17" i="72" a="1"/>
  <c r="U33" i="72" a="1"/>
  <c r="H33" i="72" a="1"/>
  <c r="U22" i="72" a="1"/>
  <c r="H34" i="72" a="1"/>
  <c r="H8" i="72" a="1"/>
  <c r="U41" i="72" a="1"/>
  <c r="U23" i="72" a="1"/>
  <c r="AZ116" i="72" a="1"/>
  <c r="U34" i="72" a="1"/>
  <c r="H42" i="72" a="1"/>
  <c r="H30" i="72" a="1"/>
  <c r="U10" i="72" a="1"/>
  <c r="U6" i="72" a="1"/>
  <c r="H19" i="72" a="1"/>
  <c r="H35" i="72" a="1"/>
  <c r="H15" i="72" a="1"/>
  <c r="U12" i="72" a="1"/>
  <c r="H10" i="72" a="1"/>
  <c r="H18" i="72" a="1"/>
  <c r="H36" i="72" a="1"/>
  <c r="AH34" i="72" a="1"/>
  <c r="U30" i="72" a="1"/>
  <c r="U29" i="72" a="1"/>
  <c r="U11" i="72" a="1"/>
  <c r="U39" i="72" a="1"/>
  <c r="H21" i="72" a="1"/>
  <c r="AH34" i="72" l="1"/>
  <c r="AH33" i="72"/>
  <c r="AZ114" i="72"/>
  <c r="BA114" i="72" s="1"/>
  <c r="N54" i="18" s="1"/>
  <c r="AZ117" i="72"/>
  <c r="BA117" i="72" s="1"/>
  <c r="N60" i="82" s="1"/>
  <c r="AH21" i="72"/>
  <c r="AH35" i="72"/>
  <c r="AZ112" i="72"/>
  <c r="BA112" i="72" s="1"/>
  <c r="N59" i="16" s="1"/>
  <c r="AH31" i="72"/>
  <c r="AZ116" i="72"/>
  <c r="BA116" i="72" s="1"/>
  <c r="N60" i="22" s="1"/>
  <c r="AE10" i="72"/>
  <c r="AW30" i="72" s="1"/>
  <c r="AZ115" i="72"/>
  <c r="BA115" i="72" s="1"/>
  <c r="N54" i="81" s="1"/>
  <c r="AT7" i="72"/>
  <c r="AT8" i="72" s="1"/>
  <c r="AT11" i="72" s="1"/>
  <c r="AH32" i="72"/>
  <c r="AZ113" i="72"/>
  <c r="BA113" i="72" s="1"/>
  <c r="N59" i="80" s="1"/>
  <c r="U40" i="72"/>
  <c r="U34" i="72"/>
  <c r="U28" i="72"/>
  <c r="U22" i="72"/>
  <c r="U16" i="72"/>
  <c r="U10" i="72"/>
  <c r="U39" i="72"/>
  <c r="U33" i="72"/>
  <c r="U27" i="72"/>
  <c r="U21" i="72"/>
  <c r="U15" i="72"/>
  <c r="U9" i="72"/>
  <c r="U38" i="72"/>
  <c r="U32" i="72"/>
  <c r="U26" i="72"/>
  <c r="U20" i="72"/>
  <c r="U14" i="72"/>
  <c r="U8" i="72"/>
  <c r="U43" i="72"/>
  <c r="U37" i="72"/>
  <c r="U31" i="72"/>
  <c r="U25" i="72"/>
  <c r="U19" i="72"/>
  <c r="U13" i="72"/>
  <c r="U7" i="72"/>
  <c r="U42" i="72"/>
  <c r="U36" i="72"/>
  <c r="U30" i="72"/>
  <c r="U24" i="72"/>
  <c r="U18" i="72"/>
  <c r="U12" i="72"/>
  <c r="U6" i="72"/>
  <c r="U41" i="72"/>
  <c r="U35" i="72"/>
  <c r="U29" i="72"/>
  <c r="U23" i="72"/>
  <c r="U17" i="72"/>
  <c r="U11" i="72"/>
  <c r="U5" i="72"/>
  <c r="U4" i="72"/>
  <c r="Z4" i="72" s="1"/>
  <c r="H4" i="72"/>
  <c r="H40" i="72"/>
  <c r="V40" i="72" s="1"/>
  <c r="H34" i="72"/>
  <c r="V34" i="72" s="1"/>
  <c r="H28" i="72"/>
  <c r="V28" i="72" s="1"/>
  <c r="H22" i="72"/>
  <c r="V22" i="72" s="1"/>
  <c r="H16" i="72"/>
  <c r="V16" i="72" s="1"/>
  <c r="H10" i="72"/>
  <c r="V10" i="72" s="1"/>
  <c r="H39" i="72"/>
  <c r="V39" i="72" s="1"/>
  <c r="H33" i="72"/>
  <c r="V33" i="72" s="1"/>
  <c r="H27" i="72"/>
  <c r="V27" i="72" s="1"/>
  <c r="H21" i="72"/>
  <c r="V21" i="72" s="1"/>
  <c r="H15" i="72"/>
  <c r="V15" i="72" s="1"/>
  <c r="H9" i="72"/>
  <c r="V9" i="72" s="1"/>
  <c r="H38" i="72"/>
  <c r="V38" i="72" s="1"/>
  <c r="H32" i="72"/>
  <c r="V32" i="72" s="1"/>
  <c r="H26" i="72"/>
  <c r="V26" i="72" s="1"/>
  <c r="H20" i="72"/>
  <c r="V20" i="72" s="1"/>
  <c r="H14" i="72"/>
  <c r="V14" i="72" s="1"/>
  <c r="H8" i="72"/>
  <c r="H43" i="72"/>
  <c r="V43" i="72" s="1"/>
  <c r="H37" i="72"/>
  <c r="V37" i="72" s="1"/>
  <c r="H31" i="72"/>
  <c r="V31" i="72" s="1"/>
  <c r="H25" i="72"/>
  <c r="V25" i="72" s="1"/>
  <c r="H19" i="72"/>
  <c r="V19" i="72" s="1"/>
  <c r="H13" i="72"/>
  <c r="V13" i="72" s="1"/>
  <c r="H7" i="72"/>
  <c r="H42" i="72"/>
  <c r="V42" i="72" s="1"/>
  <c r="H36" i="72"/>
  <c r="V36" i="72" s="1"/>
  <c r="H30" i="72"/>
  <c r="V30" i="72" s="1"/>
  <c r="H24" i="72"/>
  <c r="V24" i="72" s="1"/>
  <c r="H18" i="72"/>
  <c r="V18" i="72" s="1"/>
  <c r="H12" i="72"/>
  <c r="V12" i="72" s="1"/>
  <c r="H6" i="72"/>
  <c r="H41" i="72"/>
  <c r="V41" i="72" s="1"/>
  <c r="H35" i="72"/>
  <c r="V35" i="72" s="1"/>
  <c r="H29" i="72"/>
  <c r="V29" i="72" s="1"/>
  <c r="H23" i="72"/>
  <c r="V23" i="72" s="1"/>
  <c r="H17" i="72"/>
  <c r="V17" i="72" s="1"/>
  <c r="H11" i="72"/>
  <c r="V11" i="72" s="1"/>
  <c r="H5" i="72"/>
  <c r="X4" i="72" a="1"/>
  <c r="X4" i="72" l="1"/>
  <c r="AW26" i="72"/>
  <c r="I319" i="70"/>
  <c r="I410" i="70"/>
  <c r="I321" i="70"/>
  <c r="I203" i="70"/>
  <c r="I320" i="70"/>
  <c r="I537" i="70"/>
  <c r="I208" i="70"/>
  <c r="I561" i="70"/>
  <c r="I184" i="70"/>
  <c r="I187" i="70"/>
  <c r="I185" i="70"/>
  <c r="I186" i="70"/>
  <c r="I188" i="70"/>
  <c r="I205" i="70"/>
  <c r="I201" i="70"/>
  <c r="I16" i="70"/>
  <c r="I2" i="70"/>
  <c r="I24" i="70"/>
  <c r="I34" i="70"/>
  <c r="I32" i="70"/>
  <c r="I30" i="70"/>
  <c r="I46" i="70"/>
  <c r="I52" i="70"/>
  <c r="I28" i="70"/>
  <c r="I45" i="70"/>
  <c r="I37" i="70"/>
  <c r="I50" i="70"/>
  <c r="I38" i="70"/>
  <c r="I35" i="70"/>
  <c r="I41" i="70"/>
  <c r="I31" i="70"/>
  <c r="I39" i="70"/>
  <c r="I29" i="70"/>
  <c r="I283" i="70"/>
  <c r="I21" i="70"/>
  <c r="I33" i="70"/>
  <c r="I26" i="70"/>
  <c r="I53" i="70"/>
  <c r="I13" i="70"/>
  <c r="I3" i="70"/>
  <c r="I4" i="70"/>
  <c r="I5" i="70"/>
  <c r="I27" i="70"/>
  <c r="I19" i="70"/>
  <c r="I6" i="70"/>
  <c r="I23" i="70"/>
  <c r="I47" i="70"/>
  <c r="I40" i="70"/>
  <c r="I7" i="70"/>
  <c r="I8" i="70"/>
  <c r="I146" i="70"/>
  <c r="I9" i="70"/>
  <c r="I36" i="70"/>
  <c r="I48" i="70"/>
  <c r="I20" i="70"/>
  <c r="I12" i="70"/>
  <c r="I51" i="70"/>
  <c r="I10" i="70"/>
  <c r="I11" i="70"/>
  <c r="I42" i="70"/>
  <c r="I49" i="70"/>
  <c r="I18" i="70"/>
  <c r="I25" i="70"/>
  <c r="I17" i="70"/>
  <c r="I22" i="70"/>
  <c r="I89" i="70"/>
  <c r="I92" i="70"/>
  <c r="I93" i="70"/>
  <c r="I90" i="70"/>
  <c r="I83" i="70"/>
  <c r="I71" i="70"/>
  <c r="I84" i="70"/>
  <c r="I54" i="70"/>
  <c r="I70" i="70"/>
  <c r="I85" i="70"/>
  <c r="I88" i="70"/>
  <c r="I87" i="70"/>
  <c r="I91" i="70"/>
  <c r="I80" i="70"/>
  <c r="I78" i="70"/>
  <c r="I62" i="70"/>
  <c r="I76" i="70"/>
  <c r="I55" i="70"/>
  <c r="I82" i="70"/>
  <c r="I79" i="70"/>
  <c r="I95" i="70"/>
  <c r="I86" i="70"/>
  <c r="I149" i="70"/>
  <c r="I147" i="70"/>
  <c r="I77" i="70"/>
  <c r="I67" i="70"/>
  <c r="I56" i="70"/>
  <c r="I57" i="70"/>
  <c r="I73" i="70"/>
  <c r="I74" i="70"/>
  <c r="I65" i="70"/>
  <c r="I94" i="70"/>
  <c r="I14" i="70"/>
  <c r="I81" i="70"/>
  <c r="I58" i="70"/>
  <c r="I59" i="70"/>
  <c r="I68" i="70"/>
  <c r="I64" i="70"/>
  <c r="I60" i="70"/>
  <c r="I63" i="70"/>
  <c r="I61" i="70"/>
  <c r="I72" i="70"/>
  <c r="I69" i="70"/>
  <c r="I66" i="70"/>
  <c r="I75" i="70"/>
  <c r="I136" i="70"/>
  <c r="I96" i="70"/>
  <c r="I97" i="70"/>
  <c r="I109" i="70"/>
  <c r="I144" i="70"/>
  <c r="I112" i="70"/>
  <c r="I98" i="70"/>
  <c r="I132" i="70"/>
  <c r="I150" i="70"/>
  <c r="I110" i="70"/>
  <c r="I99" i="70"/>
  <c r="I167" i="70"/>
  <c r="I161" i="70"/>
  <c r="I164" i="70"/>
  <c r="I137" i="70"/>
  <c r="I124" i="70"/>
  <c r="I100" i="70"/>
  <c r="I163" i="70"/>
  <c r="I154" i="70"/>
  <c r="I128" i="70"/>
  <c r="I165" i="70"/>
  <c r="I129" i="70"/>
  <c r="I119" i="70"/>
  <c r="I162" i="70"/>
  <c r="I115" i="70"/>
  <c r="I101" i="70"/>
  <c r="I131" i="70"/>
  <c r="I168" i="70"/>
  <c r="I102" i="70"/>
  <c r="I121" i="70"/>
  <c r="I130" i="70"/>
  <c r="I122" i="70"/>
  <c r="I117" i="70"/>
  <c r="I156" i="70"/>
  <c r="I157" i="70"/>
  <c r="I116" i="70"/>
  <c r="I120" i="70"/>
  <c r="I133" i="70"/>
  <c r="I159" i="70"/>
  <c r="I135" i="70"/>
  <c r="I104" i="70"/>
  <c r="I378" i="70"/>
  <c r="I126" i="70"/>
  <c r="I125" i="70"/>
  <c r="I123" i="70"/>
  <c r="I43" i="70"/>
  <c r="I111" i="70"/>
  <c r="I264" i="70"/>
  <c r="I431" i="70"/>
  <c r="I113" i="70"/>
  <c r="I114" i="70"/>
  <c r="I103" i="70"/>
  <c r="I105" i="70"/>
  <c r="I106" i="70"/>
  <c r="I107" i="70"/>
  <c r="I152" i="70"/>
  <c r="I134" i="70"/>
  <c r="I166" i="70"/>
  <c r="I138" i="70"/>
  <c r="I160" i="70"/>
  <c r="I145" i="70"/>
  <c r="I155" i="70"/>
  <c r="I158" i="70"/>
  <c r="I108" i="70"/>
  <c r="I118" i="70"/>
  <c r="I127" i="70"/>
  <c r="I44" i="70"/>
  <c r="I190" i="70"/>
  <c r="I169" i="70"/>
  <c r="I191" i="70"/>
  <c r="I210" i="70"/>
  <c r="I170" i="70"/>
  <c r="I206" i="70"/>
  <c r="I197" i="70"/>
  <c r="I171" i="70"/>
  <c r="I179" i="70"/>
  <c r="I172" i="70"/>
  <c r="I173" i="70"/>
  <c r="I174" i="70"/>
  <c r="I189" i="70"/>
  <c r="I415" i="70"/>
  <c r="I175" i="70"/>
  <c r="I199" i="70"/>
  <c r="I204" i="70"/>
  <c r="I196" i="70"/>
  <c r="I192" i="70"/>
  <c r="I194" i="70"/>
  <c r="I176" i="70"/>
  <c r="I200" i="70"/>
  <c r="I193" i="70"/>
  <c r="I207" i="70"/>
  <c r="I177" i="70"/>
  <c r="I195" i="70"/>
  <c r="I209" i="70"/>
  <c r="I198" i="70"/>
  <c r="I211" i="70"/>
  <c r="I178" i="70"/>
  <c r="I180" i="70"/>
  <c r="I181" i="70"/>
  <c r="I182" i="70"/>
  <c r="I183" i="70"/>
  <c r="I543" i="70"/>
  <c r="I318" i="70"/>
  <c r="I232" i="70"/>
  <c r="I212" i="70"/>
  <c r="I218" i="70"/>
  <c r="I213" i="70"/>
  <c r="I223" i="70"/>
  <c r="I219" i="70"/>
  <c r="I222" i="70"/>
  <c r="I220" i="70"/>
  <c r="I233" i="70"/>
  <c r="I225" i="70"/>
  <c r="I226" i="70"/>
  <c r="I227" i="70"/>
  <c r="I228" i="70"/>
  <c r="I214" i="70"/>
  <c r="I216" i="70"/>
  <c r="I230" i="70"/>
  <c r="I221" i="70"/>
  <c r="I215" i="70"/>
  <c r="I231" i="70"/>
  <c r="I224" i="70"/>
  <c r="I217" i="70"/>
  <c r="I229" i="70"/>
  <c r="I276" i="70"/>
  <c r="I278" i="70"/>
  <c r="I234" i="70"/>
  <c r="I235" i="70"/>
  <c r="I236" i="70"/>
  <c r="I237" i="70"/>
  <c r="I280" i="70"/>
  <c r="I258" i="70"/>
  <c r="I254" i="70"/>
  <c r="I255" i="70"/>
  <c r="I298" i="70"/>
  <c r="I260" i="70"/>
  <c r="I252" i="70"/>
  <c r="I249" i="70"/>
  <c r="I282" i="70"/>
  <c r="I238" i="70"/>
  <c r="I256" i="70"/>
  <c r="I239" i="70"/>
  <c r="I267" i="70"/>
  <c r="I272" i="70"/>
  <c r="I257" i="70"/>
  <c r="I287" i="70"/>
  <c r="I296" i="70"/>
  <c r="I247" i="70"/>
  <c r="I248" i="70"/>
  <c r="I271" i="70"/>
  <c r="I291" i="70"/>
  <c r="I273" i="70"/>
  <c r="I295" i="70"/>
  <c r="I268" i="70"/>
  <c r="I285" i="70"/>
  <c r="I286" i="70"/>
  <c r="I261" i="70"/>
  <c r="I262" i="70"/>
  <c r="I269" i="70"/>
  <c r="I270" i="70"/>
  <c r="I290" i="70"/>
  <c r="I297" i="70"/>
  <c r="I288" i="70"/>
  <c r="I294" i="70"/>
  <c r="I275" i="70"/>
  <c r="I279" i="70"/>
  <c r="I265" i="70"/>
  <c r="I266" i="70"/>
  <c r="I292" i="70"/>
  <c r="I259" i="70"/>
  <c r="I250" i="70"/>
  <c r="I293" i="70"/>
  <c r="I240" i="70"/>
  <c r="I251" i="70"/>
  <c r="I277" i="70"/>
  <c r="I263" i="70"/>
  <c r="I241" i="70"/>
  <c r="I242" i="70"/>
  <c r="I289" i="70"/>
  <c r="I244" i="70"/>
  <c r="I245" i="70"/>
  <c r="I243" i="70"/>
  <c r="I246" i="70"/>
  <c r="I274" i="70"/>
  <c r="I281" i="70"/>
  <c r="I253" i="70"/>
  <c r="I153" i="70"/>
  <c r="I307" i="70"/>
  <c r="I299" i="70"/>
  <c r="I302" i="70"/>
  <c r="I300" i="70"/>
  <c r="I301" i="70"/>
  <c r="I304" i="70"/>
  <c r="I305" i="70"/>
  <c r="I306" i="70"/>
  <c r="I303" i="70"/>
  <c r="I322" i="70"/>
  <c r="I314" i="70"/>
  <c r="I315" i="70"/>
  <c r="I312" i="70"/>
  <c r="I313" i="70"/>
  <c r="I316" i="70"/>
  <c r="I317" i="70"/>
  <c r="I308" i="70"/>
  <c r="I311" i="70"/>
  <c r="I310" i="70"/>
  <c r="I309" i="70"/>
  <c r="I139" i="70"/>
  <c r="I284" i="70"/>
  <c r="I333" i="70"/>
  <c r="I329" i="70"/>
  <c r="I334" i="70"/>
  <c r="I327" i="70"/>
  <c r="I325" i="70"/>
  <c r="I326" i="70"/>
  <c r="I330" i="70"/>
  <c r="I328" i="70"/>
  <c r="I339" i="70"/>
  <c r="I340" i="70"/>
  <c r="I331" i="70"/>
  <c r="I345" i="70"/>
  <c r="I342" i="70"/>
  <c r="I335" i="70"/>
  <c r="I323" i="70"/>
  <c r="I336" i="70"/>
  <c r="I337" i="70"/>
  <c r="I341" i="70"/>
  <c r="I324" i="70"/>
  <c r="I338" i="70"/>
  <c r="I343" i="70"/>
  <c r="I346" i="70"/>
  <c r="I344" i="70"/>
  <c r="I332" i="70"/>
  <c r="I348" i="70"/>
  <c r="I151" i="70"/>
  <c r="I347" i="70"/>
  <c r="I349" i="70"/>
  <c r="I350" i="70"/>
  <c r="I351" i="70"/>
  <c r="I384" i="70"/>
  <c r="I352" i="70"/>
  <c r="I353" i="70"/>
  <c r="I391" i="70"/>
  <c r="I386" i="70"/>
  <c r="I377" i="70"/>
  <c r="I385" i="70"/>
  <c r="I381" i="70"/>
  <c r="I387" i="70"/>
  <c r="I371" i="70"/>
  <c r="I354" i="70"/>
  <c r="I367" i="70"/>
  <c r="I373" i="70"/>
  <c r="I368" i="70"/>
  <c r="I382" i="70"/>
  <c r="I380" i="70"/>
  <c r="I390" i="70"/>
  <c r="I374" i="70"/>
  <c r="I355" i="70"/>
  <c r="I369" i="70"/>
  <c r="I375" i="70"/>
  <c r="I370" i="70"/>
  <c r="I356" i="70"/>
  <c r="I383" i="70"/>
  <c r="I357" i="70"/>
  <c r="I358" i="70"/>
  <c r="I388" i="70"/>
  <c r="I363" i="70"/>
  <c r="I372" i="70"/>
  <c r="I359" i="70"/>
  <c r="I364" i="70"/>
  <c r="I365" i="70"/>
  <c r="I360" i="70"/>
  <c r="I366" i="70"/>
  <c r="I379" i="70"/>
  <c r="I361" i="70"/>
  <c r="I389" i="70"/>
  <c r="I362" i="70"/>
  <c r="I376" i="70"/>
  <c r="I392" i="70"/>
  <c r="I393" i="70"/>
  <c r="I397" i="70"/>
  <c r="I394" i="70"/>
  <c r="I395" i="70"/>
  <c r="I396" i="70"/>
  <c r="I15" i="70"/>
  <c r="I409" i="70"/>
  <c r="I407" i="70"/>
  <c r="I400" i="70"/>
  <c r="I399" i="70"/>
  <c r="I412" i="70"/>
  <c r="I401" i="70"/>
  <c r="I411" i="70"/>
  <c r="I408" i="70"/>
  <c r="I402" i="70"/>
  <c r="I406" i="70"/>
  <c r="I413" i="70"/>
  <c r="I403" i="70"/>
  <c r="I140" i="70"/>
  <c r="I141" i="70"/>
  <c r="I404" i="70"/>
  <c r="I405" i="70"/>
  <c r="I143" i="70"/>
  <c r="I448" i="70"/>
  <c r="I460" i="70"/>
  <c r="I467" i="70"/>
  <c r="I414" i="70"/>
  <c r="I416" i="70"/>
  <c r="I463" i="70"/>
  <c r="I442" i="70"/>
  <c r="I417" i="70"/>
  <c r="I455" i="70"/>
  <c r="I466" i="70"/>
  <c r="I451" i="70"/>
  <c r="I418" i="70"/>
  <c r="I464" i="70"/>
  <c r="I472" i="70"/>
  <c r="I459" i="70"/>
  <c r="I419" i="70"/>
  <c r="I454" i="70"/>
  <c r="I398" i="70"/>
  <c r="I469" i="70"/>
  <c r="I456" i="70"/>
  <c r="I449" i="70"/>
  <c r="I452" i="70"/>
  <c r="I453" i="70"/>
  <c r="I420" i="70"/>
  <c r="I434" i="70"/>
  <c r="I435" i="70"/>
  <c r="I429" i="70"/>
  <c r="I441" i="70"/>
  <c r="I438" i="70"/>
  <c r="I447" i="70"/>
  <c r="I421" i="70"/>
  <c r="I422" i="70"/>
  <c r="I440" i="70"/>
  <c r="I444" i="70"/>
  <c r="I445" i="70"/>
  <c r="I432" i="70"/>
  <c r="I465" i="70"/>
  <c r="I461" i="70"/>
  <c r="I462" i="70"/>
  <c r="I436" i="70"/>
  <c r="I439" i="70"/>
  <c r="I433" i="70"/>
  <c r="I458" i="70"/>
  <c r="I423" i="70"/>
  <c r="I450" i="70"/>
  <c r="I424" i="70"/>
  <c r="I430" i="70"/>
  <c r="I425" i="70"/>
  <c r="I437" i="70"/>
  <c r="I426" i="70"/>
  <c r="I428" i="70"/>
  <c r="I446" i="70"/>
  <c r="I427" i="70"/>
  <c r="I457" i="70"/>
  <c r="I443" i="70"/>
  <c r="I470" i="70"/>
  <c r="I471" i="70"/>
  <c r="I468" i="70"/>
  <c r="I475" i="70"/>
  <c r="I473" i="70"/>
  <c r="I474" i="70"/>
  <c r="I476" i="70"/>
  <c r="I477" i="70"/>
  <c r="I478" i="70"/>
  <c r="I479" i="70"/>
  <c r="I481" i="70"/>
  <c r="I480" i="70"/>
  <c r="I497" i="70"/>
  <c r="I493" i="70"/>
  <c r="I485" i="70"/>
  <c r="I482" i="70"/>
  <c r="I483" i="70"/>
  <c r="I490" i="70"/>
  <c r="I494" i="70"/>
  <c r="I491" i="70"/>
  <c r="I492" i="70"/>
  <c r="I495" i="70"/>
  <c r="I142" i="70"/>
  <c r="I488" i="70"/>
  <c r="I486" i="70"/>
  <c r="I489" i="70"/>
  <c r="I487" i="70"/>
  <c r="I496" i="70"/>
  <c r="I484" i="70"/>
  <c r="I544" i="70"/>
  <c r="I517" i="70"/>
  <c r="I525" i="70"/>
  <c r="I542" i="70"/>
  <c r="I498" i="70"/>
  <c r="I518" i="70"/>
  <c r="I558" i="70"/>
  <c r="I546" i="70"/>
  <c r="I499" i="70"/>
  <c r="I548" i="70"/>
  <c r="I534" i="70"/>
  <c r="I521" i="70"/>
  <c r="I523" i="70"/>
  <c r="I527" i="70"/>
  <c r="I529" i="70"/>
  <c r="I500" i="70"/>
  <c r="I501" i="70"/>
  <c r="I565" i="70"/>
  <c r="I502" i="70"/>
  <c r="I533" i="70"/>
  <c r="I567" i="70"/>
  <c r="I532" i="70"/>
  <c r="I528" i="70"/>
  <c r="I503" i="70"/>
  <c r="I560" i="70"/>
  <c r="I536" i="70"/>
  <c r="I514" i="70"/>
  <c r="I515" i="70"/>
  <c r="I504" i="70"/>
  <c r="I505" i="70"/>
  <c r="I559" i="70"/>
  <c r="I522" i="70"/>
  <c r="I526" i="70"/>
  <c r="I506" i="70"/>
  <c r="I516" i="70"/>
  <c r="I507" i="70"/>
  <c r="I530" i="70"/>
  <c r="I531" i="70"/>
  <c r="I562" i="70"/>
  <c r="I549" i="70"/>
  <c r="I552" i="70"/>
  <c r="I551" i="70"/>
  <c r="I550" i="70"/>
  <c r="I564" i="70"/>
  <c r="I545" i="70"/>
  <c r="I556" i="70"/>
  <c r="I553" i="70"/>
  <c r="I554" i="70"/>
  <c r="I566" i="70"/>
  <c r="I547" i="70"/>
  <c r="I555" i="70"/>
  <c r="I563" i="70"/>
  <c r="I508" i="70"/>
  <c r="I512" i="70"/>
  <c r="I513" i="70"/>
  <c r="I511" i="70"/>
  <c r="I539" i="70"/>
  <c r="I540" i="70"/>
  <c r="I538" i="70"/>
  <c r="I520" i="70"/>
  <c r="I519" i="70"/>
  <c r="I509" i="70"/>
  <c r="I510" i="70"/>
  <c r="I535" i="70"/>
  <c r="AP34" i="72"/>
  <c r="AO34" i="72"/>
  <c r="HU4" i="72"/>
  <c r="HU5" i="72"/>
  <c r="HU6" i="72"/>
  <c r="HU7" i="72"/>
  <c r="HU8" i="72"/>
  <c r="HU3" i="72"/>
  <c r="AH26" i="72" a="1"/>
  <c r="O130" i="114" l="1"/>
  <c r="O131" i="114"/>
  <c r="O196" i="114"/>
  <c r="O197" i="114"/>
  <c r="AH26" i="72"/>
  <c r="H196" i="114" l="1"/>
  <c r="H131" i="114"/>
  <c r="H197" i="114"/>
  <c r="H130" i="114"/>
  <c r="O241" i="114"/>
  <c r="AY104" i="92"/>
  <c r="AY103" i="92"/>
  <c r="AY102" i="92"/>
  <c r="AY101" i="92"/>
  <c r="AW104" i="92"/>
  <c r="AW103" i="92"/>
  <c r="AW102" i="92"/>
  <c r="AW101" i="92"/>
  <c r="C164" i="92"/>
  <c r="C163" i="92"/>
  <c r="C162" i="92"/>
  <c r="C161" i="92"/>
  <c r="C160" i="92"/>
  <c r="C159" i="92"/>
  <c r="H145" i="92"/>
  <c r="FR22" i="92"/>
  <c r="FR23" i="92" s="1"/>
  <c r="FR24" i="92" s="1"/>
  <c r="FR25" i="92" s="1"/>
  <c r="FR26" i="92" s="1"/>
  <c r="FR27" i="92" s="1"/>
  <c r="FR28" i="92" s="1"/>
  <c r="FR29" i="92" s="1"/>
  <c r="FR30" i="92" s="1"/>
  <c r="FQ22" i="92"/>
  <c r="FQ23" i="92" s="1"/>
  <c r="FQ24" i="92" s="1"/>
  <c r="FQ25" i="92" s="1"/>
  <c r="FQ26" i="92" s="1"/>
  <c r="FQ27" i="92" s="1"/>
  <c r="FQ28" i="92" s="1"/>
  <c r="FQ29" i="92" s="1"/>
  <c r="FQ30" i="92" s="1"/>
  <c r="FP22" i="92"/>
  <c r="FP23" i="92" s="1"/>
  <c r="FP24" i="92" s="1"/>
  <c r="FP25" i="92" s="1"/>
  <c r="FP26" i="92" s="1"/>
  <c r="FP27" i="92" s="1"/>
  <c r="FP28" i="92" s="1"/>
  <c r="FP29" i="92" s="1"/>
  <c r="FP30" i="92" s="1"/>
  <c r="FO22" i="92"/>
  <c r="FO23" i="92" s="1"/>
  <c r="FO24" i="92" s="1"/>
  <c r="FO25" i="92" s="1"/>
  <c r="FO26" i="92" s="1"/>
  <c r="FO27" i="92" s="1"/>
  <c r="FO28" i="92" s="1"/>
  <c r="FO29" i="92" s="1"/>
  <c r="FO30" i="92" s="1"/>
  <c r="FN22" i="92"/>
  <c r="FN23" i="92" s="1"/>
  <c r="FN24" i="92" s="1"/>
  <c r="FN25" i="92" s="1"/>
  <c r="FN26" i="92" s="1"/>
  <c r="FN27" i="92" s="1"/>
  <c r="FN28" i="92" s="1"/>
  <c r="FN29" i="92" s="1"/>
  <c r="FN30" i="92" s="1"/>
  <c r="FM22" i="92"/>
  <c r="FM23" i="92" s="1"/>
  <c r="FM24" i="92" s="1"/>
  <c r="FM25" i="92" s="1"/>
  <c r="FM26" i="92" s="1"/>
  <c r="FM27" i="92" s="1"/>
  <c r="FM28" i="92" s="1"/>
  <c r="FM29" i="92" s="1"/>
  <c r="FM30" i="92" s="1"/>
  <c r="FX4" i="92"/>
  <c r="I245" i="72" a="1"/>
  <c r="H241" i="114" l="1"/>
  <c r="I245" i="72"/>
  <c r="FM4" i="92" l="1"/>
  <c r="ES25" i="92"/>
  <c r="ES26" i="92"/>
  <c r="FT7" i="92" l="1"/>
  <c r="FB69" i="92" s="1"/>
  <c r="FU6" i="92"/>
  <c r="FC68" i="92" s="1"/>
  <c r="FU8" i="92"/>
  <c r="FC70" i="92" s="1"/>
  <c r="FV6" i="92"/>
  <c r="FD68" i="92" s="1"/>
  <c r="FV8" i="92"/>
  <c r="FD70" i="92" s="1"/>
  <c r="FU7" i="92"/>
  <c r="FC69" i="92" s="1"/>
  <c r="FO4" i="92"/>
  <c r="FQ7" i="92"/>
  <c r="FF35" i="92" s="1"/>
  <c r="FW8" i="92"/>
  <c r="FE70" i="92" s="1"/>
  <c r="FO10" i="92"/>
  <c r="FD38" i="92" s="1"/>
  <c r="FX9" i="92"/>
  <c r="FF71" i="92" s="1"/>
  <c r="FO7" i="92"/>
  <c r="FD35" i="92" s="1"/>
  <c r="FW7" i="92"/>
  <c r="FE69" i="92" s="1"/>
  <c r="FU9" i="92"/>
  <c r="FC71" i="92" s="1"/>
  <c r="FY6" i="92"/>
  <c r="FG68" i="92" s="1"/>
  <c r="FY9" i="92"/>
  <c r="FG71" i="92" s="1"/>
  <c r="FY7" i="92"/>
  <c r="FG69" i="92" s="1"/>
  <c r="FQ8" i="92"/>
  <c r="FF36" i="92" s="1"/>
  <c r="FR9" i="92"/>
  <c r="FG37" i="92" s="1"/>
  <c r="FO8" i="92"/>
  <c r="FD36" i="92" s="1"/>
  <c r="FN9" i="92"/>
  <c r="FC37" i="92" s="1"/>
  <c r="FQ4" i="92"/>
  <c r="FV4" i="92"/>
  <c r="FV7" i="92"/>
  <c r="FD69" i="92" s="1"/>
  <c r="ES24" i="92"/>
  <c r="FT4" i="92"/>
  <c r="FR10" i="92"/>
  <c r="FG38" i="92" s="1"/>
  <c r="FX7" i="92"/>
  <c r="FF69" i="92" s="1"/>
  <c r="AX52" i="92" l="1"/>
  <c r="AX59" i="92"/>
  <c r="AX58" i="92"/>
  <c r="AX56" i="92"/>
  <c r="AX55" i="92"/>
  <c r="AX57" i="92"/>
  <c r="AX54" i="92"/>
  <c r="AX53" i="92"/>
  <c r="FO9" i="92"/>
  <c r="FD37" i="92" s="1"/>
  <c r="FQ10" i="92"/>
  <c r="FF38" i="92" s="1"/>
  <c r="FM9" i="92"/>
  <c r="FB37" i="92" s="1"/>
  <c r="FT9" i="92"/>
  <c r="FB71" i="92" s="1"/>
  <c r="FM7" i="92"/>
  <c r="FB35" i="92" s="1"/>
  <c r="FQ9" i="92"/>
  <c r="FF37" i="92" s="1"/>
  <c r="FM10" i="92"/>
  <c r="FB38" i="92" s="1"/>
  <c r="FP6" i="92"/>
  <c r="FE34" i="92" s="1"/>
  <c r="FO6" i="92"/>
  <c r="FD34" i="92" s="1"/>
  <c r="FM8" i="92"/>
  <c r="FB36" i="92" s="1"/>
  <c r="FM6" i="92"/>
  <c r="FB34" i="92" s="1"/>
  <c r="FN6" i="92"/>
  <c r="FC34" i="92" s="1"/>
  <c r="FP7" i="92"/>
  <c r="FE35" i="92" s="1"/>
  <c r="FP10" i="92"/>
  <c r="FE38" i="92" s="1"/>
  <c r="FN10" i="92"/>
  <c r="FC38" i="92" s="1"/>
  <c r="FR8" i="92"/>
  <c r="FG36" i="92" s="1"/>
  <c r="FX8" i="92"/>
  <c r="FF70" i="92" s="1"/>
  <c r="FR6" i="92"/>
  <c r="FG34" i="92" s="1"/>
  <c r="FT6" i="92"/>
  <c r="FB68" i="92" s="1"/>
  <c r="FP9" i="92"/>
  <c r="FE37" i="92" s="1"/>
  <c r="FP8" i="92"/>
  <c r="FE36" i="92" s="1"/>
  <c r="FT8" i="92"/>
  <c r="FB70" i="92" s="1"/>
  <c r="FV9" i="92"/>
  <c r="FD71" i="92" s="1"/>
  <c r="FR7" i="92"/>
  <c r="FG35" i="92" s="1"/>
  <c r="FQ6" i="92"/>
  <c r="FF34" i="92" s="1"/>
  <c r="FW9" i="92"/>
  <c r="FE71" i="92" s="1"/>
  <c r="FN7" i="92"/>
  <c r="FC35" i="92" s="1"/>
  <c r="FW6" i="92"/>
  <c r="FE68" i="92" s="1"/>
  <c r="FN8" i="92"/>
  <c r="FC36" i="92" s="1"/>
  <c r="FY8" i="92"/>
  <c r="FG70" i="92" s="1"/>
  <c r="FT10" i="92" l="1"/>
  <c r="FB72" i="92" s="1"/>
  <c r="FW10" i="92" l="1"/>
  <c r="FE72" i="92" s="1"/>
  <c r="FM11" i="92"/>
  <c r="FX10" i="92"/>
  <c r="FF72" i="92" s="1"/>
  <c r="FU10" i="92"/>
  <c r="FC72" i="92" s="1"/>
  <c r="FH12" i="92" a="1"/>
  <c r="FG17" i="92" a="1"/>
  <c r="EW11" i="92" a="1"/>
  <c r="EU12" i="92" a="1"/>
  <c r="M163" i="92" a="1"/>
  <c r="FC16" i="92" a="1"/>
  <c r="FG12" i="92" a="1"/>
  <c r="AX23" i="92"/>
  <c r="L163" i="92" a="1"/>
  <c r="D57" i="92" a="1"/>
  <c r="ET15" i="92" a="1"/>
  <c r="EW17" i="92" a="1"/>
  <c r="FB10" i="92" a="1"/>
  <c r="J163" i="92" a="1"/>
  <c r="ET10" i="92" a="1"/>
  <c r="M164" i="92" a="1"/>
  <c r="H159" i="92" a="1"/>
  <c r="FH16" i="92" a="1"/>
  <c r="FB8" i="92" a="1"/>
  <c r="FE17" i="92" a="1"/>
  <c r="EX13" i="92" a="1"/>
  <c r="EW9" i="92" a="1"/>
  <c r="AX22" i="92" a="1"/>
  <c r="FC8" i="92" a="1"/>
  <c r="EY15" i="92" a="1"/>
  <c r="BD7" i="92" a="1"/>
  <c r="BD11" i="92" a="1"/>
  <c r="FE11" i="92" a="1"/>
  <c r="ET14" i="92" a="1"/>
  <c r="EV10" i="92" a="1"/>
  <c r="H162" i="92" a="1"/>
  <c r="K160" i="92" a="1"/>
  <c r="EZ15" i="92" a="1"/>
  <c r="FD12" i="92" a="1"/>
  <c r="EV13" i="92" a="1"/>
  <c r="AX39" i="92" a="1"/>
  <c r="EX8" i="92" a="1"/>
  <c r="P163" i="92" a="1"/>
  <c r="ES17" i="92" a="1"/>
  <c r="O161" i="92" a="1"/>
  <c r="EZ8" i="92" a="1"/>
  <c r="ES16" i="92" a="1"/>
  <c r="P164" i="92" a="1"/>
  <c r="AW46" i="92" a="1"/>
  <c r="G159" i="92" a="1"/>
  <c r="N164" i="92" a="1"/>
  <c r="I148" i="92" a="1"/>
  <c r="FF16" i="92" a="1"/>
  <c r="EV9" i="92" a="1"/>
  <c r="EW16" i="92" a="1"/>
  <c r="FH9" i="92" a="1"/>
  <c r="EX16" i="92" a="1"/>
  <c r="EX11" i="92" a="1"/>
  <c r="K162" i="92" a="1"/>
  <c r="K163" i="92" a="1"/>
  <c r="N161" i="92" a="1"/>
  <c r="FA8" i="92" a="1"/>
  <c r="FE12" i="92" a="1"/>
  <c r="BD12" i="92" a="1"/>
  <c r="BD10" i="92" a="1"/>
  <c r="AZ76" i="92" a="1"/>
  <c r="FB16" i="92" a="1"/>
  <c r="B130" i="92" a="1"/>
  <c r="FE15" i="92" a="1"/>
  <c r="FH13" i="92" a="1"/>
  <c r="EU9" i="92" a="1"/>
  <c r="AX38" i="92" a="1"/>
  <c r="FC17" i="92" a="1"/>
  <c r="F164" i="92" a="1"/>
  <c r="P161" i="92" a="1"/>
  <c r="K164" i="92" a="1"/>
  <c r="L160" i="92" a="1"/>
  <c r="EV17" i="92" a="1"/>
  <c r="FA10" i="92" a="1"/>
  <c r="EZ9" i="92" a="1"/>
  <c r="EY17" i="92" a="1"/>
  <c r="M160" i="92" a="1"/>
  <c r="E159" i="92" a="1"/>
  <c r="EV8" i="92" a="1"/>
  <c r="FF11" i="92" a="1"/>
  <c r="FA12" i="92" a="1"/>
  <c r="C59" i="92" a="1"/>
  <c r="J164" i="92" a="1"/>
  <c r="FF17" i="92" a="1"/>
  <c r="FE13" i="92" a="1"/>
  <c r="FD17" i="92" a="1"/>
  <c r="ES11" i="92" a="1"/>
  <c r="O164" i="92" a="1"/>
  <c r="EY14" i="92" a="1"/>
  <c r="BD8" i="92" a="1"/>
  <c r="FH10" i="92" a="1"/>
  <c r="O162" i="92" a="1"/>
  <c r="EZ10" i="92" a="1"/>
  <c r="E161" i="92" a="1"/>
  <c r="G162" i="92" a="1"/>
  <c r="AZ89" i="92" a="1"/>
  <c r="FH15" i="92" a="1"/>
  <c r="FG11" i="92" a="1"/>
  <c r="FA16" i="92" a="1"/>
  <c r="D56" i="92" a="1"/>
  <c r="AZ84" i="92" a="1"/>
  <c r="FG13" i="92" a="1"/>
  <c r="M159" i="92" a="1"/>
  <c r="FD8" i="92" a="1"/>
  <c r="O159" i="92" a="1"/>
  <c r="FB11" i="92" a="1"/>
  <c r="FE16" i="92" a="1"/>
  <c r="L162" i="92" a="1"/>
  <c r="BD5" i="92" a="1"/>
  <c r="EW15" i="92" a="1"/>
  <c r="H161" i="92" a="1"/>
  <c r="D58" i="92" a="1"/>
  <c r="FC15" i="92" a="1"/>
  <c r="EX17" i="92" a="1"/>
  <c r="AZ90" i="92" a="1"/>
  <c r="E160" i="92" a="1"/>
  <c r="FC14" i="92" a="1"/>
  <c r="FC9" i="92" a="1"/>
  <c r="FA14" i="92" a="1"/>
  <c r="FG15" i="92" a="1"/>
  <c r="ES13" i="92" a="1"/>
  <c r="FC13" i="92" a="1"/>
  <c r="N160" i="92" a="1"/>
  <c r="FD9" i="92" a="1"/>
  <c r="G161" i="92" a="1"/>
  <c r="J160" i="92" a="1"/>
  <c r="AZ83" i="92" a="1"/>
  <c r="D59" i="92" a="1"/>
  <c r="F163" i="92" a="1"/>
  <c r="ES15" i="92" a="1"/>
  <c r="EW14" i="92" a="1"/>
  <c r="FA11" i="92" a="1"/>
  <c r="EX12" i="92" a="1"/>
  <c r="EV11" i="92" a="1"/>
  <c r="ET17" i="92" a="1"/>
  <c r="I162" i="92" a="1"/>
  <c r="FD14" i="92" a="1"/>
  <c r="G163" i="92" a="1"/>
  <c r="FF13" i="92" a="1"/>
  <c r="J162" i="92" a="1"/>
  <c r="F161" i="92" a="1"/>
  <c r="FC11" i="92" a="1"/>
  <c r="ET12" i="92" a="1"/>
  <c r="H164" i="92" a="1"/>
  <c r="FA9" i="92" a="1"/>
  <c r="EU13" i="92" a="1"/>
  <c r="FF12" i="92" a="1"/>
  <c r="FH17" i="92" a="1"/>
  <c r="ET8" i="92" a="1"/>
  <c r="L161" i="92" a="1"/>
  <c r="N163" i="92" a="1"/>
  <c r="EZ14" i="92" a="1"/>
  <c r="AY46" i="92" a="1"/>
  <c r="K159" i="92" a="1"/>
  <c r="FG9" i="92" a="1"/>
  <c r="FD16" i="92" a="1"/>
  <c r="AX33" i="92" a="1"/>
  <c r="FA17" i="92" a="1"/>
  <c r="ES14" i="92" a="1"/>
  <c r="I163" i="92" a="1"/>
  <c r="O163" i="92" a="1"/>
  <c r="BD6" i="92" a="1"/>
  <c r="N159" i="92" a="1"/>
  <c r="BD9" i="92" a="1"/>
  <c r="EU15" i="92" a="1"/>
  <c r="BD4" i="92" a="1"/>
  <c r="F159" i="92" a="1"/>
  <c r="AX18" i="92"/>
  <c r="ES10" i="92" a="1"/>
  <c r="ET13" i="92" a="1"/>
  <c r="FB15" i="92" a="1"/>
  <c r="EV16" i="92" a="1"/>
  <c r="C57" i="92" a="1"/>
  <c r="EZ11" i="92" a="1"/>
  <c r="FF14" i="92" a="1"/>
  <c r="FA13" i="92" a="1"/>
  <c r="AX17" i="92" a="1"/>
  <c r="FB13" i="92" a="1"/>
  <c r="EY11" i="92" a="1"/>
  <c r="EZ12" i="92" a="1"/>
  <c r="FG16" i="92" a="1"/>
  <c r="EV14" i="92" a="1"/>
  <c r="FB12" i="92" a="1"/>
  <c r="H163" i="92" a="1"/>
  <c r="K161" i="92" a="1"/>
  <c r="FF9" i="92" a="1"/>
  <c r="AX49" i="92" a="1"/>
  <c r="N162" i="92" a="1"/>
  <c r="AX40" i="92" a="1"/>
  <c r="FH14" i="92" a="1"/>
  <c r="FC10" i="92" a="1"/>
  <c r="EX14" i="92" a="1"/>
  <c r="M161" i="92" a="1"/>
  <c r="J159" i="92" a="1"/>
  <c r="FG10" i="92" a="1"/>
  <c r="I143" i="92" a="1"/>
  <c r="EZ16" i="92" a="1"/>
  <c r="EZ17" i="92" a="1"/>
  <c r="FC12" i="92" a="1"/>
  <c r="EU10" i="92" a="1"/>
  <c r="I159" i="92" a="1"/>
  <c r="FE9" i="92" a="1"/>
  <c r="F160" i="92" a="1"/>
  <c r="I161" i="92" a="1"/>
  <c r="H160" i="92" a="1"/>
  <c r="EX15" i="92" a="1"/>
  <c r="EZ13" i="92" a="1"/>
  <c r="BD3" i="92" a="1"/>
  <c r="FF10" i="92" a="1"/>
  <c r="EY8" i="92" a="1"/>
  <c r="AY84" i="92" a="1"/>
  <c r="L159" i="92" a="1"/>
  <c r="EX9" i="92" a="1"/>
  <c r="FA15" i="92" a="1"/>
  <c r="ET9" i="92" a="1"/>
  <c r="EY10" i="92" a="1"/>
  <c r="EY13" i="92" a="1"/>
  <c r="FH8" i="92" a="1"/>
  <c r="B129" i="92" a="1"/>
  <c r="EW10" i="92" a="1"/>
  <c r="F162" i="92" a="1"/>
  <c r="J161" i="92" a="1"/>
  <c r="EW12" i="92" a="1"/>
  <c r="L164" i="92" a="1"/>
  <c r="FD10" i="92" a="1"/>
  <c r="O160" i="92" a="1"/>
  <c r="EY12" i="92" a="1"/>
  <c r="AY45" i="92" a="1"/>
  <c r="I160" i="92" a="1"/>
  <c r="ES12" i="92" a="1"/>
  <c r="FD13" i="92" a="1"/>
  <c r="E164" i="92" a="1"/>
  <c r="G164" i="92" a="1"/>
  <c r="E162" i="92" a="1"/>
  <c r="AY83" i="92" a="1"/>
  <c r="C60" i="92" a="1"/>
  <c r="AW45" i="92" a="1"/>
  <c r="EU16" i="92" a="1"/>
  <c r="D60" i="92" a="1"/>
  <c r="P160" i="92" a="1"/>
  <c r="ES8" i="92" a="1"/>
  <c r="ES9" i="92" a="1"/>
  <c r="I164" i="92" a="1"/>
  <c r="FF15" i="92" a="1"/>
  <c r="G160" i="92" a="1"/>
  <c r="C58" i="92" a="1"/>
  <c r="P162" i="92" a="1"/>
  <c r="EV12" i="92" a="1"/>
  <c r="EW13" i="92" a="1"/>
  <c r="C56" i="92" a="1"/>
  <c r="FB17" i="92" a="1"/>
  <c r="FD15" i="92" a="1"/>
  <c r="FE14" i="92" a="1"/>
  <c r="FF8" i="92" a="1"/>
  <c r="FB9" i="92" a="1"/>
  <c r="ET11" i="92" a="1"/>
  <c r="ET16" i="92" a="1"/>
  <c r="FH11" i="92" a="1"/>
  <c r="FG8" i="92" a="1"/>
  <c r="EX10" i="92" a="1"/>
  <c r="EV15" i="92" a="1"/>
  <c r="FB14" i="92" a="1"/>
  <c r="E163" i="92" a="1"/>
  <c r="EW8" i="92" a="1"/>
  <c r="EY9" i="92" a="1"/>
  <c r="FE8" i="92" a="1"/>
  <c r="M162" i="92" a="1"/>
  <c r="FG14" i="92" a="1"/>
  <c r="EU17" i="92" a="1"/>
  <c r="EU14" i="92" a="1"/>
  <c r="P159" i="92" a="1"/>
  <c r="EY16" i="92" a="1"/>
  <c r="EU11" i="92" a="1"/>
  <c r="EU8" i="92" a="1"/>
  <c r="FE10" i="92" a="1"/>
  <c r="FD11" i="92" a="1"/>
  <c r="FG14" i="92" l="1"/>
  <c r="EZ74" i="92" s="1"/>
  <c r="O161" i="92"/>
  <c r="H160" i="92"/>
  <c r="FH10" i="92"/>
  <c r="FA70" i="92" s="1"/>
  <c r="AX38" i="92"/>
  <c r="AY38" i="92" s="1"/>
  <c r="AZ84" i="92"/>
  <c r="EX10" i="92"/>
  <c r="EU70" i="92" s="1"/>
  <c r="EW14" i="92"/>
  <c r="ET74" i="92" s="1"/>
  <c r="J161" i="92"/>
  <c r="EV10" i="92"/>
  <c r="EW36" i="92" s="1"/>
  <c r="ET11" i="92"/>
  <c r="EU37" i="92" s="1"/>
  <c r="FD11" i="92"/>
  <c r="FA37" i="92" s="1"/>
  <c r="F159" i="92"/>
  <c r="D59" i="92"/>
  <c r="E163" i="92"/>
  <c r="L159" i="92"/>
  <c r="FC11" i="92"/>
  <c r="EZ37" i="92" s="1"/>
  <c r="EZ52" i="92" s="1"/>
  <c r="M161" i="92"/>
  <c r="E162" i="92"/>
  <c r="EZ13" i="92"/>
  <c r="EW73" i="92" s="1"/>
  <c r="D60" i="92"/>
  <c r="M162" i="92"/>
  <c r="FF17" i="92"/>
  <c r="EY77" i="92" s="1"/>
  <c r="AY45" i="92"/>
  <c r="FG13" i="92"/>
  <c r="EZ73" i="92" s="1"/>
  <c r="AX39" i="92"/>
  <c r="AY39" i="92" s="1"/>
  <c r="AY83" i="92"/>
  <c r="EX17" i="92"/>
  <c r="EU77" i="92" s="1"/>
  <c r="ET15" i="92"/>
  <c r="EU41" i="92" s="1"/>
  <c r="FE15" i="92"/>
  <c r="EX75" i="92" s="1"/>
  <c r="FA10" i="92"/>
  <c r="EX36" i="92" s="1"/>
  <c r="EY51" i="92" s="1"/>
  <c r="I162" i="92"/>
  <c r="I159" i="92"/>
  <c r="AY46" i="92"/>
  <c r="E160" i="92"/>
  <c r="H161" i="92"/>
  <c r="FD15" i="92"/>
  <c r="FA41" i="92" s="1"/>
  <c r="FH11" i="92"/>
  <c r="FA71" i="92" s="1"/>
  <c r="FB8" i="92"/>
  <c r="EY34" i="92" s="1"/>
  <c r="FC14" i="92"/>
  <c r="EZ40" i="92" s="1"/>
  <c r="FD12" i="92"/>
  <c r="FA38" i="92" s="1"/>
  <c r="EX12" i="92"/>
  <c r="EU72" i="92" s="1"/>
  <c r="EY9" i="92"/>
  <c r="EV69" i="92" s="1"/>
  <c r="EV11" i="92"/>
  <c r="EW37" i="92" s="1"/>
  <c r="FB14" i="92"/>
  <c r="EY40" i="92" s="1"/>
  <c r="EX8" i="92"/>
  <c r="EU68" i="92" s="1"/>
  <c r="O164" i="92"/>
  <c r="FB10" i="92"/>
  <c r="EY36" i="92" s="1"/>
  <c r="G160" i="92"/>
  <c r="EV16" i="92"/>
  <c r="EW42" i="92" s="1"/>
  <c r="FF8" i="92"/>
  <c r="EY68" i="92" s="1"/>
  <c r="EU8" i="92"/>
  <c r="EV34" i="92" s="1"/>
  <c r="BD6" i="92"/>
  <c r="EZ16" i="92"/>
  <c r="EW76" i="92" s="1"/>
  <c r="FA11" i="92"/>
  <c r="EX37" i="92" s="1"/>
  <c r="EY52" i="92" s="1"/>
  <c r="L160" i="92"/>
  <c r="F162" i="92"/>
  <c r="AZ83" i="92"/>
  <c r="FH17" i="92"/>
  <c r="FA77" i="92" s="1"/>
  <c r="FA16" i="92"/>
  <c r="EX42" i="92" s="1"/>
  <c r="EX16" i="92"/>
  <c r="EU76" i="92" s="1"/>
  <c r="C60" i="92"/>
  <c r="G162" i="92"/>
  <c r="FB12" i="92"/>
  <c r="EY38" i="92" s="1"/>
  <c r="AX40" i="92"/>
  <c r="AY40" i="92" s="1"/>
  <c r="FB17" i="92"/>
  <c r="EY43" i="92" s="1"/>
  <c r="FE13" i="92"/>
  <c r="EX73" i="92" s="1"/>
  <c r="EY13" i="92"/>
  <c r="EV73" i="92" s="1"/>
  <c r="ET17" i="92"/>
  <c r="EU43" i="92" s="1"/>
  <c r="P161" i="92"/>
  <c r="FD17" i="92"/>
  <c r="FA43" i="92" s="1"/>
  <c r="FD10" i="92"/>
  <c r="FA36" i="92" s="1"/>
  <c r="B130" i="92"/>
  <c r="C56" i="92"/>
  <c r="O160" i="92"/>
  <c r="I163" i="92"/>
  <c r="M163" i="92"/>
  <c r="D57" i="92"/>
  <c r="AY84" i="92"/>
  <c r="C57" i="92"/>
  <c r="ES9" i="92"/>
  <c r="ET35" i="92" s="1"/>
  <c r="EY10" i="92"/>
  <c r="EV70" i="92" s="1"/>
  <c r="FH8" i="92"/>
  <c r="FA68" i="92" s="1"/>
  <c r="J159" i="92"/>
  <c r="FF10" i="92"/>
  <c r="EY70" i="92" s="1"/>
  <c r="EZ9" i="92"/>
  <c r="EW69" i="92" s="1"/>
  <c r="BD11" i="92"/>
  <c r="EW15" i="92"/>
  <c r="ET75" i="92" s="1"/>
  <c r="EU13" i="92"/>
  <c r="EV39" i="92" s="1"/>
  <c r="FG11" i="92"/>
  <c r="EZ71" i="92" s="1"/>
  <c r="EX86" i="92" s="1"/>
  <c r="M159" i="92"/>
  <c r="EV14" i="92"/>
  <c r="EW40" i="92" s="1"/>
  <c r="AX49" i="92"/>
  <c r="AW49" i="92" s="1"/>
  <c r="K159" i="92"/>
  <c r="EU9" i="92"/>
  <c r="EV35" i="92" s="1"/>
  <c r="EU15" i="92"/>
  <c r="EV41" i="92" s="1"/>
  <c r="FB16" i="92"/>
  <c r="EY42" i="92" s="1"/>
  <c r="FE12" i="92"/>
  <c r="EX72" i="92" s="1"/>
  <c r="EU87" i="92" s="1"/>
  <c r="EZ17" i="92"/>
  <c r="EW77" i="92" s="1"/>
  <c r="AX22" i="92"/>
  <c r="AY22" i="92" s="1"/>
  <c r="ES16" i="92"/>
  <c r="ET42" i="92" s="1"/>
  <c r="EZ11" i="92"/>
  <c r="EW71" i="92" s="1"/>
  <c r="ES11" i="92"/>
  <c r="ET37" i="92" s="1"/>
  <c r="FG9" i="92"/>
  <c r="EZ69" i="92" s="1"/>
  <c r="EX84" i="92" s="1"/>
  <c r="ES8" i="92"/>
  <c r="ET34" i="92" s="1"/>
  <c r="AZ90" i="92"/>
  <c r="L164" i="92"/>
  <c r="FG17" i="92"/>
  <c r="EZ77" i="92" s="1"/>
  <c r="FC13" i="92"/>
  <c r="EZ39" i="92" s="1"/>
  <c r="ES14" i="92"/>
  <c r="ET40" i="92" s="1"/>
  <c r="FC8" i="92"/>
  <c r="EZ34" i="92" s="1"/>
  <c r="EV49" i="92" s="1"/>
  <c r="EU17" i="92"/>
  <c r="EV43" i="92" s="1"/>
  <c r="EW11" i="92"/>
  <c r="ET71" i="92" s="1"/>
  <c r="EX15" i="92"/>
  <c r="EU75" i="92" s="1"/>
  <c r="EZ12" i="92"/>
  <c r="EW72" i="92" s="1"/>
  <c r="FB13" i="92"/>
  <c r="EY39" i="92" s="1"/>
  <c r="FA15" i="92"/>
  <c r="EX41" i="92" s="1"/>
  <c r="EX9" i="92"/>
  <c r="EU69" i="92" s="1"/>
  <c r="I160" i="92"/>
  <c r="EW13" i="92"/>
  <c r="ET73" i="92" s="1"/>
  <c r="BD10" i="92"/>
  <c r="FA13" i="92"/>
  <c r="EX39" i="92" s="1"/>
  <c r="N162" i="92"/>
  <c r="EY12" i="92"/>
  <c r="EV72" i="92" s="1"/>
  <c r="N163" i="92"/>
  <c r="I164" i="92"/>
  <c r="FF12" i="92"/>
  <c r="EY72" i="92" s="1"/>
  <c r="D58" i="92"/>
  <c r="J160" i="92"/>
  <c r="FE9" i="92"/>
  <c r="EX69" i="92" s="1"/>
  <c r="EY84" i="92" s="1"/>
  <c r="FF11" i="92"/>
  <c r="EY71" i="92" s="1"/>
  <c r="FA12" i="92"/>
  <c r="EX38" i="92" s="1"/>
  <c r="EW53" i="92" s="1"/>
  <c r="ET13" i="92"/>
  <c r="EU39" i="92" s="1"/>
  <c r="FH16" i="92"/>
  <c r="FA76" i="92" s="1"/>
  <c r="FD9" i="92"/>
  <c r="FA35" i="92" s="1"/>
  <c r="EV13" i="92"/>
  <c r="EW39" i="92" s="1"/>
  <c r="BD12" i="92"/>
  <c r="FA9" i="92"/>
  <c r="EX35" i="92" s="1"/>
  <c r="EY50" i="92" s="1"/>
  <c r="G161" i="92"/>
  <c r="E159" i="92"/>
  <c r="G163" i="92"/>
  <c r="N159" i="92"/>
  <c r="ES15" i="92"/>
  <c r="ET41" i="92" s="1"/>
  <c r="K162" i="92"/>
  <c r="EW8" i="92"/>
  <c r="ET68" i="92" s="1"/>
  <c r="M160" i="92"/>
  <c r="EW16" i="92"/>
  <c r="ET76" i="92" s="1"/>
  <c r="EU11" i="92"/>
  <c r="EV37" i="92" s="1"/>
  <c r="J164" i="92"/>
  <c r="BD9" i="92"/>
  <c r="ET9" i="92"/>
  <c r="EU35" i="92" s="1"/>
  <c r="FB15" i="92"/>
  <c r="EY41" i="92" s="1"/>
  <c r="FB9" i="92"/>
  <c r="EY35" i="92" s="1"/>
  <c r="K164" i="92"/>
  <c r="I148" i="92"/>
  <c r="AZ89" i="92"/>
  <c r="AZ76" i="92"/>
  <c r="AX78" i="92" s="1"/>
  <c r="FH15" i="92"/>
  <c r="FA75" i="92" s="1"/>
  <c r="FB11" i="92"/>
  <c r="EY37" i="92" s="1"/>
  <c r="FH13" i="92"/>
  <c r="FA73" i="92" s="1"/>
  <c r="FF13" i="92"/>
  <c r="EY73" i="92" s="1"/>
  <c r="FA14" i="92"/>
  <c r="EX40" i="92" s="1"/>
  <c r="N160" i="92"/>
  <c r="E161" i="92"/>
  <c r="BD4" i="92"/>
  <c r="EU14" i="92"/>
  <c r="EV40" i="92" s="1"/>
  <c r="H162" i="92"/>
  <c r="EV8" i="92"/>
  <c r="EW34" i="92" s="1"/>
  <c r="ET8" i="92"/>
  <c r="EU34" i="92" s="1"/>
  <c r="K161" i="92"/>
  <c r="F163" i="92"/>
  <c r="AX33" i="92"/>
  <c r="AX34" i="92" s="1"/>
  <c r="L163" i="92"/>
  <c r="F160" i="92"/>
  <c r="EV12" i="92"/>
  <c r="EW38" i="92" s="1"/>
  <c r="FE10" i="92"/>
  <c r="EX70" i="92" s="1"/>
  <c r="EW85" i="92" s="1"/>
  <c r="EY14" i="92"/>
  <c r="EV74" i="92" s="1"/>
  <c r="FH14" i="92"/>
  <c r="FA74" i="92" s="1"/>
  <c r="EW9" i="92"/>
  <c r="ET69" i="92" s="1"/>
  <c r="FG12" i="92"/>
  <c r="EZ72" i="92" s="1"/>
  <c r="EX87" i="92" s="1"/>
  <c r="H164" i="92"/>
  <c r="EV17" i="92"/>
  <c r="EW43" i="92" s="1"/>
  <c r="EZ14" i="92"/>
  <c r="EW74" i="92" s="1"/>
  <c r="EW12" i="92"/>
  <c r="ET72" i="92" s="1"/>
  <c r="FF16" i="92"/>
  <c r="EY76" i="92" s="1"/>
  <c r="EY16" i="92"/>
  <c r="EV76" i="92" s="1"/>
  <c r="P164" i="92"/>
  <c r="O163" i="92"/>
  <c r="FD13" i="92"/>
  <c r="FA39" i="92" s="1"/>
  <c r="AW45" i="92"/>
  <c r="L161" i="92"/>
  <c r="EV9" i="92"/>
  <c r="EW35" i="92" s="1"/>
  <c r="ET10" i="92"/>
  <c r="EU36" i="92" s="1"/>
  <c r="K160" i="92"/>
  <c r="G159" i="92"/>
  <c r="FE14" i="92"/>
  <c r="EX74" i="92" s="1"/>
  <c r="FF15" i="92"/>
  <c r="EY75" i="92" s="1"/>
  <c r="E164" i="92"/>
  <c r="ET14" i="92"/>
  <c r="EU40" i="92" s="1"/>
  <c r="EW10" i="92"/>
  <c r="ET70" i="92" s="1"/>
  <c r="FD8" i="92"/>
  <c r="FA34" i="92" s="1"/>
  <c r="P160" i="92"/>
  <c r="EV15" i="92"/>
  <c r="EW41" i="92" s="1"/>
  <c r="EW17" i="92"/>
  <c r="ET77" i="92" s="1"/>
  <c r="P163" i="92"/>
  <c r="O159" i="92"/>
  <c r="EZ8" i="92"/>
  <c r="EW68" i="92" s="1"/>
  <c r="ET16" i="92"/>
  <c r="EU42" i="92" s="1"/>
  <c r="ES13" i="92"/>
  <c r="ET39" i="92" s="1"/>
  <c r="EX13" i="92"/>
  <c r="EU73" i="92" s="1"/>
  <c r="B129" i="92"/>
  <c r="EY8" i="92"/>
  <c r="EV68" i="92" s="1"/>
  <c r="FA8" i="92"/>
  <c r="EX34" i="92" s="1"/>
  <c r="EY49" i="92" s="1"/>
  <c r="EX11" i="92"/>
  <c r="EU71" i="92" s="1"/>
  <c r="BD7" i="92"/>
  <c r="FC12" i="92"/>
  <c r="EZ38" i="92" s="1"/>
  <c r="EZ53" i="92" s="1"/>
  <c r="ET12" i="92"/>
  <c r="EU38" i="92" s="1"/>
  <c r="FG16" i="92"/>
  <c r="EZ76" i="92" s="1"/>
  <c r="BD3" i="92"/>
  <c r="FE17" i="92"/>
  <c r="EX77" i="92" s="1"/>
  <c r="FD14" i="92"/>
  <c r="FA40" i="92" s="1"/>
  <c r="FC17" i="92"/>
  <c r="EZ43" i="92" s="1"/>
  <c r="AW46" i="92"/>
  <c r="N164" i="92"/>
  <c r="FE16" i="92"/>
  <c r="EX76" i="92" s="1"/>
  <c r="FF14" i="92"/>
  <c r="EY74" i="92" s="1"/>
  <c r="FG15" i="92"/>
  <c r="EZ75" i="92" s="1"/>
  <c r="I143" i="92"/>
  <c r="FF9" i="92"/>
  <c r="EY69" i="92" s="1"/>
  <c r="F164" i="92"/>
  <c r="EZ10" i="92"/>
  <c r="EW70" i="92" s="1"/>
  <c r="H159" i="92"/>
  <c r="FG8" i="92"/>
  <c r="EZ68" i="92" s="1"/>
  <c r="EZ83" i="92" s="1"/>
  <c r="G164" i="92"/>
  <c r="L162" i="92"/>
  <c r="BD5" i="92"/>
  <c r="FC15" i="92"/>
  <c r="EZ41" i="92" s="1"/>
  <c r="EU12" i="92"/>
  <c r="EV38" i="92" s="1"/>
  <c r="EY11" i="92"/>
  <c r="EV71" i="92" s="1"/>
  <c r="P159" i="92"/>
  <c r="ES17" i="92"/>
  <c r="ET43" i="92" s="1"/>
  <c r="FD16" i="92"/>
  <c r="FA42" i="92" s="1"/>
  <c r="EU10" i="92"/>
  <c r="EV36" i="92" s="1"/>
  <c r="FH12" i="92"/>
  <c r="FA72" i="92" s="1"/>
  <c r="J162" i="92"/>
  <c r="AX17" i="92"/>
  <c r="AY17" i="92" s="1"/>
  <c r="FC10" i="92"/>
  <c r="EZ36" i="92" s="1"/>
  <c r="EV51" i="92" s="1"/>
  <c r="K163" i="92"/>
  <c r="EX14" i="92"/>
  <c r="EU74" i="92" s="1"/>
  <c r="O162" i="92"/>
  <c r="EY15" i="92"/>
  <c r="EV75" i="92" s="1"/>
  <c r="I161" i="92"/>
  <c r="ES10" i="92"/>
  <c r="ET36" i="92" s="1"/>
  <c r="FC16" i="92"/>
  <c r="EZ42" i="92" s="1"/>
  <c r="H163" i="92"/>
  <c r="FE8" i="92"/>
  <c r="EX68" i="92" s="1"/>
  <c r="EW83" i="92" s="1"/>
  <c r="ES12" i="92"/>
  <c r="ET38" i="92" s="1"/>
  <c r="F161" i="92"/>
  <c r="EY17" i="92"/>
  <c r="EV77" i="92" s="1"/>
  <c r="FA17" i="92"/>
  <c r="EX43" i="92" s="1"/>
  <c r="J163" i="92"/>
  <c r="C59" i="92"/>
  <c r="FG10" i="92"/>
  <c r="EZ70" i="92" s="1"/>
  <c r="EV85" i="92" s="1"/>
  <c r="EU16" i="92"/>
  <c r="EV42" i="92" s="1"/>
  <c r="FC9" i="92"/>
  <c r="EZ35" i="92" s="1"/>
  <c r="EV50" i="92" s="1"/>
  <c r="BD8" i="92"/>
  <c r="D56" i="92"/>
  <c r="FH9" i="92"/>
  <c r="FA69" i="92" s="1"/>
  <c r="EZ15" i="92"/>
  <c r="EW75" i="92" s="1"/>
  <c r="P162" i="92"/>
  <c r="N161" i="92"/>
  <c r="C58" i="92"/>
  <c r="M164" i="92"/>
  <c r="FE11" i="92"/>
  <c r="EX71" i="92" s="1"/>
  <c r="EY86" i="92" s="1"/>
  <c r="FB39" i="92"/>
  <c r="FQ11" i="92"/>
  <c r="FF39" i="92" s="1"/>
  <c r="FN11" i="92"/>
  <c r="FY10" i="92"/>
  <c r="FG72" i="92" s="1"/>
  <c r="FV10" i="92"/>
  <c r="FD72" i="92" s="1"/>
  <c r="J64" i="86" l="1"/>
  <c r="AD52" i="86"/>
  <c r="EW51" i="92"/>
  <c r="EU51" i="92"/>
  <c r="S161" i="92"/>
  <c r="EX52" i="92"/>
  <c r="EY54" i="92"/>
  <c r="EX49" i="92"/>
  <c r="EV52" i="92"/>
  <c r="EU53" i="92"/>
  <c r="EY53" i="92"/>
  <c r="EV87" i="92"/>
  <c r="Q159" i="92"/>
  <c r="EW50" i="92"/>
  <c r="EZ49" i="92"/>
  <c r="EU50" i="92"/>
  <c r="EX83" i="92"/>
  <c r="EW86" i="92"/>
  <c r="EU85" i="92"/>
  <c r="EZ87" i="92"/>
  <c r="R159" i="92"/>
  <c r="AZ91" i="92"/>
  <c r="Q163" i="92"/>
  <c r="R163" i="92"/>
  <c r="EU54" i="92"/>
  <c r="Q161" i="92"/>
  <c r="EU86" i="92"/>
  <c r="R162" i="92"/>
  <c r="Q162" i="92"/>
  <c r="AW79" i="92"/>
  <c r="EU52" i="92"/>
  <c r="EW52" i="92"/>
  <c r="EZ51" i="92"/>
  <c r="EX51" i="92"/>
  <c r="AW78" i="92"/>
  <c r="EW87" i="92"/>
  <c r="AX79" i="92"/>
  <c r="EY87" i="92"/>
  <c r="EY85" i="92"/>
  <c r="EX50" i="92"/>
  <c r="EU83" i="92"/>
  <c r="S159" i="92"/>
  <c r="T159" i="92"/>
  <c r="EU84" i="92"/>
  <c r="V159" i="92"/>
  <c r="EW84" i="92"/>
  <c r="EZ84" i="92"/>
  <c r="C61" i="92"/>
  <c r="C62" i="92" s="1"/>
  <c r="EV84" i="92"/>
  <c r="EV86" i="92"/>
  <c r="D61" i="92"/>
  <c r="D62" i="92" s="1"/>
  <c r="EZ86" i="92"/>
  <c r="AY85" i="92"/>
  <c r="S162" i="92"/>
  <c r="R161" i="92"/>
  <c r="AZ85" i="92"/>
  <c r="S163" i="92"/>
  <c r="U159" i="92"/>
  <c r="EX53" i="92"/>
  <c r="EW49" i="92"/>
  <c r="EU49" i="92"/>
  <c r="EV53" i="92"/>
  <c r="EV83" i="92"/>
  <c r="EX85" i="92"/>
  <c r="EZ50" i="92"/>
  <c r="EZ85" i="92"/>
  <c r="FC39" i="92"/>
  <c r="EV54" i="92" s="1"/>
  <c r="FP11" i="92"/>
  <c r="FE39" i="92" s="1"/>
  <c r="EX54" i="92" s="1"/>
  <c r="FO11" i="92"/>
  <c r="FR11" i="92"/>
  <c r="FG39" i="92" s="1"/>
  <c r="EZ54" i="92" s="1"/>
  <c r="I150" i="92" l="1"/>
  <c r="I144" i="92"/>
  <c r="I145" i="92" s="1"/>
  <c r="I149" i="92" s="1"/>
  <c r="I151" i="92"/>
  <c r="FD39" i="92"/>
  <c r="EW54" i="92" s="1"/>
  <c r="I152" i="92" l="1"/>
  <c r="FT11" i="92" l="1"/>
  <c r="FB73" i="92" l="1"/>
  <c r="EU88" i="92" s="1"/>
  <c r="FX11" i="92"/>
  <c r="FF73" i="92" s="1"/>
  <c r="EY88" i="92" s="1"/>
  <c r="FY11" i="92"/>
  <c r="FG73" i="92" s="1"/>
  <c r="EZ88" i="92" s="1"/>
  <c r="FN12" i="92"/>
  <c r="FC40" i="92" s="1"/>
  <c r="EV55" i="92" s="1"/>
  <c r="FU11" i="92"/>
  <c r="FC73" i="92" l="1"/>
  <c r="EV88" i="92" s="1"/>
  <c r="FQ12" i="92"/>
  <c r="FF40" i="92" s="1"/>
  <c r="EY55" i="92" s="1"/>
  <c r="FW11" i="92"/>
  <c r="FE73" i="92" s="1"/>
  <c r="EX88" i="92" s="1"/>
  <c r="FM12" i="92"/>
  <c r="FB40" i="92" s="1"/>
  <c r="EU55" i="92" s="1"/>
  <c r="FV11" i="92"/>
  <c r="FD73" i="92" l="1"/>
  <c r="EW88" i="92" s="1"/>
  <c r="FO12" i="92"/>
  <c r="FR12" i="92"/>
  <c r="FG40" i="92" s="1"/>
  <c r="EZ55" i="92" s="1"/>
  <c r="FP12" i="92"/>
  <c r="FE40" i="92" s="1"/>
  <c r="EX55" i="92" s="1"/>
  <c r="FD40" i="92" l="1"/>
  <c r="EW55" i="92" s="1"/>
  <c r="FT12" i="92" l="1"/>
  <c r="FB74" i="92" l="1"/>
  <c r="EU89" i="92" s="1"/>
  <c r="FN13" i="92"/>
  <c r="FC41" i="92" s="1"/>
  <c r="EV56" i="92" s="1"/>
  <c r="FX12" i="92"/>
  <c r="FF74" i="92" s="1"/>
  <c r="EY89" i="92" s="1"/>
  <c r="FU12" i="92"/>
  <c r="FC74" i="92" l="1"/>
  <c r="EV89" i="92" s="1"/>
  <c r="FQ13" i="92"/>
  <c r="FF41" i="92" s="1"/>
  <c r="EY56" i="92" s="1"/>
  <c r="FV12" i="92"/>
  <c r="FW12" i="92"/>
  <c r="FE74" i="92" s="1"/>
  <c r="EX89" i="92" s="1"/>
  <c r="FM13" i="92"/>
  <c r="FB41" i="92" s="1"/>
  <c r="EU56" i="92" s="1"/>
  <c r="FY12" i="92"/>
  <c r="FG74" i="92" s="1"/>
  <c r="EZ89" i="92" s="1"/>
  <c r="FD74" i="92" l="1"/>
  <c r="EW89" i="92" s="1"/>
  <c r="FO13" i="92"/>
  <c r="FR13" i="92"/>
  <c r="FG41" i="92" s="1"/>
  <c r="EZ56" i="92" s="1"/>
  <c r="FP13" i="92"/>
  <c r="FE41" i="92" s="1"/>
  <c r="EX56" i="92" s="1"/>
  <c r="FD41" i="92" l="1"/>
  <c r="EW56" i="92" s="1"/>
  <c r="FT13" i="92" l="1"/>
  <c r="FB75" i="92" l="1"/>
  <c r="EU90" i="92" s="1"/>
  <c r="FN14" i="92"/>
  <c r="FC42" i="92" s="1"/>
  <c r="EV57" i="92" s="1"/>
  <c r="FU13" i="92"/>
  <c r="FC75" i="92" l="1"/>
  <c r="EV90" i="92" s="1"/>
  <c r="FO14" i="92"/>
  <c r="FD42" i="92" s="1"/>
  <c r="EW57" i="92" s="1"/>
  <c r="FQ14" i="92"/>
  <c r="FF42" i="92" s="1"/>
  <c r="EY57" i="92" s="1"/>
  <c r="FM14" i="92"/>
  <c r="FB42" i="92" s="1"/>
  <c r="EU57" i="92" s="1"/>
  <c r="FW13" i="92"/>
  <c r="FE75" i="92" s="1"/>
  <c r="EX90" i="92" s="1"/>
  <c r="FX13" i="92"/>
  <c r="FF75" i="92" s="1"/>
  <c r="EY90" i="92" s="1"/>
  <c r="FY13" i="92"/>
  <c r="FG75" i="92" s="1"/>
  <c r="EZ90" i="92" s="1"/>
  <c r="FV13" i="92"/>
  <c r="FD75" i="92" l="1"/>
  <c r="EW90" i="92" s="1"/>
  <c r="FR14" i="92"/>
  <c r="FG42" i="92" s="1"/>
  <c r="EZ57" i="92" s="1"/>
  <c r="FP14" i="92"/>
  <c r="FE42" i="92" l="1"/>
  <c r="EX57" i="92" s="1"/>
  <c r="FT14" i="92" l="1"/>
  <c r="FU14" i="92"/>
  <c r="FC76" i="92" s="1"/>
  <c r="EV91" i="92" s="1"/>
  <c r="FB76" i="92" l="1"/>
  <c r="EU91" i="92" s="1"/>
  <c r="FN15" i="92"/>
  <c r="FC43" i="92" s="1"/>
  <c r="EV58" i="92" s="1"/>
  <c r="FW14" i="92"/>
  <c r="FE76" i="92" s="1"/>
  <c r="EX91" i="92" s="1"/>
  <c r="FY14" i="92" l="1"/>
  <c r="FG76" i="92" s="1"/>
  <c r="EZ91" i="92" s="1"/>
  <c r="FV14" i="92"/>
  <c r="FX14" i="92"/>
  <c r="FF76" i="92" s="1"/>
  <c r="EY91" i="92" s="1"/>
  <c r="FM15" i="92"/>
  <c r="FB43" i="92" s="1"/>
  <c r="EU58" i="92" s="1"/>
  <c r="FD76" i="92" l="1"/>
  <c r="EW91" i="92" s="1"/>
  <c r="FO15" i="92"/>
  <c r="FP15" i="92"/>
  <c r="FE43" i="92" s="1"/>
  <c r="EX58" i="92" s="1"/>
  <c r="FR15" i="92"/>
  <c r="FG43" i="92" s="1"/>
  <c r="EZ58" i="92" s="1"/>
  <c r="FQ15" i="92"/>
  <c r="FF43" i="92" s="1"/>
  <c r="EY58" i="92" s="1"/>
  <c r="FD43" i="92" l="1"/>
  <c r="EW58" i="92" s="1"/>
  <c r="FT15" i="92" l="1"/>
  <c r="FB77" i="92" l="1"/>
  <c r="EU92" i="92" s="1"/>
  <c r="FU15" i="92"/>
  <c r="FC77" i="92" l="1"/>
  <c r="EV92" i="92" s="1"/>
  <c r="FV15" i="92"/>
  <c r="FW15" i="92"/>
  <c r="FE77" i="92" s="1"/>
  <c r="EX92" i="92" s="1"/>
  <c r="FX15" i="92"/>
  <c r="FF77" i="92" s="1"/>
  <c r="EY92" i="92" s="1"/>
  <c r="FY15" i="92"/>
  <c r="FG77" i="92" s="1"/>
  <c r="EZ92" i="92" s="1"/>
  <c r="FD77" i="92" l="1"/>
  <c r="EW92" i="92" s="1"/>
  <c r="O209" i="114" l="1"/>
  <c r="O258" i="114"/>
  <c r="O206" i="114"/>
  <c r="O207" i="114"/>
  <c r="O299" i="114"/>
  <c r="O208" i="114"/>
  <c r="H208" i="114" l="1"/>
  <c r="H382" i="114"/>
  <c r="H207" i="114"/>
  <c r="H206" i="114"/>
  <c r="H258" i="114"/>
  <c r="H299" i="114"/>
  <c r="H209" i="114"/>
  <c r="O105" i="114" l="1"/>
  <c r="O95" i="114"/>
  <c r="O94" i="114"/>
  <c r="O93" i="114"/>
  <c r="O92" i="114"/>
  <c r="O91" i="114"/>
  <c r="O90" i="114"/>
  <c r="O89" i="114"/>
  <c r="O88" i="114"/>
  <c r="O87" i="114"/>
  <c r="O104" i="114"/>
  <c r="H104" i="114" l="1"/>
  <c r="H90" i="114"/>
  <c r="H87" i="114"/>
  <c r="H93" i="114"/>
  <c r="H88" i="114"/>
  <c r="H94" i="114"/>
  <c r="H89" i="114"/>
  <c r="H95" i="114"/>
  <c r="H103" i="114"/>
  <c r="H91" i="114"/>
  <c r="H92" i="114"/>
  <c r="H105" i="114"/>
  <c r="AX103" i="92"/>
  <c r="AZ103" i="92" s="1"/>
  <c r="AX104" i="92"/>
  <c r="AZ104" i="92" s="1"/>
  <c r="AX101" i="92"/>
  <c r="AZ101" i="92" s="1"/>
  <c r="AX102" i="92"/>
  <c r="AZ102" i="92" s="1"/>
  <c r="I143" i="72" a="1"/>
  <c r="D266" i="64" a="1"/>
  <c r="D267" i="64" a="1"/>
  <c r="D268" i="64" a="1"/>
  <c r="B245" i="72" a="1"/>
  <c r="D268" i="64" l="1"/>
  <c r="D266" i="64"/>
  <c r="D267" i="64"/>
  <c r="I143" i="72"/>
  <c r="B245" i="72"/>
  <c r="FB12" i="72"/>
  <c r="EW14" i="72" s="1"/>
  <c r="U40" i="64" s="1"/>
  <c r="FD7" i="72"/>
  <c r="FD8" i="72"/>
  <c r="FE6" i="72" l="1"/>
  <c r="AJ5" i="64" l="1"/>
  <c r="O73" i="114" l="1"/>
  <c r="I243" i="72" l="1"/>
  <c r="I242" i="72" a="1"/>
  <c r="I242" i="72" s="1"/>
  <c r="I241" i="72" a="1"/>
  <c r="I241" i="72" s="1"/>
  <c r="B243" i="72"/>
  <c r="B242" i="72" a="1"/>
  <c r="B242" i="72" s="1"/>
  <c r="B241" i="72" a="1"/>
  <c r="B241" i="72" s="1"/>
  <c r="A251" i="72" l="1" a="1"/>
  <c r="A251" i="72" s="1"/>
  <c r="O66" i="86"/>
  <c r="O67" i="86"/>
  <c r="H251" i="72" a="1"/>
  <c r="H251" i="72" s="1"/>
  <c r="CA338" i="102" a="1"/>
  <c r="BS338" i="102"/>
  <c r="BS337" i="102"/>
  <c r="CA337" i="102" a="1"/>
  <c r="CA338" i="102" l="1"/>
  <c r="CA337" i="102"/>
  <c r="S66" i="86"/>
  <c r="W66" i="86"/>
  <c r="W67" i="86"/>
  <c r="U67" i="86"/>
  <c r="Y66" i="86"/>
  <c r="Y67" i="86"/>
  <c r="U66" i="86"/>
  <c r="S67" i="86"/>
  <c r="AA67" i="86"/>
  <c r="AA66" i="86"/>
  <c r="CB337" i="102" a="1"/>
  <c r="CF338" i="102" a="1"/>
  <c r="BX338" i="102"/>
  <c r="CD338" i="102" a="1"/>
  <c r="CB338" i="102" a="1"/>
  <c r="BV337" i="102"/>
  <c r="BT337" i="102"/>
  <c r="CC337" i="102" a="1"/>
  <c r="CF337" i="102" a="1"/>
  <c r="CE337" i="102" a="1"/>
  <c r="BW338" i="102"/>
  <c r="BU338" i="102"/>
  <c r="CD337" i="102" a="1"/>
  <c r="BW337" i="102"/>
  <c r="BU337" i="102"/>
  <c r="BT338" i="102"/>
  <c r="BV338" i="102"/>
  <c r="BX337" i="102"/>
  <c r="CC338" i="102" a="1"/>
  <c r="CE338" i="102" a="1"/>
  <c r="CF337" i="102" l="1"/>
  <c r="BT354" i="102" s="1"/>
  <c r="BT355" i="102" s="1"/>
  <c r="CE338" i="102"/>
  <c r="CE337" i="102"/>
  <c r="CF338" i="102"/>
  <c r="CB338" i="102"/>
  <c r="CC337" i="102"/>
  <c r="CC338" i="102"/>
  <c r="CD338" i="102"/>
  <c r="CD337" i="102"/>
  <c r="CB337" i="102"/>
  <c r="K49" i="72"/>
  <c r="BT356" i="102" l="1"/>
  <c r="BB327" i="102"/>
  <c r="B35" i="72"/>
  <c r="A35" i="72"/>
  <c r="B34" i="72"/>
  <c r="A34" i="72"/>
  <c r="B33" i="72"/>
  <c r="A33" i="72"/>
  <c r="B32" i="72"/>
  <c r="A32" i="72"/>
  <c r="B31" i="72"/>
  <c r="A31" i="72"/>
  <c r="B30" i="72"/>
  <c r="A30" i="72"/>
  <c r="B29" i="72"/>
  <c r="A29" i="72"/>
  <c r="B28" i="72"/>
  <c r="A28" i="72"/>
  <c r="B27" i="72"/>
  <c r="A27" i="72"/>
  <c r="B26" i="72"/>
  <c r="A26" i="72"/>
  <c r="B25" i="72"/>
  <c r="A25" i="72"/>
  <c r="B24" i="72"/>
  <c r="A24" i="72"/>
  <c r="B23" i="72"/>
  <c r="A23" i="72"/>
  <c r="B22" i="72"/>
  <c r="A22" i="72"/>
  <c r="B21" i="72"/>
  <c r="A21" i="72"/>
  <c r="AY102" i="72"/>
  <c r="AY101" i="72"/>
  <c r="AY104" i="72"/>
  <c r="AY103" i="72"/>
  <c r="AW102" i="72"/>
  <c r="AW103" i="72"/>
  <c r="AW104" i="72"/>
  <c r="AW101" i="72"/>
  <c r="AX102" i="72" l="1"/>
  <c r="AZ102" i="72" s="1"/>
  <c r="AX101" i="72"/>
  <c r="AZ101" i="72" s="1"/>
  <c r="AX104" i="72"/>
  <c r="AX103" i="72"/>
  <c r="AZ103" i="72" s="1"/>
  <c r="AZ104" i="72" l="1"/>
  <c r="A5" i="72" l="1"/>
  <c r="A6" i="72"/>
  <c r="A7" i="72"/>
  <c r="A8" i="72"/>
  <c r="A9" i="72"/>
  <c r="A10" i="72"/>
  <c r="A11" i="72"/>
  <c r="A12" i="72"/>
  <c r="A13" i="72"/>
  <c r="A14" i="72"/>
  <c r="A15" i="72"/>
  <c r="A16" i="72"/>
  <c r="A17" i="72"/>
  <c r="A18" i="72"/>
  <c r="A4" i="72"/>
  <c r="B10" i="72" a="1"/>
  <c r="B18" i="72" a="1"/>
  <c r="B7" i="72" a="1"/>
  <c r="B17" i="72" a="1"/>
  <c r="B5" i="72" a="1"/>
  <c r="B4" i="72" a="1"/>
  <c r="B8" i="72" a="1"/>
  <c r="B9" i="72" a="1"/>
  <c r="B6" i="72" a="1"/>
  <c r="B11" i="72" a="1"/>
  <c r="B12" i="72" a="1"/>
  <c r="B13" i="72" a="1"/>
  <c r="B14" i="72" a="1"/>
  <c r="B15" i="72" a="1"/>
  <c r="B16" i="72" a="1"/>
  <c r="B4" i="72" l="1"/>
  <c r="D4" i="72" s="1"/>
  <c r="H11" i="9" s="1"/>
  <c r="B12" i="72"/>
  <c r="D12" i="72" s="1"/>
  <c r="B11" i="72"/>
  <c r="D11" i="72" s="1"/>
  <c r="B13" i="72"/>
  <c r="D13" i="72" s="1"/>
  <c r="B18" i="72"/>
  <c r="D18" i="72" s="1"/>
  <c r="B10" i="72"/>
  <c r="D10" i="72" s="1"/>
  <c r="B17" i="72"/>
  <c r="D17" i="72" s="1"/>
  <c r="B8" i="72"/>
  <c r="D8" i="72" s="1"/>
  <c r="B9" i="72"/>
  <c r="D9" i="72" s="1"/>
  <c r="B15" i="72"/>
  <c r="D15" i="72" s="1"/>
  <c r="B7" i="72"/>
  <c r="D7" i="72" s="1"/>
  <c r="B5" i="72"/>
  <c r="D5" i="72" s="1"/>
  <c r="H12" i="9" s="1"/>
  <c r="B16" i="72"/>
  <c r="D16" i="72" s="1"/>
  <c r="B14" i="72"/>
  <c r="D14" i="72" s="1"/>
  <c r="B6" i="72"/>
  <c r="D6" i="72" s="1"/>
  <c r="S65" i="93"/>
  <c r="S66" i="93"/>
  <c r="C4" i="72" l="1"/>
  <c r="E4" i="72" s="1" a="1"/>
  <c r="C9" i="72"/>
  <c r="E9" i="72" s="1" a="1"/>
  <c r="E9" i="72" s="1"/>
  <c r="C17" i="72"/>
  <c r="E17" i="72" s="1" a="1"/>
  <c r="E17" i="72" s="1"/>
  <c r="C14" i="72"/>
  <c r="E14" i="72" s="1" a="1"/>
  <c r="E14" i="72" s="1"/>
  <c r="C10" i="72"/>
  <c r="E10" i="72" s="1" a="1"/>
  <c r="E10" i="72" s="1"/>
  <c r="C6" i="72"/>
  <c r="E6" i="72" s="1" a="1"/>
  <c r="E6" i="72" s="1"/>
  <c r="C16" i="72"/>
  <c r="E16" i="72" s="1" a="1"/>
  <c r="E16" i="72" s="1"/>
  <c r="C18" i="72"/>
  <c r="E18" i="72" s="1" a="1"/>
  <c r="E18" i="72" s="1"/>
  <c r="C5" i="72"/>
  <c r="E5" i="72" s="1" a="1"/>
  <c r="C13" i="72"/>
  <c r="E13" i="72" s="1" a="1"/>
  <c r="E13" i="72" s="1"/>
  <c r="C7" i="72"/>
  <c r="E7" i="72" s="1" a="1"/>
  <c r="E7" i="72" s="1"/>
  <c r="C11" i="72"/>
  <c r="E11" i="72" s="1" a="1"/>
  <c r="E11" i="72" s="1"/>
  <c r="C8" i="72"/>
  <c r="E8" i="72" s="1" a="1"/>
  <c r="E8" i="72" s="1"/>
  <c r="C15" i="72"/>
  <c r="E15" i="72" s="1" a="1"/>
  <c r="E15" i="72" s="1"/>
  <c r="C12" i="72"/>
  <c r="E12" i="72" s="1" a="1"/>
  <c r="E12" i="72" s="1"/>
  <c r="U65" i="93"/>
  <c r="U66" i="93"/>
  <c r="T65" i="93"/>
  <c r="T66" i="93"/>
  <c r="V65" i="93"/>
  <c r="V66" i="93"/>
  <c r="E4" i="72" l="1"/>
  <c r="AA47" i="72" s="1" a="1"/>
  <c r="AA47" i="72" s="1"/>
  <c r="Z66" i="93"/>
  <c r="AA66" i="93" s="1"/>
  <c r="Z65" i="93"/>
  <c r="AA65" i="93" s="1"/>
  <c r="BK65" i="93" s="1"/>
  <c r="BB66" i="93" s="1"/>
  <c r="E5" i="72"/>
  <c r="C207" i="72"/>
  <c r="C208" i="72"/>
  <c r="C209" i="72"/>
  <c r="C210" i="72"/>
  <c r="C211" i="72"/>
  <c r="C212" i="72"/>
  <c r="C213" i="72"/>
  <c r="C214" i="72"/>
  <c r="C215" i="72"/>
  <c r="C206" i="72"/>
  <c r="E208" i="72" a="1"/>
  <c r="E211" i="72" a="1"/>
  <c r="E210" i="72" a="1"/>
  <c r="E207" i="72" a="1"/>
  <c r="E209" i="72" a="1"/>
  <c r="E212" i="72" a="1"/>
  <c r="E214" i="72" a="1"/>
  <c r="E215" i="72" a="1"/>
  <c r="E206" i="72" a="1"/>
  <c r="E213" i="72" a="1"/>
  <c r="AA48" i="72" l="1" a="1"/>
  <c r="AA48" i="72" s="1"/>
  <c r="AA49" i="72" s="1" a="1"/>
  <c r="AA49" i="72" s="1"/>
  <c r="E210" i="72"/>
  <c r="E214" i="72"/>
  <c r="E212" i="72"/>
  <c r="E211" i="72"/>
  <c r="E209" i="72"/>
  <c r="E208" i="72"/>
  <c r="E213" i="72"/>
  <c r="E215" i="72"/>
  <c r="E207" i="72"/>
  <c r="E206" i="72"/>
  <c r="G207" i="72" a="1"/>
  <c r="H206" i="72" a="1"/>
  <c r="H212" i="72" a="1"/>
  <c r="F212" i="72" a="1"/>
  <c r="H208" i="72" a="1"/>
  <c r="H207" i="72" a="1"/>
  <c r="I212" i="72" a="1"/>
  <c r="H214" i="72" a="1"/>
  <c r="G214" i="72" a="1"/>
  <c r="F214" i="72" a="1"/>
  <c r="H215" i="72" a="1"/>
  <c r="G211" i="72" a="1"/>
  <c r="F207" i="72" a="1"/>
  <c r="F206" i="72" a="1"/>
  <c r="H211" i="72" a="1"/>
  <c r="H209" i="72" a="1"/>
  <c r="I214" i="72" a="1"/>
  <c r="G208" i="72" a="1"/>
  <c r="F211" i="72" a="1"/>
  <c r="F210" i="72" a="1"/>
  <c r="H213" i="72" a="1"/>
  <c r="F215" i="72" a="1"/>
  <c r="G210" i="72" a="1"/>
  <c r="F208" i="72" a="1"/>
  <c r="I208" i="72" a="1"/>
  <c r="I215" i="72" a="1"/>
  <c r="I210" i="72" a="1"/>
  <c r="I207" i="72" a="1"/>
  <c r="H210" i="72" a="1"/>
  <c r="I213" i="72" a="1"/>
  <c r="F209" i="72" a="1"/>
  <c r="F213" i="72" a="1"/>
  <c r="I211" i="72" a="1"/>
  <c r="G212" i="72" a="1"/>
  <c r="G209" i="72" a="1"/>
  <c r="D206" i="72" a="1"/>
  <c r="I209" i="72" a="1"/>
  <c r="G215" i="72" a="1"/>
  <c r="G213" i="72" a="1"/>
  <c r="I206" i="72" a="1"/>
  <c r="G206" i="72" a="1"/>
  <c r="AA50" i="72" l="1" a="1"/>
  <c r="AA50" i="72" s="1"/>
  <c r="D206" i="72"/>
  <c r="G206" i="72"/>
  <c r="I206" i="72"/>
  <c r="H206" i="72"/>
  <c r="F206" i="72"/>
  <c r="I213" i="72"/>
  <c r="I215" i="72"/>
  <c r="H209" i="72"/>
  <c r="H213" i="72"/>
  <c r="H215" i="72"/>
  <c r="G215" i="72"/>
  <c r="G208" i="72"/>
  <c r="G209" i="72"/>
  <c r="G213" i="72"/>
  <c r="I208" i="72"/>
  <c r="F215" i="72"/>
  <c r="F208" i="72"/>
  <c r="F209" i="72"/>
  <c r="F213" i="72"/>
  <c r="I212" i="72"/>
  <c r="I210" i="72"/>
  <c r="I211" i="72"/>
  <c r="I214" i="72"/>
  <c r="I209" i="72"/>
  <c r="H207" i="72"/>
  <c r="H212" i="72"/>
  <c r="H210" i="72"/>
  <c r="H211" i="72"/>
  <c r="H214" i="72"/>
  <c r="G207" i="72"/>
  <c r="G212" i="72"/>
  <c r="G210" i="72"/>
  <c r="G211" i="72"/>
  <c r="G214" i="72"/>
  <c r="H208" i="72"/>
  <c r="I207" i="72"/>
  <c r="F207" i="72"/>
  <c r="F212" i="72"/>
  <c r="F210" i="72"/>
  <c r="F211" i="72"/>
  <c r="F214" i="72"/>
  <c r="AA51" i="72" l="1" a="1"/>
  <c r="AA51" i="72" s="1"/>
  <c r="K206" i="72"/>
  <c r="J206" i="72"/>
  <c r="X56" i="26" s="1"/>
  <c r="AA52" i="72" l="1" a="1"/>
  <c r="AA52" i="72" s="1"/>
  <c r="AA53" i="72" s="1" a="1"/>
  <c r="AA53" i="72" s="1"/>
  <c r="AA54" i="72" s="1" a="1"/>
  <c r="AA54" i="72" s="1"/>
  <c r="AA55" i="72" s="1" a="1"/>
  <c r="AA55" i="72" s="1"/>
  <c r="AA56" i="72" s="1" a="1"/>
  <c r="AA56" i="72" s="1"/>
  <c r="AA57" i="72" s="1" a="1"/>
  <c r="AA57" i="72" s="1"/>
  <c r="AA58" i="72" s="1" a="1"/>
  <c r="AA58" i="72" s="1"/>
  <c r="AA59" i="72" s="1" a="1"/>
  <c r="AA59" i="72" s="1"/>
  <c r="AA60" i="72" s="1" a="1"/>
  <c r="AA60" i="72" s="1"/>
  <c r="AA61" i="72" s="1" a="1"/>
  <c r="AA61" i="72" s="1"/>
  <c r="AI62" i="87"/>
  <c r="AD62" i="87"/>
  <c r="V46" i="87"/>
  <c r="F41" i="86" l="1"/>
  <c r="AI62" i="32" l="1"/>
  <c r="AD62" i="32"/>
  <c r="H145" i="72" l="1"/>
  <c r="GI7" i="72" l="1"/>
  <c r="DB21" i="72" a="1"/>
  <c r="DB22" i="72" a="1"/>
  <c r="DB23" i="72" a="1"/>
  <c r="DB20" i="72" a="1"/>
  <c r="DA22" i="72" a="1"/>
  <c r="DA23" i="72" a="1"/>
  <c r="DA24" i="72" a="1"/>
  <c r="DB24" i="72" a="1"/>
  <c r="DA21" i="72" a="1"/>
  <c r="DA20" i="72" a="1"/>
  <c r="GM7" i="72" l="1"/>
  <c r="GS7" i="72" s="1"/>
  <c r="GL7" i="72"/>
  <c r="DB20" i="72"/>
  <c r="DB24" i="72"/>
  <c r="DB21" i="72"/>
  <c r="DB23" i="72"/>
  <c r="DB22" i="72"/>
  <c r="DA20" i="72"/>
  <c r="DA23" i="72"/>
  <c r="DA21" i="72"/>
  <c r="DA22" i="72"/>
  <c r="DA24" i="72"/>
  <c r="GI8" i="72"/>
  <c r="GI9" i="72"/>
  <c r="GI10" i="72"/>
  <c r="GI11" i="72"/>
  <c r="GI12" i="72"/>
  <c r="GI13" i="72"/>
  <c r="GM13" i="72" l="1"/>
  <c r="GL13" i="72"/>
  <c r="GM11" i="72"/>
  <c r="GS11" i="72" s="1"/>
  <c r="GL11" i="72"/>
  <c r="GM10" i="72"/>
  <c r="GL10" i="72"/>
  <c r="GM9" i="72"/>
  <c r="GS9" i="72" s="1"/>
  <c r="GL9" i="72"/>
  <c r="GM8" i="72"/>
  <c r="GL8" i="72"/>
  <c r="GL12" i="72"/>
  <c r="GM12" i="72"/>
  <c r="DM31" i="72"/>
  <c r="M103" i="36"/>
  <c r="DL31" i="72"/>
  <c r="GR10" i="72" l="1"/>
  <c r="GS10" i="72" s="1"/>
  <c r="R177" i="64"/>
  <c r="GR8" i="72"/>
  <c r="GS8" i="72" s="1"/>
  <c r="R176" i="64" s="1"/>
  <c r="C118" i="93"/>
  <c r="R180" i="64"/>
  <c r="C121" i="93"/>
  <c r="DN31" i="72"/>
  <c r="C117" i="93" l="1"/>
  <c r="R179" i="64"/>
  <c r="C120" i="93"/>
  <c r="O66" i="30"/>
  <c r="CA337" i="93" a="1"/>
  <c r="BS337" i="93"/>
  <c r="CA337" i="93" l="1"/>
  <c r="Y66" i="30"/>
  <c r="S66" i="30"/>
  <c r="W66" i="30"/>
  <c r="AA66" i="30"/>
  <c r="CD337" i="93" a="1"/>
  <c r="BV337" i="93"/>
  <c r="CB337" i="93" a="1"/>
  <c r="BX337" i="93"/>
  <c r="CF337" i="93" a="1"/>
  <c r="CE337" i="93" a="1"/>
  <c r="BW337" i="93"/>
  <c r="BT337" i="93"/>
  <c r="CB337" i="93" l="1"/>
  <c r="CF337" i="93"/>
  <c r="BT354" i="93" s="1"/>
  <c r="BT355" i="93" s="1"/>
  <c r="CD337" i="93"/>
  <c r="CE337" i="93"/>
  <c r="P342" i="114"/>
  <c r="I342" i="114" s="1"/>
  <c r="U66" i="30"/>
  <c r="H48" i="72"/>
  <c r="H50" i="72" s="1"/>
  <c r="BU337" i="93"/>
  <c r="CC337" i="93" a="1"/>
  <c r="CC337" i="93" l="1"/>
  <c r="BT356" i="93"/>
  <c r="BB327" i="93"/>
  <c r="GL18" i="72"/>
  <c r="GS18" i="72" s="1"/>
  <c r="C127" i="93" s="1"/>
  <c r="R175" i="64" l="1"/>
  <c r="C116" i="93"/>
  <c r="X159" i="64"/>
  <c r="X157" i="64"/>
  <c r="GP14" i="72"/>
  <c r="GP10" i="72" a="1"/>
  <c r="GP10" i="72" s="1"/>
  <c r="GP6" i="72" a="1"/>
  <c r="GP6" i="72" s="1"/>
  <c r="GP12" i="72" a="1"/>
  <c r="GP12" i="72" s="1"/>
  <c r="C59" i="72" a="1"/>
  <c r="N42" i="64" a="1"/>
  <c r="AH28" i="72" a="1"/>
  <c r="D58" i="72" a="1"/>
  <c r="N48" i="64" a="1"/>
  <c r="AD55" i="64" a="1"/>
  <c r="AD44" i="64" a="1"/>
  <c r="AH22" i="72" a="1"/>
  <c r="AD54" i="64" a="1"/>
  <c r="AH27" i="72" a="1"/>
  <c r="AD45" i="64" a="1"/>
  <c r="C56" i="72" a="1"/>
  <c r="D57" i="72" a="1"/>
  <c r="N56" i="64" a="1"/>
  <c r="N54" i="64" a="1"/>
  <c r="AD52" i="64" a="1"/>
  <c r="D56" i="72" a="1"/>
  <c r="AD51" i="64" a="1"/>
  <c r="AD56" i="64" a="1"/>
  <c r="N46" i="64" a="1"/>
  <c r="AD49" i="64" a="1"/>
  <c r="AH23" i="72" a="1"/>
  <c r="AH24" i="72" a="1"/>
  <c r="AX49" i="72" a="1"/>
  <c r="AD47" i="64" a="1"/>
  <c r="N51" i="64" a="1"/>
  <c r="D59" i="72" a="1"/>
  <c r="AD42" i="64" a="1"/>
  <c r="C57" i="72" a="1"/>
  <c r="N49" i="64" a="1"/>
  <c r="AX22" i="72" a="1"/>
  <c r="N50" i="64" a="1"/>
  <c r="AH29" i="72" a="1"/>
  <c r="AD46" i="64" a="1"/>
  <c r="C58" i="72" a="1"/>
  <c r="N45" i="64" a="1"/>
  <c r="N52" i="64" a="1"/>
  <c r="AD48" i="64" a="1"/>
  <c r="AO33" i="72" a="1"/>
  <c r="N44" i="64" a="1"/>
  <c r="D60" i="72" a="1"/>
  <c r="AX17" i="72" a="1"/>
  <c r="C60" i="72" a="1"/>
  <c r="AH30" i="72" a="1"/>
  <c r="AH25" i="72" a="1"/>
  <c r="N55" i="64" a="1"/>
  <c r="AX23" i="72"/>
  <c r="AD43" i="64" a="1"/>
  <c r="B251" i="72" a="1"/>
  <c r="AX18" i="72"/>
  <c r="AD50" i="64" a="1"/>
  <c r="N47" i="64" a="1"/>
  <c r="N43" i="64" a="1"/>
  <c r="N53" i="64" a="1"/>
  <c r="AD53" i="64" a="1"/>
  <c r="I251" i="72" a="1"/>
  <c r="O99" i="114" l="1"/>
  <c r="O98" i="114"/>
  <c r="O97" i="114"/>
  <c r="O96" i="114"/>
  <c r="O188" i="114"/>
  <c r="O190" i="114"/>
  <c r="O200" i="114"/>
  <c r="O187" i="114"/>
  <c r="O189" i="114"/>
  <c r="O192" i="114"/>
  <c r="O194" i="114"/>
  <c r="O191" i="114"/>
  <c r="O193" i="114"/>
  <c r="O195" i="114"/>
  <c r="N51" i="64"/>
  <c r="N47" i="64"/>
  <c r="O138" i="114"/>
  <c r="O139" i="114"/>
  <c r="N54" i="64"/>
  <c r="AH28" i="72"/>
  <c r="O279" i="114"/>
  <c r="AD47" i="64"/>
  <c r="N46" i="64"/>
  <c r="AD49" i="64"/>
  <c r="AH22" i="72"/>
  <c r="AD48" i="64"/>
  <c r="O204" i="114"/>
  <c r="O110" i="114"/>
  <c r="O186" i="114"/>
  <c r="AD44" i="64"/>
  <c r="AD52" i="64"/>
  <c r="AO33" i="72"/>
  <c r="O236" i="114"/>
  <c r="D58" i="72"/>
  <c r="D60" i="72"/>
  <c r="C59" i="72"/>
  <c r="AD45" i="64"/>
  <c r="AX17" i="72"/>
  <c r="AY17" i="72" s="1"/>
  <c r="AD46" i="64"/>
  <c r="AH29" i="72"/>
  <c r="AD42" i="64"/>
  <c r="O238" i="114"/>
  <c r="AH27" i="72"/>
  <c r="O286" i="114"/>
  <c r="O275" i="114"/>
  <c r="O281" i="114"/>
  <c r="O282" i="114"/>
  <c r="O273" i="114"/>
  <c r="O278" i="114"/>
  <c r="O277" i="114"/>
  <c r="O285" i="114"/>
  <c r="O270" i="114"/>
  <c r="O276" i="114"/>
  <c r="O271" i="114"/>
  <c r="O274" i="114"/>
  <c r="O272" i="114"/>
  <c r="O287" i="114"/>
  <c r="O284" i="114"/>
  <c r="AH24" i="72"/>
  <c r="O136" i="114"/>
  <c r="O451" i="114"/>
  <c r="O440" i="114"/>
  <c r="O294" i="114"/>
  <c r="N44" i="64"/>
  <c r="O199" i="114"/>
  <c r="O198" i="114"/>
  <c r="AD55" i="64"/>
  <c r="D57" i="72"/>
  <c r="O134" i="114"/>
  <c r="B251" i="72"/>
  <c r="C251" i="72" s="1"/>
  <c r="O106" i="114"/>
  <c r="O475" i="114"/>
  <c r="N48" i="64"/>
  <c r="O252" i="114"/>
  <c r="N45" i="64"/>
  <c r="N56" i="64"/>
  <c r="O335" i="114"/>
  <c r="N42" i="64"/>
  <c r="AD56" i="64"/>
  <c r="AD54" i="64"/>
  <c r="O290" i="114"/>
  <c r="O172" i="114"/>
  <c r="AH23" i="72"/>
  <c r="D59" i="72"/>
  <c r="N55" i="64"/>
  <c r="N50" i="64"/>
  <c r="C58" i="72"/>
  <c r="N43" i="64"/>
  <c r="O346" i="114"/>
  <c r="O233" i="114"/>
  <c r="O247" i="114"/>
  <c r="O244" i="114"/>
  <c r="O231" i="114"/>
  <c r="O228" i="114"/>
  <c r="O235" i="114"/>
  <c r="O245" i="114"/>
  <c r="O243" i="114"/>
  <c r="O230" i="114"/>
  <c r="O234" i="114"/>
  <c r="O229" i="114"/>
  <c r="O227" i="114"/>
  <c r="O246" i="114"/>
  <c r="O232" i="114"/>
  <c r="O239" i="114"/>
  <c r="O237" i="114"/>
  <c r="AX49" i="72"/>
  <c r="AW49" i="72" s="1"/>
  <c r="AH30" i="72"/>
  <c r="O348" i="114"/>
  <c r="O129" i="114"/>
  <c r="O125" i="114"/>
  <c r="O132" i="114"/>
  <c r="O127" i="114"/>
  <c r="O122" i="114"/>
  <c r="O128" i="114"/>
  <c r="O126" i="114"/>
  <c r="O124" i="114"/>
  <c r="O133" i="114"/>
  <c r="O123" i="114"/>
  <c r="O163" i="114"/>
  <c r="O248" i="114"/>
  <c r="C56" i="72"/>
  <c r="AD53" i="64"/>
  <c r="N53" i="64"/>
  <c r="O289" i="114"/>
  <c r="AH25" i="72"/>
  <c r="O211" i="114"/>
  <c r="O205" i="114"/>
  <c r="O249" i="114"/>
  <c r="I251" i="72"/>
  <c r="J251" i="72" s="1"/>
  <c r="C57" i="72"/>
  <c r="N52" i="64"/>
  <c r="O242" i="114"/>
  <c r="O476" i="114"/>
  <c r="C60" i="72"/>
  <c r="AD50" i="64"/>
  <c r="AX22" i="72"/>
  <c r="AY22" i="72" s="1"/>
  <c r="O322" i="114"/>
  <c r="AD51" i="64"/>
  <c r="AD43" i="64"/>
  <c r="N49" i="64"/>
  <c r="O240" i="114"/>
  <c r="D56" i="72"/>
  <c r="O202" i="114"/>
  <c r="O254" i="114"/>
  <c r="O332" i="114"/>
  <c r="O315" i="114"/>
  <c r="O318" i="114"/>
  <c r="O324" i="114"/>
  <c r="O317" i="114"/>
  <c r="O334" i="114"/>
  <c r="O333" i="114"/>
  <c r="O314" i="114"/>
  <c r="O319" i="114"/>
  <c r="O331" i="114"/>
  <c r="O316" i="114"/>
  <c r="O312" i="114"/>
  <c r="O313" i="114"/>
  <c r="O320" i="114"/>
  <c r="O330" i="114"/>
  <c r="O477" i="114"/>
  <c r="O108" i="114"/>
  <c r="O321" i="114"/>
  <c r="R174" i="64"/>
  <c r="P235" i="64"/>
  <c r="GU6" i="72" a="1"/>
  <c r="AO32" i="72" a="1"/>
  <c r="H249" i="114" l="1"/>
  <c r="H405" i="114"/>
  <c r="H530" i="114"/>
  <c r="H274" i="114"/>
  <c r="H559" i="114"/>
  <c r="H189" i="114"/>
  <c r="H205" i="114"/>
  <c r="H406" i="114"/>
  <c r="H333" i="114"/>
  <c r="H202" i="114"/>
  <c r="H529" i="114"/>
  <c r="H248" i="114"/>
  <c r="H366" i="114"/>
  <c r="H367" i="114"/>
  <c r="H243" i="114"/>
  <c r="H290" i="114"/>
  <c r="H198" i="114"/>
  <c r="H421" i="114"/>
  <c r="H561" i="114"/>
  <c r="H568" i="114"/>
  <c r="H97" i="114"/>
  <c r="H386" i="114"/>
  <c r="H245" i="114"/>
  <c r="H475" i="114"/>
  <c r="H282" i="114"/>
  <c r="H193" i="114"/>
  <c r="H477" i="114"/>
  <c r="H392" i="114"/>
  <c r="H535" i="114"/>
  <c r="H134" i="114"/>
  <c r="H284" i="114"/>
  <c r="H110" i="114"/>
  <c r="H139" i="114"/>
  <c r="H191" i="114"/>
  <c r="H324" i="114"/>
  <c r="H240" i="114"/>
  <c r="H125" i="114"/>
  <c r="H372" i="114"/>
  <c r="H368" i="114"/>
  <c r="H237" i="114"/>
  <c r="H228" i="114"/>
  <c r="H199" i="114"/>
  <c r="H287" i="114"/>
  <c r="H281" i="114"/>
  <c r="H425" i="114"/>
  <c r="H538" i="114"/>
  <c r="H204" i="114"/>
  <c r="H513" i="114"/>
  <c r="H194" i="114"/>
  <c r="H320" i="114"/>
  <c r="H322" i="114"/>
  <c r="H387" i="114"/>
  <c r="H244" i="114"/>
  <c r="H275" i="114"/>
  <c r="H510" i="114"/>
  <c r="H321" i="114"/>
  <c r="H315" i="114"/>
  <c r="H271" i="114"/>
  <c r="H512" i="114"/>
  <c r="H312" i="114"/>
  <c r="H127" i="114"/>
  <c r="H440" i="114"/>
  <c r="H273" i="114"/>
  <c r="H186" i="114"/>
  <c r="H195" i="114"/>
  <c r="H334" i="114"/>
  <c r="H132" i="114"/>
  <c r="H371" i="114"/>
  <c r="H335" i="114"/>
  <c r="H451" i="114"/>
  <c r="H236" i="114"/>
  <c r="H98" i="114"/>
  <c r="H317" i="114"/>
  <c r="H398" i="114"/>
  <c r="H235" i="114"/>
  <c r="H522" i="114"/>
  <c r="H514" i="114"/>
  <c r="H99" i="114"/>
  <c r="H330" i="114"/>
  <c r="H318" i="114"/>
  <c r="H476" i="114"/>
  <c r="H582" i="114"/>
  <c r="H129" i="114"/>
  <c r="H369" i="114"/>
  <c r="H239" i="114"/>
  <c r="H231" i="114"/>
  <c r="H106" i="114"/>
  <c r="H272" i="114"/>
  <c r="H511" i="114"/>
  <c r="H192" i="114"/>
  <c r="H102" i="114"/>
  <c r="H313" i="114"/>
  <c r="H133" i="114"/>
  <c r="H187" i="114"/>
  <c r="H407" i="114"/>
  <c r="H348" i="114"/>
  <c r="H247" i="114"/>
  <c r="H276" i="114"/>
  <c r="H532" i="114"/>
  <c r="H332" i="114"/>
  <c r="H242" i="114"/>
  <c r="H126" i="114"/>
  <c r="H388" i="114"/>
  <c r="H403" i="114"/>
  <c r="H227" i="114"/>
  <c r="H233" i="114"/>
  <c r="H294" i="114"/>
  <c r="H270" i="114"/>
  <c r="H576" i="114"/>
  <c r="H509" i="114"/>
  <c r="H423" i="114"/>
  <c r="H190" i="114"/>
  <c r="H331" i="114"/>
  <c r="H254" i="114"/>
  <c r="H211" i="114"/>
  <c r="H289" i="114"/>
  <c r="H163" i="114"/>
  <c r="H385" i="114"/>
  <c r="H365" i="114"/>
  <c r="H229" i="114"/>
  <c r="H172" i="114"/>
  <c r="H285" i="114"/>
  <c r="H526" i="114"/>
  <c r="H123" i="114"/>
  <c r="H136" i="114"/>
  <c r="H584" i="114"/>
  <c r="H380" i="114"/>
  <c r="H232" i="114"/>
  <c r="H138" i="114"/>
  <c r="H426" i="114"/>
  <c r="H124" i="114"/>
  <c r="H390" i="114"/>
  <c r="H246" i="114"/>
  <c r="H252" i="114"/>
  <c r="H286" i="114"/>
  <c r="H508" i="114"/>
  <c r="H200" i="114"/>
  <c r="H316" i="114"/>
  <c r="H319" i="114"/>
  <c r="H128" i="114"/>
  <c r="H373" i="114"/>
  <c r="H234" i="114"/>
  <c r="H346" i="114"/>
  <c r="H277" i="114"/>
  <c r="H238" i="114"/>
  <c r="H553" i="114"/>
  <c r="H188" i="114"/>
  <c r="H108" i="114"/>
  <c r="H314" i="114"/>
  <c r="H577" i="114"/>
  <c r="H122" i="114"/>
  <c r="H370" i="114"/>
  <c r="H404" i="114"/>
  <c r="H230" i="114"/>
  <c r="H278" i="114"/>
  <c r="H279" i="114"/>
  <c r="H531" i="114"/>
  <c r="H96" i="114"/>
  <c r="O288" i="114"/>
  <c r="O452" i="114"/>
  <c r="O300" i="114"/>
  <c r="O291" i="114"/>
  <c r="O201" i="114"/>
  <c r="O212" i="114"/>
  <c r="O467" i="114"/>
  <c r="O340" i="114"/>
  <c r="O156" i="114"/>
  <c r="O169" i="114"/>
  <c r="O109" i="114"/>
  <c r="O171" i="114"/>
  <c r="O251" i="114"/>
  <c r="O159" i="114"/>
  <c r="O155" i="114"/>
  <c r="O173" i="114"/>
  <c r="O164" i="114"/>
  <c r="O154" i="114"/>
  <c r="O162" i="114"/>
  <c r="O157" i="114"/>
  <c r="O165" i="114"/>
  <c r="O166" i="114"/>
  <c r="O167" i="114"/>
  <c r="O161" i="114"/>
  <c r="O158" i="114"/>
  <c r="O342" i="114"/>
  <c r="O111" i="114"/>
  <c r="O468" i="114"/>
  <c r="D61" i="72"/>
  <c r="D62" i="72" s="1"/>
  <c r="C61" i="72"/>
  <c r="C62" i="72" s="1"/>
  <c r="GL20" i="72" s="1"/>
  <c r="GR20" i="72" s="1"/>
  <c r="GS20" i="72" s="1"/>
  <c r="C129" i="93" s="1"/>
  <c r="O349" i="114"/>
  <c r="O170" i="114"/>
  <c r="O293" i="114"/>
  <c r="O185" i="114"/>
  <c r="O455" i="114"/>
  <c r="O344" i="114"/>
  <c r="O323" i="114"/>
  <c r="O226" i="114"/>
  <c r="O325" i="114"/>
  <c r="O341" i="114"/>
  <c r="O454" i="114"/>
  <c r="O326" i="114"/>
  <c r="O250" i="114"/>
  <c r="O253" i="114"/>
  <c r="O328" i="114"/>
  <c r="O329" i="114"/>
  <c r="O338" i="114"/>
  <c r="O343" i="114"/>
  <c r="O478" i="114"/>
  <c r="O210" i="114"/>
  <c r="O336" i="114"/>
  <c r="O327" i="114"/>
  <c r="O101" i="114"/>
  <c r="O483" i="114"/>
  <c r="O347" i="114"/>
  <c r="O489" i="114"/>
  <c r="O280" i="114"/>
  <c r="O203" i="114"/>
  <c r="O491" i="114"/>
  <c r="AO32" i="72"/>
  <c r="O107" i="114"/>
  <c r="O100" i="114"/>
  <c r="O160" i="114"/>
  <c r="O168" i="114"/>
  <c r="O345" i="114"/>
  <c r="O153" i="114"/>
  <c r="GU6" i="72"/>
  <c r="D115" i="93" s="1"/>
  <c r="X158" i="64"/>
  <c r="AO31" i="72" a="1"/>
  <c r="E115" i="93" l="1"/>
  <c r="O614" i="114" s="1"/>
  <c r="H328" i="114"/>
  <c r="H341" i="114"/>
  <c r="H427" i="114"/>
  <c r="H226" i="114"/>
  <c r="H537" i="114"/>
  <c r="H483" i="114"/>
  <c r="H170" i="114"/>
  <c r="H153" i="114"/>
  <c r="H107" i="114"/>
  <c r="H101" i="114"/>
  <c r="H338" i="114"/>
  <c r="H581" i="114"/>
  <c r="H323" i="114"/>
  <c r="H374" i="114"/>
  <c r="H161" i="114"/>
  <c r="H251" i="114"/>
  <c r="H420" i="114"/>
  <c r="H467" i="114"/>
  <c r="H291" i="114"/>
  <c r="H168" i="114"/>
  <c r="H250" i="114"/>
  <c r="H160" i="114"/>
  <c r="H379" i="114"/>
  <c r="H408" i="114"/>
  <c r="H345" i="114"/>
  <c r="H534" i="114"/>
  <c r="H329" i="114"/>
  <c r="H344" i="114"/>
  <c r="H417" i="114"/>
  <c r="H564" i="114"/>
  <c r="H300" i="114"/>
  <c r="H521" i="114"/>
  <c r="H548" i="114"/>
  <c r="H349" i="114"/>
  <c r="H167" i="114"/>
  <c r="H155" i="114"/>
  <c r="H540" i="114"/>
  <c r="H400" i="114"/>
  <c r="H491" i="114"/>
  <c r="H253" i="114"/>
  <c r="H454" i="114"/>
  <c r="H455" i="114"/>
  <c r="H166" i="114"/>
  <c r="H541" i="114"/>
  <c r="H452" i="114"/>
  <c r="H203" i="114"/>
  <c r="H336" i="114"/>
  <c r="H566" i="114"/>
  <c r="H543" i="114"/>
  <c r="H377" i="114"/>
  <c r="H288" i="114"/>
  <c r="H159" i="114"/>
  <c r="H412" i="114"/>
  <c r="H327" i="114"/>
  <c r="H280" i="114"/>
  <c r="H550" i="114"/>
  <c r="H468" i="114"/>
  <c r="H165" i="114"/>
  <c r="H546" i="114"/>
  <c r="H171" i="114"/>
  <c r="H489" i="114"/>
  <c r="H210" i="114"/>
  <c r="H111" i="114"/>
  <c r="H342" i="114"/>
  <c r="H539" i="114"/>
  <c r="H109" i="114"/>
  <c r="H378" i="114"/>
  <c r="H375" i="114"/>
  <c r="H347" i="114"/>
  <c r="H478" i="114"/>
  <c r="H414" i="114"/>
  <c r="H401" i="114"/>
  <c r="H185" i="114"/>
  <c r="H570" i="114"/>
  <c r="H157" i="114"/>
  <c r="H544" i="114"/>
  <c r="H565" i="114"/>
  <c r="H533" i="114"/>
  <c r="H585" i="114"/>
  <c r="H575" i="114"/>
  <c r="H343" i="114"/>
  <c r="H409" i="114"/>
  <c r="H325" i="114"/>
  <c r="H293" i="114"/>
  <c r="H413" i="114"/>
  <c r="H162" i="114"/>
  <c r="H536" i="114"/>
  <c r="H169" i="114"/>
  <c r="H212" i="114"/>
  <c r="H154" i="114"/>
  <c r="H520" i="114"/>
  <c r="H422" i="114"/>
  <c r="H156" i="114"/>
  <c r="H201" i="114"/>
  <c r="H164" i="114"/>
  <c r="H545" i="114"/>
  <c r="H402" i="114"/>
  <c r="H340" i="114"/>
  <c r="H376" i="114"/>
  <c r="H411" i="114"/>
  <c r="H100" i="114"/>
  <c r="H326" i="114"/>
  <c r="H424" i="114"/>
  <c r="H583" i="114"/>
  <c r="H158" i="114"/>
  <c r="H173" i="114"/>
  <c r="H542" i="114"/>
  <c r="H399" i="114"/>
  <c r="H416" i="114"/>
  <c r="O351" i="114"/>
  <c r="O339" i="114"/>
  <c r="O292" i="114"/>
  <c r="O453" i="114"/>
  <c r="O213" i="114"/>
  <c r="O470" i="114"/>
  <c r="O479" i="114"/>
  <c r="O480" i="114"/>
  <c r="O337" i="114"/>
  <c r="O490" i="114"/>
  <c r="AO31" i="72"/>
  <c r="O269" i="114"/>
  <c r="X156" i="64"/>
  <c r="AO30" i="72" a="1"/>
  <c r="H517" i="114" l="1"/>
  <c r="H389" i="114"/>
  <c r="H213" i="114"/>
  <c r="H525" i="114"/>
  <c r="H410" i="114"/>
  <c r="H480" i="114"/>
  <c r="H490" i="114"/>
  <c r="H527" i="114"/>
  <c r="H557" i="114"/>
  <c r="H384" i="114"/>
  <c r="H552" i="114"/>
  <c r="H515" i="114"/>
  <c r="H381" i="114"/>
  <c r="H523" i="114"/>
  <c r="H519" i="114"/>
  <c r="H453" i="114"/>
  <c r="H571" i="114"/>
  <c r="H292" i="114"/>
  <c r="H554" i="114"/>
  <c r="H339" i="114"/>
  <c r="H479" i="114"/>
  <c r="H555" i="114"/>
  <c r="H351" i="114"/>
  <c r="H556" i="114"/>
  <c r="H518" i="114"/>
  <c r="H558" i="114"/>
  <c r="H470" i="114"/>
  <c r="H569" i="114"/>
  <c r="H547" i="114"/>
  <c r="H528" i="114"/>
  <c r="H269" i="114"/>
  <c r="H516" i="114"/>
  <c r="H551" i="114"/>
  <c r="H524" i="114"/>
  <c r="H560" i="114"/>
  <c r="H418" i="114"/>
  <c r="H337" i="114"/>
  <c r="H419" i="114"/>
  <c r="O296" i="114"/>
  <c r="O140" i="114"/>
  <c r="AO30" i="72"/>
  <c r="AO29" i="72" a="1"/>
  <c r="H140" i="114" l="1"/>
  <c r="H296" i="114"/>
  <c r="H415" i="114"/>
  <c r="H391" i="114"/>
  <c r="H563" i="114"/>
  <c r="AO29" i="72"/>
  <c r="AO28" i="72" a="1"/>
  <c r="AO28" i="72" l="1"/>
  <c r="AO27" i="72" a="1"/>
  <c r="AO27" i="72" l="1"/>
  <c r="AO26" i="72" a="1"/>
  <c r="AO26" i="72" l="1"/>
  <c r="AO25" i="72" a="1"/>
  <c r="AO25" i="72" l="1"/>
  <c r="AO24" i="72" a="1"/>
  <c r="AO24" i="72" l="1"/>
  <c r="AO23" i="72" a="1"/>
  <c r="AO23" i="72" l="1"/>
  <c r="AO22" i="72" a="1"/>
  <c r="AO22" i="72" l="1"/>
  <c r="AO21" i="72" a="1"/>
  <c r="AO21" i="72" l="1"/>
  <c r="AO20" i="72" a="1"/>
  <c r="AO20" i="72" l="1"/>
  <c r="AO19" i="72" a="1"/>
  <c r="AO19" i="72" l="1"/>
  <c r="AO18" i="72" a="1"/>
  <c r="AO18" i="72" l="1"/>
  <c r="AO17" i="72" a="1"/>
  <c r="AO17" i="72" l="1"/>
  <c r="AO16" i="72" a="1"/>
  <c r="AO16" i="72" l="1"/>
  <c r="AO15" i="72" a="1"/>
  <c r="AO15" i="72" l="1"/>
  <c r="AO14" i="72" a="1"/>
  <c r="AO14" i="72" l="1"/>
  <c r="AO13" i="72" a="1"/>
  <c r="AO13" i="72" l="1"/>
  <c r="AO12" i="72" a="1"/>
  <c r="AO12" i="72" l="1"/>
  <c r="AO11" i="72" a="1"/>
  <c r="AO11" i="72" l="1"/>
  <c r="R184" i="64"/>
  <c r="R159" i="64"/>
  <c r="R156" i="64"/>
  <c r="R157" i="64"/>
  <c r="AO10" i="72" a="1"/>
  <c r="AO10" i="72" l="1"/>
  <c r="R160" i="64"/>
  <c r="R158" i="64"/>
  <c r="R185" i="64"/>
  <c r="AO9" i="72" a="1"/>
  <c r="AO9" i="72" l="1"/>
  <c r="AO8" i="72" a="1"/>
  <c r="AO8" i="72" l="1"/>
  <c r="AO7" i="72" a="1"/>
  <c r="AO7" i="72" l="1"/>
  <c r="AO6" i="72" a="1"/>
  <c r="AO6" i="72" l="1"/>
  <c r="AO5" i="72" a="1"/>
  <c r="AO5" i="72" l="1"/>
  <c r="G20" i="9"/>
  <c r="AO4" i="72" a="1"/>
  <c r="AO4" i="72" l="1"/>
  <c r="Y24" i="4"/>
  <c r="C15" i="70"/>
  <c r="C16" i="70"/>
  <c r="C17" i="70"/>
  <c r="C18" i="70"/>
  <c r="C19" i="70"/>
  <c r="C20" i="70"/>
  <c r="C21" i="70"/>
  <c r="C22" i="70"/>
  <c r="C23" i="70"/>
  <c r="C24" i="70"/>
  <c r="C25" i="70"/>
  <c r="C26" i="70"/>
  <c r="C27" i="70"/>
  <c r="C28" i="70"/>
  <c r="C29" i="70"/>
  <c r="C30" i="70"/>
  <c r="C31" i="70"/>
  <c r="C32" i="70"/>
  <c r="C33" i="70"/>
  <c r="C34" i="70"/>
  <c r="C35" i="70"/>
  <c r="C36" i="70"/>
  <c r="C37" i="70"/>
  <c r="C38" i="70"/>
  <c r="C39" i="70"/>
  <c r="C40" i="70"/>
  <c r="C41" i="70"/>
  <c r="C42" i="70"/>
  <c r="C43" i="70"/>
  <c r="C44" i="70"/>
  <c r="C45" i="70"/>
  <c r="C46" i="70"/>
  <c r="C47" i="70"/>
  <c r="C48" i="70"/>
  <c r="C49" i="70"/>
  <c r="C50" i="70"/>
  <c r="C51" i="70"/>
  <c r="C52" i="70"/>
  <c r="C53" i="70"/>
  <c r="C54" i="70"/>
  <c r="C55" i="70"/>
  <c r="C56" i="70"/>
  <c r="C57" i="70"/>
  <c r="V46" i="32" l="1"/>
  <c r="R147" i="64" l="1"/>
  <c r="R146" i="64" l="1"/>
  <c r="R164" i="64"/>
  <c r="R151" i="64"/>
  <c r="R145" i="64"/>
  <c r="R152" i="64"/>
  <c r="R166" i="64"/>
  <c r="X147" i="64"/>
  <c r="R48" i="83" l="1"/>
  <c r="Q168" i="88"/>
  <c r="F86" i="90"/>
  <c r="AG129" i="88"/>
  <c r="F77" i="90"/>
  <c r="AC168" i="88"/>
  <c r="AG168" i="88"/>
  <c r="R53" i="83"/>
  <c r="R47" i="83"/>
  <c r="Y129" i="88"/>
  <c r="U129" i="88"/>
  <c r="R46" i="83"/>
  <c r="R51" i="83"/>
  <c r="R52" i="83"/>
  <c r="U168" i="88"/>
  <c r="R45" i="83"/>
  <c r="Y168" i="88"/>
  <c r="R49" i="83"/>
  <c r="F85" i="90"/>
  <c r="F78" i="90"/>
  <c r="R50" i="83"/>
  <c r="R44" i="83"/>
  <c r="X161" i="64"/>
  <c r="R161" i="64"/>
  <c r="X148" i="64"/>
  <c r="R148" i="64"/>
  <c r="R189" i="64"/>
  <c r="R163" i="64"/>
  <c r="X163" i="64"/>
  <c r="R165" i="64"/>
  <c r="R162" i="64"/>
  <c r="X145" i="64"/>
  <c r="R167" i="64"/>
  <c r="BV110" i="92" a="1"/>
  <c r="BK206" i="92" a="1"/>
  <c r="BK10" i="92" a="1"/>
  <c r="BK10" i="92" l="1"/>
  <c r="BV110" i="92"/>
  <c r="BK206" i="92"/>
  <c r="R187" i="64"/>
  <c r="X151" i="64"/>
  <c r="X162" i="64"/>
  <c r="AN63" i="84"/>
  <c r="AP59" i="84"/>
  <c r="AL63" i="84"/>
  <c r="AL62" i="84"/>
  <c r="AP62" i="84"/>
  <c r="AN62" i="84"/>
  <c r="AL59" i="84"/>
  <c r="AN61" i="84"/>
  <c r="AP61" i="84"/>
  <c r="AN59" i="84"/>
  <c r="AL61" i="84"/>
  <c r="AP63" i="84"/>
  <c r="R150" i="64"/>
  <c r="R149" i="64"/>
  <c r="X146" i="64"/>
  <c r="X152" i="64"/>
  <c r="BK238" i="92" a="1"/>
  <c r="BK26" i="92" a="1"/>
  <c r="BK190" i="92" a="1"/>
  <c r="BK254" i="92" a="1"/>
  <c r="BV142" i="92" a="1"/>
  <c r="BQ346" i="92"/>
  <c r="BK122" i="92" a="1"/>
  <c r="BV126" i="92" a="1"/>
  <c r="BK58" i="92" a="1"/>
  <c r="BK302" i="92" a="1"/>
  <c r="BK270" i="92" a="1"/>
  <c r="BV46" i="92" a="1"/>
  <c r="BK318" i="92" a="1"/>
  <c r="BK154" i="92" a="1"/>
  <c r="BK42" i="92" a="1"/>
  <c r="BK106" i="92" a="1"/>
  <c r="BK286" i="92" a="1"/>
  <c r="BV10" i="92" a="1"/>
  <c r="BV174" i="92" a="1"/>
  <c r="BV78" i="92" a="1"/>
  <c r="BV190" i="92" a="1"/>
  <c r="BK138" i="92" a="1"/>
  <c r="BV158" i="92" a="1"/>
  <c r="BV94" i="92" a="1"/>
  <c r="BV62" i="92" a="1"/>
  <c r="BK74" i="92" a="1"/>
  <c r="BN414" i="92" a="1"/>
  <c r="BK222" i="92" a="1"/>
  <c r="CP28" i="92" a="1"/>
  <c r="BK90" i="92" a="1"/>
  <c r="BQ368" i="92" l="1"/>
  <c r="BQ373" i="92" s="1"/>
  <c r="DU78" i="102" s="1"/>
  <c r="CP28" i="92"/>
  <c r="P84" i="88" s="1"/>
  <c r="Q90" i="88" s="1"/>
  <c r="BQ360" i="92"/>
  <c r="AC143" i="88" s="1"/>
  <c r="BO11" i="92"/>
  <c r="U14" i="89" s="1"/>
  <c r="BO12" i="92"/>
  <c r="U15" i="89" s="1"/>
  <c r="BO13" i="92"/>
  <c r="U16" i="89" s="1"/>
  <c r="BO21" i="92"/>
  <c r="U24" i="89" s="1"/>
  <c r="BK270" i="92"/>
  <c r="BK122" i="92"/>
  <c r="BV78" i="92"/>
  <c r="BK154" i="92"/>
  <c r="BK42" i="92"/>
  <c r="BK26" i="92"/>
  <c r="BO30" i="92" s="1"/>
  <c r="BV142" i="92"/>
  <c r="BV46" i="92"/>
  <c r="BV190" i="92"/>
  <c r="BK190" i="92"/>
  <c r="BK138" i="92"/>
  <c r="BV174" i="92"/>
  <c r="BK106" i="92"/>
  <c r="BV62" i="92"/>
  <c r="BK222" i="92"/>
  <c r="BV158" i="92"/>
  <c r="BK286" i="92"/>
  <c r="BK58" i="92"/>
  <c r="BV126" i="92"/>
  <c r="BK254" i="92"/>
  <c r="BV10" i="92"/>
  <c r="BK302" i="92"/>
  <c r="BO302" i="92" s="1"/>
  <c r="U323" i="89" s="1"/>
  <c r="BK90" i="92"/>
  <c r="BO101" i="92" s="1"/>
  <c r="U109" i="89" s="1"/>
  <c r="BV94" i="92"/>
  <c r="BK318" i="92"/>
  <c r="BO318" i="92" s="1"/>
  <c r="U340" i="89" s="1"/>
  <c r="BK238" i="92"/>
  <c r="BK74" i="92"/>
  <c r="BN414" i="92"/>
  <c r="BO206" i="92"/>
  <c r="U221" i="89" s="1"/>
  <c r="BZ110" i="92"/>
  <c r="BO10" i="92"/>
  <c r="U13" i="89" s="1"/>
  <c r="X150" i="64"/>
  <c r="R188" i="64"/>
  <c r="GK15" i="72"/>
  <c r="GS15" i="72" s="1"/>
  <c r="C124" i="93" s="1"/>
  <c r="X149" i="64"/>
  <c r="BN415" i="92" a="1"/>
  <c r="BM345" i="92"/>
  <c r="BM354" i="92"/>
  <c r="CP30" i="92" a="1"/>
  <c r="CD345" i="92"/>
  <c r="BX345" i="92"/>
  <c r="BN354" i="92"/>
  <c r="BV346" i="92"/>
  <c r="BM346" i="92"/>
  <c r="BN417" i="92" a="1"/>
  <c r="BO520" i="92"/>
  <c r="BN346" i="92"/>
  <c r="CC345" i="92"/>
  <c r="BO418" i="92" a="1"/>
  <c r="BM353" i="92"/>
  <c r="BO414" i="92" a="1"/>
  <c r="BO527" i="92"/>
  <c r="BN418" i="92" a="1"/>
  <c r="BZ345" i="92"/>
  <c r="BW345" i="92"/>
  <c r="CP32" i="92" a="1"/>
  <c r="BO509" i="92"/>
  <c r="BU345" i="92"/>
  <c r="CP31" i="92" a="1"/>
  <c r="BN345" i="92"/>
  <c r="BN430" i="92" a="1"/>
  <c r="BT345" i="92"/>
  <c r="BO415" i="92" a="1"/>
  <c r="CA345" i="92"/>
  <c r="BR346" i="92"/>
  <c r="BW346" i="92"/>
  <c r="BO526" i="92"/>
  <c r="BQ345" i="92"/>
  <c r="BY345" i="92"/>
  <c r="BO345" i="92"/>
  <c r="BN353" i="92"/>
  <c r="BP346" i="92"/>
  <c r="BT346" i="92"/>
  <c r="BO508" i="92"/>
  <c r="CP36" i="92" a="1"/>
  <c r="BU346" i="92"/>
  <c r="BL353" i="92"/>
  <c r="BP345" i="92"/>
  <c r="CP29" i="92" a="1"/>
  <c r="BV345" i="92"/>
  <c r="BO417" i="92" a="1"/>
  <c r="BP514" i="92"/>
  <c r="BO346" i="92"/>
  <c r="BO353" i="92"/>
  <c r="BO416" i="92" a="1"/>
  <c r="BN416" i="92" a="1"/>
  <c r="U34" i="89" l="1"/>
  <c r="S96" i="88"/>
  <c r="AC135" i="88"/>
  <c r="CM135" i="88" s="1"/>
  <c r="U465" i="89"/>
  <c r="BT367" i="92"/>
  <c r="BT372" i="92" s="1"/>
  <c r="DX77" i="102" s="1"/>
  <c r="BT368" i="92"/>
  <c r="BT373" i="92" s="1"/>
  <c r="DX78" i="102" s="1"/>
  <c r="BZ367" i="92"/>
  <c r="BZ372" i="92" s="1"/>
  <c r="ED77" i="102" s="1"/>
  <c r="BU367" i="92"/>
  <c r="BU372" i="92" s="1"/>
  <c r="DY77" i="102" s="1"/>
  <c r="BU368" i="92"/>
  <c r="BU373" i="92" s="1"/>
  <c r="DY78" i="102" s="1"/>
  <c r="BW367" i="92"/>
  <c r="BW372" i="92" s="1"/>
  <c r="EA77" i="102" s="1"/>
  <c r="BP367" i="92"/>
  <c r="BP372" i="92" s="1"/>
  <c r="DT77" i="102" s="1"/>
  <c r="BO367" i="92"/>
  <c r="BO372" i="92" s="1"/>
  <c r="DS77" i="102" s="1"/>
  <c r="BQ367" i="92"/>
  <c r="BQ372" i="92" s="1"/>
  <c r="DU77" i="102" s="1"/>
  <c r="BW368" i="92"/>
  <c r="BW373" i="92" s="1"/>
  <c r="EA78" i="102" s="1"/>
  <c r="BR368" i="92"/>
  <c r="BR373" i="92" s="1"/>
  <c r="DV78" i="102" s="1"/>
  <c r="BV368" i="92"/>
  <c r="BV373" i="92" s="1"/>
  <c r="DZ78" i="102" s="1"/>
  <c r="BX367" i="92"/>
  <c r="BX372" i="92" s="1"/>
  <c r="EB77" i="102" s="1"/>
  <c r="BM368" i="92"/>
  <c r="BM373" i="92" s="1"/>
  <c r="DQ78" i="102" s="1"/>
  <c r="BO368" i="92"/>
  <c r="BO373" i="92" s="1"/>
  <c r="DS78" i="102" s="1"/>
  <c r="BY367" i="92"/>
  <c r="BY372" i="92" s="1"/>
  <c r="EC77" i="102" s="1"/>
  <c r="CA367" i="92"/>
  <c r="CA372" i="92" s="1"/>
  <c r="EE77" i="102" s="1"/>
  <c r="CD367" i="92"/>
  <c r="CD372" i="92" s="1"/>
  <c r="EH77" i="102" s="1"/>
  <c r="BN367" i="92"/>
  <c r="BN372" i="92" s="1"/>
  <c r="DR77" i="102" s="1"/>
  <c r="BP368" i="92"/>
  <c r="BP373" i="92" s="1"/>
  <c r="DT78" i="102" s="1"/>
  <c r="BM367" i="92"/>
  <c r="BM372" i="92" s="1"/>
  <c r="DQ77" i="102" s="1"/>
  <c r="BV367" i="92"/>
  <c r="BV372" i="92" s="1"/>
  <c r="DZ77" i="102" s="1"/>
  <c r="CC367" i="92"/>
  <c r="CC372" i="92" s="1"/>
  <c r="EG77" i="102" s="1"/>
  <c r="CP29" i="92"/>
  <c r="P85" i="88" s="1"/>
  <c r="U90" i="88" s="1"/>
  <c r="CP30" i="92"/>
  <c r="P86" i="88" s="1"/>
  <c r="Y90" i="88" s="1"/>
  <c r="CP31" i="92"/>
  <c r="P87" i="88" s="1"/>
  <c r="AC90" i="88" s="1"/>
  <c r="CP32" i="92"/>
  <c r="P88" i="88" s="1"/>
  <c r="AG90" i="88" s="1"/>
  <c r="CP36" i="92"/>
  <c r="P123" i="88" s="1"/>
  <c r="BZ21" i="92"/>
  <c r="Q103" i="88"/>
  <c r="CA103" i="88" s="1"/>
  <c r="Q95" i="88"/>
  <c r="Q94" i="88"/>
  <c r="CA94" i="88" s="1"/>
  <c r="Q93" i="88"/>
  <c r="CA93" i="88" s="1"/>
  <c r="AC144" i="88"/>
  <c r="BO360" i="92"/>
  <c r="Y143" i="88" s="1"/>
  <c r="BQ359" i="92"/>
  <c r="AC104" i="88" s="1"/>
  <c r="BP360" i="92"/>
  <c r="AA143" i="88" s="1"/>
  <c r="BR360" i="92"/>
  <c r="AE143" i="88" s="1"/>
  <c r="BY359" i="92"/>
  <c r="AS104" i="88" s="1"/>
  <c r="BX359" i="92"/>
  <c r="AQ104" i="88" s="1"/>
  <c r="BV359" i="92"/>
  <c r="AM104" i="88" s="1"/>
  <c r="BW360" i="92"/>
  <c r="AO143" i="88" s="1"/>
  <c r="BW359" i="92"/>
  <c r="AO104" i="88" s="1"/>
  <c r="BZ190" i="92"/>
  <c r="U550" i="89" s="1"/>
  <c r="BO190" i="92"/>
  <c r="U204" i="89" s="1"/>
  <c r="BZ78" i="92"/>
  <c r="U431" i="89" s="1"/>
  <c r="Q92" i="88"/>
  <c r="BC96" i="88"/>
  <c r="CO176" i="88"/>
  <c r="AO96" i="88"/>
  <c r="CY96" i="88" s="1"/>
  <c r="DA176" i="88"/>
  <c r="BA96" i="88"/>
  <c r="AA103" i="88"/>
  <c r="BZ14" i="92"/>
  <c r="BZ15" i="92"/>
  <c r="BO69" i="92"/>
  <c r="U75" i="89" s="1"/>
  <c r="BO37" i="92"/>
  <c r="U41" i="89" s="1"/>
  <c r="BO85" i="92"/>
  <c r="U92" i="89" s="1"/>
  <c r="BO53" i="92"/>
  <c r="U58" i="89" s="1"/>
  <c r="BZ12" i="92"/>
  <c r="BZ11" i="92"/>
  <c r="BZ13" i="92"/>
  <c r="BV360" i="92"/>
  <c r="AM143" i="88" s="1"/>
  <c r="BO416" i="92"/>
  <c r="BQ416" i="92" s="1"/>
  <c r="BJ470" i="92" s="1"/>
  <c r="L59" i="88" s="1"/>
  <c r="BN418" i="92"/>
  <c r="BP418" i="92" s="1"/>
  <c r="BI472" i="92" s="1"/>
  <c r="J61" i="88" s="1"/>
  <c r="BT359" i="92"/>
  <c r="AI104" i="88" s="1"/>
  <c r="BN430" i="92"/>
  <c r="BP430" i="92" s="1"/>
  <c r="DO85" i="102" s="1"/>
  <c r="DO90" i="102" s="1"/>
  <c r="DQ43" i="102" s="1"/>
  <c r="BT360" i="92"/>
  <c r="AI143" i="88" s="1"/>
  <c r="BO415" i="92"/>
  <c r="BQ415" i="92" s="1"/>
  <c r="BJ469" i="92" s="1"/>
  <c r="L58" i="88" s="1"/>
  <c r="BO414" i="92"/>
  <c r="BN416" i="92"/>
  <c r="CD359" i="92"/>
  <c r="BC104" i="88" s="1"/>
  <c r="BN415" i="92"/>
  <c r="BP415" i="92" s="1"/>
  <c r="BI469" i="92" s="1"/>
  <c r="J58" i="88" s="1"/>
  <c r="CA359" i="92"/>
  <c r="AW104" i="88" s="1"/>
  <c r="BU360" i="92"/>
  <c r="AK143" i="88" s="1"/>
  <c r="BO418" i="92"/>
  <c r="BQ418" i="92" s="1"/>
  <c r="BJ472" i="92" s="1"/>
  <c r="L61" i="88" s="1"/>
  <c r="BU359" i="92"/>
  <c r="AK104" i="88" s="1"/>
  <c r="BZ359" i="92"/>
  <c r="AU104" i="88" s="1"/>
  <c r="BO417" i="92"/>
  <c r="BQ417" i="92" s="1"/>
  <c r="BJ471" i="92" s="1"/>
  <c r="L60" i="88" s="1"/>
  <c r="BN417" i="92"/>
  <c r="CC359" i="92"/>
  <c r="BA104" i="88" s="1"/>
  <c r="BZ94" i="92"/>
  <c r="P126" i="88"/>
  <c r="AC129" i="88" s="1"/>
  <c r="BZ174" i="92"/>
  <c r="BO90" i="92"/>
  <c r="U98" i="89" s="1"/>
  <c r="BO138" i="92"/>
  <c r="U149" i="89" s="1"/>
  <c r="BZ10" i="92"/>
  <c r="BO254" i="92"/>
  <c r="U272" i="89" s="1"/>
  <c r="BZ46" i="92"/>
  <c r="BZ126" i="92"/>
  <c r="BZ142" i="92"/>
  <c r="BP414" i="92"/>
  <c r="BO58" i="92"/>
  <c r="U64" i="89" s="1"/>
  <c r="BO26" i="92"/>
  <c r="U30" i="89" s="1"/>
  <c r="BO74" i="92"/>
  <c r="U81" i="89" s="1"/>
  <c r="BO286" i="92"/>
  <c r="U306" i="89" s="1"/>
  <c r="BO42" i="92"/>
  <c r="U47" i="89" s="1"/>
  <c r="BO238" i="92"/>
  <c r="U255" i="89" s="1"/>
  <c r="BZ158" i="92"/>
  <c r="BO154" i="92"/>
  <c r="U166" i="89" s="1"/>
  <c r="BO222" i="92"/>
  <c r="U238" i="89" s="1"/>
  <c r="BZ62" i="92"/>
  <c r="BO122" i="92"/>
  <c r="U132" i="89" s="1"/>
  <c r="BO106" i="92"/>
  <c r="U115" i="89" s="1"/>
  <c r="BO270" i="92"/>
  <c r="U289" i="89" s="1"/>
  <c r="P232" i="64"/>
  <c r="P234" i="64"/>
  <c r="FE7" i="72"/>
  <c r="CI180" i="88"/>
  <c r="CE132" i="88"/>
  <c r="CC98" i="88"/>
  <c r="CI181" i="88"/>
  <c r="CG142" i="88"/>
  <c r="CA96" i="88"/>
  <c r="CU180" i="88"/>
  <c r="CU138" i="88"/>
  <c r="CA102" i="88"/>
  <c r="CC101" i="88"/>
  <c r="CS141" i="88"/>
  <c r="DA135" i="88"/>
  <c r="CW179" i="88"/>
  <c r="CI170" i="88"/>
  <c r="CQ101" i="88"/>
  <c r="CQ94" i="88"/>
  <c r="DA133" i="88"/>
  <c r="DA172" i="88"/>
  <c r="CI176" i="88"/>
  <c r="CA170" i="88"/>
  <c r="CW138" i="88"/>
  <c r="CI141" i="88"/>
  <c r="DA137" i="88"/>
  <c r="CS137" i="88"/>
  <c r="CS174" i="88"/>
  <c r="CK96" i="88"/>
  <c r="CW136" i="88"/>
  <c r="CU132" i="88"/>
  <c r="CE102" i="88"/>
  <c r="CG134" i="88"/>
  <c r="CW134" i="88"/>
  <c r="CY140" i="88"/>
  <c r="CY178" i="88"/>
  <c r="CG93" i="88"/>
  <c r="CS93" i="88"/>
  <c r="CI94" i="88"/>
  <c r="CW133" i="88"/>
  <c r="CA179" i="88"/>
  <c r="CK173" i="88"/>
  <c r="CC96" i="88"/>
  <c r="CY171" i="88"/>
  <c r="CM131" i="88"/>
  <c r="CW140" i="88"/>
  <c r="CQ134" i="88"/>
  <c r="CW92" i="88"/>
  <c r="CO134" i="88"/>
  <c r="CQ171" i="88"/>
  <c r="CO93" i="88"/>
  <c r="CC99" i="88"/>
  <c r="CU177" i="88"/>
  <c r="CW137" i="88"/>
  <c r="CS103" i="88"/>
  <c r="CE174" i="88"/>
  <c r="DA138" i="88"/>
  <c r="CQ138" i="88"/>
  <c r="CY98" i="88"/>
  <c r="CG170" i="88"/>
  <c r="CU178" i="88"/>
  <c r="CE97" i="88"/>
  <c r="CQ136" i="88"/>
  <c r="CK172" i="88"/>
  <c r="CY100" i="88"/>
  <c r="CO102" i="88"/>
  <c r="CS133" i="88"/>
  <c r="CE95" i="88"/>
  <c r="DA139" i="88"/>
  <c r="CU174" i="88"/>
  <c r="CY170" i="88"/>
  <c r="CI132" i="88"/>
  <c r="DA175" i="88"/>
  <c r="CO101" i="88"/>
  <c r="CS142" i="88"/>
  <c r="CW171" i="88"/>
  <c r="CC93" i="88"/>
  <c r="CG141" i="88"/>
  <c r="CK177" i="88"/>
  <c r="CE98" i="88"/>
  <c r="CW132" i="88"/>
  <c r="CG178" i="88"/>
  <c r="CK100" i="88"/>
  <c r="CU175" i="88"/>
  <c r="CY93" i="88"/>
  <c r="DA136" i="88"/>
  <c r="CK178" i="88"/>
  <c r="CY133" i="88"/>
  <c r="CG95" i="88"/>
  <c r="CO95" i="88"/>
  <c r="CQ96" i="88"/>
  <c r="CQ100" i="88"/>
  <c r="CS178" i="88"/>
  <c r="CW93" i="88"/>
  <c r="CO99" i="88"/>
  <c r="CG99" i="88"/>
  <c r="CG139" i="88"/>
  <c r="CU173" i="88"/>
  <c r="CE138" i="88"/>
  <c r="CG173" i="88"/>
  <c r="CW181" i="88"/>
  <c r="CA178" i="88"/>
  <c r="CY138" i="88"/>
  <c r="CW131" i="88"/>
  <c r="CK179" i="88"/>
  <c r="CO103" i="88"/>
  <c r="CG180" i="88"/>
  <c r="CI98" i="88"/>
  <c r="DA93" i="88"/>
  <c r="CW101" i="88"/>
  <c r="DA132" i="88"/>
  <c r="CG138" i="88"/>
  <c r="CC97" i="88"/>
  <c r="CO173" i="88"/>
  <c r="CO94" i="88"/>
  <c r="CM172" i="88"/>
  <c r="CK95" i="88"/>
  <c r="DA131" i="88"/>
  <c r="CA99" i="88"/>
  <c r="CG137" i="88"/>
  <c r="DA100" i="88"/>
  <c r="CS95" i="88"/>
  <c r="CU181" i="88"/>
  <c r="CE175" i="88"/>
  <c r="CI136" i="88"/>
  <c r="CW175" i="88"/>
  <c r="CC102" i="88"/>
  <c r="CG174" i="88"/>
  <c r="CE139" i="88"/>
  <c r="CW142" i="88"/>
  <c r="CE141" i="88"/>
  <c r="CE136" i="88"/>
  <c r="CS96" i="88"/>
  <c r="CO133" i="88"/>
  <c r="CG102" i="88"/>
  <c r="CY134" i="88"/>
  <c r="CO96" i="88"/>
  <c r="CO181" i="88"/>
  <c r="CK138" i="88"/>
  <c r="CM174" i="88"/>
  <c r="DA171" i="88"/>
  <c r="CY177" i="88"/>
  <c r="CA100" i="88"/>
  <c r="CU131" i="88"/>
  <c r="CM171" i="88"/>
  <c r="CU92" i="88"/>
  <c r="CM134" i="88"/>
  <c r="CQ103" i="88"/>
  <c r="CI177" i="88"/>
  <c r="CA177" i="88"/>
  <c r="CE99" i="88"/>
  <c r="CA174" i="88"/>
  <c r="CC171" i="88"/>
  <c r="CI97" i="88"/>
  <c r="CI95" i="88"/>
  <c r="CA97" i="88"/>
  <c r="CU96" i="88"/>
  <c r="CM142" i="88"/>
  <c r="CS102" i="88"/>
  <c r="CU100" i="88"/>
  <c r="CO142" i="88"/>
  <c r="CE100" i="88"/>
  <c r="CG100" i="88"/>
  <c r="CO178" i="88"/>
  <c r="CS175" i="88"/>
  <c r="CQ181" i="88"/>
  <c r="CK98" i="88"/>
  <c r="CQ93" i="88"/>
  <c r="DA178" i="88"/>
  <c r="DA92" i="88"/>
  <c r="CU171" i="88"/>
  <c r="CK93" i="88"/>
  <c r="CG97" i="88"/>
  <c r="CU139" i="88"/>
  <c r="CU179" i="88"/>
  <c r="CG132" i="88"/>
  <c r="CO98" i="88"/>
  <c r="CQ172" i="88"/>
  <c r="CU133" i="88"/>
  <c r="CI173" i="88"/>
  <c r="CC174" i="88"/>
  <c r="CY135" i="88"/>
  <c r="CW139" i="88"/>
  <c r="CS94" i="88"/>
  <c r="CI171" i="88"/>
  <c r="CU101" i="88"/>
  <c r="CE179" i="88"/>
  <c r="CI137" i="88"/>
  <c r="DA101" i="88"/>
  <c r="BM359" i="92"/>
  <c r="BM360" i="92"/>
  <c r="BP359" i="92"/>
  <c r="BN359" i="92"/>
  <c r="BO359" i="92"/>
  <c r="BN360" i="92"/>
  <c r="BN368" i="92"/>
  <c r="BL359" i="92"/>
  <c r="BO523" i="92"/>
  <c r="BP510" i="92"/>
  <c r="BO519" i="92"/>
  <c r="BS346" i="92"/>
  <c r="BP517" i="92"/>
  <c r="BP512" i="92"/>
  <c r="BP508" i="92"/>
  <c r="BO522" i="92"/>
  <c r="BP519" i="92"/>
  <c r="BP513" i="92"/>
  <c r="BP511" i="92"/>
  <c r="BP516" i="92"/>
  <c r="BP518" i="92"/>
  <c r="BO524" i="92"/>
  <c r="BO525" i="92"/>
  <c r="CB345" i="92"/>
  <c r="BO521" i="92"/>
  <c r="BP515" i="92"/>
  <c r="BN373" i="92" l="1"/>
  <c r="DR78" i="102" s="1"/>
  <c r="BS368" i="92"/>
  <c r="BS373" i="92" s="1"/>
  <c r="DW78" i="102" s="1"/>
  <c r="BS360" i="92"/>
  <c r="AG143" i="88" s="1"/>
  <c r="CB359" i="92"/>
  <c r="AY104" i="88" s="1"/>
  <c r="CB367" i="92"/>
  <c r="CB372" i="92" s="1"/>
  <c r="EF77" i="102" s="1"/>
  <c r="W135" i="88"/>
  <c r="CG135" i="88" s="1"/>
  <c r="U414" i="89"/>
  <c r="AG135" i="88"/>
  <c r="CQ135" i="88" s="1"/>
  <c r="U499" i="89"/>
  <c r="AE135" i="88"/>
  <c r="CO135" i="88" s="1"/>
  <c r="U482" i="89"/>
  <c r="U135" i="88"/>
  <c r="CE135" i="88" s="1"/>
  <c r="U397" i="89"/>
  <c r="Q142" i="88"/>
  <c r="U370" i="89"/>
  <c r="AI135" i="88"/>
  <c r="CS135" i="88" s="1"/>
  <c r="U516" i="89"/>
  <c r="Q136" i="88"/>
  <c r="U364" i="89"/>
  <c r="Q131" i="88"/>
  <c r="U359" i="89"/>
  <c r="Q135" i="88"/>
  <c r="U363" i="89"/>
  <c r="AK135" i="88"/>
  <c r="CU135" i="88" s="1"/>
  <c r="U533" i="89"/>
  <c r="Q134" i="88"/>
  <c r="U362" i="89"/>
  <c r="Q132" i="88"/>
  <c r="U360" i="89"/>
  <c r="AA135" i="88"/>
  <c r="CK135" i="88" s="1"/>
  <c r="U448" i="89"/>
  <c r="Q133" i="88"/>
  <c r="U361" i="89"/>
  <c r="S103" i="88"/>
  <c r="CC103" i="88" s="1"/>
  <c r="AO144" i="88"/>
  <c r="AK144" i="88"/>
  <c r="U144" i="88"/>
  <c r="BI468" i="92"/>
  <c r="J57" i="88" s="1"/>
  <c r="AM144" i="88"/>
  <c r="AA144" i="88"/>
  <c r="AI144" i="88"/>
  <c r="BK468" i="92"/>
  <c r="R57" i="88" s="1"/>
  <c r="Y144" i="88"/>
  <c r="FX6" i="92"/>
  <c r="FF68" i="92" s="1"/>
  <c r="EY83" i="92" s="1"/>
  <c r="AE144" i="88"/>
  <c r="AS105" i="88"/>
  <c r="BC105" i="88"/>
  <c r="AC105" i="88"/>
  <c r="AU105" i="88"/>
  <c r="AO105" i="88"/>
  <c r="BA105" i="88"/>
  <c r="AW105" i="88"/>
  <c r="AA105" i="88"/>
  <c r="AK105" i="88"/>
  <c r="AM105" i="88"/>
  <c r="U105" i="88"/>
  <c r="AQ105" i="88"/>
  <c r="AI105" i="88"/>
  <c r="W105" i="88"/>
  <c r="Y135" i="88"/>
  <c r="CI135" i="88" s="1"/>
  <c r="AM135" i="88"/>
  <c r="CW135" i="88" s="1"/>
  <c r="AM96" i="88"/>
  <c r="CW96" i="88" s="1"/>
  <c r="U92" i="88"/>
  <c r="CE92" i="88" s="1"/>
  <c r="S92" i="88"/>
  <c r="CC92" i="88" s="1"/>
  <c r="W104" i="88"/>
  <c r="Y104" i="88"/>
  <c r="S104" i="88"/>
  <c r="W143" i="88"/>
  <c r="AA104" i="88"/>
  <c r="U104" i="88"/>
  <c r="U143" i="88"/>
  <c r="CW176" i="88"/>
  <c r="AW96" i="88"/>
  <c r="AS96" i="88"/>
  <c r="CS176" i="88"/>
  <c r="CK140" i="88"/>
  <c r="CG172" i="88"/>
  <c r="AG92" i="88"/>
  <c r="CQ92" i="88" s="1"/>
  <c r="Y103" i="88"/>
  <c r="CI103" i="88" s="1"/>
  <c r="AA92" i="88"/>
  <c r="CK92" i="88" s="1"/>
  <c r="CE140" i="88"/>
  <c r="CA172" i="88"/>
  <c r="AC92" i="88"/>
  <c r="CM92" i="88" s="1"/>
  <c r="CG140" i="88"/>
  <c r="CC172" i="88"/>
  <c r="W103" i="88"/>
  <c r="CG103" i="88" s="1"/>
  <c r="AE92" i="88"/>
  <c r="CO92" i="88" s="1"/>
  <c r="CI140" i="88"/>
  <c r="CY176" i="88"/>
  <c r="AY96" i="88"/>
  <c r="Y92" i="88"/>
  <c r="CI92" i="88" s="1"/>
  <c r="AU96" i="88"/>
  <c r="CU176" i="88"/>
  <c r="AQ96" i="88"/>
  <c r="DA96" i="88" s="1"/>
  <c r="CQ176" i="88"/>
  <c r="CM140" i="88"/>
  <c r="CI172" i="88"/>
  <c r="AI92" i="88"/>
  <c r="CS92" i="88" s="1"/>
  <c r="W92" i="88"/>
  <c r="CG92" i="88" s="1"/>
  <c r="U103" i="88"/>
  <c r="CE103" i="88" s="1"/>
  <c r="BL494" i="92"/>
  <c r="BP416" i="92"/>
  <c r="BI470" i="92" s="1"/>
  <c r="J59" i="88" s="1"/>
  <c r="BP417" i="92"/>
  <c r="BI471" i="92" s="1"/>
  <c r="J60" i="88" s="1"/>
  <c r="BQ414" i="92"/>
  <c r="DP84" i="102" s="1"/>
  <c r="DP89" i="102" s="1"/>
  <c r="DP44" i="102" s="1"/>
  <c r="P233" i="64"/>
  <c r="R186" i="64"/>
  <c r="CU103" i="88"/>
  <c r="CM180" i="88"/>
  <c r="CW97" i="88"/>
  <c r="CM176" i="88"/>
  <c r="CE171" i="88"/>
  <c r="CS134" i="88"/>
  <c r="CM137" i="88"/>
  <c r="CY95" i="88"/>
  <c r="CO136" i="88"/>
  <c r="CK175" i="88"/>
  <c r="CS131" i="88"/>
  <c r="CA175" i="88"/>
  <c r="CY172" i="88"/>
  <c r="CK137" i="88"/>
  <c r="CM173" i="88"/>
  <c r="CM102" i="88"/>
  <c r="CW172" i="88"/>
  <c r="CG101" i="88"/>
  <c r="CA92" i="88"/>
  <c r="DA94" i="88"/>
  <c r="CM179" i="88"/>
  <c r="CS99" i="88"/>
  <c r="CM93" i="88"/>
  <c r="CC173" i="88"/>
  <c r="CQ95" i="88"/>
  <c r="CM100" i="88"/>
  <c r="CQ140" i="88"/>
  <c r="CE178" i="88"/>
  <c r="CM99" i="88"/>
  <c r="CW178" i="88"/>
  <c r="CW98" i="88"/>
  <c r="CK136" i="88"/>
  <c r="CU102" i="88"/>
  <c r="CY92" i="88"/>
  <c r="CY99" i="88"/>
  <c r="CI139" i="88"/>
  <c r="CS136" i="88"/>
  <c r="CS100" i="88"/>
  <c r="CI96" i="88"/>
  <c r="CM178" i="88"/>
  <c r="CA181" i="88"/>
  <c r="CS140" i="88"/>
  <c r="CC170" i="88"/>
  <c r="CO179" i="88"/>
  <c r="CA98" i="88"/>
  <c r="CC176" i="88"/>
  <c r="CM170" i="88"/>
  <c r="CE133" i="88"/>
  <c r="CY175" i="88"/>
  <c r="CQ97" i="88"/>
  <c r="DA97" i="88"/>
  <c r="CC94" i="88"/>
  <c r="CE170" i="88"/>
  <c r="DA177" i="88"/>
  <c r="CS170" i="88"/>
  <c r="CM97" i="88"/>
  <c r="CM133" i="88"/>
  <c r="CQ132" i="88"/>
  <c r="CM98" i="88"/>
  <c r="CS97" i="88"/>
  <c r="CU94" i="88"/>
  <c r="CO137" i="88"/>
  <c r="CC179" i="88"/>
  <c r="CE93" i="88"/>
  <c r="CW180" i="88"/>
  <c r="CY139" i="88"/>
  <c r="DA140" i="88"/>
  <c r="CO141" i="88"/>
  <c r="CK181" i="88"/>
  <c r="CG133" i="88"/>
  <c r="CO172" i="88"/>
  <c r="DA174" i="88"/>
  <c r="CQ137" i="88"/>
  <c r="CQ98" i="88"/>
  <c r="CK103" i="88"/>
  <c r="CQ99" i="88"/>
  <c r="CU170" i="88"/>
  <c r="CO140" i="88"/>
  <c r="CC181" i="88"/>
  <c r="CA101" i="88"/>
  <c r="CK102" i="88"/>
  <c r="CU134" i="88"/>
  <c r="CA176" i="88"/>
  <c r="CC180" i="88"/>
  <c r="CW177" i="88"/>
  <c r="CM136" i="88"/>
  <c r="DA98" i="88"/>
  <c r="CM101" i="88"/>
  <c r="CU93" i="88"/>
  <c r="CM95" i="88"/>
  <c r="CS181" i="88"/>
  <c r="CG179" i="88"/>
  <c r="CI178" i="88"/>
  <c r="CG94" i="88"/>
  <c r="CU98" i="88"/>
  <c r="CM177" i="88"/>
  <c r="CI175" i="88"/>
  <c r="CA95" i="88"/>
  <c r="CM103" i="88"/>
  <c r="CG96" i="88"/>
  <c r="CY174" i="88"/>
  <c r="CK97" i="88"/>
  <c r="CK171" i="88"/>
  <c r="CW94" i="88"/>
  <c r="DA173" i="88"/>
  <c r="CK176" i="88"/>
  <c r="CK132" i="88"/>
  <c r="CK101" i="88"/>
  <c r="CI99" i="88"/>
  <c r="CQ179" i="88"/>
  <c r="CG171" i="88"/>
  <c r="CO132" i="88"/>
  <c r="DA99" i="88"/>
  <c r="CK133" i="88"/>
  <c r="CO100" i="88"/>
  <c r="CO170" i="88"/>
  <c r="CO174" i="88"/>
  <c r="CW174" i="88"/>
  <c r="CO175" i="88"/>
  <c r="CC177" i="88"/>
  <c r="CE96" i="88"/>
  <c r="CO97" i="88"/>
  <c r="CE101" i="88"/>
  <c r="CW95" i="88"/>
  <c r="CW170" i="88"/>
  <c r="CI142" i="88"/>
  <c r="CU95" i="88"/>
  <c r="CO131" i="88"/>
  <c r="CI179" i="88"/>
  <c r="CS172" i="88"/>
  <c r="CI131" i="88"/>
  <c r="DA170" i="88"/>
  <c r="CK142" i="88"/>
  <c r="CI93" i="88"/>
  <c r="CK131" i="88"/>
  <c r="CM181" i="88"/>
  <c r="CQ170" i="88"/>
  <c r="CA180" i="88"/>
  <c r="CQ175" i="88"/>
  <c r="CK139" i="88"/>
  <c r="CK94" i="88"/>
  <c r="CS177" i="88"/>
  <c r="CY131" i="88"/>
  <c r="CQ131" i="88"/>
  <c r="CK134" i="88"/>
  <c r="CO177" i="88"/>
  <c r="CO180" i="88"/>
  <c r="CS173" i="88"/>
  <c r="CO138" i="88"/>
  <c r="CS132" i="88"/>
  <c r="CW99" i="88"/>
  <c r="CA171" i="88"/>
  <c r="CU97" i="88"/>
  <c r="CI133" i="88"/>
  <c r="CG181" i="88"/>
  <c r="CM139" i="88"/>
  <c r="CI101" i="88"/>
  <c r="CE176" i="88"/>
  <c r="CY173" i="88"/>
  <c r="CW141" i="88"/>
  <c r="CQ178" i="88"/>
  <c r="CM175" i="88"/>
  <c r="CE137" i="88"/>
  <c r="CY132" i="88"/>
  <c r="CY136" i="88"/>
  <c r="CC175" i="88"/>
  <c r="DA134" i="88"/>
  <c r="CU140" i="88"/>
  <c r="CY137" i="88"/>
  <c r="CQ177" i="88"/>
  <c r="CS98" i="88"/>
  <c r="CU141" i="88"/>
  <c r="CI134" i="88"/>
  <c r="CE172" i="88"/>
  <c r="CU99" i="88"/>
  <c r="CO171" i="88"/>
  <c r="CM141" i="88"/>
  <c r="CG131" i="88"/>
  <c r="CG177" i="88"/>
  <c r="CI102" i="88"/>
  <c r="CI100" i="88"/>
  <c r="CS171" i="88"/>
  <c r="CS179" i="88"/>
  <c r="CG176" i="88"/>
  <c r="CQ173" i="88"/>
  <c r="CS180" i="88"/>
  <c r="CM94" i="88"/>
  <c r="CI174" i="88"/>
  <c r="CM132" i="88"/>
  <c r="CM138" i="88"/>
  <c r="CC178" i="88"/>
  <c r="CI138" i="88"/>
  <c r="CK180" i="88"/>
  <c r="CY97" i="88"/>
  <c r="CK170" i="88"/>
  <c r="CE142" i="88"/>
  <c r="CM96" i="88"/>
  <c r="CG136" i="88"/>
  <c r="CS138" i="88"/>
  <c r="CY94" i="88"/>
  <c r="CW100" i="88"/>
  <c r="CU142" i="88"/>
  <c r="CU136" i="88"/>
  <c r="CE131" i="88"/>
  <c r="CK141" i="88"/>
  <c r="CW173" i="88"/>
  <c r="CO139" i="88"/>
  <c r="CU172" i="88"/>
  <c r="CU137" i="88"/>
  <c r="CE94" i="88"/>
  <c r="CE181" i="88"/>
  <c r="CA173" i="88"/>
  <c r="CE173" i="88"/>
  <c r="CC100" i="88"/>
  <c r="CK99" i="88"/>
  <c r="CE177" i="88"/>
  <c r="CW102" i="88"/>
  <c r="CS139" i="88"/>
  <c r="CG98" i="88"/>
  <c r="CC95" i="88"/>
  <c r="CQ133" i="88"/>
  <c r="CG175" i="88"/>
  <c r="CQ180" i="88"/>
  <c r="CE134" i="88"/>
  <c r="CW103" i="88"/>
  <c r="CS101" i="88"/>
  <c r="DA95" i="88"/>
  <c r="CK174" i="88"/>
  <c r="CE180" i="88"/>
  <c r="CQ139" i="88"/>
  <c r="CQ102" i="88"/>
  <c r="CQ174" i="88"/>
  <c r="CY101" i="88"/>
  <c r="CY179" i="88"/>
  <c r="DA141" i="88"/>
  <c r="CY102" i="88"/>
  <c r="DA179" i="88"/>
  <c r="CY141" i="88"/>
  <c r="CY180" i="88"/>
  <c r="DA142" i="88"/>
  <c r="GU17" i="72" a="1"/>
  <c r="W144" i="88" l="1"/>
  <c r="AG144" i="88"/>
  <c r="AY105" i="88"/>
  <c r="DY93" i="102"/>
  <c r="DX93" i="102"/>
  <c r="DB50" i="102" s="1"/>
  <c r="P483" i="114" s="1"/>
  <c r="DO84" i="102"/>
  <c r="DO89" i="102" s="1"/>
  <c r="DP43" i="102" s="1"/>
  <c r="P486" i="114"/>
  <c r="I486" i="114" s="1"/>
  <c r="Y105" i="88"/>
  <c r="GU17" i="72"/>
  <c r="D126" i="93" s="1"/>
  <c r="E126" i="93" s="1"/>
  <c r="GL23" i="72"/>
  <c r="GR23" i="72" s="1"/>
  <c r="GS23" i="72" s="1"/>
  <c r="C132" i="93" s="1"/>
  <c r="BJ468" i="92"/>
  <c r="L57" i="88" s="1"/>
  <c r="R193" i="64"/>
  <c r="DA102" i="88"/>
  <c r="DA180" i="88"/>
  <c r="CY142" i="88"/>
  <c r="DP42" i="102"/>
  <c r="DQ42" i="102"/>
  <c r="DY92" i="102" l="1"/>
  <c r="DX92" i="102"/>
  <c r="DB49" i="102" s="1"/>
  <c r="P482" i="114" s="1"/>
  <c r="I482" i="114" s="1"/>
  <c r="I483" i="114"/>
  <c r="DY91" i="102"/>
  <c r="DX91" i="102"/>
  <c r="DB48" i="102" s="1"/>
  <c r="P481" i="114" s="1"/>
  <c r="I481" i="114" s="1"/>
  <c r="FE8" i="72"/>
  <c r="DC131" i="88"/>
  <c r="O625" i="114"/>
  <c r="DE132" i="88"/>
  <c r="DE131" i="88"/>
  <c r="DE170" i="88"/>
  <c r="CY181" i="88"/>
  <c r="DA103" i="88"/>
  <c r="DA181" i="88" l="1"/>
  <c r="CY103" i="88"/>
  <c r="DC132" i="88"/>
  <c r="DE133" i="88"/>
  <c r="DE93" i="88"/>
  <c r="DC93" i="88"/>
  <c r="DC92" i="88"/>
  <c r="DC170" i="88"/>
  <c r="DE92" i="88"/>
  <c r="O442" i="114" l="1"/>
  <c r="O437" i="114"/>
  <c r="O450" i="114"/>
  <c r="O449" i="114"/>
  <c r="O446" i="114"/>
  <c r="O438" i="114"/>
  <c r="O441" i="114"/>
  <c r="O445" i="114"/>
  <c r="O447" i="114"/>
  <c r="O448" i="114"/>
  <c r="O444" i="114"/>
  <c r="O443" i="114"/>
  <c r="DC134" i="88"/>
  <c r="DC133" i="88"/>
  <c r="DC171" i="88"/>
  <c r="DE171" i="88"/>
  <c r="H447" i="114" l="1"/>
  <c r="H441" i="114"/>
  <c r="H438" i="114"/>
  <c r="H446" i="114"/>
  <c r="H449" i="114"/>
  <c r="H444" i="114"/>
  <c r="H450" i="114"/>
  <c r="H448" i="114"/>
  <c r="H437" i="114"/>
  <c r="H445" i="114"/>
  <c r="H443" i="114"/>
  <c r="H442" i="114"/>
  <c r="DC135" i="88"/>
  <c r="DC172" i="88"/>
  <c r="DE172" i="88"/>
  <c r="DC94" i="88"/>
  <c r="DE94" i="88"/>
  <c r="DE134" i="88"/>
  <c r="DC173" i="88" l="1"/>
  <c r="DE174" i="88"/>
  <c r="DE136" i="88"/>
  <c r="DE96" i="88"/>
  <c r="DE173" i="88"/>
  <c r="DE135" i="88"/>
  <c r="DE95" i="88"/>
  <c r="DC95" i="88"/>
  <c r="DC175" i="88" l="1"/>
  <c r="DC174" i="88"/>
  <c r="DE175" i="88"/>
  <c r="DC136" i="88"/>
  <c r="DC137" i="88"/>
  <c r="DC96" i="88"/>
  <c r="H567" i="114" l="1"/>
  <c r="DE137" i="88"/>
  <c r="DE98" i="88"/>
  <c r="DE97" i="88"/>
  <c r="DC97" i="88"/>
  <c r="AK168" i="88"/>
  <c r="AK129" i="88"/>
  <c r="DC138" i="88" l="1"/>
  <c r="DC176" i="88"/>
  <c r="DC139" i="88"/>
  <c r="DC99" i="88"/>
  <c r="DE176" i="88"/>
  <c r="DE138" i="88"/>
  <c r="DC98" i="88"/>
  <c r="AK90" i="88"/>
  <c r="R192" i="64" l="1"/>
  <c r="DC177" i="88"/>
  <c r="DC100" i="88"/>
  <c r="DE178" i="88"/>
  <c r="DE177" i="88"/>
  <c r="DE139" i="88"/>
  <c r="DE99" i="88"/>
  <c r="DE140" i="88" l="1"/>
  <c r="DE141" i="88"/>
  <c r="DE101" i="88"/>
  <c r="DC178" i="88"/>
  <c r="DC179" i="88"/>
  <c r="DE100" i="88"/>
  <c r="DC140" i="88"/>
  <c r="DC141" i="88" l="1"/>
  <c r="DE179" i="88"/>
  <c r="DC102" i="88"/>
  <c r="DC101" i="88"/>
  <c r="DE142" i="88"/>
  <c r="DC142" i="88"/>
  <c r="DE102" i="88" l="1"/>
  <c r="DE180" i="88"/>
  <c r="DC180" i="88"/>
  <c r="DC181" i="88"/>
  <c r="DG131" i="88"/>
  <c r="DG132" i="88" l="1"/>
  <c r="DI170" i="88"/>
  <c r="DE181" i="88"/>
  <c r="DI131" i="88"/>
  <c r="DC103" i="88"/>
  <c r="DE103" i="88"/>
  <c r="DI92" i="88"/>
  <c r="DG133" i="88" l="1"/>
  <c r="DI132" i="88"/>
  <c r="DG170" i="88"/>
  <c r="DG92" i="88"/>
  <c r="DG94" i="88" l="1"/>
  <c r="DI133" i="88"/>
  <c r="DI134" i="88"/>
  <c r="DI94" i="88"/>
  <c r="DI93" i="88"/>
  <c r="DI171" i="88"/>
  <c r="DG93" i="88"/>
  <c r="DG171" i="88"/>
  <c r="DG172" i="88"/>
  <c r="DG95" i="88" l="1"/>
  <c r="DG173" i="88"/>
  <c r="DG134" i="88"/>
  <c r="DI172" i="88"/>
  <c r="DI173" i="88"/>
  <c r="DI135" i="88"/>
  <c r="CC94" i="34" l="1"/>
  <c r="CC92" i="34"/>
  <c r="CC102" i="34"/>
  <c r="CC103" i="34"/>
  <c r="DG135" i="88"/>
  <c r="DI174" i="88"/>
  <c r="DI136" i="88"/>
  <c r="DI95" i="88"/>
  <c r="DG174" i="88"/>
  <c r="AP4" i="72" l="1" a="1"/>
  <c r="AP4" i="72" s="1"/>
  <c r="AP5" i="72" s="1" a="1"/>
  <c r="AP5" i="72" s="1"/>
  <c r="AP6" i="72" s="1" a="1"/>
  <c r="AP6" i="72" s="1"/>
  <c r="AP7" i="72" s="1" a="1"/>
  <c r="AP7" i="72" s="1"/>
  <c r="AP8" i="72" s="1" a="1"/>
  <c r="AP8" i="72" s="1"/>
  <c r="AP9" i="72" s="1" a="1"/>
  <c r="AP9" i="72" s="1"/>
  <c r="CC96" i="34"/>
  <c r="CC95" i="34"/>
  <c r="CC98" i="34"/>
  <c r="CC99" i="34"/>
  <c r="CC97" i="34"/>
  <c r="CC100" i="34"/>
  <c r="CC93" i="34"/>
  <c r="CC101" i="34"/>
  <c r="DI175" i="88"/>
  <c r="DI137" i="88"/>
  <c r="DI97" i="88"/>
  <c r="DG96" i="88"/>
  <c r="DI96" i="88"/>
  <c r="DG136" i="88"/>
  <c r="AP10" i="72" l="1" a="1"/>
  <c r="AP10" i="72" s="1"/>
  <c r="AP11" i="72" s="1" a="1"/>
  <c r="AP11" i="72" s="1"/>
  <c r="DG97" i="88"/>
  <c r="DI176" i="88"/>
  <c r="DI138" i="88"/>
  <c r="DI98" i="88"/>
  <c r="DG137" i="88"/>
  <c r="DG175" i="88"/>
  <c r="AO129" i="88"/>
  <c r="AO168" i="88"/>
  <c r="AP12" i="72" l="1" a="1"/>
  <c r="AP12" i="72" s="1"/>
  <c r="AP13" i="72" s="1" a="1"/>
  <c r="AP13" i="72" s="1"/>
  <c r="DG176" i="88"/>
  <c r="DG138" i="88"/>
  <c r="DI177" i="88"/>
  <c r="DI139" i="88"/>
  <c r="DI99" i="88"/>
  <c r="DG98" i="88"/>
  <c r="AO90" i="88"/>
  <c r="AP14" i="72" l="1" a="1"/>
  <c r="AP14" i="72" s="1"/>
  <c r="AP15" i="72" s="1" a="1"/>
  <c r="AP15" i="72" s="1"/>
  <c r="AP16" i="72" s="1" a="1"/>
  <c r="AP16" i="72" s="1"/>
  <c r="AP17" i="72" s="1" a="1"/>
  <c r="AP17" i="72" s="1"/>
  <c r="AP18" i="72" s="1" a="1"/>
  <c r="AP18" i="72" s="1"/>
  <c r="AP19" i="72" s="1" a="1"/>
  <c r="AP19" i="72" s="1"/>
  <c r="AP20" i="72" s="1" a="1"/>
  <c r="AP20" i="72" s="1"/>
  <c r="DI178" i="88"/>
  <c r="DI140" i="88"/>
  <c r="DG99" i="88"/>
  <c r="DG139" i="88"/>
  <c r="DG177" i="88"/>
  <c r="AP21" i="72" l="1" a="1"/>
  <c r="AP21" i="72" s="1"/>
  <c r="AP22" i="72" s="1" a="1"/>
  <c r="AP22" i="72" s="1"/>
  <c r="AP23" i="72" s="1" a="1"/>
  <c r="AP23" i="72" s="1"/>
  <c r="AP24" i="72" s="1" a="1"/>
  <c r="AP24" i="72" s="1"/>
  <c r="AP25" i="72" s="1" a="1"/>
  <c r="AP25" i="72" s="1"/>
  <c r="AP26" i="72" s="1" a="1"/>
  <c r="AP26" i="72" s="1"/>
  <c r="AP27" i="72" s="1" a="1"/>
  <c r="AP27" i="72" s="1"/>
  <c r="AP28" i="72" s="1" a="1"/>
  <c r="AP28" i="72" s="1"/>
  <c r="AP29" i="72" s="1" a="1"/>
  <c r="AP29" i="72" s="1"/>
  <c r="DG141" i="88"/>
  <c r="DI100" i="88"/>
  <c r="DI179" i="88"/>
  <c r="DG178" i="88"/>
  <c r="DG100" i="88"/>
  <c r="DG101" i="88"/>
  <c r="DG140" i="88"/>
  <c r="AP30" i="72" l="1" a="1"/>
  <c r="AP30" i="72" s="1"/>
  <c r="AP31" i="72" s="1" a="1"/>
  <c r="AP31" i="72" s="1"/>
  <c r="AP32" i="72" s="1" a="1"/>
  <c r="AP32" i="72" s="1"/>
  <c r="AP33" i="72" s="1" a="1"/>
  <c r="AP33" i="72" s="1"/>
  <c r="DI101" i="88"/>
  <c r="DI141" i="88"/>
  <c r="DG179" i="88"/>
  <c r="DG180" i="88"/>
  <c r="DI102" i="88" l="1"/>
  <c r="DG102" i="88"/>
  <c r="DI180" i="88"/>
  <c r="DI142" i="88"/>
  <c r="DI103" i="88"/>
  <c r="DG142" i="88"/>
  <c r="DK131" i="88"/>
  <c r="DG103" i="88"/>
  <c r="DK132" i="88" l="1"/>
  <c r="DM132" i="88"/>
  <c r="DK170" i="88"/>
  <c r="DG181" i="88"/>
  <c r="DM131" i="88"/>
  <c r="DI181" i="88"/>
  <c r="DK92" i="88"/>
  <c r="I7" i="72" l="1"/>
  <c r="V7" i="72" s="1"/>
  <c r="I19" i="72"/>
  <c r="I29" i="72"/>
  <c r="I33" i="72"/>
  <c r="I26" i="72"/>
  <c r="I42" i="72"/>
  <c r="I24" i="72"/>
  <c r="I16" i="72"/>
  <c r="I35" i="72"/>
  <c r="I6" i="72"/>
  <c r="V6" i="72" s="1"/>
  <c r="I8" i="72"/>
  <c r="V8" i="72" s="1"/>
  <c r="I36" i="10" s="1"/>
  <c r="I21" i="72"/>
  <c r="I25" i="72"/>
  <c r="I23" i="72"/>
  <c r="I34" i="72"/>
  <c r="I14" i="72"/>
  <c r="I18" i="72"/>
  <c r="I39" i="72"/>
  <c r="I5" i="72"/>
  <c r="V5" i="72" s="1"/>
  <c r="I17" i="72"/>
  <c r="I9" i="72"/>
  <c r="I32" i="72"/>
  <c r="I43" i="72"/>
  <c r="I4" i="72"/>
  <c r="V4" i="72" s="1"/>
  <c r="I31" i="72"/>
  <c r="I27" i="72"/>
  <c r="I10" i="72"/>
  <c r="I28" i="72"/>
  <c r="I15" i="72"/>
  <c r="I22" i="72"/>
  <c r="I30" i="72"/>
  <c r="I37" i="72"/>
  <c r="I20" i="72"/>
  <c r="I36" i="72"/>
  <c r="I41" i="72"/>
  <c r="I11" i="72"/>
  <c r="I13" i="72"/>
  <c r="I12" i="72"/>
  <c r="I38" i="72"/>
  <c r="I40" i="72"/>
  <c r="DM92" i="88"/>
  <c r="DM170" i="88"/>
  <c r="EY35" i="72" a="1"/>
  <c r="EY35" i="72" l="1"/>
  <c r="K73" i="64" s="1"/>
  <c r="I17" i="15"/>
  <c r="N4" i="72"/>
  <c r="I32" i="10"/>
  <c r="N43" i="72"/>
  <c r="I71" i="10"/>
  <c r="N38" i="72"/>
  <c r="I66" i="10"/>
  <c r="N21" i="72"/>
  <c r="I49" i="10"/>
  <c r="N19" i="72"/>
  <c r="I47" i="10"/>
  <c r="N36" i="72"/>
  <c r="I64" i="10"/>
  <c r="N12" i="72"/>
  <c r="I40" i="10"/>
  <c r="N32" i="72"/>
  <c r="I60" i="10"/>
  <c r="N39" i="72"/>
  <c r="I67" i="10"/>
  <c r="N27" i="72"/>
  <c r="I55" i="10"/>
  <c r="N40" i="72"/>
  <c r="I68" i="10"/>
  <c r="N28" i="72"/>
  <c r="I56" i="10"/>
  <c r="N5" i="72"/>
  <c r="I33" i="10"/>
  <c r="N26" i="72"/>
  <c r="I54" i="10"/>
  <c r="N18" i="72"/>
  <c r="I46" i="10"/>
  <c r="N35" i="72"/>
  <c r="I63" i="10"/>
  <c r="N42" i="72"/>
  <c r="I70" i="10"/>
  <c r="N7" i="72"/>
  <c r="I35" i="10"/>
  <c r="N31" i="72"/>
  <c r="I59" i="10"/>
  <c r="N20" i="72"/>
  <c r="I48" i="10"/>
  <c r="N37" i="72"/>
  <c r="I65" i="10"/>
  <c r="N16" i="72"/>
  <c r="I44" i="10"/>
  <c r="N15" i="72"/>
  <c r="I43" i="10"/>
  <c r="N10" i="72"/>
  <c r="I38" i="10"/>
  <c r="N34" i="72"/>
  <c r="I62" i="10"/>
  <c r="N25" i="72"/>
  <c r="I53" i="10"/>
  <c r="N41" i="72"/>
  <c r="I69" i="10"/>
  <c r="N30" i="72"/>
  <c r="I58" i="10"/>
  <c r="N13" i="72"/>
  <c r="I41" i="10"/>
  <c r="N23" i="72"/>
  <c r="I51" i="10"/>
  <c r="N29" i="72"/>
  <c r="I57" i="10"/>
  <c r="N22" i="72"/>
  <c r="I50" i="10"/>
  <c r="N9" i="72"/>
  <c r="I37" i="10"/>
  <c r="N14" i="72"/>
  <c r="I42" i="10"/>
  <c r="N6" i="72"/>
  <c r="I34" i="10"/>
  <c r="N33" i="72"/>
  <c r="I61" i="10"/>
  <c r="N11" i="72"/>
  <c r="I39" i="10"/>
  <c r="N17" i="72"/>
  <c r="I45" i="10"/>
  <c r="N8" i="72"/>
  <c r="N24" i="72"/>
  <c r="I52" i="10"/>
  <c r="L17" i="13"/>
  <c r="F41" i="30"/>
  <c r="FB15" i="72"/>
  <c r="J15" i="10" s="1"/>
  <c r="DK133" i="88"/>
  <c r="DK172" i="88"/>
  <c r="DM171" i="88"/>
  <c r="DK93" i="88"/>
  <c r="DM133" i="88"/>
  <c r="DK171" i="88"/>
  <c r="DM93" i="88"/>
  <c r="EY46" i="72" a="1"/>
  <c r="EY38" i="72" a="1"/>
  <c r="EY70" i="72" a="1"/>
  <c r="EY40" i="72" a="1"/>
  <c r="EY60" i="72" a="1"/>
  <c r="I43" i="93"/>
  <c r="EY36" i="72" a="1"/>
  <c r="EY31" i="72" a="1"/>
  <c r="EY41" i="72" a="1"/>
  <c r="EY67" i="72" a="1"/>
  <c r="EY55" i="72" a="1"/>
  <c r="EY58" i="72" a="1"/>
  <c r="EY56" i="72" a="1"/>
  <c r="EY49" i="72" a="1"/>
  <c r="EY69" i="72" a="1"/>
  <c r="EY66" i="72" a="1"/>
  <c r="EY54" i="72" a="1"/>
  <c r="EY34" i="72" a="1"/>
  <c r="EY52" i="72" a="1"/>
  <c r="EY53" i="72" a="1"/>
  <c r="EY63" i="72" a="1"/>
  <c r="EY33" i="72" a="1"/>
  <c r="EY50" i="72" a="1"/>
  <c r="EY61" i="72" a="1"/>
  <c r="EY62" i="72" a="1"/>
  <c r="EY64" i="72" a="1"/>
  <c r="EY42" i="72" a="1"/>
  <c r="EY45" i="72" a="1"/>
  <c r="EY51" i="72" a="1"/>
  <c r="EY65" i="72" a="1"/>
  <c r="EY48" i="72" a="1"/>
  <c r="EY44" i="72" a="1"/>
  <c r="EY47" i="72" a="1"/>
  <c r="EY37" i="72" a="1"/>
  <c r="EY43" i="72" a="1"/>
  <c r="EY39" i="72" a="1"/>
  <c r="EY59" i="72" a="1"/>
  <c r="EY57" i="72" a="1"/>
  <c r="EW111" i="72" a="1"/>
  <c r="EY68" i="72" a="1"/>
  <c r="EY32" i="72" a="1"/>
  <c r="B36" i="93" l="1"/>
  <c r="O42" i="114" s="1"/>
  <c r="B35" i="93"/>
  <c r="O41" i="114" s="1"/>
  <c r="B41" i="93"/>
  <c r="O47" i="114" s="1"/>
  <c r="B40" i="93"/>
  <c r="O46" i="114" s="1"/>
  <c r="B39" i="93"/>
  <c r="O45" i="114" s="1"/>
  <c r="EY33" i="72"/>
  <c r="K71" i="64" s="1"/>
  <c r="EY56" i="72"/>
  <c r="K94" i="64" s="1"/>
  <c r="EY68" i="72"/>
  <c r="K106" i="64" s="1"/>
  <c r="EY42" i="72"/>
  <c r="K80" i="64" s="1"/>
  <c r="EY58" i="72"/>
  <c r="K96" i="64" s="1"/>
  <c r="EY45" i="72"/>
  <c r="K83" i="64" s="1"/>
  <c r="EY67" i="72"/>
  <c r="K105" i="64" s="1"/>
  <c r="EY39" i="72"/>
  <c r="K77" i="64" s="1"/>
  <c r="EY65" i="72"/>
  <c r="K103" i="64" s="1"/>
  <c r="EY44" i="72"/>
  <c r="K82" i="64" s="1"/>
  <c r="EY41" i="72"/>
  <c r="K79" i="64" s="1"/>
  <c r="EY50" i="72"/>
  <c r="K88" i="64" s="1"/>
  <c r="EY52" i="72"/>
  <c r="K90" i="64" s="1"/>
  <c r="EY43" i="72"/>
  <c r="K81" i="64" s="1"/>
  <c r="EY34" i="72"/>
  <c r="K72" i="64" s="1"/>
  <c r="EY53" i="72"/>
  <c r="K91" i="64" s="1"/>
  <c r="EY54" i="72"/>
  <c r="K92" i="64" s="1"/>
  <c r="EY63" i="72"/>
  <c r="K101" i="64" s="1"/>
  <c r="EY70" i="72"/>
  <c r="K108" i="64" s="1"/>
  <c r="EY38" i="72"/>
  <c r="K76" i="64" s="1"/>
  <c r="EY36" i="72"/>
  <c r="K74" i="64" s="1"/>
  <c r="EY40" i="72"/>
  <c r="K78" i="64" s="1"/>
  <c r="EY61" i="72"/>
  <c r="K99" i="64" s="1"/>
  <c r="EY64" i="72"/>
  <c r="K102" i="64" s="1"/>
  <c r="EY69" i="72"/>
  <c r="K107" i="64" s="1"/>
  <c r="EY32" i="72"/>
  <c r="K70" i="64" s="1"/>
  <c r="EY66" i="72"/>
  <c r="K104" i="64" s="1"/>
  <c r="EY46" i="72"/>
  <c r="K84" i="64" s="1"/>
  <c r="EY60" i="72"/>
  <c r="K98" i="64" s="1"/>
  <c r="EY49" i="72"/>
  <c r="K87" i="64" s="1"/>
  <c r="EY57" i="72"/>
  <c r="K95" i="64" s="1"/>
  <c r="EY37" i="72"/>
  <c r="K75" i="64" s="1"/>
  <c r="EY47" i="72"/>
  <c r="K85" i="64" s="1"/>
  <c r="EY62" i="72"/>
  <c r="K100" i="64" s="1"/>
  <c r="EY55" i="72"/>
  <c r="K93" i="64" s="1"/>
  <c r="EY59" i="72"/>
  <c r="K97" i="64" s="1"/>
  <c r="EY48" i="72"/>
  <c r="K86" i="64" s="1"/>
  <c r="EY51" i="72"/>
  <c r="K89" i="64" s="1"/>
  <c r="EY31" i="72"/>
  <c r="K69" i="64" s="1"/>
  <c r="EW111" i="72"/>
  <c r="O4" i="72" a="1"/>
  <c r="O4" i="72" s="1"/>
  <c r="O5" i="72" s="1" a="1"/>
  <c r="O5" i="72" s="1"/>
  <c r="O6" i="72" s="1" a="1"/>
  <c r="O6" i="72" s="1"/>
  <c r="F44" i="85"/>
  <c r="F44" i="26"/>
  <c r="DM173" i="88"/>
  <c r="DK95" i="88"/>
  <c r="DM172" i="88"/>
  <c r="DM134" i="88"/>
  <c r="DK134" i="88"/>
  <c r="DM94" i="88"/>
  <c r="DK94" i="88"/>
  <c r="D207" i="72" a="1"/>
  <c r="I161" i="72" a="1"/>
  <c r="A126" i="64" a="1"/>
  <c r="P164" i="72" a="1"/>
  <c r="D210" i="72" a="1"/>
  <c r="BD8" i="72" a="1"/>
  <c r="M164" i="72" a="1"/>
  <c r="N161" i="72" a="1"/>
  <c r="F161" i="72" a="1"/>
  <c r="AW45" i="72" a="1"/>
  <c r="K163" i="72" a="1"/>
  <c r="K162" i="72" a="1"/>
  <c r="G164" i="72" a="1"/>
  <c r="M162" i="72" a="1"/>
  <c r="G162" i="72" a="1"/>
  <c r="N160" i="72" a="1"/>
  <c r="D209" i="72" a="1"/>
  <c r="E161" i="72" a="1"/>
  <c r="BD12" i="72" a="1"/>
  <c r="AW46" i="72" a="1"/>
  <c r="BD7" i="72" a="1"/>
  <c r="L162" i="72" a="1"/>
  <c r="F164" i="72" a="1"/>
  <c r="K160" i="72" a="1"/>
  <c r="O162" i="72" a="1"/>
  <c r="E162" i="72" a="1"/>
  <c r="K161" i="72" a="1"/>
  <c r="E160" i="72" a="1"/>
  <c r="A138" i="64" a="1"/>
  <c r="A130" i="64" a="1"/>
  <c r="AZ84" i="72" a="1"/>
  <c r="A123" i="64" a="1"/>
  <c r="N164" i="72" a="1"/>
  <c r="L161" i="72" a="1"/>
  <c r="A135" i="64" a="1"/>
  <c r="O159" i="72" a="1"/>
  <c r="I163" i="72" a="1"/>
  <c r="P163" i="72" a="1"/>
  <c r="M163" i="72" a="1"/>
  <c r="J159" i="72" a="1"/>
  <c r="G161" i="72" a="1"/>
  <c r="J160" i="72" a="1"/>
  <c r="AX39" i="72" a="1"/>
  <c r="GU9" i="72" a="1"/>
  <c r="F163" i="72" a="1"/>
  <c r="A133" i="64" a="1"/>
  <c r="J161" i="72" a="1"/>
  <c r="AZ76" i="72" a="1"/>
  <c r="I159" i="72" a="1"/>
  <c r="AY45" i="72" a="1"/>
  <c r="H161" i="72" a="1"/>
  <c r="BK354" i="72"/>
  <c r="K159" i="72" a="1"/>
  <c r="M159" i="72" a="1"/>
  <c r="G163" i="72" a="1"/>
  <c r="J164" i="72" a="1"/>
  <c r="A121" i="64" a="1"/>
  <c r="GU25" i="72" a="1"/>
  <c r="BD5" i="72" a="1"/>
  <c r="AX38" i="72" a="1"/>
  <c r="D211" i="72" a="1"/>
  <c r="P160" i="72" a="1"/>
  <c r="M160" i="72" a="1"/>
  <c r="AI63" i="32" a="1"/>
  <c r="F160" i="72" a="1"/>
  <c r="N159" i="72" a="1"/>
  <c r="AY84" i="72" a="1"/>
  <c r="O163" i="72" a="1"/>
  <c r="P162" i="72" a="1"/>
  <c r="A127" i="64" a="1"/>
  <c r="BD3" i="72" a="1"/>
  <c r="AZ89" i="72" a="1"/>
  <c r="O164" i="72" a="1"/>
  <c r="AZ90" i="72" a="1"/>
  <c r="D212" i="72" a="1"/>
  <c r="AX40" i="72" a="1"/>
  <c r="D213" i="72" a="1"/>
  <c r="H162" i="72" a="1"/>
  <c r="I162" i="72" a="1"/>
  <c r="N162" i="72" a="1"/>
  <c r="J162" i="72" a="1"/>
  <c r="A139" i="64" a="1"/>
  <c r="N163" i="72" a="1"/>
  <c r="M30" i="49" a="1"/>
  <c r="A140" i="64" a="1"/>
  <c r="BD4" i="72" a="1"/>
  <c r="I164" i="72" a="1"/>
  <c r="A124" i="64" a="1"/>
  <c r="AD63" i="32" a="1"/>
  <c r="A128" i="64" a="1"/>
  <c r="BD6" i="72" a="1"/>
  <c r="A131" i="64" a="1"/>
  <c r="H163" i="72" a="1"/>
  <c r="H164" i="72" a="1"/>
  <c r="BD11" i="72" a="1"/>
  <c r="L163" i="72" a="1"/>
  <c r="H160" i="72" a="1"/>
  <c r="AD63" i="87" a="1"/>
  <c r="D5" i="71" a="1"/>
  <c r="G159" i="72" a="1"/>
  <c r="A137" i="64" a="1"/>
  <c r="F162" i="72" a="1"/>
  <c r="G160" i="72" a="1"/>
  <c r="P161" i="72" a="1"/>
  <c r="D214" i="72" a="1"/>
  <c r="D215" i="72" a="1"/>
  <c r="E164" i="72" a="1"/>
  <c r="BD9" i="72" a="1"/>
  <c r="K164" i="72" a="1"/>
  <c r="H159" i="72" a="1"/>
  <c r="A129" i="64" a="1"/>
  <c r="I160" i="72" a="1"/>
  <c r="AF73" i="87" a="1"/>
  <c r="A134" i="64" a="1"/>
  <c r="A122" i="64" a="1"/>
  <c r="AY83" i="72" a="1"/>
  <c r="BD10" i="72" a="1"/>
  <c r="GU18" i="72" a="1"/>
  <c r="AX33" i="72" a="1"/>
  <c r="AY46" i="72" a="1"/>
  <c r="L164" i="72" a="1"/>
  <c r="P159" i="72" a="1"/>
  <c r="F159" i="72" a="1"/>
  <c r="AI63" i="87" a="1"/>
  <c r="L160" i="72" a="1"/>
  <c r="AF73" i="32" a="1"/>
  <c r="L159" i="72" a="1"/>
  <c r="E163" i="72" a="1"/>
  <c r="A132" i="64" a="1"/>
  <c r="O161" i="72" a="1"/>
  <c r="A136" i="64" a="1"/>
  <c r="AZ83" i="72" a="1"/>
  <c r="A125" i="64" a="1"/>
  <c r="D208" i="72" a="1"/>
  <c r="J163" i="72" a="1"/>
  <c r="O160" i="72" a="1"/>
  <c r="M161" i="72" a="1"/>
  <c r="R183" i="64" l="1"/>
  <c r="J52" i="72"/>
  <c r="AD52" i="30"/>
  <c r="J64" i="30"/>
  <c r="P236" i="64"/>
  <c r="D210" i="72"/>
  <c r="P161" i="72"/>
  <c r="A138" i="64"/>
  <c r="K159" i="72"/>
  <c r="M105" i="36"/>
  <c r="M106" i="36"/>
  <c r="G14" i="9"/>
  <c r="P86" i="34"/>
  <c r="Y90" i="34" s="1"/>
  <c r="D207" i="72"/>
  <c r="Y84" i="34"/>
  <c r="AK90" i="34" s="1"/>
  <c r="A139" i="64"/>
  <c r="L162" i="72"/>
  <c r="G21" i="9"/>
  <c r="H159" i="72"/>
  <c r="A133" i="64"/>
  <c r="AZ84" i="72"/>
  <c r="N162" i="72"/>
  <c r="H163" i="72"/>
  <c r="P124" i="34"/>
  <c r="U129" i="34" s="1"/>
  <c r="J163" i="72"/>
  <c r="M161" i="72"/>
  <c r="D209" i="72"/>
  <c r="O105" i="36"/>
  <c r="O107" i="36"/>
  <c r="D208" i="72"/>
  <c r="D5" i="71"/>
  <c r="E5" i="71" s="1"/>
  <c r="FD9" i="72" s="1"/>
  <c r="FE9" i="72" s="1"/>
  <c r="FB6" i="72" s="1"/>
  <c r="D212" i="72"/>
  <c r="A136" i="64"/>
  <c r="O108" i="36"/>
  <c r="BD4" i="72"/>
  <c r="R45" i="24" s="1"/>
  <c r="N159" i="72"/>
  <c r="BD6" i="72"/>
  <c r="R47" i="24" s="1"/>
  <c r="A140" i="64"/>
  <c r="Y124" i="34"/>
  <c r="AO129" i="34" s="1"/>
  <c r="P127" i="34"/>
  <c r="AG129" i="34" s="1"/>
  <c r="P160" i="72"/>
  <c r="E163" i="72"/>
  <c r="G16" i="9"/>
  <c r="F162" i="72"/>
  <c r="I161" i="72"/>
  <c r="I163" i="72"/>
  <c r="BD12" i="72"/>
  <c r="R53" i="24" s="1"/>
  <c r="G162" i="72"/>
  <c r="A135" i="64"/>
  <c r="O160" i="72"/>
  <c r="K164" i="72"/>
  <c r="L159" i="72"/>
  <c r="A123" i="64"/>
  <c r="M164" i="72"/>
  <c r="G24" i="9"/>
  <c r="AX33" i="72"/>
  <c r="AX34" i="72" s="1"/>
  <c r="AI63" i="87"/>
  <c r="BD5" i="72"/>
  <c r="R46" i="24" s="1"/>
  <c r="J160" i="72"/>
  <c r="A127" i="64"/>
  <c r="AW46" i="72"/>
  <c r="F78" i="36" s="1"/>
  <c r="L161" i="72"/>
  <c r="A124" i="64"/>
  <c r="G164" i="72"/>
  <c r="A129" i="64"/>
  <c r="M30" i="49"/>
  <c r="E164" i="72"/>
  <c r="P85" i="34"/>
  <c r="U90" i="34" s="1"/>
  <c r="AD63" i="87"/>
  <c r="GU25" i="72"/>
  <c r="G163" i="72"/>
  <c r="P163" i="72"/>
  <c r="K162" i="72"/>
  <c r="J162" i="72"/>
  <c r="H160" i="72"/>
  <c r="F164" i="72"/>
  <c r="G18" i="9"/>
  <c r="BD8" i="72"/>
  <c r="R49" i="24" s="1"/>
  <c r="F163" i="72"/>
  <c r="L160" i="72"/>
  <c r="Y162" i="34"/>
  <c r="AK168" i="34" s="1"/>
  <c r="AZ76" i="72"/>
  <c r="AW79" i="72" s="1"/>
  <c r="P125" i="34"/>
  <c r="Y129" i="34" s="1"/>
  <c r="F160" i="72"/>
  <c r="D214" i="72"/>
  <c r="P163" i="34"/>
  <c r="U168" i="34" s="1"/>
  <c r="AF73" i="87"/>
  <c r="P164" i="72"/>
  <c r="BD3" i="72"/>
  <c r="R44" i="24" s="1"/>
  <c r="AX40" i="72"/>
  <c r="AY40" i="72" s="1"/>
  <c r="P84" i="34"/>
  <c r="Q90" i="34" s="1"/>
  <c r="P88" i="34"/>
  <c r="AG90" i="34" s="1"/>
  <c r="M163" i="72"/>
  <c r="D213" i="72"/>
  <c r="G159" i="72"/>
  <c r="A132" i="64"/>
  <c r="O162" i="72"/>
  <c r="AX39" i="72"/>
  <c r="AY39" i="72" s="1"/>
  <c r="P126" i="34"/>
  <c r="AC129" i="34" s="1"/>
  <c r="N160" i="72"/>
  <c r="BD9" i="72"/>
  <c r="R50" i="24" s="1"/>
  <c r="G160" i="72"/>
  <c r="E160" i="72"/>
  <c r="I164" i="72"/>
  <c r="N161" i="72"/>
  <c r="AY45" i="72"/>
  <c r="F85" i="36" s="1"/>
  <c r="G13" i="9"/>
  <c r="BD7" i="72"/>
  <c r="R48" i="24" s="1"/>
  <c r="O106" i="36"/>
  <c r="P166" i="34"/>
  <c r="AG168" i="34" s="1"/>
  <c r="AF73" i="32"/>
  <c r="D211" i="72"/>
  <c r="AZ89" i="72"/>
  <c r="AZ90" i="72"/>
  <c r="A130" i="64"/>
  <c r="A137" i="64"/>
  <c r="GU9" i="72"/>
  <c r="A121" i="64"/>
  <c r="P159" i="72"/>
  <c r="A128" i="64"/>
  <c r="O161" i="72"/>
  <c r="A134" i="64"/>
  <c r="P162" i="34"/>
  <c r="Q168" i="34" s="1"/>
  <c r="E162" i="72"/>
  <c r="P164" i="34"/>
  <c r="Y168" i="34" s="1"/>
  <c r="N164" i="72"/>
  <c r="L163" i="72"/>
  <c r="Y123" i="34"/>
  <c r="AK129" i="34" s="1"/>
  <c r="J159" i="72"/>
  <c r="AZ83" i="72"/>
  <c r="A125" i="64"/>
  <c r="A126" i="64"/>
  <c r="AY84" i="72"/>
  <c r="H162" i="72"/>
  <c r="H164" i="72"/>
  <c r="O103" i="36"/>
  <c r="M159" i="72"/>
  <c r="G161" i="72"/>
  <c r="D215" i="72"/>
  <c r="L164" i="72"/>
  <c r="G17" i="9"/>
  <c r="P87" i="34"/>
  <c r="AC90" i="34" s="1"/>
  <c r="GU18" i="72"/>
  <c r="D127" i="93" s="1"/>
  <c r="E127" i="93" s="1"/>
  <c r="M108" i="36"/>
  <c r="AW45" i="72"/>
  <c r="F77" i="36" s="1"/>
  <c r="AI63" i="32"/>
  <c r="J164" i="72"/>
  <c r="AY83" i="72"/>
  <c r="Y163" i="34"/>
  <c r="AO168" i="34" s="1"/>
  <c r="Y85" i="34"/>
  <c r="AO90" i="34" s="1"/>
  <c r="F161" i="72"/>
  <c r="J161" i="72"/>
  <c r="E161" i="72"/>
  <c r="K160" i="72"/>
  <c r="K163" i="72"/>
  <c r="N163" i="72"/>
  <c r="A131" i="64"/>
  <c r="O104" i="36"/>
  <c r="M107" i="36"/>
  <c r="P162" i="72"/>
  <c r="M160" i="72"/>
  <c r="I160" i="72"/>
  <c r="AX38" i="72"/>
  <c r="AY38" i="72" s="1"/>
  <c r="O164" i="72"/>
  <c r="AD63" i="32"/>
  <c r="O163" i="72"/>
  <c r="H161" i="72"/>
  <c r="BD11" i="72"/>
  <c r="R52" i="24" s="1"/>
  <c r="M162" i="72"/>
  <c r="BD10" i="72"/>
  <c r="R51" i="24" s="1"/>
  <c r="A122" i="64"/>
  <c r="K161" i="72"/>
  <c r="I159" i="72"/>
  <c r="F159" i="72"/>
  <c r="I162" i="72"/>
  <c r="AY46" i="72"/>
  <c r="F86" i="36" s="1"/>
  <c r="O159" i="72"/>
  <c r="P165" i="34"/>
  <c r="AC168" i="34" s="1"/>
  <c r="P4" i="72"/>
  <c r="Q4" i="72" s="1"/>
  <c r="P5" i="72"/>
  <c r="Q5" i="72" s="1"/>
  <c r="P6" i="72"/>
  <c r="Q6" i="72" s="1"/>
  <c r="O7" i="72" a="1"/>
  <c r="O7" i="72" s="1"/>
  <c r="P7" i="72" s="1"/>
  <c r="Q7" i="72" s="1"/>
  <c r="DK173" i="88"/>
  <c r="DK135" i="88"/>
  <c r="DK136" i="88"/>
  <c r="DM95" i="88"/>
  <c r="DM135" i="88"/>
  <c r="DK174" i="88"/>
  <c r="GU16" i="72" a="1"/>
  <c r="EG142" i="93"/>
  <c r="DZ154" i="93" a="1"/>
  <c r="EH142" i="93"/>
  <c r="DY154" i="93" a="1"/>
  <c r="D134" i="93" l="1"/>
  <c r="E134" i="93" s="1"/>
  <c r="O633" i="114" s="1"/>
  <c r="D118" i="93"/>
  <c r="E118" i="93" s="1"/>
  <c r="O617" i="114" s="1"/>
  <c r="DZ154" i="93"/>
  <c r="DY154" i="93"/>
  <c r="H397" i="114"/>
  <c r="H396" i="114"/>
  <c r="H395" i="114"/>
  <c r="H394" i="114"/>
  <c r="H393" i="114"/>
  <c r="H383" i="114"/>
  <c r="O626" i="114"/>
  <c r="GU16" i="72"/>
  <c r="EW12" i="72"/>
  <c r="L16" i="64" s="1"/>
  <c r="BZ148" i="72"/>
  <c r="BZ149" i="72"/>
  <c r="X160" i="64"/>
  <c r="Q159" i="72"/>
  <c r="AZ85" i="72"/>
  <c r="V159" i="72"/>
  <c r="U159" i="72"/>
  <c r="Q163" i="72"/>
  <c r="AL63" i="28" s="1"/>
  <c r="T159" i="72"/>
  <c r="R159" i="72"/>
  <c r="Q162" i="72"/>
  <c r="AL62" i="28" s="1"/>
  <c r="S161" i="72"/>
  <c r="AP61" i="28" s="1"/>
  <c r="S159" i="72"/>
  <c r="AP59" i="28" s="1"/>
  <c r="AX79" i="72"/>
  <c r="AW78" i="72"/>
  <c r="AX78" i="72"/>
  <c r="R162" i="72"/>
  <c r="AN62" i="28" s="1"/>
  <c r="R161" i="72"/>
  <c r="AN61" i="28" s="1"/>
  <c r="AY85" i="72"/>
  <c r="S163" i="72"/>
  <c r="AP63" i="28" s="1"/>
  <c r="S162" i="72"/>
  <c r="AP62" i="28" s="1"/>
  <c r="G22" i="9"/>
  <c r="R163" i="72"/>
  <c r="AN63" i="28" s="1"/>
  <c r="Q161" i="72"/>
  <c r="AL61" i="28" s="1"/>
  <c r="G11" i="9"/>
  <c r="AH3" i="72" a="1"/>
  <c r="AH3" i="72" s="1"/>
  <c r="G12" i="9"/>
  <c r="AZ91" i="72"/>
  <c r="G25" i="9"/>
  <c r="G15" i="9"/>
  <c r="R4" i="72"/>
  <c r="R6" i="72"/>
  <c r="R5" i="72"/>
  <c r="O8" i="72" a="1"/>
  <c r="O8" i="72" s="1"/>
  <c r="O9" i="72" s="1" a="1"/>
  <c r="O9" i="72" s="1"/>
  <c r="P9" i="72" s="1"/>
  <c r="Q9" i="72" s="1"/>
  <c r="DK96" i="88"/>
  <c r="DM174" i="88"/>
  <c r="DM136" i="88"/>
  <c r="DM96" i="88"/>
  <c r="DM175" i="88"/>
  <c r="DM97" i="88"/>
  <c r="DK137" i="88"/>
  <c r="GU7" i="72" a="1"/>
  <c r="BP516" i="72"/>
  <c r="GV16" i="72" l="1"/>
  <c r="GY16" i="72" s="1"/>
  <c r="D125" i="93"/>
  <c r="E125" i="93" s="1"/>
  <c r="U506" i="44"/>
  <c r="U505" i="44"/>
  <c r="AG142" i="34"/>
  <c r="CQ142" i="88"/>
  <c r="AG141" i="34"/>
  <c r="CQ141" i="88"/>
  <c r="I151" i="72"/>
  <c r="I150" i="72"/>
  <c r="GU7" i="72"/>
  <c r="D116" i="93" s="1"/>
  <c r="E116" i="93" s="1"/>
  <c r="G23" i="9"/>
  <c r="O15" i="49"/>
  <c r="AL59" i="28"/>
  <c r="AN59" i="28"/>
  <c r="G19" i="9"/>
  <c r="S182" i="34"/>
  <c r="CA92" i="34"/>
  <c r="I144" i="72"/>
  <c r="I145" i="72" s="1"/>
  <c r="GK14" i="72" s="1"/>
  <c r="GR14" i="72" s="1"/>
  <c r="CA99" i="34"/>
  <c r="CA94" i="34"/>
  <c r="CI103" i="34"/>
  <c r="CA96" i="34"/>
  <c r="CA98" i="34"/>
  <c r="CI102" i="34"/>
  <c r="W15" i="49"/>
  <c r="S15" i="49"/>
  <c r="AA15" i="49"/>
  <c r="AH4" i="72" a="1"/>
  <c r="AH4" i="72" s="1"/>
  <c r="AG3" i="72"/>
  <c r="P8" i="72"/>
  <c r="Q8" i="72" s="1"/>
  <c r="R7" i="72" s="1"/>
  <c r="O10" i="72" a="1"/>
  <c r="O10" i="72" s="1"/>
  <c r="P10" i="72" s="1"/>
  <c r="Q10" i="72" s="1"/>
  <c r="R9" i="72" s="1"/>
  <c r="DK97" i="88"/>
  <c r="DK98" i="88"/>
  <c r="DM176" i="88"/>
  <c r="DM138" i="88"/>
  <c r="DK176" i="88"/>
  <c r="DK175" i="88"/>
  <c r="DM137" i="88"/>
  <c r="Y125" i="34"/>
  <c r="AS129" i="34" s="1"/>
  <c r="AS129" i="88"/>
  <c r="Y164" i="34"/>
  <c r="AS168" i="34" s="1"/>
  <c r="AS168" i="88"/>
  <c r="I9" i="93"/>
  <c r="GX16" i="72" l="1"/>
  <c r="GW16" i="72"/>
  <c r="AK57" i="72" s="1"/>
  <c r="AL57" i="72" s="1"/>
  <c r="H580" i="114"/>
  <c r="GS14" i="72"/>
  <c r="C123" i="93" s="1"/>
  <c r="I149" i="72"/>
  <c r="I152" i="72" s="1"/>
  <c r="BJ236" i="102" s="1"/>
  <c r="BB232" i="102" s="1"/>
  <c r="CQ176" i="34"/>
  <c r="CQ178" i="34"/>
  <c r="CQ177" i="34"/>
  <c r="CQ179" i="34"/>
  <c r="CQ170" i="34"/>
  <c r="CQ181" i="34"/>
  <c r="CU180" i="34"/>
  <c r="CU171" i="34"/>
  <c r="CE99" i="34"/>
  <c r="CE95" i="34"/>
  <c r="CE100" i="34"/>
  <c r="CM137" i="34"/>
  <c r="CM140" i="34"/>
  <c r="CM131" i="34"/>
  <c r="CM139" i="34"/>
  <c r="CM134" i="34"/>
  <c r="CM142" i="34"/>
  <c r="DA135" i="34"/>
  <c r="DA142" i="34"/>
  <c r="DA141" i="34"/>
  <c r="DA137" i="34"/>
  <c r="DA132" i="34"/>
  <c r="DA134" i="34"/>
  <c r="CY171" i="34"/>
  <c r="CY176" i="34"/>
  <c r="CY181" i="34"/>
  <c r="CY178" i="34"/>
  <c r="CY170" i="34"/>
  <c r="CI173" i="34"/>
  <c r="CI172" i="34"/>
  <c r="CI175" i="34"/>
  <c r="CI178" i="34"/>
  <c r="CI170" i="34"/>
  <c r="CY142" i="34"/>
  <c r="CY141" i="34"/>
  <c r="CY133" i="34"/>
  <c r="CA175" i="34"/>
  <c r="CA178" i="34"/>
  <c r="CA176" i="34"/>
  <c r="CA173" i="34"/>
  <c r="CA172" i="34"/>
  <c r="CI134" i="34"/>
  <c r="CI138" i="34"/>
  <c r="CI136" i="34"/>
  <c r="CI131" i="34"/>
  <c r="CI135" i="34"/>
  <c r="CQ134" i="34"/>
  <c r="CQ132" i="34"/>
  <c r="CQ138" i="34"/>
  <c r="CY101" i="34"/>
  <c r="CY96" i="34"/>
  <c r="CY99" i="34"/>
  <c r="CY100" i="34"/>
  <c r="CY102" i="34"/>
  <c r="CW180" i="34"/>
  <c r="CM96" i="34"/>
  <c r="CM94" i="34"/>
  <c r="CM102" i="34"/>
  <c r="CM100" i="34"/>
  <c r="CM101" i="34"/>
  <c r="CE180" i="34"/>
  <c r="CE173" i="34"/>
  <c r="CE176" i="34"/>
  <c r="CE179" i="34"/>
  <c r="CE174" i="34"/>
  <c r="DA93" i="34"/>
  <c r="DA101" i="34"/>
  <c r="DA92" i="34"/>
  <c r="DA96" i="34"/>
  <c r="CM181" i="34"/>
  <c r="CM173" i="34"/>
  <c r="CM179" i="34"/>
  <c r="CM171" i="34"/>
  <c r="CM175" i="34"/>
  <c r="CU103" i="34"/>
  <c r="CU99" i="34"/>
  <c r="CU98" i="34"/>
  <c r="CU92" i="34"/>
  <c r="CW140" i="34"/>
  <c r="CW139" i="34"/>
  <c r="CE141" i="34"/>
  <c r="CE138" i="34"/>
  <c r="CE142" i="34"/>
  <c r="CE131" i="34"/>
  <c r="CE140" i="34"/>
  <c r="CQ95" i="34"/>
  <c r="CQ98" i="34"/>
  <c r="CQ102" i="34"/>
  <c r="CQ100" i="34"/>
  <c r="DA178" i="34"/>
  <c r="DA175" i="34"/>
  <c r="DA172" i="34"/>
  <c r="CU142" i="34"/>
  <c r="CU136" i="34"/>
  <c r="CU134" i="34"/>
  <c r="CU141" i="34"/>
  <c r="CU140" i="34"/>
  <c r="CU101" i="34"/>
  <c r="CA170" i="34"/>
  <c r="CE181" i="34"/>
  <c r="CA97" i="34"/>
  <c r="CI100" i="34"/>
  <c r="CI101" i="34"/>
  <c r="CI99" i="34"/>
  <c r="CI92" i="34"/>
  <c r="AB48" i="72"/>
  <c r="AG4" i="72"/>
  <c r="AH5" i="72" a="1"/>
  <c r="AH5" i="72" s="1"/>
  <c r="AH6" i="72" s="1" a="1"/>
  <c r="AH6" i="72" s="1"/>
  <c r="AB47" i="72"/>
  <c r="CA93" i="34"/>
  <c r="CA101" i="34"/>
  <c r="R8" i="72"/>
  <c r="O11" i="72" a="1"/>
  <c r="O11" i="72" s="1"/>
  <c r="DK138" i="88"/>
  <c r="DM177" i="88"/>
  <c r="DM98" i="88"/>
  <c r="Y86" i="34"/>
  <c r="AS90" i="34" s="1"/>
  <c r="AS90" i="88"/>
  <c r="GU11" i="72" a="1"/>
  <c r="P255" i="114" l="1"/>
  <c r="I255" i="114" s="1"/>
  <c r="P257" i="114"/>
  <c r="I257" i="114" s="1"/>
  <c r="BJ236" i="93"/>
  <c r="BB232" i="93" s="1"/>
  <c r="H579" i="114"/>
  <c r="O615" i="114"/>
  <c r="O257" i="114"/>
  <c r="R182" i="64"/>
  <c r="GU11" i="72"/>
  <c r="D120" i="93" s="1"/>
  <c r="E120" i="93" s="1"/>
  <c r="P11" i="72"/>
  <c r="Q182" i="34"/>
  <c r="CQ180" i="34"/>
  <c r="CI97" i="34"/>
  <c r="CQ175" i="34"/>
  <c r="CQ174" i="34"/>
  <c r="CI96" i="34"/>
  <c r="CQ173" i="34"/>
  <c r="CI95" i="34"/>
  <c r="CI94" i="34"/>
  <c r="CQ172" i="34"/>
  <c r="CE98" i="34"/>
  <c r="CY134" i="34"/>
  <c r="CY180" i="34"/>
  <c r="DA180" i="34"/>
  <c r="CU93" i="34"/>
  <c r="CA171" i="34"/>
  <c r="CY137" i="34"/>
  <c r="CQ131" i="34"/>
  <c r="CQ103" i="34"/>
  <c r="DA99" i="34"/>
  <c r="CQ142" i="34"/>
  <c r="CM178" i="34"/>
  <c r="CW103" i="34"/>
  <c r="CU94" i="34"/>
  <c r="CA179" i="34"/>
  <c r="DA138" i="34"/>
  <c r="CW181" i="34"/>
  <c r="CQ99" i="34"/>
  <c r="CU137" i="34"/>
  <c r="CI177" i="34"/>
  <c r="CU179" i="34"/>
  <c r="CU139" i="34"/>
  <c r="CM136" i="34"/>
  <c r="CM103" i="34"/>
  <c r="CW102" i="34"/>
  <c r="CM174" i="34"/>
  <c r="CE133" i="34"/>
  <c r="CM93" i="34"/>
  <c r="CY136" i="34"/>
  <c r="CI141" i="34"/>
  <c r="CY139" i="34"/>
  <c r="CY135" i="34"/>
  <c r="DA171" i="34"/>
  <c r="CW178" i="34"/>
  <c r="CE93" i="34"/>
  <c r="CY174" i="34"/>
  <c r="CW141" i="34"/>
  <c r="CM132" i="34"/>
  <c r="CE134" i="34"/>
  <c r="CQ171" i="34"/>
  <c r="CI93" i="34"/>
  <c r="DA97" i="34"/>
  <c r="CI176" i="34"/>
  <c r="CE101" i="34"/>
  <c r="CU174" i="34"/>
  <c r="CE92" i="34"/>
  <c r="CQ135" i="34"/>
  <c r="CY95" i="34"/>
  <c r="CE170" i="34"/>
  <c r="CQ97" i="34"/>
  <c r="CY173" i="34"/>
  <c r="CE139" i="34"/>
  <c r="CU181" i="34"/>
  <c r="CI174" i="34"/>
  <c r="CU170" i="34"/>
  <c r="CE132" i="34"/>
  <c r="CQ141" i="34"/>
  <c r="CM135" i="34"/>
  <c r="CE172" i="34"/>
  <c r="CQ92" i="34"/>
  <c r="CM176" i="34"/>
  <c r="CI142" i="34"/>
  <c r="CI137" i="34"/>
  <c r="CU133" i="34"/>
  <c r="CO180" i="34"/>
  <c r="CS178" i="34"/>
  <c r="CS172" i="34"/>
  <c r="CS136" i="34"/>
  <c r="CK141" i="34"/>
  <c r="CK135" i="34"/>
  <c r="DA139" i="34"/>
  <c r="CG180" i="34"/>
  <c r="CG171" i="34"/>
  <c r="CK138" i="34"/>
  <c r="CO140" i="34"/>
  <c r="CO137" i="34"/>
  <c r="CO94" i="34"/>
  <c r="CK178" i="34"/>
  <c r="CG92" i="34"/>
  <c r="CS138" i="34"/>
  <c r="CS103" i="34"/>
  <c r="CA181" i="34"/>
  <c r="CK175" i="34"/>
  <c r="CG176" i="34"/>
  <c r="CS181" i="34"/>
  <c r="CS177" i="34"/>
  <c r="CS174" i="34"/>
  <c r="CW175" i="34"/>
  <c r="CS142" i="34"/>
  <c r="CS135" i="34"/>
  <c r="CW94" i="34"/>
  <c r="CG135" i="34"/>
  <c r="CU97" i="34"/>
  <c r="CE97" i="34"/>
  <c r="CM133" i="34"/>
  <c r="CK171" i="34"/>
  <c r="CK103" i="34"/>
  <c r="CK99" i="34"/>
  <c r="CC176" i="34"/>
  <c r="CE171" i="34"/>
  <c r="CG94" i="34"/>
  <c r="CK140" i="34"/>
  <c r="CG141" i="34"/>
  <c r="CG138" i="34"/>
  <c r="CG132" i="34"/>
  <c r="CO136" i="34"/>
  <c r="CO103" i="34"/>
  <c r="CO93" i="34"/>
  <c r="CW137" i="34"/>
  <c r="CW135" i="34"/>
  <c r="CC181" i="34"/>
  <c r="CO179" i="34"/>
  <c r="CO173" i="34"/>
  <c r="CO170" i="34"/>
  <c r="CG181" i="34"/>
  <c r="CG174" i="34"/>
  <c r="CM177" i="34"/>
  <c r="CK100" i="34"/>
  <c r="CC173" i="34"/>
  <c r="CG101" i="34"/>
  <c r="CS175" i="34"/>
  <c r="CW173" i="34"/>
  <c r="CS139" i="34"/>
  <c r="DA181" i="34"/>
  <c r="CI179" i="34"/>
  <c r="DA131" i="34"/>
  <c r="CM99" i="34"/>
  <c r="CW134" i="34"/>
  <c r="CK97" i="34"/>
  <c r="CG95" i="34"/>
  <c r="CW98" i="34"/>
  <c r="CK131" i="34"/>
  <c r="CS99" i="34"/>
  <c r="CS93" i="34"/>
  <c r="CO134" i="34"/>
  <c r="CO100" i="34"/>
  <c r="CI180" i="34"/>
  <c r="CQ101" i="34"/>
  <c r="CW142" i="34"/>
  <c r="DA133" i="34"/>
  <c r="CE96" i="34"/>
  <c r="CQ93" i="34"/>
  <c r="CE137" i="34"/>
  <c r="CW131" i="34"/>
  <c r="CS102" i="34"/>
  <c r="CO97" i="34"/>
  <c r="CE175" i="34"/>
  <c r="CE103" i="34"/>
  <c r="CI139" i="34"/>
  <c r="CE94" i="34"/>
  <c r="CQ136" i="34"/>
  <c r="CU175" i="34"/>
  <c r="CO172" i="34"/>
  <c r="CK181" i="34"/>
  <c r="CK174" i="34"/>
  <c r="CK102" i="34"/>
  <c r="CK93" i="34"/>
  <c r="CG100" i="34"/>
  <c r="CS173" i="34"/>
  <c r="CS134" i="34"/>
  <c r="CO139" i="34"/>
  <c r="CO102" i="34"/>
  <c r="CO99" i="34"/>
  <c r="CK179" i="34"/>
  <c r="CG177" i="34"/>
  <c r="CG133" i="34"/>
  <c r="CM180" i="34"/>
  <c r="CW138" i="34"/>
  <c r="CK94" i="34"/>
  <c r="CA177" i="34"/>
  <c r="CU131" i="34"/>
  <c r="DA94" i="34"/>
  <c r="CA174" i="34"/>
  <c r="CY94" i="34"/>
  <c r="CY172" i="34"/>
  <c r="DA176" i="34"/>
  <c r="DA136" i="34"/>
  <c r="CI140" i="34"/>
  <c r="CE136" i="34"/>
  <c r="CY131" i="34"/>
  <c r="CO178" i="34"/>
  <c r="CK180" i="34"/>
  <c r="CK177" i="34"/>
  <c r="CG178" i="34"/>
  <c r="CG172" i="34"/>
  <c r="CK96" i="34"/>
  <c r="CC178" i="34"/>
  <c r="CC172" i="34"/>
  <c r="CS179" i="34"/>
  <c r="CS170" i="34"/>
  <c r="CW174" i="34"/>
  <c r="CW171" i="34"/>
  <c r="CS140" i="34"/>
  <c r="CS137" i="34"/>
  <c r="CK139" i="34"/>
  <c r="CI171" i="34"/>
  <c r="CG137" i="34"/>
  <c r="CG134" i="34"/>
  <c r="CG131" i="34"/>
  <c r="CS101" i="34"/>
  <c r="CS92" i="34"/>
  <c r="CO132" i="34"/>
  <c r="CO171" i="34"/>
  <c r="CW136" i="34"/>
  <c r="CW133" i="34"/>
  <c r="CK95" i="34"/>
  <c r="CK92" i="34"/>
  <c r="CS176" i="34"/>
  <c r="CS131" i="34"/>
  <c r="CK136" i="34"/>
  <c r="CS98" i="34"/>
  <c r="CS95" i="34"/>
  <c r="CO142" i="34"/>
  <c r="CO98" i="34"/>
  <c r="CO95" i="34"/>
  <c r="CC174" i="34"/>
  <c r="CG103" i="34"/>
  <c r="CG93" i="34"/>
  <c r="CW177" i="34"/>
  <c r="CW92" i="34"/>
  <c r="CK133" i="34"/>
  <c r="CS97" i="34"/>
  <c r="CO141" i="34"/>
  <c r="CO138" i="34"/>
  <c r="CO92" i="34"/>
  <c r="CK176" i="34"/>
  <c r="CG175" i="34"/>
  <c r="CW132" i="34"/>
  <c r="CK101" i="34"/>
  <c r="CC177" i="34"/>
  <c r="CG102" i="34"/>
  <c r="CG96" i="34"/>
  <c r="CW176" i="34"/>
  <c r="CS133" i="34"/>
  <c r="CK132" i="34"/>
  <c r="CG140" i="34"/>
  <c r="CS94" i="34"/>
  <c r="CO135" i="34"/>
  <c r="CO101" i="34"/>
  <c r="CK98" i="34"/>
  <c r="CC175" i="34"/>
  <c r="CC171" i="34"/>
  <c r="CG99" i="34"/>
  <c r="CW170" i="34"/>
  <c r="CW97" i="34"/>
  <c r="CW95" i="34"/>
  <c r="CK142" i="34"/>
  <c r="CG139" i="34"/>
  <c r="CG136" i="34"/>
  <c r="CO131" i="34"/>
  <c r="CM170" i="34"/>
  <c r="CO181" i="34"/>
  <c r="CK170" i="34"/>
  <c r="CO177" i="34"/>
  <c r="CK173" i="34"/>
  <c r="CO174" i="34"/>
  <c r="CC180" i="34"/>
  <c r="CG98" i="34"/>
  <c r="CS100" i="34"/>
  <c r="CM98" i="34"/>
  <c r="CQ140" i="34"/>
  <c r="CE178" i="34"/>
  <c r="CO176" i="34"/>
  <c r="CC179" i="34"/>
  <c r="CS171" i="34"/>
  <c r="CE177" i="34"/>
  <c r="CG179" i="34"/>
  <c r="CG170" i="34"/>
  <c r="CM92" i="34"/>
  <c r="CO175" i="34"/>
  <c r="CK172" i="34"/>
  <c r="CG173" i="34"/>
  <c r="CC170" i="34"/>
  <c r="CG97" i="34"/>
  <c r="CS180" i="34"/>
  <c r="CW172" i="34"/>
  <c r="CS141" i="34"/>
  <c r="CS132" i="34"/>
  <c r="CW96" i="34"/>
  <c r="CW93" i="34"/>
  <c r="CK137" i="34"/>
  <c r="CK134" i="34"/>
  <c r="CG142" i="34"/>
  <c r="CS96" i="34"/>
  <c r="CO133" i="34"/>
  <c r="CO96" i="34"/>
  <c r="DA174" i="34"/>
  <c r="S104" i="34"/>
  <c r="AH7" i="72" a="1"/>
  <c r="AH7" i="72" s="1"/>
  <c r="AG7" i="72" s="1"/>
  <c r="AG25" i="72" s="1"/>
  <c r="AG6" i="72"/>
  <c r="CW99" i="34"/>
  <c r="CA102" i="34"/>
  <c r="CA103" i="34"/>
  <c r="CU96" i="34"/>
  <c r="CU138" i="34"/>
  <c r="CM138" i="34"/>
  <c r="CU176" i="34"/>
  <c r="CY97" i="34"/>
  <c r="DA100" i="34"/>
  <c r="CE135" i="34"/>
  <c r="CU135" i="34"/>
  <c r="CU95" i="34"/>
  <c r="CI133" i="34"/>
  <c r="CY175" i="34"/>
  <c r="CA95" i="34"/>
  <c r="CA100" i="34"/>
  <c r="CU173" i="34"/>
  <c r="CQ139" i="34"/>
  <c r="CQ94" i="34"/>
  <c r="DA179" i="34"/>
  <c r="CY98" i="34"/>
  <c r="CQ96" i="34"/>
  <c r="CU172" i="34"/>
  <c r="CY140" i="34"/>
  <c r="CY92" i="34"/>
  <c r="CW179" i="34"/>
  <c r="CU178" i="34"/>
  <c r="CY132" i="34"/>
  <c r="CM141" i="34"/>
  <c r="DA98" i="34"/>
  <c r="AG5" i="72"/>
  <c r="CW101" i="34"/>
  <c r="CY179" i="34"/>
  <c r="CE102" i="34"/>
  <c r="DA95" i="34"/>
  <c r="CY93" i="34"/>
  <c r="CA180" i="34"/>
  <c r="DA140" i="34"/>
  <c r="CU102" i="34"/>
  <c r="CM97" i="34"/>
  <c r="CI181" i="34"/>
  <c r="DA170" i="34"/>
  <c r="CU132" i="34"/>
  <c r="CI132" i="34"/>
  <c r="CY138" i="34"/>
  <c r="CQ137" i="34"/>
  <c r="CU177" i="34"/>
  <c r="CY177" i="34"/>
  <c r="DA177" i="34"/>
  <c r="CW100" i="34"/>
  <c r="CU100" i="34"/>
  <c r="CM172" i="34"/>
  <c r="DA173" i="34"/>
  <c r="CQ133" i="34"/>
  <c r="CM95" i="34"/>
  <c r="CI98" i="34"/>
  <c r="O12" i="72" a="1"/>
  <c r="O12" i="72" s="1"/>
  <c r="P12" i="72" s="1"/>
  <c r="Q12" i="72" s="1"/>
  <c r="DM99" i="88"/>
  <c r="DM140" i="88"/>
  <c r="DM100" i="88"/>
  <c r="DK99" i="88"/>
  <c r="DM139" i="88"/>
  <c r="DK177" i="88"/>
  <c r="DK139" i="88"/>
  <c r="DK178" i="88"/>
  <c r="DA102" i="34"/>
  <c r="DC170" i="34"/>
  <c r="DE131" i="34"/>
  <c r="DE170" i="34"/>
  <c r="DC131" i="34"/>
  <c r="GU15" i="72" a="1"/>
  <c r="GU12" i="72" a="1"/>
  <c r="GU14" i="72" a="1"/>
  <c r="GU13" i="72" a="1"/>
  <c r="O255" i="114" l="1"/>
  <c r="H255" i="114" s="1"/>
  <c r="H257" i="114"/>
  <c r="GU13" i="72"/>
  <c r="D122" i="93" s="1"/>
  <c r="E122" i="93" s="1"/>
  <c r="GU12" i="72"/>
  <c r="D121" i="93" s="1"/>
  <c r="E121" i="93" s="1"/>
  <c r="GU15" i="72"/>
  <c r="D124" i="93" s="1"/>
  <c r="E124" i="93" s="1"/>
  <c r="GU14" i="72"/>
  <c r="D123" i="93" s="1"/>
  <c r="E123" i="93" s="1"/>
  <c r="O619" i="114"/>
  <c r="Q11" i="72"/>
  <c r="AH8" i="72" a="1"/>
  <c r="AH8" i="72" s="1"/>
  <c r="AG8" i="72" s="1"/>
  <c r="AG26" i="72" s="1"/>
  <c r="O13" i="72" a="1"/>
  <c r="O13" i="72" s="1"/>
  <c r="DK141" i="88"/>
  <c r="DM179" i="88"/>
  <c r="DM101" i="88"/>
  <c r="DK140" i="88"/>
  <c r="DK179" i="88"/>
  <c r="DM178" i="88"/>
  <c r="DK100" i="88"/>
  <c r="CY103" i="34"/>
  <c r="DE92" i="34"/>
  <c r="DC92" i="34"/>
  <c r="DA103" i="34"/>
  <c r="O62" i="114" l="1"/>
  <c r="O63" i="114"/>
  <c r="GV14" i="72"/>
  <c r="GY14" i="72" s="1"/>
  <c r="GV12" i="72"/>
  <c r="O620" i="114"/>
  <c r="P13" i="72"/>
  <c r="R10" i="72"/>
  <c r="R11" i="72"/>
  <c r="Y104" i="34"/>
  <c r="AH9" i="72" a="1"/>
  <c r="AH9" i="72" s="1"/>
  <c r="AG9" i="72" s="1"/>
  <c r="AG27" i="72" s="1"/>
  <c r="O14" i="72" a="1"/>
  <c r="O14" i="72" s="1"/>
  <c r="DM180" i="88"/>
  <c r="DM102" i="88"/>
  <c r="DK101" i="88"/>
  <c r="DM141" i="88"/>
  <c r="DK180" i="88"/>
  <c r="DC93" i="34"/>
  <c r="DE171" i="34"/>
  <c r="DC171" i="34"/>
  <c r="DC132" i="34"/>
  <c r="DE132" i="34"/>
  <c r="BN430" i="72" a="1"/>
  <c r="GX12" i="72" l="1"/>
  <c r="GW14" i="72"/>
  <c r="AK56" i="72" s="1"/>
  <c r="AL56" i="72" s="1"/>
  <c r="GX14" i="72"/>
  <c r="GW12" i="72"/>
  <c r="AK55" i="72" s="1"/>
  <c r="AL55" i="72" s="1"/>
  <c r="AB180" i="64"/>
  <c r="BN430" i="72"/>
  <c r="BP430" i="72" s="1"/>
  <c r="DO85" i="93" s="1"/>
  <c r="DO90" i="93" s="1"/>
  <c r="DQ43" i="93" s="1"/>
  <c r="P14" i="72"/>
  <c r="Q13" i="72"/>
  <c r="BZ10" i="72"/>
  <c r="AK104" i="34"/>
  <c r="AG182" i="34"/>
  <c r="AK182" i="34"/>
  <c r="W104" i="34"/>
  <c r="AI182" i="34"/>
  <c r="AO104" i="34"/>
  <c r="AC182" i="34"/>
  <c r="AG104" i="34"/>
  <c r="AA104" i="34"/>
  <c r="U182" i="34"/>
  <c r="AM182" i="34"/>
  <c r="AE182" i="34"/>
  <c r="AM104" i="34"/>
  <c r="W182" i="34"/>
  <c r="AE104" i="34"/>
  <c r="AQ182" i="34"/>
  <c r="AC104" i="34"/>
  <c r="AI104" i="34"/>
  <c r="AO182" i="34"/>
  <c r="AA182" i="34"/>
  <c r="Y182" i="34"/>
  <c r="AH10" i="72" a="1"/>
  <c r="AH10" i="72" s="1"/>
  <c r="AG10" i="72" s="1"/>
  <c r="AG28" i="72" s="1"/>
  <c r="O15" i="72" a="1"/>
  <c r="O15" i="72" s="1"/>
  <c r="DK102" i="88"/>
  <c r="DM142" i="88"/>
  <c r="DK142" i="88"/>
  <c r="DE93" i="34"/>
  <c r="DE94" i="34"/>
  <c r="DE172" i="34"/>
  <c r="DC172" i="34"/>
  <c r="DC133" i="34"/>
  <c r="DE133" i="34"/>
  <c r="DY92" i="93" l="1"/>
  <c r="DX92" i="93"/>
  <c r="DB49" i="93" s="1"/>
  <c r="O482" i="114" s="1"/>
  <c r="U359" i="44"/>
  <c r="P485" i="114"/>
  <c r="I485" i="114" s="1"/>
  <c r="BK468" i="72"/>
  <c r="R57" i="34" s="1"/>
  <c r="Q131" i="34"/>
  <c r="CA131" i="34" s="1"/>
  <c r="CA131" i="88"/>
  <c r="P123" i="34"/>
  <c r="Q129" i="34" s="1"/>
  <c r="Q129" i="88"/>
  <c r="AD57" i="34"/>
  <c r="AF57" i="34"/>
  <c r="Z57" i="34"/>
  <c r="AB57" i="34"/>
  <c r="T57" i="34"/>
  <c r="P15" i="72"/>
  <c r="R12" i="72"/>
  <c r="Q14" i="72"/>
  <c r="BZ11" i="72"/>
  <c r="AH11" i="72" a="1"/>
  <c r="AH11" i="72" s="1"/>
  <c r="AG11" i="72" s="1"/>
  <c r="AG29" i="72" s="1"/>
  <c r="O16" i="72" a="1"/>
  <c r="O16" i="72" s="1"/>
  <c r="DM103" i="88"/>
  <c r="DM181" i="88"/>
  <c r="DK103" i="88"/>
  <c r="DK181" i="88"/>
  <c r="DC94" i="34"/>
  <c r="DE173" i="34"/>
  <c r="DC173" i="34"/>
  <c r="DC134" i="34"/>
  <c r="DE134" i="34"/>
  <c r="H482" i="114" l="1"/>
  <c r="U360" i="44"/>
  <c r="Q132" i="34"/>
  <c r="CA132" i="34" s="1"/>
  <c r="CA132" i="88"/>
  <c r="BZ12" i="72"/>
  <c r="P16" i="72"/>
  <c r="R13" i="72"/>
  <c r="Q15" i="72"/>
  <c r="AH12" i="72" a="1"/>
  <c r="AH12" i="72" s="1"/>
  <c r="AG12" i="72" s="1"/>
  <c r="AG30" i="72" s="1"/>
  <c r="O17" i="72" a="1"/>
  <c r="O17" i="72" s="1"/>
  <c r="DC95" i="34"/>
  <c r="DE95" i="34"/>
  <c r="DE174" i="34"/>
  <c r="DC174" i="34"/>
  <c r="DC135" i="34"/>
  <c r="DE135" i="34"/>
  <c r="U361" i="44" l="1"/>
  <c r="Q133" i="34"/>
  <c r="CA133" i="34" s="1"/>
  <c r="CA133" i="88"/>
  <c r="BZ13" i="72"/>
  <c r="P17" i="72"/>
  <c r="R14" i="72"/>
  <c r="Q16" i="72"/>
  <c r="AH13" i="72" a="1"/>
  <c r="AH13" i="72" s="1"/>
  <c r="AG13" i="72" s="1"/>
  <c r="AG31" i="72" s="1"/>
  <c r="O18" i="72" a="1"/>
  <c r="O18" i="72" s="1"/>
  <c r="DE96" i="34"/>
  <c r="DC96" i="34"/>
  <c r="DE97" i="34"/>
  <c r="DE175" i="34"/>
  <c r="DC175" i="34"/>
  <c r="DC136" i="34"/>
  <c r="DE136" i="34"/>
  <c r="U362" i="44" l="1"/>
  <c r="Q134" i="34"/>
  <c r="CA134" i="34" s="1"/>
  <c r="CA134" i="88"/>
  <c r="BZ14" i="72"/>
  <c r="R15" i="72"/>
  <c r="Q17" i="72"/>
  <c r="P18" i="72"/>
  <c r="AH14" i="72" a="1"/>
  <c r="AH14" i="72" s="1"/>
  <c r="AG14" i="72" s="1"/>
  <c r="AG32" i="72" s="1"/>
  <c r="O19" i="72" a="1"/>
  <c r="O19" i="72" s="1"/>
  <c r="DC97" i="34"/>
  <c r="DC176" i="34"/>
  <c r="DE176" i="34"/>
  <c r="DC137" i="34"/>
  <c r="DE137" i="34"/>
  <c r="U363" i="44" l="1"/>
  <c r="Q135" i="34"/>
  <c r="CA135" i="34" s="1"/>
  <c r="CA135" i="88"/>
  <c r="Q18" i="72"/>
  <c r="R16" i="72"/>
  <c r="P19" i="72"/>
  <c r="BZ15" i="72"/>
  <c r="AH15" i="72" a="1"/>
  <c r="AH15" i="72" s="1"/>
  <c r="AG15" i="72" s="1"/>
  <c r="AG33" i="72" s="1"/>
  <c r="O20" i="72" a="1"/>
  <c r="O20" i="72" s="1"/>
  <c r="DC99" i="34"/>
  <c r="DE98" i="34"/>
  <c r="DC98" i="34"/>
  <c r="DE177" i="34"/>
  <c r="DC177" i="34"/>
  <c r="DC138" i="34"/>
  <c r="DE138" i="34"/>
  <c r="U364" i="44" l="1"/>
  <c r="Q136" i="34"/>
  <c r="CA136" i="34" s="1"/>
  <c r="CA136" i="88"/>
  <c r="R17" i="72"/>
  <c r="Q19" i="72"/>
  <c r="P20" i="72"/>
  <c r="BZ16" i="72"/>
  <c r="AH16" i="72" a="1"/>
  <c r="AH16" i="72" s="1"/>
  <c r="AG16" i="72" s="1"/>
  <c r="AG34" i="72" s="1"/>
  <c r="O21" i="72" a="1"/>
  <c r="O21" i="72" s="1"/>
  <c r="DE100" i="34"/>
  <c r="DE99" i="34"/>
  <c r="DE178" i="34"/>
  <c r="DC178" i="34"/>
  <c r="DC139" i="34"/>
  <c r="DE139" i="34"/>
  <c r="U365" i="44" l="1"/>
  <c r="Q137" i="34"/>
  <c r="CA137" i="34" s="1"/>
  <c r="CA137" i="88"/>
  <c r="Q20" i="72"/>
  <c r="R18" i="72"/>
  <c r="P21" i="72"/>
  <c r="BZ17" i="72"/>
  <c r="AH17" i="72" a="1"/>
  <c r="AH17" i="72" s="1"/>
  <c r="O22" i="72" a="1"/>
  <c r="O22" i="72" s="1"/>
  <c r="AQ104" i="34"/>
  <c r="Y165" i="34"/>
  <c r="AW168" i="34" s="1"/>
  <c r="AW168" i="88"/>
  <c r="Y126" i="34"/>
  <c r="AW129" i="34" s="1"/>
  <c r="AW129" i="88"/>
  <c r="DC100" i="34"/>
  <c r="DC179" i="34"/>
  <c r="DE179" i="34"/>
  <c r="DC140" i="34"/>
  <c r="DE140" i="34"/>
  <c r="U366" i="44" l="1"/>
  <c r="Q138" i="34"/>
  <c r="CA138" i="34" s="1"/>
  <c r="CA138" i="88"/>
  <c r="Q21" i="72"/>
  <c r="R19" i="72"/>
  <c r="P22" i="72"/>
  <c r="BZ18" i="72"/>
  <c r="AG17" i="72"/>
  <c r="AG35" i="72" s="1"/>
  <c r="O23" i="72" a="1"/>
  <c r="O23" i="72" s="1"/>
  <c r="AS182" i="34"/>
  <c r="DC102" i="34"/>
  <c r="Y87" i="34"/>
  <c r="AW90" i="34" s="1"/>
  <c r="AW90" i="88"/>
  <c r="DE101" i="34"/>
  <c r="DC101" i="34"/>
  <c r="DC142" i="34"/>
  <c r="DC181" i="34"/>
  <c r="DE142" i="34"/>
  <c r="DE181" i="34"/>
  <c r="DC180" i="34"/>
  <c r="DE180" i="34"/>
  <c r="DC141" i="34"/>
  <c r="DE141" i="34"/>
  <c r="U367" i="44" l="1"/>
  <c r="Q139" i="34"/>
  <c r="CA139" i="34" s="1"/>
  <c r="CA139" i="88"/>
  <c r="Q22" i="72"/>
  <c r="R20" i="72"/>
  <c r="BZ19" i="72"/>
  <c r="P23" i="72"/>
  <c r="AU182" i="34"/>
  <c r="O24" i="72" a="1"/>
  <c r="O24" i="72" s="1"/>
  <c r="DE102" i="34"/>
  <c r="DI170" i="34"/>
  <c r="DI131" i="34"/>
  <c r="DG131" i="34"/>
  <c r="DG170" i="34"/>
  <c r="BK346" i="72"/>
  <c r="BK360" i="72" l="1"/>
  <c r="U368" i="44"/>
  <c r="BK368" i="72"/>
  <c r="BK373" i="72" s="1"/>
  <c r="DO78" i="93" s="1"/>
  <c r="Q140" i="34"/>
  <c r="CA140" i="34" s="1"/>
  <c r="CA140" i="88"/>
  <c r="P24" i="72"/>
  <c r="R21" i="72"/>
  <c r="BZ20" i="72"/>
  <c r="Q23" i="72"/>
  <c r="AS104" i="34"/>
  <c r="O25" i="72" a="1"/>
  <c r="O25" i="72" s="1"/>
  <c r="DE103" i="34"/>
  <c r="DI92" i="34"/>
  <c r="DC103" i="34"/>
  <c r="DG92" i="34"/>
  <c r="CD345" i="72"/>
  <c r="BP508" i="72"/>
  <c r="U369" i="44" l="1"/>
  <c r="CD367" i="72"/>
  <c r="CD372" i="72" s="1"/>
  <c r="EH77" i="93" s="1"/>
  <c r="Q144" i="34"/>
  <c r="Q143" i="34"/>
  <c r="Q141" i="34"/>
  <c r="CA141" i="34" s="1"/>
  <c r="CA141" i="88"/>
  <c r="P25" i="72"/>
  <c r="Q24" i="72"/>
  <c r="BZ21" i="72"/>
  <c r="R22" i="72"/>
  <c r="O26" i="72" a="1"/>
  <c r="O26" i="72" s="1"/>
  <c r="P26" i="72" s="1"/>
  <c r="Q26" i="72" s="1"/>
  <c r="DG171" i="34"/>
  <c r="DI171" i="34"/>
  <c r="DG132" i="34"/>
  <c r="DI132" i="34"/>
  <c r="CD359" i="72"/>
  <c r="CA142" i="88" l="1"/>
  <c r="U370" i="44"/>
  <c r="BZ372" i="72"/>
  <c r="ED77" i="93" s="1"/>
  <c r="BC105" i="34"/>
  <c r="Q142" i="34"/>
  <c r="CA142" i="34" s="1"/>
  <c r="Q25" i="72"/>
  <c r="CA430" i="72"/>
  <c r="DQ85" i="93" s="1"/>
  <c r="DQ90" i="93" s="1"/>
  <c r="DQ45" i="93" s="1"/>
  <c r="R23" i="72"/>
  <c r="O27" i="72" a="1"/>
  <c r="O27" i="72" s="1"/>
  <c r="P27" i="72" s="1"/>
  <c r="Q27" i="72" s="1"/>
  <c r="DI94" i="34"/>
  <c r="DI93" i="34"/>
  <c r="DG93" i="34"/>
  <c r="DG172" i="34"/>
  <c r="DI172" i="34"/>
  <c r="DG133" i="34"/>
  <c r="DI133" i="34"/>
  <c r="DY94" i="93" l="1"/>
  <c r="DX94" i="93"/>
  <c r="DB51" i="93" s="1"/>
  <c r="AU105" i="34"/>
  <c r="P487" i="114"/>
  <c r="I487" i="114" s="1"/>
  <c r="BQ468" i="72"/>
  <c r="V57" i="34" s="1"/>
  <c r="R25" i="72"/>
  <c r="R24" i="72"/>
  <c r="R26" i="72"/>
  <c r="O28" i="72" a="1"/>
  <c r="O28" i="72" s="1"/>
  <c r="DG94" i="34"/>
  <c r="DG95" i="34"/>
  <c r="DG173" i="34"/>
  <c r="DI173" i="34"/>
  <c r="DG134" i="34"/>
  <c r="DI134" i="34"/>
  <c r="DP42" i="93"/>
  <c r="P28" i="72" l="1"/>
  <c r="O29" i="72" a="1"/>
  <c r="O29" i="72" s="1"/>
  <c r="P29" i="72" s="1"/>
  <c r="Q29" i="72" s="1"/>
  <c r="DI95" i="34"/>
  <c r="DG174" i="34"/>
  <c r="DI174" i="34"/>
  <c r="DG135" i="34"/>
  <c r="DI135" i="34"/>
  <c r="Q28" i="72" l="1"/>
  <c r="O30" i="72" a="1"/>
  <c r="O30" i="72" s="1"/>
  <c r="DI96" i="34"/>
  <c r="DG96" i="34"/>
  <c r="DG175" i="34"/>
  <c r="DI175" i="34"/>
  <c r="DG136" i="34"/>
  <c r="DI136" i="34"/>
  <c r="P30" i="72" l="1"/>
  <c r="R28" i="72"/>
  <c r="R27" i="72"/>
  <c r="O31" i="72" a="1"/>
  <c r="O31" i="72" s="1"/>
  <c r="DI98" i="34"/>
  <c r="DI97" i="34"/>
  <c r="DG97" i="34"/>
  <c r="DG176" i="34"/>
  <c r="DI176" i="34"/>
  <c r="DG137" i="34"/>
  <c r="DI137" i="34"/>
  <c r="P31" i="72" l="1"/>
  <c r="Q30" i="72"/>
  <c r="BZ26" i="72"/>
  <c r="O32" i="72" a="1"/>
  <c r="O32" i="72" s="1"/>
  <c r="DG98" i="34"/>
  <c r="DG177" i="34"/>
  <c r="DI177" i="34"/>
  <c r="DG138" i="34"/>
  <c r="DI138" i="34"/>
  <c r="CC131" i="88" l="1"/>
  <c r="U376" i="44"/>
  <c r="S131" i="34"/>
  <c r="CC131" i="34" s="1"/>
  <c r="P32" i="72"/>
  <c r="Q31" i="72"/>
  <c r="BZ27" i="72"/>
  <c r="R29" i="72"/>
  <c r="O33" i="72" a="1"/>
  <c r="O33" i="72" s="1"/>
  <c r="DI100" i="34"/>
  <c r="DG99" i="34"/>
  <c r="DI99" i="34"/>
  <c r="DG178" i="34"/>
  <c r="DI178" i="34"/>
  <c r="DG139" i="34"/>
  <c r="DI139" i="34"/>
  <c r="U377" i="44" l="1"/>
  <c r="S132" i="34"/>
  <c r="CC132" i="34" s="1"/>
  <c r="CC132" i="88"/>
  <c r="Q32" i="72"/>
  <c r="R30" i="72"/>
  <c r="P33" i="72"/>
  <c r="BZ28" i="72"/>
  <c r="O34" i="72" a="1"/>
  <c r="O34" i="72" s="1"/>
  <c r="AU104" i="34"/>
  <c r="Y166" i="34"/>
  <c r="BA168" i="34" s="1"/>
  <c r="BA168" i="88"/>
  <c r="Y127" i="34"/>
  <c r="BA129" i="34" s="1"/>
  <c r="BA129" i="88"/>
  <c r="DG100" i="34"/>
  <c r="DI101" i="34"/>
  <c r="DG179" i="34"/>
  <c r="DI179" i="34"/>
  <c r="DG140" i="34"/>
  <c r="DI140" i="34"/>
  <c r="U378" i="44" l="1"/>
  <c r="S133" i="34"/>
  <c r="CC133" i="34" s="1"/>
  <c r="CC133" i="88"/>
  <c r="Q33" i="72"/>
  <c r="BZ29" i="72"/>
  <c r="R31" i="72"/>
  <c r="P34" i="72"/>
  <c r="O35" i="72" a="1"/>
  <c r="O35" i="72" s="1"/>
  <c r="AY182" i="34"/>
  <c r="AW182" i="34"/>
  <c r="Y88" i="34"/>
  <c r="BA90" i="34" s="1"/>
  <c r="BA90" i="88"/>
  <c r="DG101" i="34"/>
  <c r="DG181" i="34"/>
  <c r="DG142" i="34"/>
  <c r="DI181" i="34"/>
  <c r="DI142" i="34"/>
  <c r="DG180" i="34"/>
  <c r="DI180" i="34"/>
  <c r="DG141" i="34"/>
  <c r="DI141" i="34"/>
  <c r="U379" i="44" l="1"/>
  <c r="S134" i="34"/>
  <c r="CC134" i="34" s="1"/>
  <c r="CC134" i="88"/>
  <c r="Q34" i="72"/>
  <c r="R32" i="72"/>
  <c r="BZ30" i="72"/>
  <c r="P35" i="72"/>
  <c r="O36" i="72" a="1"/>
  <c r="O36" i="72" s="1"/>
  <c r="AW104" i="34"/>
  <c r="DG102" i="34"/>
  <c r="DI102" i="34"/>
  <c r="DI103" i="34"/>
  <c r="DK131" i="34"/>
  <c r="DM131" i="34"/>
  <c r="DK170" i="34"/>
  <c r="DM170" i="34"/>
  <c r="U380" i="44" l="1"/>
  <c r="S135" i="34"/>
  <c r="CC135" i="34" s="1"/>
  <c r="CC135" i="88"/>
  <c r="Q35" i="72"/>
  <c r="R33" i="72"/>
  <c r="BZ31" i="72"/>
  <c r="P36" i="72"/>
  <c r="O37" i="72" a="1"/>
  <c r="O37" i="72" s="1"/>
  <c r="DG103" i="34"/>
  <c r="U381" i="44" l="1"/>
  <c r="S136" i="34"/>
  <c r="CC136" i="34" s="1"/>
  <c r="CC136" i="88"/>
  <c r="Q36" i="72"/>
  <c r="R34" i="72"/>
  <c r="BZ32" i="72"/>
  <c r="P37" i="72"/>
  <c r="U104" i="34"/>
  <c r="O38" i="72" a="1"/>
  <c r="O38" i="72" s="1"/>
  <c r="DK92" i="34"/>
  <c r="DK93" i="34"/>
  <c r="DM92" i="34"/>
  <c r="DK171" i="34"/>
  <c r="DM171" i="34"/>
  <c r="DK132" i="34"/>
  <c r="DM132" i="34"/>
  <c r="U382" i="44" l="1"/>
  <c r="S137" i="34"/>
  <c r="CC137" i="34" s="1"/>
  <c r="CC137" i="88"/>
  <c r="Q37" i="72"/>
  <c r="R35" i="72"/>
  <c r="BZ33" i="72"/>
  <c r="P38" i="72"/>
  <c r="O39" i="72" a="1"/>
  <c r="O39" i="72" s="1"/>
  <c r="O486" i="114"/>
  <c r="DM93" i="34"/>
  <c r="DK172" i="34"/>
  <c r="DM172" i="34"/>
  <c r="DK133" i="34"/>
  <c r="DM133" i="34"/>
  <c r="H486" i="114" l="1"/>
  <c r="U383" i="44"/>
  <c r="BL373" i="72"/>
  <c r="DP78" i="93" s="1"/>
  <c r="S138" i="34"/>
  <c r="CC138" i="34" s="1"/>
  <c r="CC138" i="88"/>
  <c r="Q38" i="72"/>
  <c r="R36" i="72"/>
  <c r="BZ34" i="72"/>
  <c r="P39" i="72"/>
  <c r="O40" i="72" a="1"/>
  <c r="O40" i="72" s="1"/>
  <c r="DK94" i="34"/>
  <c r="DM94" i="34"/>
  <c r="DK173" i="34"/>
  <c r="DM173" i="34"/>
  <c r="DK134" i="34"/>
  <c r="DM134" i="34"/>
  <c r="BZ430" i="72" a="1"/>
  <c r="U384" i="44" l="1"/>
  <c r="S144" i="34"/>
  <c r="S143" i="34"/>
  <c r="S139" i="34"/>
  <c r="CC139" i="34" s="1"/>
  <c r="CC139" i="88"/>
  <c r="BZ430" i="72"/>
  <c r="CB430" i="72" s="1"/>
  <c r="DR85" i="93" s="1"/>
  <c r="DR90" i="93" s="1"/>
  <c r="DQ46" i="93" s="1"/>
  <c r="BZ36" i="72"/>
  <c r="R37" i="72"/>
  <c r="BZ35" i="72"/>
  <c r="P40" i="72"/>
  <c r="Q39" i="72"/>
  <c r="O41" i="72" a="1"/>
  <c r="O41" i="72" s="1"/>
  <c r="DM95" i="34"/>
  <c r="DK95" i="34"/>
  <c r="DK174" i="34"/>
  <c r="DM174" i="34"/>
  <c r="DK135" i="34"/>
  <c r="DM135" i="34"/>
  <c r="DQ42" i="93"/>
  <c r="BP509" i="72"/>
  <c r="DY95" i="93" l="1"/>
  <c r="DX95" i="93"/>
  <c r="DB52" i="93" s="1"/>
  <c r="O485" i="114" s="1"/>
  <c r="DY91" i="93"/>
  <c r="DX91" i="93"/>
  <c r="DB48" i="93" s="1"/>
  <c r="O481" i="114" s="1"/>
  <c r="U385" i="44"/>
  <c r="U386" i="44"/>
  <c r="P484" i="114"/>
  <c r="I484" i="114" s="1"/>
  <c r="P488" i="114"/>
  <c r="BR468" i="72"/>
  <c r="X57" i="34" s="1"/>
  <c r="S140" i="34"/>
  <c r="CC140" i="34" s="1"/>
  <c r="CC140" i="88"/>
  <c r="S141" i="34"/>
  <c r="CC141" i="34" s="1"/>
  <c r="CC141" i="88"/>
  <c r="BL494" i="72"/>
  <c r="GL22" i="72" s="1"/>
  <c r="GR22" i="72" s="1"/>
  <c r="GS22" i="72" s="1"/>
  <c r="C131" i="93" s="1"/>
  <c r="BZ37" i="72"/>
  <c r="P41" i="72"/>
  <c r="R38" i="72"/>
  <c r="Q40" i="72"/>
  <c r="O42" i="72" a="1"/>
  <c r="O42" i="72" s="1"/>
  <c r="P42" i="72" s="1"/>
  <c r="Q42" i="72" s="1"/>
  <c r="DM96" i="34"/>
  <c r="DK96" i="34"/>
  <c r="DK175" i="34"/>
  <c r="DM175" i="34"/>
  <c r="DK136" i="34"/>
  <c r="DM136" i="34"/>
  <c r="I488" i="114" l="1"/>
  <c r="H485" i="114"/>
  <c r="H481" i="114"/>
  <c r="U387" i="44"/>
  <c r="S142" i="34"/>
  <c r="CC142" i="34" s="1"/>
  <c r="CC142" i="88"/>
  <c r="M104" i="36"/>
  <c r="R39" i="72"/>
  <c r="Q41" i="72"/>
  <c r="O43" i="72" a="1"/>
  <c r="O43" i="72" s="1"/>
  <c r="DM98" i="34"/>
  <c r="DM97" i="34"/>
  <c r="DK97" i="34"/>
  <c r="DK176" i="34"/>
  <c r="DM176" i="34"/>
  <c r="DK137" i="34"/>
  <c r="DM137" i="34"/>
  <c r="R191" i="64" l="1"/>
  <c r="R40" i="72"/>
  <c r="R41" i="72"/>
  <c r="P43" i="72"/>
  <c r="Q43" i="72" s="1"/>
  <c r="R43" i="72" s="1"/>
  <c r="DK99" i="34"/>
  <c r="DK98" i="34"/>
  <c r="DK177" i="34"/>
  <c r="DM177" i="34"/>
  <c r="DK138" i="34"/>
  <c r="DM138" i="34"/>
  <c r="GU24" i="72" a="1"/>
  <c r="GU24" i="72" l="1"/>
  <c r="R42" i="72"/>
  <c r="S4" i="72"/>
  <c r="DM99" i="34"/>
  <c r="DM100" i="34"/>
  <c r="DK178" i="34"/>
  <c r="DM178" i="34"/>
  <c r="DK139" i="34"/>
  <c r="DM139" i="34"/>
  <c r="G54" i="93" l="1"/>
  <c r="B37" i="93" s="1"/>
  <c r="O43" i="114" s="1"/>
  <c r="D133" i="93"/>
  <c r="E133" i="93" s="1"/>
  <c r="O632" i="114" s="1"/>
  <c r="AE11" i="72"/>
  <c r="G28" i="10"/>
  <c r="AY104" i="34"/>
  <c r="DM101" i="34"/>
  <c r="DK100" i="34"/>
  <c r="DK179" i="34"/>
  <c r="DM179" i="34"/>
  <c r="DK140" i="34"/>
  <c r="DM140" i="34"/>
  <c r="BA182" i="34" l="1"/>
  <c r="DK101" i="34"/>
  <c r="DK181" i="34"/>
  <c r="DK142" i="34"/>
  <c r="DM181" i="34"/>
  <c r="DM142" i="34"/>
  <c r="DK180" i="34"/>
  <c r="DM180" i="34"/>
  <c r="DK141" i="34"/>
  <c r="DM141" i="34"/>
  <c r="BC182" i="34" l="1"/>
  <c r="BC104" i="34"/>
  <c r="BA104" i="34"/>
  <c r="DM103" i="34"/>
  <c r="DK102" i="34"/>
  <c r="DM102" i="34"/>
  <c r="DK103" i="34" l="1"/>
  <c r="O484" i="114" l="1"/>
  <c r="X165" i="64"/>
  <c r="H484" i="114" l="1"/>
  <c r="O488" i="114"/>
  <c r="O487" i="114"/>
  <c r="H487" i="114" l="1"/>
  <c r="H488" i="114"/>
  <c r="O624" i="114"/>
  <c r="O623" i="114"/>
  <c r="R190" i="64"/>
  <c r="GU23" i="72" a="1"/>
  <c r="GU19" i="72" a="1"/>
  <c r="GU21" i="72" a="1"/>
  <c r="GU22" i="72" a="1"/>
  <c r="GU20" i="72" a="1"/>
  <c r="GU21" i="72" l="1"/>
  <c r="GU23" i="72"/>
  <c r="GU19" i="72"/>
  <c r="D128" i="93" s="1"/>
  <c r="E128" i="93" s="1"/>
  <c r="GU20" i="72"/>
  <c r="D129" i="93" s="1"/>
  <c r="E129" i="93" s="1"/>
  <c r="GU22" i="72"/>
  <c r="O622" i="114"/>
  <c r="O621" i="114"/>
  <c r="GV22" i="72" l="1"/>
  <c r="GY22" i="72" s="1"/>
  <c r="D131" i="93"/>
  <c r="E131" i="93" s="1"/>
  <c r="O630" i="114" s="1"/>
  <c r="D132" i="93"/>
  <c r="E132" i="93" s="1"/>
  <c r="O631" i="114" s="1"/>
  <c r="D130" i="93"/>
  <c r="E130" i="93" s="1"/>
  <c r="O629" i="114" s="1"/>
  <c r="GV18" i="72"/>
  <c r="GY18" i="72" s="1"/>
  <c r="O627" i="114"/>
  <c r="O628" i="114"/>
  <c r="AB182" i="64"/>
  <c r="GX22" i="72" l="1"/>
  <c r="GW22" i="72"/>
  <c r="AK59" i="72" s="1"/>
  <c r="GP22" i="72"/>
  <c r="HB6" i="72"/>
  <c r="GX18" i="72"/>
  <c r="GW18" i="72"/>
  <c r="AK58" i="72" s="1"/>
  <c r="AL58" i="72" s="1"/>
  <c r="GP18" i="72"/>
  <c r="AB186" i="64"/>
  <c r="AB190" i="64"/>
  <c r="T249" i="64"/>
  <c r="T248" i="64"/>
  <c r="AB184" i="64"/>
  <c r="P238" i="64" l="1"/>
  <c r="AL59" i="72"/>
  <c r="T250" i="64"/>
  <c r="P237" i="64"/>
  <c r="T252" i="64"/>
  <c r="T251" i="64"/>
  <c r="AG23" i="72" l="1"/>
  <c r="AG24" i="72" l="1"/>
  <c r="O112" i="114" l="1"/>
  <c r="O350" i="114"/>
  <c r="O297" i="114"/>
  <c r="O256" i="114"/>
  <c r="O214" i="114"/>
  <c r="O174" i="114"/>
  <c r="H174" i="114" l="1"/>
  <c r="H214" i="114"/>
  <c r="H256" i="114"/>
  <c r="H428" i="114"/>
  <c r="H586" i="114"/>
  <c r="H297" i="114"/>
  <c r="H350" i="114"/>
  <c r="H112" i="114"/>
  <c r="O135" i="114"/>
  <c r="Z6" i="72"/>
  <c r="X7" i="72" a="1"/>
  <c r="X6" i="72" a="1"/>
  <c r="X5" i="72" a="1"/>
  <c r="H135" i="114" l="1"/>
  <c r="X6" i="72"/>
  <c r="X5" i="72"/>
  <c r="X7" i="72"/>
  <c r="Z7" i="72"/>
  <c r="X8" i="72" a="1"/>
  <c r="X8" i="72" l="1"/>
  <c r="Z8" i="72"/>
  <c r="X23" i="72" a="1"/>
  <c r="X23" i="72" l="1"/>
  <c r="Z23" i="72"/>
  <c r="X20" i="72" a="1"/>
  <c r="X20" i="72" l="1"/>
  <c r="Z20" i="72"/>
  <c r="X33" i="72" a="1"/>
  <c r="X33" i="72" l="1"/>
  <c r="Z33" i="72"/>
  <c r="X15" i="72" a="1"/>
  <c r="X15" i="72" l="1"/>
  <c r="Z15" i="72"/>
  <c r="X29" i="72" a="1"/>
  <c r="X29" i="72" l="1"/>
  <c r="Z29" i="72"/>
  <c r="X40" i="72" a="1"/>
  <c r="X40" i="72" l="1"/>
  <c r="Z40" i="72"/>
  <c r="X41" i="72" a="1"/>
  <c r="X41" i="72" l="1"/>
  <c r="Z41" i="72"/>
  <c r="X27" i="72" a="1"/>
  <c r="X27" i="72" l="1"/>
  <c r="Z27" i="72"/>
  <c r="X11" i="72" a="1"/>
  <c r="X11" i="72" l="1"/>
  <c r="Z11" i="72"/>
  <c r="X37" i="72" a="1"/>
  <c r="X37" i="72" l="1"/>
  <c r="Z37" i="72"/>
  <c r="X36" i="72" a="1"/>
  <c r="X36" i="72" l="1"/>
  <c r="Z36" i="72"/>
  <c r="X42" i="72" a="1"/>
  <c r="X42" i="72" l="1"/>
  <c r="Z42" i="72"/>
  <c r="X10" i="72" a="1"/>
  <c r="X10" i="72" l="1"/>
  <c r="Z10" i="72"/>
  <c r="X34" i="72" a="1"/>
  <c r="X34" i="72" l="1"/>
  <c r="Z34" i="72"/>
  <c r="X43" i="72" a="1"/>
  <c r="X43" i="72" l="1"/>
  <c r="Z43" i="72"/>
  <c r="X28" i="72" a="1"/>
  <c r="X28" i="72" l="1"/>
  <c r="Z28" i="72"/>
  <c r="X26" i="72" a="1"/>
  <c r="X26" i="72" l="1"/>
  <c r="Z26" i="72"/>
  <c r="X19" i="72" a="1"/>
  <c r="X19" i="72" l="1"/>
  <c r="Z19" i="72"/>
  <c r="X24" i="72" a="1"/>
  <c r="X24" i="72" l="1"/>
  <c r="Z24" i="72"/>
  <c r="X31" i="72" a="1"/>
  <c r="X31" i="72" l="1"/>
  <c r="Z31" i="72"/>
  <c r="X22" i="72" a="1"/>
  <c r="X22" i="72" l="1"/>
  <c r="Z22" i="72"/>
  <c r="X13" i="72" a="1"/>
  <c r="X13" i="72" l="1"/>
  <c r="Z13" i="72"/>
  <c r="X14" i="72" a="1"/>
  <c r="X14" i="72" l="1"/>
  <c r="Z14" i="72"/>
  <c r="X38" i="72" a="1"/>
  <c r="X38" i="72" l="1"/>
  <c r="Z38" i="72"/>
  <c r="X32" i="72" a="1"/>
  <c r="X32" i="72" l="1"/>
  <c r="Z32" i="72"/>
  <c r="X35" i="72" a="1"/>
  <c r="X35" i="72" l="1"/>
  <c r="Z35" i="72"/>
  <c r="X17" i="72" a="1"/>
  <c r="X17" i="72" l="1"/>
  <c r="Z17" i="72"/>
  <c r="X16" i="72" a="1"/>
  <c r="X16" i="72" l="1"/>
  <c r="Z16" i="72"/>
  <c r="X12" i="72" a="1"/>
  <c r="X12" i="72" l="1"/>
  <c r="Z12" i="72"/>
  <c r="X30" i="72" a="1"/>
  <c r="X30" i="72" l="1"/>
  <c r="Z30" i="72"/>
  <c r="X21" i="72" a="1"/>
  <c r="X21" i="72" l="1"/>
  <c r="Z21" i="72"/>
  <c r="X18" i="72" a="1"/>
  <c r="X18" i="72" l="1"/>
  <c r="Z18" i="72"/>
  <c r="X39" i="72" a="1"/>
  <c r="X39" i="72" l="1"/>
  <c r="Z39" i="72"/>
  <c r="X25" i="72" a="1"/>
  <c r="X25" i="72" l="1"/>
  <c r="Z25" i="72"/>
  <c r="X9" i="72" a="1"/>
  <c r="X9" i="72" l="1"/>
  <c r="Z9" i="72"/>
  <c r="AE12" i="72" l="1"/>
  <c r="AI3" i="72"/>
  <c r="AG21" i="72" s="1"/>
  <c r="AI4" i="72"/>
  <c r="AG22" i="72" s="1"/>
  <c r="AI16" i="72"/>
  <c r="AI12" i="72"/>
  <c r="AI17" i="72"/>
  <c r="AI6" i="72"/>
  <c r="AI15" i="72"/>
  <c r="AI13" i="72"/>
  <c r="AI5" i="72"/>
  <c r="AI8" i="72"/>
  <c r="AI11" i="72"/>
  <c r="AI14" i="72"/>
  <c r="AI10" i="72"/>
  <c r="AI7" i="72"/>
  <c r="AI9" i="72"/>
  <c r="AE13" i="72" l="1"/>
  <c r="K30" i="10" s="1"/>
  <c r="W4" i="72"/>
  <c r="N32" i="10" s="1"/>
  <c r="W7" i="72"/>
  <c r="N35" i="10" s="1"/>
  <c r="W8" i="72"/>
  <c r="N36" i="10" s="1"/>
  <c r="W23" i="72"/>
  <c r="N51" i="10" s="1"/>
  <c r="W20" i="72"/>
  <c r="N48" i="10" s="1"/>
  <c r="W33" i="72"/>
  <c r="N61" i="10" s="1"/>
  <c r="W15" i="72"/>
  <c r="W29" i="72"/>
  <c r="N57" i="10" s="1"/>
  <c r="W40" i="72"/>
  <c r="N68" i="10" s="1"/>
  <c r="W41" i="72"/>
  <c r="N69" i="10" s="1"/>
  <c r="W27" i="72"/>
  <c r="N55" i="10" s="1"/>
  <c r="W11" i="72"/>
  <c r="W37" i="72"/>
  <c r="N65" i="10" s="1"/>
  <c r="W36" i="72"/>
  <c r="N64" i="10" s="1"/>
  <c r="W42" i="72"/>
  <c r="N70" i="10" s="1"/>
  <c r="W10" i="72"/>
  <c r="N38" i="10" s="1"/>
  <c r="W34" i="72"/>
  <c r="N62" i="10" s="1"/>
  <c r="W43" i="72"/>
  <c r="N71" i="10" s="1"/>
  <c r="W28" i="72"/>
  <c r="W26" i="72"/>
  <c r="N54" i="10" s="1"/>
  <c r="W19" i="72"/>
  <c r="N47" i="10" s="1"/>
  <c r="W24" i="72"/>
  <c r="N52" i="10" s="1"/>
  <c r="W31" i="72"/>
  <c r="N59" i="10" s="1"/>
  <c r="W22" i="72"/>
  <c r="N50" i="10" s="1"/>
  <c r="W13" i="72"/>
  <c r="N41" i="10" s="1"/>
  <c r="W14" i="72"/>
  <c r="N42" i="10" s="1"/>
  <c r="W38" i="72"/>
  <c r="N66" i="10" s="1"/>
  <c r="W32" i="72"/>
  <c r="N60" i="10" s="1"/>
  <c r="W35" i="72"/>
  <c r="W17" i="72"/>
  <c r="N45" i="10" s="1"/>
  <c r="W16" i="72"/>
  <c r="N44" i="10" s="1"/>
  <c r="W12" i="72"/>
  <c r="N40" i="10" s="1"/>
  <c r="W30" i="72"/>
  <c r="N58" i="10" s="1"/>
  <c r="W21" i="72"/>
  <c r="N49" i="10" s="1"/>
  <c r="W18" i="72"/>
  <c r="N46" i="10" s="1"/>
  <c r="W39" i="72"/>
  <c r="N67" i="10" s="1"/>
  <c r="W25" i="72"/>
  <c r="W9" i="72"/>
  <c r="N37" i="10" s="1"/>
  <c r="W6" i="72"/>
  <c r="N34" i="10" s="1"/>
  <c r="W5" i="72"/>
  <c r="Z5" i="72" s="1"/>
  <c r="AA4" i="72" s="1" a="1"/>
  <c r="AA4" i="72" s="1"/>
  <c r="N43" i="10" l="1"/>
  <c r="N63" i="10"/>
  <c r="N53" i="10"/>
  <c r="N39" i="10"/>
  <c r="N56" i="10"/>
  <c r="N33" i="10"/>
  <c r="AA5" i="72" a="1"/>
  <c r="AA5" i="72" s="1"/>
  <c r="AB4" i="72" s="1"/>
  <c r="I48" i="93"/>
  <c r="AA6" i="72" l="1" a="1"/>
  <c r="AA6" i="72" s="1"/>
  <c r="AB5" i="72" s="1"/>
  <c r="O64" i="114" l="1"/>
  <c r="AA7" i="72" a="1"/>
  <c r="AA7" i="72" s="1"/>
  <c r="AB6" i="72" s="1"/>
  <c r="AA8" i="72" l="1" a="1"/>
  <c r="AA8" i="72" s="1"/>
  <c r="AB7" i="72" s="1"/>
  <c r="AA9" i="72" l="1" a="1"/>
  <c r="AA9" i="72" s="1"/>
  <c r="AB8" i="72" s="1"/>
  <c r="AA10" i="72" l="1" a="1"/>
  <c r="AA10" i="72" s="1"/>
  <c r="AB9" i="72" s="1"/>
  <c r="AA11" i="72" l="1" a="1"/>
  <c r="AA11" i="72" s="1"/>
  <c r="AB10" i="72" l="1"/>
  <c r="AA12" i="72" a="1"/>
  <c r="AA12" i="72" s="1"/>
  <c r="AB11" i="72" s="1"/>
  <c r="AA13" i="72" l="1" a="1"/>
  <c r="AA13" i="72" s="1"/>
  <c r="AB12" i="72" s="1"/>
  <c r="AA14" i="72" l="1" a="1"/>
  <c r="AA14" i="72" s="1"/>
  <c r="AB13" i="72" s="1"/>
  <c r="AA15" i="72" l="1" a="1"/>
  <c r="AA15" i="72" s="1"/>
  <c r="AB14" i="72" l="1"/>
  <c r="AA16" i="72" a="1"/>
  <c r="AA16" i="72" s="1"/>
  <c r="AB15" i="72" s="1"/>
  <c r="AA17" i="72" l="1" a="1"/>
  <c r="AA17" i="72" s="1"/>
  <c r="AB16" i="72" s="1"/>
  <c r="AA18" i="72" l="1" a="1"/>
  <c r="AA18" i="72" s="1"/>
  <c r="AB17" i="72" s="1"/>
  <c r="AA19" i="72" l="1" a="1"/>
  <c r="AA19" i="72" s="1"/>
  <c r="AB18" i="72" s="1"/>
  <c r="AA20" i="72" l="1" a="1"/>
  <c r="AA20" i="72" s="1"/>
  <c r="AB19" i="72" s="1"/>
  <c r="AA21" i="72" l="1" a="1"/>
  <c r="AA21" i="72" s="1"/>
  <c r="AB20" i="72" s="1"/>
  <c r="AA22" i="72" l="1" a="1"/>
  <c r="AA22" i="72" s="1"/>
  <c r="AB21" i="72" s="1"/>
  <c r="AA23" i="72" l="1" a="1"/>
  <c r="AA23" i="72" s="1"/>
  <c r="AB22" i="72" s="1"/>
  <c r="AA24" i="72" l="1" a="1"/>
  <c r="AA24" i="72" s="1"/>
  <c r="AB23" i="72" s="1"/>
  <c r="AA25" i="72" l="1" a="1"/>
  <c r="AA25" i="72" s="1"/>
  <c r="AB24" i="72" l="1"/>
  <c r="AA26" i="72" a="1"/>
  <c r="AA26" i="72" s="1"/>
  <c r="AB25" i="72" s="1"/>
  <c r="AA27" i="72" l="1" a="1"/>
  <c r="AA27" i="72" s="1"/>
  <c r="AB26" i="72" s="1"/>
  <c r="AA28" i="72" l="1" a="1"/>
  <c r="AA28" i="72" s="1"/>
  <c r="AB27" i="72" l="1"/>
  <c r="AA29" i="72" a="1"/>
  <c r="AA29" i="72" s="1"/>
  <c r="AB28" i="72" s="1"/>
  <c r="AA30" i="72" l="1" a="1"/>
  <c r="AA30" i="72" s="1"/>
  <c r="AB29" i="72" s="1"/>
  <c r="AA31" i="72" l="1" a="1"/>
  <c r="AA31" i="72" s="1"/>
  <c r="AB30" i="72" s="1"/>
  <c r="AA32" i="72" l="1" a="1"/>
  <c r="AA32" i="72" s="1"/>
  <c r="AB31" i="72" s="1"/>
  <c r="AA33" i="72" l="1" a="1"/>
  <c r="AA33" i="72" s="1"/>
  <c r="AB32" i="72" s="1"/>
  <c r="AA34" i="72" l="1" a="1"/>
  <c r="AA34" i="72" s="1"/>
  <c r="AB33" i="72" s="1"/>
  <c r="AA35" i="72" l="1" a="1"/>
  <c r="AA35" i="72" s="1"/>
  <c r="AB34" i="72" l="1"/>
  <c r="AA36" i="72" a="1"/>
  <c r="AA36" i="72" s="1"/>
  <c r="AB35" i="72" s="1"/>
  <c r="AA37" i="72" l="1" a="1"/>
  <c r="AA37" i="72" s="1"/>
  <c r="AB36" i="72" s="1"/>
  <c r="AA38" i="72" l="1" a="1"/>
  <c r="AA38" i="72" s="1"/>
  <c r="AB37" i="72" s="1"/>
  <c r="AA39" i="72" l="1" a="1"/>
  <c r="AA39" i="72" s="1"/>
  <c r="AB38" i="72" s="1"/>
  <c r="AA40" i="72" l="1" a="1"/>
  <c r="AA40" i="72" s="1"/>
  <c r="AB39" i="72" s="1"/>
  <c r="AA41" i="72" l="1" a="1"/>
  <c r="AA41" i="72" s="1"/>
  <c r="AB40" i="72" s="1"/>
  <c r="AA42" i="72" l="1" a="1"/>
  <c r="AA42" i="72" s="1"/>
  <c r="AB41" i="72" s="1"/>
  <c r="AA43" i="72" l="1" a="1"/>
  <c r="AA43" i="72" s="1"/>
  <c r="AB43" i="72" s="1"/>
  <c r="AB42" i="72" l="1"/>
  <c r="AD4" i="72" l="1"/>
  <c r="EW71" i="72" l="1"/>
  <c r="B114" i="64" s="1"/>
  <c r="J209" i="72"/>
  <c r="X59" i="26" s="1"/>
  <c r="K213" i="72" l="1"/>
  <c r="Z63" i="26" s="1"/>
  <c r="J208" i="72" l="1"/>
  <c r="X58" i="26" s="1"/>
  <c r="K210" i="72" l="1"/>
  <c r="Z60" i="26" s="1"/>
  <c r="J211" i="72" l="1"/>
  <c r="X61" i="26" l="1"/>
  <c r="K214" i="72"/>
  <c r="Z64" i="26" s="1"/>
  <c r="K215" i="72" l="1"/>
  <c r="Z65" i="26" s="1"/>
  <c r="K209" i="72" l="1"/>
  <c r="Z59" i="26" s="1"/>
  <c r="J212" i="72" l="1"/>
  <c r="X62" i="26" l="1"/>
  <c r="K211" i="72"/>
  <c r="Z61" i="26" s="1"/>
  <c r="K207" i="72" l="1"/>
  <c r="Z57" i="26" s="1"/>
  <c r="J214" i="72" l="1"/>
  <c r="X64" i="26" s="1"/>
  <c r="K212" i="72" l="1"/>
  <c r="Z62" i="26" s="1"/>
  <c r="J215" i="72" l="1"/>
  <c r="X65" i="26" s="1"/>
  <c r="J213" i="72" l="1"/>
  <c r="X63" i="26" l="1"/>
  <c r="J207" i="72"/>
  <c r="K208" i="72" l="1"/>
  <c r="X57" i="26"/>
  <c r="Z58" i="26" l="1"/>
  <c r="J210" i="72"/>
  <c r="J192" i="72" l="1"/>
  <c r="X60" i="26"/>
  <c r="BP263" i="102"/>
  <c r="BP263" i="93"/>
  <c r="J193" i="72" l="1"/>
  <c r="BJ287" i="93" s="1"/>
  <c r="BJ289" i="93" s="1"/>
  <c r="BB278" i="93" s="1"/>
  <c r="O295" i="114" s="1"/>
  <c r="Z56" i="26"/>
  <c r="BQ263" i="93"/>
  <c r="BQ263" i="102"/>
  <c r="BJ287" i="102" l="1"/>
  <c r="BJ289" i="102" s="1"/>
  <c r="BB278" i="102" s="1"/>
  <c r="P295" i="114" s="1"/>
  <c r="H295" i="114"/>
  <c r="O298" i="114"/>
  <c r="I295" i="114" l="1"/>
  <c r="H298" i="114"/>
  <c r="O283" i="114"/>
  <c r="J192" i="92"/>
  <c r="H283" i="114" l="1"/>
  <c r="J193" i="92"/>
  <c r="P298" i="114" l="1"/>
  <c r="X164" i="64"/>
  <c r="I298" i="114" l="1"/>
  <c r="J95" i="36"/>
  <c r="AE96" i="36" l="1"/>
  <c r="AE95" i="36" l="1"/>
  <c r="X96" i="36" l="1"/>
  <c r="X95" i="36" l="1"/>
  <c r="Q96" i="36" l="1"/>
  <c r="Q95" i="36" l="1"/>
  <c r="H572" i="114" l="1"/>
  <c r="H549" i="114"/>
  <c r="J96" i="36" l="1"/>
  <c r="H573" i="114" l="1"/>
  <c r="DD102" i="72" l="1"/>
  <c r="Y136" i="49" l="1"/>
  <c r="DD105" i="72" l="1"/>
  <c r="Y139" i="49" l="1"/>
  <c r="DD103" i="72" l="1"/>
  <c r="Y137" i="49" l="1"/>
  <c r="DD104" i="72" l="1"/>
  <c r="Y138" i="49" l="1"/>
  <c r="DD110" i="72" l="1"/>
  <c r="DD109" i="72"/>
  <c r="Y143" i="49" l="1"/>
  <c r="Y144" i="49"/>
  <c r="DD106" i="72" l="1"/>
  <c r="Y140" i="49" l="1"/>
  <c r="DD108" i="72" l="1"/>
  <c r="Y142" i="49" l="1"/>
  <c r="DD107" i="72" l="1"/>
  <c r="Y141" i="49" l="1"/>
  <c r="DD101" i="72" l="1"/>
  <c r="Y135" i="49" l="1"/>
  <c r="EE148" i="93"/>
  <c r="EE148" i="102"/>
  <c r="DD52" i="72" l="1"/>
  <c r="Y51" i="49" l="1"/>
  <c r="DD62" i="72"/>
  <c r="Y68" i="49" l="1"/>
  <c r="DD53" i="72" l="1"/>
  <c r="Y52" i="49" l="1"/>
  <c r="DD54" i="72" l="1"/>
  <c r="Y53" i="49" l="1"/>
  <c r="DD64" i="72" l="1"/>
  <c r="Y70" i="49" l="1"/>
  <c r="DD63" i="72" l="1"/>
  <c r="Y69" i="49" l="1"/>
  <c r="DD61" i="72" l="1"/>
  <c r="DD65" i="72"/>
  <c r="Y71" i="49" l="1"/>
  <c r="Y67" i="49"/>
  <c r="DD66" i="72" l="1"/>
  <c r="Y72" i="49" l="1"/>
  <c r="DD67" i="72" l="1"/>
  <c r="Y73" i="49" l="1"/>
  <c r="DD83" i="72" l="1"/>
  <c r="Y103" i="49" l="1"/>
  <c r="DD55" i="72"/>
  <c r="Y54" i="49" l="1"/>
  <c r="DD69" i="72" l="1"/>
  <c r="Y75" i="49" l="1"/>
  <c r="DD82" i="72" l="1"/>
  <c r="Y102" i="49" l="1"/>
  <c r="DD68" i="72" l="1"/>
  <c r="Y74" i="49" l="1"/>
  <c r="DD56" i="72"/>
  <c r="Y55" i="49" l="1"/>
  <c r="DD87" i="72" l="1"/>
  <c r="Y107" i="49" l="1"/>
  <c r="DD57" i="72" l="1"/>
  <c r="Y56" i="49" l="1"/>
  <c r="DD86" i="72" l="1"/>
  <c r="Y106" i="49" l="1"/>
  <c r="DD85" i="72" l="1"/>
  <c r="Y105" i="49" l="1"/>
  <c r="DD90" i="72" l="1"/>
  <c r="DD84" i="72"/>
  <c r="Y104" i="49" l="1"/>
  <c r="Y110" i="49"/>
  <c r="DD88" i="72" l="1"/>
  <c r="Y108" i="49" l="1"/>
  <c r="DD89" i="72" l="1"/>
  <c r="Y109" i="49" l="1"/>
  <c r="DD70" i="72" l="1"/>
  <c r="Y76" i="49" l="1"/>
  <c r="DD58" i="72"/>
  <c r="EE144" i="102"/>
  <c r="EE144" i="93"/>
  <c r="Y57" i="49" l="1"/>
  <c r="DD81" i="72" l="1"/>
  <c r="EE146" i="102"/>
  <c r="Y101" i="49" l="1"/>
  <c r="DD59" i="72"/>
  <c r="EE146" i="93"/>
  <c r="Y58" i="49" l="1"/>
  <c r="DD60" i="72" l="1"/>
  <c r="DD93" i="72"/>
  <c r="Y120" i="49" l="1"/>
  <c r="Y59" i="49"/>
  <c r="DD94" i="72" l="1"/>
  <c r="Y121" i="49" l="1"/>
  <c r="DD99" i="72" l="1"/>
  <c r="Y126" i="49" l="1"/>
  <c r="DD73" i="72" l="1"/>
  <c r="Y86" i="49" l="1"/>
  <c r="DD92" i="72" l="1"/>
  <c r="Y119" i="49" l="1"/>
  <c r="DD98" i="72" l="1"/>
  <c r="Y125" i="49" l="1"/>
  <c r="DD74" i="72" l="1"/>
  <c r="Y87" i="49" l="1"/>
  <c r="DD77" i="72"/>
  <c r="Y90" i="49" l="1"/>
  <c r="DD97" i="72" l="1"/>
  <c r="Y124" i="49" l="1"/>
  <c r="DD96" i="72"/>
  <c r="Y123" i="49" l="1"/>
  <c r="DD95" i="72" l="1"/>
  <c r="Y122" i="49" l="1"/>
  <c r="DD72" i="72"/>
  <c r="Y85" i="49" l="1"/>
  <c r="DD100" i="72" l="1"/>
  <c r="Y127" i="49" l="1"/>
  <c r="DD91" i="72"/>
  <c r="DD76" i="72"/>
  <c r="Y89" i="49" l="1"/>
  <c r="Y118" i="49"/>
  <c r="EE147" i="93"/>
  <c r="EE147" i="102"/>
  <c r="DD75" i="72" l="1"/>
  <c r="Y88" i="49" l="1"/>
  <c r="DD71" i="72" l="1"/>
  <c r="DD79" i="72"/>
  <c r="Y84" i="49" l="1"/>
  <c r="Y92" i="49"/>
  <c r="DD80" i="72" l="1"/>
  <c r="DD78" i="72"/>
  <c r="Y93" i="49" l="1"/>
  <c r="Y91" i="49"/>
  <c r="EE145" i="102"/>
  <c r="EE145" i="93"/>
  <c r="DD51" i="72" l="1"/>
  <c r="Y50" i="49" l="1"/>
  <c r="EE143" i="93"/>
  <c r="EE143" i="102"/>
  <c r="DD42" i="72" l="1"/>
  <c r="Y34" i="49" l="1"/>
  <c r="DD43" i="72"/>
  <c r="Y35" i="49" l="1"/>
  <c r="DD41" i="72" l="1"/>
  <c r="DD44" i="72"/>
  <c r="Y36" i="49" l="1"/>
  <c r="Y33" i="49"/>
  <c r="DD45" i="72"/>
  <c r="Y37" i="49" l="1"/>
  <c r="DD46" i="72" l="1"/>
  <c r="Y38" i="49" l="1"/>
  <c r="DD47" i="72"/>
  <c r="Y39" i="49" l="1"/>
  <c r="DD48" i="72"/>
  <c r="Y40" i="49" l="1"/>
  <c r="DD49" i="72" l="1"/>
  <c r="Y41" i="49" l="1"/>
  <c r="DD50" i="72"/>
  <c r="Y42" i="49" l="1"/>
  <c r="DD35" i="72"/>
  <c r="EE142" i="93"/>
  <c r="EE142" i="102"/>
  <c r="Y20" i="49" l="1"/>
  <c r="DD37" i="72" l="1"/>
  <c r="Y22" i="49" l="1"/>
  <c r="DD34" i="72" l="1"/>
  <c r="Y19" i="49" l="1"/>
  <c r="DD36" i="72" l="1"/>
  <c r="Y21" i="49" l="1"/>
  <c r="DD33" i="72" l="1"/>
  <c r="Y18" i="49" l="1"/>
  <c r="DD38" i="72" l="1"/>
  <c r="Y23" i="49" l="1"/>
  <c r="DD40" i="72" l="1"/>
  <c r="Y25" i="49" l="1"/>
  <c r="DD39" i="72" l="1"/>
  <c r="Y24" i="49" l="1"/>
  <c r="DD31" i="72" l="1"/>
  <c r="DD32" i="72"/>
  <c r="Y17" i="49" l="1"/>
  <c r="Y16" i="49"/>
  <c r="EE141" i="93"/>
  <c r="EE141" i="102"/>
  <c r="DE82" i="72" l="1"/>
  <c r="AA102" i="49" l="1"/>
  <c r="DE89" i="72"/>
  <c r="AA109" i="49" l="1"/>
  <c r="DE85" i="72"/>
  <c r="AA105" i="49" l="1"/>
  <c r="DE55" i="72"/>
  <c r="AA54" i="49" l="1"/>
  <c r="DE84" i="72"/>
  <c r="AA104" i="49" l="1"/>
  <c r="DE67" i="72"/>
  <c r="AA73" i="49" l="1"/>
  <c r="DE66" i="72" l="1"/>
  <c r="AA72" i="49" l="1"/>
  <c r="DE64" i="72"/>
  <c r="AA70" i="49" l="1"/>
  <c r="DE65" i="72"/>
  <c r="AA71" i="49" l="1"/>
  <c r="DE62" i="72"/>
  <c r="AA68" i="49" l="1"/>
  <c r="DE63" i="72"/>
  <c r="AA69" i="49" l="1"/>
  <c r="DE54" i="72"/>
  <c r="AA53" i="49" l="1"/>
  <c r="DE53" i="72" l="1"/>
  <c r="AA52" i="49" l="1"/>
  <c r="DE52" i="72"/>
  <c r="AA51" i="49" l="1"/>
  <c r="DE110" i="72" l="1"/>
  <c r="AA144" i="49" l="1"/>
  <c r="DE109" i="72"/>
  <c r="AA143" i="49" l="1"/>
  <c r="DE103" i="72"/>
  <c r="AA137" i="49" l="1"/>
  <c r="DE106" i="72"/>
  <c r="AA140" i="49" l="1"/>
  <c r="DE107" i="72"/>
  <c r="AA141" i="49" l="1"/>
  <c r="DE108" i="72"/>
  <c r="AA142" i="49" l="1"/>
  <c r="DE101" i="72"/>
  <c r="AA135" i="49" l="1"/>
  <c r="DE105" i="72"/>
  <c r="AA139" i="49" l="1"/>
  <c r="DE104" i="72"/>
  <c r="AA138" i="49" l="1"/>
  <c r="DE102" i="72"/>
  <c r="DE86" i="72"/>
  <c r="EF148" i="102"/>
  <c r="AA106" i="49" l="1"/>
  <c r="AA136" i="49"/>
  <c r="DE68" i="72"/>
  <c r="EF148" i="93"/>
  <c r="AA74" i="49" l="1"/>
  <c r="DE83" i="72" l="1"/>
  <c r="AA103" i="49" l="1"/>
  <c r="DE90" i="72"/>
  <c r="DE88" i="72"/>
  <c r="AA108" i="49" l="1"/>
  <c r="AA110" i="49"/>
  <c r="DE87" i="72"/>
  <c r="AA107" i="49" l="1"/>
  <c r="DE69" i="72"/>
  <c r="AA75" i="49" l="1"/>
  <c r="DE56" i="72"/>
  <c r="AA55" i="49" l="1"/>
  <c r="DE81" i="72" l="1"/>
  <c r="EF146" i="102"/>
  <c r="AA101" i="49" l="1"/>
  <c r="EF146" i="93"/>
  <c r="DE61" i="72" l="1"/>
  <c r="AA67" i="49" l="1"/>
  <c r="DE70" i="72"/>
  <c r="DE57" i="72"/>
  <c r="EF144" i="102"/>
  <c r="AA56" i="49" l="1"/>
  <c r="AA76" i="49"/>
  <c r="DE58" i="72"/>
  <c r="EF144" i="93"/>
  <c r="AA57" i="49" l="1"/>
  <c r="DE59" i="72" l="1"/>
  <c r="AA58" i="49" l="1"/>
  <c r="DE92" i="72"/>
  <c r="AA119" i="49" l="1"/>
  <c r="DE73" i="72"/>
  <c r="AA86" i="49" l="1"/>
  <c r="DE60" i="72"/>
  <c r="AA59" i="49" l="1"/>
  <c r="DE94" i="72"/>
  <c r="AA121" i="49" l="1"/>
  <c r="DE93" i="72" l="1"/>
  <c r="AA120" i="49" l="1"/>
  <c r="DE74" i="72"/>
  <c r="AA87" i="49" l="1"/>
  <c r="DE97" i="72" l="1"/>
  <c r="AA124" i="49" l="1"/>
  <c r="DE96" i="72"/>
  <c r="AA123" i="49" l="1"/>
  <c r="DE98" i="72" l="1"/>
  <c r="AA125" i="49" l="1"/>
  <c r="DE77" i="72"/>
  <c r="AA90" i="49" l="1"/>
  <c r="DE99" i="72"/>
  <c r="AA126" i="49" l="1"/>
  <c r="DE95" i="72"/>
  <c r="AA122" i="49" l="1"/>
  <c r="DE72" i="72"/>
  <c r="AA85" i="49" l="1"/>
  <c r="DE91" i="72" l="1"/>
  <c r="AA118" i="49" l="1"/>
  <c r="DE76" i="72"/>
  <c r="DE75" i="72"/>
  <c r="AA89" i="49" l="1"/>
  <c r="AA88" i="49"/>
  <c r="DE100" i="72" l="1"/>
  <c r="EF147" i="102"/>
  <c r="AA127" i="49" l="1"/>
  <c r="DE80" i="72"/>
  <c r="DE79" i="72"/>
  <c r="EF147" i="93"/>
  <c r="AA92" i="49" l="1"/>
  <c r="AA93" i="49"/>
  <c r="DE78" i="72"/>
  <c r="AA91" i="49" l="1"/>
  <c r="DE71" i="72" l="1"/>
  <c r="EF145" i="102"/>
  <c r="AA84" i="49" l="1"/>
  <c r="EF145" i="93"/>
  <c r="DE51" i="72" l="1"/>
  <c r="DE42" i="72"/>
  <c r="EF143" i="102"/>
  <c r="AA34" i="49" l="1"/>
  <c r="AA50" i="49"/>
  <c r="EF143" i="93"/>
  <c r="B132" i="92" l="1"/>
  <c r="X167" i="64" s="1"/>
  <c r="DE43" i="72"/>
  <c r="DE44" i="72"/>
  <c r="AA36" i="49" l="1"/>
  <c r="AA35" i="49"/>
  <c r="DE45" i="72" l="1"/>
  <c r="AA37" i="49" l="1"/>
  <c r="DE46" i="72"/>
  <c r="AA38" i="49" l="1"/>
  <c r="DE47" i="72"/>
  <c r="AA39" i="49" l="1"/>
  <c r="DE48" i="72"/>
  <c r="DE49" i="72"/>
  <c r="AA41" i="49" l="1"/>
  <c r="AA40" i="49"/>
  <c r="DE50" i="72"/>
  <c r="AA42" i="49" l="1"/>
  <c r="DE41" i="72"/>
  <c r="EF142" i="102"/>
  <c r="AA33" i="49" l="1"/>
  <c r="DE36" i="72"/>
  <c r="EF142" i="93"/>
  <c r="AA21" i="49" l="1"/>
  <c r="DE34" i="72"/>
  <c r="DE37" i="72"/>
  <c r="AA22" i="49" l="1"/>
  <c r="AA19" i="49"/>
  <c r="DE35" i="72"/>
  <c r="AA20" i="49" l="1"/>
  <c r="DE39" i="72"/>
  <c r="AA24" i="49" l="1"/>
  <c r="DE38" i="72"/>
  <c r="AA23" i="49" l="1"/>
  <c r="DE40" i="72"/>
  <c r="AA25" i="49" l="1"/>
  <c r="DE33" i="72"/>
  <c r="AA18" i="49" l="1"/>
  <c r="DE32" i="72" l="1"/>
  <c r="AA17" i="49" l="1"/>
  <c r="DE31" i="72" l="1"/>
  <c r="EF141" i="102"/>
  <c r="AA16" i="49" l="1"/>
  <c r="EF141" i="93"/>
  <c r="H574" i="114" l="1"/>
  <c r="H578" i="114"/>
  <c r="X166" i="64" l="1"/>
  <c r="G65" i="114" l="1"/>
  <c r="N362" i="114" l="1"/>
  <c r="N500" i="114"/>
  <c r="N269" i="114"/>
  <c r="N562" i="114"/>
  <c r="N524" i="114"/>
  <c r="N56" i="114"/>
  <c r="N536" i="114"/>
  <c r="N344" i="114"/>
  <c r="N93" i="114"/>
  <c r="N483" i="114"/>
  <c r="N549" i="114"/>
  <c r="N310" i="114"/>
  <c r="N122" i="114"/>
  <c r="N353" i="114"/>
  <c r="N280" i="114"/>
  <c r="N144" i="114"/>
  <c r="N81" i="114"/>
  <c r="N439" i="114"/>
  <c r="N597" i="114"/>
  <c r="N326" i="114"/>
  <c r="N384" i="114"/>
  <c r="N265" i="114"/>
  <c r="N286" i="114"/>
  <c r="N354" i="114"/>
  <c r="N606" i="114"/>
  <c r="N561" i="114"/>
  <c r="N226" i="114"/>
  <c r="N567" i="114"/>
  <c r="N291" i="114"/>
  <c r="N631" i="114"/>
  <c r="N626" i="114"/>
  <c r="N94" i="114"/>
  <c r="N578" i="114"/>
  <c r="N545" i="114"/>
  <c r="N253" i="114"/>
  <c r="N418" i="114"/>
  <c r="N276" i="114"/>
  <c r="N192" i="114"/>
  <c r="N472" i="114"/>
  <c r="N531" i="114"/>
  <c r="N68" i="114"/>
  <c r="N324" i="114"/>
  <c r="N316" i="114"/>
  <c r="N45" i="114"/>
  <c r="N314" i="114"/>
  <c r="N492" i="114"/>
  <c r="N441" i="114"/>
  <c r="N64" i="114"/>
  <c r="N426" i="114"/>
  <c r="N582" i="114"/>
  <c r="N423" i="114"/>
  <c r="N243" i="114"/>
  <c r="N96" i="114"/>
  <c r="N568" i="114"/>
  <c r="N101" i="114"/>
  <c r="N238" i="114"/>
  <c r="N335" i="114"/>
  <c r="N452" i="114"/>
  <c r="N390" i="114"/>
  <c r="N52" i="114"/>
  <c r="N484" i="114"/>
  <c r="N308" i="114"/>
  <c r="N91" i="114"/>
  <c r="N522" i="114"/>
  <c r="N447" i="114"/>
  <c r="N610" i="114"/>
  <c r="N317" i="114"/>
  <c r="N233" i="114"/>
  <c r="N396" i="114"/>
  <c r="N322" i="114"/>
  <c r="N469" i="114"/>
  <c r="N318" i="114"/>
  <c r="N621" i="114"/>
  <c r="N160" i="114"/>
  <c r="N297" i="114"/>
  <c r="N129" i="114"/>
  <c r="N429" i="114"/>
  <c r="N383" i="114"/>
  <c r="N136" i="114"/>
  <c r="N609" i="114"/>
  <c r="N342" i="114"/>
  <c r="N596" i="114"/>
  <c r="N267" i="114"/>
  <c r="N366" i="114"/>
  <c r="N82" i="114"/>
  <c r="N195" i="114"/>
  <c r="N413" i="114"/>
  <c r="N417" i="114"/>
  <c r="N588" i="114"/>
  <c r="N400" i="114"/>
  <c r="N391" i="114"/>
  <c r="N124" i="114"/>
  <c r="N329" i="114"/>
  <c r="N574" i="114"/>
  <c r="N78" i="114"/>
  <c r="N375" i="114"/>
  <c r="N164" i="114"/>
  <c r="N46" i="114"/>
  <c r="N348" i="114"/>
  <c r="N278" i="114"/>
  <c r="N457" i="114"/>
  <c r="N592" i="114"/>
  <c r="N528" i="114"/>
  <c r="N289" i="114"/>
  <c r="N345" i="114"/>
  <c r="N204" i="114"/>
  <c r="N395" i="114"/>
  <c r="N510" i="114"/>
  <c r="N283" i="114"/>
  <c r="N563" i="114"/>
  <c r="N296" i="114"/>
  <c r="N306" i="114"/>
  <c r="N222" i="114"/>
  <c r="N187" i="114"/>
  <c r="N307" i="114"/>
  <c r="N203" i="114"/>
  <c r="N369" i="114"/>
  <c r="N151" i="114"/>
  <c r="N277" i="114"/>
  <c r="N44" i="114"/>
  <c r="N474" i="114"/>
  <c r="N248" i="114"/>
  <c r="N523" i="114"/>
  <c r="N343" i="114"/>
  <c r="N451" i="114"/>
  <c r="N71" i="114"/>
  <c r="N468" i="114"/>
  <c r="N249" i="114"/>
  <c r="N330" i="114"/>
  <c r="N119" i="114"/>
  <c r="N73" i="114"/>
  <c r="N347" i="114"/>
  <c r="N214" i="114"/>
  <c r="N98" i="114"/>
  <c r="N487" i="114"/>
  <c r="N284" i="114"/>
  <c r="N338" i="114"/>
  <c r="N34" i="114"/>
  <c r="N303" i="114"/>
  <c r="N246" i="114"/>
  <c r="N461" i="114"/>
  <c r="N446" i="114"/>
  <c r="N150" i="114"/>
  <c r="N191" i="114"/>
  <c r="N254" i="114"/>
  <c r="N517" i="114"/>
  <c r="N92" i="114"/>
  <c r="N555" i="114"/>
  <c r="N359" i="114"/>
  <c r="N184" i="114"/>
  <c r="N504" i="114"/>
  <c r="N465" i="114"/>
  <c r="N118" i="114"/>
  <c r="N47" i="114"/>
  <c r="N402" i="114"/>
  <c r="N51" i="114"/>
  <c r="N272" i="114"/>
  <c r="N381" i="114"/>
  <c r="N564" i="114"/>
  <c r="N507" i="114"/>
  <c r="N333" i="114"/>
  <c r="N542" i="114"/>
  <c r="N442" i="114"/>
  <c r="N260" i="114"/>
  <c r="N199" i="114"/>
  <c r="N194" i="114"/>
  <c r="N213" i="114"/>
  <c r="N313" i="114"/>
  <c r="N127" i="114"/>
  <c r="N212" i="114"/>
  <c r="N53" i="114"/>
  <c r="N43" i="114"/>
  <c r="N433" i="114"/>
  <c r="N357" i="114"/>
  <c r="N207" i="114"/>
  <c r="N587" i="114"/>
  <c r="N364" i="114"/>
  <c r="N197" i="114"/>
  <c r="N300" i="114"/>
  <c r="N237" i="114"/>
  <c r="N382" i="114"/>
  <c r="N209" i="114"/>
  <c r="N585" i="114"/>
  <c r="N166" i="114"/>
  <c r="N456" i="114"/>
  <c r="N556" i="114"/>
  <c r="N340" i="114"/>
  <c r="N370" i="114"/>
  <c r="N180" i="114"/>
  <c r="N87" i="114"/>
  <c r="N460" i="114"/>
  <c r="N258" i="114"/>
  <c r="N36" i="114"/>
  <c r="N185" i="114"/>
  <c r="N602" i="114"/>
  <c r="N252" i="114"/>
  <c r="N86" i="114"/>
  <c r="N116" i="114"/>
  <c r="N458" i="114"/>
  <c r="N172" i="114"/>
  <c r="N355" i="114"/>
  <c r="N379" i="114"/>
  <c r="N479" i="114"/>
  <c r="N628" i="114"/>
  <c r="N242" i="114"/>
  <c r="N174" i="114"/>
  <c r="N196" i="114"/>
  <c r="N488" i="114"/>
  <c r="N279" i="114"/>
  <c r="N583" i="114"/>
  <c r="N480" i="114"/>
  <c r="N183" i="114"/>
  <c r="N200" i="114"/>
  <c r="N593" i="114"/>
  <c r="N301" i="114"/>
  <c r="N250" i="114"/>
  <c r="N294" i="114"/>
  <c r="N503" i="114"/>
  <c r="N77" i="114"/>
  <c r="N188" i="114"/>
  <c r="N579" i="114"/>
  <c r="N273" i="114"/>
  <c r="N247" i="114"/>
  <c r="N229" i="114"/>
  <c r="N100" i="114"/>
  <c r="N380" i="114"/>
  <c r="N608" i="114"/>
  <c r="N401" i="114"/>
  <c r="N95" i="114"/>
  <c r="N591" i="114"/>
  <c r="N262" i="114"/>
  <c r="N334" i="114"/>
  <c r="N424" i="114"/>
  <c r="N54" i="114"/>
  <c r="N425" i="114"/>
  <c r="N434" i="114"/>
  <c r="N163" i="114"/>
  <c r="N466" i="114"/>
  <c r="N444" i="114"/>
  <c r="N138" i="114"/>
  <c r="N558" i="114"/>
  <c r="N569" i="114"/>
  <c r="N377" i="114"/>
  <c r="N533" i="114"/>
  <c r="N241" i="114"/>
  <c r="N75" i="114"/>
  <c r="N97" i="114"/>
  <c r="N576" i="114"/>
  <c r="N266" i="114"/>
  <c r="N604" i="114"/>
  <c r="N421" i="114"/>
  <c r="N509" i="114"/>
  <c r="N112" i="114"/>
  <c r="N327" i="114"/>
  <c r="N540" i="114"/>
  <c r="N186" i="114"/>
  <c r="N102" i="114"/>
  <c r="N619" i="114"/>
  <c r="N462" i="114"/>
  <c r="N415" i="114"/>
  <c r="N613" i="114"/>
  <c r="N601" i="114"/>
  <c r="N520" i="114"/>
  <c r="N171" i="114"/>
  <c r="N50" i="114"/>
  <c r="N309" i="114"/>
  <c r="N32" i="114"/>
  <c r="N57" i="114"/>
  <c r="N33" i="114"/>
  <c r="N108" i="114"/>
  <c r="N58" i="114"/>
  <c r="N90" i="114"/>
  <c r="N518" i="114"/>
  <c r="N146" i="114"/>
  <c r="N547" i="114"/>
  <c r="N230" i="114"/>
  <c r="N600" i="114"/>
  <c r="N374" i="114"/>
  <c r="N459" i="114"/>
  <c r="N385" i="114"/>
  <c r="N559" i="114"/>
  <c r="N152" i="114"/>
  <c r="N515" i="114"/>
  <c r="N235" i="114"/>
  <c r="N512" i="114"/>
  <c r="N501" i="114"/>
  <c r="N437" i="114"/>
  <c r="N48" i="114"/>
  <c r="N471" i="114"/>
  <c r="N538" i="114"/>
  <c r="N388" i="114"/>
  <c r="N337" i="114"/>
  <c r="N176" i="114"/>
  <c r="N403" i="114"/>
  <c r="N499" i="114"/>
  <c r="N67" i="114"/>
  <c r="N622" i="114"/>
  <c r="N292" i="114"/>
  <c r="N123" i="114"/>
  <c r="N570" i="114"/>
  <c r="N607" i="114"/>
  <c r="N162" i="114"/>
  <c r="N72" i="114"/>
  <c r="N290" i="114"/>
  <c r="N155" i="114"/>
  <c r="N618" i="114"/>
  <c r="N612" i="114"/>
  <c r="N125" i="114"/>
  <c r="N368" i="114"/>
  <c r="N251" i="114"/>
  <c r="N566" i="114"/>
  <c r="N83" i="114"/>
  <c r="N490" i="114"/>
  <c r="N38" i="114"/>
  <c r="N408" i="114"/>
  <c r="N521" i="114"/>
  <c r="N386" i="114"/>
  <c r="N275" i="114"/>
  <c r="N133" i="114"/>
  <c r="N595" i="114"/>
  <c r="N261" i="114"/>
  <c r="N121" i="114"/>
  <c r="N397" i="114"/>
  <c r="N590" i="114"/>
  <c r="N432" i="114"/>
  <c r="N179" i="114"/>
  <c r="N271" i="114"/>
  <c r="N268" i="114"/>
  <c r="N482" i="114"/>
  <c r="N498" i="114"/>
  <c r="N419" i="114"/>
  <c r="N553" i="114"/>
  <c r="N256" i="114"/>
  <c r="N168" i="114"/>
  <c r="N315" i="114"/>
  <c r="N62" i="114"/>
  <c r="N263" i="114"/>
  <c r="N332" i="114"/>
  <c r="N526" i="114"/>
  <c r="N70" i="114"/>
  <c r="N511" i="114"/>
  <c r="N245" i="114"/>
  <c r="N293" i="114"/>
  <c r="N365" i="114"/>
  <c r="N516" i="114"/>
  <c r="N630" i="114"/>
  <c r="N153" i="114"/>
  <c r="N173" i="114"/>
  <c r="N513" i="114"/>
  <c r="N356" i="114"/>
  <c r="N527" i="114"/>
  <c r="N167" i="114"/>
  <c r="N409" i="114"/>
  <c r="N373" i="114"/>
  <c r="N594" i="114"/>
  <c r="N49" i="114"/>
  <c r="N448" i="114"/>
  <c r="N182" i="114"/>
  <c r="N208" i="114"/>
  <c r="N431" i="114"/>
  <c r="N281" i="114"/>
  <c r="N617" i="114"/>
  <c r="N113" i="114"/>
  <c r="N548" i="114"/>
  <c r="N611" i="114"/>
  <c r="N107" i="114"/>
  <c r="N565" i="114"/>
  <c r="N625" i="114"/>
  <c r="N234" i="114"/>
  <c r="N232" i="114"/>
  <c r="N106" i="114"/>
  <c r="N109" i="114"/>
  <c r="N623" i="114"/>
  <c r="N189" i="114"/>
  <c r="N299" i="114"/>
  <c r="N285" i="114"/>
  <c r="N394" i="114"/>
  <c r="N89" i="114"/>
  <c r="N60" i="114"/>
  <c r="N130" i="114"/>
  <c r="N599" i="114"/>
  <c r="N223" i="114"/>
  <c r="N378" i="114"/>
  <c r="N114" i="114"/>
  <c r="N257" i="114"/>
  <c r="N169" i="114"/>
  <c r="N489" i="114"/>
  <c r="N239" i="114"/>
  <c r="N137" i="114"/>
  <c r="N177" i="114"/>
  <c r="N422" i="114"/>
  <c r="N225" i="114"/>
  <c r="N157" i="114"/>
  <c r="N149" i="114"/>
  <c r="N473" i="114"/>
  <c r="N84" i="114"/>
  <c r="N616" i="114"/>
  <c r="N59" i="114"/>
  <c r="N139" i="114"/>
  <c r="N202" i="114"/>
  <c r="N372" i="114"/>
  <c r="N407" i="114"/>
  <c r="N76" i="114"/>
  <c r="N440" i="114"/>
  <c r="N132" i="114"/>
  <c r="N135" i="114"/>
  <c r="N224" i="114"/>
  <c r="N319" i="114"/>
  <c r="N615" i="114"/>
  <c r="N389" i="114"/>
  <c r="N143" i="114"/>
  <c r="N55" i="114"/>
  <c r="N305" i="114"/>
  <c r="N404" i="114"/>
  <c r="N572" i="114"/>
  <c r="N270" i="114"/>
  <c r="N411" i="114"/>
  <c r="N218" i="114"/>
  <c r="N320" i="114"/>
  <c r="N211" i="114"/>
  <c r="N336" i="114"/>
  <c r="N141" i="114"/>
  <c r="N42" i="114"/>
  <c r="N170" i="114"/>
  <c r="N105" i="114"/>
  <c r="N165" i="114"/>
  <c r="N178" i="114"/>
  <c r="N66" i="114"/>
  <c r="N128" i="114"/>
  <c r="N205" i="114"/>
  <c r="N193" i="114"/>
  <c r="N216" i="114"/>
  <c r="N244" i="114"/>
  <c r="N629" i="114"/>
  <c r="N37" i="114"/>
  <c r="N589" i="114"/>
  <c r="N485" i="114"/>
  <c r="N416" i="114"/>
  <c r="N392" i="114"/>
  <c r="N148" i="114"/>
  <c r="N39" i="114"/>
  <c r="N295" i="114"/>
  <c r="N491" i="114"/>
  <c r="N455" i="114"/>
  <c r="N159" i="114"/>
  <c r="N539" i="114"/>
  <c r="N349" i="114"/>
  <c r="N535" i="114"/>
  <c r="N115" i="114"/>
  <c r="N529" i="114"/>
  <c r="N140" i="114"/>
  <c r="N376" i="114"/>
  <c r="N430" i="114"/>
  <c r="N198" i="114"/>
  <c r="N88" i="114"/>
  <c r="N145" i="114"/>
  <c r="N161" i="114"/>
  <c r="N274" i="114"/>
  <c r="N410" i="114"/>
  <c r="N475" i="114"/>
  <c r="N350" i="114"/>
  <c r="N221" i="114"/>
  <c r="N120" i="114"/>
  <c r="N467" i="114"/>
  <c r="N302" i="114"/>
  <c r="N74" i="114"/>
  <c r="N360" i="114"/>
  <c r="N541" i="114"/>
  <c r="N220" i="114"/>
  <c r="N546" i="114"/>
  <c r="N603" i="114"/>
  <c r="N493" i="114"/>
  <c r="N427" i="114"/>
  <c r="N288" i="114"/>
  <c r="N156" i="114"/>
  <c r="N69" i="114"/>
  <c r="N304" i="114"/>
  <c r="N586" i="114"/>
  <c r="N481" i="114"/>
  <c r="N627" i="114"/>
  <c r="N580" i="114"/>
  <c r="N134" i="114"/>
  <c r="N126" i="114"/>
  <c r="N99" i="114"/>
  <c r="N65" i="114"/>
  <c r="N495" i="114"/>
  <c r="N321" i="114"/>
  <c r="N537" i="114"/>
  <c r="N525" i="114"/>
  <c r="N358" i="114"/>
  <c r="N63" i="114"/>
  <c r="N584" i="114"/>
  <c r="N445" i="114"/>
  <c r="N346" i="114"/>
  <c r="N103" i="114"/>
  <c r="N494" i="114"/>
  <c r="N328" i="114"/>
  <c r="N532" i="114"/>
  <c r="N35" i="114"/>
  <c r="N79" i="114"/>
  <c r="N236" i="114"/>
  <c r="N298" i="114"/>
  <c r="N240" i="114"/>
  <c r="N131" i="114"/>
  <c r="N331" i="114"/>
  <c r="N477" i="114"/>
  <c r="N486" i="114"/>
  <c r="N85" i="114"/>
  <c r="N573" i="114"/>
  <c r="N428" i="114"/>
  <c r="N575" i="114"/>
  <c r="N363" i="114"/>
  <c r="N80" i="114"/>
  <c r="N111" i="114"/>
  <c r="N420" i="114"/>
  <c r="N497" i="114"/>
  <c r="N399" i="114"/>
  <c r="N581" i="114"/>
  <c r="N175" i="114"/>
  <c r="N351" i="114"/>
  <c r="N287" i="114"/>
  <c r="N339" i="114"/>
  <c r="N577" i="114"/>
  <c r="N282" i="114"/>
  <c r="N398" i="114"/>
  <c r="N406" i="114"/>
  <c r="N435" i="114"/>
  <c r="N255" i="114"/>
  <c r="N325" i="114"/>
  <c r="N502" i="114"/>
  <c r="N551" i="114"/>
  <c r="N550" i="114"/>
  <c r="N478" i="114"/>
  <c r="N154" i="114"/>
  <c r="N181" i="114"/>
  <c r="N210" i="114"/>
  <c r="N217" i="114"/>
  <c r="N534" i="114"/>
  <c r="N412" i="114"/>
  <c r="N219" i="114"/>
  <c r="N190" i="114"/>
  <c r="N552" i="114"/>
  <c r="N505" i="114"/>
  <c r="N443" i="114"/>
  <c r="N554" i="114"/>
  <c r="N514" i="114"/>
  <c r="N352" i="114"/>
  <c r="N206" i="114"/>
  <c r="N41" i="114"/>
  <c r="N476" i="114"/>
  <c r="N470" i="114"/>
  <c r="N463" i="114"/>
  <c r="N530" i="114"/>
  <c r="N414" i="114"/>
  <c r="N259" i="114"/>
  <c r="N387" i="114"/>
  <c r="N450" i="114"/>
  <c r="N361" i="114"/>
  <c r="N312" i="114"/>
  <c r="N323" i="114"/>
  <c r="N633" i="114"/>
  <c r="N110" i="114"/>
  <c r="N264" i="114"/>
  <c r="N605" i="114"/>
  <c r="N620" i="114"/>
  <c r="N367" i="114"/>
  <c r="N393" i="114"/>
  <c r="N104" i="114"/>
  <c r="N201" i="114"/>
  <c r="N341" i="114"/>
  <c r="N436" i="114"/>
  <c r="N506" i="114"/>
  <c r="N61" i="114"/>
  <c r="N544" i="114"/>
  <c r="N464" i="114"/>
  <c r="N454" i="114"/>
  <c r="N543" i="114"/>
  <c r="N453" i="114"/>
  <c r="N571" i="114"/>
  <c r="N231" i="114"/>
  <c r="N624" i="114"/>
  <c r="N598" i="114"/>
  <c r="N449" i="114"/>
  <c r="N215" i="114"/>
  <c r="N496" i="114"/>
  <c r="N557" i="114"/>
  <c r="N405" i="114"/>
  <c r="N147" i="114"/>
  <c r="N371" i="114"/>
  <c r="N158" i="114"/>
  <c r="N117" i="114"/>
  <c r="N228" i="114"/>
  <c r="N519" i="114"/>
  <c r="N438" i="114"/>
  <c r="N632" i="114"/>
  <c r="N311" i="114"/>
  <c r="N227" i="114"/>
  <c r="N560" i="114"/>
  <c r="N142" i="114"/>
  <c r="N508" i="114"/>
  <c r="Q86" i="114" l="1"/>
  <c r="V86" i="114" s="1"/>
  <c r="R9" i="114" s="1"/>
  <c r="R54" i="114"/>
  <c r="W54" i="114" s="1"/>
  <c r="S7" i="114" s="1"/>
  <c r="Q54" i="114"/>
  <c r="R71" i="114"/>
  <c r="W71" i="114" s="1"/>
  <c r="S8" i="114" s="1"/>
  <c r="Q71" i="114"/>
  <c r="V71" i="114" s="1"/>
  <c r="R8" i="114" s="1"/>
  <c r="R86" i="114"/>
  <c r="W86" i="114" s="1"/>
  <c r="S9" i="114" s="1"/>
  <c r="F7" i="80" s="1"/>
  <c r="R121" i="114"/>
  <c r="W121" i="114" s="1"/>
  <c r="S10" i="114" s="1"/>
  <c r="F7" i="81" s="1"/>
  <c r="Q121" i="114"/>
  <c r="V121" i="114" s="1"/>
  <c r="R10" i="114" s="1"/>
  <c r="F7" i="18" s="1"/>
  <c r="R152" i="114"/>
  <c r="W152" i="114" s="1"/>
  <c r="S11" i="114" s="1"/>
  <c r="F7" i="82" s="1"/>
  <c r="Q152" i="114"/>
  <c r="V152" i="114" s="1"/>
  <c r="R11" i="114" s="1"/>
  <c r="F7" i="22" s="1"/>
  <c r="R184" i="114"/>
  <c r="W184" i="114" s="1"/>
  <c r="S12" i="114" s="1"/>
  <c r="F7" i="83" s="1"/>
  <c r="Q184" i="114"/>
  <c r="V184" i="114" s="1"/>
  <c r="R12" i="114" s="1"/>
  <c r="F7" i="24" s="1"/>
  <c r="R225" i="114"/>
  <c r="W225" i="114" s="1"/>
  <c r="S13" i="114" s="1"/>
  <c r="F7" i="84" s="1"/>
  <c r="Q225" i="114"/>
  <c r="V225" i="114" s="1"/>
  <c r="R13" i="114" s="1"/>
  <c r="R268" i="114"/>
  <c r="W268" i="114" s="1"/>
  <c r="S14" i="114" s="1"/>
  <c r="F7" i="85" s="1"/>
  <c r="Q268" i="114"/>
  <c r="V268" i="114" s="1"/>
  <c r="R14" i="114" s="1"/>
  <c r="F7" i="26" s="1"/>
  <c r="R311" i="114"/>
  <c r="W311" i="114" s="1"/>
  <c r="S15" i="114" s="1"/>
  <c r="F7" i="86" s="1"/>
  <c r="Q311" i="114"/>
  <c r="V311" i="114" s="1"/>
  <c r="R15" i="114" s="1"/>
  <c r="F7" i="30" s="1"/>
  <c r="R363" i="114"/>
  <c r="W363" i="114" s="1"/>
  <c r="S16" i="114" s="1"/>
  <c r="F7" i="87" s="1"/>
  <c r="Q363" i="114"/>
  <c r="V363" i="114" s="1"/>
  <c r="R16" i="114" s="1"/>
  <c r="F7" i="32" s="1"/>
  <c r="R436" i="114"/>
  <c r="W436" i="114" s="1"/>
  <c r="S17" i="114" s="1"/>
  <c r="F7" i="88" s="1"/>
  <c r="Q436" i="114"/>
  <c r="V436" i="114" s="1"/>
  <c r="R17" i="114" s="1"/>
  <c r="F7" i="34" s="1"/>
  <c r="R613" i="114"/>
  <c r="W613" i="114" s="1"/>
  <c r="S19" i="114" s="1"/>
  <c r="R507" i="114"/>
  <c r="W507" i="114" s="1"/>
  <c r="S18" i="114" s="1"/>
  <c r="F7" i="90" s="1"/>
  <c r="Q507" i="114"/>
  <c r="V507" i="114" s="1"/>
  <c r="R18" i="114" s="1"/>
  <c r="F7" i="36" s="1"/>
  <c r="R40" i="114"/>
  <c r="W40" i="114" s="1"/>
  <c r="S6" i="114" s="1"/>
  <c r="R29" i="114"/>
  <c r="W29" i="114" s="1"/>
  <c r="S5" i="114" s="1"/>
  <c r="F7" i="28" l="1"/>
  <c r="F7" i="16"/>
  <c r="F7" i="15"/>
  <c r="S225" i="114"/>
  <c r="U225" i="114" s="1"/>
  <c r="S54" i="114"/>
  <c r="U54" i="114" s="1"/>
  <c r="V54" i="114"/>
  <c r="R7" i="114" s="1"/>
  <c r="S152" i="114"/>
  <c r="S71" i="114"/>
  <c r="U71" i="114" s="1"/>
  <c r="S507" i="114"/>
  <c r="U507" i="114" s="1"/>
  <c r="S268" i="114"/>
  <c r="U268" i="114" s="1"/>
  <c r="S363" i="114"/>
  <c r="U363" i="114" s="1"/>
  <c r="S121" i="114"/>
  <c r="S86" i="114"/>
  <c r="S184" i="114"/>
  <c r="S436" i="114"/>
  <c r="U436" i="114" s="1"/>
  <c r="S311" i="114"/>
  <c r="U311" i="114" s="1"/>
  <c r="G40" i="114"/>
  <c r="U184" i="114" l="1"/>
  <c r="G184" i="114" s="1"/>
  <c r="U152" i="114"/>
  <c r="G152" i="114" s="1"/>
  <c r="U121" i="114"/>
  <c r="G121" i="114" s="1"/>
  <c r="U86" i="114"/>
  <c r="G86" i="114" s="1"/>
  <c r="F7" i="13"/>
  <c r="G71" i="114"/>
  <c r="G436" i="114"/>
  <c r="G54" i="114"/>
  <c r="G363" i="114"/>
  <c r="G268" i="114"/>
  <c r="G225" i="114"/>
  <c r="G507" i="114"/>
  <c r="G311" i="114"/>
  <c r="H20" i="9" l="1"/>
  <c r="H22" i="9" l="1"/>
  <c r="H21" i="9" l="1"/>
  <c r="H19" i="9" l="1"/>
  <c r="H16" i="9" l="1"/>
  <c r="H23" i="9" l="1"/>
  <c r="H25" i="9" l="1"/>
  <c r="H17" i="9" l="1"/>
  <c r="H18" i="9" l="1"/>
  <c r="H24" i="9" l="1"/>
  <c r="H15" i="9" l="1"/>
  <c r="H14" i="9" l="1"/>
  <c r="H13" i="9" l="1"/>
  <c r="I10" i="93"/>
  <c r="T34" i="93" a="1"/>
  <c r="T34" i="93" l="1"/>
  <c r="U34" i="93" s="1" a="1"/>
  <c r="AB50" i="72"/>
  <c r="AC50" i="72" s="1"/>
  <c r="AB49" i="72"/>
  <c r="B6" i="93"/>
  <c r="O30" i="114" s="1"/>
  <c r="Q29" i="114" s="1"/>
  <c r="S29" i="114" l="1"/>
  <c r="U29" i="114" s="1"/>
  <c r="U34" i="93"/>
  <c r="V34" i="93" s="1"/>
  <c r="V36" i="93"/>
  <c r="V35" i="93"/>
  <c r="G29" i="114" l="1"/>
  <c r="V29" i="114"/>
  <c r="R5" i="114" s="1"/>
  <c r="F6" i="9" s="1"/>
  <c r="AB51" i="72"/>
  <c r="W34" i="93"/>
  <c r="B42" i="93" s="1"/>
  <c r="O48" i="114" s="1"/>
  <c r="Q40" i="114" s="1"/>
  <c r="V40" i="114" s="1"/>
  <c r="R6" i="114" s="1"/>
  <c r="F7" i="10" s="1"/>
  <c r="AB52" i="72"/>
  <c r="AC52" i="72" s="1"/>
  <c r="AB53" i="72" l="1"/>
  <c r="AC53" i="72" s="1"/>
  <c r="AC51" i="72"/>
  <c r="AB54" i="72" l="1"/>
  <c r="AC54" i="72" s="1"/>
  <c r="AB55" i="72" l="1"/>
  <c r="AC55" i="72" s="1"/>
  <c r="AB56" i="72" l="1"/>
  <c r="AC56" i="72" s="1"/>
  <c r="AB57" i="72" l="1"/>
  <c r="AC57" i="72" s="1"/>
  <c r="AB58" i="72" l="1"/>
  <c r="AC58" i="72" s="1"/>
  <c r="AB59" i="72" l="1"/>
  <c r="AC59" i="72" s="1"/>
  <c r="AB60" i="72" l="1"/>
  <c r="AC60" i="72" s="1"/>
  <c r="AB61" i="72" l="1"/>
  <c r="AC61" i="72" l="1"/>
  <c r="AC48" i="72"/>
  <c r="AC49" i="72"/>
  <c r="AC47" i="72"/>
  <c r="AD47" i="72" l="1"/>
  <c r="G26" i="10" s="1"/>
  <c r="C119" i="93" l="1"/>
  <c r="R178" i="64" l="1"/>
  <c r="GU8" i="72" a="1"/>
  <c r="GU10" i="72" a="1"/>
  <c r="GU10" i="72" l="1"/>
  <c r="GU8" i="72"/>
  <c r="GV6" i="72" s="1"/>
  <c r="D117" i="93" l="1"/>
  <c r="E117" i="93" s="1"/>
  <c r="O616" i="114" s="1"/>
  <c r="GV10" i="72"/>
  <c r="HB5" i="72" s="1"/>
  <c r="HB21" i="72" s="1"/>
  <c r="D119" i="93"/>
  <c r="E119" i="93" s="1"/>
  <c r="O618" i="114" s="1"/>
  <c r="GW6" i="72"/>
  <c r="GX6" i="72"/>
  <c r="AB174" i="64"/>
  <c r="Q613" i="114" l="1"/>
  <c r="S613" i="114" s="1"/>
  <c r="U613" i="114" s="1"/>
  <c r="G613" i="114" s="1"/>
  <c r="AB178" i="64"/>
  <c r="GX10" i="72"/>
  <c r="GW10" i="72"/>
  <c r="HB11" i="72"/>
  <c r="HB12" i="72" s="1"/>
  <c r="T246" i="64"/>
  <c r="AK53" i="72"/>
  <c r="AL53" i="72" s="1"/>
  <c r="HB14" i="72" l="1"/>
  <c r="T242" i="64" s="1"/>
  <c r="V613" i="114"/>
  <c r="R19" i="114" s="1"/>
  <c r="T247" i="64"/>
  <c r="AK54" i="72"/>
  <c r="AL54" i="72" s="1"/>
  <c r="HC15" i="72"/>
  <c r="HB13" i="72"/>
  <c r="J226" i="64" s="1"/>
  <c r="HB16" i="72" l="1"/>
  <c r="HB15" i="72" a="1"/>
  <c r="HB15" i="72" s="1"/>
  <c r="J227" i="64" s="1"/>
  <c r="HB17" i="72" l="1"/>
  <c r="J228" i="6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<sst xmlns="http://schemas.openxmlformats.org/spreadsheetml/2006/main" count="29578" uniqueCount="8652">
  <si>
    <t>Gerência Geral de Toxicologia</t>
  </si>
  <si>
    <t>Dados Iniciais</t>
  </si>
  <si>
    <t>Expediente</t>
  </si>
  <si>
    <t>Data de entrada</t>
  </si>
  <si>
    <t>Marca Comercial</t>
  </si>
  <si>
    <t>Razão social da requerente</t>
  </si>
  <si>
    <t>Tipo de requerimento (Cod. Assunto)</t>
  </si>
  <si>
    <t>Nome do ingrediente ativo</t>
  </si>
  <si>
    <t>Outra</t>
  </si>
  <si>
    <t>EP</t>
  </si>
  <si>
    <t>-</t>
  </si>
  <si>
    <t>Nº CAS</t>
  </si>
  <si>
    <t>Função</t>
  </si>
  <si>
    <t>Ingrediente ativo</t>
  </si>
  <si>
    <t>Tipo</t>
  </si>
  <si>
    <t>CNPJ</t>
  </si>
  <si>
    <t>Estudos físico-químicos</t>
  </si>
  <si>
    <t>Tipo de estudo</t>
  </si>
  <si>
    <t>Resultado</t>
  </si>
  <si>
    <t>Estabilidade térmica e ao ar</t>
  </si>
  <si>
    <t>Ponto de fulgor</t>
  </si>
  <si>
    <t>Potencial Hidrogeniônico (pH)</t>
  </si>
  <si>
    <t>Densidade aparente ou específica</t>
  </si>
  <si>
    <t>Volatilidade</t>
  </si>
  <si>
    <t>Distribuição do tamanho das partículas</t>
  </si>
  <si>
    <t>Viscosidade em líquidos</t>
  </si>
  <si>
    <t>Corrosão/irritação cutânea</t>
  </si>
  <si>
    <t>Corrosão/irritação ocular</t>
  </si>
  <si>
    <t>Sensibilização cutânea</t>
  </si>
  <si>
    <t>Mutação gênica em células bacterianas (teste de Ames)</t>
  </si>
  <si>
    <t>Título do estudo</t>
  </si>
  <si>
    <t>Data de conclusão</t>
  </si>
  <si>
    <t>Alterações de peso, clínicas e comportamentais relatadas</t>
  </si>
  <si>
    <t>DL50 oral (mg/kg p.c.)</t>
  </si>
  <si>
    <t>Intervalo de confiança</t>
  </si>
  <si>
    <t>Sexo</t>
  </si>
  <si>
    <t>Machos</t>
  </si>
  <si>
    <t>Fêmeas</t>
  </si>
  <si>
    <t>Mortalidade (Machos)</t>
  </si>
  <si>
    <t>Mortalidade (Fêmeas)</t>
  </si>
  <si>
    <t>Justificativa</t>
  </si>
  <si>
    <t>Justificativa:</t>
  </si>
  <si>
    <t>O estudo foi realizado com 4 horas de exposição?</t>
  </si>
  <si>
    <t>Horas após remoção da gaze</t>
  </si>
  <si>
    <t>24 horas</t>
  </si>
  <si>
    <t xml:space="preserve">Eritema </t>
  </si>
  <si>
    <t>Edema</t>
  </si>
  <si>
    <t>48 horas</t>
  </si>
  <si>
    <t>72 horas</t>
  </si>
  <si>
    <t>Identificação</t>
  </si>
  <si>
    <t>Animal 1</t>
  </si>
  <si>
    <t>Animal 2</t>
  </si>
  <si>
    <t>Animal 3</t>
  </si>
  <si>
    <t>Animal 4</t>
  </si>
  <si>
    <t>Animal 5</t>
  </si>
  <si>
    <t>Animal 6</t>
  </si>
  <si>
    <t>Animal 7</t>
  </si>
  <si>
    <t>Animal 8</t>
  </si>
  <si>
    <t>Animal 9</t>
  </si>
  <si>
    <t>Animal 10</t>
  </si>
  <si>
    <t>Houve lavagem do olho tratado?</t>
  </si>
  <si>
    <t>Alterações oculares</t>
  </si>
  <si>
    <t>Córnea</t>
  </si>
  <si>
    <t>Opacidade</t>
  </si>
  <si>
    <t>Área</t>
  </si>
  <si>
    <t>Irite</t>
  </si>
  <si>
    <t>Íris</t>
  </si>
  <si>
    <t>Hiperemia</t>
  </si>
  <si>
    <t>Quemose</t>
  </si>
  <si>
    <t>Conjuntiva</t>
  </si>
  <si>
    <t>Retenção de fluoresceína</t>
  </si>
  <si>
    <t>Lesão</t>
  </si>
  <si>
    <t>Foi realizado teste de confiabilidade com o controle positivo?</t>
  </si>
  <si>
    <t>Teste preliminar</t>
  </si>
  <si>
    <t>Foi conduzido o teste preliminar?</t>
  </si>
  <si>
    <t>Houve aumento da espessura da orelha maior ou igual a 25% do controle negativo?</t>
  </si>
  <si>
    <t>Houve eritema com score igual ou superior a 3?</t>
  </si>
  <si>
    <t>Teste definitivo</t>
  </si>
  <si>
    <t>Resultados</t>
  </si>
  <si>
    <t>Controle negativo</t>
  </si>
  <si>
    <t>Controle positivo</t>
  </si>
  <si>
    <t>Espessura da orelha (%)</t>
  </si>
  <si>
    <t>Índice de estimulação (SI)</t>
  </si>
  <si>
    <t>Método utilizado</t>
  </si>
  <si>
    <t>Dose  (%)</t>
  </si>
  <si>
    <t>Espécie</t>
  </si>
  <si>
    <t>Efetuou a análise das características genéticas das cepas testadas?</t>
  </si>
  <si>
    <t>No ensaio com ativação metabólica, o controle positivo testado foi o 2-aminoantraceno?</t>
  </si>
  <si>
    <t>Teste I</t>
  </si>
  <si>
    <t>Tipo de Teste</t>
  </si>
  <si>
    <t>TA97</t>
  </si>
  <si>
    <t>TA97a</t>
  </si>
  <si>
    <t>TA98</t>
  </si>
  <si>
    <t>TA100</t>
  </si>
  <si>
    <t>TA102</t>
  </si>
  <si>
    <t>TA1535</t>
  </si>
  <si>
    <t>TA1537</t>
  </si>
  <si>
    <t>TA1538</t>
  </si>
  <si>
    <t>WP2 uvrA</t>
  </si>
  <si>
    <t xml:space="preserve">WP2 uvrA (pKM101) </t>
  </si>
  <si>
    <t>Ativador metabólico</t>
  </si>
  <si>
    <t>Teste II</t>
  </si>
  <si>
    <t>Tipo de amostra analisada</t>
  </si>
  <si>
    <t>Via de administração</t>
  </si>
  <si>
    <t>Dose (mg/kg pc)</t>
  </si>
  <si>
    <t>Houve diferença de toxicidade entre os sexos?</t>
  </si>
  <si>
    <t>Nº de expediente:</t>
  </si>
  <si>
    <t>Nº de registro</t>
  </si>
  <si>
    <t>Nominal</t>
  </si>
  <si>
    <t>Mínimo</t>
  </si>
  <si>
    <t>Máximo</t>
  </si>
  <si>
    <t>Toxicidade inalatória  aguda</t>
  </si>
  <si>
    <t>Classe toxicológica:</t>
  </si>
  <si>
    <t>1º estudo</t>
  </si>
  <si>
    <t>2º estudo</t>
  </si>
  <si>
    <t>Classificação do estudo</t>
  </si>
  <si>
    <t>Estudo</t>
  </si>
  <si>
    <t>Valor mínimo</t>
  </si>
  <si>
    <t>Valor máximo</t>
  </si>
  <si>
    <t>RM</t>
  </si>
  <si>
    <t>Teste III</t>
  </si>
  <si>
    <t>EP/(EP+EN)</t>
  </si>
  <si>
    <t>Eritrócitos policromáticos micronucleados (EPMN)</t>
  </si>
  <si>
    <t>%EPMN</t>
  </si>
  <si>
    <t>Unidade de medida da concentração</t>
  </si>
  <si>
    <t>Aparência, cor, odor e estado físico</t>
  </si>
  <si>
    <t>O estudo definitivo foi conduzido com controle positivo?</t>
  </si>
  <si>
    <t>Especificar critério</t>
  </si>
  <si>
    <t>Houve diluição da substância teste?</t>
  </si>
  <si>
    <t>Qual foi o diluente?</t>
  </si>
  <si>
    <t>Porque o teste definitivo não foi conduzido em triplicata?</t>
  </si>
  <si>
    <t>Nº processo</t>
  </si>
  <si>
    <t>Classe de uso</t>
  </si>
  <si>
    <t>Grupo controle negativo</t>
  </si>
  <si>
    <t>Grupo 1</t>
  </si>
  <si>
    <t>Grupo controle positivo</t>
  </si>
  <si>
    <t>Grupo 2</t>
  </si>
  <si>
    <t>Grupo 3</t>
  </si>
  <si>
    <t>Grupo 4</t>
  </si>
  <si>
    <t>Animal</t>
  </si>
  <si>
    <t>Grupos</t>
  </si>
  <si>
    <t>Qual foi a abordagem utilizada?</t>
  </si>
  <si>
    <t>Desintegrações por minuto (DPM)</t>
  </si>
  <si>
    <t>Observações</t>
  </si>
  <si>
    <t>Justificativa por terem sido escolhidos apenas machos</t>
  </si>
  <si>
    <t>Tempo de observação total</t>
  </si>
  <si>
    <t>Doses (%)</t>
  </si>
  <si>
    <t>Espécie(s)</t>
  </si>
  <si>
    <t>Conduziu estudo ou apresentou certificado de análise da eficácia da fração S9 com outro mutágeno além do 2-aminoantraceno?</t>
  </si>
  <si>
    <t>Sem a fração S9</t>
  </si>
  <si>
    <t>Com a fração S9</t>
  </si>
  <si>
    <t>1ª dose</t>
  </si>
  <si>
    <t>1º</t>
  </si>
  <si>
    <t>2º</t>
  </si>
  <si>
    <t>3º</t>
  </si>
  <si>
    <t>4º</t>
  </si>
  <si>
    <t>5º</t>
  </si>
  <si>
    <t>6º</t>
  </si>
  <si>
    <t>7º</t>
  </si>
  <si>
    <t>8º</t>
  </si>
  <si>
    <t>9º</t>
  </si>
  <si>
    <t>10º</t>
  </si>
  <si>
    <t>1º Grupo testado</t>
  </si>
  <si>
    <t>2º Grupo testado</t>
  </si>
  <si>
    <t>3º Grupo testado</t>
  </si>
  <si>
    <t>4º Grupo testado</t>
  </si>
  <si>
    <t>5º Grupo testado</t>
  </si>
  <si>
    <t>6º Grupo testado</t>
  </si>
  <si>
    <t>Sexo dos animais testados</t>
  </si>
  <si>
    <t xml:space="preserve">Legendas: </t>
  </si>
  <si>
    <t xml:space="preserve">EN </t>
  </si>
  <si>
    <t>EPMN</t>
  </si>
  <si>
    <t>Português</t>
  </si>
  <si>
    <t>Inglês</t>
  </si>
  <si>
    <t>NCE</t>
  </si>
  <si>
    <t>PCE</t>
  </si>
  <si>
    <t>Descrição português</t>
  </si>
  <si>
    <t>Eritrócito normocromático</t>
  </si>
  <si>
    <t>Normochromatic erythrocytes</t>
  </si>
  <si>
    <t>Eritrócito policromático</t>
  </si>
  <si>
    <t>Polychromatic erythrocytes</t>
  </si>
  <si>
    <t>Descrição em inglês</t>
  </si>
  <si>
    <t>PCE-MN</t>
  </si>
  <si>
    <t>Eritrócitos policromáticos micronucleados</t>
  </si>
  <si>
    <t>Micronucleated polychromatic erythrocytes</t>
  </si>
  <si>
    <t xml:space="preserve">Teste preliminar </t>
  </si>
  <si>
    <t>*</t>
  </si>
  <si>
    <t>Nome completo</t>
  </si>
  <si>
    <t>Tempo entre a última indução e o desafio (em dias)</t>
  </si>
  <si>
    <t>Tempo entre o desafio e o redesafio (em dias)</t>
  </si>
  <si>
    <t xml:space="preserve">Controles negativos </t>
  </si>
  <si>
    <t xml:space="preserve">Controles positivos </t>
  </si>
  <si>
    <t>A viabilidade celular das cepas esteve entre 10^8 e 10^9 UFC/mL?</t>
  </si>
  <si>
    <t>Nenhuma das anteriores</t>
  </si>
  <si>
    <t>% EPMN</t>
  </si>
  <si>
    <t>Alterações de peso, clínicas,necropsia e comportamentais relatadas</t>
  </si>
  <si>
    <t>Injeção intradérmica</t>
  </si>
  <si>
    <t>Aplicação tópica</t>
  </si>
  <si>
    <t>Data de início do preenchimento</t>
  </si>
  <si>
    <t>Lote da substância teste</t>
  </si>
  <si>
    <t>Produto Formulado</t>
  </si>
  <si>
    <t>Pelo menos 2 de 3 animais testados, com pontuação média para eritema/escara ou para edema ≥2,3 e ≤4 determinada na leitura das reações cutâneas observadas em 24, 48 e 72 horas após a remoção dos emplastros ou, no caso de reações tardias, leitura por 3 dias consecutivos após o início das reações cutâneas.</t>
  </si>
  <si>
    <t>Pelo menos 2 animais testados, com inflamação persistente durante o período de observação de normalmente 14 dias, considerando a alopecia (área limitada), a hiperqueratose, a hiperplasia e a descamação.</t>
  </si>
  <si>
    <t>Pelo menos 1 dos animais testados com efeitos na córnea, íris ou conjuntiva que não foram revertidos ou que se espera que não haveria reversão total dentro de um período de observação de 21 dias</t>
  </si>
  <si>
    <t xml:space="preserve">Pelo menos 2 de 3 animais testados, com pontuação média para opacidade na córnea ≥3 ou para irite &gt;1,5, determinada na leitura das lesões oculares observadas em 24, 48 e 72 horas após a instilação do produto. </t>
  </si>
  <si>
    <t xml:space="preserve">Pelo menos 2 de 3 animais testados, com pontuação média para opacidade na córnea ≥1, ou para irite ≥1, ou para vermelhidão na conjuntiva ≥2, ou para edema (quemose) na conjuntiva ≥2, determinada na leitura das lesões oculares observadas em 24, 48 e 72 horas após a instilação do produto e com reversão total destas lesões oculares dentro de um período de observação de 21 dias. </t>
  </si>
  <si>
    <t>2ª dose (se houver)</t>
  </si>
  <si>
    <t>Incorporação direta em placas (Controle histórico)</t>
  </si>
  <si>
    <t>Pré-incubação (Controle histórico)</t>
  </si>
  <si>
    <t>Houve correlação dose-resposta?</t>
  </si>
  <si>
    <t>Nº de Machos</t>
  </si>
  <si>
    <t>Nº de Fêmeas</t>
  </si>
  <si>
    <t>Dose Máxima Tolerada - DMT (mg/kg pc) - Fêmeas</t>
  </si>
  <si>
    <t>O estudo de DL50 foi conduzido com a mesma espécie utilizada no teste definitivo?</t>
  </si>
  <si>
    <t>Qual foi o sexo dos animais utilizados no teste de DL50?</t>
  </si>
  <si>
    <t>Quais foram os valores de dose escolhidos para o teste definitivo?</t>
  </si>
  <si>
    <t>Explique como foi o teste para seleção de dose e qual foi a dose escolhida para o teste definitivo</t>
  </si>
  <si>
    <t>Tempo de coleta após a última administração</t>
  </si>
  <si>
    <t>Metodologia OECD (Protocolo)</t>
  </si>
  <si>
    <t xml:space="preserve">Estudo sem desvios </t>
  </si>
  <si>
    <t>Marca comercial do produto técnico</t>
  </si>
  <si>
    <t>Unidade de medida:</t>
  </si>
  <si>
    <t>Sexo:</t>
  </si>
  <si>
    <t>Destruição do tecido cutâneo, originando uma necrose visível em toda a epiderme e atingindo a derme, em pelo menos 1 animal submetido a ensaio após exposição por até 4 horas.</t>
  </si>
  <si>
    <t>Nenhuma das opções anteriores.</t>
  </si>
  <si>
    <t xml:space="preserve">Dose (mg/kg p.c.) </t>
  </si>
  <si>
    <t>Houve lavagem da área tratada?</t>
  </si>
  <si>
    <t>A substância teste é um ácido forte (pH abaixo de 2) ou base forte (pH acima de 11,5)</t>
  </si>
  <si>
    <t>Taxa de sensibilização da substância teste em 24 horas (%)</t>
  </si>
  <si>
    <t>Taxa de sensibilização da substância teste em 48 horas (%)</t>
  </si>
  <si>
    <t>Quantidade de administrações da substância teste por animal:</t>
  </si>
  <si>
    <t>Média nas leituras de 24, 48 e 72 horas</t>
  </si>
  <si>
    <t>Nº de processo (Anvisa)</t>
  </si>
  <si>
    <t>Produto técnico não aplicável</t>
  </si>
  <si>
    <t>Miscibilidade em água e outros solventes</t>
  </si>
  <si>
    <t xml:space="preserve">Linhagem </t>
  </si>
  <si>
    <t>Escolha uma das opções abaixo:</t>
  </si>
  <si>
    <t>+</t>
  </si>
  <si>
    <r>
      <t>Dose</t>
    </r>
    <r>
      <rPr>
        <sz val="10"/>
        <color theme="4" tint="-0.499984740745262"/>
        <rFont val="Calibri"/>
        <family val="2"/>
        <scheme val="minor"/>
      </rPr>
      <t>(</t>
    </r>
    <r>
      <rPr>
        <sz val="11"/>
        <color theme="4" tint="-0.499984740745262"/>
        <rFont val="Calibri"/>
        <family val="2"/>
        <scheme val="minor"/>
      </rPr>
      <t>s</t>
    </r>
    <r>
      <rPr>
        <sz val="10"/>
        <color theme="4" tint="-0.499984740745262"/>
        <rFont val="Calibri"/>
        <family val="2"/>
        <scheme val="minor"/>
      </rPr>
      <t>)</t>
    </r>
    <r>
      <rPr>
        <sz val="11"/>
        <color theme="4" tint="-0.499984740745262"/>
        <rFont val="Calibri"/>
        <family val="2"/>
        <scheme val="minor"/>
      </rPr>
      <t xml:space="preserve"> testada</t>
    </r>
    <r>
      <rPr>
        <sz val="10"/>
        <color theme="4" tint="-0.499984740745262"/>
        <rFont val="Calibri"/>
        <family val="2"/>
        <scheme val="minor"/>
      </rPr>
      <t>(</t>
    </r>
    <r>
      <rPr>
        <sz val="11"/>
        <color theme="4" tint="-0.499984740745262"/>
        <rFont val="Calibri"/>
        <family val="2"/>
        <scheme val="minor"/>
      </rPr>
      <t>s</t>
    </r>
    <r>
      <rPr>
        <sz val="10"/>
        <color theme="4" tint="-0.499984740745262"/>
        <rFont val="Calibri"/>
        <family val="2"/>
        <scheme val="minor"/>
      </rPr>
      <t>)</t>
    </r>
  </si>
  <si>
    <t>Razão de Mutagenicidade</t>
  </si>
  <si>
    <t>Controle positivo 
(Nome da substância)</t>
  </si>
  <si>
    <t>Controle Negativo
(Nome da substância)</t>
  </si>
  <si>
    <r>
      <rPr>
        <b/>
        <sz val="10"/>
        <color theme="8" tint="-0.499984740745262"/>
        <rFont val="Calibri"/>
        <family val="2"/>
        <scheme val="minor"/>
      </rPr>
      <t>Referências:</t>
    </r>
    <r>
      <rPr>
        <sz val="10"/>
        <color theme="8" tint="-0.499984740745262"/>
        <rFont val="Calibri"/>
        <family val="2"/>
        <scheme val="minor"/>
      </rPr>
      <t xml:space="preserve"> Associação Brasileira de Mutagênese e Genômica Ambiental. Orientações básicas de execução de TESTES DE MUTAGENICIDADE para proteção da saúde humana e do meio ambiente.; Bryan Ballantyne, Perspectives in Basic and Applied Toxicology, página 2016.</t>
    </r>
  </si>
  <si>
    <t>Dose intermediária
 (mg/kg pc)</t>
  </si>
  <si>
    <t>Dose mínima 
(mg/kg pc)</t>
  </si>
  <si>
    <t>Dose máxima
 (mg/kg pc)</t>
  </si>
  <si>
    <t>Nº de machos</t>
  </si>
  <si>
    <t>Nº de fêmeas</t>
  </si>
  <si>
    <t>Orientação (!)</t>
  </si>
  <si>
    <t>Média</t>
  </si>
  <si>
    <t>Houve significância estatística?</t>
  </si>
  <si>
    <t>Em quais cepas?</t>
  </si>
  <si>
    <t>Os resultados têm relevância biológica?</t>
  </si>
  <si>
    <t>Total de EP analisados para cálculo da incidência de EPMN</t>
  </si>
  <si>
    <t>Formulário de Leitura Otimizada no Registro de Agrotóxicos - FLORA</t>
  </si>
  <si>
    <t>Método de análise</t>
  </si>
  <si>
    <t>Nº de animais do grupo controle negativo</t>
  </si>
  <si>
    <t>% na formulação</t>
  </si>
  <si>
    <t>Toxicidade cutânea aguda</t>
  </si>
  <si>
    <t>Para a seleção de dose: Foi utilizado estudo de DL50 com o produto formulado pela mesma via de exposição utilizada no teste definitivo?</t>
  </si>
  <si>
    <t>Limite mínimo</t>
  </si>
  <si>
    <t>Limite máximo</t>
  </si>
  <si>
    <t>Referência bibliográfica</t>
  </si>
  <si>
    <t>Relação de EP/EP+EN</t>
  </si>
  <si>
    <t>Índice monográfico</t>
  </si>
  <si>
    <t>Concentração efetiva
(mg/L de ar)</t>
  </si>
  <si>
    <t>Relatório de classificação toxicológica - Flora</t>
  </si>
  <si>
    <t>Achados de necropsia</t>
  </si>
  <si>
    <t>Alterações de peso, clínicas e comportamentais</t>
  </si>
  <si>
    <t>Ingrediente(s) ativo(s)
Produto(s) Técnico(s)</t>
  </si>
  <si>
    <t>Composição Quali-quantitativa</t>
  </si>
  <si>
    <t>&lt;&lt;&lt;&lt; quebra de linha = Alt + Enter</t>
  </si>
  <si>
    <t>Certificados de análise 
(estudos físico-químicos e toxicológicos)</t>
  </si>
  <si>
    <r>
      <t xml:space="preserve">Quando houver mais de um IA: </t>
    </r>
    <r>
      <rPr>
        <sz val="11"/>
        <color theme="2" tint="-0.749992370372631"/>
        <rFont val="Calibri"/>
        <family val="2"/>
        <scheme val="minor"/>
      </rPr>
      <t xml:space="preserve">as informações do certificado devem ser repetidas nas linhas subsequentes para ser possível informar separadamente cada resultado encontrado. </t>
    </r>
  </si>
  <si>
    <r>
      <rPr>
        <b/>
        <sz val="11"/>
        <color theme="2" tint="-0.749992370372631"/>
        <rFont val="Calibri"/>
        <family val="2"/>
        <scheme val="minor"/>
      </rPr>
      <t>Código de identificação</t>
    </r>
    <r>
      <rPr>
        <sz val="11"/>
        <color theme="2" tint="-0.749992370372631"/>
        <rFont val="Calibri"/>
        <family val="2"/>
        <scheme val="minor"/>
      </rPr>
      <t>:  qualquer dado do certificado que permita a identificação única e inequívoca.</t>
    </r>
  </si>
  <si>
    <r>
      <rPr>
        <b/>
        <sz val="11"/>
        <color theme="2" tint="-0.749992370372631"/>
        <rFont val="Calibri"/>
        <family val="2"/>
        <scheme val="minor"/>
      </rPr>
      <t>Datas</t>
    </r>
    <r>
      <rPr>
        <sz val="11"/>
        <color theme="2" tint="-0.749992370372631"/>
        <rFont val="Calibri"/>
        <family val="2"/>
        <scheme val="minor"/>
      </rPr>
      <t>: caso a data de fabricação, de validade ou de análise não constem no dossiê, a empresa deverá protocolar aditamento complementando essas informações.</t>
    </r>
  </si>
  <si>
    <t>Informar novo estudo</t>
  </si>
  <si>
    <t>Toxicidade oral aguda
protocolo Up&amp;Down - estudo 1</t>
  </si>
  <si>
    <t>mínimo</t>
  </si>
  <si>
    <t>máximo</t>
  </si>
  <si>
    <t>Estudo com desvios</t>
  </si>
  <si>
    <t>Rattus norvegicus</t>
  </si>
  <si>
    <t>Toxicidade oral aguda
Estudo 1</t>
  </si>
  <si>
    <t xml:space="preserve">Sequência do teste   </t>
  </si>
  <si>
    <t>Dose 
(mg/kg pc)</t>
  </si>
  <si>
    <t>Mortalidade (fêmeas)</t>
  </si>
  <si>
    <t>Resposta
O= Sobrevivente    X= Morte</t>
  </si>
  <si>
    <t xml:space="preserve">&gt; (maior que) </t>
  </si>
  <si>
    <t>Toxicidade cutânea aguda
Estudo 1</t>
  </si>
  <si>
    <t>Mortalidade (machos)</t>
  </si>
  <si>
    <t xml:space="preserve">     &gt;maior que</t>
  </si>
  <si>
    <t>Toxicidade Inalatória Aguda
Estudo 1</t>
  </si>
  <si>
    <t>Concentrações efetivas em 4 horas
Informações sobre a efetividade do teste</t>
  </si>
  <si>
    <t>Descrição do desvio (?)</t>
  </si>
  <si>
    <r>
      <t xml:space="preserve">Código do relatório de estudo </t>
    </r>
    <r>
      <rPr>
        <b/>
        <sz val="10"/>
        <color theme="5" tint="-0.249977111117893"/>
        <rFont val="Calibri"/>
        <family val="2"/>
        <scheme val="minor"/>
      </rPr>
      <t>(?)</t>
    </r>
  </si>
  <si>
    <r>
      <t xml:space="preserve">Critério de parada </t>
    </r>
    <r>
      <rPr>
        <b/>
        <sz val="11"/>
        <color theme="5" tint="-0.249977111117893"/>
        <rFont val="Calibri"/>
        <family val="2"/>
        <scheme val="minor"/>
      </rPr>
      <t>(?)</t>
    </r>
  </si>
  <si>
    <r>
      <t xml:space="preserve">Desvios ao protocolo </t>
    </r>
    <r>
      <rPr>
        <b/>
        <sz val="11"/>
        <color theme="5" tint="-0.249977111117893"/>
        <rFont val="Calibri"/>
        <family val="2"/>
        <scheme val="minor"/>
      </rPr>
      <t>(?)</t>
    </r>
  </si>
  <si>
    <r>
      <t xml:space="preserve">Conclusão do estudo </t>
    </r>
    <r>
      <rPr>
        <b/>
        <sz val="11"/>
        <color theme="5" tint="-0.249977111117893"/>
        <rFont val="Calibri"/>
        <family val="2"/>
        <scheme val="minor"/>
      </rPr>
      <t>(?)</t>
    </r>
  </si>
  <si>
    <t>Nº da etapa</t>
  </si>
  <si>
    <r>
      <t xml:space="preserve">DL50 oral (mg/kg p.c.) </t>
    </r>
    <r>
      <rPr>
        <b/>
        <sz val="11"/>
        <color theme="5" tint="-0.249977111117893"/>
        <rFont val="Calibri"/>
        <family val="2"/>
        <scheme val="minor"/>
      </rPr>
      <t>(?)</t>
    </r>
  </si>
  <si>
    <r>
      <t xml:space="preserve">DL50 cutânea (mg/kg p.c.) </t>
    </r>
    <r>
      <rPr>
        <b/>
        <sz val="11"/>
        <color theme="5" tint="-0.249977111117893"/>
        <rFont val="Calibri"/>
        <family val="2"/>
        <scheme val="minor"/>
      </rPr>
      <t>(?)</t>
    </r>
  </si>
  <si>
    <t>Argumentação técnica (?)</t>
  </si>
  <si>
    <t>Interferiu nos resultados? (?)</t>
  </si>
  <si>
    <r>
      <t xml:space="preserve">Deseja solicitar a dispensa da apresentação para esse estudo? </t>
    </r>
    <r>
      <rPr>
        <b/>
        <sz val="11"/>
        <color theme="5" tint="-0.249977111117893"/>
        <rFont val="Calibri"/>
        <family val="2"/>
        <scheme val="minor"/>
      </rPr>
      <t>(?)</t>
    </r>
  </si>
  <si>
    <r>
      <t xml:space="preserve">CL50 em 4 horas (mg/L de ar) </t>
    </r>
    <r>
      <rPr>
        <b/>
        <sz val="11"/>
        <color theme="5" tint="-0.249977111117893"/>
        <rFont val="Calibri"/>
        <family val="2"/>
        <scheme val="minor"/>
      </rPr>
      <t>(?)</t>
    </r>
  </si>
  <si>
    <t>A substância causou corrosão aos olhos?</t>
  </si>
  <si>
    <t>Dia</t>
  </si>
  <si>
    <t>Hora</t>
  </si>
  <si>
    <r>
      <t xml:space="preserve">21 </t>
    </r>
    <r>
      <rPr>
        <b/>
        <sz val="11"/>
        <color theme="5" tint="-0.249977111117893"/>
        <rFont val="Calibri"/>
        <family val="2"/>
        <scheme val="minor"/>
      </rPr>
      <t>(?)</t>
    </r>
  </si>
  <si>
    <t>Tempo total de observação</t>
  </si>
  <si>
    <t>Oryctolagus cuniculus</t>
  </si>
  <si>
    <r>
      <t>Outras metodologias (Protocolos)</t>
    </r>
    <r>
      <rPr>
        <sz val="11"/>
        <color theme="5" tint="-0.249977111117893"/>
        <rFont val="Calibri"/>
        <family val="2"/>
        <scheme val="minor"/>
      </rPr>
      <t xml:space="preserve"> </t>
    </r>
    <r>
      <rPr>
        <b/>
        <sz val="10"/>
        <color theme="5" tint="-0.249977111117893"/>
        <rFont val="Calibri"/>
        <family val="2"/>
        <scheme val="minor"/>
      </rPr>
      <t>(?)</t>
    </r>
  </si>
  <si>
    <t>Dose / unidade de medida</t>
  </si>
  <si>
    <t>**</t>
  </si>
  <si>
    <t>Corrosão/irritação ocular
Estudo 1</t>
  </si>
  <si>
    <t>Alterações cutâneas</t>
  </si>
  <si>
    <r>
      <t>Detalhamento das alterações relatadas</t>
    </r>
    <r>
      <rPr>
        <b/>
        <sz val="11"/>
        <color theme="5" tint="-0.249977111117893"/>
        <rFont val="Calibri"/>
        <family val="2"/>
        <scheme val="minor"/>
      </rPr>
      <t>(?)</t>
    </r>
  </si>
  <si>
    <t>Corrosão/irritação cutânea aguda
Estudo 1</t>
  </si>
  <si>
    <r>
      <t xml:space="preserve">Data de conclusão </t>
    </r>
    <r>
      <rPr>
        <b/>
        <sz val="10"/>
        <color theme="4" tint="-0.499984740745262"/>
        <rFont val="Calibri"/>
        <family val="2"/>
        <scheme val="minor"/>
      </rPr>
      <t>(?)</t>
    </r>
  </si>
  <si>
    <t>Resultados do teste preliminar</t>
  </si>
  <si>
    <t>Nº de animais/grupo</t>
  </si>
  <si>
    <r>
      <rPr>
        <sz val="11"/>
        <color theme="8" tint="-0.499984740745262"/>
        <rFont val="Calibri"/>
        <family val="2"/>
        <scheme val="minor"/>
      </rPr>
      <t>Substância teste</t>
    </r>
    <r>
      <rPr>
        <b/>
        <sz val="11"/>
        <color theme="5" tint="-0.249977111117893"/>
        <rFont val="Calibri"/>
        <family val="2"/>
        <scheme val="minor"/>
      </rPr>
      <t xml:space="preserve"> </t>
    </r>
    <r>
      <rPr>
        <b/>
        <sz val="10"/>
        <color theme="5" tint="-0.249977111117893"/>
        <rFont val="Calibri"/>
        <family val="2"/>
        <scheme val="minor"/>
      </rPr>
      <t>(?)</t>
    </r>
  </si>
  <si>
    <t>Horas após a aplicação (?)</t>
  </si>
  <si>
    <r>
      <t xml:space="preserve">Horas após a aplicação </t>
    </r>
    <r>
      <rPr>
        <b/>
        <sz val="10"/>
        <color theme="5" tint="-0.249977111117893"/>
        <rFont val="Calibri"/>
        <family val="2"/>
        <scheme val="minor"/>
      </rPr>
      <t>(?)</t>
    </r>
  </si>
  <si>
    <r>
      <t xml:space="preserve">Lesões encontradas </t>
    </r>
    <r>
      <rPr>
        <b/>
        <sz val="11"/>
        <color theme="5" tint="-0.249977111117893"/>
        <rFont val="Calibri"/>
        <family val="2"/>
        <scheme val="minor"/>
      </rPr>
      <t>(?)</t>
    </r>
  </si>
  <si>
    <t>Houve uma variabilidade pronunciada de respostas entre os animais, com efeitos positivos bem definidos em um único animal relacionados à exposição do produto, mas que não atingem os critérios acima definidos.</t>
  </si>
  <si>
    <t>Pelo menos 2 de 3 animais testados, com pontuação média para eritema/escara ou para edema ≥1,5 e &lt;2,3 determinada na leitura das reações cutâneas observadas em 24, 48 e 72 horas após a remoção dos emplastros ou, no caso de reações tardias, leitura por 3 dias consecutivos após o início das reações cutâneas.</t>
  </si>
  <si>
    <r>
      <t xml:space="preserve">Justificativa </t>
    </r>
    <r>
      <rPr>
        <b/>
        <sz val="10"/>
        <color theme="4" tint="-0.499984740745262"/>
        <rFont val="Calibri"/>
        <family val="2"/>
        <scheme val="minor"/>
      </rPr>
      <t>(?)</t>
    </r>
  </si>
  <si>
    <r>
      <t xml:space="preserve">Resultados do teste definitivo </t>
    </r>
    <r>
      <rPr>
        <b/>
        <sz val="10"/>
        <color theme="5" tint="-0.249977111117893"/>
        <rFont val="Calibri"/>
        <family val="2"/>
        <scheme val="minor"/>
      </rPr>
      <t>(?)</t>
    </r>
  </si>
  <si>
    <t>Fase de indução</t>
  </si>
  <si>
    <t>Fase de desafio</t>
  </si>
  <si>
    <t>Fase de redesafio</t>
  </si>
  <si>
    <r>
      <t>Data de condução</t>
    </r>
    <r>
      <rPr>
        <sz val="11"/>
        <color theme="5" tint="-0.249977111117893"/>
        <rFont val="Calibri"/>
        <family val="2"/>
        <scheme val="minor"/>
      </rPr>
      <t xml:space="preserve"> </t>
    </r>
    <r>
      <rPr>
        <b/>
        <sz val="11"/>
        <color theme="5" tint="-0.249977111117893"/>
        <rFont val="Calibri"/>
        <family val="2"/>
        <scheme val="minor"/>
      </rPr>
      <t>(?)</t>
    </r>
  </si>
  <si>
    <r>
      <rPr>
        <sz val="11"/>
        <color theme="4" tint="-0.499984740745262"/>
        <rFont val="Calibri"/>
        <family val="2"/>
        <scheme val="minor"/>
      </rPr>
      <t>Dose</t>
    </r>
    <r>
      <rPr>
        <sz val="10"/>
        <color theme="4" tint="-0.499984740745262"/>
        <rFont val="Calibri"/>
        <family val="2"/>
        <scheme val="minor"/>
      </rPr>
      <t>(</t>
    </r>
    <r>
      <rPr>
        <sz val="11"/>
        <color theme="4" tint="-0.499984740745262"/>
        <rFont val="Calibri"/>
        <family val="2"/>
        <scheme val="minor"/>
      </rPr>
      <t>s</t>
    </r>
    <r>
      <rPr>
        <sz val="10"/>
        <color theme="4" tint="-0.499984740745262"/>
        <rFont val="Calibri"/>
        <family val="2"/>
        <scheme val="minor"/>
      </rPr>
      <t>)</t>
    </r>
    <r>
      <rPr>
        <sz val="11"/>
        <color theme="4" tint="-0.499984740745262"/>
        <rFont val="Calibri"/>
        <family val="2"/>
        <scheme val="minor"/>
      </rPr>
      <t xml:space="preserve"> testada</t>
    </r>
    <r>
      <rPr>
        <sz val="10"/>
        <color theme="4" tint="-0.499984740745262"/>
        <rFont val="Calibri"/>
        <family val="2"/>
        <scheme val="minor"/>
      </rPr>
      <t>(</t>
    </r>
    <r>
      <rPr>
        <sz val="11"/>
        <color theme="4" tint="-0.499984740745262"/>
        <rFont val="Calibri"/>
        <family val="2"/>
        <scheme val="minor"/>
      </rPr>
      <t>s</t>
    </r>
    <r>
      <rPr>
        <sz val="10"/>
        <color theme="4" tint="-0.499984740745262"/>
        <rFont val="Calibri"/>
        <family val="2"/>
        <scheme val="minor"/>
      </rPr>
      <t>)</t>
    </r>
    <r>
      <rPr>
        <b/>
        <sz val="11"/>
        <color theme="1"/>
        <rFont val="Calibri"/>
        <family val="2"/>
        <scheme val="minor"/>
      </rPr>
      <t xml:space="preserve"> </t>
    </r>
    <r>
      <rPr>
        <b/>
        <sz val="10"/>
        <color theme="5" tint="-0.249977111117893"/>
        <rFont val="Calibri"/>
        <family val="2"/>
        <scheme val="minor"/>
      </rPr>
      <t>(?)</t>
    </r>
  </si>
  <si>
    <t>Cavia porcellus</t>
  </si>
  <si>
    <t>Local 1</t>
  </si>
  <si>
    <t>Local 2</t>
  </si>
  <si>
    <t>Local 3</t>
  </si>
  <si>
    <t>Local 4</t>
  </si>
  <si>
    <t>Dose escolhida (desafio)</t>
  </si>
  <si>
    <r>
      <t xml:space="preserve">Justificar
Diferença entre a dose do teste preliminar e a dose do desafio </t>
    </r>
    <r>
      <rPr>
        <b/>
        <sz val="10"/>
        <color theme="5" tint="-0.249977111117893"/>
        <rFont val="Calibri"/>
        <family val="2"/>
        <scheme val="minor"/>
      </rPr>
      <t>(?)</t>
    </r>
  </si>
  <si>
    <t>Houve a condução do redesafio?</t>
  </si>
  <si>
    <t>Dose do desafio (%)</t>
  </si>
  <si>
    <t>Dose do redesafio (%)</t>
  </si>
  <si>
    <t>Dose da indução (%)</t>
  </si>
  <si>
    <t>Sensibilização cutânea
Buehler/Maximização - estudo 1</t>
  </si>
  <si>
    <t>Sensibilização cutânea
LLNA - estudo 1</t>
  </si>
  <si>
    <t>Presença de S9</t>
  </si>
  <si>
    <r>
      <rPr>
        <b/>
        <sz val="11"/>
        <color theme="8" tint="-0.499984740745262"/>
        <rFont val="Calibri"/>
        <family val="2"/>
        <scheme val="minor"/>
      </rPr>
      <t xml:space="preserve">Apenas valores de mínimo: </t>
    </r>
    <r>
      <rPr>
        <sz val="11"/>
        <color theme="8" tint="-0.499984740745262"/>
        <rFont val="Calibri"/>
        <family val="2"/>
        <scheme val="minor"/>
      </rPr>
      <t xml:space="preserve">quando valor estiver representado no formato " &gt; X ", deve-se preencher somente o campo de mínimo na tabela acima. </t>
    </r>
  </si>
  <si>
    <t>Qual foi o mutágeno utilizado além do 2-aminoantraceno?</t>
  </si>
  <si>
    <r>
      <t xml:space="preserve">Qual foi o método utilizado no controle histórico? </t>
    </r>
    <r>
      <rPr>
        <b/>
        <sz val="10"/>
        <color theme="5" tint="-0.249977111117893"/>
        <rFont val="Calibri"/>
        <family val="2"/>
        <scheme val="minor"/>
      </rPr>
      <t>(?)</t>
    </r>
  </si>
  <si>
    <t>A comprovação da análise da eficácia da fração S9 com outro mutágeno além do 2-aminoantraceno</t>
  </si>
  <si>
    <t>Total de replicatas por concentração</t>
  </si>
  <si>
    <t>Houve redução na contagem de UFC maior ou igual a 50% (citotoxicidade)?</t>
  </si>
  <si>
    <t xml:space="preserve"> Teste de Ames
Concentrações testadas e nº de revertentes (UFC)</t>
  </si>
  <si>
    <t>Concentração</t>
  </si>
  <si>
    <t>Mus musculus</t>
  </si>
  <si>
    <r>
      <t xml:space="preserve">Foi testado mais de um grupo controle negativo no teste definitivo? </t>
    </r>
    <r>
      <rPr>
        <b/>
        <sz val="9"/>
        <color theme="5" tint="-0.249977111117893"/>
        <rFont val="Calibri"/>
        <family val="2"/>
        <scheme val="minor"/>
      </rPr>
      <t>(?)</t>
    </r>
  </si>
  <si>
    <t>Controle histórico</t>
  </si>
  <si>
    <t>Nº do teste</t>
  </si>
  <si>
    <r>
      <rPr>
        <sz val="11"/>
        <color theme="8" tint="-0.499984740745262"/>
        <rFont val="Calibri"/>
        <family val="2"/>
        <scheme val="minor"/>
      </rPr>
      <t>Preencher resultados do estudo</t>
    </r>
    <r>
      <rPr>
        <b/>
        <sz val="11"/>
        <color theme="8" tint="-0.499984740745262"/>
        <rFont val="Calibri"/>
        <family val="2"/>
        <scheme val="minor"/>
      </rPr>
      <t xml:space="preserve"> </t>
    </r>
    <r>
      <rPr>
        <b/>
        <sz val="10"/>
        <color theme="5" tint="-0.249977111117893"/>
        <rFont val="Calibri"/>
        <family val="2"/>
        <scheme val="minor"/>
      </rPr>
      <t>(?)</t>
    </r>
  </si>
  <si>
    <r>
      <t xml:space="preserve">Evidência que comprove a exposição da medula óssea a substância teste </t>
    </r>
    <r>
      <rPr>
        <b/>
        <sz val="10"/>
        <color theme="5" tint="-0.249977111117893"/>
        <rFont val="Calibri"/>
        <family val="2"/>
        <scheme val="minor"/>
      </rPr>
      <t>(?)</t>
    </r>
  </si>
  <si>
    <r>
      <t xml:space="preserve">Metodologia e resultados da análise estatística </t>
    </r>
    <r>
      <rPr>
        <b/>
        <sz val="10"/>
        <color theme="5" tint="-0.249977111117893"/>
        <rFont val="Calibri"/>
        <family val="2"/>
        <scheme val="minor"/>
      </rPr>
      <t>(?)</t>
    </r>
  </si>
  <si>
    <t>Tempo de coleta (horas)</t>
  </si>
  <si>
    <t>Início da coleta (horas)</t>
  </si>
  <si>
    <t>Término da coleta (horas)</t>
  </si>
  <si>
    <t>Mutação gênica em células bacterianas
Teste de Ames - estudo 1</t>
  </si>
  <si>
    <t xml:space="preserve">Micronúcleo
Resultados </t>
  </si>
  <si>
    <r>
      <t xml:space="preserve">Grupo controle positivo </t>
    </r>
    <r>
      <rPr>
        <b/>
        <sz val="11"/>
        <color theme="5" tint="0.39997558519241921"/>
        <rFont val="Calibri"/>
        <family val="2"/>
        <scheme val="minor"/>
      </rPr>
      <t>(?)</t>
    </r>
  </si>
  <si>
    <t>Marca comercial</t>
  </si>
  <si>
    <t>Nº de processo</t>
  </si>
  <si>
    <t>Requerimento</t>
  </si>
  <si>
    <t>Formulação</t>
  </si>
  <si>
    <t>Empresa (CNPJ)</t>
  </si>
  <si>
    <t>Componente</t>
  </si>
  <si>
    <t>*Os componentes toxicológicamente relevantes deverão aparecer descritos no rótulo e na bula.</t>
  </si>
  <si>
    <t>1º estudo
Up and Down</t>
  </si>
  <si>
    <t>2º estudo
Up and Down</t>
  </si>
  <si>
    <t>Dano cromossômico in vivo em células de mamíferos</t>
  </si>
  <si>
    <t>Classificação do desfecho</t>
  </si>
  <si>
    <t>Mutagenicidade</t>
  </si>
  <si>
    <t>Toxicidade oral aguda</t>
  </si>
  <si>
    <t>Toxicidade inalatória aguda</t>
  </si>
  <si>
    <t>Palavra de advertência</t>
  </si>
  <si>
    <r>
      <t>Função</t>
    </r>
    <r>
      <rPr>
        <sz val="11"/>
        <color theme="5" tint="-0.249977111117893"/>
        <rFont val="Calibri"/>
        <family val="2"/>
        <scheme val="minor"/>
      </rPr>
      <t xml:space="preserve"> </t>
    </r>
    <r>
      <rPr>
        <b/>
        <sz val="10"/>
        <color theme="5" tint="-0.249977111117893"/>
        <rFont val="Calibri"/>
        <family val="2"/>
        <scheme val="minor"/>
      </rPr>
      <t>(?)</t>
    </r>
  </si>
  <si>
    <r>
      <t xml:space="preserve">Limite Mínimo </t>
    </r>
    <r>
      <rPr>
        <b/>
        <sz val="10"/>
        <color theme="5" tint="-0.249977111117893"/>
        <rFont val="Calibri"/>
        <family val="2"/>
        <scheme val="minor"/>
      </rPr>
      <t>(?)</t>
    </r>
  </si>
  <si>
    <r>
      <t>Código de identificação</t>
    </r>
    <r>
      <rPr>
        <b/>
        <sz val="11"/>
        <color theme="5" tint="-0.249977111117893"/>
        <rFont val="Calibri"/>
        <family val="2"/>
        <scheme val="minor"/>
      </rPr>
      <t xml:space="preserve"> </t>
    </r>
    <r>
      <rPr>
        <b/>
        <sz val="10"/>
        <color theme="5" tint="-0.249977111117893"/>
        <rFont val="Calibri"/>
        <family val="2"/>
        <scheme val="minor"/>
      </rPr>
      <t>(?)</t>
    </r>
  </si>
  <si>
    <r>
      <t>Data de fabricação</t>
    </r>
    <r>
      <rPr>
        <b/>
        <sz val="11"/>
        <color theme="5" tint="-0.249977111117893"/>
        <rFont val="Calibri"/>
        <family val="2"/>
        <scheme val="minor"/>
      </rPr>
      <t xml:space="preserve"> </t>
    </r>
    <r>
      <rPr>
        <b/>
        <sz val="10"/>
        <color theme="5" tint="-0.249977111117893"/>
        <rFont val="Calibri"/>
        <family val="2"/>
        <scheme val="minor"/>
      </rPr>
      <t>(?)</t>
    </r>
  </si>
  <si>
    <r>
      <t xml:space="preserve">Data de validade </t>
    </r>
    <r>
      <rPr>
        <b/>
        <sz val="10"/>
        <color theme="5" tint="-0.249977111117893"/>
        <rFont val="Calibri"/>
        <family val="2"/>
        <scheme val="minor"/>
      </rPr>
      <t>(?)</t>
    </r>
  </si>
  <si>
    <r>
      <t xml:space="preserve">Data da análise </t>
    </r>
    <r>
      <rPr>
        <b/>
        <sz val="10"/>
        <color theme="5" tint="-0.249977111117893"/>
        <rFont val="Calibri"/>
        <family val="2"/>
        <scheme val="minor"/>
      </rPr>
      <t>(?)</t>
    </r>
  </si>
  <si>
    <r>
      <t xml:space="preserve">Concentração encontrada </t>
    </r>
    <r>
      <rPr>
        <b/>
        <sz val="10"/>
        <color theme="5" tint="-0.249977111117893"/>
        <rFont val="Calibri"/>
        <family val="2"/>
        <scheme val="minor"/>
      </rPr>
      <t>(?)</t>
    </r>
  </si>
  <si>
    <r>
      <t xml:space="preserve">Tipo de estudo </t>
    </r>
    <r>
      <rPr>
        <b/>
        <sz val="10"/>
        <color theme="5" tint="-0.249977111117893"/>
        <rFont val="Calibri"/>
        <family val="2"/>
        <scheme val="minor"/>
      </rPr>
      <t>(?)</t>
    </r>
  </si>
  <si>
    <r>
      <t xml:space="preserve">Conclusão do estudo </t>
    </r>
    <r>
      <rPr>
        <b/>
        <sz val="10"/>
        <color theme="5" tint="-0.249977111117893"/>
        <rFont val="Calibri"/>
        <family val="2"/>
        <scheme val="minor"/>
      </rPr>
      <t>(?)</t>
    </r>
  </si>
  <si>
    <r>
      <t>Conclusão do estudo</t>
    </r>
    <r>
      <rPr>
        <sz val="10"/>
        <color theme="4" tint="-0.499984740745262"/>
        <rFont val="Calibri"/>
        <family val="2"/>
        <scheme val="minor"/>
      </rPr>
      <t xml:space="preserve"> </t>
    </r>
    <r>
      <rPr>
        <b/>
        <sz val="10"/>
        <color theme="5" tint="-0.249977111117893"/>
        <rFont val="Calibri"/>
        <family val="2"/>
        <scheme val="minor"/>
      </rPr>
      <t>(?)</t>
    </r>
  </si>
  <si>
    <r>
      <t xml:space="preserve">Desvios ao protocolo </t>
    </r>
    <r>
      <rPr>
        <b/>
        <sz val="10"/>
        <color theme="5" tint="-0.249977111117893"/>
        <rFont val="Calibri"/>
        <family val="2"/>
        <scheme val="minor"/>
      </rPr>
      <t>(?)</t>
    </r>
  </si>
  <si>
    <r>
      <t xml:space="preserve">Resultados </t>
    </r>
    <r>
      <rPr>
        <b/>
        <sz val="10"/>
        <color theme="5" tint="-0.249977111117893"/>
        <rFont val="Calibri"/>
        <family val="2"/>
        <scheme val="minor"/>
      </rPr>
      <t>(?)</t>
    </r>
  </si>
  <si>
    <r>
      <t xml:space="preserve">Nº de animais do grupo testado </t>
    </r>
    <r>
      <rPr>
        <b/>
        <sz val="10"/>
        <color theme="5" tint="-0.249977111117893"/>
        <rFont val="Calibri"/>
        <family val="2"/>
        <scheme val="minor"/>
      </rPr>
      <t>(?)</t>
    </r>
  </si>
  <si>
    <t>Outras</t>
  </si>
  <si>
    <t>Produto Formulado - Avaliação toxicológica de produto com ingrediente ativo já registrado no País</t>
  </si>
  <si>
    <t>Produto Formulado Novo - Avaliação toxicológica de produto com ingrediente ativo ainda não registrado no País</t>
  </si>
  <si>
    <t>Produto Formulado com base em Produto Técnico Equivalente</t>
  </si>
  <si>
    <t>Produto de uso não agrícola - Avaliação toxicológica de Produto com Ingrediente Ativo já Registrado no País</t>
  </si>
  <si>
    <t>Concentrado dispersível</t>
  </si>
  <si>
    <t>DC</t>
  </si>
  <si>
    <t>Concentrado emulsionável</t>
  </si>
  <si>
    <t>EC</t>
  </si>
  <si>
    <t>Concentrado para nebulização a frio</t>
  </si>
  <si>
    <t>KN</t>
  </si>
  <si>
    <t>Concentrado para termonebulização</t>
  </si>
  <si>
    <t>HN</t>
  </si>
  <si>
    <t>Concentrado solúvel</t>
  </si>
  <si>
    <t>SL</t>
  </si>
  <si>
    <t>Concentrado técnico/pré-mistura</t>
  </si>
  <si>
    <t>TK</t>
  </si>
  <si>
    <t>Dispersão de óleo</t>
  </si>
  <si>
    <t>OD</t>
  </si>
  <si>
    <t>Emulsão de água em óleo</t>
  </si>
  <si>
    <t>EO</t>
  </si>
  <si>
    <t>Emulsão de óleo em água</t>
  </si>
  <si>
    <t>EW</t>
  </si>
  <si>
    <t>Fumigante</t>
  </si>
  <si>
    <t>FU</t>
  </si>
  <si>
    <t>Gás</t>
  </si>
  <si>
    <t>GA</t>
  </si>
  <si>
    <t>Gel emulsionável</t>
  </si>
  <si>
    <t>GL</t>
  </si>
  <si>
    <t>Gel solúvel em água</t>
  </si>
  <si>
    <t>GW</t>
  </si>
  <si>
    <t>Gerador de gás</t>
  </si>
  <si>
    <t>GE</t>
  </si>
  <si>
    <t>Grânulo</t>
  </si>
  <si>
    <t>GR</t>
  </si>
  <si>
    <t>Grânulo solúvel em água</t>
  </si>
  <si>
    <t>SG</t>
  </si>
  <si>
    <t>Grânulos dispersíveis em água</t>
  </si>
  <si>
    <t>WG</t>
  </si>
  <si>
    <t>Isca</t>
  </si>
  <si>
    <t>RB</t>
  </si>
  <si>
    <t>Laca</t>
  </si>
  <si>
    <t>LA</t>
  </si>
  <si>
    <t>Liberador de vapor</t>
  </si>
  <si>
    <t>VP</t>
  </si>
  <si>
    <t>Liquido de ultrabaixo volume</t>
  </si>
  <si>
    <t>UL</t>
  </si>
  <si>
    <t>Líquido miscível em óleo</t>
  </si>
  <si>
    <t>OL</t>
  </si>
  <si>
    <t>Microemulsão</t>
  </si>
  <si>
    <t>ME</t>
  </si>
  <si>
    <t>Mistura de CS e EW</t>
  </si>
  <si>
    <t>ZW</t>
  </si>
  <si>
    <t>Mistura de CS e SC</t>
  </si>
  <si>
    <t>ZC</t>
  </si>
  <si>
    <t>Mistura de CS e SE</t>
  </si>
  <si>
    <t>ZE</t>
  </si>
  <si>
    <t>Óleo para pulverização</t>
  </si>
  <si>
    <t>SO</t>
  </si>
  <si>
    <t>Outras formulações</t>
  </si>
  <si>
    <t>XX</t>
  </si>
  <si>
    <t>Outros líquidos para aplicação direta</t>
  </si>
  <si>
    <t>AL</t>
  </si>
  <si>
    <t>Outros pós para aplicação direta</t>
  </si>
  <si>
    <t>AP</t>
  </si>
  <si>
    <t>Pasta</t>
  </si>
  <si>
    <t>PA</t>
  </si>
  <si>
    <t>Pó dispersível em água para tratamento de sementes</t>
  </si>
  <si>
    <t>WS</t>
  </si>
  <si>
    <t>Pó molhável</t>
  </si>
  <si>
    <t>WP</t>
  </si>
  <si>
    <t>Pó para tratamento a seco de sementes</t>
  </si>
  <si>
    <t>DS</t>
  </si>
  <si>
    <t>Pó seco</t>
  </si>
  <si>
    <t>DP</t>
  </si>
  <si>
    <t>Pó solúvel em água</t>
  </si>
  <si>
    <t>SP</t>
  </si>
  <si>
    <t>Produto técnico</t>
  </si>
  <si>
    <t>TC</t>
  </si>
  <si>
    <t>Solução para tratamento de sementes</t>
  </si>
  <si>
    <t>LS</t>
  </si>
  <si>
    <t>Suspensão concentrada</t>
  </si>
  <si>
    <t>SC</t>
  </si>
  <si>
    <t>Suspensão concentrada para tratamento de sementes</t>
  </si>
  <si>
    <t>FS</t>
  </si>
  <si>
    <t>Suspensão de cápsulas</t>
  </si>
  <si>
    <t>CS</t>
  </si>
  <si>
    <t>Suspoemulsão</t>
  </si>
  <si>
    <t>SE</t>
  </si>
  <si>
    <t>Tela/saco formulado</t>
  </si>
  <si>
    <t>LN</t>
  </si>
  <si>
    <t>Herbicida</t>
  </si>
  <si>
    <t>Inseticida</t>
  </si>
  <si>
    <t>Fungicida</t>
  </si>
  <si>
    <t>(e)-8-dodecenol</t>
  </si>
  <si>
    <t>D46</t>
  </si>
  <si>
    <t>42513-42-8</t>
  </si>
  <si>
    <t>(z)-11-hexadecenal</t>
  </si>
  <si>
    <t>H14</t>
  </si>
  <si>
    <t>53939-28-9</t>
  </si>
  <si>
    <t>(z)-13-octadecenal</t>
  </si>
  <si>
    <t>O18</t>
  </si>
  <si>
    <t>58594-45-9</t>
  </si>
  <si>
    <t>(Z)-7-hexadecenal</t>
  </si>
  <si>
    <t>H16</t>
  </si>
  <si>
    <t>56797-40-1</t>
  </si>
  <si>
    <t>(z)-8-dodecenol</t>
  </si>
  <si>
    <t>D47</t>
  </si>
  <si>
    <t>40642-40-8</t>
  </si>
  <si>
    <t>(z)-9-hexadecenal</t>
  </si>
  <si>
    <t>H15</t>
  </si>
  <si>
    <t>56219-04-6</t>
  </si>
  <si>
    <t>(z,z,z)-3,6,9-tricosatrieno</t>
  </si>
  <si>
    <t>T53</t>
  </si>
  <si>
    <t>102673-51-8</t>
  </si>
  <si>
    <t>1,4-dimetoxibenzeno</t>
  </si>
  <si>
    <t>D52</t>
  </si>
  <si>
    <t>150-78-7</t>
  </si>
  <si>
    <t>2,4-D</t>
  </si>
  <si>
    <t>D27</t>
  </si>
  <si>
    <t>94-75-7</t>
  </si>
  <si>
    <t>2,4-d-butílico</t>
  </si>
  <si>
    <t>D27.3</t>
  </si>
  <si>
    <t>94-80-4</t>
  </si>
  <si>
    <t>2,4-d-dimetilamina</t>
  </si>
  <si>
    <t>D27.1</t>
  </si>
  <si>
    <t>2008-39-1</t>
  </si>
  <si>
    <t>2,4-d-trietanolamina</t>
  </si>
  <si>
    <t>D27.2</t>
  </si>
  <si>
    <t>2569-01-9</t>
  </si>
  <si>
    <t>2,4-d-triisopropanolamina</t>
  </si>
  <si>
    <t>D27.4</t>
  </si>
  <si>
    <t>32341-80-3</t>
  </si>
  <si>
    <t>4,8-dimetildecanal</t>
  </si>
  <si>
    <t>D49</t>
  </si>
  <si>
    <t>75983-36-7</t>
  </si>
  <si>
    <t>5,9-dimetilpentadecano</t>
  </si>
  <si>
    <t>D45</t>
  </si>
  <si>
    <t>119163-96-1</t>
  </si>
  <si>
    <t>Abamectina</t>
  </si>
  <si>
    <t>A18</t>
  </si>
  <si>
    <t>71751-41-2</t>
  </si>
  <si>
    <t>Acefato</t>
  </si>
  <si>
    <t>A02</t>
  </si>
  <si>
    <t>30560-19-1</t>
  </si>
  <si>
    <t>Acetamiprido</t>
  </si>
  <si>
    <t>A29</t>
  </si>
  <si>
    <t>135410-20-7</t>
  </si>
  <si>
    <t>Acetato de (e)-8-dodecenila</t>
  </si>
  <si>
    <t>A39</t>
  </si>
  <si>
    <t>38363-29-0</t>
  </si>
  <si>
    <t>Acetato de (e,z)-3,5-dodecadienila</t>
  </si>
  <si>
    <t>A37</t>
  </si>
  <si>
    <t>174659-87-1</t>
  </si>
  <si>
    <t>Acetato de (e,z)-3,8-tetradecadienila</t>
  </si>
  <si>
    <t>A35</t>
  </si>
  <si>
    <t>163041-87-0</t>
  </si>
  <si>
    <t>Acetato de (e,z)-4,7-tridecadienila</t>
  </si>
  <si>
    <t>A51</t>
  </si>
  <si>
    <t>57981-60-9</t>
  </si>
  <si>
    <t>Acetato de (E,Z)-7,9-dodecadinila</t>
  </si>
  <si>
    <t>A59</t>
  </si>
  <si>
    <t>55774-32-8</t>
  </si>
  <si>
    <t>Acetato de (e,z,z)-3,8,11-tetradecatrienila</t>
  </si>
  <si>
    <t>A33</t>
  </si>
  <si>
    <t>163041-94-9</t>
  </si>
  <si>
    <t>Acetato de (e,z,z)-4,7,10-tridecatrienila</t>
  </si>
  <si>
    <t>A50</t>
  </si>
  <si>
    <t>61810-56-8</t>
  </si>
  <si>
    <t>Acetato de (z)-11-hexadecenila</t>
  </si>
  <si>
    <t>A43</t>
  </si>
  <si>
    <t>34010-21-4</t>
  </si>
  <si>
    <t>Acetato de (z)-5-dodecenila</t>
  </si>
  <si>
    <t>A55</t>
  </si>
  <si>
    <t>16676-96-3</t>
  </si>
  <si>
    <t>Acetato de (z)-7-dodecenila</t>
  </si>
  <si>
    <t>A44</t>
  </si>
  <si>
    <t>14959-86-5</t>
  </si>
  <si>
    <t>Acetato de (z)-8-dodecenila</t>
  </si>
  <si>
    <t>A40</t>
  </si>
  <si>
    <t>28079-04-1</t>
  </si>
  <si>
    <t>Acetato de (z)-9-dodecenila</t>
  </si>
  <si>
    <t>A47</t>
  </si>
  <si>
    <t>16974-11-1</t>
  </si>
  <si>
    <t>Acetato de (z)-9-hexadecenila</t>
  </si>
  <si>
    <t>A36</t>
  </si>
  <si>
    <t>34010-20-3</t>
  </si>
  <si>
    <t>Acetato de (z)-9-tetradecenila</t>
  </si>
  <si>
    <t>A45</t>
  </si>
  <si>
    <t>16725-53-4</t>
  </si>
  <si>
    <t>Acetato de (z,e)-9,12-tetradecadienila</t>
  </si>
  <si>
    <t>A34</t>
  </si>
  <si>
    <t>30507-70-1</t>
  </si>
  <si>
    <t>Acetato de fentina</t>
  </si>
  <si>
    <t>F59.1</t>
  </si>
  <si>
    <t>900-95-8</t>
  </si>
  <si>
    <t>Acetocloro</t>
  </si>
  <si>
    <t>A24</t>
  </si>
  <si>
    <t>34256-82-1</t>
  </si>
  <si>
    <t>Acibenzolar-s-metílico</t>
  </si>
  <si>
    <t>A38</t>
  </si>
  <si>
    <t>135158-54-2</t>
  </si>
  <si>
    <t>Ácido 4-indol-3-ilbutírico</t>
  </si>
  <si>
    <t>A31</t>
  </si>
  <si>
    <t>133-32-4</t>
  </si>
  <si>
    <t>Ácido abscísico</t>
  </si>
  <si>
    <t>A60</t>
  </si>
  <si>
    <t>21293-29-8</t>
  </si>
  <si>
    <t>Ácido bórico</t>
  </si>
  <si>
    <t>A16</t>
  </si>
  <si>
    <t>10043-35-3</t>
  </si>
  <si>
    <t>Ácido giberélico</t>
  </si>
  <si>
    <t>A04</t>
  </si>
  <si>
    <t>77-06-5</t>
  </si>
  <si>
    <t>Acifluorfem</t>
  </si>
  <si>
    <t>A05</t>
  </si>
  <si>
    <t>50594-66-6</t>
  </si>
  <si>
    <t>Acifluorfem-sódico</t>
  </si>
  <si>
    <t>A05.1</t>
  </si>
  <si>
    <t>62476-59-9</t>
  </si>
  <si>
    <t>Aclonifem</t>
  </si>
  <si>
    <t>A32</t>
  </si>
  <si>
    <t>74070-46-5</t>
  </si>
  <si>
    <t>Acrinatrina</t>
  </si>
  <si>
    <t>A22</t>
  </si>
  <si>
    <t>103833-18-7</t>
  </si>
  <si>
    <t>Alacloro</t>
  </si>
  <si>
    <t>A06</t>
  </si>
  <si>
    <t>15972-60-8</t>
  </si>
  <si>
    <t>Alanicarbe</t>
  </si>
  <si>
    <t>A27</t>
  </si>
  <si>
    <t>83130-01-2</t>
  </si>
  <si>
    <t>Álcool isoesterearílico etoxilado</t>
  </si>
  <si>
    <t>A52</t>
  </si>
  <si>
    <t>52292-17-8</t>
  </si>
  <si>
    <t>Álcool laurílico</t>
  </si>
  <si>
    <t>A46</t>
  </si>
  <si>
    <t>112-53-8</t>
  </si>
  <si>
    <t>Aldicarbe</t>
  </si>
  <si>
    <t>A07</t>
  </si>
  <si>
    <t>116-06-3</t>
  </si>
  <si>
    <t>Aletrina</t>
  </si>
  <si>
    <t>A08</t>
  </si>
  <si>
    <t>584-79-2</t>
  </si>
  <si>
    <t>Alfa-cipermetrina</t>
  </si>
  <si>
    <t>C58</t>
  </si>
  <si>
    <t>67375-30-8</t>
  </si>
  <si>
    <t>Ametrina</t>
  </si>
  <si>
    <t>A11</t>
  </si>
  <si>
    <t>834-12-8</t>
  </si>
  <si>
    <t>Amicarbazona</t>
  </si>
  <si>
    <t>A41</t>
  </si>
  <si>
    <t>129909-90-6</t>
  </si>
  <si>
    <t>Aminopiralide</t>
  </si>
  <si>
    <t>A53</t>
  </si>
  <si>
    <t>150114-71-9</t>
  </si>
  <si>
    <t>Amitraz</t>
  </si>
  <si>
    <t>A23</t>
  </si>
  <si>
    <t>33089-61</t>
  </si>
  <si>
    <t>Anilazina</t>
  </si>
  <si>
    <t>A15</t>
  </si>
  <si>
    <t>101-05-3</t>
  </si>
  <si>
    <t>Aspergillus flavus</t>
  </si>
  <si>
    <t>A57</t>
  </si>
  <si>
    <t>Não disponível</t>
  </si>
  <si>
    <t>Asulam</t>
  </si>
  <si>
    <t>A12</t>
  </si>
  <si>
    <t>3337-71-1</t>
  </si>
  <si>
    <t>Atrazina</t>
  </si>
  <si>
    <t>A14</t>
  </si>
  <si>
    <t>1912-24-9</t>
  </si>
  <si>
    <t>Aviglicina</t>
  </si>
  <si>
    <t>A48</t>
  </si>
  <si>
    <t>49669-74-1</t>
  </si>
  <si>
    <t>Azadiractina</t>
  </si>
  <si>
    <t>A54</t>
  </si>
  <si>
    <t>11141-17-6</t>
  </si>
  <si>
    <t>Azametifós</t>
  </si>
  <si>
    <t>A20</t>
  </si>
  <si>
    <t>35575-96-3</t>
  </si>
  <si>
    <t>Azinsulfurom</t>
  </si>
  <si>
    <t>A30</t>
  </si>
  <si>
    <t>120162-55-2</t>
  </si>
  <si>
    <t>Azociclotina</t>
  </si>
  <si>
    <t>A19</t>
  </si>
  <si>
    <t>41083-11-8</t>
  </si>
  <si>
    <t>Azoxistrobina</t>
  </si>
  <si>
    <t>A26</t>
  </si>
  <si>
    <t>131860-33-8</t>
  </si>
  <si>
    <t>Bacillus amyloliquefaciens</t>
  </si>
  <si>
    <t>B49</t>
  </si>
  <si>
    <t>Bacillus firmu</t>
  </si>
  <si>
    <t>B52</t>
  </si>
  <si>
    <t>Bacillus licheniformis</t>
  </si>
  <si>
    <t>B53</t>
  </si>
  <si>
    <t>Bacillus methylotrophicus</t>
  </si>
  <si>
    <t>B50</t>
  </si>
  <si>
    <t>Bacillus pumilus</t>
  </si>
  <si>
    <t>B43</t>
  </si>
  <si>
    <t>Bacillus sphaericus</t>
  </si>
  <si>
    <t>B31</t>
  </si>
  <si>
    <t xml:space="preserve">125401-75-4 </t>
  </si>
  <si>
    <t>Bacillus subtilis</t>
  </si>
  <si>
    <t>B44</t>
  </si>
  <si>
    <t>Bacillus thuringiensis</t>
  </si>
  <si>
    <t>B01</t>
  </si>
  <si>
    <t>Baculovirus anticarsia</t>
  </si>
  <si>
    <t>B30</t>
  </si>
  <si>
    <t>Biológico</t>
  </si>
  <si>
    <t>Baculovirus condylorrhiza vestigialis</t>
  </si>
  <si>
    <t>B45</t>
  </si>
  <si>
    <t>Baculovirus helicoverpa armigera</t>
  </si>
  <si>
    <t>B48</t>
  </si>
  <si>
    <t>Baculovirus helicoverpa zea</t>
  </si>
  <si>
    <t>B47</t>
  </si>
  <si>
    <t>Baculovirus spodoptera frugiperda</t>
  </si>
  <si>
    <t>B51</t>
  </si>
  <si>
    <t>Beauveria bassiana</t>
  </si>
  <si>
    <t>B40</t>
  </si>
  <si>
    <t xml:space="preserve"> 63428-82-0</t>
  </si>
  <si>
    <t>Benalaxil</t>
  </si>
  <si>
    <t>B38</t>
  </si>
  <si>
    <t>71626-11-4</t>
  </si>
  <si>
    <t>Bendiocarbe</t>
  </si>
  <si>
    <t>B19</t>
  </si>
  <si>
    <t>22781-23-3</t>
  </si>
  <si>
    <t>Benfuracarbe</t>
  </si>
  <si>
    <t>B35</t>
  </si>
  <si>
    <t>82560-54-1</t>
  </si>
  <si>
    <t>Bentazona</t>
  </si>
  <si>
    <t>B03</t>
  </si>
  <si>
    <t>25057-89-0</t>
  </si>
  <si>
    <t>Bentiavalicarbe isopropílico</t>
  </si>
  <si>
    <t>B42</t>
  </si>
  <si>
    <t>177406-68-7</t>
  </si>
  <si>
    <t>Benziladenina</t>
  </si>
  <si>
    <t>B39</t>
  </si>
  <si>
    <t>1214-39-7</t>
  </si>
  <si>
    <t>Benzoato de Emamectina</t>
  </si>
  <si>
    <t>B55</t>
  </si>
  <si>
    <t>155569-91-8</t>
  </si>
  <si>
    <t>Benzovindiflupir</t>
  </si>
  <si>
    <t>B46</t>
  </si>
  <si>
    <t>1072957-71-1</t>
  </si>
  <si>
    <t>Beta-ciflutrina</t>
  </si>
  <si>
    <t>C61</t>
  </si>
  <si>
    <t>68359-37-5</t>
  </si>
  <si>
    <t>Beta-cipermetrina</t>
  </si>
  <si>
    <t>C59</t>
  </si>
  <si>
    <t>65731-84-2</t>
  </si>
  <si>
    <t>Bicarbonato de potássio</t>
  </si>
  <si>
    <t>B37</t>
  </si>
  <si>
    <t>298-14-6</t>
  </si>
  <si>
    <t>Bifentrina</t>
  </si>
  <si>
    <t>B26</t>
  </si>
  <si>
    <t>82657-04-3</t>
  </si>
  <si>
    <t>Bioaletrina</t>
  </si>
  <si>
    <t>B07</t>
  </si>
  <si>
    <t>Bioresmetrina</t>
  </si>
  <si>
    <t>B08</t>
  </si>
  <si>
    <t>28434-01-7</t>
  </si>
  <si>
    <t>Bispiribaque</t>
  </si>
  <si>
    <t>B33</t>
  </si>
  <si>
    <t>125401-75-4</t>
  </si>
  <si>
    <t>Bispiribaque-sódico</t>
  </si>
  <si>
    <t>B33.1</t>
  </si>
  <si>
    <t>125401-92-5</t>
  </si>
  <si>
    <t>Bitertanol</t>
  </si>
  <si>
    <t>B24</t>
  </si>
  <si>
    <t>55179-31-2</t>
  </si>
  <si>
    <t>Bixafem</t>
  </si>
  <si>
    <t>B54</t>
  </si>
  <si>
    <t>581809-46-3</t>
  </si>
  <si>
    <t>Bórax</t>
  </si>
  <si>
    <t>A16.1</t>
  </si>
  <si>
    <t>1303-96-4</t>
  </si>
  <si>
    <t>Boscalida</t>
  </si>
  <si>
    <t>B41</t>
  </si>
  <si>
    <t>188425-85-6</t>
  </si>
  <si>
    <t>Brodifacum</t>
  </si>
  <si>
    <t>B10</t>
  </si>
  <si>
    <t>56073-10-0</t>
  </si>
  <si>
    <t>Bromacila</t>
  </si>
  <si>
    <t>B11</t>
  </si>
  <si>
    <t>314-40-9</t>
  </si>
  <si>
    <t>Bromadiolona</t>
  </si>
  <si>
    <t>B27</t>
  </si>
  <si>
    <t>28772-56-7</t>
  </si>
  <si>
    <t>Brometo de metila</t>
  </si>
  <si>
    <t>B22</t>
  </si>
  <si>
    <t>74-83-9</t>
  </si>
  <si>
    <t>Bromofós</t>
  </si>
  <si>
    <t>B12</t>
  </si>
  <si>
    <t>2104-96-3</t>
  </si>
  <si>
    <t>Bromopropilato</t>
  </si>
  <si>
    <t>B20</t>
  </si>
  <si>
    <t>18181-80-1</t>
  </si>
  <si>
    <t>Bromoxinil</t>
  </si>
  <si>
    <t>B15</t>
  </si>
  <si>
    <t>1689-84-5</t>
  </si>
  <si>
    <t>Bromuconazol</t>
  </si>
  <si>
    <t>B32</t>
  </si>
  <si>
    <t>116255-48-2</t>
  </si>
  <si>
    <t>Buprofenzina</t>
  </si>
  <si>
    <t>B29</t>
  </si>
  <si>
    <t>69327-76-0</t>
  </si>
  <si>
    <t>Butralina</t>
  </si>
  <si>
    <t>B25</t>
  </si>
  <si>
    <t>33629-47-9</t>
  </si>
  <si>
    <t>Butroxidim</t>
  </si>
  <si>
    <t>B34</t>
  </si>
  <si>
    <t>138164-12-2</t>
  </si>
  <si>
    <t>Cadusafós</t>
  </si>
  <si>
    <t>C53</t>
  </si>
  <si>
    <t>85409-23-0</t>
  </si>
  <si>
    <t>Captana</t>
  </si>
  <si>
    <t>C02</t>
  </si>
  <si>
    <t>133-06-2</t>
  </si>
  <si>
    <t>Carbaril</t>
  </si>
  <si>
    <t>C03</t>
  </si>
  <si>
    <t>63-25-2</t>
  </si>
  <si>
    <t>Carbendazim</t>
  </si>
  <si>
    <t>C24</t>
  </si>
  <si>
    <t>10605-21-7</t>
  </si>
  <si>
    <t>Carbonato básico de cobre</t>
  </si>
  <si>
    <t>C55.6</t>
  </si>
  <si>
    <t>12069-69-1</t>
  </si>
  <si>
    <t>C26</t>
  </si>
  <si>
    <t>55285-14-8</t>
  </si>
  <si>
    <t>Carboxina</t>
  </si>
  <si>
    <t>C05</t>
  </si>
  <si>
    <t>5234-68-4</t>
  </si>
  <si>
    <t>Carfentrazona-etílica</t>
  </si>
  <si>
    <t>C49</t>
  </si>
  <si>
    <t>128639-02-1</t>
  </si>
  <si>
    <t>Carpropamida</t>
  </si>
  <si>
    <t>C62</t>
  </si>
  <si>
    <t>104030-54-8</t>
  </si>
  <si>
    <t>Cartape</t>
  </si>
  <si>
    <t>C25</t>
  </si>
  <si>
    <t>15263-53-3</t>
  </si>
  <si>
    <t>Casugamicina</t>
  </si>
  <si>
    <t>C07</t>
  </si>
  <si>
    <t>6980-18-3</t>
  </si>
  <si>
    <t>Ceratitis capitata</t>
  </si>
  <si>
    <t>C72</t>
  </si>
  <si>
    <t>Chrysodeixis includens nucleopolyhedrovirus</t>
  </si>
  <si>
    <t>C76</t>
  </si>
  <si>
    <t>Cialofope-butílico</t>
  </si>
  <si>
    <t>C54</t>
  </si>
  <si>
    <t>95465-99-9</t>
  </si>
  <si>
    <t>Cianamida</t>
  </si>
  <si>
    <t>C39</t>
  </si>
  <si>
    <t>420-04-2</t>
  </si>
  <si>
    <t>Cianazina</t>
  </si>
  <si>
    <t>C08</t>
  </si>
  <si>
    <t>21725-46-2</t>
  </si>
  <si>
    <t>Ciantraniliprole</t>
  </si>
  <si>
    <t>C74</t>
  </si>
  <si>
    <t>736994-63-1</t>
  </si>
  <si>
    <t>Ciazofamida</t>
  </si>
  <si>
    <t>C66</t>
  </si>
  <si>
    <t>120116-88-3</t>
  </si>
  <si>
    <t>Ciclanilida</t>
  </si>
  <si>
    <t>C44</t>
  </si>
  <si>
    <t>113136-77-9</t>
  </si>
  <si>
    <t>Ciclossulfamurom</t>
  </si>
  <si>
    <t>C45</t>
  </si>
  <si>
    <t>136849-15-5</t>
  </si>
  <si>
    <t>Cifenotrina</t>
  </si>
  <si>
    <t>C34</t>
  </si>
  <si>
    <t>39515-40-7</t>
  </si>
  <si>
    <t>Ciflumetofem</t>
  </si>
  <si>
    <t>C73</t>
  </si>
  <si>
    <t>400882-07-7</t>
  </si>
  <si>
    <t>Ciflutrina</t>
  </si>
  <si>
    <t>C30</t>
  </si>
  <si>
    <t>Cimoxanil</t>
  </si>
  <si>
    <t>C09</t>
  </si>
  <si>
    <t>57966-95-7</t>
  </si>
  <si>
    <t>Cinetina</t>
  </si>
  <si>
    <t>C48</t>
  </si>
  <si>
    <t>525-79-1</t>
  </si>
  <si>
    <t>Cipermetrina</t>
  </si>
  <si>
    <t>C10</t>
  </si>
  <si>
    <t>52315-07-8</t>
  </si>
  <si>
    <t>Ciproconazol</t>
  </si>
  <si>
    <t>C36</t>
  </si>
  <si>
    <t>94361-06-5</t>
  </si>
  <si>
    <t>Ciprodinil</t>
  </si>
  <si>
    <t>C47</t>
  </si>
  <si>
    <t>121552-61-2</t>
  </si>
  <si>
    <t>Ciromazina</t>
  </si>
  <si>
    <t>C37</t>
  </si>
  <si>
    <t>66215-27-8</t>
  </si>
  <si>
    <t>Cletodim</t>
  </si>
  <si>
    <t>C32</t>
  </si>
  <si>
    <t>99129-21-2</t>
  </si>
  <si>
    <t>Clodinafope</t>
  </si>
  <si>
    <t>C68</t>
  </si>
  <si>
    <t>114420-56-3</t>
  </si>
  <si>
    <t>Clodinafope-propargil</t>
  </si>
  <si>
    <t>C68.1</t>
  </si>
  <si>
    <t>105512-06-9</t>
  </si>
  <si>
    <t>Clofentezina</t>
  </si>
  <si>
    <t>C31</t>
  </si>
  <si>
    <t>74115-24-5</t>
  </si>
  <si>
    <t>Clomazona</t>
  </si>
  <si>
    <t>C35</t>
  </si>
  <si>
    <t>81777-89-1</t>
  </si>
  <si>
    <t>Cloransulam-metílico</t>
  </si>
  <si>
    <t>C50</t>
  </si>
  <si>
    <t>147150-35-4</t>
  </si>
  <si>
    <t>Clorantraniliprole</t>
  </si>
  <si>
    <t>C70</t>
  </si>
  <si>
    <t>500008-45-7</t>
  </si>
  <si>
    <t>Cloreto de benzalcônio</t>
  </si>
  <si>
    <t>C52</t>
  </si>
  <si>
    <t>8001-54-5</t>
  </si>
  <si>
    <t>Cloreto de clormequate</t>
  </si>
  <si>
    <t>C15.1</t>
  </si>
  <si>
    <t>999-81-5</t>
  </si>
  <si>
    <t>Cloreto de mepiquate</t>
  </si>
  <si>
    <t>M37.1</t>
  </si>
  <si>
    <t>24307-26-4</t>
  </si>
  <si>
    <t>Clorfacinona</t>
  </si>
  <si>
    <t>C41</t>
  </si>
  <si>
    <t>3691-35-8</t>
  </si>
  <si>
    <t>Clorfenapir</t>
  </si>
  <si>
    <t>C40</t>
  </si>
  <si>
    <t>122453-73-0</t>
  </si>
  <si>
    <t>Clorfluazurom</t>
  </si>
  <si>
    <t>C38</t>
  </si>
  <si>
    <t>71422-67-8</t>
  </si>
  <si>
    <t>Cloridrato de aviglicina</t>
  </si>
  <si>
    <t>A48.1</t>
  </si>
  <si>
    <t>55720-26-8</t>
  </si>
  <si>
    <t>Cloridrato de cartape</t>
  </si>
  <si>
    <t>C25.1</t>
  </si>
  <si>
    <t>15263-52-2</t>
  </si>
  <si>
    <t>Cloridrato de formetanato</t>
  </si>
  <si>
    <t>F40.1</t>
  </si>
  <si>
    <t>23422-53-9</t>
  </si>
  <si>
    <t>Cloridrato de propamocarbe</t>
  </si>
  <si>
    <t>P23.1</t>
  </si>
  <si>
    <t>25606-41-1</t>
  </si>
  <si>
    <t>Clorimurom</t>
  </si>
  <si>
    <t>C29</t>
  </si>
  <si>
    <t>99283-00-8</t>
  </si>
  <si>
    <t>Clorimurom-etílico</t>
  </si>
  <si>
    <t>C29.1</t>
  </si>
  <si>
    <t>90982-32-4</t>
  </si>
  <si>
    <t>Clormequate</t>
  </si>
  <si>
    <t>C15</t>
  </si>
  <si>
    <t>7003-89-6</t>
  </si>
  <si>
    <t>Clorotalonil</t>
  </si>
  <si>
    <t>C18</t>
  </si>
  <si>
    <t>1897-45-6</t>
  </si>
  <si>
    <t>Clorpirifós</t>
  </si>
  <si>
    <t>C20</t>
  </si>
  <si>
    <t>2921-88-2</t>
  </si>
  <si>
    <t>Clortal-dimetílico</t>
  </si>
  <si>
    <t>C21</t>
  </si>
  <si>
    <t>1861-32-1</t>
  </si>
  <si>
    <t>Clotianidina</t>
  </si>
  <si>
    <t>C64</t>
  </si>
  <si>
    <t>210880-92-5</t>
  </si>
  <si>
    <t>Codlelure</t>
  </si>
  <si>
    <t>C51</t>
  </si>
  <si>
    <t>33956-49-9</t>
  </si>
  <si>
    <t>Compostos a Base de Cobre</t>
  </si>
  <si>
    <t>C55</t>
  </si>
  <si>
    <t>122008-85-9</t>
  </si>
  <si>
    <t>Cotesia flavipes</t>
  </si>
  <si>
    <t>C71</t>
  </si>
  <si>
    <t>Cresoxim-metílico</t>
  </si>
  <si>
    <t>C56</t>
  </si>
  <si>
    <t>143390-89-0</t>
  </si>
  <si>
    <t>Cromafenozida</t>
  </si>
  <si>
    <t>C67</t>
  </si>
  <si>
    <t>143807-66-3</t>
  </si>
  <si>
    <t>Cuelure</t>
  </si>
  <si>
    <t>C69</t>
  </si>
  <si>
    <t>3572-06-3</t>
  </si>
  <si>
    <t>Cumacloro</t>
  </si>
  <si>
    <t>C23</t>
  </si>
  <si>
    <t>81-82-3</t>
  </si>
  <si>
    <t>Cumafeno</t>
  </si>
  <si>
    <t>C33</t>
  </si>
  <si>
    <t>81-81-2</t>
  </si>
  <si>
    <t>Cumatetralil</t>
  </si>
  <si>
    <t>C43</t>
  </si>
  <si>
    <t>5836-29-3</t>
  </si>
  <si>
    <t>D-aletrina</t>
  </si>
  <si>
    <t>A49</t>
  </si>
  <si>
    <t>Daminozida</t>
  </si>
  <si>
    <t>D34</t>
  </si>
  <si>
    <t>1596-84-5</t>
  </si>
  <si>
    <t>Dazomete</t>
  </si>
  <si>
    <t>D04</t>
  </si>
  <si>
    <t>533-74-4</t>
  </si>
  <si>
    <t>Decanol</t>
  </si>
  <si>
    <t>D35</t>
  </si>
  <si>
    <t>36729-58-5</t>
  </si>
  <si>
    <t>DELADENUS SIRICIDICOLA</t>
  </si>
  <si>
    <t>D54</t>
  </si>
  <si>
    <t>Deltametrina</t>
  </si>
  <si>
    <t>D06</t>
  </si>
  <si>
    <t>52918-63-5</t>
  </si>
  <si>
    <t>Diachasmimorpha longicaudata</t>
  </si>
  <si>
    <t>D50</t>
  </si>
  <si>
    <t>Diafentiurom</t>
  </si>
  <si>
    <t>D41</t>
  </si>
  <si>
    <t>80060-09-9</t>
  </si>
  <si>
    <t>Diazinona</t>
  </si>
  <si>
    <t>D10</t>
  </si>
  <si>
    <t>333-41-5</t>
  </si>
  <si>
    <t>D21.1</t>
  </si>
  <si>
    <t>85-00-7</t>
  </si>
  <si>
    <t>Dicamba</t>
  </si>
  <si>
    <t>D11</t>
  </si>
  <si>
    <t>1918-00-9</t>
  </si>
  <si>
    <t>Diclofope</t>
  </si>
  <si>
    <t>D12</t>
  </si>
  <si>
    <t>40843-25-2</t>
  </si>
  <si>
    <t>Diclofope-metílico</t>
  </si>
  <si>
    <t>D12.1</t>
  </si>
  <si>
    <t>51338-27-3</t>
  </si>
  <si>
    <t>Diclorana</t>
  </si>
  <si>
    <t>D29</t>
  </si>
  <si>
    <t>99-30-9</t>
  </si>
  <si>
    <t>Dicloreto de paraquate</t>
  </si>
  <si>
    <t>P01.1</t>
  </si>
  <si>
    <t>1910-42-5</t>
  </si>
  <si>
    <t>Diclorvós</t>
  </si>
  <si>
    <t>D13</t>
  </si>
  <si>
    <t>62-73-7</t>
  </si>
  <si>
    <t>Diclosulam</t>
  </si>
  <si>
    <t>D43</t>
  </si>
  <si>
    <t>145701-21-9</t>
  </si>
  <si>
    <t>Difacinona</t>
  </si>
  <si>
    <t>D48</t>
  </si>
  <si>
    <t>82-66-6</t>
  </si>
  <si>
    <t>Difenacuma</t>
  </si>
  <si>
    <t>D40</t>
  </si>
  <si>
    <t>56073-07-5</t>
  </si>
  <si>
    <t>Difenoconazol</t>
  </si>
  <si>
    <t>D36</t>
  </si>
  <si>
    <t>119446-68-3</t>
  </si>
  <si>
    <t>Difetialona</t>
  </si>
  <si>
    <t>D38</t>
  </si>
  <si>
    <t>104653-34-1</t>
  </si>
  <si>
    <t>Diflubenzurom</t>
  </si>
  <si>
    <t>D17</t>
  </si>
  <si>
    <t>35367-38-5</t>
  </si>
  <si>
    <t>Diflufenicam</t>
  </si>
  <si>
    <t>D44</t>
  </si>
  <si>
    <t>83164-33-4</t>
  </si>
  <si>
    <t>Dimetenamida</t>
  </si>
  <si>
    <t>D37</t>
  </si>
  <si>
    <t>87674-68-8</t>
  </si>
  <si>
    <t>Dimetenamida -p</t>
  </si>
  <si>
    <t>D51</t>
  </si>
  <si>
    <t>163515-14-8</t>
  </si>
  <si>
    <t>Dimetoato</t>
  </si>
  <si>
    <t>D18</t>
  </si>
  <si>
    <t>60-51-5</t>
  </si>
  <si>
    <t>Dimetomorfe</t>
  </si>
  <si>
    <t>D39</t>
  </si>
  <si>
    <t>110488-70-5</t>
  </si>
  <si>
    <t>Dimoxistrobina</t>
  </si>
  <si>
    <t>D53</t>
  </si>
  <si>
    <t>149961-52-4</t>
  </si>
  <si>
    <t>Dinocape</t>
  </si>
  <si>
    <t>D42</t>
  </si>
  <si>
    <t>39300-45-3</t>
  </si>
  <si>
    <t>Diquate</t>
  </si>
  <si>
    <t>D21</t>
  </si>
  <si>
    <t>2764-72-9</t>
  </si>
  <si>
    <t>Dissulfotom</t>
  </si>
  <si>
    <t>D23</t>
  </si>
  <si>
    <t>298-04-4</t>
  </si>
  <si>
    <t>Ditianona</t>
  </si>
  <si>
    <t>D24</t>
  </si>
  <si>
    <t>3347-22-6</t>
  </si>
  <si>
    <t>Diurom</t>
  </si>
  <si>
    <t>D25</t>
  </si>
  <si>
    <t>330-54-1</t>
  </si>
  <si>
    <t>Dodina</t>
  </si>
  <si>
    <t>D26</t>
  </si>
  <si>
    <t>2439-10-3</t>
  </si>
  <si>
    <t>D-tetrametrina</t>
  </si>
  <si>
    <t>T58</t>
  </si>
  <si>
    <t>1166-46-7</t>
  </si>
  <si>
    <t>E -11-hexadecenol</t>
  </si>
  <si>
    <t>H11</t>
  </si>
  <si>
    <t>61301-56-2</t>
  </si>
  <si>
    <t>Ecklonia maxima</t>
  </si>
  <si>
    <t>E31</t>
  </si>
  <si>
    <t>187166-15-0</t>
  </si>
  <si>
    <t>Edifenfós</t>
  </si>
  <si>
    <t>E01</t>
  </si>
  <si>
    <t>17109-49-8</t>
  </si>
  <si>
    <t>Empentrina</t>
  </si>
  <si>
    <t>E16</t>
  </si>
  <si>
    <t>54406-48-3</t>
  </si>
  <si>
    <t>Enxofre</t>
  </si>
  <si>
    <t>E04</t>
  </si>
  <si>
    <t>7704-34-9</t>
  </si>
  <si>
    <t>Epoxiconazol</t>
  </si>
  <si>
    <t>E22</t>
  </si>
  <si>
    <t>135319-73-2</t>
  </si>
  <si>
    <t>Esbiol</t>
  </si>
  <si>
    <t>E17</t>
  </si>
  <si>
    <t>28434-00-6</t>
  </si>
  <si>
    <t>Esbiotrim</t>
  </si>
  <si>
    <t>E20</t>
  </si>
  <si>
    <t>Esfenvalerato</t>
  </si>
  <si>
    <t>E18</t>
  </si>
  <si>
    <t>66230-04-4</t>
  </si>
  <si>
    <t>Espinetoram</t>
  </si>
  <si>
    <t>E32</t>
  </si>
  <si>
    <t>187166-40-1</t>
  </si>
  <si>
    <t>Espinosade</t>
  </si>
  <si>
    <t>E24</t>
  </si>
  <si>
    <t>168316-95-8</t>
  </si>
  <si>
    <t>Espirodiclofeno</t>
  </si>
  <si>
    <t>E25</t>
  </si>
  <si>
    <t>148477-71-8</t>
  </si>
  <si>
    <t>Espiromesifeno</t>
  </si>
  <si>
    <t>E26</t>
  </si>
  <si>
    <t>283594-90-1</t>
  </si>
  <si>
    <t>Etanol</t>
  </si>
  <si>
    <t>E27</t>
  </si>
  <si>
    <t>64-17-5</t>
  </si>
  <si>
    <t>Etefom</t>
  </si>
  <si>
    <t>E05</t>
  </si>
  <si>
    <t>16672-87-0</t>
  </si>
  <si>
    <t>Etiona</t>
  </si>
  <si>
    <t>E07</t>
  </si>
  <si>
    <t>563-12-2</t>
  </si>
  <si>
    <t>Etiprole</t>
  </si>
  <si>
    <t>E29</t>
  </si>
  <si>
    <t>181587-01-9</t>
  </si>
  <si>
    <t>Etofenproxi</t>
  </si>
  <si>
    <t>E19</t>
  </si>
  <si>
    <t>80844-07-1</t>
  </si>
  <si>
    <t>Etoprofós</t>
  </si>
  <si>
    <t>E06</t>
  </si>
  <si>
    <t>13194-48-4</t>
  </si>
  <si>
    <t>Etoxazol</t>
  </si>
  <si>
    <t>E30</t>
  </si>
  <si>
    <t>153233-91-1</t>
  </si>
  <si>
    <t>Etoxissulfurom</t>
  </si>
  <si>
    <t>E23</t>
  </si>
  <si>
    <t>126801-58-9</t>
  </si>
  <si>
    <t>Etridiazol</t>
  </si>
  <si>
    <t>E11</t>
  </si>
  <si>
    <t>2593-15-9</t>
  </si>
  <si>
    <t>Eugenol-metílico</t>
  </si>
  <si>
    <t>E28</t>
  </si>
  <si>
    <t>93-15-2</t>
  </si>
  <si>
    <t>Famoxadona</t>
  </si>
  <si>
    <t>F53</t>
  </si>
  <si>
    <t>131807-57-3</t>
  </si>
  <si>
    <t>Fenamidona</t>
  </si>
  <si>
    <t>F55</t>
  </si>
  <si>
    <t>161326-34-7</t>
  </si>
  <si>
    <t>Fenamifós</t>
  </si>
  <si>
    <t>F02</t>
  </si>
  <si>
    <t>22224-92-6</t>
  </si>
  <si>
    <t>Fenarimol</t>
  </si>
  <si>
    <t>F03</t>
  </si>
  <si>
    <t>60168-88-9</t>
  </si>
  <si>
    <t>Fenclorfós</t>
  </si>
  <si>
    <t>F04</t>
  </si>
  <si>
    <t>299-84-3</t>
  </si>
  <si>
    <t>Fenitrotiona</t>
  </si>
  <si>
    <t>F05</t>
  </si>
  <si>
    <t>122-14-5</t>
  </si>
  <si>
    <t>Fenotiol</t>
  </si>
  <si>
    <t>F57</t>
  </si>
  <si>
    <t>25319-90-8</t>
  </si>
  <si>
    <t>Fenotrina</t>
  </si>
  <si>
    <t>F35</t>
  </si>
  <si>
    <t>26002-80-2</t>
  </si>
  <si>
    <t>Fenoxaprope-p</t>
  </si>
  <si>
    <t>F32</t>
  </si>
  <si>
    <t>113158-40-0</t>
  </si>
  <si>
    <t>Fenoxaprope-p-etílico</t>
  </si>
  <si>
    <t>F32.1</t>
  </si>
  <si>
    <t>71283-80-2</t>
  </si>
  <si>
    <t>Fenpiroximato</t>
  </si>
  <si>
    <t>F37</t>
  </si>
  <si>
    <t>134098-61-6</t>
  </si>
  <si>
    <t>Fenpropatrina</t>
  </si>
  <si>
    <t>F28</t>
  </si>
  <si>
    <t>39515-41-8</t>
  </si>
  <si>
    <t>Fenpropimorfe</t>
  </si>
  <si>
    <t>F24</t>
  </si>
  <si>
    <t>67564-91-4</t>
  </si>
  <si>
    <t>Fentina</t>
  </si>
  <si>
    <t>F59</t>
  </si>
  <si>
    <t>668-34-8</t>
  </si>
  <si>
    <t>Fentiona</t>
  </si>
  <si>
    <t>F07</t>
  </si>
  <si>
    <t>55-38-9</t>
  </si>
  <si>
    <t>Fentoato</t>
  </si>
  <si>
    <t>F33</t>
  </si>
  <si>
    <t>2597-03-7</t>
  </si>
  <si>
    <t>Fenvalerato</t>
  </si>
  <si>
    <t>F09</t>
  </si>
  <si>
    <t>51630-58-1</t>
  </si>
  <si>
    <t>Fipronil</t>
  </si>
  <si>
    <t>F43</t>
  </si>
  <si>
    <t>120068-37-3</t>
  </si>
  <si>
    <t>Flazassulfurom</t>
  </si>
  <si>
    <t>F48</t>
  </si>
  <si>
    <t>104040-78-0</t>
  </si>
  <si>
    <t>Flocumafeno</t>
  </si>
  <si>
    <t>F34</t>
  </si>
  <si>
    <t>90035-08-8</t>
  </si>
  <si>
    <t>Flonicamida</t>
  </si>
  <si>
    <t>F62</t>
  </si>
  <si>
    <t>158062-67-0</t>
  </si>
  <si>
    <t>Fluasifope-p</t>
  </si>
  <si>
    <t>F23</t>
  </si>
  <si>
    <t>83066-88-0</t>
  </si>
  <si>
    <t>Fluasifope-p-butílico</t>
  </si>
  <si>
    <t>F23.1</t>
  </si>
  <si>
    <t>79241-46-6</t>
  </si>
  <si>
    <t>Fluazinam</t>
  </si>
  <si>
    <t>F47</t>
  </si>
  <si>
    <t>79622-59-6</t>
  </si>
  <si>
    <t>Flubendiamida</t>
  </si>
  <si>
    <t>F66</t>
  </si>
  <si>
    <t>272451-65-7</t>
  </si>
  <si>
    <t>Fludioxonil</t>
  </si>
  <si>
    <t>F49</t>
  </si>
  <si>
    <t>131341-86-1</t>
  </si>
  <si>
    <t>Fluensulfona</t>
  </si>
  <si>
    <t>F70</t>
  </si>
  <si>
    <t>318290-98-1</t>
  </si>
  <si>
    <t>Flufenoxurom</t>
  </si>
  <si>
    <t>F44</t>
  </si>
  <si>
    <t>101463-69-8</t>
  </si>
  <si>
    <t>Flufenpir</t>
  </si>
  <si>
    <t>F60</t>
  </si>
  <si>
    <t>188490-07-5</t>
  </si>
  <si>
    <t>Flufenpir-etílico</t>
  </si>
  <si>
    <t>F60.1</t>
  </si>
  <si>
    <t>188498-07-8</t>
  </si>
  <si>
    <t>Flumetralina</t>
  </si>
  <si>
    <t>F38</t>
  </si>
  <si>
    <t>62924-70-3</t>
  </si>
  <si>
    <t>Flumetsulam</t>
  </si>
  <si>
    <t>F39</t>
  </si>
  <si>
    <t>98967-40-9</t>
  </si>
  <si>
    <t>Flumicloraque-pentílico</t>
  </si>
  <si>
    <t>F45</t>
  </si>
  <si>
    <t>87546-18-7</t>
  </si>
  <si>
    <t>Flumioxazina</t>
  </si>
  <si>
    <t>F46</t>
  </si>
  <si>
    <t>103361-09-7</t>
  </si>
  <si>
    <t>Fluopicolida</t>
  </si>
  <si>
    <t>F65</t>
  </si>
  <si>
    <t>239110-15-7</t>
  </si>
  <si>
    <t>Fluoreto de sódio</t>
  </si>
  <si>
    <t>F63</t>
  </si>
  <si>
    <t>7681-49-4</t>
  </si>
  <si>
    <t>Flupiradifurone</t>
  </si>
  <si>
    <t>F69</t>
  </si>
  <si>
    <t>951659-40-8</t>
  </si>
  <si>
    <t>Fluquinconazol</t>
  </si>
  <si>
    <t>F51</t>
  </si>
  <si>
    <t>136426-54-5</t>
  </si>
  <si>
    <t>Fluridona</t>
  </si>
  <si>
    <t>F56</t>
  </si>
  <si>
    <t>59756-60-4</t>
  </si>
  <si>
    <t>Fluroxipir</t>
  </si>
  <si>
    <t>F42</t>
  </si>
  <si>
    <t>69377-81-7</t>
  </si>
  <si>
    <t>Fluroxipir-meptílico</t>
  </si>
  <si>
    <t>F42.1</t>
  </si>
  <si>
    <t>81406-37-3</t>
  </si>
  <si>
    <t>Flutolanil</t>
  </si>
  <si>
    <t>F67</t>
  </si>
  <si>
    <t>66332-96-5</t>
  </si>
  <si>
    <t>Flutriafol</t>
  </si>
  <si>
    <t>F36</t>
  </si>
  <si>
    <t>76674-21-0</t>
  </si>
  <si>
    <t>Fluvalinato</t>
  </si>
  <si>
    <t>F25</t>
  </si>
  <si>
    <t>69409-94-5</t>
  </si>
  <si>
    <t>Fluxapiroxade</t>
  </si>
  <si>
    <t>F68</t>
  </si>
  <si>
    <t>907204-31-3</t>
  </si>
  <si>
    <t>Folpete</t>
  </si>
  <si>
    <t>F14</t>
  </si>
  <si>
    <t>133-07-3</t>
  </si>
  <si>
    <t>Fomesafem</t>
  </si>
  <si>
    <t>F26</t>
  </si>
  <si>
    <t>72178-02-0</t>
  </si>
  <si>
    <t>Foransulfurom</t>
  </si>
  <si>
    <t>F54</t>
  </si>
  <si>
    <t>173159-57-4</t>
  </si>
  <si>
    <t>Formetanato</t>
  </si>
  <si>
    <t>F40</t>
  </si>
  <si>
    <t>22259-30-9</t>
  </si>
  <si>
    <t>Fosalona</t>
  </si>
  <si>
    <t>F17</t>
  </si>
  <si>
    <t>2310-17-0</t>
  </si>
  <si>
    <t>Fosetil</t>
  </si>
  <si>
    <t>F18</t>
  </si>
  <si>
    <t>15845-66-6</t>
  </si>
  <si>
    <t>Fosfato férrico</t>
  </si>
  <si>
    <t>F64</t>
  </si>
  <si>
    <t>10045-86-0</t>
  </si>
  <si>
    <t>Fosfeto de alumínio</t>
  </si>
  <si>
    <t>F20.1</t>
  </si>
  <si>
    <t>20859-73-8</t>
  </si>
  <si>
    <t>Fosfeto de magnésio</t>
  </si>
  <si>
    <t>F20.2</t>
  </si>
  <si>
    <t>12057-74-8</t>
  </si>
  <si>
    <t>Fosfina</t>
  </si>
  <si>
    <t>F20</t>
  </si>
  <si>
    <t>7803-51-2</t>
  </si>
  <si>
    <t>Fosmete</t>
  </si>
  <si>
    <t>F21</t>
  </si>
  <si>
    <t>732-11-6</t>
  </si>
  <si>
    <t>Fostiazato</t>
  </si>
  <si>
    <t>F50</t>
  </si>
  <si>
    <t>98886-44-3</t>
  </si>
  <si>
    <t>Foxim</t>
  </si>
  <si>
    <t>F58</t>
  </si>
  <si>
    <t>14816-18-3</t>
  </si>
  <si>
    <t>Ftalida</t>
  </si>
  <si>
    <t>F29</t>
  </si>
  <si>
    <t>27355-22-2</t>
  </si>
  <si>
    <t>Gama-cialotrina</t>
  </si>
  <si>
    <t>C65</t>
  </si>
  <si>
    <t>76703-62-3</t>
  </si>
  <si>
    <t>Geraniol</t>
  </si>
  <si>
    <t>G07</t>
  </si>
  <si>
    <t>106-24-1</t>
  </si>
  <si>
    <t>Glifosato</t>
  </si>
  <si>
    <t>G01</t>
  </si>
  <si>
    <t>1071-83-6</t>
  </si>
  <si>
    <t>Glifosato-sal de amônio</t>
  </si>
  <si>
    <t>G01.3</t>
  </si>
  <si>
    <t>114370-14-8</t>
  </si>
  <si>
    <t>Glifosato-sal de isopropilamina</t>
  </si>
  <si>
    <t>G01.1</t>
  </si>
  <si>
    <t>38641-94-0</t>
  </si>
  <si>
    <t>Glifosato-sal de potássio</t>
  </si>
  <si>
    <t>G01.2</t>
  </si>
  <si>
    <t>39600-42-5</t>
  </si>
  <si>
    <t>Glufosinato</t>
  </si>
  <si>
    <t>G05</t>
  </si>
  <si>
    <t>51276-47-2</t>
  </si>
  <si>
    <t>Glufosinato-sal de amônio</t>
  </si>
  <si>
    <t>G05.1</t>
  </si>
  <si>
    <t>77182-82-2</t>
  </si>
  <si>
    <t>Gossiplure</t>
  </si>
  <si>
    <t>G06</t>
  </si>
  <si>
    <t>50933-33-0</t>
  </si>
  <si>
    <t>Grandlure</t>
  </si>
  <si>
    <t>G03</t>
  </si>
  <si>
    <t>26532-22-9</t>
  </si>
  <si>
    <t>Halossulfurom</t>
  </si>
  <si>
    <t>H08</t>
  </si>
  <si>
    <t>135397-30-7</t>
  </si>
  <si>
    <t>Halossulfurom-metílico</t>
  </si>
  <si>
    <t>H08.1</t>
  </si>
  <si>
    <t>100784-20-1</t>
  </si>
  <si>
    <t>Haloxifope-p</t>
  </si>
  <si>
    <t>H07</t>
  </si>
  <si>
    <t>95977-29-0</t>
  </si>
  <si>
    <t>Haloxifope-p-metílico</t>
  </si>
  <si>
    <t>H07.1</t>
  </si>
  <si>
    <t>72619-32-0</t>
  </si>
  <si>
    <t>Hexaconazol</t>
  </si>
  <si>
    <t>H09</t>
  </si>
  <si>
    <t>79983-71-4</t>
  </si>
  <si>
    <t>Hexaflumurom</t>
  </si>
  <si>
    <t>H10</t>
  </si>
  <si>
    <t>86479-06-3</t>
  </si>
  <si>
    <t>Hexazinona</t>
  </si>
  <si>
    <t>H02</t>
  </si>
  <si>
    <t>51235-04-2</t>
  </si>
  <si>
    <t>Hexitiazoxi</t>
  </si>
  <si>
    <t>H05</t>
  </si>
  <si>
    <t>78587-05-0</t>
  </si>
  <si>
    <t>Hidrametilnona</t>
  </si>
  <si>
    <t>H04</t>
  </si>
  <si>
    <t>67485-29-4</t>
  </si>
  <si>
    <t>Hidrazida malêica</t>
  </si>
  <si>
    <t>H03</t>
  </si>
  <si>
    <t>123-33-1</t>
  </si>
  <si>
    <t>Hidróxido de cobre</t>
  </si>
  <si>
    <t>C55.1</t>
  </si>
  <si>
    <t>20427-59-2</t>
  </si>
  <si>
    <t>Hidróxido de fentina</t>
  </si>
  <si>
    <t>F59.2</t>
  </si>
  <si>
    <t>76-87-9</t>
  </si>
  <si>
    <t>Imazalil</t>
  </si>
  <si>
    <t>I19</t>
  </si>
  <si>
    <t>35554-44-0</t>
  </si>
  <si>
    <t>Imazamoxi</t>
  </si>
  <si>
    <t>I15</t>
  </si>
  <si>
    <t>114311-32-9</t>
  </si>
  <si>
    <t>Imazapique</t>
  </si>
  <si>
    <t>I20</t>
  </si>
  <si>
    <t>104098-48-8</t>
  </si>
  <si>
    <t>Imazapir</t>
  </si>
  <si>
    <t>I12</t>
  </si>
  <si>
    <t>81334-34-1</t>
  </si>
  <si>
    <t>Imazaquim</t>
  </si>
  <si>
    <t>I08</t>
  </si>
  <si>
    <t>81335-37-7</t>
  </si>
  <si>
    <t>Imazetapir</t>
  </si>
  <si>
    <t>I10</t>
  </si>
  <si>
    <t>81335-77-5</t>
  </si>
  <si>
    <t>Imibenconazol</t>
  </si>
  <si>
    <t>I16</t>
  </si>
  <si>
    <t>86598-92-7</t>
  </si>
  <si>
    <t>Imidacloprido</t>
  </si>
  <si>
    <t>I13</t>
  </si>
  <si>
    <t>138261-41-3</t>
  </si>
  <si>
    <t>Iminoctadina</t>
  </si>
  <si>
    <t>I25</t>
  </si>
  <si>
    <t>13516-27-3</t>
  </si>
  <si>
    <t>Iminoctadina tris(albesilato)</t>
  </si>
  <si>
    <t>I25.1</t>
  </si>
  <si>
    <t>99257-43-9</t>
  </si>
  <si>
    <t>Imiprotrim</t>
  </si>
  <si>
    <t>I17</t>
  </si>
  <si>
    <t>72963-72-5</t>
  </si>
  <si>
    <t>Indaziflam</t>
  </si>
  <si>
    <t>I27</t>
  </si>
  <si>
    <t>950782-86-2</t>
  </si>
  <si>
    <t>Indoxacarbe</t>
  </si>
  <si>
    <t>I21</t>
  </si>
  <si>
    <t>173584-44-6</t>
  </si>
  <si>
    <t>Iodofenfós</t>
  </si>
  <si>
    <t>I03</t>
  </si>
  <si>
    <t>18181-70-9</t>
  </si>
  <si>
    <t>Iodossulfurom-metílico-sódico</t>
  </si>
  <si>
    <t>I22</t>
  </si>
  <si>
    <t>144550-36-7</t>
  </si>
  <si>
    <t>Ipbc</t>
  </si>
  <si>
    <t>I23</t>
  </si>
  <si>
    <t>55406-53-6</t>
  </si>
  <si>
    <t>Ipconazol</t>
  </si>
  <si>
    <t>I26</t>
  </si>
  <si>
    <t>125225-28-7</t>
  </si>
  <si>
    <t>Iprodiona</t>
  </si>
  <si>
    <t>I05</t>
  </si>
  <si>
    <t>36734-19-7</t>
  </si>
  <si>
    <t>Iprovalicarbe</t>
  </si>
  <si>
    <t>I24</t>
  </si>
  <si>
    <t>140923-17-7</t>
  </si>
  <si>
    <t>Isaria fumosorosea</t>
  </si>
  <si>
    <t>I28</t>
  </si>
  <si>
    <t>Isoxaflutol</t>
  </si>
  <si>
    <t>I18</t>
  </si>
  <si>
    <t>141112-29-0</t>
  </si>
  <si>
    <t>Lactofem</t>
  </si>
  <si>
    <t>L03</t>
  </si>
  <si>
    <t>77501-63-4</t>
  </si>
  <si>
    <t>Lambda-cialotrina</t>
  </si>
  <si>
    <t>C63</t>
  </si>
  <si>
    <t>91465-08-6</t>
  </si>
  <si>
    <t>Linurom</t>
  </si>
  <si>
    <t>L02</t>
  </si>
  <si>
    <t>330-55-2</t>
  </si>
  <si>
    <t>Lufenurom</t>
  </si>
  <si>
    <t>L05</t>
  </si>
  <si>
    <t>103055-07-8</t>
  </si>
  <si>
    <t>Malationa</t>
  </si>
  <si>
    <t>M01</t>
  </si>
  <si>
    <t>121-75-5</t>
  </si>
  <si>
    <t>Mancozebe</t>
  </si>
  <si>
    <t>M02</t>
  </si>
  <si>
    <t>8018-01-7</t>
  </si>
  <si>
    <t>Mandipropamida</t>
  </si>
  <si>
    <t>M45</t>
  </si>
  <si>
    <t>374726-62-2</t>
  </si>
  <si>
    <t>Mcpa</t>
  </si>
  <si>
    <t>M04</t>
  </si>
  <si>
    <t>94-74-6</t>
  </si>
  <si>
    <t>Mcpa-dimetilamônio</t>
  </si>
  <si>
    <t>M04.1</t>
  </si>
  <si>
    <t>2039-46-5</t>
  </si>
  <si>
    <t>Melaleuca alternifolia</t>
  </si>
  <si>
    <t>M47</t>
  </si>
  <si>
    <t>Mepiquate</t>
  </si>
  <si>
    <t>M37</t>
  </si>
  <si>
    <t>15302-91-7</t>
  </si>
  <si>
    <t>Mesossulfurom-metílico</t>
  </si>
  <si>
    <t>M46</t>
  </si>
  <si>
    <t>208465-21-8</t>
  </si>
  <si>
    <t>Mesotriona</t>
  </si>
  <si>
    <t>M40</t>
  </si>
  <si>
    <t>104206-82-8</t>
  </si>
  <si>
    <t>Metaflumizona</t>
  </si>
  <si>
    <t>M48</t>
  </si>
  <si>
    <t>133408-50-1</t>
  </si>
  <si>
    <t>Metalaxil-m</t>
  </si>
  <si>
    <t>M31</t>
  </si>
  <si>
    <t>70630-17-0</t>
  </si>
  <si>
    <t>Metaldeído</t>
  </si>
  <si>
    <t>M09</t>
  </si>
  <si>
    <t>108-62-3</t>
  </si>
  <si>
    <t>Metam</t>
  </si>
  <si>
    <t>M28</t>
  </si>
  <si>
    <t>144-54-7</t>
  </si>
  <si>
    <t>Metamitrona</t>
  </si>
  <si>
    <t>M33</t>
  </si>
  <si>
    <t>41394-05-2</t>
  </si>
  <si>
    <t>Metam-sódico</t>
  </si>
  <si>
    <t>M28.1</t>
  </si>
  <si>
    <t>137-42-8</t>
  </si>
  <si>
    <t>Metanol</t>
  </si>
  <si>
    <t>M43</t>
  </si>
  <si>
    <t>67-56-1</t>
  </si>
  <si>
    <t>Metarhizium anisopliae</t>
  </si>
  <si>
    <t>M39</t>
  </si>
  <si>
    <t>Metconazol</t>
  </si>
  <si>
    <t>M34</t>
  </si>
  <si>
    <t>125116-23-6</t>
  </si>
  <si>
    <t>Metidationa</t>
  </si>
  <si>
    <t>M14</t>
  </si>
  <si>
    <t>950-37-8</t>
  </si>
  <si>
    <t>Metil neodecanamida</t>
  </si>
  <si>
    <t>M29</t>
  </si>
  <si>
    <t>105726-67-8</t>
  </si>
  <si>
    <t>Metilciclopropeno</t>
  </si>
  <si>
    <t>M35</t>
  </si>
  <si>
    <t>3100-04-7</t>
  </si>
  <si>
    <t>Metiocarbe</t>
  </si>
  <si>
    <t>M30</t>
  </si>
  <si>
    <t>2032-65-7</t>
  </si>
  <si>
    <t>Metiram</t>
  </si>
  <si>
    <t>M15</t>
  </si>
  <si>
    <t>9006-42-2</t>
  </si>
  <si>
    <t>Metoflutrina</t>
  </si>
  <si>
    <t>M44</t>
  </si>
  <si>
    <t>240494-70-6</t>
  </si>
  <si>
    <t>Metolacloro</t>
  </si>
  <si>
    <t>M16</t>
  </si>
  <si>
    <t>51218-45-2</t>
  </si>
  <si>
    <t>Metomil</t>
  </si>
  <si>
    <t>M17</t>
  </si>
  <si>
    <t>16752-77-5</t>
  </si>
  <si>
    <t>Metopreno</t>
  </si>
  <si>
    <t>M25</t>
  </si>
  <si>
    <t>40596-69-8</t>
  </si>
  <si>
    <t>Metoxifenozida</t>
  </si>
  <si>
    <t>M32</t>
  </si>
  <si>
    <t>161050-58-4</t>
  </si>
  <si>
    <t>Metribuzim</t>
  </si>
  <si>
    <t>M19</t>
  </si>
  <si>
    <t>21087-64-9</t>
  </si>
  <si>
    <t>Metsulfurom</t>
  </si>
  <si>
    <t>M26</t>
  </si>
  <si>
    <t>79510-48-8</t>
  </si>
  <si>
    <t>Metsulfurom-metílico</t>
  </si>
  <si>
    <t>M26.1</t>
  </si>
  <si>
    <t>74223-64-6</t>
  </si>
  <si>
    <t>Mevinfós</t>
  </si>
  <si>
    <t>M20</t>
  </si>
  <si>
    <t>26718-65-0</t>
  </si>
  <si>
    <t>Miclobutanil</t>
  </si>
  <si>
    <t>M27</t>
  </si>
  <si>
    <t>88671-89-0</t>
  </si>
  <si>
    <t>Milbemectina</t>
  </si>
  <si>
    <t>M38</t>
  </si>
  <si>
    <t>51596-10-2</t>
  </si>
  <si>
    <t>Molinato</t>
  </si>
  <si>
    <t>M21</t>
  </si>
  <si>
    <t>2212-67-1</t>
  </si>
  <si>
    <t>MSMA</t>
  </si>
  <si>
    <t>M24</t>
  </si>
  <si>
    <t>2163-80-6</t>
  </si>
  <si>
    <t>N-2’s-metilbutil-2-metilbutilamida</t>
  </si>
  <si>
    <t>M36</t>
  </si>
  <si>
    <t>389122-95-6</t>
  </si>
  <si>
    <t>Nalede</t>
  </si>
  <si>
    <t>N01</t>
  </si>
  <si>
    <t>300-76-5</t>
  </si>
  <si>
    <t>Napropamida</t>
  </si>
  <si>
    <t>N02</t>
  </si>
  <si>
    <t>15299-99-7</t>
  </si>
  <si>
    <t>Neoseiulus californicus</t>
  </si>
  <si>
    <t>N10</t>
  </si>
  <si>
    <t>Niclosamida</t>
  </si>
  <si>
    <t>N07</t>
  </si>
  <si>
    <t>50-65-7</t>
  </si>
  <si>
    <t>Nicossulfurom</t>
  </si>
  <si>
    <t>N08</t>
  </si>
  <si>
    <t>111991-09-4</t>
  </si>
  <si>
    <t>Novalurom</t>
  </si>
  <si>
    <t>N09</t>
  </si>
  <si>
    <t>116714-46-6</t>
  </si>
  <si>
    <t>Octaborato dissódio tetrahidratado</t>
  </si>
  <si>
    <t>A16.2</t>
  </si>
  <si>
    <t>12280-03-4</t>
  </si>
  <si>
    <t>Octanoato de ioxinila</t>
  </si>
  <si>
    <t>O17</t>
  </si>
  <si>
    <t>3861-47-0</t>
  </si>
  <si>
    <t>Óleo creosoto</t>
  </si>
  <si>
    <t>O15</t>
  </si>
  <si>
    <t>8001-58-9</t>
  </si>
  <si>
    <t>Óleo mineral</t>
  </si>
  <si>
    <t>O02</t>
  </si>
  <si>
    <t>8012-95-1</t>
  </si>
  <si>
    <t>Óleo vegetal</t>
  </si>
  <si>
    <t>O01</t>
  </si>
  <si>
    <t>68956-68-3</t>
  </si>
  <si>
    <t>Orius insidiosus</t>
  </si>
  <si>
    <t>O20</t>
  </si>
  <si>
    <t>Orizalina</t>
  </si>
  <si>
    <t>O04</t>
  </si>
  <si>
    <t>19044-88-3</t>
  </si>
  <si>
    <t>Ortossulfamurom</t>
  </si>
  <si>
    <t>O19</t>
  </si>
  <si>
    <t>213464-77-8</t>
  </si>
  <si>
    <t>Oxadiargil</t>
  </si>
  <si>
    <t>O16</t>
  </si>
  <si>
    <t>39807-15-3</t>
  </si>
  <si>
    <t>Oxadiazona</t>
  </si>
  <si>
    <t>O06</t>
  </si>
  <si>
    <t>19666-30-9</t>
  </si>
  <si>
    <t>Oxassulfurom</t>
  </si>
  <si>
    <t>O14</t>
  </si>
  <si>
    <t>144651-06-9</t>
  </si>
  <si>
    <t>Oxicarboxina</t>
  </si>
  <si>
    <t>O07</t>
  </si>
  <si>
    <t>5259-88-1</t>
  </si>
  <si>
    <t>Oxicloreto de cobre</t>
  </si>
  <si>
    <t>C55.2</t>
  </si>
  <si>
    <t>1332-40-7</t>
  </si>
  <si>
    <t>Óxido cuproso</t>
  </si>
  <si>
    <t>C55.3</t>
  </si>
  <si>
    <t>1317-39-1</t>
  </si>
  <si>
    <t>Óxido de fembutatina</t>
  </si>
  <si>
    <t>O09</t>
  </si>
  <si>
    <t>13356-08-6</t>
  </si>
  <si>
    <t>Oxifluorfem</t>
  </si>
  <si>
    <t>O10</t>
  </si>
  <si>
    <t>42874-03-3</t>
  </si>
  <si>
    <t>Oxina-cobre</t>
  </si>
  <si>
    <t>C55.5</t>
  </si>
  <si>
    <t>10380-28-6</t>
  </si>
  <si>
    <t>Paclobutrazol</t>
  </si>
  <si>
    <t>P45</t>
  </si>
  <si>
    <t>76738-62-0</t>
  </si>
  <si>
    <t>Paecilomyces lilacinus</t>
  </si>
  <si>
    <t>P56</t>
  </si>
  <si>
    <t>Paraquate</t>
  </si>
  <si>
    <t>P01</t>
  </si>
  <si>
    <t>4685-14-7</t>
  </si>
  <si>
    <t>Parationa-metílica</t>
  </si>
  <si>
    <t>P03</t>
  </si>
  <si>
    <t>298-00-0</t>
  </si>
  <si>
    <t>Pasteuria nishizawae</t>
  </si>
  <si>
    <t>P59</t>
  </si>
  <si>
    <t>Pencicurom</t>
  </si>
  <si>
    <t>P36</t>
  </si>
  <si>
    <t>66063-05-6</t>
  </si>
  <si>
    <t>Pendimetalina</t>
  </si>
  <si>
    <t>P05</t>
  </si>
  <si>
    <t>40487-42-1</t>
  </si>
  <si>
    <t>Penoxsulam</t>
  </si>
  <si>
    <t>P51</t>
  </si>
  <si>
    <t>219714-96-2</t>
  </si>
  <si>
    <t>Perfluorooctano sulfonato de lítio</t>
  </si>
  <si>
    <t>P48</t>
  </si>
  <si>
    <t>29457-72-5</t>
  </si>
  <si>
    <t>Permetrina</t>
  </si>
  <si>
    <t>P06</t>
  </si>
  <si>
    <t>52645-53-1</t>
  </si>
  <si>
    <t>Peróxido de Hidrogêni</t>
  </si>
  <si>
    <t>P60</t>
  </si>
  <si>
    <t>7722-84-1</t>
  </si>
  <si>
    <t>Phytoseiulus macropilis</t>
  </si>
  <si>
    <t>P55</t>
  </si>
  <si>
    <t>Picloram</t>
  </si>
  <si>
    <t>P07</t>
  </si>
  <si>
    <t>1918-02-1</t>
  </si>
  <si>
    <t>Picoxistrobina</t>
  </si>
  <si>
    <t>P50</t>
  </si>
  <si>
    <t>117428-22-5</t>
  </si>
  <si>
    <t>Pimetrozina</t>
  </si>
  <si>
    <t>P52</t>
  </si>
  <si>
    <t>123312-89-0</t>
  </si>
  <si>
    <t>Piraclostrobina</t>
  </si>
  <si>
    <t>P46</t>
  </si>
  <si>
    <t>175013-18-0</t>
  </si>
  <si>
    <t>Piraflufem</t>
  </si>
  <si>
    <t>P49</t>
  </si>
  <si>
    <t>129630-17-7</t>
  </si>
  <si>
    <t>Piraflufem-etílico</t>
  </si>
  <si>
    <t>P49.1</t>
  </si>
  <si>
    <t>129630-19-9</t>
  </si>
  <si>
    <t>Pirazofós</t>
  </si>
  <si>
    <t>P09</t>
  </si>
  <si>
    <t>13457-18-6</t>
  </si>
  <si>
    <t>Pirazossulfurom</t>
  </si>
  <si>
    <t>P29</t>
  </si>
  <si>
    <t>98389-04-9</t>
  </si>
  <si>
    <t>Pirazossulfurom-etílico</t>
  </si>
  <si>
    <t>P29.1</t>
  </si>
  <si>
    <t>93697-74-6</t>
  </si>
  <si>
    <t>Piretrinas</t>
  </si>
  <si>
    <t>P22</t>
  </si>
  <si>
    <t>8003-34-7</t>
  </si>
  <si>
    <t>Piridabem</t>
  </si>
  <si>
    <t>P35</t>
  </si>
  <si>
    <t>96489-71-3</t>
  </si>
  <si>
    <t>Piridafentiona</t>
  </si>
  <si>
    <t>P32</t>
  </si>
  <si>
    <t>119-12-0</t>
  </si>
  <si>
    <t>Pirimetanil</t>
  </si>
  <si>
    <t>P43</t>
  </si>
  <si>
    <t>53112-28-0</t>
  </si>
  <si>
    <t>Pirimicarbe</t>
  </si>
  <si>
    <t>P10</t>
  </si>
  <si>
    <t>23103-98-2</t>
  </si>
  <si>
    <t>Pirimifós-metílico</t>
  </si>
  <si>
    <t>P12</t>
  </si>
  <si>
    <t>29232-93-7</t>
  </si>
  <si>
    <t>Piriproxifem</t>
  </si>
  <si>
    <t>P34</t>
  </si>
  <si>
    <t>95737-68-1</t>
  </si>
  <si>
    <t>Piritiobaque</t>
  </si>
  <si>
    <t>P39</t>
  </si>
  <si>
    <t>123342-93-8</t>
  </si>
  <si>
    <t>Piritiobaque-sódico</t>
  </si>
  <si>
    <t>P39.1</t>
  </si>
  <si>
    <t>123343-16-8</t>
  </si>
  <si>
    <t>Piroquilona</t>
  </si>
  <si>
    <t>P26</t>
  </si>
  <si>
    <t>57369-32-1</t>
  </si>
  <si>
    <t>Piroxsulam</t>
  </si>
  <si>
    <t>P57</t>
  </si>
  <si>
    <t>422556-08-9</t>
  </si>
  <si>
    <t>Pochonia chlamydosporia</t>
  </si>
  <si>
    <t>P58</t>
  </si>
  <si>
    <t>Praletrina</t>
  </si>
  <si>
    <t>P30</t>
  </si>
  <si>
    <t>23031-36-9</t>
  </si>
  <si>
    <t>Procimidona</t>
  </si>
  <si>
    <t>P33</t>
  </si>
  <si>
    <t>32809-16-8</t>
  </si>
  <si>
    <t>Procloraz</t>
  </si>
  <si>
    <t>P27</t>
  </si>
  <si>
    <t>67747-09-5</t>
  </si>
  <si>
    <t>Proexadiona cálcica</t>
  </si>
  <si>
    <t>P54</t>
  </si>
  <si>
    <t>127277-53-6</t>
  </si>
  <si>
    <t>Profenofós</t>
  </si>
  <si>
    <t>P13</t>
  </si>
  <si>
    <t>41198-08-7</t>
  </si>
  <si>
    <t>Profoxidim</t>
  </si>
  <si>
    <t>P47</t>
  </si>
  <si>
    <t>139001-49-3</t>
  </si>
  <si>
    <t>Prometrina</t>
  </si>
  <si>
    <t>P15</t>
  </si>
  <si>
    <t>7287-19-6</t>
  </si>
  <si>
    <t>Propamocarbe</t>
  </si>
  <si>
    <t>P23</t>
  </si>
  <si>
    <t>24579-73-5</t>
  </si>
  <si>
    <t>Propanil</t>
  </si>
  <si>
    <t>P16</t>
  </si>
  <si>
    <t>709-98-8</t>
  </si>
  <si>
    <t>Propaquizafope</t>
  </si>
  <si>
    <t>P31</t>
  </si>
  <si>
    <t>111479-05-1</t>
  </si>
  <si>
    <t>Propargito</t>
  </si>
  <si>
    <t>P17</t>
  </si>
  <si>
    <t>2312-35-8</t>
  </si>
  <si>
    <t>Propiconazol</t>
  </si>
  <si>
    <t>P21</t>
  </si>
  <si>
    <t>60207-90-1</t>
  </si>
  <si>
    <t>Propinebe</t>
  </si>
  <si>
    <t>P41</t>
  </si>
  <si>
    <t>9016-72-2</t>
  </si>
  <si>
    <t>Propoxur</t>
  </si>
  <si>
    <t>P19</t>
  </si>
  <si>
    <t>114-26-1</t>
  </si>
  <si>
    <t>Protioconazol</t>
  </si>
  <si>
    <t>P53</t>
  </si>
  <si>
    <t>178928-70-6</t>
  </si>
  <si>
    <t>Protiofós</t>
  </si>
  <si>
    <t>P38</t>
  </si>
  <si>
    <t>34643-46-4</t>
  </si>
  <si>
    <t>Quincloraque</t>
  </si>
  <si>
    <t>Q04</t>
  </si>
  <si>
    <t>84087-01-4</t>
  </si>
  <si>
    <t>Quinometionato</t>
  </si>
  <si>
    <t>Q01</t>
  </si>
  <si>
    <t>2439-01-2</t>
  </si>
  <si>
    <t>Quintozeno</t>
  </si>
  <si>
    <t>Q02</t>
  </si>
  <si>
    <t>82-68-8</t>
  </si>
  <si>
    <t>Quizalofope-p</t>
  </si>
  <si>
    <t>Q05</t>
  </si>
  <si>
    <t>94051-08-8</t>
  </si>
  <si>
    <t>Quizalofope-p-etílico</t>
  </si>
  <si>
    <t>Q05.1</t>
  </si>
  <si>
    <t>100646-51-3</t>
  </si>
  <si>
    <t>Quizalofope-p-tefurílico</t>
  </si>
  <si>
    <t>Q05.2</t>
  </si>
  <si>
    <t>119738-06-6</t>
  </si>
  <si>
    <t>Resmetrina</t>
  </si>
  <si>
    <t>R01</t>
  </si>
  <si>
    <t>10453-86-8</t>
  </si>
  <si>
    <t>Reynoutria sachalinensis</t>
  </si>
  <si>
    <t>R03</t>
  </si>
  <si>
    <t>Rincoforol</t>
  </si>
  <si>
    <t>R02</t>
  </si>
  <si>
    <t>153665-39-5</t>
  </si>
  <si>
    <t>Saflufenacil</t>
  </si>
  <si>
    <t>S16</t>
  </si>
  <si>
    <t>372137-35-4</t>
  </si>
  <si>
    <t>Serricornim</t>
  </si>
  <si>
    <t>S06</t>
  </si>
  <si>
    <t>72598-35-7</t>
  </si>
  <si>
    <t>Setoxidim</t>
  </si>
  <si>
    <t>S02</t>
  </si>
  <si>
    <t>74051-80-2</t>
  </si>
  <si>
    <t>Simazina</t>
  </si>
  <si>
    <t>S03</t>
  </si>
  <si>
    <t>122-34-9</t>
  </si>
  <si>
    <t>S-metolacloro</t>
  </si>
  <si>
    <t>S13</t>
  </si>
  <si>
    <t>87392-12-9</t>
  </si>
  <si>
    <t>Sophora flavescens</t>
  </si>
  <si>
    <t>S17</t>
  </si>
  <si>
    <t>Sordidim</t>
  </si>
  <si>
    <t>S14</t>
  </si>
  <si>
    <t>162490-88-2</t>
  </si>
  <si>
    <t>Steinernema puertoricense</t>
  </si>
  <si>
    <t>S15</t>
  </si>
  <si>
    <t>Stratiolaelaps scimitus</t>
  </si>
  <si>
    <t>S18</t>
  </si>
  <si>
    <t>Sulfato de cobre</t>
  </si>
  <si>
    <t>C55.4</t>
  </si>
  <si>
    <t>7758-98-7</t>
  </si>
  <si>
    <t>Sulfentrazona</t>
  </si>
  <si>
    <t>S09</t>
  </si>
  <si>
    <t>122836-35-5</t>
  </si>
  <si>
    <t>Sulfluramida</t>
  </si>
  <si>
    <t>S07</t>
  </si>
  <si>
    <t>4151-50-2</t>
  </si>
  <si>
    <t>Sulfometurom-metílico</t>
  </si>
  <si>
    <t>S11</t>
  </si>
  <si>
    <t>74222-97-2</t>
  </si>
  <si>
    <t>Sulfosato</t>
  </si>
  <si>
    <t>S08</t>
  </si>
  <si>
    <t>81591-81-3</t>
  </si>
  <si>
    <t>S19</t>
  </si>
  <si>
    <t>946578-00-3</t>
  </si>
  <si>
    <t>Sumitrina</t>
  </si>
  <si>
    <t>S05</t>
  </si>
  <si>
    <t>Taninos</t>
  </si>
  <si>
    <t>T59</t>
  </si>
  <si>
    <t>1401-55-4</t>
  </si>
  <si>
    <t>Tebuconazol</t>
  </si>
  <si>
    <t>T32</t>
  </si>
  <si>
    <t>107534-96-3</t>
  </si>
  <si>
    <t>Tebufenozida</t>
  </si>
  <si>
    <t>T41</t>
  </si>
  <si>
    <t>112410-23-8</t>
  </si>
  <si>
    <t>Tebupirinfós</t>
  </si>
  <si>
    <t>T57</t>
  </si>
  <si>
    <t>96182-53-5</t>
  </si>
  <si>
    <t>Tebutiurom</t>
  </si>
  <si>
    <t>T05</t>
  </si>
  <si>
    <t>34014-18-1</t>
  </si>
  <si>
    <t>Teflubenzurom</t>
  </si>
  <si>
    <t>T33</t>
  </si>
  <si>
    <t>83121-18-0</t>
  </si>
  <si>
    <t>Tembotriona</t>
  </si>
  <si>
    <t>T61</t>
  </si>
  <si>
    <t>335104-84-2</t>
  </si>
  <si>
    <t>Temefós</t>
  </si>
  <si>
    <t>T06</t>
  </si>
  <si>
    <t>3383-96-8</t>
  </si>
  <si>
    <t>Tephrosia candida</t>
  </si>
  <si>
    <t>T63</t>
  </si>
  <si>
    <t>Tepraloxidim</t>
  </si>
  <si>
    <t>T50</t>
  </si>
  <si>
    <t>149979-41-9</t>
  </si>
  <si>
    <t>Terbufós</t>
  </si>
  <si>
    <t>T37</t>
  </si>
  <si>
    <t>13071-79-9</t>
  </si>
  <si>
    <t>Terbutilazina</t>
  </si>
  <si>
    <t>T39</t>
  </si>
  <si>
    <t>5915-41-3</t>
  </si>
  <si>
    <t>Terra diatomácea</t>
  </si>
  <si>
    <t>T43</t>
  </si>
  <si>
    <t>61790-53-2</t>
  </si>
  <si>
    <t>Tetraconazol</t>
  </si>
  <si>
    <t>T46</t>
  </si>
  <si>
    <t>112281-77-3</t>
  </si>
  <si>
    <t>Tetradifona</t>
  </si>
  <si>
    <t>T10</t>
  </si>
  <si>
    <t>116-29-0</t>
  </si>
  <si>
    <t>Tetrametrina</t>
  </si>
  <si>
    <t>T11</t>
  </si>
  <si>
    <t>7696-12-0</t>
  </si>
  <si>
    <t>Tiabendazol</t>
  </si>
  <si>
    <t>T12</t>
  </si>
  <si>
    <t>148-79-8</t>
  </si>
  <si>
    <t>Tiacloprido</t>
  </si>
  <si>
    <t>T49</t>
  </si>
  <si>
    <t>111988-49-9</t>
  </si>
  <si>
    <t>Tiametoxam</t>
  </si>
  <si>
    <t>T48</t>
  </si>
  <si>
    <t>153719-23-4</t>
  </si>
  <si>
    <t>Tiazopir</t>
  </si>
  <si>
    <t>T45</t>
  </si>
  <si>
    <t>117718-60-2</t>
  </si>
  <si>
    <t>Tidiazurom</t>
  </si>
  <si>
    <t>T13</t>
  </si>
  <si>
    <t>51707-55-2</t>
  </si>
  <si>
    <t>Tifluzamida</t>
  </si>
  <si>
    <t>T52</t>
  </si>
  <si>
    <t>130000-40-7</t>
  </si>
  <si>
    <t>Tiobencarbe</t>
  </si>
  <si>
    <t>T29</t>
  </si>
  <si>
    <t>28249-77-6</t>
  </si>
  <si>
    <t>Tiodicarbe</t>
  </si>
  <si>
    <t>T30</t>
  </si>
  <si>
    <t>59669-26-0</t>
  </si>
  <si>
    <t>Tiofanato-metílico</t>
  </si>
  <si>
    <t>T14</t>
  </si>
  <si>
    <t>23564-05-8</t>
  </si>
  <si>
    <t>Tiram</t>
  </si>
  <si>
    <t>T16</t>
  </si>
  <si>
    <t>137-26-8</t>
  </si>
  <si>
    <t>Tolifluanida</t>
  </si>
  <si>
    <t>T38</t>
  </si>
  <si>
    <t>731-27-1</t>
  </si>
  <si>
    <t>Transflutrina</t>
  </si>
  <si>
    <t>T42</t>
  </si>
  <si>
    <t>118712-89-3</t>
  </si>
  <si>
    <t>Triadimefom</t>
  </si>
  <si>
    <t>T17</t>
  </si>
  <si>
    <t>43121-43-3</t>
  </si>
  <si>
    <t>Triadimenol</t>
  </si>
  <si>
    <t>T31</t>
  </si>
  <si>
    <t>55219-65-3</t>
  </si>
  <si>
    <t>Triazofós</t>
  </si>
  <si>
    <t>T18</t>
  </si>
  <si>
    <t>24017-47-8</t>
  </si>
  <si>
    <t>Tribromofenol</t>
  </si>
  <si>
    <t>T47</t>
  </si>
  <si>
    <t>118-79-6</t>
  </si>
  <si>
    <t>Tribromofenóxido de sódio</t>
  </si>
  <si>
    <t>T47.1</t>
  </si>
  <si>
    <t>2666-53-7</t>
  </si>
  <si>
    <t>Trichoderma asperellum</t>
  </si>
  <si>
    <t>T64</t>
  </si>
  <si>
    <t>Trichoderma asperellum (Samuels, Lieckf. &amp; Nirenberg., 1999 ) isolado BV-1</t>
  </si>
  <si>
    <t>T64.3</t>
  </si>
  <si>
    <t>Trichoderma asperellum (Samuels, Lieckf. &amp; Nirenberg., 1999 ) isolado SF04 (URM-5911)</t>
  </si>
  <si>
    <t>T64.2</t>
  </si>
  <si>
    <t>Trichoderma asperellum (Samuels, Lieckf. &amp; Nirenberg., 1999 ) isolado T211 (CBMAI-840)</t>
  </si>
  <si>
    <t>T64.1</t>
  </si>
  <si>
    <t>Trichoderma harzianum</t>
  </si>
  <si>
    <t>T60</t>
  </si>
  <si>
    <t>67892-31-3 (biológico)</t>
  </si>
  <si>
    <t>Trichoderma koningiopsis</t>
  </si>
  <si>
    <t>T67</t>
  </si>
  <si>
    <t>Trichoderma stromaticum</t>
  </si>
  <si>
    <t>T65</t>
  </si>
  <si>
    <t>Trichoderma stromaticum Samuels &amp; Pardo-Schultheiss isolado CEPLAC 3550</t>
  </si>
  <si>
    <t>T65.1</t>
  </si>
  <si>
    <t>Trichogramma galloi</t>
  </si>
  <si>
    <t>T62</t>
  </si>
  <si>
    <t>Trichogramma pretiosum</t>
  </si>
  <si>
    <t>T66</t>
  </si>
  <si>
    <t>Triciclazol</t>
  </si>
  <si>
    <t>T19</t>
  </si>
  <si>
    <t>41814-78-2</t>
  </si>
  <si>
    <t>Triclopir</t>
  </si>
  <si>
    <t>T28</t>
  </si>
  <si>
    <t>55335-06-3</t>
  </si>
  <si>
    <t>Triclopir-butotílico</t>
  </si>
  <si>
    <t>T28.1</t>
  </si>
  <si>
    <t>64700-56-7</t>
  </si>
  <si>
    <t>Tridemorfe</t>
  </si>
  <si>
    <t>T27</t>
  </si>
  <si>
    <t>24602-86-6</t>
  </si>
  <si>
    <t>Trifloxissulfurom</t>
  </si>
  <si>
    <t>T55</t>
  </si>
  <si>
    <t>145099-21-4</t>
  </si>
  <si>
    <t>Trifloxissulfurom-sódico</t>
  </si>
  <si>
    <t>T55.1</t>
  </si>
  <si>
    <t>199119-58-9</t>
  </si>
  <si>
    <t>Trifloxistrobina</t>
  </si>
  <si>
    <t>T54</t>
  </si>
  <si>
    <t>141517-21-7</t>
  </si>
  <si>
    <t>Triflumizol</t>
  </si>
  <si>
    <t>T36</t>
  </si>
  <si>
    <t>99387-89-0</t>
  </si>
  <si>
    <t>Triflumurom</t>
  </si>
  <si>
    <t>T34</t>
  </si>
  <si>
    <t>64628-44-0</t>
  </si>
  <si>
    <t>Trifluralina</t>
  </si>
  <si>
    <t>T24</t>
  </si>
  <si>
    <t>1582-09-8</t>
  </si>
  <si>
    <t>Triforina</t>
  </si>
  <si>
    <t>T25</t>
  </si>
  <si>
    <t>26644-46-2</t>
  </si>
  <si>
    <t>Trimedlure</t>
  </si>
  <si>
    <t>T51</t>
  </si>
  <si>
    <t>5748-22-1</t>
  </si>
  <si>
    <t>Trinexapaque-etílico</t>
  </si>
  <si>
    <t>T56</t>
  </si>
  <si>
    <t>95266-40-3</t>
  </si>
  <si>
    <t>Trissolcus basalis</t>
  </si>
  <si>
    <t>T68</t>
  </si>
  <si>
    <t>Triticonazol</t>
  </si>
  <si>
    <t>T40</t>
  </si>
  <si>
    <t>131983-72-7</t>
  </si>
  <si>
    <t>Zeta-cipermetrina</t>
  </si>
  <si>
    <t>C60</t>
  </si>
  <si>
    <t>Zoxamida</t>
  </si>
  <si>
    <t>Z04</t>
  </si>
  <si>
    <t>156052-68-5</t>
  </si>
  <si>
    <t>cod_mono</t>
  </si>
  <si>
    <t>Máximo de linhas. (Limitação da ferramenta)</t>
  </si>
  <si>
    <t>g/L</t>
  </si>
  <si>
    <t>g/Kg</t>
  </si>
  <si>
    <t>sim_nao</t>
  </si>
  <si>
    <t>n_cas</t>
  </si>
  <si>
    <t>descrição</t>
  </si>
  <si>
    <t>codigo</t>
  </si>
  <si>
    <t>tipo</t>
  </si>
  <si>
    <t>sigla</t>
  </si>
  <si>
    <t>tipo_sigla</t>
  </si>
  <si>
    <t>Sim</t>
  </si>
  <si>
    <t>Não</t>
  </si>
  <si>
    <t>92045-53-9</t>
  </si>
  <si>
    <t>unidade_de_medida</t>
  </si>
  <si>
    <t>especificacao</t>
  </si>
  <si>
    <t>Asbestos, Tremolita</t>
  </si>
  <si>
    <t>Formaldeído</t>
  </si>
  <si>
    <t>77536-68-6</t>
  </si>
  <si>
    <t>50-00-0</t>
  </si>
  <si>
    <t>64741-65-7</t>
  </si>
  <si>
    <t>64742-82-1</t>
  </si>
  <si>
    <t>n-Butano</t>
  </si>
  <si>
    <t>Piridina, derivado de alquil</t>
  </si>
  <si>
    <t>64742-48-9</t>
  </si>
  <si>
    <t>64742-95-6</t>
  </si>
  <si>
    <t>106-97-8</t>
  </si>
  <si>
    <t>68391-11-7</t>
  </si>
  <si>
    <t>Nafta de petróleo, alquilado pesado predominantemente cadeia ramificada C9-C12</t>
  </si>
  <si>
    <t>Nafta de petróleo, hidrodessulfurizado pesado predominantemente C7-C12</t>
  </si>
  <si>
    <t>Nafta de petróleo, hidrodessulfurizado leve, desaromatizado, predominantemente parafinas e cicloparafinas C7</t>
  </si>
  <si>
    <t>Nafta de petróleo, tratado com hidrogênio, pesado, predominantemente C6-C13</t>
  </si>
  <si>
    <t>Solvente de nafta de petróleo, aromático leve, predominantemente C8-C10</t>
  </si>
  <si>
    <t>Limite de concentração: com um teor ³ 0,1% de benzeno</t>
  </si>
  <si>
    <t>Limite de concentração: com um teor ³ 0,1% de 1,3- butadieno</t>
  </si>
  <si>
    <t>n_cas corrigido</t>
  </si>
  <si>
    <t>linha_da_dcqq</t>
  </si>
  <si>
    <t>00</t>
  </si>
  <si>
    <t>000</t>
  </si>
  <si>
    <t>0000</t>
  </si>
  <si>
    <t>00000</t>
  </si>
  <si>
    <t>000000</t>
  </si>
  <si>
    <t>0000050-00-0</t>
  </si>
  <si>
    <t>Converte o Nº CAS para o formato 7-2-1 (0000000-00-0)</t>
  </si>
  <si>
    <t>n_cas_corrigido</t>
  </si>
  <si>
    <t>0042513-42-8</t>
  </si>
  <si>
    <t>0053939-28-9</t>
  </si>
  <si>
    <t>0058594-45-9</t>
  </si>
  <si>
    <t>0056797-40-1</t>
  </si>
  <si>
    <t>0040642-40-8</t>
  </si>
  <si>
    <t>0056219-04-6</t>
  </si>
  <si>
    <t>0102673-51-8</t>
  </si>
  <si>
    <t>0000150-78-7</t>
  </si>
  <si>
    <t>0000094-75-7</t>
  </si>
  <si>
    <t>0000094-80-4</t>
  </si>
  <si>
    <t>0002008-39-1</t>
  </si>
  <si>
    <t>0002569-01-9</t>
  </si>
  <si>
    <t>0032341-80-3</t>
  </si>
  <si>
    <t>0075983-36-7</t>
  </si>
  <si>
    <t>0119163-96-1</t>
  </si>
  <si>
    <t>0071751-41-2</t>
  </si>
  <si>
    <t>0030560-19-1</t>
  </si>
  <si>
    <t>0135410-20-7</t>
  </si>
  <si>
    <t>0038363-29-0</t>
  </si>
  <si>
    <t>0174659-87-1</t>
  </si>
  <si>
    <t>0163041-87-0</t>
  </si>
  <si>
    <t>0057981-60-9</t>
  </si>
  <si>
    <t>0055774-32-8</t>
  </si>
  <si>
    <t>0163041-94-9</t>
  </si>
  <si>
    <t>0061810-56-8</t>
  </si>
  <si>
    <t>0034010-21-4</t>
  </si>
  <si>
    <t>0016676-96-3</t>
  </si>
  <si>
    <t>0014959-86-5</t>
  </si>
  <si>
    <t>0028079-04-1</t>
  </si>
  <si>
    <t>0016974-11-1</t>
  </si>
  <si>
    <t>0034010-20-3</t>
  </si>
  <si>
    <t>0016725-53-4</t>
  </si>
  <si>
    <t>0030507-70-1</t>
  </si>
  <si>
    <t>0000900-95-8</t>
  </si>
  <si>
    <t>0034256-82-1</t>
  </si>
  <si>
    <t>0135158-54-2</t>
  </si>
  <si>
    <t>0000133-32-4</t>
  </si>
  <si>
    <t>0021293-29-8</t>
  </si>
  <si>
    <t>0010043-35-3</t>
  </si>
  <si>
    <t>0000077-06-5</t>
  </si>
  <si>
    <t>0050594-66-6</t>
  </si>
  <si>
    <t>0062476-59-9</t>
  </si>
  <si>
    <t>0074070-46-5</t>
  </si>
  <si>
    <t>0103833-18-7</t>
  </si>
  <si>
    <t>0015972-60-8</t>
  </si>
  <si>
    <t>0083130-01-2</t>
  </si>
  <si>
    <t>0052292-17-8</t>
  </si>
  <si>
    <t>0000112-53-8</t>
  </si>
  <si>
    <t>0000116-06-3</t>
  </si>
  <si>
    <t>0000584-79-2</t>
  </si>
  <si>
    <t>0067375-30-8</t>
  </si>
  <si>
    <t>0000834-12-8</t>
  </si>
  <si>
    <t>0129909-90-6</t>
  </si>
  <si>
    <t>0150114-71-9</t>
  </si>
  <si>
    <t>0033089-61</t>
  </si>
  <si>
    <t>0000101-05-3</t>
  </si>
  <si>
    <t>0003337-71-1</t>
  </si>
  <si>
    <t>0001912-24-9</t>
  </si>
  <si>
    <t>0049669-74-1</t>
  </si>
  <si>
    <t>0011141-17-6</t>
  </si>
  <si>
    <t>0035575-96-3</t>
  </si>
  <si>
    <t>0120162-55-2</t>
  </si>
  <si>
    <t>0041083-11-8</t>
  </si>
  <si>
    <t>0131860-33-8</t>
  </si>
  <si>
    <t xml:space="preserve">0125401-75-4 </t>
  </si>
  <si>
    <t>0 63428-82-0</t>
  </si>
  <si>
    <t>0071626-11-4</t>
  </si>
  <si>
    <t>0022781-23-3</t>
  </si>
  <si>
    <t>0082560-54-1</t>
  </si>
  <si>
    <t>0025057-89-0</t>
  </si>
  <si>
    <t>0177406-68-7</t>
  </si>
  <si>
    <t>0001214-39-7</t>
  </si>
  <si>
    <t>0155569-91-8</t>
  </si>
  <si>
    <t>0068359-37-5</t>
  </si>
  <si>
    <t>0065731-84-2</t>
  </si>
  <si>
    <t>0000298-14-6</t>
  </si>
  <si>
    <t>0082657-04-3</t>
  </si>
  <si>
    <t>0028434-01-7</t>
  </si>
  <si>
    <t>0125401-75-4</t>
  </si>
  <si>
    <t>0125401-92-5</t>
  </si>
  <si>
    <t>0055179-31-2</t>
  </si>
  <si>
    <t>0581809-46-3</t>
  </si>
  <si>
    <t>0001303-96-4</t>
  </si>
  <si>
    <t>0188425-85-6</t>
  </si>
  <si>
    <t>0056073-10-0</t>
  </si>
  <si>
    <t>0000314-40-9</t>
  </si>
  <si>
    <t>0028772-56-7</t>
  </si>
  <si>
    <t>0000074-83-9</t>
  </si>
  <si>
    <t>0002104-96-3</t>
  </si>
  <si>
    <t>0018181-80-1</t>
  </si>
  <si>
    <t>0001689-84-5</t>
  </si>
  <si>
    <t>0116255-48-2</t>
  </si>
  <si>
    <t>0069327-76-0</t>
  </si>
  <si>
    <t>0033629-47-9</t>
  </si>
  <si>
    <t>0138164-12-2</t>
  </si>
  <si>
    <t>0085409-23-0</t>
  </si>
  <si>
    <t>0000133-06-2</t>
  </si>
  <si>
    <t>0000063-25-2</t>
  </si>
  <si>
    <t>0010605-21-7</t>
  </si>
  <si>
    <t>0012069-69-1</t>
  </si>
  <si>
    <t>0055285-14-8</t>
  </si>
  <si>
    <t>0005234-68-4</t>
  </si>
  <si>
    <t>0128639-02-1</t>
  </si>
  <si>
    <t>0104030-54-8</t>
  </si>
  <si>
    <t>0015263-53-3</t>
  </si>
  <si>
    <t>0006980-18-3</t>
  </si>
  <si>
    <t>0095465-99-9</t>
  </si>
  <si>
    <t>0000420-04-2</t>
  </si>
  <si>
    <t>0021725-46-2</t>
  </si>
  <si>
    <t>0736994-63-1</t>
  </si>
  <si>
    <t>0120116-88-3</t>
  </si>
  <si>
    <t>0113136-77-9</t>
  </si>
  <si>
    <t>0136849-15-5</t>
  </si>
  <si>
    <t>0039515-40-7</t>
  </si>
  <si>
    <t>0400882-07-7</t>
  </si>
  <si>
    <t>0057966-95-7</t>
  </si>
  <si>
    <t>0000525-79-1</t>
  </si>
  <si>
    <t>0052315-07-8</t>
  </si>
  <si>
    <t>0094361-06-5</t>
  </si>
  <si>
    <t>0121552-61-2</t>
  </si>
  <si>
    <t>0066215-27-8</t>
  </si>
  <si>
    <t>0099129-21-2</t>
  </si>
  <si>
    <t>0114420-56-3</t>
  </si>
  <si>
    <t>0105512-06-9</t>
  </si>
  <si>
    <t>0074115-24-5</t>
  </si>
  <si>
    <t>0081777-89-1</t>
  </si>
  <si>
    <t>0147150-35-4</t>
  </si>
  <si>
    <t>0500008-45-7</t>
  </si>
  <si>
    <t>0008001-54-5</t>
  </si>
  <si>
    <t>0000999-81-5</t>
  </si>
  <si>
    <t>0024307-26-4</t>
  </si>
  <si>
    <t>0003691-35-8</t>
  </si>
  <si>
    <t>0122453-73-0</t>
  </si>
  <si>
    <t>0071422-67-8</t>
  </si>
  <si>
    <t>0055720-26-8</t>
  </si>
  <si>
    <t>0015263-52-2</t>
  </si>
  <si>
    <t>0023422-53-9</t>
  </si>
  <si>
    <t>0025606-41-1</t>
  </si>
  <si>
    <t>0099283-00-8</t>
  </si>
  <si>
    <t>0090982-32-4</t>
  </si>
  <si>
    <t>0007003-89-6</t>
  </si>
  <si>
    <t>0001897-45-6</t>
  </si>
  <si>
    <t>0002921-88-2</t>
  </si>
  <si>
    <t>0001861-32-1</t>
  </si>
  <si>
    <t>0210880-92-5</t>
  </si>
  <si>
    <t>0033956-49-9</t>
  </si>
  <si>
    <t>0122008-85-9</t>
  </si>
  <si>
    <t>0143390-89-0</t>
  </si>
  <si>
    <t>0143807-66-3</t>
  </si>
  <si>
    <t>0003572-06-3</t>
  </si>
  <si>
    <t>0000081-82-3</t>
  </si>
  <si>
    <t>0000081-81-2</t>
  </si>
  <si>
    <t>0005836-29-3</t>
  </si>
  <si>
    <t>0001596-84-5</t>
  </si>
  <si>
    <t>0000533-74-4</t>
  </si>
  <si>
    <t>0036729-58-5</t>
  </si>
  <si>
    <t>0052918-63-5</t>
  </si>
  <si>
    <t>0080060-09-9</t>
  </si>
  <si>
    <t>0000333-41-5</t>
  </si>
  <si>
    <t>0000085-00-7</t>
  </si>
  <si>
    <t>0001918-00-9</t>
  </si>
  <si>
    <t>0040843-25-2</t>
  </si>
  <si>
    <t>0051338-27-3</t>
  </si>
  <si>
    <t>0000099-30-9</t>
  </si>
  <si>
    <t>0001910-42-5</t>
  </si>
  <si>
    <t>0000062-73-7</t>
  </si>
  <si>
    <t>0145701-21-9</t>
  </si>
  <si>
    <t>0000082-66-6</t>
  </si>
  <si>
    <t>0056073-07-5</t>
  </si>
  <si>
    <t>0119446-68-3</t>
  </si>
  <si>
    <t>0104653-34-1</t>
  </si>
  <si>
    <t>0035367-38-5</t>
  </si>
  <si>
    <t>0083164-33-4</t>
  </si>
  <si>
    <t>0087674-68-8</t>
  </si>
  <si>
    <t>0163515-14-8</t>
  </si>
  <si>
    <t>0000060-51-5</t>
  </si>
  <si>
    <t>0110488-70-5</t>
  </si>
  <si>
    <t>0149961-52-4</t>
  </si>
  <si>
    <t>0039300-45-3</t>
  </si>
  <si>
    <t>0002764-72-9</t>
  </si>
  <si>
    <t>0000298-04-4</t>
  </si>
  <si>
    <t>0003347-22-6</t>
  </si>
  <si>
    <t>0000330-54-1</t>
  </si>
  <si>
    <t>0002439-10-3</t>
  </si>
  <si>
    <t>0001166-46-7</t>
  </si>
  <si>
    <t>0061301-56-2</t>
  </si>
  <si>
    <t>0187166-15-0</t>
  </si>
  <si>
    <t>0017109-49-8</t>
  </si>
  <si>
    <t>0054406-48-3</t>
  </si>
  <si>
    <t>0007704-34-9</t>
  </si>
  <si>
    <t>0135319-73-2</t>
  </si>
  <si>
    <t>0028434-00-6</t>
  </si>
  <si>
    <t>0066230-04-4</t>
  </si>
  <si>
    <t>0187166-40-1</t>
  </si>
  <si>
    <t>0168316-95-8</t>
  </si>
  <si>
    <t>0148477-71-8</t>
  </si>
  <si>
    <t>0283594-90-1</t>
  </si>
  <si>
    <t>0000064-17-5</t>
  </si>
  <si>
    <t>0016672-87-0</t>
  </si>
  <si>
    <t>0000563-12-2</t>
  </si>
  <si>
    <t>0181587-01-9</t>
  </si>
  <si>
    <t>0080844-07-1</t>
  </si>
  <si>
    <t>0013194-48-4</t>
  </si>
  <si>
    <t>0153233-91-1</t>
  </si>
  <si>
    <t>0126801-58-9</t>
  </si>
  <si>
    <t>0002593-15-9</t>
  </si>
  <si>
    <t>0000093-15-2</t>
  </si>
  <si>
    <t>0131807-57-3</t>
  </si>
  <si>
    <t>0161326-34-7</t>
  </si>
  <si>
    <t>0022224-92-6</t>
  </si>
  <si>
    <t>0060168-88-9</t>
  </si>
  <si>
    <t>0000299-84-3</t>
  </si>
  <si>
    <t>0000122-14-5</t>
  </si>
  <si>
    <t>0025319-90-8</t>
  </si>
  <si>
    <t>0026002-80-2</t>
  </si>
  <si>
    <t>0113158-40-0</t>
  </si>
  <si>
    <t>0071283-80-2</t>
  </si>
  <si>
    <t>0134098-61-6</t>
  </si>
  <si>
    <t>0039515-41-8</t>
  </si>
  <si>
    <t>0067564-91-4</t>
  </si>
  <si>
    <t>0000668-34-8</t>
  </si>
  <si>
    <t>0000055-38-9</t>
  </si>
  <si>
    <t>0002597-03-7</t>
  </si>
  <si>
    <t>0051630-58-1</t>
  </si>
  <si>
    <t>0120068-37-3</t>
  </si>
  <si>
    <t>0104040-78-0</t>
  </si>
  <si>
    <t>0090035-08-8</t>
  </si>
  <si>
    <t>0158062-67-0</t>
  </si>
  <si>
    <t>0083066-88-0</t>
  </si>
  <si>
    <t>0079241-46-6</t>
  </si>
  <si>
    <t>0079622-59-6</t>
  </si>
  <si>
    <t>0272451-65-7</t>
  </si>
  <si>
    <t>0131341-86-1</t>
  </si>
  <si>
    <t>0318290-98-1</t>
  </si>
  <si>
    <t>0101463-69-8</t>
  </si>
  <si>
    <t>0188490-07-5</t>
  </si>
  <si>
    <t>0188498-07-8</t>
  </si>
  <si>
    <t>0062924-70-3</t>
  </si>
  <si>
    <t>0098967-40-9</t>
  </si>
  <si>
    <t>0087546-18-7</t>
  </si>
  <si>
    <t>0103361-09-7</t>
  </si>
  <si>
    <t>0239110-15-7</t>
  </si>
  <si>
    <t>0007681-49-4</t>
  </si>
  <si>
    <t>0951659-40-8</t>
  </si>
  <si>
    <t>0136426-54-5</t>
  </si>
  <si>
    <t>0059756-60-4</t>
  </si>
  <si>
    <t>0069377-81-7</t>
  </si>
  <si>
    <t>0081406-37-3</t>
  </si>
  <si>
    <t>0066332-96-5</t>
  </si>
  <si>
    <t>0076674-21-0</t>
  </si>
  <si>
    <t>0069409-94-5</t>
  </si>
  <si>
    <t>0907204-31-3</t>
  </si>
  <si>
    <t>0000133-07-3</t>
  </si>
  <si>
    <t>0072178-02-0</t>
  </si>
  <si>
    <t>0173159-57-4</t>
  </si>
  <si>
    <t>0022259-30-9</t>
  </si>
  <si>
    <t>0002310-17-0</t>
  </si>
  <si>
    <t>0015845-66-6</t>
  </si>
  <si>
    <t>0010045-86-0</t>
  </si>
  <si>
    <t>0020859-73-8</t>
  </si>
  <si>
    <t>0012057-74-8</t>
  </si>
  <si>
    <t>0007803-51-2</t>
  </si>
  <si>
    <t>0000732-11-6</t>
  </si>
  <si>
    <t>0098886-44-3</t>
  </si>
  <si>
    <t>0014816-18-3</t>
  </si>
  <si>
    <t>0027355-22-2</t>
  </si>
  <si>
    <t>0076703-62-3</t>
  </si>
  <si>
    <t>0000106-24-1</t>
  </si>
  <si>
    <t>0001071-83-6</t>
  </si>
  <si>
    <t>0114370-14-8</t>
  </si>
  <si>
    <t>0038641-94-0</t>
  </si>
  <si>
    <t>0039600-42-5</t>
  </si>
  <si>
    <t>0051276-47-2</t>
  </si>
  <si>
    <t>0077182-82-2</t>
  </si>
  <si>
    <t>0050933-33-0</t>
  </si>
  <si>
    <t>0026532-22-9</t>
  </si>
  <si>
    <t>0135397-30-7</t>
  </si>
  <si>
    <t>0100784-20-1</t>
  </si>
  <si>
    <t>0095977-29-0</t>
  </si>
  <si>
    <t>0072619-32-0</t>
  </si>
  <si>
    <t>0079983-71-4</t>
  </si>
  <si>
    <t>0086479-06-3</t>
  </si>
  <si>
    <t>0051235-04-2</t>
  </si>
  <si>
    <t>0078587-05-0</t>
  </si>
  <si>
    <t>0067485-29-4</t>
  </si>
  <si>
    <t>0000123-33-1</t>
  </si>
  <si>
    <t>0020427-59-2</t>
  </si>
  <si>
    <t>0000076-87-9</t>
  </si>
  <si>
    <t>0035554-44-0</t>
  </si>
  <si>
    <t>0114311-32-9</t>
  </si>
  <si>
    <t>0104098-48-8</t>
  </si>
  <si>
    <t>0081334-34-1</t>
  </si>
  <si>
    <t>0081335-37-7</t>
  </si>
  <si>
    <t>0081335-77-5</t>
  </si>
  <si>
    <t>0086598-92-7</t>
  </si>
  <si>
    <t>0138261-41-3</t>
  </si>
  <si>
    <t>0013516-27-3</t>
  </si>
  <si>
    <t>0099257-43-9</t>
  </si>
  <si>
    <t>0072963-72-5</t>
  </si>
  <si>
    <t>0950782-86-2</t>
  </si>
  <si>
    <t>0173584-44-6</t>
  </si>
  <si>
    <t>0018181-70-9</t>
  </si>
  <si>
    <t>0144550-36-7</t>
  </si>
  <si>
    <t>0055406-53-6</t>
  </si>
  <si>
    <t>0125225-28-7</t>
  </si>
  <si>
    <t>0036734-19-7</t>
  </si>
  <si>
    <t>0140923-17-7</t>
  </si>
  <si>
    <t>0141112-29-0</t>
  </si>
  <si>
    <t>0077501-63-4</t>
  </si>
  <si>
    <t>0091465-08-6</t>
  </si>
  <si>
    <t>0000330-55-2</t>
  </si>
  <si>
    <t>0103055-07-8</t>
  </si>
  <si>
    <t>0000121-75-5</t>
  </si>
  <si>
    <t>0008018-01-7</t>
  </si>
  <si>
    <t>0374726-62-2</t>
  </si>
  <si>
    <t>0000094-74-6</t>
  </si>
  <si>
    <t>0002039-46-5</t>
  </si>
  <si>
    <t>0015302-91-7</t>
  </si>
  <si>
    <t>0208465-21-8</t>
  </si>
  <si>
    <t>0104206-82-8</t>
  </si>
  <si>
    <t>0133408-50-1</t>
  </si>
  <si>
    <t>0070630-17-0</t>
  </si>
  <si>
    <t>0000108-62-3</t>
  </si>
  <si>
    <t>0000144-54-7</t>
  </si>
  <si>
    <t>0041394-05-2</t>
  </si>
  <si>
    <t>0000137-42-8</t>
  </si>
  <si>
    <t>0000067-56-1</t>
  </si>
  <si>
    <t>0125116-23-6</t>
  </si>
  <si>
    <t>0000950-37-8</t>
  </si>
  <si>
    <t>0105726-67-8</t>
  </si>
  <si>
    <t>0003100-04-7</t>
  </si>
  <si>
    <t>0002032-65-7</t>
  </si>
  <si>
    <t>0009006-42-2</t>
  </si>
  <si>
    <t>0240494-70-6</t>
  </si>
  <si>
    <t>0051218-45-2</t>
  </si>
  <si>
    <t>0016752-77-5</t>
  </si>
  <si>
    <t>0040596-69-8</t>
  </si>
  <si>
    <t>0161050-58-4</t>
  </si>
  <si>
    <t>0021087-64-9</t>
  </si>
  <si>
    <t>0079510-48-8</t>
  </si>
  <si>
    <t>0074223-64-6</t>
  </si>
  <si>
    <t>0026718-65-0</t>
  </si>
  <si>
    <t>0088671-89-0</t>
  </si>
  <si>
    <t>0051596-10-2</t>
  </si>
  <si>
    <t>0002212-67-1</t>
  </si>
  <si>
    <t>0002163-80-6</t>
  </si>
  <si>
    <t>0389122-95-6</t>
  </si>
  <si>
    <t>0000300-76-5</t>
  </si>
  <si>
    <t>0015299-99-7</t>
  </si>
  <si>
    <t>0000050-65-7</t>
  </si>
  <si>
    <t>0111991-09-4</t>
  </si>
  <si>
    <t>0116714-46-6</t>
  </si>
  <si>
    <t>0012280-03-4</t>
  </si>
  <si>
    <t>0003861-47-0</t>
  </si>
  <si>
    <t>0008001-58-9</t>
  </si>
  <si>
    <t>0008012-95-1</t>
  </si>
  <si>
    <t>0068956-68-3</t>
  </si>
  <si>
    <t>0019044-88-3</t>
  </si>
  <si>
    <t>0213464-77-8</t>
  </si>
  <si>
    <t>0039807-15-3</t>
  </si>
  <si>
    <t>0019666-30-9</t>
  </si>
  <si>
    <t>0144651-06-9</t>
  </si>
  <si>
    <t>0005259-88-1</t>
  </si>
  <si>
    <t>0001332-40-7</t>
  </si>
  <si>
    <t>0001317-39-1</t>
  </si>
  <si>
    <t>0013356-08-6</t>
  </si>
  <si>
    <t>0042874-03-3</t>
  </si>
  <si>
    <t>0010380-28-6</t>
  </si>
  <si>
    <t>0076738-62-0</t>
  </si>
  <si>
    <t>0004685-14-7</t>
  </si>
  <si>
    <t>0000298-00-0</t>
  </si>
  <si>
    <t>0066063-05-6</t>
  </si>
  <si>
    <t>0040487-42-1</t>
  </si>
  <si>
    <t>0219714-96-2</t>
  </si>
  <si>
    <t>0029457-72-5</t>
  </si>
  <si>
    <t>0052645-53-1</t>
  </si>
  <si>
    <t>0007722-84-1</t>
  </si>
  <si>
    <t>0001918-02-1</t>
  </si>
  <si>
    <t>0117428-22-5</t>
  </si>
  <si>
    <t>0123312-89-0</t>
  </si>
  <si>
    <t>0175013-18-0</t>
  </si>
  <si>
    <t>0129630-17-7</t>
  </si>
  <si>
    <t>0129630-19-9</t>
  </si>
  <si>
    <t>0013457-18-6</t>
  </si>
  <si>
    <t>0098389-04-9</t>
  </si>
  <si>
    <t>0093697-74-6</t>
  </si>
  <si>
    <t>0008003-34-7</t>
  </si>
  <si>
    <t>0096489-71-3</t>
  </si>
  <si>
    <t>0000119-12-0</t>
  </si>
  <si>
    <t>0053112-28-0</t>
  </si>
  <si>
    <t>0023103-98-2</t>
  </si>
  <si>
    <t>0029232-93-7</t>
  </si>
  <si>
    <t>0095737-68-1</t>
  </si>
  <si>
    <t>0123342-93-8</t>
  </si>
  <si>
    <t>0123343-16-8</t>
  </si>
  <si>
    <t>0057369-32-1</t>
  </si>
  <si>
    <t>0422556-08-9</t>
  </si>
  <si>
    <t>0023031-36-9</t>
  </si>
  <si>
    <t>0032809-16-8</t>
  </si>
  <si>
    <t>0067747-09-5</t>
  </si>
  <si>
    <t>0127277-53-6</t>
  </si>
  <si>
    <t>0041198-08-7</t>
  </si>
  <si>
    <t>0139001-49-3</t>
  </si>
  <si>
    <t>0007287-19-6</t>
  </si>
  <si>
    <t>0024579-73-5</t>
  </si>
  <si>
    <t>0000709-98-8</t>
  </si>
  <si>
    <t>0111479-05-1</t>
  </si>
  <si>
    <t>0002312-35-8</t>
  </si>
  <si>
    <t>0060207-90-1</t>
  </si>
  <si>
    <t>0009016-72-2</t>
  </si>
  <si>
    <t>0000114-26-1</t>
  </si>
  <si>
    <t>0178928-70-6</t>
  </si>
  <si>
    <t>0034643-46-4</t>
  </si>
  <si>
    <t>0084087-01-4</t>
  </si>
  <si>
    <t>0002439-01-2</t>
  </si>
  <si>
    <t>0000082-68-8</t>
  </si>
  <si>
    <t>0094051-08-8</t>
  </si>
  <si>
    <t>0100646-51-3</t>
  </si>
  <si>
    <t>0119738-06-6</t>
  </si>
  <si>
    <t>0010453-86-8</t>
  </si>
  <si>
    <t>0153665-39-5</t>
  </si>
  <si>
    <t>0372137-35-4</t>
  </si>
  <si>
    <t>0072598-35-7</t>
  </si>
  <si>
    <t>0074051-80-2</t>
  </si>
  <si>
    <t>0000122-34-9</t>
  </si>
  <si>
    <t>0087392-12-9</t>
  </si>
  <si>
    <t>0162490-88-2</t>
  </si>
  <si>
    <t>0007758-98-7</t>
  </si>
  <si>
    <t>0122836-35-5</t>
  </si>
  <si>
    <t>0004151-50-2</t>
  </si>
  <si>
    <t>0074222-97-2</t>
  </si>
  <si>
    <t>0081591-81-3</t>
  </si>
  <si>
    <t>0946578-00-3</t>
  </si>
  <si>
    <t>0001401-55-4</t>
  </si>
  <si>
    <t>0107534-96-3</t>
  </si>
  <si>
    <t>0112410-23-8</t>
  </si>
  <si>
    <t>0096182-53-5</t>
  </si>
  <si>
    <t>0034014-18-1</t>
  </si>
  <si>
    <t>0083121-18-0</t>
  </si>
  <si>
    <t>0335104-84-2</t>
  </si>
  <si>
    <t>0003383-96-8</t>
  </si>
  <si>
    <t>0149979-41-9</t>
  </si>
  <si>
    <t>0013071-79-9</t>
  </si>
  <si>
    <t>0005915-41-3</t>
  </si>
  <si>
    <t>0061790-53-2</t>
  </si>
  <si>
    <t>0112281-77-3</t>
  </si>
  <si>
    <t>0000116-29-0</t>
  </si>
  <si>
    <t>0007696-12-0</t>
  </si>
  <si>
    <t>0000148-79-8</t>
  </si>
  <si>
    <t>0111988-49-9</t>
  </si>
  <si>
    <t>0153719-23-4</t>
  </si>
  <si>
    <t>0117718-60-2</t>
  </si>
  <si>
    <t>0051707-55-2</t>
  </si>
  <si>
    <t>0130000-40-7</t>
  </si>
  <si>
    <t>0028249-77-6</t>
  </si>
  <si>
    <t>0059669-26-0</t>
  </si>
  <si>
    <t>0023564-05-8</t>
  </si>
  <si>
    <t>0000137-26-8</t>
  </si>
  <si>
    <t>0000731-27-1</t>
  </si>
  <si>
    <t>0118712-89-3</t>
  </si>
  <si>
    <t>0043121-43-3</t>
  </si>
  <si>
    <t>0055219-65-3</t>
  </si>
  <si>
    <t>0024017-47-8</t>
  </si>
  <si>
    <t>0000118-79-6</t>
  </si>
  <si>
    <t>0002666-53-7</t>
  </si>
  <si>
    <t>0067892-31-3 (biológico)</t>
  </si>
  <si>
    <t>0041814-78-2</t>
  </si>
  <si>
    <t>0055335-06-3</t>
  </si>
  <si>
    <t>0064700-56-7</t>
  </si>
  <si>
    <t>0024602-86-6</t>
  </si>
  <si>
    <t>0145099-21-4</t>
  </si>
  <si>
    <t>0199119-58-9</t>
  </si>
  <si>
    <t>0141517-21-7</t>
  </si>
  <si>
    <t>0099387-89-0</t>
  </si>
  <si>
    <t>0064628-44-0</t>
  </si>
  <si>
    <t>0001582-09-8</t>
  </si>
  <si>
    <t>0026644-46-2</t>
  </si>
  <si>
    <t>0005748-22-1</t>
  </si>
  <si>
    <t>0095266-40-3</t>
  </si>
  <si>
    <t>0131983-72-7</t>
  </si>
  <si>
    <t>0156052-68-5</t>
  </si>
  <si>
    <t>procura_componente_proibido</t>
  </si>
  <si>
    <t>FORMALDEHYDE</t>
  </si>
  <si>
    <t>0000050-70-4</t>
  </si>
  <si>
    <t>SORBITOL</t>
  </si>
  <si>
    <t>0000050-81-7</t>
  </si>
  <si>
    <t>L'ASCORBIC ACID</t>
  </si>
  <si>
    <t>0000050-99-7</t>
  </si>
  <si>
    <t>DEXTROSE</t>
  </si>
  <si>
    <t>0000052-51-7</t>
  </si>
  <si>
    <t>BRONOPOL 3</t>
  </si>
  <si>
    <t>0000054-21-7</t>
  </si>
  <si>
    <t>SODIUM SALICYLATE</t>
  </si>
  <si>
    <t>0000056-81-5</t>
  </si>
  <si>
    <t>GLYCEROL</t>
  </si>
  <si>
    <t>0000057-10-3</t>
  </si>
  <si>
    <t>HEXADECANOIC ACID</t>
  </si>
  <si>
    <t>0000057-11-4</t>
  </si>
  <si>
    <t>STEARIC ACID</t>
  </si>
  <si>
    <t>0000057-13-6</t>
  </si>
  <si>
    <t>UREA</t>
  </si>
  <si>
    <t>0000057-48-7</t>
  </si>
  <si>
    <t>D-FRUCTOSE</t>
  </si>
  <si>
    <t>0000057-50-1</t>
  </si>
  <si>
    <t>SUGAR</t>
  </si>
  <si>
    <t>0000057-55-6</t>
  </si>
  <si>
    <t>PROPYLENE GLYCOL</t>
  </si>
  <si>
    <t>0000057-88-5</t>
  </si>
  <si>
    <t>(3BETA)-CHOLEST-5-EN-3-OL</t>
  </si>
  <si>
    <t>0000059-02-9</t>
  </si>
  <si>
    <t>VITAMIN E</t>
  </si>
  <si>
    <t>0000060-00-4</t>
  </si>
  <si>
    <t>ETHYLENEDIAMINETETRAACETIC ACID</t>
  </si>
  <si>
    <t>0000060-33-3</t>
  </si>
  <si>
    <t>LINOLEIC ACID</t>
  </si>
  <si>
    <t>0000061-73-4</t>
  </si>
  <si>
    <t>C.I. BASIC BLUE 9</t>
  </si>
  <si>
    <t>0000063-42-3</t>
  </si>
  <si>
    <t>D-(+)-LACTOSE</t>
  </si>
  <si>
    <t>0000064-02-8</t>
  </si>
  <si>
    <t>ETHYLENEDIAMINETETRAACETIC ACID, TETRASODIUM SALT</t>
  </si>
  <si>
    <t>ETHANOL</t>
  </si>
  <si>
    <t>0000064-18-6</t>
  </si>
  <si>
    <t>FORMIC ACID</t>
  </si>
  <si>
    <t>0000064-19-7</t>
  </si>
  <si>
    <t>ACETIC ACID</t>
  </si>
  <si>
    <t>0000065-85-0</t>
  </si>
  <si>
    <t>BENZOIC ACID</t>
  </si>
  <si>
    <t>0000066-71-7</t>
  </si>
  <si>
    <t>1,10-PHENANTHROLINE</t>
  </si>
  <si>
    <t>0000067-03-8</t>
  </si>
  <si>
    <t>THIAMIN HYDROCHLORIDE</t>
  </si>
  <si>
    <t>0000067-48-1</t>
  </si>
  <si>
    <t>CHOLINE CHLORIDE</t>
  </si>
  <si>
    <t>METHYL ALCOHOL</t>
  </si>
  <si>
    <t>0000067-63-0</t>
  </si>
  <si>
    <t>2-PROPANOL</t>
  </si>
  <si>
    <t>0000067-64-1</t>
  </si>
  <si>
    <t>ACETONE</t>
  </si>
  <si>
    <t>0000067-68-5</t>
  </si>
  <si>
    <t>DIMETHYL SULFOXIDE</t>
  </si>
  <si>
    <t>0000068-04-2</t>
  </si>
  <si>
    <t>CITRIC ACID, TRISODIUM SALT</t>
  </si>
  <si>
    <t>0000069-65-8</t>
  </si>
  <si>
    <t>D-MANNITOL</t>
  </si>
  <si>
    <t>0000071-23-8</t>
  </si>
  <si>
    <t>1-PROPANOL</t>
  </si>
  <si>
    <t>0000071-36-3</t>
  </si>
  <si>
    <t>1-BUTANOL</t>
  </si>
  <si>
    <t>0000074-87-3</t>
  </si>
  <si>
    <t>METHYL CHLORIDE</t>
  </si>
  <si>
    <t>0000074-98-6</t>
  </si>
  <si>
    <t>PROPANE</t>
  </si>
  <si>
    <t>0000075-05-8</t>
  </si>
  <si>
    <t>ACETONITRILE</t>
  </si>
  <si>
    <t>0000075-07-0</t>
  </si>
  <si>
    <t>ACETALDEHYDE</t>
  </si>
  <si>
    <t>0000075-28-5</t>
  </si>
  <si>
    <t>ISOBUTANE</t>
  </si>
  <si>
    <t>0000075-31-0</t>
  </si>
  <si>
    <t>ISOPROPYLAMINE</t>
  </si>
  <si>
    <t>0000075-37-6</t>
  </si>
  <si>
    <t>1,1-DIFLUOROETHANE</t>
  </si>
  <si>
    <t>0000075-52-5</t>
  </si>
  <si>
    <t>NITROMETHANE</t>
  </si>
  <si>
    <t>0000075-65-0</t>
  </si>
  <si>
    <t>2-PROPANOL, 2-METHYL-</t>
  </si>
  <si>
    <t>0000076-59-5</t>
  </si>
  <si>
    <t>BROMOTHYMOL BLUE</t>
  </si>
  <si>
    <t>GIBBERELLIC ACID</t>
  </si>
  <si>
    <t>0000077-58-7</t>
  </si>
  <si>
    <t>DI-N-BUTYLTIN DILAURATE</t>
  </si>
  <si>
    <t>0000077-90-7</t>
  </si>
  <si>
    <t>ACETYL TRIBUTYL CITRATE</t>
  </si>
  <si>
    <t>0000077-92-9</t>
  </si>
  <si>
    <t>CITRIC ACID</t>
  </si>
  <si>
    <t>0000077-93-0</t>
  </si>
  <si>
    <t>TRIETHYL CITRATE</t>
  </si>
  <si>
    <t>0000077-99-6</t>
  </si>
  <si>
    <t>TRIMETHYLOLPROPANE</t>
  </si>
  <si>
    <t>0000078-40-0</t>
  </si>
  <si>
    <t>PHOSPHORIC ACID, TRIETHYL ESTER</t>
  </si>
  <si>
    <t>0000078-59-1</t>
  </si>
  <si>
    <t>ISOPHORONE</t>
  </si>
  <si>
    <t>0000078-66-0</t>
  </si>
  <si>
    <t>3,6-DIMETHYL-4-OCTYNE-3,6-DIOL</t>
  </si>
  <si>
    <t>0000078-70-6</t>
  </si>
  <si>
    <t>LINALYL ALCOHOL</t>
  </si>
  <si>
    <t>0000078-83-1</t>
  </si>
  <si>
    <t>1-PROPANOL, 2-METHYL-</t>
  </si>
  <si>
    <t>0000078-92-2</t>
  </si>
  <si>
    <t>2-BUTANOL</t>
  </si>
  <si>
    <t>0000078-93-3</t>
  </si>
  <si>
    <t>METHYL ETHYL KETONE</t>
  </si>
  <si>
    <t>0000079-09-4</t>
  </si>
  <si>
    <t>PROPANOIC ACID</t>
  </si>
  <si>
    <t>0000079-10-7</t>
  </si>
  <si>
    <t>ACRYLIC ACID</t>
  </si>
  <si>
    <t>0000079-20-9</t>
  </si>
  <si>
    <t>METHYL ACETATE</t>
  </si>
  <si>
    <t>0000080-39-7</t>
  </si>
  <si>
    <t>N- ETHYL-P-TOLYLSULFONAMIDE</t>
  </si>
  <si>
    <t>0000081-07-2</t>
  </si>
  <si>
    <t>SACCHARIN</t>
  </si>
  <si>
    <t>0000081-48-1</t>
  </si>
  <si>
    <t>C.I. SOLVENT VIOLET 13</t>
  </si>
  <si>
    <t>0000081-88-9</t>
  </si>
  <si>
    <t>RHODAMINE B</t>
  </si>
  <si>
    <t>0000084-66-2</t>
  </si>
  <si>
    <t>DIETHYL PHTHALATE</t>
  </si>
  <si>
    <t>0000085-68-7</t>
  </si>
  <si>
    <t>BUTYL BENZYL PHTHALATE</t>
  </si>
  <si>
    <t>0000085-86-9</t>
  </si>
  <si>
    <t>C.I. SOLVENT RED 23</t>
  </si>
  <si>
    <t>0000086-73-7</t>
  </si>
  <si>
    <t>FLUORENE</t>
  </si>
  <si>
    <t>0000087-69-4</t>
  </si>
  <si>
    <t>TARTARIC ACID</t>
  </si>
  <si>
    <t>0000088-24-4</t>
  </si>
  <si>
    <t>2,2'-METHYLENEBIS(4-ETHYL-6-TERT-BUTYLPHENOL)</t>
  </si>
  <si>
    <t>0000090-80-2</t>
  </si>
  <si>
    <t>GLUCONO DELTA LACTONE</t>
  </si>
  <si>
    <t>0000091-08-7</t>
  </si>
  <si>
    <t>TOLUENE-2,6-DIISOCYANATE</t>
  </si>
  <si>
    <t>0000091-20-3</t>
  </si>
  <si>
    <t>NAPHTHALENE</t>
  </si>
  <si>
    <t>0000092-52-4</t>
  </si>
  <si>
    <t>BIPHENYL</t>
  </si>
  <si>
    <t>0000093-83-4</t>
  </si>
  <si>
    <t>OLEIC ACID DIETHANOLAMIDE</t>
  </si>
  <si>
    <t>0000094-13-3</t>
  </si>
  <si>
    <t>PROPYL PARABEN</t>
  </si>
  <si>
    <t>0000094-26-8</t>
  </si>
  <si>
    <t>BUTYL PARABEN</t>
  </si>
  <si>
    <t>0000095-14-7</t>
  </si>
  <si>
    <t>1,2,3-BENZOTRIAZOLE</t>
  </si>
  <si>
    <t>0000095-63-6</t>
  </si>
  <si>
    <t>1,2,4-TRIMETHYLBENZENE</t>
  </si>
  <si>
    <t>0000096-29-7</t>
  </si>
  <si>
    <t>METHYL ETHYL KETOXIME</t>
  </si>
  <si>
    <t>0000096-48-0</t>
  </si>
  <si>
    <t>GAMMA-BUTYROLACTONE</t>
  </si>
  <si>
    <t>0000097-39-2</t>
  </si>
  <si>
    <t>1,3-DITOLYLGUANIDINE</t>
  </si>
  <si>
    <t>0000097-64-3</t>
  </si>
  <si>
    <t>LACTIC ACID, ETHYL ESTER</t>
  </si>
  <si>
    <t>0000097-99-4</t>
  </si>
  <si>
    <t>TETRAHYDROFURFURYL ALCOHOL</t>
  </si>
  <si>
    <t>0000098-67-9</t>
  </si>
  <si>
    <t>4-PHENOLSULFONIC ACID</t>
  </si>
  <si>
    <t>0000098-82-8</t>
  </si>
  <si>
    <t>CUMENE</t>
  </si>
  <si>
    <t>0000098-86-2</t>
  </si>
  <si>
    <t>ACETOPHENONE</t>
  </si>
  <si>
    <t>0000098-92-0</t>
  </si>
  <si>
    <t>NICOTINOMIDE</t>
  </si>
  <si>
    <t>0000099-76-3</t>
  </si>
  <si>
    <t>METHYL PARABEN</t>
  </si>
  <si>
    <t>0000100-20-9</t>
  </si>
  <si>
    <t>TEREPHTHALOYL CHLORIDE</t>
  </si>
  <si>
    <t>0000100-41-4</t>
  </si>
  <si>
    <t>ETHYLBENZENE</t>
  </si>
  <si>
    <t>0000100-44-7</t>
  </si>
  <si>
    <t>ALPHA-CHLOROTOLUENE</t>
  </si>
  <si>
    <t>0000100-51-6</t>
  </si>
  <si>
    <t>BENZYL ALCOHOL</t>
  </si>
  <si>
    <t>0000100-52-7</t>
  </si>
  <si>
    <t>BENZALDEHYDE</t>
  </si>
  <si>
    <t>0000100-97-0</t>
  </si>
  <si>
    <t>HEXAMETHYLENETETRAMINE</t>
  </si>
  <si>
    <t>0000101-02-0</t>
  </si>
  <si>
    <t>PHOSPHOROUS ACID, TRIPHENYL ESTER</t>
  </si>
  <si>
    <t>0000101-68-8</t>
  </si>
  <si>
    <t>1,1'-METHYLENEBIS(4-ISOCYANATOBENZENE)</t>
  </si>
  <si>
    <t>0000102-06-7</t>
  </si>
  <si>
    <t>1,3-DIPHENYLGUANIDINE</t>
  </si>
  <si>
    <t>0000102-60-3</t>
  </si>
  <si>
    <t>1,1',1",1"'-( ETHANEDIYLNITRILO)TETRAKIS(2-PROPANOL)</t>
  </si>
  <si>
    <t>0000102-71-6</t>
  </si>
  <si>
    <t>TRIETHANOLAMINE</t>
  </si>
  <si>
    <t>0000102-76-1</t>
  </si>
  <si>
    <t>GLYCERYL TRIACETATE</t>
  </si>
  <si>
    <t>0000103-23-1</t>
  </si>
  <si>
    <t>ADIPIC ACID, BIS(2-ETHYLHEXYL) ESTER</t>
  </si>
  <si>
    <t>0000103-24-2</t>
  </si>
  <si>
    <t>BIS(2-ETHYLHEXYL) AZELATE</t>
  </si>
  <si>
    <t>0000104-15-4</t>
  </si>
  <si>
    <t>P-TOLUENESULFONIC ACID</t>
  </si>
  <si>
    <t>0000104-46-1</t>
  </si>
  <si>
    <t>P-ANETHOLE</t>
  </si>
  <si>
    <t>0000104-61-0</t>
  </si>
  <si>
    <t>NONANOIC ACID, 4-HYDROXY-, .GAMMA.-LACTONE</t>
  </si>
  <si>
    <t>0000104-76-7</t>
  </si>
  <si>
    <t>2-ETHYL-1-HEXANOL</t>
  </si>
  <si>
    <t>0000105-97-5</t>
  </si>
  <si>
    <t>HEXANEDIOIC ACID, DIDECYL ESTER</t>
  </si>
  <si>
    <t>0000105-99-7</t>
  </si>
  <si>
    <t>ADIPIC ACID, DIBUTYL ESTER</t>
  </si>
  <si>
    <t>0000106-30-9</t>
  </si>
  <si>
    <t>ETHYL HEPTANOATE</t>
  </si>
  <si>
    <t>0000106-63-8</t>
  </si>
  <si>
    <t>ACRYLIC ACID, ISOBUTYL ESTER</t>
  </si>
  <si>
    <t>0000106-70-7</t>
  </si>
  <si>
    <t>HEXANOIC ACID, METHYL ESTER</t>
  </si>
  <si>
    <t>0000106-97-8</t>
  </si>
  <si>
    <t>N-BUTANE</t>
  </si>
  <si>
    <t>0000107-15-3</t>
  </si>
  <si>
    <t>ETHYLENEDIAMINE</t>
  </si>
  <si>
    <t>0000107-21-1</t>
  </si>
  <si>
    <t>1,2-ETHANEDIOL</t>
  </si>
  <si>
    <t>0000107-22-2</t>
  </si>
  <si>
    <t>GLYOXAL</t>
  </si>
  <si>
    <t>0000107-39-1</t>
  </si>
  <si>
    <t>2,4,4-TRIMETHYL-1-PENTENE</t>
  </si>
  <si>
    <t>0000107-40-4</t>
  </si>
  <si>
    <t>2,2,4-TRIMETHYL-3-PENTENE</t>
  </si>
  <si>
    <t>0000107-41-5</t>
  </si>
  <si>
    <t>HEXYLENE GLYCOL</t>
  </si>
  <si>
    <t>0000107-64-2</t>
  </si>
  <si>
    <t>DIMETHYL DIOCTADECYL AMMONIUM CHLORIDE</t>
  </si>
  <si>
    <t>0000107-88-0</t>
  </si>
  <si>
    <t>1,3-BUTANEDIOL</t>
  </si>
  <si>
    <t>0000107-89-1</t>
  </si>
  <si>
    <t>3-HYDROXYBUTYRALDEHYDE</t>
  </si>
  <si>
    <t>0000107-92-6</t>
  </si>
  <si>
    <t>BUTYRIC ACID</t>
  </si>
  <si>
    <t>0000107-98-2</t>
  </si>
  <si>
    <t>2-METHOXY-1-METHYLETHANOL</t>
  </si>
  <si>
    <t>0000108-01-0</t>
  </si>
  <si>
    <t>ETHANOL, 2-DIMETHYLAMINO-</t>
  </si>
  <si>
    <t>0000108-05-4</t>
  </si>
  <si>
    <t>ACETIC ACID, VINYL ESTER</t>
  </si>
  <si>
    <t>0000108-10-1</t>
  </si>
  <si>
    <t>METHYL ISOBUTYL KETONE</t>
  </si>
  <si>
    <t>0000108-32-7</t>
  </si>
  <si>
    <t>PROPYLENE GLYCOL CYCLIC CARBONATE</t>
  </si>
  <si>
    <t>0000108-63-4</t>
  </si>
  <si>
    <t>HEXANEDIOIC ACID, BIS(1-METHYLHEPTYL) ESTER</t>
  </si>
  <si>
    <t>0000108-65-6</t>
  </si>
  <si>
    <t>1-METHOXY-2-PROPYL ACETATE</t>
  </si>
  <si>
    <t>0000108-67-8</t>
  </si>
  <si>
    <t>MESITYLENE</t>
  </si>
  <si>
    <t>0000108-83-8</t>
  </si>
  <si>
    <t>DIISOBUTYL KETONE</t>
  </si>
  <si>
    <t>0000108-88-3</t>
  </si>
  <si>
    <t>TOLUENE</t>
  </si>
  <si>
    <t>0000108-94-1</t>
  </si>
  <si>
    <t>CYCLOHEXANONE</t>
  </si>
  <si>
    <t>0000108-95-2</t>
  </si>
  <si>
    <t>PHENOL</t>
  </si>
  <si>
    <t>0000109-52-4</t>
  </si>
  <si>
    <t>N-VALERIC ACID</t>
  </si>
  <si>
    <t>0000109-73-9</t>
  </si>
  <si>
    <t>BUTYLAMINE</t>
  </si>
  <si>
    <t>0000109-99-9</t>
  </si>
  <si>
    <t>TETRAHYDROFURAN</t>
  </si>
  <si>
    <t>0000110-12-3</t>
  </si>
  <si>
    <t>5-METHYL-2-HEXANONE</t>
  </si>
  <si>
    <t>0000110-16-7</t>
  </si>
  <si>
    <t>MALEIC ACID</t>
  </si>
  <si>
    <t>0000110-17-8</t>
  </si>
  <si>
    <t>FUMARIC ACID</t>
  </si>
  <si>
    <t>0000110-27-0</t>
  </si>
  <si>
    <t>ISOPROPYL MYRISTATE</t>
  </si>
  <si>
    <t>0000110-30-5</t>
  </si>
  <si>
    <t>OCTADECANAMIDE, N,N'-1,2-ETHANEDIYLBIS-</t>
  </si>
  <si>
    <t>0000110-42-9</t>
  </si>
  <si>
    <t>DECANOIC ACID, METHYL ESTER</t>
  </si>
  <si>
    <t>0000110-43-0</t>
  </si>
  <si>
    <t>METHYL N-AMYL KETONE</t>
  </si>
  <si>
    <t>0000110-44-1</t>
  </si>
  <si>
    <t>SORBIC ACID</t>
  </si>
  <si>
    <t>0000110-91-8</t>
  </si>
  <si>
    <t>MORPHOLINE</t>
  </si>
  <si>
    <t>0000110-98-5</t>
  </si>
  <si>
    <t>DIPROPYLENE GLYCOL</t>
  </si>
  <si>
    <t>0000111-01-3</t>
  </si>
  <si>
    <t>SQUALANE</t>
  </si>
  <si>
    <t>0000111-11-5</t>
  </si>
  <si>
    <t>OCTANOIC ACID, METHYL ESTER</t>
  </si>
  <si>
    <t>0000111-20-6</t>
  </si>
  <si>
    <t>DECANEDIOIC ACID</t>
  </si>
  <si>
    <t>0000111-27-3</t>
  </si>
  <si>
    <t>1-HEXANOL</t>
  </si>
  <si>
    <t>0000111-30-8</t>
  </si>
  <si>
    <t>GLUTARALDEHYDE</t>
  </si>
  <si>
    <t>0000111-41-1</t>
  </si>
  <si>
    <t>2-[(AMINOETHYL)AMINO]ETHANOL</t>
  </si>
  <si>
    <t>0000111-42-2</t>
  </si>
  <si>
    <t>DIETHANOLAMINE</t>
  </si>
  <si>
    <t>0000111-46-6</t>
  </si>
  <si>
    <t>DIETHYLENE GLYCOL</t>
  </si>
  <si>
    <t>0000111-60-4</t>
  </si>
  <si>
    <t>ETHYLENE GLYCOL MONOSTEARATE</t>
  </si>
  <si>
    <t>0000111-75-1</t>
  </si>
  <si>
    <t>N-BUTYLETHANOLAMINE</t>
  </si>
  <si>
    <t>0000111-76-2</t>
  </si>
  <si>
    <t>ETHANOL, 2-BUTOXY</t>
  </si>
  <si>
    <t>0000111-77-3</t>
  </si>
  <si>
    <t>DIETHYLENE GLYCOL MONOMETHYL ETHER</t>
  </si>
  <si>
    <t>0000111-82-0</t>
  </si>
  <si>
    <t>DODECANOIC ACID, METHYL ESTER</t>
  </si>
  <si>
    <t>0000111-87-5</t>
  </si>
  <si>
    <t>1-OCTANOL</t>
  </si>
  <si>
    <t>0000111-90-0</t>
  </si>
  <si>
    <t>DIETHYLENE GLYCOL MONOETHYL ETHER</t>
  </si>
  <si>
    <t>0000111-96-6</t>
  </si>
  <si>
    <t>ETHER, BIS(2-METHOXYETHYL)</t>
  </si>
  <si>
    <t>0000112-05-0</t>
  </si>
  <si>
    <t>NONANOIC FATTY ACID</t>
  </si>
  <si>
    <t>0000112-07-2</t>
  </si>
  <si>
    <t>ETHANOL, 2-BUTOXY-, ACETATE</t>
  </si>
  <si>
    <t>0000112-18-5</t>
  </si>
  <si>
    <t>1-DODECANAMINE, N,N-DIMETHYL</t>
  </si>
  <si>
    <t>0000112-24-3</t>
  </si>
  <si>
    <t>TRIETHYLENETETRAMINE</t>
  </si>
  <si>
    <t>0000112-25-4</t>
  </si>
  <si>
    <t>ETHANOL, 2-(HEXYLOXY)</t>
  </si>
  <si>
    <t>0000112-27-6</t>
  </si>
  <si>
    <t>TRIETHYLENE GLYCOL</t>
  </si>
  <si>
    <t>0000112-30-1</t>
  </si>
  <si>
    <t>1-DECANOL</t>
  </si>
  <si>
    <t>0000112-34-5</t>
  </si>
  <si>
    <t>DIETHYLENE GLYCOL MONOBUTYL ETHER</t>
  </si>
  <si>
    <t>0000112-39-0</t>
  </si>
  <si>
    <t>METHYL PALMITATE</t>
  </si>
  <si>
    <t>1-DODECANOL</t>
  </si>
  <si>
    <t>0000112-57-2</t>
  </si>
  <si>
    <t>TETRAETHYLENEPENTAMINE</t>
  </si>
  <si>
    <t>0000112-62-9</t>
  </si>
  <si>
    <t>METHYL OLEATE</t>
  </si>
  <si>
    <t>0000112-63-0</t>
  </si>
  <si>
    <t>METHYL LINOLEATE</t>
  </si>
  <si>
    <t>0000112-69-6</t>
  </si>
  <si>
    <t>N,N-DIMETHYL-1-HEXADECYLAMINE</t>
  </si>
  <si>
    <t>0000112-72-1</t>
  </si>
  <si>
    <t>MYRISTYL ALCOHOL</t>
  </si>
  <si>
    <t>0000112-75-4</t>
  </si>
  <si>
    <t>N,N-DIMETHYL-1-TETRADECANAMINE</t>
  </si>
  <si>
    <t>0000112-80-1</t>
  </si>
  <si>
    <t>OLEIC ACID</t>
  </si>
  <si>
    <t>0000112-92-5</t>
  </si>
  <si>
    <t>1-OCTADECANOL</t>
  </si>
  <si>
    <t>0000115-10-6</t>
  </si>
  <si>
    <t>DIMETHYL ETHER</t>
  </si>
  <si>
    <t>0000115-86-6</t>
  </si>
  <si>
    <t>PHOSPHORIC ACID, TRIPHENYL ESTER</t>
  </si>
  <si>
    <t>0000118-71-8</t>
  </si>
  <si>
    <t>4H-PYRAN-4-ONE, 3-HYDROXY-2-METHYL-</t>
  </si>
  <si>
    <t>0000119-36-8</t>
  </si>
  <si>
    <t>METHYL SALICYLATE</t>
  </si>
  <si>
    <t>0000120-40-1</t>
  </si>
  <si>
    <t>N,N-BIS(2-HYDROXYETHYL)DODECANAMIDE</t>
  </si>
  <si>
    <t>0000120-47-8</t>
  </si>
  <si>
    <t>ETHYL PARABEN</t>
  </si>
  <si>
    <t>0000120-72-9</t>
  </si>
  <si>
    <t>1H-INDOLE</t>
  </si>
  <si>
    <t>0000121-00-6</t>
  </si>
  <si>
    <t>2-TERT-BUTYL-4-METHOXYPHENOL</t>
  </si>
  <si>
    <t>0000121-44-8</t>
  </si>
  <si>
    <t>TRIETHYLAMINE</t>
  </si>
  <si>
    <t>MALATHION</t>
  </si>
  <si>
    <t>0000121-79-9</t>
  </si>
  <si>
    <t>GALLIC ACID, PROPYL ESTER</t>
  </si>
  <si>
    <t>0000122-20-3</t>
  </si>
  <si>
    <t>TRIISOPROPANOLAMINE</t>
  </si>
  <si>
    <t>0000122-99-6</t>
  </si>
  <si>
    <t>PHENOXY ETHANOL</t>
  </si>
  <si>
    <t>0000123-01-3</t>
  </si>
  <si>
    <t>1-PHENYLDODECANE</t>
  </si>
  <si>
    <t>0000123-26-2</t>
  </si>
  <si>
    <t>N,N'-ETHYLENEBIS(12-HYDROXYOCTADECANAMIDE)</t>
  </si>
  <si>
    <t>0000123-31-9</t>
  </si>
  <si>
    <t>HYDROQUINONE</t>
  </si>
  <si>
    <t>0000123-42-2</t>
  </si>
  <si>
    <t>DIACETONE ALCOHOL</t>
  </si>
  <si>
    <t>0000123-72-8</t>
  </si>
  <si>
    <t>BUTYRALDEHYDE</t>
  </si>
  <si>
    <t>0000123-77-3</t>
  </si>
  <si>
    <t>AZODICARBOXAMIDE</t>
  </si>
  <si>
    <t>0000123-86-4</t>
  </si>
  <si>
    <t>ACETIC ACID, BUTYL ESTER</t>
  </si>
  <si>
    <t>0000123-94-4</t>
  </si>
  <si>
    <t>OCTADECANOIC ACID, 2,3-DIHYDROXYPROPYL ESTER</t>
  </si>
  <si>
    <t>0000123-96-6</t>
  </si>
  <si>
    <t>2-OCTANOL</t>
  </si>
  <si>
    <t>0000123-99-9</t>
  </si>
  <si>
    <t>AZELAIC ACID</t>
  </si>
  <si>
    <t>0000124-04-9</t>
  </si>
  <si>
    <t>ADIPIC ACID</t>
  </si>
  <si>
    <t>0000124-07-2</t>
  </si>
  <si>
    <t>OCTANOIC ACID</t>
  </si>
  <si>
    <t>0000124-09-4</t>
  </si>
  <si>
    <t>1,6-DIAMINOHEXANE</t>
  </si>
  <si>
    <t>0000124-10-7</t>
  </si>
  <si>
    <t>METHYL TETRADECANOATE</t>
  </si>
  <si>
    <t>0000124-28-7</t>
  </si>
  <si>
    <t>N,N-DIMETHYLOCTADECYLAMINE</t>
  </si>
  <si>
    <t>0000124-38-9</t>
  </si>
  <si>
    <t>CARBON DIOXIDE</t>
  </si>
  <si>
    <t>0000124-40-3</t>
  </si>
  <si>
    <t>DIMETHYLAMINE</t>
  </si>
  <si>
    <t>0000124-68-5</t>
  </si>
  <si>
    <t>2-AMINO-2- METHYL-1-PROPANOL</t>
  </si>
  <si>
    <t>0000126-14-7</t>
  </si>
  <si>
    <t>SUCROSE OCTAACETATE</t>
  </si>
  <si>
    <t>0000126-73-8</t>
  </si>
  <si>
    <t>PHOSPHORIC ACID, TRIBUTYL ESTER</t>
  </si>
  <si>
    <t>0000126-86-3</t>
  </si>
  <si>
    <t>2,4,7,9-TETRAMETHYL-5-DECYNE-4,7-DIOL</t>
  </si>
  <si>
    <t>0000127-08-2</t>
  </si>
  <si>
    <t>POTASSIUM ACETATE</t>
  </si>
  <si>
    <t>0000127-09-3</t>
  </si>
  <si>
    <t>ACETIC ACID, SODIUM SALT</t>
  </si>
  <si>
    <t>0000128-37-0</t>
  </si>
  <si>
    <t>BUTYLATED HYDROXYTOLUENE</t>
  </si>
  <si>
    <t>0000128-44-9</t>
  </si>
  <si>
    <t>SACCHARIN SODIUM</t>
  </si>
  <si>
    <t>0000131-57-7</t>
  </si>
  <si>
    <t>2-HYDROXY-4-METHOXY BENZOPHENONE</t>
  </si>
  <si>
    <t>0000136-51-6</t>
  </si>
  <si>
    <t>CALCIUM 2-ETHYLHEXANOATE</t>
  </si>
  <si>
    <t>0000136-52-7</t>
  </si>
  <si>
    <t>2-ETHYLHEXANOIC ACID COBALT SALT</t>
  </si>
  <si>
    <t>0000136-53-8</t>
  </si>
  <si>
    <t>ZINC 2-ETHYLHEXOATE</t>
  </si>
  <si>
    <t>0000137-16-6</t>
  </si>
  <si>
    <t>GLYCINE, N-METHYL-N-(1-OXODODECYL)-, SODIUM SALT</t>
  </si>
  <si>
    <t>0000137-20-2</t>
  </si>
  <si>
    <t>N-METHYL-N-OLEOYLTAURINE, SODIUM SALT</t>
  </si>
  <si>
    <t>0000137-66-6</t>
  </si>
  <si>
    <t>ASCORBYL PALMITATE</t>
  </si>
  <si>
    <t>0000139-13-9</t>
  </si>
  <si>
    <t>AMINOTRIETHANOIC ACID</t>
  </si>
  <si>
    <t>0000139-33-3</t>
  </si>
  <si>
    <t>OCTODECANOIC ACID, MONOESTER WITH 1,2,3-PROPANETRIOL (9C1)</t>
  </si>
  <si>
    <t>0000139-88-8</t>
  </si>
  <si>
    <t>4-UNDECANOL, 7-ETHYL-2-METHYL-, HYDROGEN SULFATE, SODIUM SALT</t>
  </si>
  <si>
    <t>0000139-89-9</t>
  </si>
  <si>
    <t>TRISODIUM N-(2-HYDROXYETHYL)ETHYLENEDIAMINETRIACETATE</t>
  </si>
  <si>
    <t>0000139-96-8</t>
  </si>
  <si>
    <t>TRIETHANOLAMINE LAURYL SULFATE</t>
  </si>
  <si>
    <t>0000140-01-2</t>
  </si>
  <si>
    <t>PENTASODIUM DIETHYLENETRIAMINEPENTAACETATE</t>
  </si>
  <si>
    <t>0000140-66-9</t>
  </si>
  <si>
    <t>4-(1,1,3,3-TETRAMETHYLBUTYL)PHENOL</t>
  </si>
  <si>
    <t>0000141-04-8</t>
  </si>
  <si>
    <t>DIISOBUTYL ADIPATE</t>
  </si>
  <si>
    <t>0000141-32-2</t>
  </si>
  <si>
    <t>BUTYL ACRYLATE</t>
  </si>
  <si>
    <t>0000141-43-5</t>
  </si>
  <si>
    <t>ETHANOLAMINE</t>
  </si>
  <si>
    <t>0000141-53-7</t>
  </si>
  <si>
    <t>SODIUM FORMATE</t>
  </si>
  <si>
    <t>0000141-78-6</t>
  </si>
  <si>
    <t>ETHYL ACETATE</t>
  </si>
  <si>
    <t>0000142-47-2</t>
  </si>
  <si>
    <t>GLUTAMIC ACID, SODIUM SALT</t>
  </si>
  <si>
    <t>0000142-62-1</t>
  </si>
  <si>
    <t>HEXANOIC ACID</t>
  </si>
  <si>
    <t>0000142-73-4</t>
  </si>
  <si>
    <t>IMINODIACETIC ACID</t>
  </si>
  <si>
    <t>0000142-77-8</t>
  </si>
  <si>
    <t>9-OCTADECENOIC ACID, BUTYL ESTER (Z)-</t>
  </si>
  <si>
    <t>0000142-78-9</t>
  </si>
  <si>
    <t>N-(2-HYDROXYETHYL)DODECANAMIDE</t>
  </si>
  <si>
    <t>0000142-82-5</t>
  </si>
  <si>
    <t>HEPTANE</t>
  </si>
  <si>
    <t>0000142-91-6</t>
  </si>
  <si>
    <t>ISOPROPYL PALMITATE</t>
  </si>
  <si>
    <t>0000143-18-0</t>
  </si>
  <si>
    <t>9-OCTADECENOIC ACID (9Z)-, POTASSIUM SALT</t>
  </si>
  <si>
    <t>0000143-19-1</t>
  </si>
  <si>
    <t>9-OCTADECENOIC ACID (9Z)-, SODIUM SALT</t>
  </si>
  <si>
    <t>0000143-28-2</t>
  </si>
  <si>
    <t>9-OCTADECEN- 1, -OL, (9Z)-</t>
  </si>
  <si>
    <t>0000144-55-8</t>
  </si>
  <si>
    <t>CARBONIC ACID, MONOSODIUM SALT</t>
  </si>
  <si>
    <t>0000144-62-7</t>
  </si>
  <si>
    <t>OXALIC ACID</t>
  </si>
  <si>
    <t>0000147-14-8</t>
  </si>
  <si>
    <t>COPPER PHTHALOCYANINE BLUE</t>
  </si>
  <si>
    <t>0000149-57-5</t>
  </si>
  <si>
    <t>2-ETHYLHEXANOIC ACID</t>
  </si>
  <si>
    <t>0000150-90-3</t>
  </si>
  <si>
    <t>SUCCINIC ACID, DISODIUM SALT</t>
  </si>
  <si>
    <t>0000151-21-3</t>
  </si>
  <si>
    <t>DODECYL SULFATE, SODIUM SALT</t>
  </si>
  <si>
    <t>0000299-28-5</t>
  </si>
  <si>
    <t>CALCIUM GLUCONATE</t>
  </si>
  <si>
    <t>0000300-92-5</t>
  </si>
  <si>
    <t>ALUMINUM HYDROXIDE DISTEARATE</t>
  </si>
  <si>
    <t>0000301-00-8</t>
  </si>
  <si>
    <t>METHYL LINOLENATE</t>
  </si>
  <si>
    <t>0000312-85-6</t>
  </si>
  <si>
    <t>DL-LACTIC ACID SODIUM CELL CULTURE TESTED</t>
  </si>
  <si>
    <t>0000334-48-5</t>
  </si>
  <si>
    <t>DECANOIC ACID</t>
  </si>
  <si>
    <t>0000366-18-7</t>
  </si>
  <si>
    <t>2,2'-BIPYRIDINE</t>
  </si>
  <si>
    <t>0000431-03-8</t>
  </si>
  <si>
    <t>2,3-BUTANEDIONE</t>
  </si>
  <si>
    <t>0000468-44-0</t>
  </si>
  <si>
    <t>GIBBERELLIN A4</t>
  </si>
  <si>
    <t>0000471-34-1</t>
  </si>
  <si>
    <t>CALCIUM CARBONATE</t>
  </si>
  <si>
    <t>0000482-89-3</t>
  </si>
  <si>
    <t>(DELTA(SUP 2,2')-BIINDOLINE)-3,3'-DIONE</t>
  </si>
  <si>
    <t>0000496-46-8</t>
  </si>
  <si>
    <t>GLYCOLURIL</t>
  </si>
  <si>
    <t>0000497-19-8</t>
  </si>
  <si>
    <t>CARBONIC ACID, DISODIUM SALT</t>
  </si>
  <si>
    <t>0000509-34-2</t>
  </si>
  <si>
    <t>C.I. SOLVENT RED 49</t>
  </si>
  <si>
    <t>0000510-75-8</t>
  </si>
  <si>
    <t>GIBB-3-ENE-1, 10-DICARBOXYLIC ACID, 2,4A-DIHYDROXY-1-METHYL-</t>
  </si>
  <si>
    <t>0</t>
  </si>
  <si>
    <t>8-METHYLENE-, 1,4A-LACTONE,(1ALPHA,2BETA,4AALPHA,4BBE- TA,10BETA)-</t>
  </si>
  <si>
    <t>0000513-86-0</t>
  </si>
  <si>
    <t>ACETOIN</t>
  </si>
  <si>
    <t>0000518-47-8</t>
  </si>
  <si>
    <t>C.I. ACID YELLOW 73</t>
  </si>
  <si>
    <t>0000520-45-6</t>
  </si>
  <si>
    <t>DEHYDROACETIC ACID</t>
  </si>
  <si>
    <t>0000527-07-1</t>
  </si>
  <si>
    <t>GLUCONIC ACID, SODIUM SALT</t>
  </si>
  <si>
    <t>0000532-32-1</t>
  </si>
  <si>
    <t>BENZOIC ACID, SODIUM SALT</t>
  </si>
  <si>
    <t>DAZOMET</t>
  </si>
  <si>
    <t>0000540-10-3</t>
  </si>
  <si>
    <t>CETYL PALMITATE</t>
  </si>
  <si>
    <t>0000541-02-6</t>
  </si>
  <si>
    <t>DECAMETHYLCYCLOPENTASILOXANE</t>
  </si>
  <si>
    <t>0000546-93-0</t>
  </si>
  <si>
    <t>CARBONIC ACID, MAGNESIUM SALT (1:1)</t>
  </si>
  <si>
    <t>0000553-72-0</t>
  </si>
  <si>
    <t>BENZOIC ACID, ZINC SALT</t>
  </si>
  <si>
    <t>0000556-67-2</t>
  </si>
  <si>
    <t>OCTAMETHYLCYCLOTETRASILOXANE</t>
  </si>
  <si>
    <t>0000557-04-0</t>
  </si>
  <si>
    <t>OCTADECANOIC ACID, MAGNESIUM SALT</t>
  </si>
  <si>
    <t>0000557-05-1</t>
  </si>
  <si>
    <t>OCTADECANOIC ACID, ZINC SALT</t>
  </si>
  <si>
    <t>0000577-11-7</t>
  </si>
  <si>
    <t>SODIUM BIS(2-ETHYLHEXYL) SULFOSUCCINATE</t>
  </si>
  <si>
    <t>0000584-08-7</t>
  </si>
  <si>
    <t>CARBONIC ACID, DIPOTASSIUM SALT</t>
  </si>
  <si>
    <t>0000584-84-9</t>
  </si>
  <si>
    <t>TOLUENE 2,4-DIISOCYANATE</t>
  </si>
  <si>
    <t>0000587-98-4</t>
  </si>
  <si>
    <t>C.I. ACID YELLOW 36, MONOSODIUM SALT</t>
  </si>
  <si>
    <t>0000590-00-1</t>
  </si>
  <si>
    <t>POTASSIUM SORBATE</t>
  </si>
  <si>
    <t>0000593-29-3</t>
  </si>
  <si>
    <t>OCTADECANOIC ACID, POTASSIUM SALT</t>
  </si>
  <si>
    <t>0000593-81-7</t>
  </si>
  <si>
    <t>TRIMETHYLAMINE, HYDROCHLORIDE</t>
  </si>
  <si>
    <t>0000603-35-0</t>
  </si>
  <si>
    <t>TRIPHENYL PHOSPHINE</t>
  </si>
  <si>
    <t>0000617-48-1</t>
  </si>
  <si>
    <t>BUTANEDIOIC ACID, HYDROXY-, (+/-)-</t>
  </si>
  <si>
    <t>0000627-83-8</t>
  </si>
  <si>
    <t>ETHYLENE GLYCOL DISTEARATE</t>
  </si>
  <si>
    <t>0000629-11-8</t>
  </si>
  <si>
    <t>1,6-HEXANEDIOL</t>
  </si>
  <si>
    <t>0000629-70-9</t>
  </si>
  <si>
    <t>1-HEXADECANOL ACETATE</t>
  </si>
  <si>
    <t>0000629-96-9</t>
  </si>
  <si>
    <t>1-EICOSANOL</t>
  </si>
  <si>
    <t>0000631-61-8</t>
  </si>
  <si>
    <t>ACETIC ACID, AMMONIUM SALT</t>
  </si>
  <si>
    <t>0000633-03-4</t>
  </si>
  <si>
    <t>AMMONIUM, (4-(P-(DIETHYLAMINO)-ALPHAPHENYLBENZYLIDENE)- 2,5-CYCLOHEXADIEN-1-YLIDENE) DIETHYL-, SULFATE (1:1)</t>
  </si>
  <si>
    <t>0000633-96-5</t>
  </si>
  <si>
    <t>C.I. ACID ORANGE 7, MONOSODIUM SALT</t>
  </si>
  <si>
    <t>0000637-12-7</t>
  </si>
  <si>
    <t>OCTADECANOIC ACID, ALUMINUM SALT</t>
  </si>
  <si>
    <t>0000676-84-6</t>
  </si>
  <si>
    <t>TRIMETHYLSULFONIUM</t>
  </si>
  <si>
    <t>0000770-35-4</t>
  </si>
  <si>
    <t>2-PROPANOL, 1-PHENOXY-</t>
  </si>
  <si>
    <t>0000811-97-2</t>
  </si>
  <si>
    <t>1,1,1,2-TETRAFLUOROETHANE</t>
  </si>
  <si>
    <t>0000822-16-2</t>
  </si>
  <si>
    <t>OCTADECANOIC ACID, SODIUM SALT</t>
  </si>
  <si>
    <t>0000828-00-2</t>
  </si>
  <si>
    <t>6-ACETOXY-2,4-DIMETHYL-M-DIOXANE</t>
  </si>
  <si>
    <t>0000860-22-0</t>
  </si>
  <si>
    <t>FD&amp;C BLUE #2</t>
  </si>
  <si>
    <t>0000872-50-4</t>
  </si>
  <si>
    <t>N-METHYL-2-PYRROLIDINONE</t>
  </si>
  <si>
    <t>0000929-06-6</t>
  </si>
  <si>
    <t>2-(2-AMINOETHOXY)ETHANOL</t>
  </si>
  <si>
    <t>0000989-38-8</t>
  </si>
  <si>
    <t>C.I. BASIC RED 1</t>
  </si>
  <si>
    <t>0001002-89-7</t>
  </si>
  <si>
    <t>OCTADECANOIC ACID, AMMONIUM SALT</t>
  </si>
  <si>
    <t>0001066-33-7</t>
  </si>
  <si>
    <t>CARBONIC ACID, MONOAMMONIUM</t>
  </si>
  <si>
    <t>0001077-56-1</t>
  </si>
  <si>
    <t>N-ETHYL-O-TOLUENESULFONAMIDE</t>
  </si>
  <si>
    <t>0001103-39-5</t>
  </si>
  <si>
    <t>1-NAPHTHALENESULFONIC ACID, 2-((2-HYDROXY-1-NAPHTHALE- NYL)AZO)-, CALCIUM SALT (2:1)</t>
  </si>
  <si>
    <t>0001111-78-0</t>
  </si>
  <si>
    <t>AMMONIUM CARBAMATE</t>
  </si>
  <si>
    <t>0001120-01-0</t>
  </si>
  <si>
    <t>HEXADECYL SULFATE, SODIUM SALT</t>
  </si>
  <si>
    <t>0001120-24-7</t>
  </si>
  <si>
    <t>1-DECANAMINE, N,N-DIMETHYL-</t>
  </si>
  <si>
    <t>0001120-25-8</t>
  </si>
  <si>
    <t>9-HEXADECENOIC ACID, METHYL ESTER, (Z)-</t>
  </si>
  <si>
    <t>0001191-50-0</t>
  </si>
  <si>
    <t>TETRADECYL SULFATE, SODIUM SALT</t>
  </si>
  <si>
    <t>0001300-72-7</t>
  </si>
  <si>
    <t>XYLENESULFONIC ACID, SODIUM SALT</t>
  </si>
  <si>
    <t>0001302-78-9</t>
  </si>
  <si>
    <t>BENTONITE</t>
  </si>
  <si>
    <t>0001302-93-8</t>
  </si>
  <si>
    <t>MULLITE (AL6O5(SIO4)2)</t>
  </si>
  <si>
    <t>BORAX</t>
  </si>
  <si>
    <t>0001305-62-0</t>
  </si>
  <si>
    <t>CALCIUM HYDROXIDE</t>
  </si>
  <si>
    <t>0001305-78-8</t>
  </si>
  <si>
    <t>CALCIUM OXIDE</t>
  </si>
  <si>
    <t>0001306-06-5</t>
  </si>
  <si>
    <t>DURAPATITE</t>
  </si>
  <si>
    <t>0001308-38-9</t>
  </si>
  <si>
    <t>CHROME OXIDE (CR2O3)</t>
  </si>
  <si>
    <t>0001309-37-1</t>
  </si>
  <si>
    <t>IRON OXIDE (FE2O3)</t>
  </si>
  <si>
    <t>0001309-38-2</t>
  </si>
  <si>
    <t>MAGNETITE</t>
  </si>
  <si>
    <t>0001309-48-4</t>
  </si>
  <si>
    <t>MAGNESIUM OXIDE</t>
  </si>
  <si>
    <t>0001310-58-3</t>
  </si>
  <si>
    <t>POTASSIUM HYDROXIDE</t>
  </si>
  <si>
    <t>0001310-65-2</t>
  </si>
  <si>
    <t>LITHIUM HYDROXIDE</t>
  </si>
  <si>
    <t>0001310-66-3</t>
  </si>
  <si>
    <t>LITHIUM HYDRATE</t>
  </si>
  <si>
    <t>0001310-73-2</t>
  </si>
  <si>
    <t>SODIUM HYDROXIDE</t>
  </si>
  <si>
    <t>0001313-59-3</t>
  </si>
  <si>
    <t>SODIUM OXIDE</t>
  </si>
  <si>
    <t>0001314-13-2</t>
  </si>
  <si>
    <t>ZINC OXIDE</t>
  </si>
  <si>
    <t>0001317-33-5</t>
  </si>
  <si>
    <t>MOLYBDENUM DISULFIDE</t>
  </si>
  <si>
    <t>0001317-34-6</t>
  </si>
  <si>
    <t>MANGANESE (III) OXIDE</t>
  </si>
  <si>
    <t>0001317-60-8</t>
  </si>
  <si>
    <t>HEMATITE (FE2O3)</t>
  </si>
  <si>
    <t>0001317-61-9</t>
  </si>
  <si>
    <t>IRON OXIDE (FE3O4)</t>
  </si>
  <si>
    <t>0001317-65-3</t>
  </si>
  <si>
    <t>LIMESTONE (NO ASBESTOS AND LESS THAN 1% CRYSTALLINE SILI-</t>
  </si>
  <si>
    <t>CA)</t>
  </si>
  <si>
    <t>0001317-70-0</t>
  </si>
  <si>
    <t>ANATASE</t>
  </si>
  <si>
    <t>0001317-71-1</t>
  </si>
  <si>
    <t>OLIVINE (NOT INCLUDING FLOUR)</t>
  </si>
  <si>
    <t>OLIVINE FLOUR</t>
  </si>
  <si>
    <t>0001317-80-2</t>
  </si>
  <si>
    <t>RUTILE</t>
  </si>
  <si>
    <t>0001318-00-9</t>
  </si>
  <si>
    <t>VERMICULITE (NO ASBESTOS AND LESS THAN 1% CRYSTALLINE SI-</t>
  </si>
  <si>
    <t>LICA)</t>
  </si>
  <si>
    <t>0001318-02-1</t>
  </si>
  <si>
    <t>ZEOLITES (EXCLUDING ERIONITE (CAS REG. NO. 66733-21-9))</t>
  </si>
  <si>
    <t>0001318-59-8</t>
  </si>
  <si>
    <t>CHLORITE</t>
  </si>
  <si>
    <t>0001318-74-7</t>
  </si>
  <si>
    <t>KAOLINITE</t>
  </si>
  <si>
    <t>0001318-93-0</t>
  </si>
  <si>
    <t>MONTMORILLONITE</t>
  </si>
  <si>
    <t>0001320-67-8</t>
  </si>
  <si>
    <t>1,2-PROPANEDIOL, MONOMETHYL ETHER</t>
  </si>
  <si>
    <t>0001321-69-3</t>
  </si>
  <si>
    <t>NAPHTHALENESULFONIC ACID, SODIUM SALT</t>
  </si>
  <si>
    <t>0001321-94-4</t>
  </si>
  <si>
    <t>METHYLNAPHTHALENE</t>
  </si>
  <si>
    <t>0001322-93-6</t>
  </si>
  <si>
    <t>DIISOPROPYLNAPHTHALENESULFONIC ACID, SODIUM SALT</t>
  </si>
  <si>
    <t>0001327-43-1</t>
  </si>
  <si>
    <t>ALUMINUM MAGNESIUM SILICATE</t>
  </si>
  <si>
    <t>0001328-53-6</t>
  </si>
  <si>
    <t>C.I. PIGMENT GREEN 7</t>
  </si>
  <si>
    <t>0001330-20-7</t>
  </si>
  <si>
    <t>XYLENE</t>
  </si>
  <si>
    <t>0001330-38-7</t>
  </si>
  <si>
    <t>C.I. DIRECT BLUE 86</t>
  </si>
  <si>
    <t>0001330-43-4</t>
  </si>
  <si>
    <t>DISODIUM TETRABORATE</t>
  </si>
  <si>
    <t>0001332-37-2</t>
  </si>
  <si>
    <t>IRON OXIDE</t>
  </si>
  <si>
    <t>0001332-58-7</t>
  </si>
  <si>
    <t>KAOLIN (NO ASBESTOS AND LESS THAN 1% CRYSTALLINE SILICA)</t>
  </si>
  <si>
    <t>0001333-86-4</t>
  </si>
  <si>
    <t>CARBON BLACK</t>
  </si>
  <si>
    <t>0001336-21-6</t>
  </si>
  <si>
    <t>AMMONIUM HYDROXIDE</t>
  </si>
  <si>
    <t>0001338-02-9</t>
  </si>
  <si>
    <t>COPPER NAPHTHENATE</t>
  </si>
  <si>
    <t>0001338-14-3</t>
  </si>
  <si>
    <t>NAPHTHENIC ACIDS, IRON SALTS</t>
  </si>
  <si>
    <t>0001338-41-6</t>
  </si>
  <si>
    <t>SORBITAN MONOSTEARATE</t>
  </si>
  <si>
    <t>0001338-43-8</t>
  </si>
  <si>
    <t>SORBITAN MONOOLEATE</t>
  </si>
  <si>
    <t>0001343-88-0</t>
  </si>
  <si>
    <t>SILICIC ACID, MAGNESIUM SALT</t>
  </si>
  <si>
    <t>0001343-98-2</t>
  </si>
  <si>
    <t>SILICIC ACID</t>
  </si>
  <si>
    <t>0001344-00-9</t>
  </si>
  <si>
    <t>SILICIC ACID, ALUMINUM SODIUM SALT</t>
  </si>
  <si>
    <t>0001344-09-8</t>
  </si>
  <si>
    <t>SILICIC ACID, SODIUM SALT</t>
  </si>
  <si>
    <t>0001344-28-1</t>
  </si>
  <si>
    <t>ALUMINUM OXIDE</t>
  </si>
  <si>
    <t>0001344-95-2</t>
  </si>
  <si>
    <t>CALCIUM SILICATE</t>
  </si>
  <si>
    <t>0001398-61-4</t>
  </si>
  <si>
    <t>CHITIN</t>
  </si>
  <si>
    <t>0001541-81-7</t>
  </si>
  <si>
    <t>MORPHOLINE, 4-DODECYL-</t>
  </si>
  <si>
    <t>0001589-47-5</t>
  </si>
  <si>
    <t>2-METHOXY-1-PROPANOL</t>
  </si>
  <si>
    <t>0001592-23-0</t>
  </si>
  <si>
    <t>OCTADECANOIC ACID, CALCIUM SALT</t>
  </si>
  <si>
    <t>0001639-66-3</t>
  </si>
  <si>
    <t>SODIUM DIOCTYL SULFOSUCCINATE</t>
  </si>
  <si>
    <t>0001643-20-5</t>
  </si>
  <si>
    <t>N,N-DIMETHYLDODECYLAMINE OXIDE</t>
  </si>
  <si>
    <t>0001762-95-4</t>
  </si>
  <si>
    <t>AMMONIUM THIOCYANATE</t>
  </si>
  <si>
    <t>0001843-05-6</t>
  </si>
  <si>
    <t>2-HYDROXY-4-N-OCTYLOXYBENZOPHENONE</t>
  </si>
  <si>
    <t>0001934-21-0</t>
  </si>
  <si>
    <t>C.I. ACID YELLOW 23, TRISODIUM SALT</t>
  </si>
  <si>
    <t>0001948-33-0</t>
  </si>
  <si>
    <t>TERT-BUTYLHYDROQUINONE</t>
  </si>
  <si>
    <t>0002082-79-3</t>
  </si>
  <si>
    <t>OCTADECYL 3-(3',5'-DI-TERT-BUTYL-4'-HYDROXYPHENYL)PROPIONATE</t>
  </si>
  <si>
    <t>0002090-05-3</t>
  </si>
  <si>
    <t>BENZOIC ACID, CALCIUM SALT</t>
  </si>
  <si>
    <t>0002163-42-0</t>
  </si>
  <si>
    <t>2-METHYL-1,3-PROPANEDIOL</t>
  </si>
  <si>
    <t>0002235-54-3</t>
  </si>
  <si>
    <t>DODECYL SULFATE, AMMONIUM SALT</t>
  </si>
  <si>
    <t>0002321-07-5</t>
  </si>
  <si>
    <t>FLUORESCEIN</t>
  </si>
  <si>
    <t>0002353-45-9</t>
  </si>
  <si>
    <t>C.I. FOOD GREEN 3, DISODIUM SALT</t>
  </si>
  <si>
    <t>0002373-38-8</t>
  </si>
  <si>
    <t>BUTANEDIOIC ACID, SULFO-, 1,4-BIS(1,3-DIMETHYLBUTYL) ESTER, SO-</t>
  </si>
  <si>
    <t>DIUM SALT</t>
  </si>
  <si>
    <t>0002425-85-6</t>
  </si>
  <si>
    <t>C.I. PIGMENT RED 3</t>
  </si>
  <si>
    <t>0002440-22-4</t>
  </si>
  <si>
    <t>2-(2H-BENZOTRIAZOL-2-YL)-4-METHYLPHENOL</t>
  </si>
  <si>
    <t>0002457-01-4</t>
  </si>
  <si>
    <t>BARIUM 2-ETHYLHEXANOATE</t>
  </si>
  <si>
    <t>0002605-78-9</t>
  </si>
  <si>
    <t>N,N-DIMETHYLOCTYLAMINE N-OXIDE</t>
  </si>
  <si>
    <t>0002624-31-9</t>
  </si>
  <si>
    <t>POTASSIUM PALMITATE</t>
  </si>
  <si>
    <t>0002634-33-5</t>
  </si>
  <si>
    <t>1,2-BENZISOTHIAZOLIN-3-ONE</t>
  </si>
  <si>
    <t>0002650-18-2</t>
  </si>
  <si>
    <t>C.I. ACID BLUE 9, DIAMMONIUM SALT</t>
  </si>
  <si>
    <t>0002682-20-4</t>
  </si>
  <si>
    <t>2-METHYL-4-ISOTHIAZOLIN-3-ONE</t>
  </si>
  <si>
    <t>0002706-28-7</t>
  </si>
  <si>
    <t>BENZENESULFONIC ACID, 2-AMINO-5-((4-SULFOPHENYL)AZO)-, DISO-</t>
  </si>
  <si>
    <t>0002772-45-4</t>
  </si>
  <si>
    <t>PHENOL, 2,4-BIS(1-METHYL-1-PHENYLETHYL)-</t>
  </si>
  <si>
    <t>0002783-94-0</t>
  </si>
  <si>
    <t>C.I. FOOD YELLOW 3</t>
  </si>
  <si>
    <t>0002809-21-4</t>
  </si>
  <si>
    <t>1-HYDROXYETHYLIDENE-1,1-DIPHOSPHONIC ACID</t>
  </si>
  <si>
    <t>0002836-32-0</t>
  </si>
  <si>
    <t>GLYCOLIC ACID, SODIUM SALT</t>
  </si>
  <si>
    <t>0002917-94-4</t>
  </si>
  <si>
    <t>ETHANESULFONIC ACID, 2-[2-[2-[4-(1,1,3,3-TETRAMETHYLBUTYL)PHE-</t>
  </si>
  <si>
    <t>NOXY]ETHOXY]ETHOXY]-, SODIUM SA</t>
  </si>
  <si>
    <t>0002953-50-6</t>
  </si>
  <si>
    <t>1,3,3-TRICHLOROPROPENES</t>
  </si>
  <si>
    <t>0002991-51-7</t>
  </si>
  <si>
    <t>GLYCINE, N-ETHYL-N-((HEPTADECAFLUOROOCTYL)SULFONYL)-, PO-</t>
  </si>
  <si>
    <t>TASSIUM SALT</t>
  </si>
  <si>
    <t>0003068-39-1</t>
  </si>
  <si>
    <t>XANTHYLIUM, 3,6-BIS(ETHYLAMINO)-9-[2-(METHOXYCARBONYL)PHE-</t>
  </si>
  <si>
    <t>NYL]-2,7-DIMETHYL-, CHLORIDE</t>
  </si>
  <si>
    <t>0003088-31-1</t>
  </si>
  <si>
    <t>2-(2-DODECYLOXYETHOXY)ETHYL SODIUM SULFATE</t>
  </si>
  <si>
    <t>0003147-75-9</t>
  </si>
  <si>
    <t>2-(2-HYDROXY-5-TERT-OCTYLPHENYL)BENZOTRIAZOLE</t>
  </si>
  <si>
    <t>0003164-85-0</t>
  </si>
  <si>
    <t>POTASSIUM 2-ETHYLHEXANOATE</t>
  </si>
  <si>
    <t>0003251-23-8</t>
  </si>
  <si>
    <t>COPPER (II) NITRATE</t>
  </si>
  <si>
    <t>0003332-27-2</t>
  </si>
  <si>
    <t>N,N-DIMETHYLTETRADECYLAMINE N-OXIDE</t>
  </si>
  <si>
    <t>0003414-89-9</t>
  </si>
  <si>
    <t>POTASSIUM LINOLEATE</t>
  </si>
  <si>
    <t>0003486-30-4</t>
  </si>
  <si>
    <t>C.I. ACID BLUE 7, SODIUM SALT</t>
  </si>
  <si>
    <t>0003564-21-4</t>
  </si>
  <si>
    <t>C.I. PIGMENT RED NO. 48, DISODIUM SALT</t>
  </si>
  <si>
    <t>0003567-66-6</t>
  </si>
  <si>
    <t>C.I. ACID RED 33, DISODIUM SALT</t>
  </si>
  <si>
    <t>0003567-69-9</t>
  </si>
  <si>
    <t>C.I. ACID RED 14, DISODIUM SALT</t>
  </si>
  <si>
    <t>0003734-33-6</t>
  </si>
  <si>
    <t>DENATONIUM BENZOATE</t>
  </si>
  <si>
    <t>0003811-04-9</t>
  </si>
  <si>
    <t>POTASSIUM CHLORATE</t>
  </si>
  <si>
    <t>0003844-45-9</t>
  </si>
  <si>
    <t>C.I. ACID BLUE 9, DISODIUM SALT</t>
  </si>
  <si>
    <t>0003896-11-5</t>
  </si>
  <si>
    <t>2-(2-HYDROXY-3-TERT-BUTYL-5-METHYLPHENYL)-5-CHLORO-2H-BEN-</t>
  </si>
  <si>
    <t>ZOTRIAZOLE</t>
  </si>
  <si>
    <t>0003910-35-8</t>
  </si>
  <si>
    <t>1H-INDENE, 2,3-DIHYDRO-1,1,3-TRIMETHYL-3-PHENYL-</t>
  </si>
  <si>
    <t>0004067-16-7</t>
  </si>
  <si>
    <t>PENTAETHYLENEHEXAMINE</t>
  </si>
  <si>
    <t>0004075-81-4</t>
  </si>
  <si>
    <t>CALCIUM PROPIONATE</t>
  </si>
  <si>
    <t>0004080-31-3</t>
  </si>
  <si>
    <t>1-(3-CHLOROALLYL)-3,5,7-TRIAZA-1-AZONIAADAMANTANE CHLORIDE</t>
  </si>
  <si>
    <t>0004247-02-3</t>
  </si>
  <si>
    <t>ISOBUTYL PARABEN</t>
  </si>
  <si>
    <t>0004395-65-7</t>
  </si>
  <si>
    <t>C.I. SOLVENT BLUE 68</t>
  </si>
  <si>
    <t>0004430-18-6</t>
  </si>
  <si>
    <t>C.I. ACID VIOLET 43</t>
  </si>
  <si>
    <t>0004474-24-2</t>
  </si>
  <si>
    <t>C.I. ACID BLUE 80</t>
  </si>
  <si>
    <t>0004980-54-5</t>
  </si>
  <si>
    <t>BENZOIC ACID, 4-(1,1-DIMETHYLETHYL)-, ZINC SALT</t>
  </si>
  <si>
    <t>0005064-31-3</t>
  </si>
  <si>
    <t>TRISODIUM NITRILOTRIACETATE</t>
  </si>
  <si>
    <t>0005131-66-8</t>
  </si>
  <si>
    <t>1-BUTOXY-2-PROPANOL</t>
  </si>
  <si>
    <t>0005281-04-9</t>
  </si>
  <si>
    <t>C.I. PIGMENT RED 57:1</t>
  </si>
  <si>
    <t>0005329-14-6</t>
  </si>
  <si>
    <t>SULFAMIC ACID</t>
  </si>
  <si>
    <t>0005333-42-6</t>
  </si>
  <si>
    <t>2-OCTYLDODECANOL</t>
  </si>
  <si>
    <t>0005873-54-1</t>
  </si>
  <si>
    <t>2,4'-DIISOCYANATODIPHENYLMETHANE</t>
  </si>
  <si>
    <t>0005892-47-7</t>
  </si>
  <si>
    <t>2,4,6-TRIS(1-METHYLPROPYL)PHENOL</t>
  </si>
  <si>
    <t>0005949-29-1</t>
  </si>
  <si>
    <t>CITRIC ACID, MONOHYDRATE</t>
  </si>
  <si>
    <t>0005989-27-5</t>
  </si>
  <si>
    <t>D-LIMONENE</t>
  </si>
  <si>
    <t>0005989-81-1</t>
  </si>
  <si>
    <t>ALPHA-D-LACTOSE MONOHYDRATE</t>
  </si>
  <si>
    <t>0006000-44-8</t>
  </si>
  <si>
    <t>GLYCINE, SODIUM SALT</t>
  </si>
  <si>
    <t>0006131-90-4</t>
  </si>
  <si>
    <t>SODIUM ACETATE</t>
  </si>
  <si>
    <t>0006132-04-3</t>
  </si>
  <si>
    <t>CITRIC ACID, TRISODIUM SALT, DIHYDRATE</t>
  </si>
  <si>
    <t>0006247-34-3</t>
  </si>
  <si>
    <t>2-ANTHRACENESULFONIC ACID, 4-[[4-(ACETYLAMINO)PHENYL]AMI-</t>
  </si>
  <si>
    <t>NO]-1-AMINO-9,10-DIHYDRO-9,10-DIOXO-</t>
  </si>
  <si>
    <t>0006258-73-7</t>
  </si>
  <si>
    <t>BENZENE,1,1'-(1,3,3-TRIMETHYL-1-PROPENE-1,3-DIYL)BIS-</t>
  </si>
  <si>
    <t>0006303-21-5</t>
  </si>
  <si>
    <t>HYPOPHOSPHORUS ACID</t>
  </si>
  <si>
    <t>0006317-18-6</t>
  </si>
  <si>
    <t>METHYLENE BIS(THIOCYANATE)</t>
  </si>
  <si>
    <t>0006320-14-5</t>
  </si>
  <si>
    <t>3H-INDOLIUM, 1,3,3-TRIMETHYL-2-(3-(1,3,3-TRIMETHYL-2-INDOLINYLI-</t>
  </si>
  <si>
    <t>DENE)PROPENYL)-, CHLORIDE</t>
  </si>
  <si>
    <t>0006358-37-8</t>
  </si>
  <si>
    <t>BUTANAMIDE, 2,2'-[(3,3'-DICHLORO[1,1'-BIPHENYL]-4,4'-</t>
  </si>
  <si>
    <t>DIYL)BIS(AZO)]BIS[N-(4-METHYLPHENYL)-3-OXO-</t>
  </si>
  <si>
    <t>0006362-80-7</t>
  </si>
  <si>
    <t>BENZENE, 1,1'-(1,1-DIMETHYL-3-METHYLENE-1,3-PROPANEDIYL)BIS-</t>
  </si>
  <si>
    <t>0006381-92-6</t>
  </si>
  <si>
    <t>ETHYLENEDIAMINETETRAACETIC ACID, DISODIUM SALT, DIHYDRATE</t>
  </si>
  <si>
    <t>0006408-78-2</t>
  </si>
  <si>
    <t>C.I. ACID BLUE 25</t>
  </si>
  <si>
    <t>0006408-80-6</t>
  </si>
  <si>
    <t>C.I. ACID BLUE 145</t>
  </si>
  <si>
    <t>0006417-83-0</t>
  </si>
  <si>
    <t>2-NAPHTHALENECARBOXYLIC ACID, 3-HYDROXY-4-[(1-SULFO-2-NAPH-</t>
  </si>
  <si>
    <t>THALENYL)AZO]-, CALCIUM SALT (1:1)</t>
  </si>
  <si>
    <t>0006440-58-0</t>
  </si>
  <si>
    <t>1,3-DIMETHYLOL-5,5-DIMETHYLHYDANTOIN</t>
  </si>
  <si>
    <t>0006484-52-2</t>
  </si>
  <si>
    <t>AMMONIUM NITRATE</t>
  </si>
  <si>
    <t>0006535-46-2</t>
  </si>
  <si>
    <t>2-NAPHTHALENECARBOXAMIDE, 3-HYDROXY-N-(2-METHYLPHENYL)-</t>
  </si>
  <si>
    <t>4-[(2,4,5-TRICHLOROPHENYL)AZO]-</t>
  </si>
  <si>
    <t>0006683-19-8</t>
  </si>
  <si>
    <t>BENZENEPROPANOIC ACID, 3,5-BIS(1,1-DIMETHYLETHYL)-4-HYDROXY-</t>
  </si>
  <si>
    <t>, 2,2-BIS[[3-[3,5-BIS(1,1-DIMETHYLETHYL)-4-HYDROXYPHENYL]-1-OXO-</t>
  </si>
  <si>
    <t>PROPOXY]METHYL]-1,3-PROPANEDIYL ESTER</t>
  </si>
  <si>
    <t>0006834-92-0</t>
  </si>
  <si>
    <t>SILICIC ACID (H2SIO3), DISODIUM SALT</t>
  </si>
  <si>
    <t>0006938-94-9</t>
  </si>
  <si>
    <t>DIISOPROPYL ADIPATE</t>
  </si>
  <si>
    <t>0007023-61-2</t>
  </si>
  <si>
    <t>C.I. PIGMENT RED 48, CALCIUM SALT</t>
  </si>
  <si>
    <t>0007235-40-7</t>
  </si>
  <si>
    <t>BETA CAROTENE</t>
  </si>
  <si>
    <t>0007320-34-5</t>
  </si>
  <si>
    <t>TETRAPOTASSIUM PYROPHOSPHATE</t>
  </si>
  <si>
    <t>0007376-31-0</t>
  </si>
  <si>
    <t>ETHANOL, 2,2',2''-NITRILOTRIS-, SULFATE (SALT)</t>
  </si>
  <si>
    <t>0007378-99-6</t>
  </si>
  <si>
    <t>1-OCTANAMINE, N,N-DIMETHYL-</t>
  </si>
  <si>
    <t>0007398-69-8</t>
  </si>
  <si>
    <t>2-PROPEN-1-AMINIUM, N,N-DIMETHYL-N-2-PROPENYL-, CHLORIDE</t>
  </si>
  <si>
    <t>0007429-90-5</t>
  </si>
  <si>
    <t>ALUMINUM (METAL)</t>
  </si>
  <si>
    <t>0007439-96-5</t>
  </si>
  <si>
    <t>MANGANESE</t>
  </si>
  <si>
    <t>0007440-21-3</t>
  </si>
  <si>
    <t>SILICON</t>
  </si>
  <si>
    <t>0007440-44-0</t>
  </si>
  <si>
    <t>CARBON</t>
  </si>
  <si>
    <t>0007443-25-6</t>
  </si>
  <si>
    <t>PROPANEDIOIC ACID, {(4-METHOXYPHENYL)METHYLENE}-,DIMETHYL</t>
  </si>
  <si>
    <t>ESTER</t>
  </si>
  <si>
    <t>0007446-09-5</t>
  </si>
  <si>
    <t>SULFUR DIOXIDE</t>
  </si>
  <si>
    <t>0007447-40-7</t>
  </si>
  <si>
    <t>POTASSIUM CHLORIDE</t>
  </si>
  <si>
    <t>0007487-88-9</t>
  </si>
  <si>
    <t>SULFURIC ACID, MAGNESIUM SALT (1:1)</t>
  </si>
  <si>
    <t>0007492-70-8</t>
  </si>
  <si>
    <t>BUTYRIC ACID, ESTER WITH BUTYL LACTATE</t>
  </si>
  <si>
    <t>0007558-79-4</t>
  </si>
  <si>
    <t>DISODIUM PHOSPHATE</t>
  </si>
  <si>
    <t>0007558-80-7</t>
  </si>
  <si>
    <t>SODIUM DIHYDROGEN PHOSPHATE</t>
  </si>
  <si>
    <t>0007578-43-0</t>
  </si>
  <si>
    <t>N,N-BIS(2-(BIS(CARBOXYMETHYL)AMINO)ETHYL)GLYCINE, SODIUM</t>
  </si>
  <si>
    <t>SALT</t>
  </si>
  <si>
    <t>0007601-54-9</t>
  </si>
  <si>
    <t>TRISODIUM PHOSPHATE</t>
  </si>
  <si>
    <t>0007631-90-5</t>
  </si>
  <si>
    <t>SODIUM BISULFITE</t>
  </si>
  <si>
    <t>0007631-99-4</t>
  </si>
  <si>
    <t>SODIUM NITRATE</t>
  </si>
  <si>
    <t>0007632-00-0</t>
  </si>
  <si>
    <t>SODIUM NITRITE</t>
  </si>
  <si>
    <t>0007646-93-7</t>
  </si>
  <si>
    <t>POTASSIUM BISULFATE</t>
  </si>
  <si>
    <t>0007647-01-0</t>
  </si>
  <si>
    <t>HYDROGEN CHLORIDE</t>
  </si>
  <si>
    <t>0007647-14-5</t>
  </si>
  <si>
    <t>SODIUM CHLORIDE</t>
  </si>
  <si>
    <t>0007664-38-2</t>
  </si>
  <si>
    <t>PHOSPHORIC ACID</t>
  </si>
  <si>
    <t>0007664-41-7</t>
  </si>
  <si>
    <t>AMMONIA</t>
  </si>
  <si>
    <t>0007664-93-9</t>
  </si>
  <si>
    <t>SULFURIC ACID</t>
  </si>
  <si>
    <t>0007681-38-1</t>
  </si>
  <si>
    <t>SODIUM BISULFATE</t>
  </si>
  <si>
    <t>0007681-57-4</t>
  </si>
  <si>
    <t>DISULFUROUS ACID, DISODIUM SALT</t>
  </si>
  <si>
    <t>0007695-91-2</t>
  </si>
  <si>
    <t>DL-ALPHA-TOCOPHEROL ACETATE</t>
  </si>
  <si>
    <t>0007697-37-2</t>
  </si>
  <si>
    <t>NITRIC ACID</t>
  </si>
  <si>
    <t>SULFUR</t>
  </si>
  <si>
    <t>0007705-08-0</t>
  </si>
  <si>
    <t>FERRIC CHLORIDE</t>
  </si>
  <si>
    <t>0007722-76-1</t>
  </si>
  <si>
    <t>AMMONIUM PHOSPHATE (MONOBASIC)</t>
  </si>
  <si>
    <t>HYDROGEN PEROXIDE</t>
  </si>
  <si>
    <t>0007722-88-5</t>
  </si>
  <si>
    <t>DIPHOSPHORIC ACID, TETRASODIUM SALT</t>
  </si>
  <si>
    <t>0007727-37-9</t>
  </si>
  <si>
    <t>NITROGEN</t>
  </si>
  <si>
    <t>0007727-43-7</t>
  </si>
  <si>
    <t>BARIUM SULFATE (1:1)</t>
  </si>
  <si>
    <t>0007732-18-5</t>
  </si>
  <si>
    <t>WATER</t>
  </si>
  <si>
    <t>0007733-02-0</t>
  </si>
  <si>
    <t>ZINC SULFATE (1:1)</t>
  </si>
  <si>
    <t>0007757-79-1</t>
  </si>
  <si>
    <t>POTASSIUM NITRATE</t>
  </si>
  <si>
    <t>0007757-82-6</t>
  </si>
  <si>
    <t>SULFURIC ACID, DISODIUM SALT</t>
  </si>
  <si>
    <t>0007757-83-7</t>
  </si>
  <si>
    <t>SODIUM SULFITE</t>
  </si>
  <si>
    <t>0007758-05-6</t>
  </si>
  <si>
    <t>IODIC ACID (HIO3), POTASSIUM SALT</t>
  </si>
  <si>
    <t>0007758-16-9</t>
  </si>
  <si>
    <t>SODIUM ACID PYROPHOSPHATE</t>
  </si>
  <si>
    <t>0007758-29-4</t>
  </si>
  <si>
    <t>SODIUM TRIPOLYPHOSPHATE</t>
  </si>
  <si>
    <t>0007758-87-4</t>
  </si>
  <si>
    <t>TRICALCIUM PHOSPHATE</t>
  </si>
  <si>
    <t>0007772-99-8</t>
  </si>
  <si>
    <t>STANNOUS CHLORIDE</t>
  </si>
  <si>
    <t>0007775-09-9</t>
  </si>
  <si>
    <t>SODIUM CHLORATE</t>
  </si>
  <si>
    <t>0007775-14-6</t>
  </si>
  <si>
    <t>SODIUM DITHIONITE</t>
  </si>
  <si>
    <t>0007775-27-1</t>
  </si>
  <si>
    <t>PEROXYDISULFURIC ACID, DISODIUM SALT</t>
  </si>
  <si>
    <t>0007778-18-9</t>
  </si>
  <si>
    <t>SULFURIC ACID, CALCIUM SALT (1:1)</t>
  </si>
  <si>
    <t>0007778-50-9</t>
  </si>
  <si>
    <t>POTASSIUM DICHROMATE</t>
  </si>
  <si>
    <t>0007778-54-3</t>
  </si>
  <si>
    <t>CALCIUM HYPOCHLORITE</t>
  </si>
  <si>
    <t>0007778-77-0</t>
  </si>
  <si>
    <t>POTASSIUM PHOSPHATE, MONOBASIC</t>
  </si>
  <si>
    <t>0007778-80-5</t>
  </si>
  <si>
    <t>SULFURIC ACID, DIPOTASSIUM SALT</t>
  </si>
  <si>
    <t>0007782-42-5</t>
  </si>
  <si>
    <t>GRAPHITE</t>
  </si>
  <si>
    <t>0007783-20-2</t>
  </si>
  <si>
    <t>AMMONIUM SULFATE</t>
  </si>
  <si>
    <t>0007786-30-3</t>
  </si>
  <si>
    <t>MAGNESIUM CHLORIDE</t>
  </si>
  <si>
    <t>0007789-38-0</t>
  </si>
  <si>
    <t>SODIUM BROMATE</t>
  </si>
  <si>
    <t>0007791-18-6</t>
  </si>
  <si>
    <t>MAGNESIUM CHLORIDE HEXAHYDRATE</t>
  </si>
  <si>
    <t>0008000-25-7</t>
  </si>
  <si>
    <t>OILS, ROSEMARY</t>
  </si>
  <si>
    <t>0008000-27-9</t>
  </si>
  <si>
    <t>OIL OF CEDARWOOD</t>
  </si>
  <si>
    <t>0008000-29-1</t>
  </si>
  <si>
    <t>OIL OF CITRONELLA (CYMBOPOGON NARDUS)</t>
  </si>
  <si>
    <t>0008000-46-2</t>
  </si>
  <si>
    <t>OILS, GERANIUM</t>
  </si>
  <si>
    <t>0008000-48-4</t>
  </si>
  <si>
    <t>EUCALYPTUS OIL</t>
  </si>
  <si>
    <t>0008001-21-6</t>
  </si>
  <si>
    <t>SUNFLOWER SEED OIL</t>
  </si>
  <si>
    <t>0008001-22-7</t>
  </si>
  <si>
    <t>SOYBEAN OIL</t>
  </si>
  <si>
    <t>0008001-25-0</t>
  </si>
  <si>
    <t>OLIVE OIL</t>
  </si>
  <si>
    <t>0008001-26-1</t>
  </si>
  <si>
    <t>LINSEED OIL (UNBOILED)</t>
  </si>
  <si>
    <t>LINSEED OIL (BOILED OR DOUBLE BOILED)</t>
  </si>
  <si>
    <t>0008001-29-4</t>
  </si>
  <si>
    <t>COTTONSEED OIL</t>
  </si>
  <si>
    <t>0008001-30-7</t>
  </si>
  <si>
    <t>CORN OIL</t>
  </si>
  <si>
    <t>0008001-31-8</t>
  </si>
  <si>
    <t>COCONUT OIL</t>
  </si>
  <si>
    <t>0008001-78-3</t>
  </si>
  <si>
    <t>CASTOR OIL, HYDROGENATED</t>
  </si>
  <si>
    <t>0008001-79-4</t>
  </si>
  <si>
    <t>CASTOR OIL</t>
  </si>
  <si>
    <t>0008001-97-6</t>
  </si>
  <si>
    <t>ALOE VERA GEL</t>
  </si>
  <si>
    <t>0008002-03-7</t>
  </si>
  <si>
    <t>PEANUT OIL</t>
  </si>
  <si>
    <t>0008002-05-9</t>
  </si>
  <si>
    <t>PETROLEUM CRUDE</t>
  </si>
  <si>
    <t>0008002-09-3</t>
  </si>
  <si>
    <t>PINE OIL</t>
  </si>
  <si>
    <t>0008002-33-3</t>
  </si>
  <si>
    <t>SULFATED CASTOR OIL</t>
  </si>
  <si>
    <t>0008002-43-5</t>
  </si>
  <si>
    <t>LECITHINS, SOYA</t>
  </si>
  <si>
    <t>0008002-74-2</t>
  </si>
  <si>
    <t>PARAFFIN WAX</t>
  </si>
  <si>
    <t>0008002-75-3</t>
  </si>
  <si>
    <t>PALM OIL</t>
  </si>
  <si>
    <t>0008003-22-3</t>
  </si>
  <si>
    <t>C.I. SOLVENT YELLOW 33</t>
  </si>
  <si>
    <t>0008004-87-3</t>
  </si>
  <si>
    <t>C.I. BASIC VIOLET 1</t>
  </si>
  <si>
    <t>0008004-92-0</t>
  </si>
  <si>
    <t>C.I. ACID YELLOW 3</t>
  </si>
  <si>
    <t>0008006-90-4</t>
  </si>
  <si>
    <t>PEPPERMINT OIL</t>
  </si>
  <si>
    <t>0008007-02-1</t>
  </si>
  <si>
    <t>OIL OF LEMONGRASS</t>
  </si>
  <si>
    <t>0008007-20-3</t>
  </si>
  <si>
    <t>CEDARLEAF OIL</t>
  </si>
  <si>
    <t>0008007-24-7</t>
  </si>
  <si>
    <t>CASHEW, NUTSHELL LIQUID</t>
  </si>
  <si>
    <t>0008007-44-1</t>
  </si>
  <si>
    <t>PENNYROYAL OIL</t>
  </si>
  <si>
    <t>0008007-69-0</t>
  </si>
  <si>
    <t>ALMOND OIL</t>
  </si>
  <si>
    <t>0008007-70-3</t>
  </si>
  <si>
    <t>OIL OF ANISE</t>
  </si>
  <si>
    <t>0008008-20-6</t>
  </si>
  <si>
    <t>KEROSENE (DEODORIZED)</t>
  </si>
  <si>
    <t>0008008-51-3</t>
  </si>
  <si>
    <t>OIL OF CAMPHOR</t>
  </si>
  <si>
    <t>0008009-03-8</t>
  </si>
  <si>
    <t>PETROLATUM</t>
  </si>
  <si>
    <t>0008012-89-3</t>
  </si>
  <si>
    <t>BEESWAX</t>
  </si>
  <si>
    <t>PARAFFIN OILS</t>
  </si>
  <si>
    <t>0008013-01-2</t>
  </si>
  <si>
    <t>YEAST EXTRACT</t>
  </si>
  <si>
    <t>0008013-07-8</t>
  </si>
  <si>
    <t>EPOXIDIZED SOYBEAN OIL</t>
  </si>
  <si>
    <t>0008013-17-0</t>
  </si>
  <si>
    <t>INVERT SUGAR</t>
  </si>
  <si>
    <t>0008015-86-9</t>
  </si>
  <si>
    <t>CARNAUBA WAX</t>
  </si>
  <si>
    <t>0008016-11-3</t>
  </si>
  <si>
    <t>EPOXIDIZED LINSEED OIL</t>
  </si>
  <si>
    <t>0008016-13-5</t>
  </si>
  <si>
    <t>FISH OIL</t>
  </si>
  <si>
    <t>0008016-20-4</t>
  </si>
  <si>
    <t>OILS, GRAPEFRUIT</t>
  </si>
  <si>
    <t>0008016-70-4</t>
  </si>
  <si>
    <t>HYDROGENATED SOYBEAN OIL</t>
  </si>
  <si>
    <t>0008020-83-5</t>
  </si>
  <si>
    <t>HYDROCARBON OILS</t>
  </si>
  <si>
    <t>0008024-06-4</t>
  </si>
  <si>
    <t>OILS, VANILLA</t>
  </si>
  <si>
    <t>0008027-33-6</t>
  </si>
  <si>
    <t>ALCOHOLS, LANOLIN</t>
  </si>
  <si>
    <t>0008028-66-8</t>
  </si>
  <si>
    <t>HONEY</t>
  </si>
  <si>
    <t>0008028-89-5</t>
  </si>
  <si>
    <t>CARAMEL</t>
  </si>
  <si>
    <t>0008029-43-4</t>
  </si>
  <si>
    <t>CORN SYRUP</t>
  </si>
  <si>
    <t>0008029-76-3</t>
  </si>
  <si>
    <t>HYDROXYLATED LECITHIN</t>
  </si>
  <si>
    <t>0008030-76-0</t>
  </si>
  <si>
    <t>0008031-18-3</t>
  </si>
  <si>
    <t>FULLER'S EARTH</t>
  </si>
  <si>
    <t>0008042-47-5</t>
  </si>
  <si>
    <t>WHITE MINERAL OIL (PETROLEUM)</t>
  </si>
  <si>
    <t>0008047-99-2</t>
  </si>
  <si>
    <t>N-ETHYLTOLUENESULFONAMIDE</t>
  </si>
  <si>
    <t>0008050-09-7</t>
  </si>
  <si>
    <t>ROSIN</t>
  </si>
  <si>
    <t>0008050-15-5</t>
  </si>
  <si>
    <t>RESIN ACIDS AND ROSIN ACIDS, HYDROGENATED, ME ESTERS</t>
  </si>
  <si>
    <t>0008050-81-5</t>
  </si>
  <si>
    <t>SIMETHICONE</t>
  </si>
  <si>
    <t>0008051-30-7</t>
  </si>
  <si>
    <t>COCONUT OIL, REACTION PRODUCTS WITH DIETHANOLAMINE</t>
  </si>
  <si>
    <t>0008052-10-6</t>
  </si>
  <si>
    <t>TALL OIL ROSIN</t>
  </si>
  <si>
    <t>0008052-35-5</t>
  </si>
  <si>
    <t>MOLASSES, BLACKSTRAP</t>
  </si>
  <si>
    <t>0008052-41-3</t>
  </si>
  <si>
    <t>STODDARD SOLVENT</t>
  </si>
  <si>
    <t>0008052-42-4</t>
  </si>
  <si>
    <t>ASPHALT</t>
  </si>
  <si>
    <t>0008052-48-0</t>
  </si>
  <si>
    <t>SODIUM TALLOW SOAP</t>
  </si>
  <si>
    <t>0008061-51-6</t>
  </si>
  <si>
    <t>LIGNOSULFONIC ACID, SODIUM SALT</t>
  </si>
  <si>
    <t>0008061-52-7</t>
  </si>
  <si>
    <t>LIGNOSULFONIC ACID, CALCIUM SALT</t>
  </si>
  <si>
    <t>0008061-53-8</t>
  </si>
  <si>
    <t>LIGNOSULFONIC ACID, AMMONIUM SALT</t>
  </si>
  <si>
    <t>0008061-54-9</t>
  </si>
  <si>
    <t>LIGNOSULFONIC ACID, MAGNESIUM SALT</t>
  </si>
  <si>
    <t>0008068-05-1</t>
  </si>
  <si>
    <t>LIGNIN, ALKALI</t>
  </si>
  <si>
    <t>0009000-01-5</t>
  </si>
  <si>
    <t>GUM ARABIC</t>
  </si>
  <si>
    <t>0009000-07-1</t>
  </si>
  <si>
    <t>CARRAGEENAN</t>
  </si>
  <si>
    <t>0009000-30-0</t>
  </si>
  <si>
    <t>GUAR GUM</t>
  </si>
  <si>
    <t>0009000-40-2</t>
  </si>
  <si>
    <t>CAROB GUM</t>
  </si>
  <si>
    <t>0009000-69-5</t>
  </si>
  <si>
    <t>PECTIN</t>
  </si>
  <si>
    <t>0009000-70-8</t>
  </si>
  <si>
    <t>GELATIN</t>
  </si>
  <si>
    <t>0009002-84-0</t>
  </si>
  <si>
    <t>POLYTETRAFLUOROETHYLENE</t>
  </si>
  <si>
    <t>0009002-86-2</t>
  </si>
  <si>
    <t>POLYVINYL CHLORIDE RESIN</t>
  </si>
  <si>
    <t>0009002-88-4</t>
  </si>
  <si>
    <t>POLYETHYLENE</t>
  </si>
  <si>
    <t>0009002-89-5</t>
  </si>
  <si>
    <t>POLYVINYL ALCOHOL</t>
  </si>
  <si>
    <t>0009002-92-0</t>
  </si>
  <si>
    <t>POLYOXYETHYLENE DODECYL MONO ETHER</t>
  </si>
  <si>
    <t>0009002-93-1</t>
  </si>
  <si>
    <t>POLYOXYETHYLENE 4-(1,1,3,3-TETRAMETHYLBUTYL)PHENYL ETHER</t>
  </si>
  <si>
    <t>0009003-01-4</t>
  </si>
  <si>
    <t>ACRYLIC ACID POLYMER</t>
  </si>
  <si>
    <t>0009003-04-7</t>
  </si>
  <si>
    <t>ACRYLIC ACID POLYMER, SODIUM SALT</t>
  </si>
  <si>
    <t>0009003-07-0</t>
  </si>
  <si>
    <t>POLYPROPYLENE</t>
  </si>
  <si>
    <t>0009003-09-2</t>
  </si>
  <si>
    <t>ETHENE, METHOXY-, HOMOPOLYMER</t>
  </si>
  <si>
    <t>0009003-11-6</t>
  </si>
  <si>
    <t>POLYOXYETHYLENE-POLYOXYPROPYLENE COPOLYMER</t>
  </si>
  <si>
    <t>0009003-13-8</t>
  </si>
  <si>
    <t>BUTOXYPROPYLENE GLYCOL</t>
  </si>
  <si>
    <t>0009003-18-3</t>
  </si>
  <si>
    <t>2-PROPENENITRILE, POLYMER WITH 1,3-BUTADIENE</t>
  </si>
  <si>
    <t>0009003-22-9</t>
  </si>
  <si>
    <t>VINYL CHLORIDE-VINYL ACETATE COPOLYMER</t>
  </si>
  <si>
    <t>0009003-29-6</t>
  </si>
  <si>
    <t>POLYBUTYLENE</t>
  </si>
  <si>
    <t>0009003-39-8</t>
  </si>
  <si>
    <t>POLYVINYLPYRROLIDONE</t>
  </si>
  <si>
    <t>0009003-53-6</t>
  </si>
  <si>
    <t>POLYSTYRENE RESIN</t>
  </si>
  <si>
    <t>0009004-32-4</t>
  </si>
  <si>
    <t>CELLULOSE CARBOXYMETHYL ETHER, SODIUM SALT</t>
  </si>
  <si>
    <t>0009004-34-6</t>
  </si>
  <si>
    <t>CELLULOSE</t>
  </si>
  <si>
    <t>0009004-53-9</t>
  </si>
  <si>
    <t>DEXTRINS</t>
  </si>
  <si>
    <t>0009004-57-3</t>
  </si>
  <si>
    <t>CELLULOSE, ETHYL ETHER</t>
  </si>
  <si>
    <t>0009004-58-4</t>
  </si>
  <si>
    <t>CELLULOSE, ETHYL 2-HYDROXYETHYL ETHER</t>
  </si>
  <si>
    <t>0009004-62-0</t>
  </si>
  <si>
    <t>CELLULOSE, 2-HYDROXYETHYL ETHER</t>
  </si>
  <si>
    <t>0009004-64-2</t>
  </si>
  <si>
    <t>CELLULOSE, 2-HYDROXYPROPYL ETHER</t>
  </si>
  <si>
    <t>0009004-65-3</t>
  </si>
  <si>
    <t>CELLULOSE, 2-HYDROXYPROPYL METHYL ESTER</t>
  </si>
  <si>
    <t>0009004-67-5</t>
  </si>
  <si>
    <t>CELLULOSE, METHYL ETHER</t>
  </si>
  <si>
    <t>0009004-82-4</t>
  </si>
  <si>
    <t>DODECANOL, ETHOXYLATED, MONOETHER WITH SULFURIC ACID,</t>
  </si>
  <si>
    <t>SODIUM SALT</t>
  </si>
  <si>
    <t>0009004-87-9</t>
  </si>
  <si>
    <t>ETHOXYLATED ISOOCTYLPHENOL</t>
  </si>
  <si>
    <t>0009004-94-8</t>
  </si>
  <si>
    <t>POLY(OXY-1,2-ETHANEDIYL), ALPHA-(1-OXOHEXADECYL)-OMEGA -</t>
  </si>
  <si>
    <t>HYDROXY-</t>
  </si>
  <si>
    <t>0009004-95-9</t>
  </si>
  <si>
    <t>POLYOXYETHYLENE MONOHEXADECYL ETHER</t>
  </si>
  <si>
    <t>0009004-96-0</t>
  </si>
  <si>
    <t>POLYOXYETHYLENE MONOLEATE</t>
  </si>
  <si>
    <t>0009004-98-2</t>
  </si>
  <si>
    <t>POLYOXYETHYLENE MONO(CIS-9-OCTADECENYL) ETHER</t>
  </si>
  <si>
    <t>0009004-99-3</t>
  </si>
  <si>
    <t>POLYOXYETHYLENE MONOSTEARATE</t>
  </si>
  <si>
    <t>0009005-00-9</t>
  </si>
  <si>
    <t>POLYOXYETHYLENE MONOOCTADECYL ETHER</t>
  </si>
  <si>
    <t>0009005-02-1</t>
  </si>
  <si>
    <t>POLY(OXY-1,2-ETHANEDIYL), ALPHA-(1-OXODODECYL)-OMEGA-((1-</t>
  </si>
  <si>
    <t>OXODODECYL)OXY)-</t>
  </si>
  <si>
    <t>0009005-07-6</t>
  </si>
  <si>
    <t>POLYOXYETHYLENE DIOLEATE</t>
  </si>
  <si>
    <t>0009005-08-7</t>
  </si>
  <si>
    <t>POLYOXYETHYLENE DISTEARATE</t>
  </si>
  <si>
    <t>0009005-25-8</t>
  </si>
  <si>
    <t>STARCH</t>
  </si>
  <si>
    <t>0009005-27-0</t>
  </si>
  <si>
    <t>HETASTARCH</t>
  </si>
  <si>
    <t>0009005-37-2</t>
  </si>
  <si>
    <t>PROPYLENE GLYCOL ALGINATE</t>
  </si>
  <si>
    <t>0009005-38-3</t>
  </si>
  <si>
    <t>SODIUM ALGINATE</t>
  </si>
  <si>
    <t>0009005-46-3</t>
  </si>
  <si>
    <t>SODIUM CASEINATE</t>
  </si>
  <si>
    <t>0009005-64-5</t>
  </si>
  <si>
    <t>POLYOXYETHYLENE SORBITAN MONOLAURATE</t>
  </si>
  <si>
    <t>0009005-65-6</t>
  </si>
  <si>
    <t>POLYOXYETHYLENE SORBITAN MONOOLEATE</t>
  </si>
  <si>
    <t>0009005-67-8</t>
  </si>
  <si>
    <t>POLYOXYETHYLENE SORBITAN MONOSTEARATE</t>
  </si>
  <si>
    <t>0009005-70-3</t>
  </si>
  <si>
    <t>POLYOXYETHYLENE SORBITAN TRIOLEATE</t>
  </si>
  <si>
    <t>0009005-71-4</t>
  </si>
  <si>
    <t>POLYOXYETHYLENE SORBITAN TRISTEARATE</t>
  </si>
  <si>
    <t>0009007-13-0</t>
  </si>
  <si>
    <t>RESIN ACIDS AND ROSIN ACIDS, CALCIUM SALTS</t>
  </si>
  <si>
    <t>0009007-16-3</t>
  </si>
  <si>
    <t>ACRYLIC ACID, POLYMER WITH SUCROSE POLYALLYL ETHER</t>
  </si>
  <si>
    <t>0009007-48-1</t>
  </si>
  <si>
    <t>1,2,3-PROPANETRIOL, HOMOPOLYMER, (9Z)-9-OCTADECENOATE</t>
  </si>
  <si>
    <t>0009010-88-2</t>
  </si>
  <si>
    <t>ETHYL ACRYLATE, COPOLYMER WITH METHYL METHACRYLATE</t>
  </si>
  <si>
    <t>0009011-05-6</t>
  </si>
  <si>
    <t>UREA-FORMALDEHYDE RESIN</t>
  </si>
  <si>
    <t>0009011-11-4</t>
  </si>
  <si>
    <t>ETHENYLBENZENE, POLYMER WITH (1-METHYLETHENYL)BENZENE</t>
  </si>
  <si>
    <t>0009014-85-1</t>
  </si>
  <si>
    <t>POLYETHYLENE GLYCOL ETHER WITH 1,4-DIISOBUTYL-1,4-DIME-</t>
  </si>
  <si>
    <t>THYLBUTY NEDIOL (2:1)</t>
  </si>
  <si>
    <t>0009014-90-8</t>
  </si>
  <si>
    <t>NONYLPHENOL, ETHOXYLATED, MONOETHER WITH SULFURIC ACID,</t>
  </si>
  <si>
    <t>0009014-92-0</t>
  </si>
  <si>
    <t>POLYOXYETHYLENE DODECYLPHENOL</t>
  </si>
  <si>
    <t>0009014-93-1</t>
  </si>
  <si>
    <t>POLYOXYETHYLENE DINONYLPHENOL</t>
  </si>
  <si>
    <t>0009016-00-6</t>
  </si>
  <si>
    <t>POLY(OXY(DIMETHYLSILYLENE))</t>
  </si>
  <si>
    <t>0009016-45-9</t>
  </si>
  <si>
    <t>POLYOXYETHYLENE NONYLPHENOL</t>
  </si>
  <si>
    <t>0009016-87-9</t>
  </si>
  <si>
    <t>POLYMETHYLENEPOLYPHENYLENE ISOCYANATE</t>
  </si>
  <si>
    <t>0009032-42-2</t>
  </si>
  <si>
    <t>CELLULOSE, 2-HYDROXYETHYL METHYL ETHER</t>
  </si>
  <si>
    <t>0009036-19-5</t>
  </si>
  <si>
    <t>POLYOXYETHYLENE(1,1,3,3-TETRAMETHYLBUTYL)PHENYL ETHER</t>
  </si>
  <si>
    <t>0009038-95-3</t>
  </si>
  <si>
    <t>POLYETHYLENE-POLYPROPYLENE GLYCOL, MONOBUTYL ETHER</t>
  </si>
  <si>
    <t>0009041-33-2</t>
  </si>
  <si>
    <t>OXIRANE, METHYL-, POLYMER WITH OXIRANE, MONO-2-PROPENYL</t>
  </si>
  <si>
    <t>ETHER</t>
  </si>
  <si>
    <t>0009043-30-5</t>
  </si>
  <si>
    <t>POLYOXYETHYLENE ISOTRIDECYL ETHER</t>
  </si>
  <si>
    <t>0009046-01-9</t>
  </si>
  <si>
    <t>TRIDECYL ALCOHOL, ETHOXYLATED, PHOSPHATED</t>
  </si>
  <si>
    <t>0009046-09-7</t>
  </si>
  <si>
    <t>POLYETHYLENE GLYCOL MONO TRIBUTYLPHENYL ETHER</t>
  </si>
  <si>
    <t>0009050-36-6</t>
  </si>
  <si>
    <t>MALTODEXTRIN</t>
  </si>
  <si>
    <t>0009051-57-4</t>
  </si>
  <si>
    <t>AMMONIUM SALT</t>
  </si>
  <si>
    <t>0009069-80-1</t>
  </si>
  <si>
    <t>NAPHTHALENESULFONIC ACID, POLYMER WITH FORMALDEHYDE,</t>
  </si>
  <si>
    <t>0009081-17-8</t>
  </si>
  <si>
    <t>NONYLPHENOL, ETHOXYLATED, MONOETHER WITH SULFURIC ACID</t>
  </si>
  <si>
    <t>0009082-00-2</t>
  </si>
  <si>
    <t>OXIRANE, METHYL-, POLYMER WITH OXIRANE, ETHER WITH 1,2,3-</t>
  </si>
  <si>
    <t>PROPANETRIOL (3:1)</t>
  </si>
  <si>
    <t>0009084-06-4</t>
  </si>
  <si>
    <t>0010016-20-3</t>
  </si>
  <si>
    <t>ALPHA-CYCLODEXTRIN</t>
  </si>
  <si>
    <t>0010024-97-2</t>
  </si>
  <si>
    <t>NITROUS OXIDE</t>
  </si>
  <si>
    <t>0010028-22-5</t>
  </si>
  <si>
    <t>FERRIC SULFATE</t>
  </si>
  <si>
    <t>0010031-43-3</t>
  </si>
  <si>
    <t>CUPRIC NITRATE TRIHYDRATE</t>
  </si>
  <si>
    <t>0010034-99-8</t>
  </si>
  <si>
    <t>MAGNESIUM SULFATE HEPTAHYDRATE</t>
  </si>
  <si>
    <t>0010043-01-3</t>
  </si>
  <si>
    <t>ALUMINUM SULFATE</t>
  </si>
  <si>
    <t>BORIC ACID</t>
  </si>
  <si>
    <t>0010043-52-4</t>
  </si>
  <si>
    <t>CALCIUM CHLORIDE</t>
  </si>
  <si>
    <t>0010043-67-1</t>
  </si>
  <si>
    <t>POTASSIUM ALUMINUM SULFATE</t>
  </si>
  <si>
    <t>0010101-41-4</t>
  </si>
  <si>
    <t>CALCIUM SULFATE, DIHYDRATE</t>
  </si>
  <si>
    <t>0010101-89-0</t>
  </si>
  <si>
    <t>PHOSPHORIC ACID, TRISODIUM SALT, DODECAHYDRATE</t>
  </si>
  <si>
    <t>0010124-56-8</t>
  </si>
  <si>
    <t>SODIUM HEXAMETAPHOSPHATE</t>
  </si>
  <si>
    <t>0010124-65-9</t>
  </si>
  <si>
    <t>POTASSIUM DODECANOATE</t>
  </si>
  <si>
    <t>0010137-74-3</t>
  </si>
  <si>
    <t>CALCIUM CHLORATE</t>
  </si>
  <si>
    <t>0010191-41-0</t>
  </si>
  <si>
    <t>2H-1-BENZOPYRAN-6-OL,3,4-DIHYDRO-2,5,7,8-TETRAMETHYL-2-(4,8,12-</t>
  </si>
  <si>
    <t>TRIMETHYLTRIDECYL)-</t>
  </si>
  <si>
    <t>0010192-30-0</t>
  </si>
  <si>
    <t>AMMONIUM BISULFITE</t>
  </si>
  <si>
    <t>0010213-79-3</t>
  </si>
  <si>
    <t>SILICIC ACID, DISODIUM SALT, PENTAHYDRATE</t>
  </si>
  <si>
    <t>0010294-56-1</t>
  </si>
  <si>
    <t>PHOSPHOROUS ACID</t>
  </si>
  <si>
    <t>0010377-60-3</t>
  </si>
  <si>
    <t>MAGNESIUM NITRATE</t>
  </si>
  <si>
    <t>0010378-23-1</t>
  </si>
  <si>
    <t>TETRASODIUM ETHYLENEDIAMINETETRAACETATE DIHYDRATE</t>
  </si>
  <si>
    <t>0011099-07-3</t>
  </si>
  <si>
    <t>OCTADECANOIC ACID, ESTER WITH 1,2,3-PROPANETRIOL</t>
  </si>
  <si>
    <t>0011138-66-2</t>
  </si>
  <si>
    <t>XANTHAN GUM</t>
  </si>
  <si>
    <t>0012001-26-2</t>
  </si>
  <si>
    <t>MICA GROUP MINERALS (NO ASBESTOS AND LESS THAN 1% CRYS-</t>
  </si>
  <si>
    <t>TALLINE SILICA)</t>
  </si>
  <si>
    <t>0012058-66-1</t>
  </si>
  <si>
    <t>DISODIUM STANNATE</t>
  </si>
  <si>
    <t>0012125-02-9</t>
  </si>
  <si>
    <t>AMMONIUM CHLORIDE</t>
  </si>
  <si>
    <t>0012134-57-5</t>
  </si>
  <si>
    <t>AKAGANEITE</t>
  </si>
  <si>
    <t>0012134-66-6</t>
  </si>
  <si>
    <t>MAGHEMITE</t>
  </si>
  <si>
    <t>0012135-86-3</t>
  </si>
  <si>
    <t>SERPENTINE</t>
  </si>
  <si>
    <t>0012136-45-7</t>
  </si>
  <si>
    <t>POTASSIUM OXIDE</t>
  </si>
  <si>
    <t>0012142-33-5</t>
  </si>
  <si>
    <t>STANNATE (SNO3(2-)), DIPOTASSIUM</t>
  </si>
  <si>
    <t>0012173-10-3</t>
  </si>
  <si>
    <t>CLINOPTILOLITE</t>
  </si>
  <si>
    <t>0012173-47-6</t>
  </si>
  <si>
    <t>HECTORITE</t>
  </si>
  <si>
    <t>0012173-60-3</t>
  </si>
  <si>
    <t>ILLITE</t>
  </si>
  <si>
    <t>0012174-11-7</t>
  </si>
  <si>
    <t>ATTAPULGITE</t>
  </si>
  <si>
    <t>0012179-04-3</t>
  </si>
  <si>
    <t>BORIC ACID (H2B4O7)), DISODIUM SALT, PENTABORATE</t>
  </si>
  <si>
    <t>0012199-37-0</t>
  </si>
  <si>
    <t>SMECTITE-GROUP MINERALS</t>
  </si>
  <si>
    <t>0012225-06-8</t>
  </si>
  <si>
    <t>2-NAPHTHALENECARBOXAMIDE, N-(2,3-DIHYDRO-2-OXO-1H-BENZIMI- DAZOL-5-YL)-3-HYDROXY-4-[[2-METHOXY-5-[(PHENYLAMINO)CARBO-</t>
  </si>
  <si>
    <t>NYL]PHENYL]AZO]-</t>
  </si>
  <si>
    <t>0012225-21-7</t>
  </si>
  <si>
    <t>C.I. PIGMENT YELLOW 100</t>
  </si>
  <si>
    <t>0012227-89-3</t>
  </si>
  <si>
    <t>C.I. PIGMENT BLACK 11</t>
  </si>
  <si>
    <t>0012236-62-3</t>
  </si>
  <si>
    <t>C.I. PIGMENT ORANGE 36</t>
  </si>
  <si>
    <t>0012236-86-1</t>
  </si>
  <si>
    <t>C.I. REACTIVE BLUE 21</t>
  </si>
  <si>
    <t>0012269-78-2</t>
  </si>
  <si>
    <t>PYROPHYLLITE</t>
  </si>
  <si>
    <t>0012401-86-4</t>
  </si>
  <si>
    <t>SODIUM MONOXIDE</t>
  </si>
  <si>
    <t>0012768-78-4</t>
  </si>
  <si>
    <t>C.I. ACID GREEN 16</t>
  </si>
  <si>
    <t>0013081-34-0</t>
  </si>
  <si>
    <t>POLYOXYETHYLENE S-ETHER WITH DODECYLMERCAPTAN</t>
  </si>
  <si>
    <t>0013081-97-5</t>
  </si>
  <si>
    <t>OCTADECANOIC ACID, 2,2-BIS(HYDROXYMETHYL)-1,3-PROPANEDIYL</t>
  </si>
  <si>
    <t>0013397-24-5</t>
  </si>
  <si>
    <t>GYPSUM</t>
  </si>
  <si>
    <t>0013429-27-1</t>
  </si>
  <si>
    <t>TETRADECANOIC ACID, POTASSIUM SALT</t>
  </si>
  <si>
    <t>0013446-18-9</t>
  </si>
  <si>
    <t>MAGNESIUM NITRATE HEXAHYDRATE</t>
  </si>
  <si>
    <t>0013463-67-7</t>
  </si>
  <si>
    <t>TITANIUM DIOXIDE</t>
  </si>
  <si>
    <t>0013467-82-8</t>
  </si>
  <si>
    <t>OCTANEPEROXOIC ACID, 1,1-DIMETHYLETHYL ESTER</t>
  </si>
  <si>
    <t>0013515-40-7</t>
  </si>
  <si>
    <t>C.I. PIGMENT YELLOW 73</t>
  </si>
  <si>
    <t>0013983-17-0</t>
  </si>
  <si>
    <t>WOLLASTONITE (CA(SIO3))</t>
  </si>
  <si>
    <t>0014464-46-1</t>
  </si>
  <si>
    <t>CRISTOBALITE</t>
  </si>
  <si>
    <t>0014567-73-8</t>
  </si>
  <si>
    <t>TREMOLITE</t>
  </si>
  <si>
    <t>0014567-90-9</t>
  </si>
  <si>
    <t>AKERMANITE</t>
  </si>
  <si>
    <t>0014644-61-2</t>
  </si>
  <si>
    <t>ZIRCONIUM SULFATE</t>
  </si>
  <si>
    <t>0014807-96-6</t>
  </si>
  <si>
    <t>TALC (NO ASBESTOS AND LESS THAN 1% CRYSTALLINE SILICA)</t>
  </si>
  <si>
    <t>0014808-60-7</t>
  </si>
  <si>
    <t>SILICA, CRYSTALLINE (QUARTZ)</t>
  </si>
  <si>
    <t>0015647-08-2</t>
  </si>
  <si>
    <t>PHOSPHOROUS ACID, 2-ETHYLHEXYL DIPHENYL ESTER</t>
  </si>
  <si>
    <t>0015782-05-5</t>
  </si>
  <si>
    <t>C.I. PIGMENT RED 48:3</t>
  </si>
  <si>
    <t>0015790-07-5</t>
  </si>
  <si>
    <t>C.I. PIGMENT YELLOW 104</t>
  </si>
  <si>
    <t>0015792-67-3</t>
  </si>
  <si>
    <t>C.I. ACID BLUE 9, ALUMINUM SALT (3:2)</t>
  </si>
  <si>
    <t>0015965-99-8</t>
  </si>
  <si>
    <t>OXIRANE, [(HEXADECYLOXY)METHYL]-</t>
  </si>
  <si>
    <t>0016291-96-6</t>
  </si>
  <si>
    <t>CHARCOAL</t>
  </si>
  <si>
    <t>0016389-88-1</t>
  </si>
  <si>
    <t>DOLOMITE (CAMG(CO3)2) (NO ASBESTOS AND LESS THAN 1% CRYS-</t>
  </si>
  <si>
    <t>0016423-68-0</t>
  </si>
  <si>
    <t>FLUORESCEIN, 2',4',5',7'-TETRAIODO, DISODIUM SALT {SPIRO(ISOBEN-</t>
  </si>
  <si>
    <t>ZOFURAN) TAUTOMERIC FORM }</t>
  </si>
  <si>
    <t>0016940-66-2</t>
  </si>
  <si>
    <t>SODIUM BOROHYDRIDE</t>
  </si>
  <si>
    <t>0017068-78-9</t>
  </si>
  <si>
    <t>ASBESTOS, ANTHOPHYLLITE</t>
  </si>
  <si>
    <t>0017069-72-6</t>
  </si>
  <si>
    <t>0017157-03-8</t>
  </si>
  <si>
    <t>STEARIC ACID, CALCIUM ZINC SALT</t>
  </si>
  <si>
    <t>0017354-14-2</t>
  </si>
  <si>
    <t>C.I. SOLVENT BLUE 35</t>
  </si>
  <si>
    <t>0017378-35-7</t>
  </si>
  <si>
    <t>POTASSIUM PENTADECANOATE</t>
  </si>
  <si>
    <t>0017572-97-3</t>
  </si>
  <si>
    <t>ETHYLENEDIAMINETETRAACETIC ACID, TRIPOTASSIUM SALT</t>
  </si>
  <si>
    <t>0017804-49-8</t>
  </si>
  <si>
    <t>2,7-NAPHTHALENEDISULFONIC ACID, 5-((4,6-DICHLORO-STRIAZIN-2-</t>
  </si>
  <si>
    <t>YL)AMINO)-4-HYDROXY-3-(PHENYLAZO)-, DISODIUM SALT</t>
  </si>
  <si>
    <t>0018016-19-8</t>
  </si>
  <si>
    <t>MALEIC ACID, SODIUM SALT</t>
  </si>
  <si>
    <t>0019019-43-3</t>
  </si>
  <si>
    <t>GLYCINE, N-(CARBOXYMETHYL)-N-[2-[(CARBOXYMETHYL)AMI-</t>
  </si>
  <si>
    <t>NO]ETHYL]-, TRISODIUM SALT</t>
  </si>
  <si>
    <t>0019224-26-1</t>
  </si>
  <si>
    <t>1,2-PROPANEDIOL, DIBENZOATE</t>
  </si>
  <si>
    <t>0019381-50-1</t>
  </si>
  <si>
    <t>C.I. ACID GREEN 1</t>
  </si>
  <si>
    <t>0019549-80-5</t>
  </si>
  <si>
    <t>4,6-DIMETHYL-2-HEPTANONE</t>
  </si>
  <si>
    <t>0020243-18-9</t>
  </si>
  <si>
    <t>OPAL CT</t>
  </si>
  <si>
    <t>0020344-49-4</t>
  </si>
  <si>
    <t>IRON HYDROXIDE OXIDE (FE(OH)O)</t>
  </si>
  <si>
    <t>0020427-58-1</t>
  </si>
  <si>
    <t>ZINC HYDROXIDE</t>
  </si>
  <si>
    <t>COPPER HYDROXIDE</t>
  </si>
  <si>
    <t>0021245-02-3</t>
  </si>
  <si>
    <t>4-(DIMETHYLAMINO)BENZOIC ACID, 2-ETHYLHEXYL ESTER</t>
  </si>
  <si>
    <t>0021564-17-0</t>
  </si>
  <si>
    <t>2-(THIOCYANOMETHYLTHIO)BENZOTHIAZOLE</t>
  </si>
  <si>
    <t>0021645-51-2</t>
  </si>
  <si>
    <t>ALUMINUM HYDROXIDE</t>
  </si>
  <si>
    <t>0023783-26-8</t>
  </si>
  <si>
    <t>ACETIC ACID, HYDROXYPHOSPHONO-</t>
  </si>
  <si>
    <t>0024634-61-5</t>
  </si>
  <si>
    <t>0024800-44-0</t>
  </si>
  <si>
    <t>TRIPROPYLENE GLYCOL</t>
  </si>
  <si>
    <t>0024937-78-8</t>
  </si>
  <si>
    <t>ETHYLENE, POLYMER WITH ACETATE</t>
  </si>
  <si>
    <t>0024938-91-8</t>
  </si>
  <si>
    <t>POLYOXYETHYLENE TRIDECYL ETHER</t>
  </si>
  <si>
    <t>0025013-16-5</t>
  </si>
  <si>
    <t>BUTYLATED HYDROXYANISOLE</t>
  </si>
  <si>
    <t>0025035-69-2</t>
  </si>
  <si>
    <t>METHACRYLIC ACID, POLYMER WITH BUTYL ACRYATE AND METHYL</t>
  </si>
  <si>
    <t>METHACRYLATE</t>
  </si>
  <si>
    <t>0025067-01-0</t>
  </si>
  <si>
    <t>VINYL ACETATE, POLYMER WITH N-BUTYL ACRYLATE</t>
  </si>
  <si>
    <t>0025068-38-6</t>
  </si>
  <si>
    <t>BISPHENOL A - EPICHLOROHYDRIN CONDENSATE</t>
  </si>
  <si>
    <t>0025085-02-3</t>
  </si>
  <si>
    <t>SODIUM ACRYLATE, POLYMER WITH ACRYLAMIDE</t>
  </si>
  <si>
    <t>0025086-89-9</t>
  </si>
  <si>
    <t>POLYVINYLPYRROLIDONE-VINYL ACETATE COPOLYMER</t>
  </si>
  <si>
    <t>0025104-37-4</t>
  </si>
  <si>
    <t>POLY(VINYL ETHYL ETHER)</t>
  </si>
  <si>
    <t>0025154-85-2</t>
  </si>
  <si>
    <t>VINYL CHLORIDE - ISOBUTYL VINYL ETHER COPOLYMER</t>
  </si>
  <si>
    <t>0025155-30-0</t>
  </si>
  <si>
    <t>DODECYLBENZENESULFONIC ACID, SODIUM SALT</t>
  </si>
  <si>
    <t>0025212-88-8</t>
  </si>
  <si>
    <t>ETHYL ACRYLATE-METHACRYLIC ACID COPOLYMER</t>
  </si>
  <si>
    <t>0025213-24-5</t>
  </si>
  <si>
    <t>VINYL ALCOHOL-VINYL ACETATE COPOLYMER</t>
  </si>
  <si>
    <t>0025231-21-4</t>
  </si>
  <si>
    <t>POLYOXYPROPYLENE MONOSTEARYL ETHER</t>
  </si>
  <si>
    <t>0025265-71-8</t>
  </si>
  <si>
    <t>0025265-77-4</t>
  </si>
  <si>
    <t>2,2,4-TRIMETHYLPENTANE-1,3-DIOL MONOISOBUTYRATE</t>
  </si>
  <si>
    <t>0025322-68-3</t>
  </si>
  <si>
    <t>POLYETHYLENE GLYCOL</t>
  </si>
  <si>
    <t>0025322-69-4</t>
  </si>
  <si>
    <t>POLYPROPYLENE GLYCOL</t>
  </si>
  <si>
    <t>0025339-17-7</t>
  </si>
  <si>
    <t>ISODECYL ALCOHOL</t>
  </si>
  <si>
    <t>0025340-17-4</t>
  </si>
  <si>
    <t>BENZENE, DIETHYL-</t>
  </si>
  <si>
    <t>0025383-99-7</t>
  </si>
  <si>
    <t>OCTADECANOIC ACID, 2-(1-CARBOXYETHOXY)-1-METHYL-2-OXOE-</t>
  </si>
  <si>
    <t>THYL ESTER, SODIUM SALT</t>
  </si>
  <si>
    <t>0025417-20-3</t>
  </si>
  <si>
    <t>DIBUTYLNAPHTHALENESULFONIC ACID, SODIUM SALT</t>
  </si>
  <si>
    <t>0025446-78-0</t>
  </si>
  <si>
    <t>ETHANOL, 2-[2-[2-(TRIDECYLOXY)ETHOXY]ETHOXY]-, HYDROGEN</t>
  </si>
  <si>
    <t>SULFATE, SODIUM SALT</t>
  </si>
  <si>
    <t>0025496-72-4</t>
  </si>
  <si>
    <t>GLYCEROL MONOOLEATE</t>
  </si>
  <si>
    <t>0025498-49-1</t>
  </si>
  <si>
    <t>[2-(2-METHOXYMETHYLETHOXY)METHYLETHOXY]PROPANOL</t>
  </si>
  <si>
    <t>0025550-98-5</t>
  </si>
  <si>
    <t>DIIOSODECYLPHENYL PHOSPHITE</t>
  </si>
  <si>
    <t>0025608-33-7</t>
  </si>
  <si>
    <t>METHYL METHACRYLATE, COPOLYMER WITH BUTYL METHACRYLA-</t>
  </si>
  <si>
    <t>TE</t>
  </si>
  <si>
    <t>0025638-17-9</t>
  </si>
  <si>
    <t>BUTYLNAPHTHALENESULFONIC ACID, SODIUM SALT</t>
  </si>
  <si>
    <t>0025655-41-8</t>
  </si>
  <si>
    <t>POLY(1-(2-OXO-1-PYRROLIDINYL)ETHYLENE)IODINE COMPLEX</t>
  </si>
  <si>
    <t>0025791-96-2</t>
  </si>
  <si>
    <t>POLY(OXYPROPYLENE) GLYCOL TRIETHER</t>
  </si>
  <si>
    <t>0025852-37-3</t>
  </si>
  <si>
    <t>METHYL METHACRYLATE, COPOLYMER WITH BUTYL ACRYLATE</t>
  </si>
  <si>
    <t>0025956-17-6</t>
  </si>
  <si>
    <t>FD&amp;C RED NO. 40</t>
  </si>
  <si>
    <t>0026027-37-2</t>
  </si>
  <si>
    <t>POLYETHYLENE GLYCOL MONOETHER WITH OLEIC ACID MONOE-</t>
  </si>
  <si>
    <t>THANOLAMIDE</t>
  </si>
  <si>
    <t>0026027-38-3</t>
  </si>
  <si>
    <t>P-NONYLPHENOL, ETHOXYLATED</t>
  </si>
  <si>
    <t>0026062-79-3</t>
  </si>
  <si>
    <t>AMMONIUM, DIALLYDIMETHYL-, CHLORIDE, POLYMERSAMMONIUM,</t>
  </si>
  <si>
    <t>DIALLYDIMETHYL-, CHLORIDE, POLYMERS</t>
  </si>
  <si>
    <t>0026160-96-3</t>
  </si>
  <si>
    <t>BUTYLATED POLYVINYLPYRROLIDONE</t>
  </si>
  <si>
    <t>0026172-55-4</t>
  </si>
  <si>
    <t>5-CHLORO-2-METHYL-4-ISOTHIAZOLIN-3-ONE</t>
  </si>
  <si>
    <t>0026183-44-8</t>
  </si>
  <si>
    <t>DODECYL ALCOHOL, ETHOXYLATED, MONOETHER WITH SULFURIC</t>
  </si>
  <si>
    <t>ACID</t>
  </si>
  <si>
    <t>0026221-73-8</t>
  </si>
  <si>
    <t>1-OCTENE, POLYMER WITH ETHENE</t>
  </si>
  <si>
    <t>0026249-20-7</t>
  </si>
  <si>
    <t>BUTYLENE OXIDE</t>
  </si>
  <si>
    <t>0026254-89-7</t>
  </si>
  <si>
    <t>BUTANAL, 2,2-DIETHYL-</t>
  </si>
  <si>
    <t>0026264-05-1</t>
  </si>
  <si>
    <t>DODECYLBENZENESULFONIC ACID, ISOPROPYLAMINE SALT</t>
  </si>
  <si>
    <t>0026264-06-2</t>
  </si>
  <si>
    <t>DODECYLBENZENESULFONIC ACID, CALCIUM SALT</t>
  </si>
  <si>
    <t>0026264-58-4</t>
  </si>
  <si>
    <t>METHYLNAPHTHALENESULFONIC ACID, SODIUM SALT</t>
  </si>
  <si>
    <t>0026266-58-0</t>
  </si>
  <si>
    <t>SORBITAN TRIOLEATE</t>
  </si>
  <si>
    <t>0026300-51-6</t>
  </si>
  <si>
    <t>METHYL METHACRYLATE, COPOLYMER WITH ACRYLIC ACID AND</t>
  </si>
  <si>
    <t>0026316-40-5</t>
  </si>
  <si>
    <t>ETHYLENE OXIDE-PROPYLENE OXIDE COPOLYMER ETHYLENEDIAMI-</t>
  </si>
  <si>
    <t>NE ETHER</t>
  </si>
  <si>
    <t>0026447-10-9</t>
  </si>
  <si>
    <t>XYLENESULFONIC ACID, AMMONIUM SALT</t>
  </si>
  <si>
    <t>0026447-40-5</t>
  </si>
  <si>
    <t>4,4'-,2,4'-,2,2'-DIISOCYANATODIPHENYLMETHANE</t>
  </si>
  <si>
    <t>0026499-65-0</t>
  </si>
  <si>
    <t>PLASTER OF PARIS</t>
  </si>
  <si>
    <t>0026523-78-4</t>
  </si>
  <si>
    <t>PHENOL, NONYL-, PHOSPHITE (3:1)</t>
  </si>
  <si>
    <t>0026530-20-1</t>
  </si>
  <si>
    <t>OCTHILINONE</t>
  </si>
  <si>
    <t>0026658-19-5</t>
  </si>
  <si>
    <t>SORBITAN TRISTEARATE</t>
  </si>
  <si>
    <t>0026761-40-0</t>
  </si>
  <si>
    <t>DIISODECYL PHTHALATE</t>
  </si>
  <si>
    <t>0026873-77-8</t>
  </si>
  <si>
    <t>2-PROPENOIC ACID, 2-METHYL-, POLYMER WITH ETHENYLBENZENE,</t>
  </si>
  <si>
    <t>2-ETHYLHEXYL 2-PROPENOATE AND 2-PROPENE</t>
  </si>
  <si>
    <t>0026896-20-8</t>
  </si>
  <si>
    <t>NEODECANOIC ACID</t>
  </si>
  <si>
    <t>0027138-31-4</t>
  </si>
  <si>
    <t>DIPROPYLENE GLYCOL DIBENZOATE</t>
  </si>
  <si>
    <t>0027176-87-0</t>
  </si>
  <si>
    <t>DODECYLBENZENESULFONIC ACID</t>
  </si>
  <si>
    <t>0027177-77-1</t>
  </si>
  <si>
    <t>DODECYLBENZENESULFONIC ACID, POTASSIUM SALT</t>
  </si>
  <si>
    <t>0027178-16-1</t>
  </si>
  <si>
    <t>ADIPIC ACID, DIISODECYL ESTER</t>
  </si>
  <si>
    <t>0027178-87-6</t>
  </si>
  <si>
    <t>DIMETHYLNAPHTHALENESULFONIC ACID, SODIUM SALT</t>
  </si>
  <si>
    <t>0027193-86-8</t>
  </si>
  <si>
    <t>DODECYLPHENOL</t>
  </si>
  <si>
    <t>0027213-90-7</t>
  </si>
  <si>
    <t>DIIOSOBUTYLNAPHTHALENESULFONIC ACID, SODIUM SALT</t>
  </si>
  <si>
    <t>0027253-28-7</t>
  </si>
  <si>
    <t>NEODECANOIC ACID, LEAD SALT</t>
  </si>
  <si>
    <t>0027253-30-1</t>
  </si>
  <si>
    <t>LITHIUM NEODECANOATE</t>
  </si>
  <si>
    <t>0027253-31-2</t>
  </si>
  <si>
    <t>COBALT NEODECANOATE</t>
  </si>
  <si>
    <t>0027253-33-4</t>
  </si>
  <si>
    <t>CALCIUM NEODECANOATE</t>
  </si>
  <si>
    <t>0027274-31-3</t>
  </si>
  <si>
    <t>POLY(OXY-1,2-ETHANEDIYL),ALPHA-2-PROPENYL-OMEGAHYDROXY-</t>
  </si>
  <si>
    <t>0027277-00-5</t>
  </si>
  <si>
    <t>2-AMINO-4,5-DIHYDRO-6-METHYL-4-PROPYL-5-TRIAZOLO(1,5-C)PYRIMI-</t>
  </si>
  <si>
    <t>DIN-5-ONE</t>
  </si>
  <si>
    <t>0027323-41-7</t>
  </si>
  <si>
    <t>DODECYLBENZENESULFONIC ACID, TRIETHANOLAMINE SALT</t>
  </si>
  <si>
    <t>0027344-41-8</t>
  </si>
  <si>
    <t>BENZENESULFONIC ACID, 2,2'-(4,4'-BIPHENYLYLENEDIVINYLENE)DI-,</t>
  </si>
  <si>
    <t>DISODIUM SALT</t>
  </si>
  <si>
    <t>0027360-07-2</t>
  </si>
  <si>
    <t>BUTANE, 1,1-BIS(ETHENYLOXY)-, POLYMER WITH ETHANOL</t>
  </si>
  <si>
    <t>0027458-92-0</t>
  </si>
  <si>
    <t>ISOTRIDECYL ALCOHOL</t>
  </si>
  <si>
    <t>0027576-86-9</t>
  </si>
  <si>
    <t>PHENOL, (1-METHYL-1-PHENYLETHYL)-</t>
  </si>
  <si>
    <t>0027756-15-6</t>
  </si>
  <si>
    <t>ACRYLIC ACID-STEARYL METHACRYLATE COPOLYMER</t>
  </si>
  <si>
    <t>0028211-18-9</t>
  </si>
  <si>
    <t>2-PYRROLIDINONE, 1-ETHENYL-, POLYMER WITH 1- EICOSENE</t>
  </si>
  <si>
    <t>0028430-58-2</t>
  </si>
  <si>
    <t>VINYL ACETATE, POLYMER WITH METHYL ACRYLATE AND METHYL</t>
  </si>
  <si>
    <t>0028553-12-0</t>
  </si>
  <si>
    <t>DIISONONYL PHTHALATE</t>
  </si>
  <si>
    <t>0028724-32-5</t>
  </si>
  <si>
    <t>POLY(OXY-1,2-ETHANEDIYL), ALPHA, ALPHA'-[(METHYLOCTADECYLI-</t>
  </si>
  <si>
    <t>MINIO)DI-2,1-ETHANEDIYL]BIS[OMEGA -HYDROXY-, CHLORIDE</t>
  </si>
  <si>
    <t>0029061-63-0</t>
  </si>
  <si>
    <t>BENZENESULFONIC ACID, DODECYL-, COMPD. WITH N,NDIETHYLE-</t>
  </si>
  <si>
    <t>THANAMINE (1:1)</t>
  </si>
  <si>
    <t>0029190-28-1</t>
  </si>
  <si>
    <t>1,3-BENZENEDIOL, 2,4-BIS[(DIMETHYLPHENYL)AZO]-</t>
  </si>
  <si>
    <t>0029385-43-1</t>
  </si>
  <si>
    <t>METHYL-1H-BENZOTRIAZOLE</t>
  </si>
  <si>
    <t>0029733-18-4</t>
  </si>
  <si>
    <t>PENTANEDIOIC ACID, DIISODECYL ESTER</t>
  </si>
  <si>
    <t>0029911-28-2</t>
  </si>
  <si>
    <t>DIPROPYLENE GLYCOL MONBUTYL ETHER</t>
  </si>
  <si>
    <t>0030704-63-3</t>
  </si>
  <si>
    <t>FORMALDEHYDE, POLYMER WITH P-TERT-BUTYLPHENOL AND OXI-</t>
  </si>
  <si>
    <t>RANE</t>
  </si>
  <si>
    <t>0030846-35-6</t>
  </si>
  <si>
    <t>FORMALDEHYDE, POLYMER WITH 4-NONYLPHENOL AND OXIRANE</t>
  </si>
  <si>
    <t>0031069-81-5</t>
  </si>
  <si>
    <t>2-PROPENOIC ACID, 2-METHYL-, POLYMER WITH BUTYL 2-PROPENOA-</t>
  </si>
  <si>
    <t>TE AND ETHYL 2-PROPENOATE</t>
  </si>
  <si>
    <t>0031424-16-5</t>
  </si>
  <si>
    <t>METHYL MARGARATE</t>
  </si>
  <si>
    <t>0031566-31-1</t>
  </si>
  <si>
    <t>OCTADECANOIC ACID, MONOESTER WITH 1,2,3-PROPANETRIOL</t>
  </si>
  <si>
    <t>0031694-55-0</t>
  </si>
  <si>
    <t>POLY(OXY-1,2-ETHANEDIYL), ALPHA, ALPHA', ALPHA''-[1,2,3-PROPANE-</t>
  </si>
  <si>
    <t>TRIYLTRIS]- OMEGA -HYDROXY-</t>
  </si>
  <si>
    <t>0031807-55-3</t>
  </si>
  <si>
    <t>ISODODECANE</t>
  </si>
  <si>
    <t>0032612-48-9</t>
  </si>
  <si>
    <t>DODECANOL, ETHOXYLATED, MONOETHER WITH SULFURIC ACID, AMMONIUM SALT</t>
  </si>
  <si>
    <t>0032628-06-1</t>
  </si>
  <si>
    <t>POLY(OXY-1,2-ETHANEDIYL), ALPHA-(1-OXOHEXADECYL)-OMEGA -[(1-</t>
  </si>
  <si>
    <t>OXOHEXADECYL)OXY]-</t>
  </si>
  <si>
    <t>0032686-95-6</t>
  </si>
  <si>
    <t>DIPROPYLENE GLYCOL, MONOBENZOATE</t>
  </si>
  <si>
    <t>0033703-08-1</t>
  </si>
  <si>
    <t>DIISONONYL ADIPATE</t>
  </si>
  <si>
    <t>0034375-28-5</t>
  </si>
  <si>
    <t>2-(HYDROXYMETHYLAMINO)ETHANOL</t>
  </si>
  <si>
    <t>0034396-03-7</t>
  </si>
  <si>
    <t>SILANE, TRIMETHOXY(2,4,4-TRIMETHYLPENTYL)-</t>
  </si>
  <si>
    <t>0034398-01-1</t>
  </si>
  <si>
    <t>POLYOXYETHYLENE MONOUNDECYL ETHER</t>
  </si>
  <si>
    <t>0034590-94-8</t>
  </si>
  <si>
    <t>(2-METHOXYMETHYLETHOXY)PROPANOL</t>
  </si>
  <si>
    <t>0035691-65-7</t>
  </si>
  <si>
    <t>1,2-DIBROMO-2,4-DICYANOBUTANE</t>
  </si>
  <si>
    <t>0035835-94-0</t>
  </si>
  <si>
    <t>ETHYLTRIPHENYLPHOSPHONIUM, ACETATE</t>
  </si>
  <si>
    <t>0036452-21-8</t>
  </si>
  <si>
    <t>1,3,5-TRIAZINE-2,4,6(1H,3H,5H)-TRIONE, DISODIUM SALT</t>
  </si>
  <si>
    <t>0036936-60-4</t>
  </si>
  <si>
    <t>POLY(OXY-1,2-ETHANEDIYL), ALPHA, ALPHA', ALPHA''-(NITRILOTRI-</t>
  </si>
  <si>
    <t>2,1-ETHANEDIYL)TRIS[ OMEGA -HYDROXY-</t>
  </si>
  <si>
    <t>0037086-84-3</t>
  </si>
  <si>
    <t>1,2-PROPANEDIOL, 1-BENZOATE</t>
  </si>
  <si>
    <t>0037199-81-8</t>
  </si>
  <si>
    <t>MALEIC ANHYDRIDE, POLYMER WITH 2,4,4-TRIMETHYLPENTENE, SO-</t>
  </si>
  <si>
    <t>0037205-87-1</t>
  </si>
  <si>
    <t>POLY(OXY-1,2-ETHANEDIYL), ALPHA-(ISONONYLPHENYL)-OMEGA -</t>
  </si>
  <si>
    <t>0037251-69-7</t>
  </si>
  <si>
    <t>POLYOXYETHYLENE POLYOXYPROPYLENE MONO(NONYLPHENYL)</t>
  </si>
  <si>
    <t>0037280-82-3</t>
  </si>
  <si>
    <t>POLYOXYETHYLENE POLYOXYPROPYLENE PHOSPHATE</t>
  </si>
  <si>
    <t>0037340-60-6</t>
  </si>
  <si>
    <t>NONYLPHENOL, ETHOXYLATED, PHOSPHATE ESTER, SODIUM SALT</t>
  </si>
  <si>
    <t>0037971-36-1</t>
  </si>
  <si>
    <t>2-PHOSPHONOBUTANE-1,2,4-TRICARBOXYLIC ACID</t>
  </si>
  <si>
    <t>0038011-25-5</t>
  </si>
  <si>
    <t>GLYCINE, N,N'-1,2-ETHANEDIYLBIS-, DISODIUM SALT</t>
  </si>
  <si>
    <t>0038640-62-9</t>
  </si>
  <si>
    <t>NAPHTHALENE, BIS(1-METHYLETHYL)-</t>
  </si>
  <si>
    <t>0039390-62-0</t>
  </si>
  <si>
    <t>EPOXIDE 8</t>
  </si>
  <si>
    <t>0040372-66-5</t>
  </si>
  <si>
    <t>1,2,4-BUTANETRICARBOXYLIC ACID, 2-PHOSPHONO-, SODIUM SALT</t>
  </si>
  <si>
    <t>0042808-36-6</t>
  </si>
  <si>
    <t>SULFONATED BUTYL OLEATE, SODIUM SALT</t>
  </si>
  <si>
    <t>0045275-74-9</t>
  </si>
  <si>
    <t>N,N-DIMETHYLICOSYLAMINE</t>
  </si>
  <si>
    <t>0049744-28-7</t>
  </si>
  <si>
    <t>2-NAPHTHALENOL, 1-[(4-METHOXY-2-NITROPHENYL)AZO]-</t>
  </si>
  <si>
    <t>0051158-08-8</t>
  </si>
  <si>
    <t>POLY(OXY-1,2-ETHANEDIYL), ALPHA-HYDRO- OMEGA -HYDROXY-,</t>
  </si>
  <si>
    <t>ETHER WITH 1,2,3-PROPANETRIOL MONOOCTADECANOATE (2:1)</t>
  </si>
  <si>
    <t>0051200-87-4</t>
  </si>
  <si>
    <t>4,4-DIMETHYLOXAZOLIDINE</t>
  </si>
  <si>
    <t>0051229-78-8</t>
  </si>
  <si>
    <t>(CIS ISOMER)</t>
  </si>
  <si>
    <t>0051274-00-1</t>
  </si>
  <si>
    <t>C.I. PIGMENT YELLOW 42</t>
  </si>
  <si>
    <t>0051730-94-0</t>
  </si>
  <si>
    <t>PROPANOL, (METHYL-2-PHENOXYETHOXY)-</t>
  </si>
  <si>
    <t>0052232-27-6</t>
  </si>
  <si>
    <t>OXIRANE, METHYL-, POLYMER WITH OXIRANE, METHYL 2-PROPENYL</t>
  </si>
  <si>
    <t>0052357-70-7</t>
  </si>
  <si>
    <t>C.I. PIGMENT BROWN 6</t>
  </si>
  <si>
    <t>0052503-15-8</t>
  </si>
  <si>
    <t>POLYETHYLENE GLYCOL NONYLPHENYL ETHER PHOSPHATE POTAS-</t>
  </si>
  <si>
    <t>SIUM SALT</t>
  </si>
  <si>
    <t>0052821-24-6</t>
  </si>
  <si>
    <t>1H-BENZ[DE]ISOQUINOLINE-1,3(2H)-DIONE, 2-(3-HYDROXYPROPYL)-6-</t>
  </si>
  <si>
    <t>[(3-HYDROXYPROPYL)AMINO]-</t>
  </si>
  <si>
    <t>0052836-31-4</t>
  </si>
  <si>
    <t>2,2,5-TRIMETHYL-3-DICHLOROACETYL-1,3-OXAZOLIDINE</t>
  </si>
  <si>
    <t>0053320-86-8</t>
  </si>
  <si>
    <t>LITHIUM MAGNESIUM SODIUM SILICATE</t>
  </si>
  <si>
    <t>0054193-36-1</t>
  </si>
  <si>
    <t>SODIUM POLYMETHACRYLATE</t>
  </si>
  <si>
    <t>0055348-40-8</t>
  </si>
  <si>
    <t>POLY(OXY-1,2-ETHANEDIYL), ALPHA-SULFO- OMEGA - [(1,1,3,3-TETRA-</t>
  </si>
  <si>
    <t>METHYLBUTYL)PHENOXY]-, SODIUM SALT</t>
  </si>
  <si>
    <t>0056219-06-8</t>
  </si>
  <si>
    <t>METHYL CIS-9-TETRADECENOATE</t>
  </si>
  <si>
    <t>0056709-13-8</t>
  </si>
  <si>
    <t>1H,3H,5H- OXAZOLO[3,4-C]OXAZOLE, POLY(OXYMETHYLENE) DERIV.</t>
  </si>
  <si>
    <t>0056863-02-6</t>
  </si>
  <si>
    <t>DIETHANOLAMIDE OF LINOLEIC ACID</t>
  </si>
  <si>
    <t>0057455-37-5</t>
  </si>
  <si>
    <t>C.I. PIGMENT BLUE 29</t>
  </si>
  <si>
    <t>0058128-22-6</t>
  </si>
  <si>
    <t>OCTADECANOIC ACID, 12-HYDROXY-, HOMOPOLYMER, OCTADECA-</t>
  </si>
  <si>
    <t>NOATE</t>
  </si>
  <si>
    <t>0058253-49-9</t>
  </si>
  <si>
    <t>POLY(OXY-1,2-ETHANEDIYL), ALPHA, ALPHA'-((9-OCTADECENYLIMI-</t>
  </si>
  <si>
    <t>NO)DI-2,1-ETHANEDIYL)BIS(OMEGAHYDROXY-</t>
  </si>
  <si>
    <t>0058654-67-4</t>
  </si>
  <si>
    <t>2-OCTANONE, 5-METHYL-</t>
  </si>
  <si>
    <t>0059160-79-1</t>
  </si>
  <si>
    <t>COPPER, [[2,2',2''-[29H,31HPHTHALOCYANINETRIYLTRIS(METHYLENE)]</t>
  </si>
  <si>
    <t>TRIS[1HISOINDOLE-1,3(2H)-DIONATO]](2-)-N29,N39,N31,N32]-</t>
  </si>
  <si>
    <t>0059487-23-9</t>
  </si>
  <si>
    <t>C.I. PIGMENT RED 187</t>
  </si>
  <si>
    <t>0060676-86-0</t>
  </si>
  <si>
    <t>SILICA, VITREOUS</t>
  </si>
  <si>
    <t>0061693-41-2</t>
  </si>
  <si>
    <t>ETHANOL, 2,2'-IMINOBIS-, COMPD. WITH HEXADECYL DIHYDROGEN</t>
  </si>
  <si>
    <t>PHOSPHATE</t>
  </si>
  <si>
    <t>0061723-83-9</t>
  </si>
  <si>
    <t>POLY(OXY-1,2-ETHANEDIYL), ALPHA-HYDRO- OMEGA - HYDROXY-,</t>
  </si>
  <si>
    <t>ETHER WITH D-GLUCITOL (2:1), TETRA-9-OCTADECENOATE, (ALL-Z)-</t>
  </si>
  <si>
    <t>0061788-49-6</t>
  </si>
  <si>
    <t>ACETIC ACID, ESTERS WITH LANOLIN ALCOHOLS</t>
  </si>
  <si>
    <t>0061788-60-1</t>
  </si>
  <si>
    <t>METHYL ESTERS OF COTTONSEED OIL</t>
  </si>
  <si>
    <t>0061788-61-2</t>
  </si>
  <si>
    <t>FATTY ACIDS, TALLOW, ME ESTERS</t>
  </si>
  <si>
    <t>0061788-62-3</t>
  </si>
  <si>
    <t>DICOCO ALKYLMETHYL AMINES</t>
  </si>
  <si>
    <t>0061788-72-5</t>
  </si>
  <si>
    <t>OCTYL TALLATE, EPOXIDIZED</t>
  </si>
  <si>
    <t>0061788-85-0</t>
  </si>
  <si>
    <t>CASTOR OIL, HYDROGENATED, ETHOXYLATED</t>
  </si>
  <si>
    <t>0061788-89-4</t>
  </si>
  <si>
    <t>FATTY ACIDS, C18-UNSATD., DIMERS</t>
  </si>
  <si>
    <t>0061789-01-3</t>
  </si>
  <si>
    <t>TALL OIL, EPOXIDIZED, 2-ETHYLHEXYL ESTERS</t>
  </si>
  <si>
    <t>0061789-32-0</t>
  </si>
  <si>
    <t>FATTY ACIDS, COCO, 2-SULFOETHYL ESTERS, SODIUM SALTS</t>
  </si>
  <si>
    <t>0061789-36-4</t>
  </si>
  <si>
    <t>CALCIUM NAPHTHENATE</t>
  </si>
  <si>
    <t>0061789-40-0</t>
  </si>
  <si>
    <t>N-(COCO ALKYL) AMIDO PROPYL DIMETHYL BETAINE</t>
  </si>
  <si>
    <t>0061789-70-6</t>
  </si>
  <si>
    <t>BENZENEMETHANAMINIUM, N-(3-AMINOPROPYL)-N,NDIMETHYL-, N-</t>
  </si>
  <si>
    <t>COCO ACYL DERIVATIVES, CHLORIDES</t>
  </si>
  <si>
    <t>0061789-77-3</t>
  </si>
  <si>
    <t>QUATERNARY AMMONIUM COMPOUNDS, DI(COCOALKYL)DIMETHYL,</t>
  </si>
  <si>
    <t>CHLORIDES</t>
  </si>
  <si>
    <t>0061789-80-8</t>
  </si>
  <si>
    <t>QUATERNARY AMMONIUM COMPOUNDS, BIS(HYDROGENATED TAL-</t>
  </si>
  <si>
    <t>LOW ALKYL)DIMETHYL CHLORIDE</t>
  </si>
  <si>
    <t>0061789-86-4</t>
  </si>
  <si>
    <t>PETROLEUM SULFONIC ACIDS, CALCIUM SALTS</t>
  </si>
  <si>
    <t>0061789-99-9</t>
  </si>
  <si>
    <t>LARD</t>
  </si>
  <si>
    <t>0061790-11-2</t>
  </si>
  <si>
    <t>FATTY ACIDS, TALL-OIL, ZINC SALTS</t>
  </si>
  <si>
    <t>0061790-12-3</t>
  </si>
  <si>
    <t>FATTY ACIDS, TALL-OIL</t>
  </si>
  <si>
    <t>0061790-31-6</t>
  </si>
  <si>
    <t>AMIDES, TALLOW, HYDROGENATED</t>
  </si>
  <si>
    <t>0061790-33-8</t>
  </si>
  <si>
    <t>AMINES, TALLOW ALKYL</t>
  </si>
  <si>
    <t>0061790-38-3</t>
  </si>
  <si>
    <t>FATTY ACIDS, TALLOW, HYDROGENATED</t>
  </si>
  <si>
    <t>0061790-51-0</t>
  </si>
  <si>
    <t>ROSIN ACIDS, SODIUM SALT</t>
  </si>
  <si>
    <t>DIATOMACEOUS EARTH (LESS THAN 1% CRYSTALLINE SILICA)</t>
  </si>
  <si>
    <t>0061790-59-8</t>
  </si>
  <si>
    <t>HYDROGENATED TALLOW ALKYL AMINE ACETATE</t>
  </si>
  <si>
    <t>0061790-66-7</t>
  </si>
  <si>
    <t>FATTY ACIDS, TALL OIL, COMPOUNDS WITH DIETHANOLAMINE</t>
  </si>
  <si>
    <t>0061790-81-6</t>
  </si>
  <si>
    <t>ETHOXYLATED LANOLIN</t>
  </si>
  <si>
    <t>0061790-86-1</t>
  </si>
  <si>
    <t>FATTY ACIDS, TALL-OIL, MONOESTERS WITH SORBITAN, ETHOXYLA-</t>
  </si>
  <si>
    <t>TED</t>
  </si>
  <si>
    <t>0061790-88-3</t>
  </si>
  <si>
    <t>SORBITAN, TALL-OIL FATTY ACIDS TRIESTERS, ETHOXYLATED</t>
  </si>
  <si>
    <t>0061790-93-0</t>
  </si>
  <si>
    <t>FATTY ACIDS, TALL-OIL, TETRAESTERS WITH SORBITOL, ETHOXYLA-</t>
  </si>
  <si>
    <t>0061791-00-2</t>
  </si>
  <si>
    <t>FATTY ACIDS, TALL-OIL, ETHOXYLATED</t>
  </si>
  <si>
    <t>0061791-06-8</t>
  </si>
  <si>
    <t>POLYETHYLENE GLYCOL SESQUIESTER OF TALLOW ACIDS</t>
  </si>
  <si>
    <t>0061791-14-8</t>
  </si>
  <si>
    <t>AMINES, COCO ALKYL, ETHOXYLATED</t>
  </si>
  <si>
    <t>0061791-24-0</t>
  </si>
  <si>
    <t>AMINES, SOYA ALKYL, ETHOXYLATED</t>
  </si>
  <si>
    <t>0061791-28-4</t>
  </si>
  <si>
    <t>ALCOHOLS, TALLOW, ETHOXYLATED</t>
  </si>
  <si>
    <t>0061791-31-9</t>
  </si>
  <si>
    <t>N,N-BIS(2-HYDROXYETHYL)(COCONUT OIL ALKYL)AMINE</t>
  </si>
  <si>
    <t>0061791-32-0</t>
  </si>
  <si>
    <t>GLYCINE, N-[2-[(2-HYDROXYETHYL)AMINO]ETHYL]-, N'-COCO ACYL</t>
  </si>
  <si>
    <t>DERIVS., MONOSODIUM SALTS</t>
  </si>
  <si>
    <t>0061791-38-6</t>
  </si>
  <si>
    <t>1H-IMIDAZOLE-1-ETHANOL, 4,5-DIHYDRO-, 2-NORCOCO ALKYL DERI-</t>
  </si>
  <si>
    <t>VATIVES</t>
  </si>
  <si>
    <t>0061791-41-1</t>
  </si>
  <si>
    <t>N-METHYL-N-(TALL-OIL ACYL)TAURINE, SODIUM SALT</t>
  </si>
  <si>
    <t>0061791-55-7</t>
  </si>
  <si>
    <t>N-TALLOW ALKYLTRIMETHYLENEDIAMINES</t>
  </si>
  <si>
    <t>0061827-42-7</t>
  </si>
  <si>
    <t>POLY(OXY-1,2-ETHANEDIYL), ALPHA-ISODECYL-OMEGAHYDROXY-</t>
  </si>
  <si>
    <t>0063231-60-7</t>
  </si>
  <si>
    <t>PARAFFIN WAXES AND HYDROCARBON WAXES, MICROCRYST</t>
  </si>
  <si>
    <t>0063231-67-4</t>
  </si>
  <si>
    <t>SILICA GEL</t>
  </si>
  <si>
    <t>0063449-39-8</t>
  </si>
  <si>
    <t>CHLORINATED WAX</t>
  </si>
  <si>
    <t>0064044-51-5</t>
  </si>
  <si>
    <t>LACTOSE, MONOHYDRATE</t>
  </si>
  <si>
    <t>0064051-22-5</t>
  </si>
  <si>
    <t>ETHANOL, 2-BUTOXY-, HYDROGEN PHOSPHATE, COMPOUND WITH N-</t>
  </si>
  <si>
    <t>ETHYLETHANAMINE (1:1)</t>
  </si>
  <si>
    <t>0064051-23-6</t>
  </si>
  <si>
    <t>ETHANOL, 2-BUTOXY-, DIHYDROGEN PHOSPHATE, COMPOUND WITH</t>
  </si>
  <si>
    <t>N-ETHYLETHANAMINE (1:2)</t>
  </si>
  <si>
    <t>0064051-35-0</t>
  </si>
  <si>
    <t>PHENOL, (1,1,3,3-TETRAMETHYLBUTYL)-, HYDROGEN PHOSPHATE,</t>
  </si>
  <si>
    <t>COMPD. WITH N-ETHYLETHANAMINE (1:1)</t>
  </si>
  <si>
    <t>0064051-37-2</t>
  </si>
  <si>
    <t>PHENOL, (1,1,3,3-TETRAMETHYLBUTYL)-, DIHYDROGEN PHOSPHATE,</t>
  </si>
  <si>
    <t>0064147-40-6</t>
  </si>
  <si>
    <t>DEHYDRATED CASTOR OIL</t>
  </si>
  <si>
    <t>0064365-17-9</t>
  </si>
  <si>
    <t>RESIN ACIDS AND ROSIN ACIDS, HYDROGENATED, ESTERS WITH</t>
  </si>
  <si>
    <t>PENTAERYTHRITOL</t>
  </si>
  <si>
    <t>0064365-23-7</t>
  </si>
  <si>
    <t>SILOXANES AND SILICONES, DI-ME, HYDROXYTERMINATED, ETHO-</t>
  </si>
  <si>
    <t>XYLATED PROPOXYLATED</t>
  </si>
  <si>
    <t>0064366-70-7</t>
  </si>
  <si>
    <t>OXIRANE, METHYL-, POLYMER WITH OXIRANE, MONO(2-ETHYLHE-</t>
  </si>
  <si>
    <t>XYL) ETHER</t>
  </si>
  <si>
    <t>0064741-65-7</t>
  </si>
  <si>
    <t>NAPHTHA (PETROLEUM), HEAVY ALKYLATE</t>
  </si>
  <si>
    <t>0064741-66-8</t>
  </si>
  <si>
    <t>NAPHTHA (PETROLEUM), LIGHT ALKYLATE</t>
  </si>
  <si>
    <t>0064741-73-7</t>
  </si>
  <si>
    <t>DISTILLATES (PETROLEUM), ALKYLATE</t>
  </si>
  <si>
    <t>0064741-88-4</t>
  </si>
  <si>
    <t>MINERAL OIL, PETROLEUM DISTILLATES, SOLVENTREFINED (MILD)</t>
  </si>
  <si>
    <t>HEAVY PARAFFINIC</t>
  </si>
  <si>
    <t>0064741-89-5</t>
  </si>
  <si>
    <t>LIGHT PARAFFINIC</t>
  </si>
  <si>
    <t>0064742-16-1</t>
  </si>
  <si>
    <t>PETROLEUM RESINS</t>
  </si>
  <si>
    <t>0064742-42-3</t>
  </si>
  <si>
    <t>PETROLEUM WAX, CLAY-TREATED, MICROCRYST.</t>
  </si>
  <si>
    <t>0064742-43-4</t>
  </si>
  <si>
    <t>PARAFFIN WAXES, CLAY TREATED</t>
  </si>
  <si>
    <t>0064742-46-7</t>
  </si>
  <si>
    <t>DISTILLATES (PETROLEUM), HYDROTREATED MIDDLE</t>
  </si>
  <si>
    <t>0064742-47-8</t>
  </si>
  <si>
    <t>DISTILLATES (PETROLEUM), HYDROTREATED LIGHT</t>
  </si>
  <si>
    <t>0064742-48-9</t>
  </si>
  <si>
    <t>NAPHTHA (PETROLEUM), HYDROTREATED HEAVY</t>
  </si>
  <si>
    <t>0064742-52-5</t>
  </si>
  <si>
    <t>MINERAL OIL, PETROLEUM DISTILLATES, HYDROTREATED (MILD)</t>
  </si>
  <si>
    <t>HEAVY NAPHTHENIC</t>
  </si>
  <si>
    <t>0064742-53-6</t>
  </si>
  <si>
    <t>LIGHT NAPHTHENIC</t>
  </si>
  <si>
    <t>0064742-54-7</t>
  </si>
  <si>
    <t>DISTILLATES (PETROLEUM), HYDROTREATED HEAVY PARAFFINIC</t>
  </si>
  <si>
    <t>0064742-55-8</t>
  </si>
  <si>
    <t>DISTILLATES (PETROLEUM), HYDROTREATED LIGHT PARAFFINIC</t>
  </si>
  <si>
    <t>0064742-56-9</t>
  </si>
  <si>
    <t>DISTILLATES (PETROLEUM), SOLVENT DEWAXED LIGHT PARAFFINIC</t>
  </si>
  <si>
    <t>0064742-57-0</t>
  </si>
  <si>
    <t>RESIDUAL OILS (PETROLEUM), HYDROTREATED</t>
  </si>
  <si>
    <t>0064742-58-1</t>
  </si>
  <si>
    <t>LUBRICATING OILS (PETROLEUM), HYDROTREATED SPENT</t>
  </si>
  <si>
    <t>0064742-61-6</t>
  </si>
  <si>
    <t>SLACK WAX</t>
  </si>
  <si>
    <t>0064742-62-7</t>
  </si>
  <si>
    <t>RESIDUAL OILS (PETROLEUM), SOLVENT-DEWAXED</t>
  </si>
  <si>
    <t>0064742-65-0</t>
  </si>
  <si>
    <t>DISTILLATES (PETROLEUM), SOLVENT-DEWAXED HEAVY PARAFFINIC</t>
  </si>
  <si>
    <t>0064742-82-1</t>
  </si>
  <si>
    <t>NAPHTHA (PETROLEUM), HYDRODESULFURIZED HEAVY</t>
  </si>
  <si>
    <t>0064742-88-7</t>
  </si>
  <si>
    <t>SOLVENT NAPHTHA (PETROLEUM), MEDIUM ALIPHATIC</t>
  </si>
  <si>
    <t>0064742-89-8</t>
  </si>
  <si>
    <t>SOLVENT NAPHTHA (PETROLEUM), LIGHT ALIPHATIC</t>
  </si>
  <si>
    <t>0064742-94-5</t>
  </si>
  <si>
    <t>SOLVENT NAPHTHA (PETROLEUM), HEAVY AROMATIC</t>
  </si>
  <si>
    <t>0064742-95-6</t>
  </si>
  <si>
    <t>SOLVENT NAPHTHA (PETROLEUM), LIGHT AROMATIC</t>
  </si>
  <si>
    <t>0064742-96-7</t>
  </si>
  <si>
    <t>SOLVENT NAPHTHA (PETROLEUM) , HEAVY ALIPHATIC</t>
  </si>
  <si>
    <t>0064742-98-9</t>
  </si>
  <si>
    <t>DISTILLATES (PETROLEUM), OXIDIZED LIGHT</t>
  </si>
  <si>
    <t>0064743-02-8</t>
  </si>
  <si>
    <t>ALPHA-OLEFIN WAX</t>
  </si>
  <si>
    <t>0064755-05-1</t>
  </si>
  <si>
    <t>QUATERNARY AMMONIUM COMPOUNDS, BIS(HYDROXYETHYL)ME-</t>
  </si>
  <si>
    <t>THYLTALLOW ALKYL, ETHOXYLATED, CHLORIDES</t>
  </si>
  <si>
    <t>0064771-72-8</t>
  </si>
  <si>
    <t>PARAFFINS (PETROLEUM), NORMAL C5-20</t>
  </si>
  <si>
    <t>0065087-00-5</t>
  </si>
  <si>
    <t>1,3-BENZENEDIOL, 2,4-BIS[(4-DODECYLPHENYL)AZO]-</t>
  </si>
  <si>
    <t>0065143-89-7</t>
  </si>
  <si>
    <t>HEXADECYL PHENOXYBENZENEDISULFONIC ACID, DISODIUM SALT</t>
  </si>
  <si>
    <t>0065497-29-2</t>
  </si>
  <si>
    <t>GUAR GUM, 2-HYDROXY-3-(TRIMETHYLAMMONIO)PROPYL ETHER,</t>
  </si>
  <si>
    <t>CHLORIDE</t>
  </si>
  <si>
    <t>0065530-85-0</t>
  </si>
  <si>
    <t>ALPHA-(CYCLOHEXYLMETHYL)-OMEGA-HYDROPOLY(DIFLUOROME-</t>
  </si>
  <si>
    <t>THYLENE)</t>
  </si>
  <si>
    <t>0065997-05-9</t>
  </si>
  <si>
    <t>ROSIN, PARTIALLY DIMERIZED</t>
  </si>
  <si>
    <t>0065997-06-0</t>
  </si>
  <si>
    <t>ROSIN, PARTIALLY HYDROGENATED</t>
  </si>
  <si>
    <t>0065997-17-3</t>
  </si>
  <si>
    <t>FIBROUS GLASS</t>
  </si>
  <si>
    <t>0066070-60-8</t>
  </si>
  <si>
    <t>SOYBEAN OIL, POLYMER WITH PENTAERYTHRITOL AND PHTHALIC</t>
  </si>
  <si>
    <t>ANHYDRIDE</t>
  </si>
  <si>
    <t>0066070-71-1</t>
  </si>
  <si>
    <t>FATTY ACIDS, TALL-OIL, POLYMERS WITH GLYCEROL AND PHTHALIC</t>
  </si>
  <si>
    <t>0066197-78-2</t>
  </si>
  <si>
    <t>NONYLPHENOL ETHER WITH (C2H4O)9 PHOSPHATE</t>
  </si>
  <si>
    <t>0066402-68-4</t>
  </si>
  <si>
    <t>METAKAOLIN</t>
  </si>
  <si>
    <t>0066455-15-0</t>
  </si>
  <si>
    <t>ALCOHOLS, C10-14, ETHOXYLATED</t>
  </si>
  <si>
    <t>0066467-20-7</t>
  </si>
  <si>
    <t>ETHOXYLATED OLEIL AMINE DODECYLBENZENESULFONIC SALT</t>
  </si>
  <si>
    <t>0067254-73-3</t>
  </si>
  <si>
    <t>GLYCERIDES, MIXED MONO- AND DI-</t>
  </si>
  <si>
    <t>0067479-27-0</t>
  </si>
  <si>
    <t>ALOE GUM</t>
  </si>
  <si>
    <t>0067584-51-4</t>
  </si>
  <si>
    <t>GLYCINE, N-ETHYL-N-[(NONAFLUOROBUTYL)SULFONYL]-, POTASSIUM</t>
  </si>
  <si>
    <t>0067584-52-5</t>
  </si>
  <si>
    <t>GLYCINE, N-ETHYL-N-[(UNDECAFLUOROPENTYL)SULFONYL]-, POTAS-</t>
  </si>
  <si>
    <t>0067584-53-6</t>
  </si>
  <si>
    <t>GLYCINE, N-ETHYL-N-[(TRIDECAFLUOROHEXYL)SULFONYL]-, POTAS-</t>
  </si>
  <si>
    <t>0067584-62-7</t>
  </si>
  <si>
    <t>GLYCINE, N-ETHYL-N-[(PENTADECAFLUOROHEPTYL)SULFONYL]-, PO-</t>
  </si>
  <si>
    <t>0067701-33-1</t>
  </si>
  <si>
    <t>GLYCERIDES, C14-18, MONO- AND DI-</t>
  </si>
  <si>
    <t>0067762-19-0</t>
  </si>
  <si>
    <t>POLY(OXY-1,2-ETHANEDIYL), ALPHA-SULFO- OMEGA - HYDROXY-,</t>
  </si>
  <si>
    <t>C10-16-ALKYL ETHERS, AMMONIUM SALTS</t>
  </si>
  <si>
    <t>0067762-27-0</t>
  </si>
  <si>
    <t>ALCOHOLS, C16-18</t>
  </si>
  <si>
    <t>0067762-34-9</t>
  </si>
  <si>
    <t>FATTY ACIDS, C8-18 AND C18-UNSATD., ZINC SALTS</t>
  </si>
  <si>
    <t>0067762-38-3</t>
  </si>
  <si>
    <t>FATTY ACIDS, C16-18 &amp; C18-UNSATURATED, ME ESTERS</t>
  </si>
  <si>
    <t>0067762-41-8</t>
  </si>
  <si>
    <t>ALCOHOLS, C10-16</t>
  </si>
  <si>
    <t>0067762-85-0</t>
  </si>
  <si>
    <t>SILOXANES AND SILICONES, DI-ME, 3-HYDROXYPROPYL ME, ETHERS</t>
  </si>
  <si>
    <t>WITH POLYETHYLENE-POLYPROPYLENE GLYCOL MONO-ME ETHER</t>
  </si>
  <si>
    <t>0067762-90-7</t>
  </si>
  <si>
    <t>DIMETHYL SILICONE POLYMER WITH SILICA</t>
  </si>
  <si>
    <t>0067774-74-7</t>
  </si>
  <si>
    <t>BENZENE, C10-13-ALKYL DERIVS.</t>
  </si>
  <si>
    <t>0067784-80-9</t>
  </si>
  <si>
    <t>SOYBEAN OIL, ME ESTER</t>
  </si>
  <si>
    <t>0067784-88-7</t>
  </si>
  <si>
    <t>GLYCERIDES, PALM-OIL MONO- AND DI-, HYDROGENATED, ETHOXY-</t>
  </si>
  <si>
    <t>LATED</t>
  </si>
  <si>
    <t>0067924-20-3</t>
  </si>
  <si>
    <t>BENZENESULFONIC ACID, 4-DODECYL-, COMPD. WITH 2-[(2-AMINOE-</t>
  </si>
  <si>
    <t>THYL)AMINO]ETHANOL (2:1)</t>
  </si>
  <si>
    <t>0068002-63-1</t>
  </si>
  <si>
    <t>QUATERNARY AMMONIUM COMPOUNDS, C14-18-ALKYLTRIMETHYL,</t>
  </si>
  <si>
    <t>0068002-71-1</t>
  </si>
  <si>
    <t>GLYCERIDES, C16-18</t>
  </si>
  <si>
    <t>0068002-94-8</t>
  </si>
  <si>
    <t>ALCOHOLS, C16-18 AND C18-UNSATURATED</t>
  </si>
  <si>
    <t>0068002-96-0</t>
  </si>
  <si>
    <t>ALCOHOLS, C16-18, ETHOXYLATED PROPOXYLATED</t>
  </si>
  <si>
    <t>0068002-97-1</t>
  </si>
  <si>
    <t>ALCOHOLS, C10-16, ETHOXYLATED</t>
  </si>
  <si>
    <t>0068015-39-4</t>
  </si>
  <si>
    <t>FATTY ACIDS, TALL-OIL, POLYMERS WITH GLYCEROL, PHTHALIC</t>
  </si>
  <si>
    <t>ANHYDRIDE AND ROSIN</t>
  </si>
  <si>
    <t>0068038-22-2</t>
  </si>
  <si>
    <t>FATTY ACIDS, TALL-OIL, POLYMERS WITH BISPHENYL A, EPICHLO-</t>
  </si>
  <si>
    <t>ROHYDRIN AND ROSIN</t>
  </si>
  <si>
    <t>0068038-31-3</t>
  </si>
  <si>
    <t>FATTY ACIDS, TALL-OIL, POLYMERS WITH PENTAERYTHRITOL, PH-</t>
  </si>
  <si>
    <t>THALIC ANHYDRIDE AND ROSIN</t>
  </si>
  <si>
    <t>0068081-81-2</t>
  </si>
  <si>
    <t>BENZENESULFONIC ACID, C10-16-ALKYL DERIVATIVES, SODIUM</t>
  </si>
  <si>
    <t>SALTS</t>
  </si>
  <si>
    <t>0068084-55-9</t>
  </si>
  <si>
    <t>DODECYLBENZENESULFONIC ACID, N-(2-AMINOETHYL)ETHANOLAMI-</t>
  </si>
  <si>
    <t>NE SALT</t>
  </si>
  <si>
    <t>0068092-46-6</t>
  </si>
  <si>
    <t>BENZOIC ACID, 3-METHYL-, ZINC SALT</t>
  </si>
  <si>
    <t>0068092-47-7</t>
  </si>
  <si>
    <t>BENZOIC ACID, 3-METHYL-, BARIUM SALT</t>
  </si>
  <si>
    <t>0068122-86-1</t>
  </si>
  <si>
    <t>ALKYL IMIDAZOLINIUM METHYL SULFATES (DERIVED FROM TAL-</t>
  </si>
  <si>
    <t>LOW ACIDS)</t>
  </si>
  <si>
    <t>0068131-12-4</t>
  </si>
  <si>
    <t>MEAT MEAL</t>
  </si>
  <si>
    <t>0068131-39-5</t>
  </si>
  <si>
    <t>ALCOHOLS, C12-15, ETHOXYLATED</t>
  </si>
  <si>
    <t>0068131-72-6</t>
  </si>
  <si>
    <t>POLYPHOSPHORIC ACIDS, ESTERS WITH TRIETHANOLAMINE, SODIUM</t>
  </si>
  <si>
    <t>0068131-77-1</t>
  </si>
  <si>
    <t>DISTILLATES (PETROLEUM), STEAM-CRACKED, POLYMERIZED</t>
  </si>
  <si>
    <t>0068132-50-3</t>
  </si>
  <si>
    <t>FATTY ACIDS, TALL-OIL, AMMONIUM SALTS</t>
  </si>
  <si>
    <t>0068139-80-0</t>
  </si>
  <si>
    <t>FATTY ACIDS, TALL-OIL, POLYMERS WITH C18-UNSATURATED FATTY</t>
  </si>
  <si>
    <t>ACID DIMERS AND ETHYLENEDIAMINE</t>
  </si>
  <si>
    <t>0068140-00-1</t>
  </si>
  <si>
    <t>AMIDES, COCO, N-(HYDROXYETHYL)-</t>
  </si>
  <si>
    <t>0068152-81-8</t>
  </si>
  <si>
    <t>SOYBEAN OIL, POLYMERIZED, OXIDIZED</t>
  </si>
  <si>
    <t>0068153-76-4</t>
  </si>
  <si>
    <t>GLYCERIDES, C14-18 MONO- AND DI-, ETHOXYLATED</t>
  </si>
  <si>
    <t>0068154-33-6</t>
  </si>
  <si>
    <t>FATTY ACIDS, COCO, ESTERS WITH SORBITAN, ETHOXYLATED-</t>
  </si>
  <si>
    <t>0068154-97-2</t>
  </si>
  <si>
    <t>ALCOHOLS, C10-12, ETHOXYLATED PROPOXYLATED</t>
  </si>
  <si>
    <t>0068155-20-4</t>
  </si>
  <si>
    <t>AMIDES, TALL-OIL FATTY, N,N-BIS(HYDROXYETHYL)</t>
  </si>
  <si>
    <t>0068187-71-3</t>
  </si>
  <si>
    <t>CALCIUM SALTS OF TALL-OIL FATTY ACIDS</t>
  </si>
  <si>
    <t>0068187-76-8</t>
  </si>
  <si>
    <t>CASTOR OIL, SULFATED, SODIUM SALT</t>
  </si>
  <si>
    <t>0068187-99-5</t>
  </si>
  <si>
    <t>TALL OIL; FATTY ACIDS NOT LESS THAN 58%, RESIN ACIDS NOT MO-</t>
  </si>
  <si>
    <t>RE THAN 44%, UNSAPONIFIABLES NOT MORE THAN 8%</t>
  </si>
  <si>
    <t>0068201-51-4</t>
  </si>
  <si>
    <t>OILS, MENHADEN, OXIDIZED</t>
  </si>
  <si>
    <t>0068227-33-8</t>
  </si>
  <si>
    <t>6-DODECYNE-5,8-DIOL, 2,5,8,11-TETRAMETHYL-</t>
  </si>
  <si>
    <t>0068308-36-1</t>
  </si>
  <si>
    <t>SOYBEAN MEAL</t>
  </si>
  <si>
    <t>0068308-54-3</t>
  </si>
  <si>
    <t>GLYCERIDES, TALLOW MONO-, DI- AND TRI-, HYDROGENATED</t>
  </si>
  <si>
    <t>0068308-74-7</t>
  </si>
  <si>
    <t>N,N-DIMETHYL TALL-OIL FATTY AMIDES</t>
  </si>
  <si>
    <t>0068309-52-4</t>
  </si>
  <si>
    <t>LINSEED OIL, POLYMER WITH MALEIC ANHYDRIDE AND TUNG OIL</t>
  </si>
  <si>
    <t>0068310-04-3</t>
  </si>
  <si>
    <t>1,3-BENZENEDIOL, 4-[(2,4-DIMETHYLPHENYL)AZO]-2-[(4-DODECYLPHE-</t>
  </si>
  <si>
    <t>NYL)AZO]-</t>
  </si>
  <si>
    <t>0068310-58-7</t>
  </si>
  <si>
    <t>POLY(OXY-1,2-ETHANEDIYL), ALPHA-[BIS(PHENYLMETHYL)PHENYL]-</t>
  </si>
  <si>
    <t>OMEGA -HYDROXY-</t>
  </si>
  <si>
    <t>0068334-00-9</t>
  </si>
  <si>
    <t>HYDROGENATED COTTONSEED OIL</t>
  </si>
  <si>
    <t>0068334-30-5</t>
  </si>
  <si>
    <t>FUELS, DIESEL</t>
  </si>
  <si>
    <t>0068334-35-0</t>
  </si>
  <si>
    <t>RESIN ACIDS AND ROSIN ACIDS, CALCIUM ZINC SALTS</t>
  </si>
  <si>
    <t>0068391-11-7</t>
  </si>
  <si>
    <t>PARALDEHYDE AND AMMONIA REACTION PRODUCT</t>
  </si>
  <si>
    <t>0068409-79-0</t>
  </si>
  <si>
    <t>FATTY ACIDS, C8-10-BRANCHED, LEAD SALTS, BASIC</t>
  </si>
  <si>
    <t>0068410-18-4</t>
  </si>
  <si>
    <t>FATTY ACIDS, C18-UNSATD., DIMERS, COMPDS. WITH TALL-OIL FATTY</t>
  </si>
  <si>
    <t>ACIDS AND N-TALLOW ALKYLTRIMETHYLENEDIAMINES</t>
  </si>
  <si>
    <t>0068411-27-8</t>
  </si>
  <si>
    <t>BENZOIC ACID, C12-15-ALKYL ESTERS</t>
  </si>
  <si>
    <t>0068411-31-4</t>
  </si>
  <si>
    <t>BENZENESULFONIC ACID, C10-13-ALKYL DERIVATIVES, COMPOUNDS</t>
  </si>
  <si>
    <t>TRIETHANOLAMINE SALT</t>
  </si>
  <si>
    <t>0068411-32-5</t>
  </si>
  <si>
    <t>BENZENESULFONIC ACID, DODECYL-, BRANCHED</t>
  </si>
  <si>
    <t>0068412-53-3</t>
  </si>
  <si>
    <t>POLYETHYLENE GLYCOL BRANCHED-NONYLPHENYL ETHER PHOS-</t>
  </si>
  <si>
    <t>PHATE</t>
  </si>
  <si>
    <t>0068412-54-4</t>
  </si>
  <si>
    <t>POLYOXYETHYLENE BRANCHED-C9-ALKYLPHENOL</t>
  </si>
  <si>
    <t>0068412-55-5</t>
  </si>
  <si>
    <t>POLY(OXY-1,2-ETHANEDIYL), ALPHA-(CARBOXYMETHYL)-OMEGA -</t>
  </si>
  <si>
    <t>(TRIDECYLOXY)-, BRANCHED</t>
  </si>
  <si>
    <t>0068412-68-0</t>
  </si>
  <si>
    <t>PHOSPHONIC ACID, PERFLUORO-C6-12-ALKYL DERIVATIVES</t>
  </si>
  <si>
    <t>0068412-69-1</t>
  </si>
  <si>
    <t>PHOSPHINIC ACID, BIS(PERFLUORO-C6-12-ALKYL) DERIVATIVES</t>
  </si>
  <si>
    <t>0068424-16-8</t>
  </si>
  <si>
    <t>FATTY ACIDS, C14-18 AND C16-18-UNSATD., CALCIUM SALTS</t>
  </si>
  <si>
    <t>0068424-94-2</t>
  </si>
  <si>
    <t>(COCO ALKYL)DIMETHYL BETAINES</t>
  </si>
  <si>
    <t>0068425-47-8</t>
  </si>
  <si>
    <t>AMIDES, SOYA, N,N-BIS(HYDROXYETHYL)</t>
  </si>
  <si>
    <t>0068425-94-5</t>
  </si>
  <si>
    <t>RESIDUES (PETROLEUM), CATALYTIC  REFORMER FRACTIONATOR,</t>
  </si>
  <si>
    <t>SULFONATED, POLYMERS WITH FORMALDEHYDE, SODIUM  SALTS</t>
  </si>
  <si>
    <t>0068427-35-0</t>
  </si>
  <si>
    <t>5-BENZOXAZOLESULFONAMIDE, 2-[7-(DIETHYLAMINO)-2-OXO-2H-1-</t>
  </si>
  <si>
    <t>BENZOPYRAN-3-YL]-</t>
  </si>
  <si>
    <t>0068439-46-3</t>
  </si>
  <si>
    <t>ALCOHOLS, C9-11, ETHOXYLATED</t>
  </si>
  <si>
    <t>0068439-49-6</t>
  </si>
  <si>
    <t>ALCOHOLS, C16-18, ETHOXYLATED</t>
  </si>
  <si>
    <t>0068439-50-9</t>
  </si>
  <si>
    <t>ALCOHOLS, C12-14, ETHOXYLATED</t>
  </si>
  <si>
    <t>0068439-57-6</t>
  </si>
  <si>
    <t>ALKENES, C14-16 ALPHA-, SULFONATED, SODIUM SALTS</t>
  </si>
  <si>
    <t>0068442-09-1</t>
  </si>
  <si>
    <t>NAPHTHALENESULFONIC ACID, SODIUM SALT, ISOPROPYLATED</t>
  </si>
  <si>
    <t>0068443-66-3</t>
  </si>
  <si>
    <t>ETHANOL, 2,2'-IMINOBIS-, POLYMER WITH ALPHA-(NONYLPHENYL)-</t>
  </si>
  <si>
    <t>OMEGA -HYDROXYPOLY(OXY-1,2-ETHANEDIYL) PHOSPHATE</t>
  </si>
  <si>
    <t>0068459-87-0</t>
  </si>
  <si>
    <t>OXIRANE, METHYL-, POLYMER WITH ALPHA-BUTYLOMEGA-HYDRO-</t>
  </si>
  <si>
    <t>XYPOLY(OXY-1,2-ETHANEDIYL) AND OXIRANE</t>
  </si>
  <si>
    <t>0068476-03-9</t>
  </si>
  <si>
    <t>FATTY ACIDS, MONTANA-WAX</t>
  </si>
  <si>
    <t>0068476-25-5</t>
  </si>
  <si>
    <t>FELDSPAR GROUP MINERALS (NO ASBESTOS AND LESS THAN 1%</t>
  </si>
  <si>
    <t>CRYSTALLINE SILICA)</t>
  </si>
  <si>
    <t>0068476-30-2</t>
  </si>
  <si>
    <t>FUEL OIL, NO. 2</t>
  </si>
  <si>
    <t>0068476-31-3</t>
  </si>
  <si>
    <t>FUEL OIL, NO. 4</t>
  </si>
  <si>
    <t>0068476-77-7</t>
  </si>
  <si>
    <t>LUBRICATING OILS, REFINED USE</t>
  </si>
  <si>
    <t>0068476-78-8</t>
  </si>
  <si>
    <t>CANE SYRUP</t>
  </si>
  <si>
    <t>0068477-31-6</t>
  </si>
  <si>
    <t>DISTILLATES (PETROLEUM), CAT. REFORMER FRACTIONATOR RESI-</t>
  </si>
  <si>
    <t>DUE, LOW BOILING</t>
  </si>
  <si>
    <t>0068478-96-6</t>
  </si>
  <si>
    <t>POLY(OXY-1,2-ETHANEDIYL), ALPHA, ALPHA'-(IMINODI-2,1-ETHANE- DIYL)BIS[ OMEGA -HYDROXY-, N-[3-(BRANCHED TRIDECYLOXY)PRO-</t>
  </si>
  <si>
    <t>PYL] DERIVS.</t>
  </si>
  <si>
    <t>0068479-09-4</t>
  </si>
  <si>
    <t>2-PROPENOIC ACID, TELOMER WITH SODIUM HYDROGEN SULFITE,</t>
  </si>
  <si>
    <t>0068512-02-7</t>
  </si>
  <si>
    <t>BENZENE, (TETRAPROPENYL) DERIVATIVES</t>
  </si>
  <si>
    <t>0068512-34-5</t>
  </si>
  <si>
    <t>LIGNOSULFONIC ACID, SODIUM SALT, SULFOMETHYLATED</t>
  </si>
  <si>
    <t>0068512-35-6</t>
  </si>
  <si>
    <t>LIGNIN, ALKALI, REACTION PRODUCTS WITH FORMALDEHYDE AND</t>
  </si>
  <si>
    <t>0068515-44-6</t>
  </si>
  <si>
    <t>1,2-BENZENEDICARBOXYLIC ACID, DIHEPTYL ESTER, BRANCHED</t>
  </si>
  <si>
    <t>AND LINEAR</t>
  </si>
  <si>
    <t>0068515-45-7</t>
  </si>
  <si>
    <t>1,2-BENZENEDICARBOXYLIC ACID, DINONYL ESTER, BRANCHED AND</t>
  </si>
  <si>
    <t>LINEAR</t>
  </si>
  <si>
    <t>0068515-48-0</t>
  </si>
  <si>
    <t>0068515-49-1</t>
  </si>
  <si>
    <t>PHTHALIC ACID, DI-C9-11-BRANCHED ALKYL ESTERS, C10-RICH</t>
  </si>
  <si>
    <t>0068515-65-1</t>
  </si>
  <si>
    <t>DISODIUM COCOAMIDOISOPROPYL SULFOSUCCINATE</t>
  </si>
  <si>
    <t>0068515-73-1</t>
  </si>
  <si>
    <t>D-GLUCOPYRANOSE, OLIGOMERIC, DECYL OCTYL GLYCOSIDES</t>
  </si>
  <si>
    <t>0068526-85-2</t>
  </si>
  <si>
    <t>ALCOHOLS, C9-11-ISO-, C10-RICH</t>
  </si>
  <si>
    <t>0068526-86-3</t>
  </si>
  <si>
    <t>ALCOHOLS, C11-14-ISO-, C13-RICH</t>
  </si>
  <si>
    <t>0068551-12-2</t>
  </si>
  <si>
    <t>ALCOHOLS, C12-16, ETHOXYLATED</t>
  </si>
  <si>
    <t>0068551-13-3</t>
  </si>
  <si>
    <t>ALCOHOLS, C12-15, ETHOXYLATED PROPOXYLATED</t>
  </si>
  <si>
    <t>0068551-17-7</t>
  </si>
  <si>
    <t>ALKANES, C10-13-ISO-</t>
  </si>
  <si>
    <t>0068553-81-1</t>
  </si>
  <si>
    <t>RICE BRAN OIL</t>
  </si>
  <si>
    <t>0068554-64-3</t>
  </si>
  <si>
    <t>WITH POLYETHYLENE GLYCOL MONOMETHYL ETHER</t>
  </si>
  <si>
    <t>0068554-65-4</t>
  </si>
  <si>
    <t>SILOXANES AND SILICONES, DI-ME, POLYMERS WITH ME SILSES- QUIOXANES AND POLYETHYLENEPOLYPROPYLENE GLYCOL MONO-</t>
  </si>
  <si>
    <t>BUTYL ETHER</t>
  </si>
  <si>
    <t>0068554-90-5</t>
  </si>
  <si>
    <t>SOYBEAN OIL, POLYMER WITH P-TERT-BUTYLBENZOIC ACID, PEN-</t>
  </si>
  <si>
    <t>TAERYTHRITOL, PHTHALIC ANHYDRIDE AND TRIMETHYLOLPROPANE</t>
  </si>
  <si>
    <t>0068583-51-7</t>
  </si>
  <si>
    <t>DECANOIC ACID, MIXED DIESTERS WITH OCTANOIC ACID AND PRO-</t>
  </si>
  <si>
    <t>PYLENE GLYCOL</t>
  </si>
  <si>
    <t>0068584-22-5</t>
  </si>
  <si>
    <t>BENZENESULFONIC ACID, C10-16-ALKYL DERIVATIVES</t>
  </si>
  <si>
    <t>0068584-23-6</t>
  </si>
  <si>
    <t>BENZENESULFONIC ACID, C10-16-ALKYL DERIVATIVES, CALCIUM</t>
  </si>
  <si>
    <t>0068585-34-2</t>
  </si>
  <si>
    <t>ALCOHOLS, (C10-16), ETHOXYLATED, MONOETHER WITH SULFURIC</t>
  </si>
  <si>
    <t>ACID, SODIUM SALTS</t>
  </si>
  <si>
    <t>0068585-47-7</t>
  </si>
  <si>
    <t>SULFURIC ACID, MONO-C10-16-ALKYL ESTERS, SODIUM SALTS</t>
  </si>
  <si>
    <t>0068603-42-9</t>
  </si>
  <si>
    <t>AMIDES, COCO, N,N-BIS(2-HYDROXYETHYL)</t>
  </si>
  <si>
    <t>0068604-35-3</t>
  </si>
  <si>
    <t>FATTY ACIDS, C8-18 AND C18-UNSATD., COMPDS. WITH DIETHANOLA-</t>
  </si>
  <si>
    <t>MINE</t>
  </si>
  <si>
    <t>0068605-57-2</t>
  </si>
  <si>
    <t>FATTY ACIDS, TALL-OIL, POLYMERS WITH BISPHENOL A, EPICHLO-</t>
  </si>
  <si>
    <t>ROHYDRIN, ROSIN AND TUNG OIL</t>
  </si>
  <si>
    <t>0068608-26-4</t>
  </si>
  <si>
    <t>PETROLEUM SULFONIC ACIDS, SODIUM SALTS</t>
  </si>
  <si>
    <t>0068609-68-7</t>
  </si>
  <si>
    <t>1-HEXANOL, 2-ETHYL-, MANUF. OF BY-PRODUCTS FROM, DISTN. RE-</t>
  </si>
  <si>
    <t>SIDUES</t>
  </si>
  <si>
    <t>0068609-97-2</t>
  </si>
  <si>
    <t>OXIRANE, MONO((C12-14-ALKYLOXY)METHYL) DERIVATIVES</t>
  </si>
  <si>
    <t>0068610-92-4</t>
  </si>
  <si>
    <t>CELLULOSE, ETHER WITH ALPHA-[2-HYDROXY-3-(TRIMETHYLAMMO- NIO)PROPYL]- OMEGA - HYDROXYPOLY(OXY-1,2-ETHANEDIYL) CHLO-</t>
  </si>
  <si>
    <t>RIDE</t>
  </si>
  <si>
    <t>0068611-14-3</t>
  </si>
  <si>
    <t>LIGNOSULFONIC ACID, ETHOXYLATED, SODIUM SALTS</t>
  </si>
  <si>
    <t>0068611-44-9</t>
  </si>
  <si>
    <t>SILANE, DICHLORODIMETHYL-, REACTION PRODUCTS WITH SILICA</t>
  </si>
  <si>
    <t>0068630-96-6</t>
  </si>
  <si>
    <t>1H-IMIDAZOLIUM, 1-(2-CARBOXYETHYL)-4,5-DIHYDRO-3-(2-HYDRO-</t>
  </si>
  <si>
    <t>XYETHYL)-2-ISOHEPTADECYL-, HYDROXIDE, INNER SALT</t>
  </si>
  <si>
    <t>0068647-73-4</t>
  </si>
  <si>
    <t>TEA TREE OIL</t>
  </si>
  <si>
    <t>0068647-95-0</t>
  </si>
  <si>
    <t>FATTY ACIDS, C18-UNSATD., DIMERS, COMPDS. WITH COCO ALKYLA-</t>
  </si>
  <si>
    <t>MINES</t>
  </si>
  <si>
    <t>0068648-12-4</t>
  </si>
  <si>
    <t>POLYOXYPROPYLENE DITALL-OIL ESTER</t>
  </si>
  <si>
    <t>0068648-27-1</t>
  </si>
  <si>
    <t>LANOLIN, HYDROGENATED, ETHOXYLATED</t>
  </si>
  <si>
    <t>0068648-44-2</t>
  </si>
  <si>
    <t>PYRETHRUM MARC</t>
  </si>
  <si>
    <t>0068648-87-3</t>
  </si>
  <si>
    <t>BENZENE, C10-16-ALKYL DERIVS.</t>
  </si>
  <si>
    <t>0068649-00-3</t>
  </si>
  <si>
    <t>BENZENESULFONIC ACID, MONO-C9-17-BRANCHED ALKYL DERIVATI-</t>
  </si>
  <si>
    <t>VES, ISOPROPYLAMINE SALTS</t>
  </si>
  <si>
    <t>0068649-29-6</t>
  </si>
  <si>
    <t>POLYOXYETHYLENE-POLYOXYPROPYLENE MONO-C10-16-ALKYL</t>
  </si>
  <si>
    <t>ETHERS, PHOSPHATES</t>
  </si>
  <si>
    <t>0068649-55-8</t>
  </si>
  <si>
    <t>POLYETHYLENE GLYCOL BRANCHED-NONYLPHENYL ETHER SULFATE</t>
  </si>
  <si>
    <t>0068650-39-5</t>
  </si>
  <si>
    <t>IMIDAZOLIUM COMPOUNDS, 1-[2-(CARBOXYMETHOXY)ETHYL] -1- (CARBOXYMETHYL)-4,5-DIHYDRO-2-NORCOCO ALKYL, HYDROXIDES,</t>
  </si>
  <si>
    <t>DISODIUM SALTS</t>
  </si>
  <si>
    <t>0068784-70-3</t>
  </si>
  <si>
    <t>PROPANENITRILE, 3-AMINO-, N-TALLOW ALKYL DERIVATIVES</t>
  </si>
  <si>
    <t>0068855-24-3</t>
  </si>
  <si>
    <t>BENZENE, C14-30-ALKYL DERIVATIVES</t>
  </si>
  <si>
    <t>0068855-54-9</t>
  </si>
  <si>
    <t>DIATOMITE</t>
  </si>
  <si>
    <t>0068876-77-7</t>
  </si>
  <si>
    <t>YEAST</t>
  </si>
  <si>
    <t>0068890-80-2</t>
  </si>
  <si>
    <t>BENZENE, ETHENYL-, POLYMER WITH 2,5-FURANDIONE, 2-BUTOXYE-</t>
  </si>
  <si>
    <t>THYL ESTER, AMMONIUM SALT</t>
  </si>
  <si>
    <t>0068891-11-2</t>
  </si>
  <si>
    <t>OXIRANE, METHYL-, POLYMER WITH OXIRANE, MONO(NONYLPHE-</t>
  </si>
  <si>
    <t>NYL) ETHER, BRANCHED</t>
  </si>
  <si>
    <t>0068891-21-4</t>
  </si>
  <si>
    <t>POLY(OXY-1,2-ETHANEDIYL),ALPHA-(DINONYLPHENYL)-OMEGA-HY-</t>
  </si>
  <si>
    <t>DROXY-BRANCHED</t>
  </si>
  <si>
    <t>0068891-33-8</t>
  </si>
  <si>
    <t>POLY(OXY-1,2-ETHANEDIYL), ALPHA-SULFO- OMEGA -(NONYLPHENO-</t>
  </si>
  <si>
    <t>XY)-, BRANCHED</t>
  </si>
  <si>
    <t>0068891-38-3</t>
  </si>
  <si>
    <t>ALCOHOLS, (C12-14), ETHOXYLATED, MONOETHERS WITH SULFURIC</t>
  </si>
  <si>
    <t>0068909-20-6</t>
  </si>
  <si>
    <t>SILANAMINE, 1,1,1-TRIMETHYL-N-(TRIMETHYLSILYL)-, HYDROLYSIS</t>
  </si>
  <si>
    <t>PRODUCTS WITH SILICA</t>
  </si>
  <si>
    <t>0068911-38-6</t>
  </si>
  <si>
    <t>FATTY ACIDS, TALL-OIL, DIMERS, POLYMERS WITH AZELAIC ACID, ETHYLENEDIAMINE, PIPERAZINE AND POLYPROPYLENE GLYCOL DIA-</t>
  </si>
  <si>
    <t>0068911-87-5</t>
  </si>
  <si>
    <t>BIS(HYDROGENATED TALLOW ALKYL)DIMETHYL AMMONIUM SALTS</t>
  </si>
  <si>
    <t>WITH MONTMORILLONITE</t>
  </si>
  <si>
    <t>0068917-18-0</t>
  </si>
  <si>
    <t>CORNMINT OIL</t>
  </si>
  <si>
    <t>0068920-06-9</t>
  </si>
  <si>
    <t>XYLENE RANGE AROMATIC SOLVENT</t>
  </si>
  <si>
    <t>0068920-45-6</t>
  </si>
  <si>
    <t>BONE MEAL, MIXED WITH MEAT MEAL, POULTRY</t>
  </si>
  <si>
    <t>0068920-66-1</t>
  </si>
  <si>
    <t>ALCOHOLS, C16-18 AND C18-UNSATURATED, ETHOXYLATED</t>
  </si>
  <si>
    <t>0068921-07-3</t>
  </si>
  <si>
    <t>DISTILLATES (PETROLEUM), HYDROTREATED LIGHT CATALYTIC CRA-</t>
  </si>
  <si>
    <t>CKED</t>
  </si>
  <si>
    <t>0068936-82-3</t>
  </si>
  <si>
    <t>AMYLOPECTIN, 2-HYDROXY-3-(TRIMETHYLAMMONIO)PROPYL ETHER,</t>
  </si>
  <si>
    <t>0068937-41-7</t>
  </si>
  <si>
    <t>PHENOL, ISOPROPYLATED, PHOSPHATE (3:1)</t>
  </si>
  <si>
    <t>0068937-54-2</t>
  </si>
  <si>
    <t>SILOXANES AND SILICONES, DI-ME, 3-HYDROXYPROPYL ME, ETHO- XYLATED</t>
  </si>
  <si>
    <t>0068937-55-3</t>
  </si>
  <si>
    <t>SILOXANES AND SILICONES, DI-ME, 3-HYDROXYPROPYL ME, ETHO-</t>
  </si>
  <si>
    <t>0068937-76-8</t>
  </si>
  <si>
    <t>FATTY ACIDS, C16-20</t>
  </si>
  <si>
    <t>0068937-81-5</t>
  </si>
  <si>
    <t>FATTY ACIDS, C18 AND C18-UNSATD., ME ESTERS</t>
  </si>
  <si>
    <t>0068937-83-7</t>
  </si>
  <si>
    <t>FATTY ACIDS, C6-10 METHYL ESTERS</t>
  </si>
  <si>
    <t>0068937-99-5</t>
  </si>
  <si>
    <t>SUNFLOWER SEEDS</t>
  </si>
  <si>
    <t>0068938-54-5</t>
  </si>
  <si>
    <t>0068951-67-7</t>
  </si>
  <si>
    <t>ALCOHOLS, C14-15, ETHOXYLATED</t>
  </si>
  <si>
    <t>0068953-01-5</t>
  </si>
  <si>
    <t>FATTY ACIDS, TALL-OIL, ESTERS WITH ETHOXYLATED SORBITOL</t>
  </si>
  <si>
    <t>0068953-58-2</t>
  </si>
  <si>
    <t>LOW ALKYL)DIMETHYL-, SALT WITH BENTONITE</t>
  </si>
  <si>
    <t>0068953-96-8</t>
  </si>
  <si>
    <t>BENZENESULFONIC ACID, MONO-C11-13-BRANCHED ALKYL DERIVATI-</t>
  </si>
  <si>
    <t>VES, CALCIUM SALTS</t>
  </si>
  <si>
    <t>0068954-91-6</t>
  </si>
  <si>
    <t>POLY(OXY-1,2-ETHANEDIYL), ALPHA-(3-CARBOXY-1-OXOSULFOPRO-</t>
  </si>
  <si>
    <t>PYL)- OMEGA -HYDROXY-, C10-12-ALKYL ETHERS, DISODIUM SALTS</t>
  </si>
  <si>
    <t>0068955-19-1</t>
  </si>
  <si>
    <t>SODIUM C12-18 ALKYL SULFATE</t>
  </si>
  <si>
    <t>0068957-00-6</t>
  </si>
  <si>
    <t>SILOXANES AND SILICONES, DI-ME, ME HYDROGEN, REACTION PRO-</t>
  </si>
  <si>
    <t>DUCTS WITH POLYPROPYLENE GLYCOL MONOALLYL ETHER</t>
  </si>
  <si>
    <t>0068987-49-5</t>
  </si>
  <si>
    <t>1,3-BENZENEDICARBOXYLIC ACID, POLYMER WITH 5-AMINO-1,3,3,- TRIMETHYLCYCLOHEXANEMETHANAMINE AND 2,2-BIS(HYDROXYME-</t>
  </si>
  <si>
    <t>THYL)-1,3-PROPANEDIOL, CYCLOHEXYLAMINE-MODIFIED, STEARATE</t>
  </si>
  <si>
    <t>0068987-90-6</t>
  </si>
  <si>
    <t>POLY(OXY-1,2-ETHANEDIYL), ALPHA-(OCTYLPHENYL)-OMEGA -HY-</t>
  </si>
  <si>
    <t>DROXY-, BRANCHED</t>
  </si>
  <si>
    <t>0068988-28-3</t>
  </si>
  <si>
    <t>CALCIUM, 2-ETHYLHEXANOATE NAPHTHENATE COMPLEXES</t>
  </si>
  <si>
    <t>0068990-20-5</t>
  </si>
  <si>
    <t>ALDEHYDES, C2-4, CONDENSATION PRODUCTS WITH ACETONE,</t>
  </si>
  <si>
    <t>DEHYDRATED, HYDROGENATED, DISTILLATION RESIDUES</t>
  </si>
  <si>
    <t>0068990-53-4</t>
  </si>
  <si>
    <t>GLYCERIDES, C14-22-LINEAR, MONO-</t>
  </si>
  <si>
    <t>0068990-54-5</t>
  </si>
  <si>
    <t>GLYCERIDES, C14-22 MONO-, ACETATES</t>
  </si>
  <si>
    <t>0068990-83-0</t>
  </si>
  <si>
    <t>OILS, CEDARWOOD, TEXAN</t>
  </si>
  <si>
    <t>0069011-36-5</t>
  </si>
  <si>
    <t>POLYOXYETHYLENE TRIMETHYLDECYL ALCOHOL</t>
  </si>
  <si>
    <t>0069029-39-6</t>
  </si>
  <si>
    <t>POLYOXYETHYLENE POLYPROPYLENE MONO(DI-SECBUTYLPHENYL)</t>
  </si>
  <si>
    <t>0069227-21-0</t>
  </si>
  <si>
    <t>ALCOHOLS, C12-C18, ETHOXYLATED PROPOXYLATED</t>
  </si>
  <si>
    <t>0069430-24-6</t>
  </si>
  <si>
    <t>CYCLOSILOXANES, DI-ME</t>
  </si>
  <si>
    <t>0070131-67-8</t>
  </si>
  <si>
    <t>SILOXANES AND SILICONES, DI-ME, HYDROXYTERMINATED</t>
  </si>
  <si>
    <t>0070142-34-6</t>
  </si>
  <si>
    <t>12-HYDROXYSTEARIC ACID-POLYETHYLENE GLYCOL COPOLYMER</t>
  </si>
  <si>
    <t>0070191-76-3</t>
  </si>
  <si>
    <t>BENZENESULFONIC ACID, OXYBIS(HEXADECYL-, DISODIUM SALT</t>
  </si>
  <si>
    <t>0070247-83-5</t>
  </si>
  <si>
    <t>1,3-BUTADIENE, 2-METHYL-, HOMOPOLYMER, OF CIS-1,4-CONFIGURA-</t>
  </si>
  <si>
    <t>TION, CYCLIZED, PHENOL-MODIFIED</t>
  </si>
  <si>
    <t>0070321-63-0</t>
  </si>
  <si>
    <t>OILS, LANOLIN</t>
  </si>
  <si>
    <t>0070528-83-5</t>
  </si>
  <si>
    <t>BENZENESULFONIC ACID, DODECYL-, BRANCHED, CALCIUM SALTS</t>
  </si>
  <si>
    <t>0070559-25-0</t>
  </si>
  <si>
    <t>POLY (OXY-1,2-ETHANEDIYL), ALPHA[2,4,6-TRIS(1-PHENYLETHYL)PHE-</t>
  </si>
  <si>
    <t>NYL]-HYDROXY-3</t>
  </si>
  <si>
    <t>0070693-06-0</t>
  </si>
  <si>
    <t>AROMATIC HYDROCARBONS, C9-C11</t>
  </si>
  <si>
    <t>0070851-21-7</t>
  </si>
  <si>
    <t>SILOXANES AND SILICONES, DI-ME, (C3-33-ALKYLOXY)-TERMINATED</t>
  </si>
  <si>
    <t>0070879-60-6</t>
  </si>
  <si>
    <t>2-PROPENOIC ACID, 2-METHYL-, POLYMERS WITH ET ACRYLATE AND POLYETHYLENE GLYCOL MONOMETHACRYLATE C16-18-ALKYL</t>
  </si>
  <si>
    <t>ETHERS</t>
  </si>
  <si>
    <t>0070879-83-3</t>
  </si>
  <si>
    <t>ALCOHOLS, C6-10, ETHOXYLATED</t>
  </si>
  <si>
    <t>0070880-56-7</t>
  </si>
  <si>
    <t>OXIRANE, METHYL-, POLYMER WITH OXIRANE, MONO[2,4,6-TRIS(1-</t>
  </si>
  <si>
    <t>PHENYLETHYL)PHENYL] ETHER</t>
  </si>
  <si>
    <t>0070892-59-0</t>
  </si>
  <si>
    <t>MONTMORILLONITE, CALCINED</t>
  </si>
  <si>
    <t>0071011-24-0</t>
  </si>
  <si>
    <t>QUATERNARY AMMONIUM COMPOUNDS, BENZYL(HYDROGENATED</t>
  </si>
  <si>
    <t>TALLOW ALKYL)DIMETHYL, SALTS WITH BENTONITE</t>
  </si>
  <si>
    <t>0071011-26-2</t>
  </si>
  <si>
    <t>QUATERNARY AMMONIUM COMPOUNDS, BENZYL(HYDROGENATED TALLOW ALKYL)DIMETHYL, CHLORIDES, COMPOUNDS WITH HECTO-</t>
  </si>
  <si>
    <t>RITE</t>
  </si>
  <si>
    <t>0071011-27-3</t>
  </si>
  <si>
    <t>QUARTERNARY AMMONIUM COMPOUNDS, BIS(HYDROGENATED TAL-</t>
  </si>
  <si>
    <t>LOW ALKYL)DIMETHYL, CHLORIDES, COMPOUNDS WITH HECTORITE</t>
  </si>
  <si>
    <t>0071216-01-8</t>
  </si>
  <si>
    <t>UREA, N,N''-1,5-NAPHTHALENEDIYLBIS[N'-[3-[(2-ETHYLHE-</t>
  </si>
  <si>
    <t>XYL)OXY]PROPYL]-</t>
  </si>
  <si>
    <t>0072102-84-2</t>
  </si>
  <si>
    <t>2,4,6(1H,3H,5H)-PYRIMIDINETRIONE, 5-[(2,3-DIHYDRO-6-METHYL-2-OXO-</t>
  </si>
  <si>
    <t>1H-BENZIMIDAZOL-5-YL)AZO]-</t>
  </si>
  <si>
    <t>0072623-83-7</t>
  </si>
  <si>
    <t>LUBRICATING OILS (PETROLEUM), C&gt;25, HYDROTREATED BRIGHT</t>
  </si>
  <si>
    <t>STOCK-BASED</t>
  </si>
  <si>
    <t>0072623-86-0</t>
  </si>
  <si>
    <t>LUBRICATING OILS (PETROLEUM), C15-30, HYDROTREATED NEUTRAL</t>
  </si>
  <si>
    <t>OIL-BASED</t>
  </si>
  <si>
    <t>0073038-25-2</t>
  </si>
  <si>
    <t>POLY(OXY-1,2-ETHANEDIYL), ALPHA-ISOTRIDECYLOMEGA-HYDROXY-,</t>
  </si>
  <si>
    <t>0073398-61-5</t>
  </si>
  <si>
    <t>GLYCERIDES, MIXED DECANOYL AND OCTANOYL</t>
  </si>
  <si>
    <t>0073398-89-7</t>
  </si>
  <si>
    <t>BASIC VIOLET 11:1</t>
  </si>
  <si>
    <t>0073570-52-2</t>
  </si>
  <si>
    <t>PHENOXAZIN-5-IUM, 3,7-BIS(DIETHYLAMINO)-, NITRATE</t>
  </si>
  <si>
    <t>0073665-22-2</t>
  </si>
  <si>
    <t>POLY(OXY-1,2,ETHANEDIYL), ALPHA-SULFO- OMEGA - HYDROXY-, C6-</t>
  </si>
  <si>
    <t>10-ALKYL ETHERS, SODIUM SALTS</t>
  </si>
  <si>
    <t>0073718-60-2</t>
  </si>
  <si>
    <t>2-NAPHTHALENECARBOXYLIC ACID, 3-HYDROXY-4-[(4-METHYL-3-</t>
  </si>
  <si>
    <t>SULFOPHENYL)AZO]-, CALCIUM SALT</t>
  </si>
  <si>
    <t>0074499-36-8</t>
  </si>
  <si>
    <t>9,10-ANTHRACENEDIONE, 1,4-DIAMINO-, N,N'-MIXED 2-ETHYLHEXYL</t>
  </si>
  <si>
    <t>AND ME AND PENTYL DERIVATIVES</t>
  </si>
  <si>
    <t>0074811-65-7</t>
  </si>
  <si>
    <t>CROSCARMELLOSE SODIUM</t>
  </si>
  <si>
    <t>0075247-18-6</t>
  </si>
  <si>
    <t>COPPER,[N,N, N',N',N",N"-HEXAETHYL-29H,31HPHTHALOCYANINE- C,C,C-TRIMETHANAMINATO(2-)-N29,N39, N31,N32]-,TRIS(DODECYLBEN-</t>
  </si>
  <si>
    <t>ZENESULFONATE)</t>
  </si>
  <si>
    <t>0075673-43-7</t>
  </si>
  <si>
    <t>3,4,4-TRIMETHYLOXAZOLIDINE</t>
  </si>
  <si>
    <t>0078266-09-8</t>
  </si>
  <si>
    <t>1-PROPANESULFONIC ACID, 2-HYDROXY-3-(2-PROPENYLOXY)-MONO-</t>
  </si>
  <si>
    <t>SODIUM SALT, POLYMER WITH 2-</t>
  </si>
  <si>
    <t>0078330-20-8</t>
  </si>
  <si>
    <t>ALCOHOLS, C9-11-ISO-, C10-RICH, ETHOXYLATED</t>
  </si>
  <si>
    <t>0078330-21-9</t>
  </si>
  <si>
    <t>ALCOHOLS C11-C14 ISO-, C13-RICH, ETHOXYLATED</t>
  </si>
  <si>
    <t>0078330-24-2</t>
  </si>
  <si>
    <t>POLY(OXY-1,2-ETHANEDIYL),ALPHA-HYDRO-OMEGAHYDROXY-, MO-</t>
  </si>
  <si>
    <t>NO C11-C14-ISOALKYL ETHERS, C13-RICH, PHOSPHATES</t>
  </si>
  <si>
    <t>0078491-02-8</t>
  </si>
  <si>
    <t>DIAZOLIDINYL UREA</t>
  </si>
  <si>
    <t>0079620-91-0</t>
  </si>
  <si>
    <t>DIACETYL TARTARIC ESTERS OF MONO AND DIGLYCERIDES OF EDI-</t>
  </si>
  <si>
    <t>BLE FATTY ACIDS</t>
  </si>
  <si>
    <t>0080206-82-2</t>
  </si>
  <si>
    <t>ALCOHOLS, C12-C14</t>
  </si>
  <si>
    <t>0080455-45-4</t>
  </si>
  <si>
    <t>CELLULOSE, HEXADECYL 2-HYDROXYETHYL ETHER</t>
  </si>
  <si>
    <t>0084133-50-6</t>
  </si>
  <si>
    <t>ALCOHOLS, C12-14-SECONDARY, ETHOXYLATED</t>
  </si>
  <si>
    <t>0084649-84-3</t>
  </si>
  <si>
    <t>DIMETHYL C12-14 AMINE</t>
  </si>
  <si>
    <t>0084681-71-0</t>
  </si>
  <si>
    <t>HYDROGENATED RAPESEED OIL</t>
  </si>
  <si>
    <t>0084775-78-0</t>
  </si>
  <si>
    <t>ASCOPHYLLUM NODOSUM, EXTRACT</t>
  </si>
  <si>
    <t>0084852-15-3</t>
  </si>
  <si>
    <t>4-NONYLPHENOL, BRANCHED</t>
  </si>
  <si>
    <t>0084989-14-0</t>
  </si>
  <si>
    <t>BENZENESULFONIC ACID, 4-C10-13-SEC-ALKYL DERIVATIVES, CAL-</t>
  </si>
  <si>
    <t>CIUM SALTS</t>
  </si>
  <si>
    <t>0085117-50-6</t>
  </si>
  <si>
    <t>BENZENESULFONIC ACID, MONO-C10-14-ALKYL DERIVATIVES, CAL-</t>
  </si>
  <si>
    <t>0085203-81-2</t>
  </si>
  <si>
    <t>HEXANOIC ACID, 2-ETHYL-, ZINC SALT, BASIC</t>
  </si>
  <si>
    <t>0085507-79-5</t>
  </si>
  <si>
    <t>1,2-BENZENEDICARBOXYLIC ACID, DIUNDECYL ESTER, BRANCHED</t>
  </si>
  <si>
    <t>0085586-25-0</t>
  </si>
  <si>
    <t>FATTY ACIDS, RAPE-OIL, ME ESTERS</t>
  </si>
  <si>
    <t>0085637-75-8</t>
  </si>
  <si>
    <t>OXIRANE, METHYL-, POLYMER WITH OXIRANE, MONO[2-(2-BUTOXYE-</t>
  </si>
  <si>
    <t>THOXY ) ETHYL] ETHER</t>
  </si>
  <si>
    <t>0085711-55-3</t>
  </si>
  <si>
    <t>FATTY ACID, TALL-OIL, COMPOUNDS WITH OLEYLAMINE</t>
  </si>
  <si>
    <t>0085736-49-8</t>
  </si>
  <si>
    <t>FATTY ACIDS, C14-18 AND C16-18-UNSATD., ESTERS WITH ETHYLENE</t>
  </si>
  <si>
    <t>GLYCOL</t>
  </si>
  <si>
    <t>HEXAFLUMURON</t>
  </si>
  <si>
    <t>0088526-46-9</t>
  </si>
  <si>
    <t>FATTY ACIDS, TALL-OIL, POLYMERS WITH ET ACRYLATE, 2-HYDRO- XYETHYL METHACRYLATE, ISOPHTHALIC ACID, ME METHACRYLATE, METHACRYLIC ACID, TRIMELLITIC ACID AND TRIMETHYLOLPROPA-</t>
  </si>
  <si>
    <t>NE</t>
  </si>
  <si>
    <t>0090045-36-6</t>
  </si>
  <si>
    <t>GINKGO BILOBA L., ROOT EXTRACT</t>
  </si>
  <si>
    <t>0090093-37-1</t>
  </si>
  <si>
    <t>POLYARYLPHENOL PHOSPHATE</t>
  </si>
  <si>
    <t>0090194-26-6</t>
  </si>
  <si>
    <t>BENZENESULFONIC ACID, 4-C10-14-ALKYL DERIVATIVES, CALCIUM</t>
  </si>
  <si>
    <t>0090194-36-8</t>
  </si>
  <si>
    <t>BENZENESULFONIC ACID, MONO-C10-13-ALKYL DERIVS., CALCIUM</t>
  </si>
  <si>
    <t>0090194-45-9</t>
  </si>
  <si>
    <t>BENZENESULFONIC ACID, MONO-C10-13-ALKYL DERIVATIVES, SO-</t>
  </si>
  <si>
    <t>DIUM SALTS</t>
  </si>
  <si>
    <t>0090459-08-8</t>
  </si>
  <si>
    <t>NAPHTHALENESULFONIC ACID, TRIPROPYLENE-, METHYLATED, SO-</t>
  </si>
  <si>
    <t>0090622-57-4</t>
  </si>
  <si>
    <t>ALKANES, C9-12-ISO-</t>
  </si>
  <si>
    <t>0091053-39-3</t>
  </si>
  <si>
    <t>DIATOMACEOUS EARTH, CALCINED</t>
  </si>
  <si>
    <t>0092113-31-0</t>
  </si>
  <si>
    <t>HYDROLYZED COLLAGEN</t>
  </si>
  <si>
    <t>0092908-31-1</t>
  </si>
  <si>
    <t>PHOSPHOROUS ACID, MIXED 2-(2-BUTOXYETHOXY)ETHYL AND NO-</t>
  </si>
  <si>
    <t>NYLPHENYL ESTERS</t>
  </si>
  <si>
    <t>0093385-03-6</t>
  </si>
  <si>
    <t>11-METHYL-3,6,9,12-TETRAOXAOCTACOSAN-1-OL ACETATE</t>
  </si>
  <si>
    <t>0093763-70-3</t>
  </si>
  <si>
    <t>PERLITE, EXPANDED</t>
  </si>
  <si>
    <t>0096949-21-2</t>
  </si>
  <si>
    <t>RHAMSAN GUM</t>
  </si>
  <si>
    <t>0097675-81-5</t>
  </si>
  <si>
    <t>FISH MEAL</t>
  </si>
  <si>
    <t>0097765-70-3</t>
  </si>
  <si>
    <t>CHEESE</t>
  </si>
  <si>
    <t>0098730-04-2</t>
  </si>
  <si>
    <t>2H-1,4-BENZOXAZINE, 4-(DICHLOROACETYL)-3,4-DIHYDRO-3-METHYL-</t>
  </si>
  <si>
    <t>0099607-70-2</t>
  </si>
  <si>
    <t>ACETIC ACID, [(5-CHLORO-8-QUINOLINYL)OXY]-, 1-METHYLHEXYL</t>
  </si>
  <si>
    <t>ESTER (9CL)</t>
  </si>
  <si>
    <t>0099734-09-5</t>
  </si>
  <si>
    <t>POLYETHYLENE GLYCOL MONO(TRISTYRYLPHENYL) ETHER</t>
  </si>
  <si>
    <t>0100085-39-0</t>
  </si>
  <si>
    <t>GLYCERIDES, C8-21 AND C8-21-UNSATD. MONO- AND DI-, 2-(ACETY- LOXY)-3-HYDROXYBUTANEDIOATES 2,3-BIS(ACETYLOXY)BUTANE-</t>
  </si>
  <si>
    <t>DIOATES</t>
  </si>
  <si>
    <t>0102980-04-1</t>
  </si>
  <si>
    <t>PHENOLSULFONIC ACID-PHENOL-FORMALDEHYDE-UREA CONDENSA-</t>
  </si>
  <si>
    <t>TE, SODIUM SALT</t>
  </si>
  <si>
    <t>0104133-09-7</t>
  </si>
  <si>
    <t>TETRAETHOXYSILANE, POLYMER WITH HEXAMETHYLDISILOXANE</t>
  </si>
  <si>
    <t>0104376-75-2</t>
  </si>
  <si>
    <t>POLY(OXY-1,2-ETHANEDIYL), ALPHA-PHENYL-OMEGAHYDROXY-, STY-</t>
  </si>
  <si>
    <t>RENATED</t>
  </si>
  <si>
    <t>0104780-71-4</t>
  </si>
  <si>
    <t>POLYDIMETHYLSILOXANE, ((2-OCTYLDODECYL)OXY)-</t>
  </si>
  <si>
    <t>0105362-40-1</t>
  </si>
  <si>
    <t>TRIETHANOLAMINE, COMPOUND WITH POLY(OXYETHYLENE) TRIS-</t>
  </si>
  <si>
    <t>TYRYLPHENYL ETHER PHOSPHATE</t>
  </si>
  <si>
    <t>0105859-97-0</t>
  </si>
  <si>
    <t>LIGNIN, ALKALI, REACTION PRODUCTS WITH DISODIUM SULFITE</t>
  </si>
  <si>
    <t>AND FORMALDEHYDE</t>
  </si>
  <si>
    <t>0106842-44-8</t>
  </si>
  <si>
    <t>SILOXANES AND SILICONES, 3-((2-AMINOETHYL)-AMINO)-2-METHYL-</t>
  </si>
  <si>
    <t>PROPYL ME, DI-ME</t>
  </si>
  <si>
    <t>0107712-67-4</t>
  </si>
  <si>
    <t>DISTILLATES (PETROLEUM), CATALYTIC REFORMER FRACTIONATOR</t>
  </si>
  <si>
    <t>RESIDUE, LOW-BOILING, SULFONATED, SODIUM SALT</t>
  </si>
  <si>
    <t>0108419-34-7</t>
  </si>
  <si>
    <t>ACETIC ACID, C9-11-BRANCHED ALKYL ESTERS, C10-RICH</t>
  </si>
  <si>
    <t>0111163-74-7</t>
  </si>
  <si>
    <t>RESIDUE, LOW-BOILING, SULFONATED, SODIUM SALTS 2</t>
  </si>
  <si>
    <t>0111330-30-4</t>
  </si>
  <si>
    <t>NAPHTHALENESULFONIC ACID, (1-METHYLPROPYL)-, SODIUM SALT</t>
  </si>
  <si>
    <t>0111381-89-6</t>
  </si>
  <si>
    <t>1,2-BENZENEDICARBOXYLIC ACID, HEPTYL NONYL ESTER, BRAN-</t>
  </si>
  <si>
    <t>CHED AND LINEAR</t>
  </si>
  <si>
    <t>0111381-90-9</t>
  </si>
  <si>
    <t>1,2-BENZENEDICARBOXYLIC ACID HEPTYL UNDECYL ESTER, BRAN-</t>
  </si>
  <si>
    <t>0111381-91-0</t>
  </si>
  <si>
    <t>1,2-BENZENEDICARBOXYLIC ACID, NONYL UNDECYL ESTER, BRAN-</t>
  </si>
  <si>
    <t>0112926-00-8</t>
  </si>
  <si>
    <t>SILICA GEL, PERCIPITATED, CRYSTALLINE-FREE</t>
  </si>
  <si>
    <t>0112945-52-5</t>
  </si>
  <si>
    <t>SILICA, AMORPHOUS, FUMED, CRYST.-FREE</t>
  </si>
  <si>
    <t>0119724-54-8</t>
  </si>
  <si>
    <t>METHYL METHACRYLATE-METHACRYLIC ACID MONOMETHOXYPO-</t>
  </si>
  <si>
    <t>LYETHYLENEGLYCOL METHACRYLATE COPOLYMER</t>
  </si>
  <si>
    <t>0120313-48-6</t>
  </si>
  <si>
    <t>ALCOHOLS, C12-15-BRANCHED AND LINEAR, ETHOXYLATED PROPO-</t>
  </si>
  <si>
    <t>XYLATED</t>
  </si>
  <si>
    <t>0120962-03-0</t>
  </si>
  <si>
    <t>CANOLA OIL</t>
  </si>
  <si>
    <t>0121250-47-3</t>
  </si>
  <si>
    <t>OCTADECADIENOIC ACID</t>
  </si>
  <si>
    <t>0121888-67-3</t>
  </si>
  <si>
    <t>QUARTERNARY AMMONIUM COMPOUNDS, BENZYLBIS(HYDROGENA-</t>
  </si>
  <si>
    <t>TED TALLOW ALKYL)METHYL, BIS(HYDROGENATED TALLOW)</t>
  </si>
  <si>
    <t>0121888-68-4</t>
  </si>
  <si>
    <t>QUARTERNARY AMMONIUM COMPOUNDS, BENZYL(HYDROGENATED</t>
  </si>
  <si>
    <t>TALLOW ALKYL)DIMETHYL, STEARATES, SALTS WITH BENTONITE</t>
  </si>
  <si>
    <t>0123465-33-8</t>
  </si>
  <si>
    <t>TRIGLYCERIDES, C8-12</t>
  </si>
  <si>
    <t>0125496-22-2</t>
  </si>
  <si>
    <t>ISOARACHIDYL NEOPENTANOATE</t>
  </si>
  <si>
    <t>0127036-24-2</t>
  </si>
  <si>
    <t>POLY(OXY-1,2-ETHANEDIYL),ALPHA-UNDECYL-OMEGAHYDROXY-,</t>
  </si>
  <si>
    <t>BRANCHED AND LINEAR</t>
  </si>
  <si>
    <t>0127087-87-0</t>
  </si>
  <si>
    <t>POLYETHYLENE GLYCOL, MONO(P-NONYLPHENOL) ETHER, BRAN-</t>
  </si>
  <si>
    <t>CHED</t>
  </si>
  <si>
    <t>0130498-22-5</t>
  </si>
  <si>
    <t>WHEAT FLOUR</t>
  </si>
  <si>
    <t>0131324-06-6</t>
  </si>
  <si>
    <t>POLY-TFE, ALPHA-CHLORO-OMEGA-(1-CHLORO-1-FLUOROETHYL)-</t>
  </si>
  <si>
    <t>0132778-08-6</t>
  </si>
  <si>
    <t>D-GLUCOPYRANOSE, OLIGOMERIC, C9-11-ALKYL GLYCOSIDES</t>
  </si>
  <si>
    <t>0134134-87-5</t>
  </si>
  <si>
    <t>OAT PROTEIN</t>
  </si>
  <si>
    <t>0134180-76-0</t>
  </si>
  <si>
    <t>OXIRANE, METHYL-, POLYMER WITH OXIRANE, MONO[3-[1,3,3,3-TE- TRAMETHYL-1-[(TRIMETHYLSILYL)OXY]DISILOXANYL]PROPYL]</t>
  </si>
  <si>
    <t>0135590-91-9</t>
  </si>
  <si>
    <t>DIETHYL-1-(2,4-DICHLOROLPHENYL)-5-METHYL-2-PYRAZOLIN-3,5-DI-</t>
  </si>
  <si>
    <t>CARBOXYLATE</t>
  </si>
  <si>
    <t>0137672-70-9</t>
  </si>
  <si>
    <t>POLYETHOXYLATED POLYARYLPHENOL SULFATE, AMMONIUM SALT</t>
  </si>
  <si>
    <t>0141959-43-5</t>
  </si>
  <si>
    <t>NAPHTHALENESULFONIC ACID, METHYL-, REACTION PRODUCTS WI-</t>
  </si>
  <si>
    <t>TH FORMALDEHYDE, SODIUM SALTS</t>
  </si>
  <si>
    <t>0144093-88-9</t>
  </si>
  <si>
    <t>BUTANEDIOIC ACID, SULFO-1,4-DIISODECYL ESTER AMMONIUM SALT</t>
  </si>
  <si>
    <t>0146340-15-0</t>
  </si>
  <si>
    <t>ALCOHOLS, C12-14-SECONDARY, BETA-(2-HYDROXYETHOXY), ETHO-</t>
  </si>
  <si>
    <t>0147900-93-4</t>
  </si>
  <si>
    <t>FATTY ACIDS, C18-UNSATURATED, TRIMERS, COMPOUNDS WITH</t>
  </si>
  <si>
    <t>OLEYLAMINE</t>
  </si>
  <si>
    <t>0152143-22-1</t>
  </si>
  <si>
    <t>POLY(OXY-1,2-ETHANEDIYL), ALPHA-(4-NONYLPHENYL)-OMEGA-HY-</t>
  </si>
  <si>
    <t>DROXY-, BRANCHED, PHOSPHATES</t>
  </si>
  <si>
    <t>0152143-23-2</t>
  </si>
  <si>
    <t>OXIRANE, METHYL-, POLYMER WITH OXIRANE, MONO(4-NONYLPHE- NYL) ETHER, BRANCHED</t>
  </si>
  <si>
    <t>0160611-49-4</t>
  </si>
  <si>
    <t>BENZENE, ETHENYL-, TELOMER WITH 2,5-FURANDIONE AND (1-ME-</t>
  </si>
  <si>
    <t>THYLETHYL)BENZENE, 2-BUTOXYETHYL ESTER, AMMONIUM SALT</t>
  </si>
  <si>
    <t>0163436-84-8</t>
  </si>
  <si>
    <t>POLYOXYETHYLENE TRISTYRYLPHENOL PHOSPHATE, POTASSIUM</t>
  </si>
  <si>
    <t>0163440-89-9</t>
  </si>
  <si>
    <t>POLY-TFE, ALPHA-HYDRO-OMEGA-(2,2-DICHLORO-2-FLUOROETHYL)-</t>
  </si>
  <si>
    <t>0163520-33-0</t>
  </si>
  <si>
    <t>3-ISOXAZOLECARBOXYLIC ACID, 4,5-DIHYDRO-5,5-DIPHENYL-, ETHYL</t>
  </si>
  <si>
    <t>0170424-64-3</t>
  </si>
  <si>
    <t>SILOXANES AND SILICONES, HYDROXY ME, ME OCTYL, ME(GAMMA- OMEGA-PERFLUORO C8-14-ALKYL)-OXY, ETHERS WITH POLYETHYLE-</t>
  </si>
  <si>
    <t>NE GLYCOL MONOMETHYL ETHER</t>
  </si>
  <si>
    <t>0176022-82-5</t>
  </si>
  <si>
    <t>POLY[OXY(METHYL-1,2-ETHANEDIYL)], ALPHA-[2-[BIS(2-HYDROXYE- THYL)AMINO]PROPYL]-OMEGA-HYDROXY-, ETHER WITH ALPHA-HY- DRO-OMEGA-HYDROXYPOLY(OXY-1,2-ETHANEDIYL) (1:2), MONO-C12-</t>
  </si>
  <si>
    <t>16 ALKYL ETHERS</t>
  </si>
  <si>
    <t>0197178-94-2</t>
  </si>
  <si>
    <t>PROPANOL, 1(OR 2)-(2-PROPENYLOXY)-,BENZOATE</t>
  </si>
  <si>
    <t>0222716-38-3</t>
  </si>
  <si>
    <t>FATTY ACIDS, TALL-OIL, ESTERS WITH POLYETHYLENE GLYCOL MO- NO-(HYDROGEN MALEATE), COMPDS. WITH AMIDES FROM DIETHY-</t>
  </si>
  <si>
    <t>LENETRIAMINE AND TALL-OIL FATTY ACIDS</t>
  </si>
  <si>
    <t>0311810-35-2</t>
  </si>
  <si>
    <t>DODECYLBENZENE SULFONIC ACID, AMINOETHYLETHANOLAMINE</t>
  </si>
  <si>
    <t>0319926-68-6</t>
  </si>
  <si>
    <t>BENZENESULFONIC ACID, DODECYL-, BRANCHED, COMPDS. WITH</t>
  </si>
  <si>
    <t>N,N,-DIMETHYL-1,3-PROPANEDIAMINE (2:1)</t>
  </si>
  <si>
    <t>0324751-11-3</t>
  </si>
  <si>
    <t>DODECYLBENZENE SULFONIC ACID, BUTYLAMINE SALT</t>
  </si>
  <si>
    <t>ALOE BARBADENSIS</t>
  </si>
  <si>
    <t>AUTOLYZED YEAST</t>
  </si>
  <si>
    <t>CAPRYL ADIPATE</t>
  </si>
  <si>
    <t>CASSIA GUM</t>
  </si>
  <si>
    <t>CITRONELLA JAVA (CYMBOPOGON WINTERIANUS)</t>
  </si>
  <si>
    <t>CONDENSATION PRODUCT OF FORMALDEHYDE AND SODIUM NAPH-</t>
  </si>
  <si>
    <t>THALENE SULFONATE</t>
  </si>
  <si>
    <t>COPOLYMER OF ACRYLATES, STYRENE AND ACRYLIC NITRILE</t>
  </si>
  <si>
    <t>DARK HARD VOLCANIC ROCK</t>
  </si>
  <si>
    <t>DI(COCOALKYL)METHYLAMINE HYDROCHLORIDES</t>
  </si>
  <si>
    <t>FATTY ACIDS, SUNFLOWER OIL, CONJUGATED, REACTION PRODUCTS</t>
  </si>
  <si>
    <t>WITH TRIETHANOLAMINE</t>
  </si>
  <si>
    <t>FIR NEEDLES</t>
  </si>
  <si>
    <t>HYDROLYZED CORN PROTEIN</t>
  </si>
  <si>
    <t>HYDROLYZED SOY PROTEIN</t>
  </si>
  <si>
    <t>HYDROLYZED WHEAT PROTEIN</t>
  </si>
  <si>
    <t>LINSEED OIL, POLYMERIZED, REACTION PRODUCTS WITH MALEIC</t>
  </si>
  <si>
    <t>ANHYDRIDE, 2-BUTOXYETHANOL AND TRIETHANOLAMINE</t>
  </si>
  <si>
    <t>MACHILUS THUNBERGII (TREE)</t>
  </si>
  <si>
    <t>MONO- AND DIGLYCERIDES OF EDIBLE FATS OR OILS</t>
  </si>
  <si>
    <t>OCTYLACRYLAMIDE-ACRYLIC ACID-ISOBUTYL METHACRYLATE CO-</t>
  </si>
  <si>
    <t>POLYMER</t>
  </si>
  <si>
    <t>OIL OF FREESIA</t>
  </si>
  <si>
    <t>PHENOL, 2,4,6-TRIS(1-METHYL-1-PHENYLETHYL)-</t>
  </si>
  <si>
    <t>PHENOL, 4-(1,1,3,3-TETRAMETHYLBUTYL)-2-(1-METHYL-1-PHENYLE-</t>
  </si>
  <si>
    <t>THYL)-</t>
  </si>
  <si>
    <t>PINE NEEDLES</t>
  </si>
  <si>
    <t>POLYVINYL ALCOHOL COPOLYMER, SODIUM SALTS</t>
  </si>
  <si>
    <t>POTASSIUM LINOLENATE</t>
  </si>
  <si>
    <t>POTASSIUM MARGARATE</t>
  </si>
  <si>
    <t>POTASSIUM MYRISTOLEATE</t>
  </si>
  <si>
    <t>POTASSIUM PALMITOLEATE</t>
  </si>
  <si>
    <t>RATTAN POWDER</t>
  </si>
  <si>
    <t>SILICA TREATED WITH TRIMETHYLSILYLOXY- AND ISOPROPYLOXY-</t>
  </si>
  <si>
    <t>TERMINATED SILICA AND DI-METHYL SILOXANES</t>
  </si>
  <si>
    <t>SODIUM ISOPROPYLISOHEXYLNAPHTHALENESULFONATE</t>
  </si>
  <si>
    <t>SPRUCE NEEDLES</t>
  </si>
  <si>
    <t>VINYL ACETATE-ACRYLIC ACID COPOLYMER</t>
  </si>
  <si>
    <t>ALFALFA</t>
  </si>
  <si>
    <t>ANIMAL FATS</t>
  </si>
  <si>
    <t>APPLE</t>
  </si>
  <si>
    <t>BARLEY</t>
  </si>
  <si>
    <t>BEEF FAT</t>
  </si>
  <si>
    <t>BEEF STOCK</t>
  </si>
  <si>
    <t>BEET MOLASSES</t>
  </si>
  <si>
    <t>BREAD CRUMBS</t>
  </si>
  <si>
    <t>CANARY SEEDS</t>
  </si>
  <si>
    <t>COCONUT SHELL POWDER/FLOUR</t>
  </si>
  <si>
    <t>COLLOIDAL OATMEAL PROTEIN</t>
  </si>
  <si>
    <t>CORN</t>
  </si>
  <si>
    <t>CORN DISTILLERS DRIED GRAINS WITH SOLUBLES</t>
  </si>
  <si>
    <t>DOUGLAS FIR BARK</t>
  </si>
  <si>
    <t>FLAVOUR, ANISEED</t>
  </si>
  <si>
    <t>FLAVOUR, BACON</t>
  </si>
  <si>
    <t>GLYCERIDES, PALM OIL, MONO- AND DI-, HYDROGENATED</t>
  </si>
  <si>
    <t>HYDROLYZED ANIMAL PROTEIN</t>
  </si>
  <si>
    <t>MILLET SEED</t>
  </si>
  <si>
    <t>MIXED FATTY ACIDS</t>
  </si>
  <si>
    <t>OATS</t>
  </si>
  <si>
    <t>OLEO</t>
  </si>
  <si>
    <t>PEAT MOSS</t>
  </si>
  <si>
    <t>POULTRY LIVER</t>
  </si>
  <si>
    <t>RICE</t>
  </si>
  <si>
    <t>SAWDUST</t>
  </si>
  <si>
    <t>SORGHUM</t>
  </si>
  <si>
    <t>WALNUT SHELLS (INCLUDING GRIT BUT NOT INCLUDING FLOUR)</t>
  </si>
  <si>
    <t>WOOD (NOT INCLUDING FLOUR)</t>
  </si>
  <si>
    <t>CRUSTACEA (SHRIMP)</t>
  </si>
  <si>
    <t>FISH (RAW AND PROCESSED FORMS)</t>
  </si>
  <si>
    <t>GUM POWDER</t>
  </si>
  <si>
    <t>MILK (RAW AND PROCESSED FORMS)</t>
  </si>
  <si>
    <t>PEANUT SHELLS</t>
  </si>
  <si>
    <t>PEANUTS (RAW AND PROCESSED FORMS)</t>
  </si>
  <si>
    <t>SILKWORM PUPAE</t>
  </si>
  <si>
    <t>SOYBEAN HULLS</t>
  </si>
  <si>
    <t>SOYBEANS</t>
  </si>
  <si>
    <t>WHEAT (RAW AND PROCESSED FORMS)</t>
  </si>
  <si>
    <t>WOOD FLOUR</t>
  </si>
  <si>
    <t>0000075-21-8</t>
  </si>
  <si>
    <t>Oxirane, Ethylene oxide, Epoxyethane</t>
  </si>
  <si>
    <t>0000103-09-3</t>
  </si>
  <si>
    <t>Acetic acid, 2-ethylhexyl ester</t>
  </si>
  <si>
    <t>0000548-62-9</t>
  </si>
  <si>
    <t>Crystal Violet, Basic Violet 3, p-rosaniline hydrochloride, gentian violet, aniline violet</t>
  </si>
  <si>
    <t>0000622-45-7</t>
  </si>
  <si>
    <t>Cyclohexyl acetate</t>
  </si>
  <si>
    <t>0003055-96-7</t>
  </si>
  <si>
    <t>hexaethylene glycol monododecyl ether</t>
  </si>
  <si>
    <t>0004129-84-4</t>
  </si>
  <si>
    <t>Acid violet</t>
  </si>
  <si>
    <t>0007631-86-9</t>
  </si>
  <si>
    <t>Silicon dioxide (crystalline-free forms only)</t>
  </si>
  <si>
    <t>0009004-83-5</t>
  </si>
  <si>
    <t>Dodecyl Mercaptan, Ethoxylated</t>
  </si>
  <si>
    <t>0011117- 11- 6</t>
  </si>
  <si>
    <t>Calcium bis(tetrapropylenebenzenesulphonate)</t>
  </si>
  <si>
    <t>0055965-84-9</t>
  </si>
  <si>
    <t>5-chloro-2-methyl-2H-isothiazol-3-one, mixture with 2-methyl-2H-isothiazol-3-one (3:1)</t>
  </si>
  <si>
    <t>0061791-12-6</t>
  </si>
  <si>
    <t>Castor Oil, Ethoxylated</t>
  </si>
  <si>
    <t>0061791-26-2</t>
  </si>
  <si>
    <t>Amines, Tallow Alkyl, Ethoxylated</t>
  </si>
  <si>
    <t>0063148-52-7</t>
  </si>
  <si>
    <t>Siloxanes and silicones, di-Me, Me Ph</t>
  </si>
  <si>
    <t>0063148-62-9</t>
  </si>
  <si>
    <t>Silicones And Siloxanes, Dimethyl</t>
  </si>
  <si>
    <t>0063149-62-9</t>
  </si>
  <si>
    <t>Polydimethylsiloxanes</t>
  </si>
  <si>
    <t>0068308-53-2</t>
  </si>
  <si>
    <t>Soya fatty acids</t>
  </si>
  <si>
    <t>0068411-77-8</t>
  </si>
  <si>
    <t>Lignosulfonic acid calcium-magnesium salt</t>
  </si>
  <si>
    <t>0160875-66-1</t>
  </si>
  <si>
    <t>Poly(oxy-1,2-ethanediyl), .alpha.-(2-propylheptyl)-.omega.-hydroxy-</t>
  </si>
  <si>
    <t>0000506-87-6</t>
  </si>
  <si>
    <t>Ammonium carbonate, Carbonic acid, diammonium salt</t>
  </si>
  <si>
    <t>0026545-53-9</t>
  </si>
  <si>
    <t>dodecylbenzenesulphonic acid, compound with 2,2'-iminodiethanol (1:1))</t>
  </si>
  <si>
    <t>Oleic acid</t>
  </si>
  <si>
    <t>0091078-64-7</t>
  </si>
  <si>
    <t>Naphthalenesulfonic acids, branched and linear Bu derivs., sodium salts</t>
  </si>
  <si>
    <t>2-Propenoic acid, 2-methyl- polymer with alfa.-methyl-.omega.-hydroxypoly(oxy-1,2-ethanediyl) and methyl 2-methyl-2-propenoate, graft</t>
  </si>
  <si>
    <t>0159002-21-8</t>
  </si>
  <si>
    <t>siloxanes and silicones, di-me,polymers with silica-1,1,1-trimethyl-n-(trimethylsilyl)silanamine</t>
  </si>
  <si>
    <t>0119432-41-6</t>
  </si>
  <si>
    <t>Poly (oxy-1,2-ethanediyl),alfa.-sulfo-omega.-2,4,6-tris(1-phenylethyl)phenoxy- ammonium salt-Sulfo-[2,4,6-tris(1-phenylethyl)phenoxy]poly(oxy-1,2-ethanediyl) ammonium salt</t>
  </si>
  <si>
    <t>Polyethylene-polypropylene glycol</t>
  </si>
  <si>
    <t>0000079-33-4</t>
  </si>
  <si>
    <t>L(+)-Lactic acid</t>
  </si>
  <si>
    <t>Ethylene oxide</t>
  </si>
  <si>
    <t>Silica gel</t>
  </si>
  <si>
    <t>0014548-60-8</t>
  </si>
  <si>
    <t>(benzyloxy)methanol</t>
  </si>
  <si>
    <t>5-Chloro-2-methyl-3(2H)-isothiazolone with 2-methyl-3(2H)-isothiazolone</t>
  </si>
  <si>
    <t>0011138- 66- 2</t>
  </si>
  <si>
    <t>Xanthan gum</t>
  </si>
  <si>
    <t>0036290-04-7</t>
  </si>
  <si>
    <t>Sodium salt of polynaphthalene sulphonic acid</t>
  </si>
  <si>
    <t>0077536-68-6</t>
  </si>
  <si>
    <t>0092045-53-9</t>
  </si>
  <si>
    <t>resposta_n_cas</t>
  </si>
  <si>
    <t>ingrediente_ativo</t>
  </si>
  <si>
    <t>Componente_proibido</t>
  </si>
  <si>
    <t>return</t>
  </si>
  <si>
    <t>ACIDIFICANTE</t>
  </si>
  <si>
    <t>ADITIVO</t>
  </si>
  <si>
    <t>ADJUVANTE</t>
  </si>
  <si>
    <t>AGENTE DE ENCAPSULAMENTO</t>
  </si>
  <si>
    <t>AGENTE DE VISCOSIDADE</t>
  </si>
  <si>
    <t>AGENTE SUSPENSOR</t>
  </si>
  <si>
    <t>AGLUTINANTE</t>
  </si>
  <si>
    <t>ALCALINIZANTE</t>
  </si>
  <si>
    <t>ANTIAGLUTINANTE</t>
  </si>
  <si>
    <t>ANTICONGELANTE</t>
  </si>
  <si>
    <t>ANTIESPUMANTE</t>
  </si>
  <si>
    <t>ANTIOXIDANTE</t>
  </si>
  <si>
    <t>BACTERIOSTÁTICO</t>
  </si>
  <si>
    <t>BIOCIDA</t>
  </si>
  <si>
    <t>CARGA</t>
  </si>
  <si>
    <t>CARREADOR</t>
  </si>
  <si>
    <t>COADJUVANTE A SECAGEM</t>
  </si>
  <si>
    <t>CONSERVANTE</t>
  </si>
  <si>
    <t>CORANTE</t>
  </si>
  <si>
    <t>CO-SOLVENTE</t>
  </si>
  <si>
    <t>DILUENTE</t>
  </si>
  <si>
    <t>DISPERSANTE</t>
  </si>
  <si>
    <t>EMOLIENTE</t>
  </si>
  <si>
    <t>EMULSIONANTE</t>
  </si>
  <si>
    <t>ESPESSANTE</t>
  </si>
  <si>
    <t>ESTABILIZANTE</t>
  </si>
  <si>
    <t>EXCIPIENTE</t>
  </si>
  <si>
    <t>FIXADOR</t>
  </si>
  <si>
    <t>FUNGICIDA</t>
  </si>
  <si>
    <t>HIDRATANTE</t>
  </si>
  <si>
    <t>INGREDIENTE ATIVO</t>
  </si>
  <si>
    <t>LEVIGANTE</t>
  </si>
  <si>
    <t>NEUTRALIZANTE</t>
  </si>
  <si>
    <t>NUTRIENTE</t>
  </si>
  <si>
    <t>PRESERVANTE</t>
  </si>
  <si>
    <t>PROTETOR SOLAR</t>
  </si>
  <si>
    <t>PROTETOR UV</t>
  </si>
  <si>
    <t>QUELANTE</t>
  </si>
  <si>
    <t>SEQUESTRANTE</t>
  </si>
  <si>
    <t>SOLVENTE</t>
  </si>
  <si>
    <t>SUBSTRATO</t>
  </si>
  <si>
    <t>SURFACTANTE</t>
  </si>
  <si>
    <t>TAMPONANTE</t>
  </si>
  <si>
    <t>TENSOATIVO</t>
  </si>
  <si>
    <t>UMECTANTE</t>
  </si>
  <si>
    <t>VEÍCULO</t>
  </si>
  <si>
    <t>LUBRIFICANTE</t>
  </si>
  <si>
    <t>ATRATIVO</t>
  </si>
  <si>
    <t>INGREDIENTE ATIVO (SAL)</t>
  </si>
  <si>
    <t>proibidos_cas</t>
  </si>
  <si>
    <t>proibidos_nome</t>
  </si>
  <si>
    <t>proibidos_concat</t>
  </si>
  <si>
    <t>proibidos_format</t>
  </si>
  <si>
    <t>procura_nome_componente</t>
  </si>
  <si>
    <t>Composição - Componentes</t>
  </si>
  <si>
    <t>Existe comp. Proibido? &gt;&gt;</t>
  </si>
  <si>
    <t>Nominal_total&gt;&gt;</t>
  </si>
  <si>
    <t>Nominal_total_format&gt;&gt;</t>
  </si>
  <si>
    <t>índices monográficos</t>
  </si>
  <si>
    <t>Linha</t>
  </si>
  <si>
    <t>Limitação do protótipo: 30 linhas para certificados</t>
  </si>
  <si>
    <t>l</t>
  </si>
  <si>
    <t>Lista de ingredientes ativos para combobox</t>
  </si>
  <si>
    <t>Formulador_manipulador</t>
  </si>
  <si>
    <t>Formulador</t>
  </si>
  <si>
    <t>Manipulador</t>
  </si>
  <si>
    <t>Formulador e manipulador</t>
  </si>
  <si>
    <t>Não se aplica</t>
  </si>
  <si>
    <t>não_se_aplica</t>
  </si>
  <si>
    <t>ingredientes_filtrados</t>
  </si>
  <si>
    <t>Se a quantidade de estudos informados for superior a 20, deve-se informar no campo "Observações" que não foram informados todos os estudos físico-químicos devido a limitação do protótipo.</t>
  </si>
  <si>
    <t>F&amp;Q</t>
  </si>
  <si>
    <t>Todos os testes obrigatórios foram preenchidos</t>
  </si>
  <si>
    <t>Falta 1 teste obrigatório ser preenchido</t>
  </si>
  <si>
    <t xml:space="preserve">Faltam </t>
  </si>
  <si>
    <t xml:space="preserve"> testes obrigatórios a serem preenchidos</t>
  </si>
  <si>
    <t>Protocolos Up&amp;Down</t>
  </si>
  <si>
    <t>Nº 425: Acute oral Toxicity - Up-and-Down Procedure (17/12/2001 )</t>
  </si>
  <si>
    <t>Nº 425: Acute oral Toxicity - Up-and-Down Procedure (03/10/2008 )</t>
  </si>
  <si>
    <t>Macho</t>
  </si>
  <si>
    <t>Fêmea</t>
  </si>
  <si>
    <t>Sexo_individuo</t>
  </si>
  <si>
    <t>X</t>
  </si>
  <si>
    <t>Critérios de parada Up&amp;Down</t>
  </si>
  <si>
    <t>Três animais sobreviveram consecutivamente a maior dose testada.</t>
  </si>
  <si>
    <t>Cinco reversões ocorreram em quaisquer seis animais consecutivamente testados.</t>
  </si>
  <si>
    <t>Pelo menos quatro animais seguiram a primeira reversão e a taxa de probabilidade especificada excedeu o valor crítico</t>
  </si>
  <si>
    <t>Especificar outro critério de parada</t>
  </si>
  <si>
    <t>Desvios</t>
  </si>
  <si>
    <t>Up&amp;Down(1)</t>
  </si>
  <si>
    <t>Up&amp;Down(2)</t>
  </si>
  <si>
    <t>Dl50_Oral(1)</t>
  </si>
  <si>
    <t>Dl50_Oral(2)</t>
  </si>
  <si>
    <t>DL50_Cutanea(1)</t>
  </si>
  <si>
    <t>DL50_Cutanea(2)</t>
  </si>
  <si>
    <t>CL50(1)</t>
  </si>
  <si>
    <t>CL50(2)</t>
  </si>
  <si>
    <t>Irritacao_Ocular(1)</t>
  </si>
  <si>
    <t>Irritacao_Ocular(2)</t>
  </si>
  <si>
    <t>Irritacao_Cutanea(1)</t>
  </si>
  <si>
    <t>Irritacao_Cutanea(2)</t>
  </si>
  <si>
    <t>LLNA(1)</t>
  </si>
  <si>
    <t>LLNA(2)</t>
  </si>
  <si>
    <t>Sensibilizacao(1)</t>
  </si>
  <si>
    <t>Sensibilizacao(2)</t>
  </si>
  <si>
    <t>Ames(1)</t>
  </si>
  <si>
    <t>Ames(2)</t>
  </si>
  <si>
    <t>Micronucleo(1)</t>
  </si>
  <si>
    <t>Micronucleo(2)</t>
  </si>
  <si>
    <t>texto</t>
  </si>
  <si>
    <t>resposta</t>
  </si>
  <si>
    <t>Maior_que</t>
  </si>
  <si>
    <t>Esta aba só é consumido pelos formulários</t>
  </si>
  <si>
    <t>Protocolos DL50 Oral</t>
  </si>
  <si>
    <t>Nº 401: Acute Oral Toxicity (24/02/1987)</t>
  </si>
  <si>
    <t>Nº 420: Acute Oral Toxicity - Fixed Dose Procedure (17/12/2001)</t>
  </si>
  <si>
    <t>Nº 423: Acute Oral toxicity - Acute Toxic Class Method (17/12/2001)</t>
  </si>
  <si>
    <t>'Up&amp;Down(1)'!</t>
  </si>
  <si>
    <t>'Up&amp;Down(2)'!</t>
  </si>
  <si>
    <t>'Dl50_Oral(1)'!</t>
  </si>
  <si>
    <t>'Dl50_Oral(2)'!</t>
  </si>
  <si>
    <t>'DL50_Cutanea(1)'!</t>
  </si>
  <si>
    <t>'DL50_Cutanea(2)'!</t>
  </si>
  <si>
    <t>'CL50(1)'!</t>
  </si>
  <si>
    <t>'CL50(2)'!</t>
  </si>
  <si>
    <t>'Irritacao_Ocular(1)'!</t>
  </si>
  <si>
    <t>'Irritacao_Ocular(2)'!</t>
  </si>
  <si>
    <t>'Irritacao_Cutanea(1)'!</t>
  </si>
  <si>
    <t>'Irritacao_Cutanea(2)'!</t>
  </si>
  <si>
    <t>'LLNA(1)'!</t>
  </si>
  <si>
    <t>'LLNA(2)'!</t>
  </si>
  <si>
    <t>'Sensibilizacao(1)'!</t>
  </si>
  <si>
    <t>'Sensibilizacao(2)'!</t>
  </si>
  <si>
    <t>'Ames(1)'!</t>
  </si>
  <si>
    <t>'Ames(2)'!</t>
  </si>
  <si>
    <t>'Micronucleo(1)'!</t>
  </si>
  <si>
    <t>'Micronucleo(2)'!</t>
  </si>
  <si>
    <t>Protocolos DL50 Cutânea</t>
  </si>
  <si>
    <t>Nº 402: Acute Dermal Toxicity (24/02/1987)</t>
  </si>
  <si>
    <t>Nº 402: Acute Dermal Toxicity (09/10/2017)</t>
  </si>
  <si>
    <t>Dispensa</t>
  </si>
  <si>
    <t>Protocolos CL50</t>
  </si>
  <si>
    <t>Nº 403: Acute Inhalation Toxicity (12/05/1981)</t>
  </si>
  <si>
    <t>Nº 403: Acute Inhalation Toxicity (08/09/2009)</t>
  </si>
  <si>
    <t>Nº 433: Acute Inhalation Toxicity: Fixed Concentration Procedure (27/06/2018)</t>
  </si>
  <si>
    <t>Nº 433: Acute Inhalation Toxicity: Fixed Concentration Procedure (09/10/2017)</t>
  </si>
  <si>
    <t>Concentrações</t>
  </si>
  <si>
    <t>Linhas</t>
  </si>
  <si>
    <t>Resposta</t>
  </si>
  <si>
    <t>cl50_1_dispensa_1</t>
  </si>
  <si>
    <t>cl50_1_dispensa_2</t>
  </si>
  <si>
    <t>cl50_2_dispensa_1</t>
  </si>
  <si>
    <t>cl50_2_dispensa_2</t>
  </si>
  <si>
    <t>irrit_ocular_1_dispensa_1</t>
  </si>
  <si>
    <t>irrit_ocular_1_dispensa_2</t>
  </si>
  <si>
    <t>irrit_ocular_1_dispensa_3</t>
  </si>
  <si>
    <t>irrit_ocular_2_dispensa_1</t>
  </si>
  <si>
    <t>irrit_ocular_2_dispensa_2</t>
  </si>
  <si>
    <t>irrit_ocular_2_dispensa_3</t>
  </si>
  <si>
    <t>Protocolos Irritação ocular</t>
  </si>
  <si>
    <t>Nº 405: Acute Eye Irritation/Corrosion (24/02/1987)</t>
  </si>
  <si>
    <t>Nº 405: Acute Eye Irritation/Corrosion (24/04/2002)</t>
  </si>
  <si>
    <t>Nº 405: Acute Eye Irritation/Corrosion (02/10/2012)</t>
  </si>
  <si>
    <t>Nº 405: Acute Eye Irritation/Corrosion (09/10/2017)</t>
  </si>
  <si>
    <t>Dose irrit_ocular</t>
  </si>
  <si>
    <t>g/animal</t>
  </si>
  <si>
    <t>ml/animal</t>
  </si>
  <si>
    <t>Tempo de observação</t>
  </si>
  <si>
    <t>4 dias</t>
  </si>
  <si>
    <t>5 dias</t>
  </si>
  <si>
    <t>6 dias</t>
  </si>
  <si>
    <t>7 dias</t>
  </si>
  <si>
    <t>8 dias</t>
  </si>
  <si>
    <t>9 dias</t>
  </si>
  <si>
    <t>10 dias</t>
  </si>
  <si>
    <t>11 dias</t>
  </si>
  <si>
    <t>12 dias</t>
  </si>
  <si>
    <t>13 dias</t>
  </si>
  <si>
    <t>14 dias</t>
  </si>
  <si>
    <t>15 dias</t>
  </si>
  <si>
    <t>16 dias</t>
  </si>
  <si>
    <t>17 dias</t>
  </si>
  <si>
    <t>18 dias</t>
  </si>
  <si>
    <t>19 dias</t>
  </si>
  <si>
    <t>20 dias</t>
  </si>
  <si>
    <t>21 dias</t>
  </si>
  <si>
    <t>fluoresceina</t>
  </si>
  <si>
    <t>NR</t>
  </si>
  <si>
    <t>irrit_ocular_1_resultado_1</t>
  </si>
  <si>
    <t>irrit_ocular_1_resultado_2</t>
  </si>
  <si>
    <t>irrit_ocular_1_resultado_3</t>
  </si>
  <si>
    <t>irrit_ocular_1_resultado_4</t>
  </si>
  <si>
    <t>irrit_ocular_2_resultado_1</t>
  </si>
  <si>
    <t>irrit_ocular_2_resultado_2</t>
  </si>
  <si>
    <t>irrit_ocular_2_resultado_3</t>
  </si>
  <si>
    <t>irrit_ocular_2_resultado_4</t>
  </si>
  <si>
    <t>irrit_cutanea_1_dispensa_1</t>
  </si>
  <si>
    <t>irrit_cutanea_1_dispensa_2</t>
  </si>
  <si>
    <t>irrit_cutanea_1_dispensa_3</t>
  </si>
  <si>
    <t>irrit_cutanea_2_dispensa_1</t>
  </si>
  <si>
    <t>irrit_cutanea_2_dispensa_2</t>
  </si>
  <si>
    <t>irrit_cutanea_2_dispensa_3</t>
  </si>
  <si>
    <t>irrit_cutanea_1_resultado_1</t>
  </si>
  <si>
    <t>irrit_cutanea_1_resultado_2</t>
  </si>
  <si>
    <t>irrit_cutanea_1_resultado_3</t>
  </si>
  <si>
    <t>irrit_cutanea_1_resultado_4</t>
  </si>
  <si>
    <t>irrit_cutanea_1_resultado_5</t>
  </si>
  <si>
    <t>irrit_cutanea_1_resultado_6</t>
  </si>
  <si>
    <t>irrit_cutanea_2_resultado_1</t>
  </si>
  <si>
    <t>irrit_cutanea_2_resultado_2</t>
  </si>
  <si>
    <t>irrit_cutanea_2_resultado_3</t>
  </si>
  <si>
    <t>irrit_cutanea_2_resultado_4</t>
  </si>
  <si>
    <t>irrit_cutanea_2_resultado_5</t>
  </si>
  <si>
    <t>irrit_cutanea_2_resultado_6</t>
  </si>
  <si>
    <t>Protocolos Irritação cutânea</t>
  </si>
  <si>
    <t>Nº 404: Acute Dermal Irritation/Corrosion (12/05/1981)</t>
  </si>
  <si>
    <t>Nº 404: Acute Dermal Irritation/Corrosion (24/04/2002)</t>
  </si>
  <si>
    <t>Nº 404: Acute Dermal Irritation/Corrosion (28/07/2015)</t>
  </si>
  <si>
    <t>Irritação cutanea_dose</t>
  </si>
  <si>
    <t>Tabelas_fonte!$W$2&gt;&gt;</t>
  </si>
  <si>
    <t>Tabelas_fonte!$W$3&gt;&gt;</t>
  </si>
  <si>
    <t>Protocolos LLNA</t>
  </si>
  <si>
    <t>Nº 429: Skin Sensitisation: Local Lymph Node Assay (24/04/2002)</t>
  </si>
  <si>
    <t>Nº 429: Skin Sensitisation (23/07/2010)</t>
  </si>
  <si>
    <t>Nº 442B: Skin Sensitization (27/06/2018)</t>
  </si>
  <si>
    <t>Nº 442A: Skin Sensitization (23/07/2018)</t>
  </si>
  <si>
    <t>Normal</t>
  </si>
  <si>
    <t>Reduzido</t>
  </si>
  <si>
    <t>Similar</t>
  </si>
  <si>
    <t>Modificado</t>
  </si>
  <si>
    <t>llna_preliminar_solubilidade</t>
  </si>
  <si>
    <t>Tipo de abordagem</t>
  </si>
  <si>
    <t>por indivíduo</t>
  </si>
  <si>
    <t>por grupo</t>
  </si>
  <si>
    <t>Sexo_grupos</t>
  </si>
  <si>
    <t>Machos e Fêmeas</t>
  </si>
  <si>
    <t>N81</t>
  </si>
  <si>
    <t>Protocolos sensibilização</t>
  </si>
  <si>
    <t>Nº 406: Skin Sensitisation (17/07/1992)</t>
  </si>
  <si>
    <t xml:space="preserve">Método </t>
  </si>
  <si>
    <t>Buehler</t>
  </si>
  <si>
    <t>Maximização</t>
  </si>
  <si>
    <t>α-hexilcinamaldeido</t>
  </si>
  <si>
    <t>Mercaptobenzotiazol</t>
  </si>
  <si>
    <t>Benzocaína</t>
  </si>
  <si>
    <t>substancias_cp</t>
  </si>
  <si>
    <t>sensibilizacao_preliminar_dose_label1</t>
  </si>
  <si>
    <t>sensibilizacao_preliminar_dose_label2</t>
  </si>
  <si>
    <t>Tabelas_fonte!$AM$10&gt;&gt;</t>
  </si>
  <si>
    <t>Tabelas_fonte!$AM$11&gt;&gt;</t>
  </si>
  <si>
    <t>Método:</t>
  </si>
  <si>
    <t>N102</t>
  </si>
  <si>
    <t>Protocolos Ames</t>
  </si>
  <si>
    <t>Nº 471: Bacterial Reverse Mutation Test (21/07/1997)</t>
  </si>
  <si>
    <t>Salmonella typhimurium</t>
  </si>
  <si>
    <t>Salmonella typhimurium/Escherichia coli</t>
  </si>
  <si>
    <t>Tipo de teste</t>
  </si>
  <si>
    <t>Preliminar</t>
  </si>
  <si>
    <t>Definitivo (Experimento I)</t>
  </si>
  <si>
    <t>Definitivo (Experimento II)</t>
  </si>
  <si>
    <t>Medida</t>
  </si>
  <si>
    <t>μg/placa</t>
  </si>
  <si>
    <t>mg/placa</t>
  </si>
  <si>
    <t>Tipo de método - controle histórico</t>
  </si>
  <si>
    <t>Incorporação direta em placas</t>
  </si>
  <si>
    <t>Pré-incubação</t>
  </si>
  <si>
    <t>Ambos</t>
  </si>
  <si>
    <t>benzo(a)pireno</t>
  </si>
  <si>
    <t>outros_mutagenos</t>
  </si>
  <si>
    <t>Tipo de método para S9</t>
  </si>
  <si>
    <t>Condução de estudo com outro mutágeno</t>
  </si>
  <si>
    <t>Certificado de análise</t>
  </si>
  <si>
    <t>Sem repetição</t>
  </si>
  <si>
    <t>Duplicata</t>
  </si>
  <si>
    <t>Triplicata</t>
  </si>
  <si>
    <t>Replicatas</t>
  </si>
  <si>
    <t>Ativador</t>
  </si>
  <si>
    <t>Estudo conduzido apenas com ativação metabólica</t>
  </si>
  <si>
    <t>Estudo conduzido apenas sem ativação metabólica</t>
  </si>
  <si>
    <t>Estudo conduzido com e sem ativação metabólica</t>
  </si>
  <si>
    <t>N196</t>
  </si>
  <si>
    <t>Ames_resultados_com_media</t>
  </si>
  <si>
    <t>1_triplicata_label</t>
  </si>
  <si>
    <t>P</t>
  </si>
  <si>
    <t>'Triplicatas(1)'!</t>
  </si>
  <si>
    <t>N</t>
  </si>
  <si>
    <t>O</t>
  </si>
  <si>
    <t>Q</t>
  </si>
  <si>
    <t>R</t>
  </si>
  <si>
    <t>S</t>
  </si>
  <si>
    <t>T</t>
  </si>
  <si>
    <t>U</t>
  </si>
  <si>
    <t>TESTE I</t>
  </si>
  <si>
    <t>TESTE II</t>
  </si>
  <si>
    <t>TESTE III</t>
  </si>
  <si>
    <t>Estudo 1</t>
  </si>
  <si>
    <t>'Triplicatas(2)'!</t>
  </si>
  <si>
    <t>Protocolos Micronúcleo</t>
  </si>
  <si>
    <t>Nº 474: Mammalian Erythrocyte Micronucleus Test (21/07/1997)</t>
  </si>
  <si>
    <t>Nº 474: Mammalian Erythrocyte Micronucleus Test (26/09/2014)</t>
  </si>
  <si>
    <t>Nº 474: Mammalian Erythrocyte Micronucleus Test (29/07/2016)</t>
  </si>
  <si>
    <t>Tipo de de amostra</t>
  </si>
  <si>
    <t xml:space="preserve">Sangue periférico </t>
  </si>
  <si>
    <t>Medula óssea</t>
  </si>
  <si>
    <t>Vias de administração</t>
  </si>
  <si>
    <t>Intramuscular</t>
  </si>
  <si>
    <t>Intravenosa</t>
  </si>
  <si>
    <t>Oral</t>
  </si>
  <si>
    <t>Intraperitoneal</t>
  </si>
  <si>
    <t>Controle hitórico</t>
  </si>
  <si>
    <t>Literatura</t>
  </si>
  <si>
    <t>Estudos do laboratório</t>
  </si>
  <si>
    <t>Tempo de coleta</t>
  </si>
  <si>
    <t>Informar valor único</t>
  </si>
  <si>
    <t>Informar faixa para o tempo de coleta</t>
  </si>
  <si>
    <t xml:space="preserve">Sistema de análise </t>
  </si>
  <si>
    <t>Automatizado</t>
  </si>
  <si>
    <t>Manual (microscópio)</t>
  </si>
  <si>
    <t>Micronucleo_DMT</t>
  </si>
  <si>
    <t>Dose Máxima Tolerada - DMT (mg/kg pc) - Machos</t>
  </si>
  <si>
    <t>Dose Máxima Tolerada - DMT (mg/kg pc)</t>
  </si>
  <si>
    <t>Qual foi a dose de DL50 encontrada? (mg/kg pc) - Machos (?)</t>
  </si>
  <si>
    <t>Qual foi a dose de DL50 encontrada? (mg/kg pc) - Fêmeas (?)</t>
  </si>
  <si>
    <t>Micronucleos_grupos_preenchidos</t>
  </si>
  <si>
    <t>N133</t>
  </si>
  <si>
    <t>CN</t>
  </si>
  <si>
    <t>CP</t>
  </si>
  <si>
    <t>linha</t>
  </si>
  <si>
    <t>Grupo</t>
  </si>
  <si>
    <t>src</t>
  </si>
  <si>
    <t>Colunas</t>
  </si>
  <si>
    <t>M</t>
  </si>
  <si>
    <t>Y</t>
  </si>
  <si>
    <t>AA</t>
  </si>
  <si>
    <t>'Resultados_micro(1)'!</t>
  </si>
  <si>
    <t>Label_sexo</t>
  </si>
  <si>
    <t>Total</t>
  </si>
  <si>
    <t>Relatorio_classeuso</t>
  </si>
  <si>
    <t>Relatorio_produtotecnico</t>
  </si>
  <si>
    <t>Componente relevante</t>
  </si>
  <si>
    <t>relevantes_format</t>
  </si>
  <si>
    <t>relevantes_concat</t>
  </si>
  <si>
    <t>====</t>
  </si>
  <si>
    <t xml:space="preserve">Houve uma variabilidade pronunciada de respostas entre os animais, com efeitos positivos bem definidos em um único animal relacionados à exposição do produto, mas que não atingem os critérios acima definidos </t>
  </si>
  <si>
    <t>resultado_cutaneo</t>
  </si>
  <si>
    <t>resultado_ocular</t>
  </si>
  <si>
    <t>Apresentado</t>
  </si>
  <si>
    <t>N16</t>
  </si>
  <si>
    <t>N18</t>
  </si>
  <si>
    <t>N12</t>
  </si>
  <si>
    <t>Sensibilizacao_Buhler_maximizacao</t>
  </si>
  <si>
    <t>Limite</t>
  </si>
  <si>
    <t>método</t>
  </si>
  <si>
    <t>Método</t>
  </si>
  <si>
    <t>Espessura</t>
  </si>
  <si>
    <t>Estimulacao</t>
  </si>
  <si>
    <t>lin_inicio</t>
  </si>
  <si>
    <t>lin_fim</t>
  </si>
  <si>
    <t>&gt;=2</t>
  </si>
  <si>
    <t>&gt;=3</t>
  </si>
  <si>
    <t>Revertentes</t>
  </si>
  <si>
    <t>Resultados micronúcleo</t>
  </si>
  <si>
    <t>Houve aumento estatisticamente significante na frequência de eritrócitos policromáticos micronucleados em comparação ao controle negativo? (?)</t>
  </si>
  <si>
    <t>Houve aumento dose-resposta para alguma amostra da substância teste? (?)</t>
  </si>
  <si>
    <t>EPMN do grupo 5% maior que do CN</t>
  </si>
  <si>
    <t>EPMN do grupo maior que do CP</t>
  </si>
  <si>
    <t>EPMN / CN</t>
  </si>
  <si>
    <t>1. Informações que devem constar no item da bula "Efeitos agudos para animais de laboratório"</t>
  </si>
  <si>
    <t>mínimo (&gt;)</t>
  </si>
  <si>
    <t>máximo (&lt;=)</t>
  </si>
  <si>
    <t>Frase</t>
  </si>
  <si>
    <t>DL50 Oral</t>
  </si>
  <si>
    <t>Categoria 1</t>
  </si>
  <si>
    <t>: Produto Extremamente Tóxico</t>
  </si>
  <si>
    <t>Fatal se ingerido</t>
  </si>
  <si>
    <t>Categoria 2</t>
  </si>
  <si>
    <t>: Produto Altamente Tóxico</t>
  </si>
  <si>
    <t>Categoria 3</t>
  </si>
  <si>
    <t>: Produto Moderadamente Tóxico</t>
  </si>
  <si>
    <t>Toxico se ingerido</t>
  </si>
  <si>
    <t>Categoria 4</t>
  </si>
  <si>
    <t>: Produto Pouco Tóxico</t>
  </si>
  <si>
    <t>Nocivo se ingerido</t>
  </si>
  <si>
    <t>Categoria 5</t>
  </si>
  <si>
    <t>: Produto Improvável de Causar Dano Agudo</t>
  </si>
  <si>
    <t>Pode ser nocivo se ingerido</t>
  </si>
  <si>
    <t>Não classificado</t>
  </si>
  <si>
    <t>DL50 Cutânea</t>
  </si>
  <si>
    <t>Fatal em contato com a pele</t>
  </si>
  <si>
    <t>Tóxico em contato com a pele</t>
  </si>
  <si>
    <t>Nocivo em contato com a pele</t>
  </si>
  <si>
    <t>Pode ser nocivo em contato com a pele</t>
  </si>
  <si>
    <t>CL50 - Sólidos e líquidos</t>
  </si>
  <si>
    <t>Fatal se inalado</t>
  </si>
  <si>
    <t>Tóxico se inalado</t>
  </si>
  <si>
    <t>Nocivo se inalado</t>
  </si>
  <si>
    <t>Pode ser nocivo se inalado</t>
  </si>
  <si>
    <t>Categoria</t>
  </si>
  <si>
    <t xml:space="preserve">Pelo menos 2 de 3 animais testados, com pontuação média para eritema/escara ou para edema ≥1,5 e &lt;2,3 determinada na leitura das reações cutâneas observadas em 24, 48 e 72 horas após a remoção dos emplastros ou, no caso de reações tardias, leitura por 3 dias consecutivos após o início das reações cutâneas </t>
  </si>
  <si>
    <t>Irritação ocular</t>
  </si>
  <si>
    <t>Irritação cutânea</t>
  </si>
  <si>
    <t>Evidência em seres humanos de que o produto possa levar à sensibilização cutânea em um número considerável de pessoas</t>
  </si>
  <si>
    <t>Resultados positivos em estudos com animais experimentais</t>
  </si>
  <si>
    <t>Resultados positivos de estudos de mutagenicidade in vivo em células germinativas de mamíferos</t>
  </si>
  <si>
    <t>Resultados positivos em estudos que mostram efeitos mutagênicos em células germinativas de seres humanos, sem a demonstração detransmissão à progênie</t>
  </si>
  <si>
    <t>Essa classificação é baseada em evidência positiva a partir de estudos epidemiológicos com seres humanos.</t>
  </si>
  <si>
    <t>Categorai 1A</t>
  </si>
  <si>
    <t>Categoria 1B</t>
  </si>
  <si>
    <t>Mortalidade</t>
  </si>
  <si>
    <t>1.5. Um produto é classificado na Categoria 5 se :</t>
  </si>
  <si>
    <t>a. o enquadramento, por meio dos valores de DL 50 ou CL50, em outras categorias de maior perigo não é possível;</t>
  </si>
  <si>
    <t>b. se informações confiáveis estão disponíveis e indicam efeitos tóxicos significantes em humanos;</t>
  </si>
  <si>
    <t>c. nenhuma mortalidade é observada, quando testada até os valores da Categoria 4, pelas vias oral, inalatória ou cutânea;</t>
  </si>
  <si>
    <t>d. existem evidências de sinais clínicos de toxicidade, quanto testado até a Categoria 4, exceto para de diarreia, piloereção e aparência descuidada; ou</t>
  </si>
  <si>
    <t>e. existem evidências confiáveis de potencial de efeitos agudos significantes para outros animais.</t>
  </si>
  <si>
    <t>1.6. Somente será enquadrado como Não classificado o produto que apresentar evidências de não se enquadrar em nenhum dos critérios definidos no item 1.5.</t>
  </si>
  <si>
    <t>src_aba</t>
  </si>
  <si>
    <t>Resultados + Classificação</t>
  </si>
  <si>
    <t>Lista_combobox</t>
  </si>
  <si>
    <t>a</t>
  </si>
  <si>
    <t>b</t>
  </si>
  <si>
    <t>c</t>
  </si>
  <si>
    <t>d</t>
  </si>
  <si>
    <t>e</t>
  </si>
  <si>
    <t>Y10</t>
  </si>
  <si>
    <t>Maior que</t>
  </si>
  <si>
    <t>Classificação produto</t>
  </si>
  <si>
    <t>texto_produto</t>
  </si>
  <si>
    <t>Palavra</t>
  </si>
  <si>
    <t>PERIGO</t>
  </si>
  <si>
    <t>ATENÇÃO</t>
  </si>
  <si>
    <t>Cor</t>
  </si>
  <si>
    <t>Vermelho</t>
  </si>
  <si>
    <t>Amarelo</t>
  </si>
  <si>
    <t>Azul</t>
  </si>
  <si>
    <t>Verde</t>
  </si>
  <si>
    <t>Provoca queimadura severa à pele e lesões cutâneas graves</t>
  </si>
  <si>
    <t>Provoca irritação à pele</t>
  </si>
  <si>
    <t>Provoca moderada irritação à pele</t>
  </si>
  <si>
    <t>Provoca lesões oculares graves</t>
  </si>
  <si>
    <t>provoca irritação ocular grave</t>
  </si>
  <si>
    <t>Pode provocar reações alérgicas à pele</t>
  </si>
  <si>
    <t>Categoria 1A</t>
  </si>
  <si>
    <t>Pode provocar defeitos genéticos</t>
  </si>
  <si>
    <t>Suspeito de provocar defeitos genéticos</t>
  </si>
  <si>
    <t xml:space="preserve"> </t>
  </si>
  <si>
    <t>Palavra_produto</t>
  </si>
  <si>
    <t xml:space="preserve">Corrosão/irritação à pela </t>
  </si>
  <si>
    <t>Resultado_bula</t>
  </si>
  <si>
    <t>2. Palavra de advertência</t>
  </si>
  <si>
    <t>Composição_tipo_produto</t>
  </si>
  <si>
    <t>&gt;=1</t>
  </si>
  <si>
    <t>Corrosão</t>
  </si>
  <si>
    <t>&gt;1,5</t>
  </si>
  <si>
    <t>reversão total em 21 dias</t>
  </si>
  <si>
    <t>src_linha</t>
  </si>
  <si>
    <t>src_col</t>
  </si>
  <si>
    <t>21dias</t>
  </si>
  <si>
    <t>V</t>
  </si>
  <si>
    <t>Z</t>
  </si>
  <si>
    <t>AB</t>
  </si>
  <si>
    <t>AD</t>
  </si>
  <si>
    <t>AF</t>
  </si>
  <si>
    <t>AH</t>
  </si>
  <si>
    <t>AJ</t>
  </si>
  <si>
    <t>Lesão até 21 dias</t>
  </si>
  <si>
    <t>mín</t>
  </si>
  <si>
    <t>Nº de animais</t>
  </si>
  <si>
    <t>sim</t>
  </si>
  <si>
    <t>Sugestão_item_1</t>
  </si>
  <si>
    <t>Sugestão_item_2</t>
  </si>
  <si>
    <t>Sugestão_item_3</t>
  </si>
  <si>
    <t>Sugestão_final</t>
  </si>
  <si>
    <t>Resultados_preenchidos</t>
  </si>
  <si>
    <t>&lt;== Categoria 1</t>
  </si>
  <si>
    <t>&lt;== Categoria 2</t>
  </si>
  <si>
    <t>&lt;== Não classificado</t>
  </si>
  <si>
    <t>Resultados irritacao ocular</t>
  </si>
  <si>
    <t>#Tabela de referência para classificação</t>
  </si>
  <si>
    <t>item_checkbox</t>
  </si>
  <si>
    <t>#Copia os resultados preenchidos pelo usuário</t>
  </si>
  <si>
    <t>#Calcula as médias para cada tipo de lesão</t>
  </si>
  <si>
    <t>#Avalia se existe lesão no 21º dia, inclusive para fluoresceína. Retorna 1 para "sim" e 0 para "não"</t>
  </si>
  <si>
    <t>Havia lesões no 21º dia</t>
  </si>
  <si>
    <t>#retorna a resposta do usuário</t>
  </si>
  <si>
    <t>#verifica os resultados da T159:V159</t>
  </si>
  <si>
    <t>#retorna Sim caso alguma das respostas acima tenha sido sim</t>
  </si>
  <si>
    <t>#Verifica se houve corrosão ou se houve lesões até 21 dias, se sim, enquadra na "Categoria 1", se não, enquadra conforme a tabela abaixo</t>
  </si>
  <si>
    <t>#Retorna 1, caso os resultados tenham sido preenchidos, mas não tenham sido enquadrados em algum dos itens acima</t>
  </si>
  <si>
    <t>#Verifica se os resultados se enquadram na descrição do terceiro checkbox e retorna 1 se verdadeiro</t>
  </si>
  <si>
    <t>#Verifica se os resultados se enquadram na descrição do primeiro checkbox e retorna 1 se verdadeiro</t>
  </si>
  <si>
    <t>#Verifica se os resultados se enquadram na descrição do segundo checkbox e retorna 1 se verdadeiro</t>
  </si>
  <si>
    <t>#Verifica se a tabela das lesões oculares começou a ser preenchida e retorna 1 se verdadeiro</t>
  </si>
  <si>
    <t>Resultados irritacao cutanea</t>
  </si>
  <si>
    <t>Eritema</t>
  </si>
  <si>
    <t>max</t>
  </si>
  <si>
    <t>&gt;=2,3</t>
  </si>
  <si>
    <t>&lt;=4</t>
  </si>
  <si>
    <t>&gt;=1,5</t>
  </si>
  <si>
    <t>&lt;2,3</t>
  </si>
  <si>
    <t>#Os outros itens do checkbox não foram incluídos porque possuem subjetividade e não foi possível parametrizá-los</t>
  </si>
  <si>
    <t>#Referencia da aba</t>
  </si>
  <si>
    <t>L</t>
  </si>
  <si>
    <t>Sugestão item 2</t>
  </si>
  <si>
    <t>Sugestão item 5</t>
  </si>
  <si>
    <t>#Referencia das linhas dos resultados</t>
  </si>
  <si>
    <t>#Verifica os resultados se enquadram na descrição do quinto checkbox e retorna 1 se verdadeiro. Esse resultado só aparece caso a sugestão item 2 tenha sido 0</t>
  </si>
  <si>
    <t>A substância teste é comprovadamente corrosiva, conforme literatura científica. (descrever a fonte da literatura no campo "justificativa")</t>
  </si>
  <si>
    <t>Ref</t>
  </si>
  <si>
    <t>indução</t>
  </si>
  <si>
    <t>Desafio</t>
  </si>
  <si>
    <t>#Retorna a dose testada na indução (traz a 2ª dose, se houver)</t>
  </si>
  <si>
    <t>indução_teste</t>
  </si>
  <si>
    <t>desafio_teste</t>
  </si>
  <si>
    <t>#Retorna a dose testada no desafio (traz a 2ª dose, se houver)</t>
  </si>
  <si>
    <t>#Retorna as doses definidas para indução</t>
  </si>
  <si>
    <t>#Retorna a dose definida para o desafio</t>
  </si>
  <si>
    <t>Dose (%)
Injeção intradérmica (?)</t>
  </si>
  <si>
    <t>Dose (%)
Aplicação tópica (?)</t>
  </si>
  <si>
    <t>&gt;</t>
  </si>
  <si>
    <t>Intradermica</t>
  </si>
  <si>
    <t>Tópica</t>
  </si>
  <si>
    <t>#Verifica se a dose teste é diferente da dose escolhida</t>
  </si>
  <si>
    <t>Verificação</t>
  </si>
  <si>
    <t>Dose escolhida no teste preliminar</t>
  </si>
  <si>
    <t>Ames_verificação_histórico</t>
  </si>
  <si>
    <t>CONTROLE NEGATIVO</t>
  </si>
  <si>
    <t>CONTROLE POSITIVO</t>
  </si>
  <si>
    <t>LINHAS</t>
  </si>
  <si>
    <t>#Linhas onde estão os controles negativos e positivos de cada cepa</t>
  </si>
  <si>
    <t>ESTUDO 1</t>
  </si>
  <si>
    <t>Controles positivo</t>
  </si>
  <si>
    <t>src_guia</t>
  </si>
  <si>
    <t>J</t>
  </si>
  <si>
    <t>AG</t>
  </si>
  <si>
    <t>AK</t>
  </si>
  <si>
    <t>AM</t>
  </si>
  <si>
    <t>AO</t>
  </si>
  <si>
    <t>AS</t>
  </si>
  <si>
    <t>AQ</t>
  </si>
  <si>
    <t>AU</t>
  </si>
  <si>
    <t>src_coluna</t>
  </si>
  <si>
    <t>AI</t>
  </si>
  <si>
    <t>#Retorna as médias dos controles concorrentes negativos e positivos</t>
  </si>
  <si>
    <t>#Retorna os valores preenchidos para os controles históricos</t>
  </si>
  <si>
    <t>#Verifica se a média do controle concorrente está dentro da faixa de controle histórico. Retorno 1 para sim e 0 para não</t>
  </si>
  <si>
    <t>média</t>
  </si>
  <si>
    <t>Controles negativos</t>
  </si>
  <si>
    <t>#Retorna 0 para dentro da faixa de controle histórico, 1 para fora da faixa e 2 para histórico não preenchido</t>
  </si>
  <si>
    <t>background</t>
  </si>
  <si>
    <t>Alterada</t>
  </si>
  <si>
    <t>Estudo anterior a 2009</t>
  </si>
  <si>
    <t>data_referencia</t>
  </si>
  <si>
    <t>Data_conclusão</t>
  </si>
  <si>
    <t>Estatistica</t>
  </si>
  <si>
    <t>Não avaliada</t>
  </si>
  <si>
    <t>O estudo não utilizou ou não identificou a DMT</t>
  </si>
  <si>
    <t>micronucleo_1_sem_DMT</t>
  </si>
  <si>
    <t>Linha_dose_M</t>
  </si>
  <si>
    <t>Linha_dose_F</t>
  </si>
  <si>
    <r>
      <t xml:space="preserve">Animal </t>
    </r>
    <r>
      <rPr>
        <b/>
        <sz val="10"/>
        <color theme="5" tint="-0.249977111117893"/>
        <rFont val="Calibri"/>
        <family val="2"/>
        <scheme val="minor"/>
      </rPr>
      <t>(?)</t>
    </r>
  </si>
  <si>
    <r>
      <t xml:space="preserve">6º grupo testado </t>
    </r>
    <r>
      <rPr>
        <b/>
        <sz val="10"/>
        <color theme="5" tint="-0.249977111117893"/>
        <rFont val="Calibri"/>
        <family val="2"/>
        <scheme val="minor"/>
      </rPr>
      <t>(?)</t>
    </r>
  </si>
  <si>
    <r>
      <t xml:space="preserve">1º grupo testado </t>
    </r>
    <r>
      <rPr>
        <b/>
        <sz val="10"/>
        <color theme="5" tint="-0.249977111117893"/>
        <rFont val="Calibri"/>
        <family val="2"/>
        <scheme val="minor"/>
      </rPr>
      <t>(?)</t>
    </r>
  </si>
  <si>
    <r>
      <t xml:space="preserve">2º grupo testado </t>
    </r>
    <r>
      <rPr>
        <b/>
        <sz val="10"/>
        <color theme="5" tint="-0.249977111117893"/>
        <rFont val="Calibri"/>
        <family val="2"/>
        <scheme val="minor"/>
      </rPr>
      <t>(?)</t>
    </r>
  </si>
  <si>
    <r>
      <t xml:space="preserve">3º grupo testado </t>
    </r>
    <r>
      <rPr>
        <b/>
        <sz val="10"/>
        <color theme="5" tint="-0.249977111117893"/>
        <rFont val="Calibri"/>
        <family val="2"/>
        <scheme val="minor"/>
      </rPr>
      <t>(?)</t>
    </r>
  </si>
  <si>
    <r>
      <t xml:space="preserve">4º grupo testado </t>
    </r>
    <r>
      <rPr>
        <b/>
        <sz val="10"/>
        <color theme="5" tint="-0.249977111117893"/>
        <rFont val="Calibri"/>
        <family val="2"/>
        <scheme val="minor"/>
      </rPr>
      <t>(?)</t>
    </r>
  </si>
  <si>
    <r>
      <t xml:space="preserve">5º grupo testado </t>
    </r>
    <r>
      <rPr>
        <b/>
        <sz val="10"/>
        <color theme="5" tint="-0.249977111117893"/>
        <rFont val="Calibri"/>
        <family val="2"/>
        <scheme val="minor"/>
      </rPr>
      <t>(?)</t>
    </r>
  </si>
  <si>
    <t>Se informações confiáveis estão disponíveis e indicam efeitos tóxicos significantes em humanos;</t>
  </si>
  <si>
    <t>Existem evidências de sinais clínicos de toxicidade, quanto testado até a Categoria 4, exceto para de diarreia, piloereção e aparência descuidada; ou</t>
  </si>
  <si>
    <t>Existem evidências confiáveis de potencial de efeitos agudos significantes para outros animais.</t>
  </si>
  <si>
    <t>Classificacao_item_1_5</t>
  </si>
  <si>
    <t>Resposta 1</t>
  </si>
  <si>
    <t>Resposta 2</t>
  </si>
  <si>
    <t>Resposta 3</t>
  </si>
  <si>
    <t>Resposta 4</t>
  </si>
  <si>
    <t>classificação</t>
  </si>
  <si>
    <t>Classificação_estudo</t>
  </si>
  <si>
    <t>Tipo de formulação</t>
  </si>
  <si>
    <r>
      <t xml:space="preserve">Nome do Ingrediente ativo/Componente  </t>
    </r>
    <r>
      <rPr>
        <b/>
        <sz val="10"/>
        <color theme="5" tint="-0.249977111117893"/>
        <rFont val="Calibri"/>
        <family val="2"/>
        <scheme val="minor"/>
      </rPr>
      <t>(?)</t>
    </r>
  </si>
  <si>
    <r>
      <t xml:space="preserve">Concentração Nominal </t>
    </r>
    <r>
      <rPr>
        <b/>
        <sz val="10"/>
        <color theme="5" tint="-0.249977111117893"/>
        <rFont val="Calibri"/>
        <family val="2"/>
        <scheme val="minor"/>
      </rPr>
      <t>(?)</t>
    </r>
  </si>
  <si>
    <t>Possui certificado de BPL?</t>
  </si>
  <si>
    <r>
      <t xml:space="preserve">Data de início </t>
    </r>
    <r>
      <rPr>
        <b/>
        <sz val="10"/>
        <color theme="5" tint="-0.249977111117893"/>
        <rFont val="Calibri"/>
        <family val="2"/>
        <scheme val="minor"/>
      </rPr>
      <t>(?)</t>
    </r>
  </si>
  <si>
    <r>
      <t xml:space="preserve">Deseja solicitar a dispensa de apresentação para esse estudo? </t>
    </r>
    <r>
      <rPr>
        <b/>
        <sz val="10"/>
        <color theme="5" tint="-0.249977111117893"/>
        <rFont val="Calibri"/>
        <family val="2"/>
        <scheme val="minor"/>
      </rPr>
      <t>(?)</t>
    </r>
  </si>
  <si>
    <r>
      <t xml:space="preserve">Espessura da orelha </t>
    </r>
    <r>
      <rPr>
        <b/>
        <sz val="10"/>
        <color theme="5" tint="-0.249977111117893"/>
        <rFont val="Calibri"/>
        <family val="2"/>
        <scheme val="minor"/>
      </rPr>
      <t>(?)</t>
    </r>
  </si>
  <si>
    <t>Teste de confiabilidade</t>
  </si>
  <si>
    <t>Foram apresentados os resultados do teste de confiabilidade?</t>
  </si>
  <si>
    <r>
      <t xml:space="preserve">Justificar a diferença entre a dose escolhida no teste preliminar e a dose da indução </t>
    </r>
    <r>
      <rPr>
        <b/>
        <sz val="10"/>
        <color theme="5" tint="-0.249977111117893"/>
        <rFont val="Calibri"/>
        <family val="2"/>
        <scheme val="minor"/>
      </rPr>
      <t>(?)</t>
    </r>
  </si>
  <si>
    <t>*Esta é uma tabela preenchida automaticamente.</t>
  </si>
  <si>
    <r>
      <t xml:space="preserve">Presença de S9 </t>
    </r>
    <r>
      <rPr>
        <b/>
        <sz val="10"/>
        <color theme="5" tint="-0.249977111117893"/>
        <rFont val="Calibri"/>
        <family val="2"/>
        <scheme val="minor"/>
      </rPr>
      <t>(?)</t>
    </r>
  </si>
  <si>
    <r>
      <t xml:space="preserve">Média </t>
    </r>
    <r>
      <rPr>
        <b/>
        <sz val="10"/>
        <color theme="5" tint="-0.249977111117893"/>
        <rFont val="Calibri"/>
        <family val="2"/>
        <scheme val="minor"/>
      </rPr>
      <t>(?)</t>
    </r>
  </si>
  <si>
    <t>Nenhuma das opções acima</t>
  </si>
  <si>
    <t>'Resultados_micro(2)'!</t>
  </si>
  <si>
    <t>micronucleo_2_sem_DMT</t>
  </si>
  <si>
    <t>: Produto Não Classificado</t>
  </si>
  <si>
    <t>Resultados positivos de estudos de mutagenicidade in vivo em células somáticas de mamíferos, em combinação com evidência de que asubstância tem o potencial de causar mutações em células germinativas</t>
  </si>
  <si>
    <t>Resultados positivos de estudos de mutagenicidade in vivo em células somáticas de mamíferos, na ausência de estudo de mutagenicidade in vivo em células germinativas.</t>
  </si>
  <si>
    <t>Resultados positivos de estudos de genotoxicidade não mutagênicos in vivo em células somáticas que são suportados por resultados positivos de estudos de mutagenicidade in vitro</t>
  </si>
  <si>
    <t>Resultados positivos em estudos in vitro de mutagenicidade em células de mamíferos em combinação com evidência de relação estrutura-atividade da substância-teste com mutágenos conhecidos em células germinativas.</t>
  </si>
  <si>
    <t>Resultados positivos de estudos de mutagenicidade in vivo em células somáticas de mamíferos, em combinação com resultados negativos de estudos de mutagenicidade em células germinativas in vivo</t>
  </si>
  <si>
    <t>Toxicidade oral aguda
protocolo Up&amp;Down - estudo 2</t>
  </si>
  <si>
    <t>Toxicidade oral aguda
Estudo 2</t>
  </si>
  <si>
    <t>Toxicidade cutânea aguda
Estudo 2</t>
  </si>
  <si>
    <t>Toxicidade Inalatória Aguda
Estudo 2</t>
  </si>
  <si>
    <t>Corrosão/irritação ocular
Estudo 2</t>
  </si>
  <si>
    <t>Corrosão/irritação cutânea aguda
Estudo 2</t>
  </si>
  <si>
    <t>Sensibilização cutânea
LLNA - estudo 2</t>
  </si>
  <si>
    <t>Sensibilização cutânea
Buehler/Maximização - estudo 2</t>
  </si>
  <si>
    <t>Mutação gênica em células bacterianas
Teste de Ames - estudo 2</t>
  </si>
  <si>
    <t>Micronúcleo
Resultados - estudo 2</t>
  </si>
  <si>
    <t>Citotoxicidade</t>
  </si>
  <si>
    <t>Existem pelo menos 5 concentrações analisáveis?
(Total de concentrações analisáveis)</t>
  </si>
  <si>
    <t>Categoria 5 (aguardando respostas do item 1.5)</t>
  </si>
  <si>
    <t>Não foi preenchido o nº de registro para algum PT</t>
  </si>
  <si>
    <t>Não foi informado o nº de processo para algum PT</t>
  </si>
  <si>
    <t>Não foi informada a marca comercial para algum PT</t>
  </si>
  <si>
    <t>Existe(m) componente(s) listado(s) no anexo da IN. 34/2019 - Lista de componentes não autorizados</t>
  </si>
  <si>
    <t>Existe(m) componente(s) toxicologicamente relevante(s)</t>
  </si>
  <si>
    <t>Não foram apresentados todos os estudos exigidos pela RDC n. 294/19</t>
  </si>
  <si>
    <t>Foram descritos desvios ao protocolo</t>
  </si>
  <si>
    <t>Estudo conduzido com amostra vencida</t>
  </si>
  <si>
    <t>Estudo conduzido com amostra fora da DCQQ</t>
  </si>
  <si>
    <t>Foi apresentada argumentação científica anexa ao estudo</t>
  </si>
  <si>
    <t>Estudo conduzido em laboratório sem BPL</t>
  </si>
  <si>
    <t>Toxicidade cutânea aguda (DL50 cutânea)</t>
  </si>
  <si>
    <t>Foi solicitada dispensa de apresentação</t>
  </si>
  <si>
    <t>Toxicidade inalatória  aguda (CL50 inalatória)</t>
  </si>
  <si>
    <t>Foi solicitada dispensa de apresentação, mas não foi apresentada qualquer justificativa</t>
  </si>
  <si>
    <t>MMAD menor do que 1 micrometros</t>
  </si>
  <si>
    <t>MMAD maior do que 4 micrometros</t>
  </si>
  <si>
    <t>GSD menor do que 1,5 micrometros</t>
  </si>
  <si>
    <t>GSD maior do que 3</t>
  </si>
  <si>
    <t>Tempo de exposição inferior a 4 horas</t>
  </si>
  <si>
    <t>Foi assinalada mais de uma opção em "lesões encontradas"</t>
  </si>
  <si>
    <t>A opção assinalada para "lesões encontradas" não corresponde a opção sugerida</t>
  </si>
  <si>
    <t>Estudo sem controle positivo e sem teste de confiabilidade</t>
  </si>
  <si>
    <t>Teste de confiabilidade realizado há mais de 6 meses</t>
  </si>
  <si>
    <t>Teste de confiabilidade realizado após a conclusão do estudo</t>
  </si>
  <si>
    <t>A substância não foi testada a 100% no teste preliminar (líquido)</t>
  </si>
  <si>
    <t>A avaliação da espessura de orelha no teste preliminar foi informada como não relatada</t>
  </si>
  <si>
    <t>A avaliação do eritema no teste preliminar foi informada como não relatada</t>
  </si>
  <si>
    <t>Não foi realizado teste preliminar e a substância não foi testada a 100% no teste definitivo</t>
  </si>
  <si>
    <t>Taxa de sensibilização maior do que 15% (Buhler)</t>
  </si>
  <si>
    <t>Taxa de sensibilização maior do que 30% (Maximização)</t>
  </si>
  <si>
    <t>Tempo entre última indução e desafio está fora do definido pelo protocolo (10 a 14 dias)</t>
  </si>
  <si>
    <t>Tempo entre desafio e redesafio foi superior a 7 dias</t>
  </si>
  <si>
    <t>Nº de animais do controle negativo inferior a 10 (Buehler)</t>
  </si>
  <si>
    <t>Nº de animais do controle negativo inferior a 5 (Maximização)</t>
  </si>
  <si>
    <t>Nº de animais testados inferior a 20 (Buehler)</t>
  </si>
  <si>
    <t>Nº de animais testados inferior a 10 (Maximização)</t>
  </si>
  <si>
    <t>Teste de confiabilidade superior a 6 meses da data do estudo</t>
  </si>
  <si>
    <t>Não efetuou a análise das características genéticas das cepas testadas.</t>
  </si>
  <si>
    <t>A viabilidade celular das cepas não esteve entre 10^8 e 10^9 UFC/mL</t>
  </si>
  <si>
    <t>No ensaio com ativação metabólica, o controle positivo testado não foi o 2-aminoantraceno</t>
  </si>
  <si>
    <t>Não conduziu estudo ou apresentou certificado de análise da eficácia da fração S9 com outro mutágeno além do 2-aminoantraceno</t>
  </si>
  <si>
    <t>Método diferente do controle histórico</t>
  </si>
  <si>
    <t>Houve precipitação da amostra</t>
  </si>
  <si>
    <t>Background estava alterado</t>
  </si>
  <si>
    <t xml:space="preserve">Não houve pelo menos 5 concentrações analisáveis para alguma das amostras </t>
  </si>
  <si>
    <t>Houve correlação dose-resposta positiva</t>
  </si>
  <si>
    <t>Houve condução de estudo complementar</t>
  </si>
  <si>
    <t>Houve perda de cepa testada</t>
  </si>
  <si>
    <t>Houve significância estatística</t>
  </si>
  <si>
    <t>Dano cromossômico in vivo em células de mamíferos (estudo de micronúcleo)</t>
  </si>
  <si>
    <t>Foi testada dose superior a 2000 mg/Kg pc</t>
  </si>
  <si>
    <t>Foi testado mais de um grupo controle negativo no teste definitivo</t>
  </si>
  <si>
    <t>O estudo de DL50 não foi conduzido com a mesma espécie utilizada no teste definitivo</t>
  </si>
  <si>
    <t>O sexo dos animais utilizados no estudo de DL50 não é o mesmo do sexo dos animais do estudo definitivo</t>
  </si>
  <si>
    <t>As doses escolhidas não correspondem a 80%, 50% e 25% da dose do teste de DL50</t>
  </si>
  <si>
    <t>Existe grupo com menos do que 5 animais testados - §29 do protocolo</t>
  </si>
  <si>
    <t>As doses testadas não correspodem as doses escolhidas no teste preliminar</t>
  </si>
  <si>
    <t>Sensibilização cutânea - LLNA</t>
  </si>
  <si>
    <t>Termos pesquisados para PT sem Registro</t>
  </si>
  <si>
    <t>Encontrado?</t>
  </si>
  <si>
    <t>Nº de registro Mapa (?)</t>
  </si>
  <si>
    <t>*canc*</t>
  </si>
  <si>
    <t>*susp*</t>
  </si>
  <si>
    <t>*rest*</t>
  </si>
  <si>
    <t>Composição</t>
  </si>
  <si>
    <t>Função (?)</t>
  </si>
  <si>
    <t>Concentração Nominal (?)</t>
  </si>
  <si>
    <t>Limite Mínimo (?)</t>
  </si>
  <si>
    <t>Unidade de medida não preenchida</t>
  </si>
  <si>
    <t>Composição sem ingrediente ativo preenchido</t>
  </si>
  <si>
    <t>Total de ingredientes ativos</t>
  </si>
  <si>
    <t>Valor</t>
  </si>
  <si>
    <t>Termos pesquisados para ingrediente ativo</t>
  </si>
  <si>
    <t>Componente proibido</t>
  </si>
  <si>
    <t>#Presença do componente proibido. Retorna 1 para "presente" e 0 para "ausente"</t>
  </si>
  <si>
    <t>#Presença do componente toxicologicamente relevante. Retorna 1 para "presente" e 0 para "ausente"</t>
  </si>
  <si>
    <t>Componente tox relevante</t>
  </si>
  <si>
    <t>Concentração nominal não foi preenchida para todos os componentes</t>
  </si>
  <si>
    <t>Limite mínimo não foi preenchida para todos os componentes</t>
  </si>
  <si>
    <t>Limite máximo não foi preenchida para todos os componentes</t>
  </si>
  <si>
    <t>Certificados</t>
  </si>
  <si>
    <t>Código de identificação (?)</t>
  </si>
  <si>
    <t>Data de fabricação (?)</t>
  </si>
  <si>
    <t>Data de validade (?)</t>
  </si>
  <si>
    <t>Data da análise (?)</t>
  </si>
  <si>
    <t>Concentração encontrada (?)</t>
  </si>
  <si>
    <t>Possui certificado com data de validade não informada</t>
  </si>
  <si>
    <t>Possui certificado com data de fabricação não informada</t>
  </si>
  <si>
    <t>Possui certificado com data de análise não informada</t>
  </si>
  <si>
    <t>Possui certificado com concentração não informada</t>
  </si>
  <si>
    <t>Valores</t>
  </si>
  <si>
    <t>F</t>
  </si>
  <si>
    <t>G</t>
  </si>
  <si>
    <t>H</t>
  </si>
  <si>
    <t>I</t>
  </si>
  <si>
    <t>K</t>
  </si>
  <si>
    <t>Certificados!</t>
  </si>
  <si>
    <t>Limite inferior</t>
  </si>
  <si>
    <t>Limite superior</t>
  </si>
  <si>
    <t>CAS</t>
  </si>
  <si>
    <t>preencheu a dt_validade</t>
  </si>
  <si>
    <t>resultado</t>
  </si>
  <si>
    <t>amostra vencida e composição "fora"</t>
  </si>
  <si>
    <t>amostra com composição "fora"</t>
  </si>
  <si>
    <t>amostra sem validade e composição "ok"</t>
  </si>
  <si>
    <t>amostra vencida e composição "ok"</t>
  </si>
  <si>
    <t>Validade superior a 2 anos</t>
  </si>
  <si>
    <t>Validade da amostra</t>
  </si>
  <si>
    <t>Conformidade com a composição</t>
  </si>
  <si>
    <t>#Verifica se o total de certificados é proporcional a quantidade de ingredientes ativos</t>
  </si>
  <si>
    <t>#</t>
  </si>
  <si>
    <t>Identificação do laboratório executor (?)</t>
  </si>
  <si>
    <t>Código do relatório de estudo (?)</t>
  </si>
  <si>
    <t>'F&amp;Q'!</t>
  </si>
  <si>
    <t>sim_nao_na</t>
  </si>
  <si>
    <t>certificados_filtrados</t>
  </si>
  <si>
    <t>Data_validade_do_certificado</t>
  </si>
  <si>
    <t>validade_amostra</t>
  </si>
  <si>
    <t>#Retorna 0 para amostra dentro da validade e 1 para amostra vencida</t>
  </si>
  <si>
    <t>Resultado_composição</t>
  </si>
  <si>
    <t>Toxicidade oral aguda (Up and Down)</t>
  </si>
  <si>
    <t>Outras metodologias (Protocolos) (?)</t>
  </si>
  <si>
    <t>Data de início (?)</t>
  </si>
  <si>
    <t>Sinais clínicos relevantes (?)</t>
  </si>
  <si>
    <t>Critério de parada (?)</t>
  </si>
  <si>
    <t>Desvios ao protocolo (?)</t>
  </si>
  <si>
    <t>maior que</t>
  </si>
  <si>
    <t>Conclusão do estudo (?)</t>
  </si>
  <si>
    <t>Respostas_usuario!$L$2</t>
  </si>
  <si>
    <t>Resposta
O Sobrevivente    X Morte</t>
  </si>
  <si>
    <t>Respostas_usuario!K2</t>
  </si>
  <si>
    <t>Não foram preenchidas as alterações clínicas de algum dos animais</t>
  </si>
  <si>
    <t>Não foi preenchida a justificativa pela escolha apenas de machos</t>
  </si>
  <si>
    <t>Não foi preenchida a DL50 oral</t>
  </si>
  <si>
    <t>Não foi preenchida a conclusão</t>
  </si>
  <si>
    <t>Não foi preenchido o código do estudo</t>
  </si>
  <si>
    <t>Não foi preenchido o nome do laboratório</t>
  </si>
  <si>
    <t>Não foi preenchido se o estudo foi conduzido em laboratório com BPL</t>
  </si>
  <si>
    <t>Não foi preenchido o protocolo</t>
  </si>
  <si>
    <t>Não foi preenchido a data de início</t>
  </si>
  <si>
    <t>Não foi preenchido a data de conclusão</t>
  </si>
  <si>
    <t xml:space="preserve">Não foi preenchido o código do certificado de análise </t>
  </si>
  <si>
    <t>Não foi preenchido a espécie</t>
  </si>
  <si>
    <t>Não foi preenchido o sexo de algum dos animais</t>
  </si>
  <si>
    <t>Não foi preenchido o resultado de algum dos animais</t>
  </si>
  <si>
    <t>Não foram preenchidos os achados de necropsia para algum dos animais</t>
  </si>
  <si>
    <t>Não foi preenchido o critério de parada</t>
  </si>
  <si>
    <t>Não foi preenchido se houve desvio ao protocolo</t>
  </si>
  <si>
    <t>Os desvios inteferiram nos resultados</t>
  </si>
  <si>
    <t>certificado</t>
  </si>
  <si>
    <t>#retorna 0 para ok e 1 para certificado não encontrado</t>
  </si>
  <si>
    <t>Data_estudo</t>
  </si>
  <si>
    <t>Toxicidade oral aguda (Outros protocolos)</t>
  </si>
  <si>
    <t>'PT&amp;IA'!</t>
  </si>
  <si>
    <t>Estudo conduzido apenas com machos (alerta apenas informativo)</t>
  </si>
  <si>
    <t>DL50 oral (mg/kg p.c.) (?)</t>
  </si>
  <si>
    <t>Respostas_usuario!$K$4</t>
  </si>
  <si>
    <t>Respostas_usuario!$L$4</t>
  </si>
  <si>
    <t>Não foi preenchida a mortalidade de machos para alguma das doses</t>
  </si>
  <si>
    <t>Não foi preenchida a mortalidade de fêmeas para alguma das doses</t>
  </si>
  <si>
    <t>Preenchimento</t>
  </si>
  <si>
    <t>Certificado encontrado?</t>
  </si>
  <si>
    <t>Respostas_usuario!$K$6</t>
  </si>
  <si>
    <t>Respostas_usuario!$L$6</t>
  </si>
  <si>
    <t>Foi solicitada a dispensa de apresentação do estudo</t>
  </si>
  <si>
    <t>Não foi preenchido sobre a apresentação de documento adicional</t>
  </si>
  <si>
    <t>Não foi preenchido o tempo de exposição</t>
  </si>
  <si>
    <t>Não foi preenchido o MMAD para alguma das concentrações</t>
  </si>
  <si>
    <t>Não foi preenchido o GSD para alguma das concentrações</t>
  </si>
  <si>
    <t>Justificativas</t>
  </si>
  <si>
    <t>Tempo de exposição</t>
  </si>
  <si>
    <t>Respostas_usuario!$K$8</t>
  </si>
  <si>
    <t>Respostas_usuario!$L$8</t>
  </si>
  <si>
    <t>Respostas_usuario!N8</t>
  </si>
  <si>
    <t>Não foi preenchida a mortalidade de machos para alguma das concentrações</t>
  </si>
  <si>
    <t>Não foi preenchida a mortalidade de fêmeas para alguma das concentrações</t>
  </si>
  <si>
    <t>MMAD &lt; 1</t>
  </si>
  <si>
    <t>MMAD &gt; 4</t>
  </si>
  <si>
    <t>GSD &lt; 1,5</t>
  </si>
  <si>
    <t>GSD &gt; 3</t>
  </si>
  <si>
    <t>Foi apresentada discussão complementar ao relatório de estudo? (?)</t>
  </si>
  <si>
    <t>O certificado não foi preenchido na aba "Certificados"</t>
  </si>
  <si>
    <t>Dose / unidade de medida (2)</t>
  </si>
  <si>
    <t>Lesões encontradas (?)</t>
  </si>
  <si>
    <t>Detalhamento das alterações relatadas(?)</t>
  </si>
  <si>
    <t>Descrição dos efeitos que devem constar na bula (?) 
(Bula: “Efeitos Agudos para Animais de Laboratório)</t>
  </si>
  <si>
    <t>Respostas_usuario!N10</t>
  </si>
  <si>
    <t>Respostas_usuario!K10</t>
  </si>
  <si>
    <t>Sexo: (1)</t>
  </si>
  <si>
    <t>Sexo: (2)</t>
  </si>
  <si>
    <t>Sexo: (3)</t>
  </si>
  <si>
    <t>24 (1)</t>
  </si>
  <si>
    <t>48 (2)</t>
  </si>
  <si>
    <t>48 (1)</t>
  </si>
  <si>
    <t>72 (1)</t>
  </si>
  <si>
    <t>21 dias (1)</t>
  </si>
  <si>
    <t>24 (2)</t>
  </si>
  <si>
    <t>72 (2)</t>
  </si>
  <si>
    <t>21 dias (2)</t>
  </si>
  <si>
    <t>24 (3)</t>
  </si>
  <si>
    <t>48 (3)</t>
  </si>
  <si>
    <t>72 (3)</t>
  </si>
  <si>
    <t>21 dias (3)</t>
  </si>
  <si>
    <t>'Irritacao_Ocular(1)'!N10</t>
  </si>
  <si>
    <t>Não foi preenchida a dose utilizada</t>
  </si>
  <si>
    <t>Não foi preenchida a unidade de medida da dose</t>
  </si>
  <si>
    <t>Não foi preenchido se houve lavagem do olho tratado</t>
  </si>
  <si>
    <t>Não foi preenchido o tempo de exposição até a lavagem</t>
  </si>
  <si>
    <t>Não foi preenchido se a substância causou corrosão no olho</t>
  </si>
  <si>
    <t>Não foi preenchido o sexo para algum dos animais</t>
  </si>
  <si>
    <t>Não foi  preenchida a tabela de resultados completa</t>
  </si>
  <si>
    <t>Não foi preenchido o detalhamento das lesões</t>
  </si>
  <si>
    <t>Não foi preenchido o título do estudo (alerta informativo - as validações só funcionam após o preenchimento deste campo)</t>
  </si>
  <si>
    <t>Não preenchido</t>
  </si>
  <si>
    <t>sólido</t>
  </si>
  <si>
    <t>líquido</t>
  </si>
  <si>
    <t>Tempo_horas</t>
  </si>
  <si>
    <t>#Verifica se o tempo até a lavagem dos olhos está correto</t>
  </si>
  <si>
    <t>sim_nao_nr</t>
  </si>
  <si>
    <t>Não relatado</t>
  </si>
  <si>
    <t>A lavagem dos olhos foi preenchida como "Não relatado"</t>
  </si>
  <si>
    <t>src_calculos</t>
  </si>
  <si>
    <t>Não foi assinalada a opção sobre as lesões encontradas</t>
  </si>
  <si>
    <t>Dose  (ml/animal) (?)</t>
  </si>
  <si>
    <t>Eritema (1)</t>
  </si>
  <si>
    <t>Edema (1)</t>
  </si>
  <si>
    <t>Eritema (24)</t>
  </si>
  <si>
    <t>Edema (24)</t>
  </si>
  <si>
    <t>Eritema (48)</t>
  </si>
  <si>
    <t>Edema (48)</t>
  </si>
  <si>
    <t>Eritema (72)</t>
  </si>
  <si>
    <t>Edema (72)</t>
  </si>
  <si>
    <t>Respostas_usuario!N12</t>
  </si>
  <si>
    <t>Respostas_usuario!K12</t>
  </si>
  <si>
    <t>'Irritacao_Cutanea(1)'!N10</t>
  </si>
  <si>
    <t>Não foi preenchida se houve diluição</t>
  </si>
  <si>
    <t>Não foi preenchido o diluente</t>
  </si>
  <si>
    <t>Não foi preenchido se houve lavagem da área tratada</t>
  </si>
  <si>
    <t>Return para o alerta</t>
  </si>
  <si>
    <t>A lavagem da área tratada foi preenchida como "Não relatado"</t>
  </si>
  <si>
    <t>Tempo de lavagem da área tratada foi inferior a 4 horas</t>
  </si>
  <si>
    <t>Data de conclusão (?)</t>
  </si>
  <si>
    <t>Justificativa (?)</t>
  </si>
  <si>
    <t>Resultados do teste definitivo (?)</t>
  </si>
  <si>
    <t>Espessura da orelha (?)</t>
  </si>
  <si>
    <t>Respostas_usuario!K14</t>
  </si>
  <si>
    <t>teste de solubilidade</t>
  </si>
  <si>
    <t>Não foi preenchido se o estudo definitivo foi conduzido com controle positivo</t>
  </si>
  <si>
    <t>Não foi preenchido se foi realizado teste de confiabilidade</t>
  </si>
  <si>
    <t>Não foi preenchida a data de conclusão do teste de confiabilidade</t>
  </si>
  <si>
    <t>Não foi preenchido a justificativa pela não apresentação do teste de confiabilidade</t>
  </si>
  <si>
    <t>Não foi preenchido se foi conduzido teste preliminar</t>
  </si>
  <si>
    <t>Não foi preenchido o teste de solubilidade</t>
  </si>
  <si>
    <t>Não foi preenchido se houve aumento da espessura de orelha (teste preliminar)</t>
  </si>
  <si>
    <t>Não foi preenchido se houve aumento eritema superior a 3 (teste preliminar)</t>
  </si>
  <si>
    <t>Não foi preenchido o resultado do teste preliminar</t>
  </si>
  <si>
    <t>Não foi preenchido o tipo de abordagem do teste definitivo</t>
  </si>
  <si>
    <t>Não foi preenchido o sexo dos animais do teste definitivo</t>
  </si>
  <si>
    <t>#Verifica se preencheu pelo menos 1 animal por dose</t>
  </si>
  <si>
    <t>W</t>
  </si>
  <si>
    <t>conta preenchimento machos por dose</t>
  </si>
  <si>
    <t>conta preenchimento fêmeas por dose</t>
  </si>
  <si>
    <t>conta preenchimento por dose</t>
  </si>
  <si>
    <t>dose preenchida</t>
  </si>
  <si>
    <t>#Retorna 0 se pelo menos um sexo tiver sido informado e 1 caso ambos os campos estejam em branco</t>
  </si>
  <si>
    <t>Não foi preenchido o número de animais para alguma das doses</t>
  </si>
  <si>
    <t>Dose</t>
  </si>
  <si>
    <t>Sensibilização cutânea - Buehler/Maximização</t>
  </si>
  <si>
    <t>Data de condução (?)</t>
  </si>
  <si>
    <t>Local 1 - intradérmica</t>
  </si>
  <si>
    <t>Local 2 - intradérmica</t>
  </si>
  <si>
    <t>Local 3 - intradérmica</t>
  </si>
  <si>
    <t>Local 4 - intradérmica</t>
  </si>
  <si>
    <t>Resultados (?)</t>
  </si>
  <si>
    <t>Dose escolhida (indução) - intradérmica</t>
  </si>
  <si>
    <t>Dose escolhida (indução) - tópica</t>
  </si>
  <si>
    <t>Nº de animais do grupo testado (?)</t>
  </si>
  <si>
    <t>Justificar a diferença entre a dose escolhida no teste preliminar e a dose da indução (?)</t>
  </si>
  <si>
    <t>Justificar
Diferença entre a dose do teste preliminar e a dose do desafio (?)</t>
  </si>
  <si>
    <t>Local 1 - tópica</t>
  </si>
  <si>
    <t>Local 2 - tópica</t>
  </si>
  <si>
    <t>Local 3 - tópica</t>
  </si>
  <si>
    <t>Local 4 - tópica</t>
  </si>
  <si>
    <t>Respostas_usuario!K16</t>
  </si>
  <si>
    <t>Injeção intradérmica - indução (1)</t>
  </si>
  <si>
    <t>Injeção intradérmica - indução (2)</t>
  </si>
  <si>
    <t>Aplicação tópica - indução (1)</t>
  </si>
  <si>
    <t>Não foi preenchido o método utilizado</t>
  </si>
  <si>
    <t>Não foi preenchido se houve teste de confiabilidade</t>
  </si>
  <si>
    <t>Não foi preenchida a dose de injeção intradérmica para algum dos animais</t>
  </si>
  <si>
    <t>Não foi preenchida a dose de aplicação tópica para algum dos animais</t>
  </si>
  <si>
    <t>Não foi preenchido o nº de animais do grupo controle negativo</t>
  </si>
  <si>
    <t xml:space="preserve">Não foi preenchido o nº de animais do grupo testado </t>
  </si>
  <si>
    <t>Não foi preenchida a dose de injeção intradérmica da indução</t>
  </si>
  <si>
    <t>Não foi preenchida a dose de aplicação tópica da indução</t>
  </si>
  <si>
    <t>Não foi preenchida a dose do desafio</t>
  </si>
  <si>
    <t>Não foi preenchida a justificativa entre a diferença da dose escolhida para o desafio e a dose aplicada</t>
  </si>
  <si>
    <t>Não foi preenchida a justificativa entre a diferença da dose escolhida para a indução e a dose aplicada</t>
  </si>
  <si>
    <t>Não foi preenchido o intervalo entre a indução e o desafio</t>
  </si>
  <si>
    <t>Não foram preenchidas as alterações clínicas observadas no desafio</t>
  </si>
  <si>
    <t>Não foi preenchida a taxa de sensibilização em 24h do desafio</t>
  </si>
  <si>
    <t>Não foi preenchida a taxa de sensibilização em 48h do desafio</t>
  </si>
  <si>
    <t>Não foi preenchido se houve redesafio</t>
  </si>
  <si>
    <t>Não foi preenchido o intervalo entre o desafio e o redesafio</t>
  </si>
  <si>
    <t>Não foi preenchida a dose do redesafio</t>
  </si>
  <si>
    <t>Não foram preenchidas as alterações clínicas observadas no redesafio</t>
  </si>
  <si>
    <t>Não foi preenchida a taxa de sensibilização em 24h do redesafio</t>
  </si>
  <si>
    <t>Não foi preenchida a taxa de sensibilização em 48h do redesafio</t>
  </si>
  <si>
    <t>Resultado positivo</t>
  </si>
  <si>
    <t>Teste de confiabilidade é posterior a data do estudo</t>
  </si>
  <si>
    <t>Qual foi o método utilizado no controle histórico? (?)</t>
  </si>
  <si>
    <t>IDP CN (-) mín</t>
  </si>
  <si>
    <t>IDP CN (-) max</t>
  </si>
  <si>
    <t>IDP CN (+) mín</t>
  </si>
  <si>
    <t>IDP CN (+) max</t>
  </si>
  <si>
    <t>PI CN (-) mín</t>
  </si>
  <si>
    <t>PI CN (-) max</t>
  </si>
  <si>
    <t>PI CN (+) mín</t>
  </si>
  <si>
    <t>PI CN (+) max</t>
  </si>
  <si>
    <t>IDP CP (-) mín</t>
  </si>
  <si>
    <t>IDP CP (-) max</t>
  </si>
  <si>
    <t>IDP CP (+) mín</t>
  </si>
  <si>
    <t>IDP CP (+) max</t>
  </si>
  <si>
    <t>PI CP (-) mín</t>
  </si>
  <si>
    <t>PI CP (-) max</t>
  </si>
  <si>
    <t>PI CP (+) mín</t>
  </si>
  <si>
    <t>PI CP (+) max</t>
  </si>
  <si>
    <t>Respostas_usuario!K18</t>
  </si>
  <si>
    <t>#CN  Controle negativo</t>
  </si>
  <si>
    <t>#CP  Controle positivo</t>
  </si>
  <si>
    <t>#IDP  incorporação direta em placas</t>
  </si>
  <si>
    <t>#PI  Pré-incubação</t>
  </si>
  <si>
    <t>Não foi preenchida a espécie testada</t>
  </si>
  <si>
    <t>Não foi preenchida a unidade de medida da concentração</t>
  </si>
  <si>
    <t>Não foi preenchido se foi efetuada a análise das características genéticas de cada cepa</t>
  </si>
  <si>
    <t>Não foi preenchido se a viabilidade celular estava entre 10^8 e 10^9</t>
  </si>
  <si>
    <t>Não foi preenchido se no ensaio com ativação metabólica, o controle positivo testado foi o 2-aminoantraceno</t>
  </si>
  <si>
    <t>Não preencheu qual foi o outro mutágeno testado além do 2-aminoantraceno</t>
  </si>
  <si>
    <t>Não preencheu qual é o documento que comprova a eficácia do outro mutágeno</t>
  </si>
  <si>
    <t>Não preencheu qual foi o método do controle histórico</t>
  </si>
  <si>
    <t>Não preencheu o total de replicatas por concentração</t>
  </si>
  <si>
    <t>Não preencheu o porquê o texto definitivo não foi conduzido em triplicata</t>
  </si>
  <si>
    <t>Não preencheu o método utilizado</t>
  </si>
  <si>
    <t>Não preencheu o ativador metabólico</t>
  </si>
  <si>
    <t>Não preencheu se houve precipitação</t>
  </si>
  <si>
    <t>Não preencheu a justificativa para a precipitação</t>
  </si>
  <si>
    <t>Não preencheu sobre a situação do background</t>
  </si>
  <si>
    <t>Não preencheu a justificativa para o background alterado</t>
  </si>
  <si>
    <t>Não preencheu se houve perda de triplicata</t>
  </si>
  <si>
    <t>Não preencheu a justificativa pela perda de triplicata</t>
  </si>
  <si>
    <t>Não preencheu se houve estudo de complementação</t>
  </si>
  <si>
    <t>Não preencheu qual foi o motivo do estudo de complementação</t>
  </si>
  <si>
    <t>Não preencheu quais cepas foram utilizadas no estudo de complementação</t>
  </si>
  <si>
    <t>Não preencheu se os resultados foram expressos em médias</t>
  </si>
  <si>
    <t>Não preencheu os resultados das triplicatas</t>
  </si>
  <si>
    <t>Não preencheu se houve correlação dose-resposta</t>
  </si>
  <si>
    <t>Não preencheu se houve significância estatística</t>
  </si>
  <si>
    <t>Não preencheu em quais cepas houve significância</t>
  </si>
  <si>
    <t>Não preencheu se houve relevância biológica</t>
  </si>
  <si>
    <t>Tipos de teste</t>
  </si>
  <si>
    <t>O Nº médio de revertentes do controle negativo está divergindo do controle histórico  - sem fração S9</t>
  </si>
  <si>
    <t>O Nº médio de revertentes do controle negativo está divergindo do controle histórico - com fração S9</t>
  </si>
  <si>
    <t>O Nº médio de revertentes controle positivo está divergindo do controle histórico - sem fração S9</t>
  </si>
  <si>
    <t>O Nº médio de revertentes controle positivo está divergindo do controle histórico - com fração S9</t>
  </si>
  <si>
    <t>Métodos</t>
  </si>
  <si>
    <t>#Verifica se a concentração foi analisável e retorna 0 para ok e 1 para "Não analisável"</t>
  </si>
  <si>
    <t>#Retorna 0 para "nenhuma cepa fora do controle" e 1 para alguma cepa fora da faixa de controle histórico</t>
  </si>
  <si>
    <t>CN(-)</t>
  </si>
  <si>
    <t>CN(+)</t>
  </si>
  <si>
    <t>CP(-)</t>
  </si>
  <si>
    <t>CP(+)</t>
  </si>
  <si>
    <t>Foi testado mais de um grupo controle negativo no teste definitivo? (?)</t>
  </si>
  <si>
    <t>Origem dos dados de controle histórico (?)</t>
  </si>
  <si>
    <t>Lab CN machos</t>
  </si>
  <si>
    <t>Lab CN Fêmeas</t>
  </si>
  <si>
    <t>Lab CP Machos</t>
  </si>
  <si>
    <t>Lab CP Fêmeas</t>
  </si>
  <si>
    <t>Lit CN machos</t>
  </si>
  <si>
    <t>Lit CN Fêmeas</t>
  </si>
  <si>
    <t>Lit CP Machos</t>
  </si>
  <si>
    <t>Lit CP Fêmeas</t>
  </si>
  <si>
    <t>Período coberto (?) (1)</t>
  </si>
  <si>
    <t>Período coberto (?) (2)</t>
  </si>
  <si>
    <t>Quantidade de estudos (Machos)</t>
  </si>
  <si>
    <t>Quantidade de estudos (Fêmeas)</t>
  </si>
  <si>
    <t>Teste Preliminar</t>
  </si>
  <si>
    <t>Estudo não utilizou DMT</t>
  </si>
  <si>
    <t>Dose mínima (Fêmeas)
(mg/kg pc)</t>
  </si>
  <si>
    <t>Dose intermediária (Fêmeas)
 (mg/kg pc)</t>
  </si>
  <si>
    <t>Dose máxima (Fêmeas)
 (mg/kg pc)</t>
  </si>
  <si>
    <t>Evidência que comprove a exposição da medula óssea a substância teste (?)</t>
  </si>
  <si>
    <t>Metodologia e resultados da análise estatística (?)</t>
  </si>
  <si>
    <t>Alterações de peso, clínicas,necropsia e comportamentais relatadas nas doses testadas (?)</t>
  </si>
  <si>
    <t>Respostas_usuario!$S$18</t>
  </si>
  <si>
    <t>Respostas_usuario!K20</t>
  </si>
  <si>
    <t>Não foi preenchido o tipo de amostra</t>
  </si>
  <si>
    <t>Não foi preenchida a quantidade de administrações da substância teste</t>
  </si>
  <si>
    <t>Não foi preenchido o tempo de coleta após a última administração</t>
  </si>
  <si>
    <t>Não foi preenchido o inícío da coleta</t>
  </si>
  <si>
    <t>Não foi preenchido o fim da coleta</t>
  </si>
  <si>
    <t>Não foi preenchido o tempo de coleta</t>
  </si>
  <si>
    <t>Não foi preenchido o controle negativo</t>
  </si>
  <si>
    <t>Não foi preenchido se o controle negativo foi testado mais de uma vez</t>
  </si>
  <si>
    <t>Não foi preenchido o controle positivo</t>
  </si>
  <si>
    <t>Não foi preenchida a dose do controle positivo</t>
  </si>
  <si>
    <t>Não foi preenchido o método de análise</t>
  </si>
  <si>
    <t>Não foi preenchida a origem dos dados do controle histórico</t>
  </si>
  <si>
    <t>Não foi preenchida a quantidade de estudos com machos</t>
  </si>
  <si>
    <t>Não foi preenchida a quantidade de estudos com fêmeas</t>
  </si>
  <si>
    <t>Não foi preenchida a referência bibliográfica</t>
  </si>
  <si>
    <t>Não preencheu as alterações clínicas para alguma das doses - teste preliminar</t>
  </si>
  <si>
    <t>Não preencheu a mortalidade para algum animal (fêmeas) - teste preliminar</t>
  </si>
  <si>
    <t>Não preencheu a mortalidade para algum animal (machos) - teste preliminar</t>
  </si>
  <si>
    <t>Qual foi a dose de DL50 encontrada? (mg/kg pc)</t>
  </si>
  <si>
    <t>Não preencheu se houve diferença entre os sexos</t>
  </si>
  <si>
    <t>Não preencheu a DMT para fêmeas</t>
  </si>
  <si>
    <t>Não preencheu se para a seleção de dose foi utilizado o estudo de DL50</t>
  </si>
  <si>
    <t>Não preencheu se o estudo de DL50 foi conduzido com a mesma espécie</t>
  </si>
  <si>
    <t>Não preencheu o sexo dos animais do estudo de DL50</t>
  </si>
  <si>
    <t>Não preencheu a DL50 encontrada para fêmeas</t>
  </si>
  <si>
    <t>Não preencheu a dose mínima para fêmeas</t>
  </si>
  <si>
    <t>Não preencheu a dose intermediária para fêmeas</t>
  </si>
  <si>
    <t>Não preencheu a dose máxima para fêmeas</t>
  </si>
  <si>
    <t>Não preencheu justificativa por não ter utilizado o estudo deo DL50 para seleção da DMT</t>
  </si>
  <si>
    <t>Não preencheu o sexo dos animais testados</t>
  </si>
  <si>
    <t>Não preencheu o total de EN para algum animal</t>
  </si>
  <si>
    <t>Não preencheu a evidência de que a substância teste atingiu a medula</t>
  </si>
  <si>
    <t>Não preencheu os dados estatísticos</t>
  </si>
  <si>
    <t>Não preencheu se houve aumento estatisticamente significante do número de EPMN</t>
  </si>
  <si>
    <t>Não preencheu se o aumento de EPMN foi dose resposta</t>
  </si>
  <si>
    <t>Não preencheu se algum dos resultados estava fora da faixa de controle histórico</t>
  </si>
  <si>
    <t>Não preencheu as alterações clínicas para o teste definitivo</t>
  </si>
  <si>
    <t>Não foi preenchida a via de administração</t>
  </si>
  <si>
    <t xml:space="preserve">Não foram preenchidos os limites mínimos ou máximos para algum dos sexos </t>
  </si>
  <si>
    <t>Não foi preenchido o período coberto pelos estudos do controle histórico</t>
  </si>
  <si>
    <t>Não preencheu a DMT / DMT para machos</t>
  </si>
  <si>
    <t>Não preencheu a DL50 encontrada / para machos</t>
  </si>
  <si>
    <t>Não preencheu a dose mínima / para machos</t>
  </si>
  <si>
    <t>Não preencheu a dose intermediária / para machos</t>
  </si>
  <si>
    <t>Não preencheu a dose máxima / para machos</t>
  </si>
  <si>
    <t>Amostra</t>
  </si>
  <si>
    <t>Qtd de administrações</t>
  </si>
  <si>
    <t>Tempo mínimo</t>
  </si>
  <si>
    <t>Tempo máximo</t>
  </si>
  <si>
    <t>Dose Máxima Tolerada - DMT (mg/kg pc) / - Machos</t>
  </si>
  <si>
    <t>Doses Machos</t>
  </si>
  <si>
    <t>Doses Fêmeas</t>
  </si>
  <si>
    <t>DMT</t>
  </si>
  <si>
    <t>DL50 mínimo</t>
  </si>
  <si>
    <t>DL50 intermediário</t>
  </si>
  <si>
    <t>DL50 máximo</t>
  </si>
  <si>
    <t>Houve diferença de toxicidade entre sexos, mas o estudo foi conduzido com um sexo</t>
  </si>
  <si>
    <t>DL50</t>
  </si>
  <si>
    <t>Toxicidade máxima</t>
  </si>
  <si>
    <t>Método do estudo</t>
  </si>
  <si>
    <t>#Resultados negativos indicam que não houve toxicidade</t>
  </si>
  <si>
    <t>Valor de corte para toxicidade</t>
  </si>
  <si>
    <t>Protocolo</t>
  </si>
  <si>
    <t>2014 ou 2016</t>
  </si>
  <si>
    <t>anterior a 2014</t>
  </si>
  <si>
    <t>mínimo para o total de EP analisado para EP/(EP+EN)</t>
  </si>
  <si>
    <t>mínimo para o Total de EP para EPMN</t>
  </si>
  <si>
    <t>OECD</t>
  </si>
  <si>
    <t>CN - Machos</t>
  </si>
  <si>
    <t>CN - Fêmeas</t>
  </si>
  <si>
    <t>CP - Machos</t>
  </si>
  <si>
    <t>Laboratório</t>
  </si>
  <si>
    <t>CP - Fêmeas</t>
  </si>
  <si>
    <t>Valores do estudo</t>
  </si>
  <si>
    <t>'Irritacao_Ocular(2)'!N10</t>
  </si>
  <si>
    <t>'Irritacao_Cutanea(2)'!N10</t>
  </si>
  <si>
    <t>Produtos técnicos</t>
  </si>
  <si>
    <t>Certificados de análise</t>
  </si>
  <si>
    <r>
      <t xml:space="preserve">Foi conduzido estudo baseado nos métodos alternativos ao uso de animais? </t>
    </r>
    <r>
      <rPr>
        <b/>
        <sz val="9"/>
        <color theme="5" tint="-0.249977111117893"/>
        <rFont val="Calibri"/>
        <family val="2"/>
        <scheme val="minor"/>
      </rPr>
      <t>(?)</t>
    </r>
  </si>
  <si>
    <t>Preencha abaixo os dados dos estudo seguindo a ordem da abordagem utilizada</t>
  </si>
  <si>
    <t>Resultados/Conclusão</t>
  </si>
  <si>
    <t>Classificação</t>
  </si>
  <si>
    <t>Classificacao_MA_cutanea</t>
  </si>
  <si>
    <t>Inconclusivo</t>
  </si>
  <si>
    <t>Classificacao_MA_ocular</t>
  </si>
  <si>
    <t>#Verifica se foi necessário o teste in vivo (ocular)</t>
  </si>
  <si>
    <t>src_MA_irritação_ocular</t>
  </si>
  <si>
    <t>'Irritacao_Ocular(1)'!AJ15:AM19</t>
  </si>
  <si>
    <t>#Verifica se foi necessário o teste in vivo (cutanea)</t>
  </si>
  <si>
    <t>src_MA_irritação_cutanea</t>
  </si>
  <si>
    <t>'Irritacao_Cutanea(1)'!AJ15:AM19</t>
  </si>
  <si>
    <t>'Irritacao_Ocular(2)'!AJ15:AM19</t>
  </si>
  <si>
    <t>'Irritacao_Cutanea(2)'!AJ15:AM19</t>
  </si>
  <si>
    <r>
      <t xml:space="preserve">Foi conduzido estudo baseado nos métodos alternativos ao uso de animais? </t>
    </r>
    <r>
      <rPr>
        <b/>
        <sz val="8"/>
        <color theme="5" tint="-0.249977111117893"/>
        <rFont val="Calibri"/>
        <family val="2"/>
        <scheme val="minor"/>
      </rPr>
      <t>(?)</t>
    </r>
  </si>
  <si>
    <t>Classificação_MA</t>
  </si>
  <si>
    <t>N35</t>
  </si>
  <si>
    <t>N27</t>
  </si>
  <si>
    <t>alert127</t>
  </si>
  <si>
    <t>alert128</t>
  </si>
  <si>
    <t>alert129</t>
  </si>
  <si>
    <t>alert130</t>
  </si>
  <si>
    <t>alert131</t>
  </si>
  <si>
    <t>alert132</t>
  </si>
  <si>
    <t>alert133</t>
  </si>
  <si>
    <t>alert134</t>
  </si>
  <si>
    <t>alert135</t>
  </si>
  <si>
    <t>alert136</t>
  </si>
  <si>
    <t>alert137</t>
  </si>
  <si>
    <t>alert138</t>
  </si>
  <si>
    <t>alert139</t>
  </si>
  <si>
    <t>alert140</t>
  </si>
  <si>
    <t>alert141</t>
  </si>
  <si>
    <t>alert142</t>
  </si>
  <si>
    <t>alert143</t>
  </si>
  <si>
    <t>alert144</t>
  </si>
  <si>
    <t>alert145</t>
  </si>
  <si>
    <t>alert146</t>
  </si>
  <si>
    <t>alert147</t>
  </si>
  <si>
    <t>alert148</t>
  </si>
  <si>
    <t>alert149</t>
  </si>
  <si>
    <t>alert150</t>
  </si>
  <si>
    <t>alert151</t>
  </si>
  <si>
    <t>alert152</t>
  </si>
  <si>
    <t>alert153</t>
  </si>
  <si>
    <t>alert154</t>
  </si>
  <si>
    <t>alert155</t>
  </si>
  <si>
    <t>alert156</t>
  </si>
  <si>
    <t>alert157</t>
  </si>
  <si>
    <t>alert158</t>
  </si>
  <si>
    <t>alert159</t>
  </si>
  <si>
    <t>alert160</t>
  </si>
  <si>
    <t>alert161</t>
  </si>
  <si>
    <t>alert162</t>
  </si>
  <si>
    <t>alert163</t>
  </si>
  <si>
    <t>alert164</t>
  </si>
  <si>
    <t>alert165</t>
  </si>
  <si>
    <t>alert166</t>
  </si>
  <si>
    <t>alert167</t>
  </si>
  <si>
    <t>alert168</t>
  </si>
  <si>
    <t>alert169</t>
  </si>
  <si>
    <t>alert170</t>
  </si>
  <si>
    <t>alert171</t>
  </si>
  <si>
    <t>alert172</t>
  </si>
  <si>
    <t>alert173</t>
  </si>
  <si>
    <t>alert174</t>
  </si>
  <si>
    <t>alert175</t>
  </si>
  <si>
    <t>alert176</t>
  </si>
  <si>
    <t>alert177</t>
  </si>
  <si>
    <t>alert178</t>
  </si>
  <si>
    <t>alert179</t>
  </si>
  <si>
    <t>alert180</t>
  </si>
  <si>
    <t>alert181</t>
  </si>
  <si>
    <t>alert182</t>
  </si>
  <si>
    <t>alert183</t>
  </si>
  <si>
    <t>alert184</t>
  </si>
  <si>
    <t>alert185</t>
  </si>
  <si>
    <t>alert186</t>
  </si>
  <si>
    <t>alert187</t>
  </si>
  <si>
    <t>alert188</t>
  </si>
  <si>
    <t>alert189</t>
  </si>
  <si>
    <t>alert190</t>
  </si>
  <si>
    <t>alert191</t>
  </si>
  <si>
    <t>alert192</t>
  </si>
  <si>
    <t>alert193</t>
  </si>
  <si>
    <t>alert194</t>
  </si>
  <si>
    <t>alert195</t>
  </si>
  <si>
    <t>alert196</t>
  </si>
  <si>
    <t>alert197</t>
  </si>
  <si>
    <t>alert198</t>
  </si>
  <si>
    <t>alert199</t>
  </si>
  <si>
    <t>alert200</t>
  </si>
  <si>
    <t>alert201</t>
  </si>
  <si>
    <t>alert202</t>
  </si>
  <si>
    <t>alert203</t>
  </si>
  <si>
    <t>alert204</t>
  </si>
  <si>
    <t>alert205</t>
  </si>
  <si>
    <t>alert206</t>
  </si>
  <si>
    <t>alert207</t>
  </si>
  <si>
    <t>alert208</t>
  </si>
  <si>
    <t>alert209</t>
  </si>
  <si>
    <t>alert210</t>
  </si>
  <si>
    <t>alert211</t>
  </si>
  <si>
    <t>alert212</t>
  </si>
  <si>
    <t>alert213</t>
  </si>
  <si>
    <t>alert214</t>
  </si>
  <si>
    <t>alert215</t>
  </si>
  <si>
    <t>alert216</t>
  </si>
  <si>
    <t>alert217</t>
  </si>
  <si>
    <t>alert218</t>
  </si>
  <si>
    <t>alert219</t>
  </si>
  <si>
    <t>alert220</t>
  </si>
  <si>
    <t>alert221</t>
  </si>
  <si>
    <t>alert222</t>
  </si>
  <si>
    <t>alert223</t>
  </si>
  <si>
    <t>alert224</t>
  </si>
  <si>
    <t>alert225</t>
  </si>
  <si>
    <t>alert226</t>
  </si>
  <si>
    <t>alert227</t>
  </si>
  <si>
    <t>alert228</t>
  </si>
  <si>
    <t>alert229</t>
  </si>
  <si>
    <t>alert230</t>
  </si>
  <si>
    <t>alert231</t>
  </si>
  <si>
    <t>alert232</t>
  </si>
  <si>
    <t>alert233</t>
  </si>
  <si>
    <t>alert234</t>
  </si>
  <si>
    <t>alert235</t>
  </si>
  <si>
    <t>alert236</t>
  </si>
  <si>
    <t>alert237</t>
  </si>
  <si>
    <t>alert238</t>
  </si>
  <si>
    <t>alert239</t>
  </si>
  <si>
    <t>alert240</t>
  </si>
  <si>
    <t>alert241</t>
  </si>
  <si>
    <t>alert242</t>
  </si>
  <si>
    <t>alert243</t>
  </si>
  <si>
    <t>alert244</t>
  </si>
  <si>
    <t>alert245</t>
  </si>
  <si>
    <t>alert246</t>
  </si>
  <si>
    <t>alert247</t>
  </si>
  <si>
    <t>alert248</t>
  </si>
  <si>
    <t>alert249</t>
  </si>
  <si>
    <t>alert250</t>
  </si>
  <si>
    <t>alert251</t>
  </si>
  <si>
    <t>alert252</t>
  </si>
  <si>
    <t>alert253</t>
  </si>
  <si>
    <t>alert254</t>
  </si>
  <si>
    <t>alert255</t>
  </si>
  <si>
    <t>alert256</t>
  </si>
  <si>
    <t>alert257</t>
  </si>
  <si>
    <t>alert258</t>
  </si>
  <si>
    <t>alert259</t>
  </si>
  <si>
    <t>alert260</t>
  </si>
  <si>
    <t>alert261</t>
  </si>
  <si>
    <t>alert262</t>
  </si>
  <si>
    <t>alert263</t>
  </si>
  <si>
    <t>alert264</t>
  </si>
  <si>
    <t>alert265</t>
  </si>
  <si>
    <t>alert266</t>
  </si>
  <si>
    <t>alert267</t>
  </si>
  <si>
    <t>alert268</t>
  </si>
  <si>
    <t>alert269</t>
  </si>
  <si>
    <t>alert270</t>
  </si>
  <si>
    <t>alert271</t>
  </si>
  <si>
    <t>alert272</t>
  </si>
  <si>
    <t>alert273</t>
  </si>
  <si>
    <t>alert274</t>
  </si>
  <si>
    <t>alert275</t>
  </si>
  <si>
    <t>alert276</t>
  </si>
  <si>
    <t>alert277</t>
  </si>
  <si>
    <t>alert278</t>
  </si>
  <si>
    <t>alert279</t>
  </si>
  <si>
    <t>alert280</t>
  </si>
  <si>
    <t>alert281</t>
  </si>
  <si>
    <t>alert282</t>
  </si>
  <si>
    <t>alert283</t>
  </si>
  <si>
    <t>alert284</t>
  </si>
  <si>
    <t>alert285</t>
  </si>
  <si>
    <t>alert286</t>
  </si>
  <si>
    <t>alert287</t>
  </si>
  <si>
    <t>alert288</t>
  </si>
  <si>
    <t>alert289</t>
  </si>
  <si>
    <t>alert290</t>
  </si>
  <si>
    <t>alert291</t>
  </si>
  <si>
    <t>alert292</t>
  </si>
  <si>
    <t>alert293</t>
  </si>
  <si>
    <t>alert294</t>
  </si>
  <si>
    <t>alert295</t>
  </si>
  <si>
    <t>alert296</t>
  </si>
  <si>
    <t>alert297</t>
  </si>
  <si>
    <t>alert298</t>
  </si>
  <si>
    <t>alert299</t>
  </si>
  <si>
    <t>alert300</t>
  </si>
  <si>
    <t>alert301</t>
  </si>
  <si>
    <t>alert302</t>
  </si>
  <si>
    <t>alert303</t>
  </si>
  <si>
    <t>alert304</t>
  </si>
  <si>
    <t>alert305</t>
  </si>
  <si>
    <t>alert306</t>
  </si>
  <si>
    <t>alert307</t>
  </si>
  <si>
    <t>alert308</t>
  </si>
  <si>
    <t>alert309</t>
  </si>
  <si>
    <t>alert310</t>
  </si>
  <si>
    <t>alert311</t>
  </si>
  <si>
    <t>alert312</t>
  </si>
  <si>
    <t>alert313</t>
  </si>
  <si>
    <t>alert314</t>
  </si>
  <si>
    <t>alert315</t>
  </si>
  <si>
    <t>alert316</t>
  </si>
  <si>
    <t>alert317</t>
  </si>
  <si>
    <t>alert318</t>
  </si>
  <si>
    <t>alert319</t>
  </si>
  <si>
    <t>alert320</t>
  </si>
  <si>
    <t>alert321</t>
  </si>
  <si>
    <t>alert322</t>
  </si>
  <si>
    <t>alert323</t>
  </si>
  <si>
    <t>alert324</t>
  </si>
  <si>
    <t>alert325</t>
  </si>
  <si>
    <t>alert326</t>
  </si>
  <si>
    <t>alert327</t>
  </si>
  <si>
    <t>alert328</t>
  </si>
  <si>
    <t>alert329</t>
  </si>
  <si>
    <t>alert330</t>
  </si>
  <si>
    <t>alert331</t>
  </si>
  <si>
    <t>alert332</t>
  </si>
  <si>
    <t>alert333</t>
  </si>
  <si>
    <t>alert334</t>
  </si>
  <si>
    <t>alert335</t>
  </si>
  <si>
    <t>alert336</t>
  </si>
  <si>
    <t>alert337</t>
  </si>
  <si>
    <t>alert338</t>
  </si>
  <si>
    <t>alert339</t>
  </si>
  <si>
    <t>alert340</t>
  </si>
  <si>
    <t>alert341</t>
  </si>
  <si>
    <t>alert342</t>
  </si>
  <si>
    <t>alert343</t>
  </si>
  <si>
    <t>alert344</t>
  </si>
  <si>
    <t>alert345</t>
  </si>
  <si>
    <t>alert346</t>
  </si>
  <si>
    <t>alert347</t>
  </si>
  <si>
    <t>alert348</t>
  </si>
  <si>
    <t>alert349</t>
  </si>
  <si>
    <t>alert350</t>
  </si>
  <si>
    <t>alert351</t>
  </si>
  <si>
    <t>alert352</t>
  </si>
  <si>
    <t>alert353</t>
  </si>
  <si>
    <t>alert354</t>
  </si>
  <si>
    <t>alert355</t>
  </si>
  <si>
    <t>alert356</t>
  </si>
  <si>
    <t>alert357</t>
  </si>
  <si>
    <t>alert358</t>
  </si>
  <si>
    <t>alert359</t>
  </si>
  <si>
    <t>alert360</t>
  </si>
  <si>
    <t>alert361</t>
  </si>
  <si>
    <t>alert362</t>
  </si>
  <si>
    <t>alert363</t>
  </si>
  <si>
    <t>alert364</t>
  </si>
  <si>
    <t>alert365</t>
  </si>
  <si>
    <t>alert366</t>
  </si>
  <si>
    <t>alert367</t>
  </si>
  <si>
    <t>alert368</t>
  </si>
  <si>
    <t>alert369</t>
  </si>
  <si>
    <t>alert370</t>
  </si>
  <si>
    <t>alert371</t>
  </si>
  <si>
    <t>alert372</t>
  </si>
  <si>
    <t>alert373</t>
  </si>
  <si>
    <t>alert374</t>
  </si>
  <si>
    <t>alert375</t>
  </si>
  <si>
    <t>alert376</t>
  </si>
  <si>
    <t>alert377</t>
  </si>
  <si>
    <t>alert378</t>
  </si>
  <si>
    <t>alert379</t>
  </si>
  <si>
    <t>alert380</t>
  </si>
  <si>
    <t>alert381</t>
  </si>
  <si>
    <t>alert382</t>
  </si>
  <si>
    <t>alert383</t>
  </si>
  <si>
    <t>alert384</t>
  </si>
  <si>
    <t>alert385</t>
  </si>
  <si>
    <t>alert386</t>
  </si>
  <si>
    <t>alert387</t>
  </si>
  <si>
    <t>alert388</t>
  </si>
  <si>
    <t>alert389</t>
  </si>
  <si>
    <t>alert390</t>
  </si>
  <si>
    <t>alert391</t>
  </si>
  <si>
    <t>alert392</t>
  </si>
  <si>
    <t>alert393</t>
  </si>
  <si>
    <t>alert394</t>
  </si>
  <si>
    <t>alert395</t>
  </si>
  <si>
    <t>alert396</t>
  </si>
  <si>
    <t>alert397</t>
  </si>
  <si>
    <t>alert398</t>
  </si>
  <si>
    <t>alert399</t>
  </si>
  <si>
    <t>alert400</t>
  </si>
  <si>
    <t>alert401</t>
  </si>
  <si>
    <t>alert402</t>
  </si>
  <si>
    <t>alert403</t>
  </si>
  <si>
    <t>alert404</t>
  </si>
  <si>
    <t>alert405</t>
  </si>
  <si>
    <t>alert406</t>
  </si>
  <si>
    <t>alert407</t>
  </si>
  <si>
    <t>alert408</t>
  </si>
  <si>
    <t>alert409</t>
  </si>
  <si>
    <t>alert410</t>
  </si>
  <si>
    <t>alert411</t>
  </si>
  <si>
    <t>alert412</t>
  </si>
  <si>
    <t>alert413</t>
  </si>
  <si>
    <t>alert414</t>
  </si>
  <si>
    <t>alert415</t>
  </si>
  <si>
    <t>alert416</t>
  </si>
  <si>
    <t>alert417</t>
  </si>
  <si>
    <t>alert418</t>
  </si>
  <si>
    <t>alert419</t>
  </si>
  <si>
    <t>alert420</t>
  </si>
  <si>
    <t>alert421</t>
  </si>
  <si>
    <t>alert422</t>
  </si>
  <si>
    <t>alert423</t>
  </si>
  <si>
    <t>alert424</t>
  </si>
  <si>
    <t>alert425</t>
  </si>
  <si>
    <t>alert426</t>
  </si>
  <si>
    <t>alert427</t>
  </si>
  <si>
    <t>alert428</t>
  </si>
  <si>
    <t>alert429</t>
  </si>
  <si>
    <t>alert430</t>
  </si>
  <si>
    <t>alert431</t>
  </si>
  <si>
    <t>alert432</t>
  </si>
  <si>
    <t>alert433</t>
  </si>
  <si>
    <t>alert434</t>
  </si>
  <si>
    <t>alert435</t>
  </si>
  <si>
    <t>alert436</t>
  </si>
  <si>
    <t>alert437</t>
  </si>
  <si>
    <t>alert438</t>
  </si>
  <si>
    <t>alert439</t>
  </si>
  <si>
    <t>alert440</t>
  </si>
  <si>
    <t>alert441</t>
  </si>
  <si>
    <t>alert442</t>
  </si>
  <si>
    <t>alert443</t>
  </si>
  <si>
    <t>alert444</t>
  </si>
  <si>
    <t>alert445</t>
  </si>
  <si>
    <t>alert446</t>
  </si>
  <si>
    <t>alert447</t>
  </si>
  <si>
    <t>alert448</t>
  </si>
  <si>
    <t>alert449</t>
  </si>
  <si>
    <t>alert450</t>
  </si>
  <si>
    <t>alert451</t>
  </si>
  <si>
    <t>alert452</t>
  </si>
  <si>
    <t>alert453</t>
  </si>
  <si>
    <t>alert454</t>
  </si>
  <si>
    <t>alert455</t>
  </si>
  <si>
    <t>alert456</t>
  </si>
  <si>
    <t>alert457</t>
  </si>
  <si>
    <t>alert458</t>
  </si>
  <si>
    <t>alert459</t>
  </si>
  <si>
    <t>alert460</t>
  </si>
  <si>
    <t>alert461</t>
  </si>
  <si>
    <t>alert462</t>
  </si>
  <si>
    <t>alert463</t>
  </si>
  <si>
    <t>alert464</t>
  </si>
  <si>
    <t>alert465</t>
  </si>
  <si>
    <t>alert466</t>
  </si>
  <si>
    <t>alert467</t>
  </si>
  <si>
    <t>alert468</t>
  </si>
  <si>
    <t>alert469</t>
  </si>
  <si>
    <t>alert470</t>
  </si>
  <si>
    <t>alert471</t>
  </si>
  <si>
    <t>alert472</t>
  </si>
  <si>
    <t>alert473</t>
  </si>
  <si>
    <t>alert474</t>
  </si>
  <si>
    <t>alert475</t>
  </si>
  <si>
    <t>alert476</t>
  </si>
  <si>
    <t>alert477</t>
  </si>
  <si>
    <t>alert478</t>
  </si>
  <si>
    <t>alert479</t>
  </si>
  <si>
    <t>alert480</t>
  </si>
  <si>
    <t>alert481</t>
  </si>
  <si>
    <t>alert482</t>
  </si>
  <si>
    <t>alert483</t>
  </si>
  <si>
    <t>alert484</t>
  </si>
  <si>
    <t>alert485</t>
  </si>
  <si>
    <t>alert486</t>
  </si>
  <si>
    <t>alert487</t>
  </si>
  <si>
    <t>alert488</t>
  </si>
  <si>
    <t>alert489</t>
  </si>
  <si>
    <t>alert490</t>
  </si>
  <si>
    <t>alert491</t>
  </si>
  <si>
    <t>alert492</t>
  </si>
  <si>
    <t>alert493</t>
  </si>
  <si>
    <t>alert494</t>
  </si>
  <si>
    <t>alert495</t>
  </si>
  <si>
    <t>alert496</t>
  </si>
  <si>
    <t>alert497</t>
  </si>
  <si>
    <t>alert498</t>
  </si>
  <si>
    <t>alert499</t>
  </si>
  <si>
    <t>alert500</t>
  </si>
  <si>
    <t>alert501</t>
  </si>
  <si>
    <t>alert502</t>
  </si>
  <si>
    <t>alert503</t>
  </si>
  <si>
    <t>alert504</t>
  </si>
  <si>
    <t>alert505</t>
  </si>
  <si>
    <t>alert506</t>
  </si>
  <si>
    <t>alert507</t>
  </si>
  <si>
    <t>alert508</t>
  </si>
  <si>
    <t>alert509</t>
  </si>
  <si>
    <t>alert510</t>
  </si>
  <si>
    <t>alert511</t>
  </si>
  <si>
    <t>alert512</t>
  </si>
  <si>
    <t>alert513</t>
  </si>
  <si>
    <t>alert514</t>
  </si>
  <si>
    <t>alert515</t>
  </si>
  <si>
    <t>alert516</t>
  </si>
  <si>
    <t>alert517</t>
  </si>
  <si>
    <t>alert518</t>
  </si>
  <si>
    <t>alert519</t>
  </si>
  <si>
    <t>alert520</t>
  </si>
  <si>
    <t>alert521</t>
  </si>
  <si>
    <t>alert522</t>
  </si>
  <si>
    <t>alert523</t>
  </si>
  <si>
    <t>alert524</t>
  </si>
  <si>
    <t>alert525</t>
  </si>
  <si>
    <t>alert526</t>
  </si>
  <si>
    <t>alert527</t>
  </si>
  <si>
    <t>alert528</t>
  </si>
  <si>
    <t>alert529</t>
  </si>
  <si>
    <t>alert530</t>
  </si>
  <si>
    <t>alert531</t>
  </si>
  <si>
    <t>alert532</t>
  </si>
  <si>
    <t>alert533</t>
  </si>
  <si>
    <t>alert534</t>
  </si>
  <si>
    <t>alert535</t>
  </si>
  <si>
    <t>alert536</t>
  </si>
  <si>
    <t>alert537</t>
  </si>
  <si>
    <t>alert538</t>
  </si>
  <si>
    <t>alert539</t>
  </si>
  <si>
    <t>alert540</t>
  </si>
  <si>
    <t>alert541</t>
  </si>
  <si>
    <t>alert542</t>
  </si>
  <si>
    <t>alert543</t>
  </si>
  <si>
    <t>alert544</t>
  </si>
  <si>
    <t>alert545</t>
  </si>
  <si>
    <t>alert546</t>
  </si>
  <si>
    <t>alert547</t>
  </si>
  <si>
    <t>alert548</t>
  </si>
  <si>
    <t>alert549</t>
  </si>
  <si>
    <t>alert550</t>
  </si>
  <si>
    <t>alert551</t>
  </si>
  <si>
    <t>alert552</t>
  </si>
  <si>
    <t>alert553</t>
  </si>
  <si>
    <t>alert554</t>
  </si>
  <si>
    <t>alert555</t>
  </si>
  <si>
    <t>alert556</t>
  </si>
  <si>
    <t>alert557</t>
  </si>
  <si>
    <t>alert558</t>
  </si>
  <si>
    <t>alert559</t>
  </si>
  <si>
    <t>alert560</t>
  </si>
  <si>
    <t>alert561</t>
  </si>
  <si>
    <t>alert562</t>
  </si>
  <si>
    <t>alert563</t>
  </si>
  <si>
    <t>alert564</t>
  </si>
  <si>
    <t>alert565</t>
  </si>
  <si>
    <t>alert566</t>
  </si>
  <si>
    <t>alert567</t>
  </si>
  <si>
    <t>alert568</t>
  </si>
  <si>
    <t>alert569</t>
  </si>
  <si>
    <t>alert570</t>
  </si>
  <si>
    <t>alert571</t>
  </si>
  <si>
    <t>alert572</t>
  </si>
  <si>
    <t>alert573</t>
  </si>
  <si>
    <t>alert574</t>
  </si>
  <si>
    <t>alert575</t>
  </si>
  <si>
    <t>alert576</t>
  </si>
  <si>
    <t>alert577</t>
  </si>
  <si>
    <t>alert578</t>
  </si>
  <si>
    <t>alert579</t>
  </si>
  <si>
    <t>alert580</t>
  </si>
  <si>
    <t>alert581</t>
  </si>
  <si>
    <t>alert582</t>
  </si>
  <si>
    <t>alert583</t>
  </si>
  <si>
    <t>alert584</t>
  </si>
  <si>
    <t>alert585</t>
  </si>
  <si>
    <t>alert586</t>
  </si>
  <si>
    <t>alert587</t>
  </si>
  <si>
    <t>alert588</t>
  </si>
  <si>
    <t>alert589</t>
  </si>
  <si>
    <t>alert590</t>
  </si>
  <si>
    <t>alert591</t>
  </si>
  <si>
    <t>alert592</t>
  </si>
  <si>
    <t>alert593</t>
  </si>
  <si>
    <t>alert594</t>
  </si>
  <si>
    <t>alert595</t>
  </si>
  <si>
    <t>alert596</t>
  </si>
  <si>
    <t>alert597</t>
  </si>
  <si>
    <t>alert598</t>
  </si>
  <si>
    <t>alert599</t>
  </si>
  <si>
    <t>alert600</t>
  </si>
  <si>
    <t>alert601</t>
  </si>
  <si>
    <t>alert602</t>
  </si>
  <si>
    <t>alert603</t>
  </si>
  <si>
    <t>alert604</t>
  </si>
  <si>
    <t>alert605</t>
  </si>
  <si>
    <t>alert606</t>
  </si>
  <si>
    <t>alert607</t>
  </si>
  <si>
    <t>Formulário</t>
  </si>
  <si>
    <t>src_palavra_advertência</t>
  </si>
  <si>
    <t>N90</t>
  </si>
  <si>
    <t>Nº 404: Acute Dermal Irritation/Corrosion (17/07/1992)</t>
  </si>
  <si>
    <t>Avaliação estatística dos resultados</t>
  </si>
  <si>
    <t>Nº 471: Bacterial Reverse Mutation Test (26/06/2020)</t>
  </si>
  <si>
    <t>1228284-64-7</t>
  </si>
  <si>
    <t>Nova</t>
  </si>
  <si>
    <t>Pidiflumetofem</t>
  </si>
  <si>
    <t>Não foi preenchida a dose de injeção intradérmica escolhida para indução (preliminar)</t>
  </si>
  <si>
    <t>Não foi preenchida a dose de aplicação tópica escolhida para indução (preliminar)</t>
  </si>
  <si>
    <t>Não foi preenchida a dose escolhida para o desafio (preliminar)</t>
  </si>
  <si>
    <t>I23:K37</t>
  </si>
  <si>
    <t>I22:K36</t>
  </si>
  <si>
    <t>src_celulas</t>
  </si>
  <si>
    <t>N78</t>
  </si>
  <si>
    <t>N79</t>
  </si>
  <si>
    <t>N89</t>
  </si>
  <si>
    <t>Maior</t>
  </si>
  <si>
    <t>#Código retirado: =SE(CONT.SE(EJ12:EK18;"&gt;=1,05");"Atenção: grupo com EPMN 5% superior ao CN"&amp;CARACT(10);"")</t>
  </si>
  <si>
    <t>Classificações</t>
  </si>
  <si>
    <t>Categoria 1: Produto Extremamente Tóxico</t>
  </si>
  <si>
    <t>Categoria 2: Produto Altamente Tóxico</t>
  </si>
  <si>
    <t>Categoria 3: Produto Moderadamente Tóxico</t>
  </si>
  <si>
    <t>Categoria 4: Produto Pouco Tóxico</t>
  </si>
  <si>
    <t>Categoria 5: Produto Improvável de Causar Dano Agudo</t>
  </si>
  <si>
    <t>Não classificado: Produto Não Classificado</t>
  </si>
  <si>
    <t>Ordem</t>
  </si>
  <si>
    <t>Aguardando preenchimento</t>
  </si>
  <si>
    <t>Composição!</t>
  </si>
  <si>
    <t>linhas_1</t>
  </si>
  <si>
    <t>linhas_2</t>
  </si>
  <si>
    <t>Nºs CAS_1</t>
  </si>
  <si>
    <t>Nºs CAS_2</t>
  </si>
  <si>
    <t>Label sinais clínicos relevantes</t>
  </si>
  <si>
    <t>Label</t>
  </si>
  <si>
    <t xml:space="preserve"> &lt;&lt;&lt;&lt;&lt;&lt;&lt;  </t>
  </si>
  <si>
    <t>Não é necessário preencher a evidência de que atingiu a medula quando a via de administração for intravenosa, ou quando o protocolo for o de 1997</t>
  </si>
  <si>
    <t>Dose escolhida para a indução</t>
  </si>
  <si>
    <t>Dose escolhida para o desafio</t>
  </si>
  <si>
    <t>Houve sinais clínicos relevantes até os valores da categora 4 (</t>
  </si>
  <si>
    <t>Não houve sinais clínicos relevantes até os valores da categora 4 (</t>
  </si>
  <si>
    <t>mg/kg pc)</t>
  </si>
  <si>
    <t>mg/L de ar)</t>
  </si>
  <si>
    <t>1820573-27-0</t>
  </si>
  <si>
    <t>Houve significância estatística com relevância biológica</t>
  </si>
  <si>
    <t>Monografia</t>
  </si>
  <si>
    <t>Texto para minuta - Produtos técnicos</t>
  </si>
  <si>
    <t>Dibrometo de diquate</t>
  </si>
  <si>
    <t>Identificação do responsável pelo preenchimento</t>
  </si>
  <si>
    <r>
      <t>Nº de fêmeas</t>
    </r>
    <r>
      <rPr>
        <sz val="10"/>
        <color rgb="FFFF0000"/>
        <rFont val="Calibri"/>
        <family val="2"/>
        <scheme val="minor"/>
      </rPr>
      <t>*</t>
    </r>
  </si>
  <si>
    <r>
      <t>Nº de machos</t>
    </r>
    <r>
      <rPr>
        <sz val="10"/>
        <color rgb="FFFF0000"/>
        <rFont val="Calibri"/>
        <family val="2"/>
        <scheme val="minor"/>
      </rPr>
      <t>*</t>
    </r>
  </si>
  <si>
    <r>
      <t>Dose 
(mg/kg pc)</t>
    </r>
    <r>
      <rPr>
        <sz val="10"/>
        <color rgb="FFFF0000"/>
        <rFont val="Calibri"/>
        <family val="2"/>
        <scheme val="minor"/>
      </rPr>
      <t>*</t>
    </r>
  </si>
  <si>
    <t>Corrosão/irritação à pele</t>
  </si>
  <si>
    <r>
      <t>Nº de machos</t>
    </r>
    <r>
      <rPr>
        <b/>
        <sz val="10"/>
        <color rgb="FFFF0000"/>
        <rFont val="Calibri"/>
        <family val="2"/>
        <scheme val="minor"/>
      </rPr>
      <t>*</t>
    </r>
  </si>
  <si>
    <r>
      <t>Nº de fêmeas</t>
    </r>
    <r>
      <rPr>
        <b/>
        <sz val="10"/>
        <color rgb="FFFF0000"/>
        <rFont val="Calibri"/>
        <family val="2"/>
        <scheme val="minor"/>
      </rPr>
      <t>*</t>
    </r>
  </si>
  <si>
    <r>
      <t>Dose 
(mg/kg pc)</t>
    </r>
    <r>
      <rPr>
        <b/>
        <sz val="10"/>
        <color rgb="FFFF0000"/>
        <rFont val="Calibri"/>
        <family val="2"/>
        <scheme val="minor"/>
      </rPr>
      <t>*</t>
    </r>
  </si>
  <si>
    <r>
      <t>Dose 
(mg/kg pc)</t>
    </r>
    <r>
      <rPr>
        <b/>
        <sz val="11"/>
        <color rgb="FFFF0000"/>
        <rFont val="Calibri"/>
        <family val="2"/>
        <scheme val="minor"/>
      </rPr>
      <t>*</t>
    </r>
  </si>
  <si>
    <r>
      <t>Nº de machos</t>
    </r>
    <r>
      <rPr>
        <b/>
        <sz val="11"/>
        <color rgb="FFFF0000"/>
        <rFont val="Calibri"/>
        <family val="2"/>
        <scheme val="minor"/>
      </rPr>
      <t>*</t>
    </r>
  </si>
  <si>
    <r>
      <t>Nº de fêmeas</t>
    </r>
    <r>
      <rPr>
        <b/>
        <sz val="11"/>
        <color rgb="FFFF0000"/>
        <rFont val="Calibri"/>
        <family val="2"/>
        <scheme val="minor"/>
      </rPr>
      <t>*</t>
    </r>
  </si>
  <si>
    <r>
      <t>Concentração efetiva
(mg/L de ar)</t>
    </r>
    <r>
      <rPr>
        <b/>
        <sz val="10"/>
        <color rgb="FFFF0000"/>
        <rFont val="Calibri"/>
        <family val="2"/>
        <scheme val="minor"/>
      </rPr>
      <t>*</t>
    </r>
  </si>
  <si>
    <t>llna_DPM_BrdU</t>
  </si>
  <si>
    <t>llna_protocolo</t>
  </si>
  <si>
    <t>LLNA_indice de estimulação_DPM</t>
  </si>
  <si>
    <t>LLNA_indice de estimulação_BrdU</t>
  </si>
  <si>
    <t>LLNA_indice de estimulação_BrdU_limitrofe</t>
  </si>
  <si>
    <r>
      <t xml:space="preserve">Razão de Mutagenicidade </t>
    </r>
    <r>
      <rPr>
        <b/>
        <sz val="11"/>
        <color theme="5" tint="-0.249977111117893"/>
        <rFont val="Calibri"/>
        <family val="2"/>
        <scheme val="minor"/>
      </rPr>
      <t>(?)</t>
    </r>
  </si>
  <si>
    <t>Solvente</t>
  </si>
  <si>
    <t>Solvente (?)</t>
  </si>
  <si>
    <t>1ª concentração</t>
  </si>
  <si>
    <t>2ª concentração</t>
  </si>
  <si>
    <t>3ª concentração</t>
  </si>
  <si>
    <t>4ª concentração</t>
  </si>
  <si>
    <t>5ª concentração</t>
  </si>
  <si>
    <t>6ª concentração</t>
  </si>
  <si>
    <t>7ª concentração</t>
  </si>
  <si>
    <t>8ª concentração</t>
  </si>
  <si>
    <t>9ª concentração</t>
  </si>
  <si>
    <t>10ª concentração</t>
  </si>
  <si>
    <t>alert608</t>
  </si>
  <si>
    <t>alert609</t>
  </si>
  <si>
    <t>alert610</t>
  </si>
  <si>
    <t>alert611</t>
  </si>
  <si>
    <t>alert612</t>
  </si>
  <si>
    <t>alert613</t>
  </si>
  <si>
    <t>alert614</t>
  </si>
  <si>
    <t>alert615</t>
  </si>
  <si>
    <t>alert616</t>
  </si>
  <si>
    <t>alert617</t>
  </si>
  <si>
    <t>alert618</t>
  </si>
  <si>
    <t>alert619</t>
  </si>
  <si>
    <t>alert620</t>
  </si>
  <si>
    <t>alert621</t>
  </si>
  <si>
    <t>alert622</t>
  </si>
  <si>
    <t>alert623</t>
  </si>
  <si>
    <t>alert624</t>
  </si>
  <si>
    <t>alert625</t>
  </si>
  <si>
    <t>alert626</t>
  </si>
  <si>
    <t>alert627</t>
  </si>
  <si>
    <t>Classificação toxicológica</t>
  </si>
  <si>
    <t>A</t>
  </si>
  <si>
    <t>Nº 420: Acute Oral Toxicity - Fixed Dose Procedure (17/07/1992)</t>
  </si>
  <si>
    <t>Nº 423: Acute Oral toxicity - Acute Toxic Class Method (22/03/1996)</t>
  </si>
  <si>
    <t>Nº 436: Acute Inhalation Toxicity – Acute Toxic Class Method (07/09/2009)</t>
  </si>
  <si>
    <t>Nº 405: Acute Eye Irritation/Corrosion (14/16/2021)</t>
  </si>
  <si>
    <t>Nº 406: Skin Sensitisation (30/06/2022)</t>
  </si>
  <si>
    <t>IA_maiusculo</t>
  </si>
  <si>
    <t>-=-=-=-=-=-=-=-=-=-</t>
  </si>
  <si>
    <t>ingrediente_ativo_maiusculo</t>
  </si>
  <si>
    <t>tb_Ias_coluna</t>
  </si>
  <si>
    <t>Tb_Ias_linha_primeira</t>
  </si>
  <si>
    <t>tb_ias_linha_ultima</t>
  </si>
  <si>
    <t>Filtro_Ias</t>
  </si>
  <si>
    <t>Filtro_IA</t>
  </si>
  <si>
    <t>Filtro_IA_Maiuscula</t>
  </si>
  <si>
    <t>'PT&amp;IA'!G7</t>
  </si>
  <si>
    <r>
      <t xml:space="preserve">Filtrar ingrediente ativo </t>
    </r>
    <r>
      <rPr>
        <b/>
        <sz val="10"/>
        <color theme="5" tint="-0.249977111117893"/>
        <rFont val="Calibri"/>
        <family val="2"/>
        <scheme val="minor"/>
      </rPr>
      <t>(?)</t>
    </r>
  </si>
  <si>
    <t>hint</t>
  </si>
  <si>
    <t>&lt;&lt;&lt;&lt; Substância não encontrada</t>
  </si>
  <si>
    <t>Tb_funcao_linha_primeira</t>
  </si>
  <si>
    <t>Funcao_maiusculo</t>
  </si>
  <si>
    <t>Filtro_funcao</t>
  </si>
  <si>
    <t>CORRETOR DE PH</t>
  </si>
  <si>
    <t>Coluna_atual</t>
  </si>
  <si>
    <t>&gt;&gt; Função não encontrada &lt;&lt;</t>
  </si>
  <si>
    <t>Carbossulfano</t>
  </si>
  <si>
    <t>CICLANILIPROLE</t>
  </si>
  <si>
    <t>1031756-98-5</t>
  </si>
  <si>
    <t>C81</t>
  </si>
  <si>
    <t>COLECALCIFEROL</t>
  </si>
  <si>
    <t>67-97-0</t>
  </si>
  <si>
    <t>C82</t>
  </si>
  <si>
    <t>CATOLACCUS GRANDIS</t>
  </si>
  <si>
    <t>C84</t>
  </si>
  <si>
    <t>CINNAMOMUM VERUM</t>
  </si>
  <si>
    <t>C85</t>
  </si>
  <si>
    <t>DINOTEFURANO</t>
  </si>
  <si>
    <t>165252-70-0</t>
  </si>
  <si>
    <t>D55</t>
  </si>
  <si>
    <t>0000067-97-0</t>
  </si>
  <si>
    <t>0165252-70-0</t>
  </si>
  <si>
    <t>FENPIRAZAMINA</t>
  </si>
  <si>
    <t xml:space="preserve"> 473798-59-3</t>
  </si>
  <si>
    <t>0473798-59-3</t>
  </si>
  <si>
    <t>F73</t>
  </si>
  <si>
    <t>FLORPIRAUXIFENO BENZÍLICO</t>
  </si>
  <si>
    <t>1390661-72-9</t>
  </si>
  <si>
    <t>F72</t>
  </si>
  <si>
    <t>F71</t>
  </si>
  <si>
    <t>FLUOPIRAM</t>
  </si>
  <si>
    <t>658066-35-4</t>
  </si>
  <si>
    <t>0658066-35-4</t>
  </si>
  <si>
    <t>HALAUXIFENO METÍLICO</t>
  </si>
  <si>
    <t>943831-98-9</t>
  </si>
  <si>
    <t>0943831-98-9</t>
  </si>
  <si>
    <t>H20</t>
  </si>
  <si>
    <t>ISOFETAMIDA</t>
  </si>
  <si>
    <t>875915-78-9</t>
  </si>
  <si>
    <t>0875915-78-9</t>
  </si>
  <si>
    <t>I29</t>
  </si>
  <si>
    <t>IMPIRFLUXAM</t>
  </si>
  <si>
    <t>1352994-67-2</t>
  </si>
  <si>
    <t>I30</t>
  </si>
  <si>
    <t>ISARIA JAVANICA</t>
  </si>
  <si>
    <t>I31</t>
  </si>
  <si>
    <t>METOMINOSTROBINA</t>
  </si>
  <si>
    <t>M49</t>
  </si>
  <si>
    <t>MONFLUOROTRINA</t>
  </si>
  <si>
    <t>609346-29-4</t>
  </si>
  <si>
    <t>0609346-29-4</t>
  </si>
  <si>
    <t>M50</t>
  </si>
  <si>
    <t>Metarhizium rileyi</t>
  </si>
  <si>
    <t>M51</t>
  </si>
  <si>
    <t>MEFENTRIFLUCONAZOL</t>
  </si>
  <si>
    <t>1417782-03-6</t>
  </si>
  <si>
    <t>M52</t>
  </si>
  <si>
    <t>OXATIAPIPROLINA</t>
  </si>
  <si>
    <t>O21</t>
  </si>
  <si>
    <t>1003318‐67‐9</t>
  </si>
  <si>
    <t>PIROXASULFONA</t>
  </si>
  <si>
    <t>447399-55-5</t>
  </si>
  <si>
    <t>0447399-55-5</t>
  </si>
  <si>
    <t>P61</t>
  </si>
  <si>
    <t>PEPTÍDEOS DERIVADOS DA PROTEÍNA HARPIN</t>
  </si>
  <si>
    <t>P62</t>
  </si>
  <si>
    <t>PALMISTICHUS ELAEISIS</t>
  </si>
  <si>
    <t>P63</t>
  </si>
  <si>
    <t>PSEUDOMONAS ORYZIHABITANS</t>
  </si>
  <si>
    <t>P64</t>
  </si>
  <si>
    <t>PIDIFLUMETOFEM</t>
  </si>
  <si>
    <t>P65</t>
  </si>
  <si>
    <t>Pseudomonas chlororaphis</t>
  </si>
  <si>
    <t>P66</t>
  </si>
  <si>
    <t>Pseudomonas fluorescens</t>
  </si>
  <si>
    <t>P67</t>
  </si>
  <si>
    <t>PHTHORIMAEA OPERCULELLA
GRANULOVIRUS</t>
  </si>
  <si>
    <t>P68</t>
  </si>
  <si>
    <t>SULFOXAFLOR</t>
  </si>
  <si>
    <t xml:space="preserve">SACCHAROMYCES CEREVISIAE </t>
  </si>
  <si>
    <t>S20</t>
  </si>
  <si>
    <t>TELONOMUS PODISI</t>
  </si>
  <si>
    <t>TOLFENPIRADE</t>
  </si>
  <si>
    <t>T69</t>
  </si>
  <si>
    <t>T70</t>
  </si>
  <si>
    <t>129558-76-5</t>
  </si>
  <si>
    <t>0129558-76-5</t>
  </si>
  <si>
    <t>TIENCARBAZONA METÍLICA</t>
  </si>
  <si>
    <t>T71</t>
  </si>
  <si>
    <t>317815-83-1</t>
  </si>
  <si>
    <t>0317815-83-1</t>
  </si>
  <si>
    <t>1-TETRADECANOL</t>
  </si>
  <si>
    <t>T72</t>
  </si>
  <si>
    <t>112-72-1</t>
  </si>
  <si>
    <t>TRICHODERMA AFROHARZIANUM</t>
  </si>
  <si>
    <t>T73</t>
  </si>
  <si>
    <t>TRICHOSPILUS DIATRAEAE</t>
  </si>
  <si>
    <t>Trichoderma atroviride</t>
  </si>
  <si>
    <t>TETRASTICHUS HOWARDI</t>
  </si>
  <si>
    <t>Trichoderma viride</t>
  </si>
  <si>
    <t>T74</t>
  </si>
  <si>
    <t>T76</t>
  </si>
  <si>
    <t>T78</t>
  </si>
  <si>
    <t>T77</t>
  </si>
  <si>
    <t>TIAFENACIL</t>
  </si>
  <si>
    <t>T79</t>
  </si>
  <si>
    <t>1220411-29-9</t>
  </si>
  <si>
    <t>Veículo utilizado com a substância teste</t>
  </si>
  <si>
    <t>Veículo utilizado no controle positivo concorrente</t>
  </si>
  <si>
    <t>LLNA</t>
  </si>
  <si>
    <r>
      <t xml:space="preserve">Resultados (média/grupo) </t>
    </r>
    <r>
      <rPr>
        <b/>
        <sz val="10"/>
        <color theme="5" tint="-0.249977111117893"/>
        <rFont val="Calibri"/>
        <family val="2"/>
        <scheme val="minor"/>
      </rPr>
      <t>(?)</t>
    </r>
  </si>
  <si>
    <t>SI_grupos</t>
  </si>
  <si>
    <t>perc_espessura_grupos</t>
  </si>
  <si>
    <t>O estudo definitivo foi conduzido com controle positivo concorrente?</t>
  </si>
  <si>
    <t>Nº 487: In Vitro Mammalian Cell Micronucleus Test (29/07/2016)</t>
  </si>
  <si>
    <t>Micronucleo in vitro</t>
  </si>
  <si>
    <t>AG22</t>
  </si>
  <si>
    <t>Conclusão</t>
  </si>
  <si>
    <t>Positivo</t>
  </si>
  <si>
    <t>Negativo</t>
  </si>
  <si>
    <t>Micronucleo_in_vitro_(1)</t>
  </si>
  <si>
    <t>Micronucleo_in_vitro_(2)</t>
  </si>
  <si>
    <t>Não foi informada a conclusão do estudo in vitro</t>
  </si>
  <si>
    <t>Texto para minuta - IAs</t>
  </si>
  <si>
    <t>Texto para minuta - PTs</t>
  </si>
  <si>
    <t>Texto para minuta - classificações</t>
  </si>
  <si>
    <r>
      <t xml:space="preserve">Foi solicitada a dispensa de apresentação para o estudo de toxicidade cutânea aguda? 
</t>
    </r>
    <r>
      <rPr>
        <b/>
        <sz val="10"/>
        <color theme="8" tint="-0.499984740745262"/>
        <rFont val="Calibri"/>
        <family val="2"/>
        <scheme val="minor"/>
      </rPr>
      <t>A condução deste estudo pode ser dispensada quando o resultado do estudo de toxicidade oral aguda for maior do que 2000 mg/kg p.c.</t>
    </r>
    <r>
      <rPr>
        <sz val="11"/>
        <color theme="5" tint="-0.249977111117893"/>
        <rFont val="Calibri"/>
        <family val="2"/>
        <scheme val="minor"/>
      </rPr>
      <t xml:space="preserve"> </t>
    </r>
    <r>
      <rPr>
        <b/>
        <sz val="10"/>
        <color theme="5" tint="-0.249977111117893"/>
        <rFont val="Calibri"/>
        <family val="2"/>
        <scheme val="minor"/>
      </rPr>
      <t>(?)</t>
    </r>
  </si>
  <si>
    <r>
      <t xml:space="preserve">Foi solicitada a dispensa de apresentação para o estudo de toxicidade cutânea aguda? 
</t>
    </r>
    <r>
      <rPr>
        <b/>
        <sz val="10"/>
        <color theme="8" tint="-0.499984740745262"/>
        <rFont val="Calibri"/>
        <family val="2"/>
        <scheme val="minor"/>
      </rPr>
      <t>A condução deste estudo pode ser dispensada quando o resultado do estudo de toxicidade oral aguda for maior do que 2000 mg/kg p.c</t>
    </r>
    <r>
      <rPr>
        <sz val="11"/>
        <color theme="8" tint="-0.499984740745262"/>
        <rFont val="Calibri"/>
        <family val="2"/>
        <scheme val="minor"/>
      </rPr>
      <t xml:space="preserve">. </t>
    </r>
    <r>
      <rPr>
        <b/>
        <sz val="10"/>
        <color theme="5" tint="-0.249977111117893"/>
        <rFont val="Calibri"/>
        <family val="2"/>
        <scheme val="minor"/>
      </rPr>
      <t>(?)</t>
    </r>
  </si>
  <si>
    <t xml:space="preserve">Toxicidade oral aguda: </t>
  </si>
  <si>
    <t xml:space="preserve">Toxicidade cutânea aguda: </t>
  </si>
  <si>
    <t xml:space="preserve">Corrosão/irritação ocular: </t>
  </si>
  <si>
    <t xml:space="preserve">Corrosão/irritação cutânea: </t>
  </si>
  <si>
    <t xml:space="preserve">Sensibilização cutânea: </t>
  </si>
  <si>
    <t xml:space="preserve">Mutagenicidade: </t>
  </si>
  <si>
    <r>
      <t xml:space="preserve">Nº de registro </t>
    </r>
    <r>
      <rPr>
        <b/>
        <sz val="11"/>
        <color theme="5" tint="-0.249977111117893"/>
        <rFont val="Calibri"/>
        <family val="2"/>
        <scheme val="minor"/>
      </rPr>
      <t>(?)</t>
    </r>
  </si>
  <si>
    <r>
      <rPr>
        <b/>
        <sz val="11"/>
        <color theme="2" tint="-0.749992370372631"/>
        <rFont val="Calibri"/>
        <family val="2"/>
        <scheme val="minor"/>
      </rPr>
      <t>Misturas comerciais:</t>
    </r>
    <r>
      <rPr>
        <sz val="11"/>
        <color theme="2" tint="-0.749992370372631"/>
        <rFont val="Calibri"/>
        <family val="2"/>
        <scheme val="minor"/>
      </rPr>
      <t xml:space="preserve"> Caso não exista Nº CAS, a coluna "Nº CAS" deverá ser preenchida com  - (hífen). As demais colunas deverão ser preenchidas com o nome da mistura, a sua função e as concentrações nominal, mínima e máxima.
Nas linhas subsequentes deverão ser informados o nº CAS e o nome de cada componente da mistura. Completar a coluna "Função" com - (hífen) e as concentrações com 0 (zero).</t>
    </r>
  </si>
  <si>
    <r>
      <rPr>
        <b/>
        <sz val="11"/>
        <color theme="2" tint="-0.749992370372631"/>
        <rFont val="Calibri"/>
        <family val="2"/>
        <scheme val="minor"/>
      </rPr>
      <t xml:space="preserve">Componentes sem CAS: </t>
    </r>
    <r>
      <rPr>
        <sz val="11"/>
        <color theme="2" tint="-0.749992370372631"/>
        <rFont val="Calibri"/>
        <family val="2"/>
        <scheme val="minor"/>
      </rPr>
      <t>O campo "Nº CAS"deverá ser preenchido com - (hífen).</t>
    </r>
  </si>
  <si>
    <r>
      <rPr>
        <b/>
        <sz val="11"/>
        <color theme="2" tint="-0.749992370372631"/>
        <rFont val="Calibri"/>
        <family val="2"/>
        <scheme val="minor"/>
      </rPr>
      <t>Ingrediente ativo:</t>
    </r>
    <r>
      <rPr>
        <sz val="11"/>
        <color theme="2" tint="-0.749992370372631"/>
        <rFont val="Calibri"/>
        <family val="2"/>
        <scheme val="minor"/>
      </rPr>
      <t xml:space="preserve"> O valor de concentração do ingrediente ativo deve ser declarado sempre como 100% do I.A.</t>
    </r>
  </si>
  <si>
    <r>
      <rPr>
        <b/>
        <sz val="11"/>
        <color theme="2" tint="-0.749992370372631"/>
        <rFont val="Calibri"/>
        <family val="2"/>
        <scheme val="minor"/>
      </rPr>
      <t>Corretor de pH:</t>
    </r>
    <r>
      <rPr>
        <sz val="11"/>
        <color theme="2" tint="-0.749992370372631"/>
        <rFont val="Calibri"/>
        <family val="2"/>
        <scheme val="minor"/>
      </rPr>
      <t xml:space="preserve"> as substâncias que têm como única função ajustar o pH da formulação devem ser informadas na declaração de composição. A coluna "Função" deve ser preenchida com "Corretor de pH" e as concentrações nominal, mínima e máxima devem ser preenchidas com 0 (zero)</t>
    </r>
  </si>
  <si>
    <t>Se a quantidade de componentes for ultrapassar essa linha, deverá ser informado no campo "Observações" que a composição informada não está completa devida a limitação do formulário.</t>
  </si>
  <si>
    <t>#Filtro para utilizar no informe da composição</t>
  </si>
  <si>
    <t>união</t>
  </si>
  <si>
    <t xml:space="preserve">; </t>
  </si>
  <si>
    <t>Nº CAS_filtrado</t>
  </si>
  <si>
    <t>Nº CAS_from_PT_IA</t>
  </si>
  <si>
    <t>Lote</t>
  </si>
  <si>
    <r>
      <t xml:space="preserve">Identificação e endereço do laboratório executor </t>
    </r>
    <r>
      <rPr>
        <b/>
        <sz val="10"/>
        <color theme="5" tint="-0.249977111117893"/>
        <rFont val="Calibri"/>
        <family val="2"/>
        <scheme val="minor"/>
      </rPr>
      <t>(?)</t>
    </r>
  </si>
  <si>
    <t>Fase experimental</t>
  </si>
  <si>
    <t>N55</t>
  </si>
  <si>
    <t>N50</t>
  </si>
  <si>
    <t>N56</t>
  </si>
  <si>
    <t>N65</t>
  </si>
  <si>
    <t>N85</t>
  </si>
  <si>
    <t>GSD
(Mínimo)</t>
  </si>
  <si>
    <t>GSD
(Máximo)</t>
  </si>
  <si>
    <t>MMAD
(Mínimo)</t>
  </si>
  <si>
    <t>MMAD
(Máximo)</t>
  </si>
  <si>
    <t>MMAD (Mínimo)</t>
  </si>
  <si>
    <t>MMAD (Máximo)</t>
  </si>
  <si>
    <t>GSD (Mínimo)</t>
  </si>
  <si>
    <t>GSD (Máximo)</t>
  </si>
  <si>
    <r>
      <t xml:space="preserve">Limite Máximo </t>
    </r>
    <r>
      <rPr>
        <b/>
        <sz val="10"/>
        <color theme="5" tint="-0.249977111117893"/>
        <rFont val="Calibri"/>
        <family val="2"/>
        <scheme val="minor"/>
      </rPr>
      <t>(?)</t>
    </r>
  </si>
  <si>
    <t>amostra sem validade e composição "fora"</t>
  </si>
  <si>
    <t>Total de linhas do certificado</t>
  </si>
  <si>
    <t>#Resto da divisão (Nº de linhas do certificado / Total de ativos informados). O resto deve ser sempre zero</t>
  </si>
  <si>
    <t>Resto</t>
  </si>
  <si>
    <t>#Verificação se o resto da divisão foi diferente de zero</t>
  </si>
  <si>
    <t>Aba</t>
  </si>
  <si>
    <t>Combobox</t>
  </si>
  <si>
    <t>Date</t>
  </si>
  <si>
    <t>total_de_estudos_apresentados</t>
  </si>
  <si>
    <t>S48:Y51</t>
  </si>
  <si>
    <t>Z48:AH51</t>
  </si>
  <si>
    <t>AI48:AM51</t>
  </si>
  <si>
    <t>Text</t>
  </si>
  <si>
    <t>Integer</t>
  </si>
  <si>
    <t>Decimal</t>
  </si>
  <si>
    <t>Checkbox</t>
  </si>
  <si>
    <t>Radio</t>
  </si>
  <si>
    <t>AF10</t>
  </si>
  <si>
    <t>N11</t>
  </si>
  <si>
    <t>N13</t>
  </si>
  <si>
    <t>N14</t>
  </si>
  <si>
    <t>R15</t>
  </si>
  <si>
    <t>AD15</t>
  </si>
  <si>
    <t>N17</t>
  </si>
  <si>
    <t>AB17</t>
  </si>
  <si>
    <t>N41</t>
  </si>
  <si>
    <t>N42</t>
  </si>
  <si>
    <t>N43</t>
  </si>
  <si>
    <t>Q60</t>
  </si>
  <si>
    <t>AC60</t>
  </si>
  <si>
    <t>AI60</t>
  </si>
  <si>
    <t>N61</t>
  </si>
  <si>
    <t>L23:M37</t>
  </si>
  <si>
    <t>N23:S37</t>
  </si>
  <si>
    <t>T23:AE37</t>
  </si>
  <si>
    <t>AF23:AM37</t>
  </si>
  <si>
    <t>etapa 1</t>
  </si>
  <si>
    <t>etapa 2</t>
  </si>
  <si>
    <t>situacao_concentracao_amostra</t>
  </si>
  <si>
    <t>#Retorna 0 para amostra "dentro da faixa de concentração da composição" e 1 para "fora da faixa de concentração"</t>
  </si>
  <si>
    <t>possui BPL</t>
  </si>
  <si>
    <t>#Retorna 0 para "estudo sob BPL" e 1 para "estudo sem BPL"</t>
  </si>
  <si>
    <t>Especificar_criterio_parada</t>
  </si>
  <si>
    <t>#Retorna 0 para 'Não é necessário especificar critério de parada" e 1 para "é necessário especificar critério de parada"</t>
  </si>
  <si>
    <t>Desvios_intereferiram_no_resultado</t>
  </si>
  <si>
    <t>#Retorna 0 para "Desvios sem impacto" e 1 para "Desvios com impacto no resultado"</t>
  </si>
  <si>
    <t>DL50 foi preenchida</t>
  </si>
  <si>
    <t>discussao_complementar</t>
  </si>
  <si>
    <t>#Retorna 0 para "Não há discussão complementar" e 1 para "Há discussão complementar"</t>
  </si>
  <si>
    <t>S43:Y46</t>
  </si>
  <si>
    <t>Z43:AH46</t>
  </si>
  <si>
    <t>AI43:AM46</t>
  </si>
  <si>
    <t>G22:H36</t>
  </si>
  <si>
    <t>L22:M36</t>
  </si>
  <si>
    <t>N22:P36</t>
  </si>
  <si>
    <t>Q22:R36</t>
  </si>
  <si>
    <t>S22:U36</t>
  </si>
  <si>
    <t>V22:AF36</t>
  </si>
  <si>
    <t>AG22:AK36</t>
  </si>
  <si>
    <t>N51</t>
  </si>
  <si>
    <t>Q55</t>
  </si>
  <si>
    <t>AC55</t>
  </si>
  <si>
    <t>AI55</t>
  </si>
  <si>
    <t>'Dl50_Cutanea(1)'!</t>
  </si>
  <si>
    <t>S49:Y52</t>
  </si>
  <si>
    <t>Z49:AH52</t>
  </si>
  <si>
    <t>AI49:AM52</t>
  </si>
  <si>
    <t>AF16</t>
  </si>
  <si>
    <t>N19</t>
  </si>
  <si>
    <t>N20</t>
  </si>
  <si>
    <t>R21</t>
  </si>
  <si>
    <t>AD21</t>
  </si>
  <si>
    <t>N22</t>
  </si>
  <si>
    <t>N23</t>
  </si>
  <si>
    <t>AB23</t>
  </si>
  <si>
    <t>N57</t>
  </si>
  <si>
    <t>Q61</t>
  </si>
  <si>
    <t>AC61</t>
  </si>
  <si>
    <t>AI61</t>
  </si>
  <si>
    <t>N62</t>
  </si>
  <si>
    <t>G28:H42</t>
  </si>
  <si>
    <t>I28:K42</t>
  </si>
  <si>
    <t>L28:M42</t>
  </si>
  <si>
    <t>N28:P42</t>
  </si>
  <si>
    <t>Q28:R42</t>
  </si>
  <si>
    <t>S28:U42</t>
  </si>
  <si>
    <t>V28:AF42</t>
  </si>
  <si>
    <t>AG28:AK42</t>
  </si>
  <si>
    <t>CL50 em 4 horas (mg/L de ar) (?)</t>
  </si>
  <si>
    <t>AF18</t>
  </si>
  <si>
    <t>N21</t>
  </si>
  <si>
    <t>R23</t>
  </si>
  <si>
    <t>AD23</t>
  </si>
  <si>
    <t>N24</t>
  </si>
  <si>
    <t>N25</t>
  </si>
  <si>
    <t>AB25</t>
  </si>
  <si>
    <t>N26</t>
  </si>
  <si>
    <t>N66</t>
  </si>
  <si>
    <t>Q70</t>
  </si>
  <si>
    <t>AC70</t>
  </si>
  <si>
    <t>AI70</t>
  </si>
  <si>
    <t>N71</t>
  </si>
  <si>
    <t>R31:T40</t>
  </si>
  <si>
    <t>U31:W40</t>
  </si>
  <si>
    <t>X31:Z40</t>
  </si>
  <si>
    <t>AA31:AC40</t>
  </si>
  <si>
    <t>AD31:AF40</t>
  </si>
  <si>
    <t>AG31:AH40</t>
  </si>
  <si>
    <t>AI31:AJ40</t>
  </si>
  <si>
    <t>AK31:AL40</t>
  </si>
  <si>
    <t>AM31:AN40</t>
  </si>
  <si>
    <t>U44:AE53</t>
  </si>
  <si>
    <t>AF44:AJ53</t>
  </si>
  <si>
    <t>CL50 foi preenchida</t>
  </si>
  <si>
    <t>#Retorna 0 para "Todos os MMAD estão abaixo de 4" e 1 para "Existe MMAD superior a 4"</t>
  </si>
  <si>
    <t>#Retorna 0 para "Todos os GSD são superiores a 1,5" e 1 para "Existe GSD inferior a 1,5"</t>
  </si>
  <si>
    <t>#Retorna 0 para "Todos os MMAD são superiores a 1" e 1 para "Existe MMAD inferior a 1"</t>
  </si>
  <si>
    <t>#Retorna 0 para "Todos os GSD estão abaixo de 3" e 1 para "Existe GSD superior a 3"</t>
  </si>
  <si>
    <t>Estudo in vitro</t>
  </si>
  <si>
    <t>G15:Q15</t>
  </si>
  <si>
    <t>R15:AI15</t>
  </si>
  <si>
    <t>AJ15:AM15</t>
  </si>
  <si>
    <t>S78:Y81</t>
  </si>
  <si>
    <t>Z78:AH81</t>
  </si>
  <si>
    <t>AI78:AM81</t>
  </si>
  <si>
    <t>AF35</t>
  </si>
  <si>
    <t>N36</t>
  </si>
  <si>
    <t>N37</t>
  </si>
  <si>
    <t>N38</t>
  </si>
  <si>
    <t>N39</t>
  </si>
  <si>
    <t>R40</t>
  </si>
  <si>
    <t>AD40</t>
  </si>
  <si>
    <t>AB42</t>
  </si>
  <si>
    <t>N44</t>
  </si>
  <si>
    <t>T44</t>
  </si>
  <si>
    <t>N45</t>
  </si>
  <si>
    <t>Z45</t>
  </si>
  <si>
    <t>N46</t>
  </si>
  <si>
    <t>N52</t>
  </si>
  <si>
    <t>N75</t>
  </si>
  <si>
    <t>N76</t>
  </si>
  <si>
    <t>N86</t>
  </si>
  <si>
    <t>N88</t>
  </si>
  <si>
    <t>+  (Houve retenção);  - (Não houve retenção); NR (Não realizado)</t>
  </si>
  <si>
    <r>
      <t xml:space="preserve">Outras lesões </t>
    </r>
    <r>
      <rPr>
        <b/>
        <sz val="11"/>
        <color theme="5" tint="-0.249977111117893"/>
        <rFont val="Calibri"/>
        <family val="2"/>
        <scheme val="minor"/>
      </rPr>
      <t>(?)</t>
    </r>
  </si>
  <si>
    <t>Y55</t>
  </si>
  <si>
    <t>AG55</t>
  </si>
  <si>
    <t>Conta campos vazios na tabela de resultados</t>
  </si>
  <si>
    <t>Padrão (campos vazio na tabela de resultados totalmente preenchida)</t>
  </si>
  <si>
    <t>Resultados totalmente preenchidos</t>
  </si>
  <si>
    <t>estado físico</t>
  </si>
  <si>
    <t>#Busca na aba composição a unidade de medida do produto. g/kg = sólido e g/L = líquido</t>
  </si>
  <si>
    <t>Tempo de lavagem</t>
  </si>
  <si>
    <t>Tempo de observação inferior a 72 horas</t>
  </si>
  <si>
    <t>Tempo de observação do estudo (int)</t>
  </si>
  <si>
    <t>Resultado sugerido pelo Excel</t>
  </si>
  <si>
    <t>Resposta do usuário</t>
  </si>
  <si>
    <t>Resposta do usuário igual a sugerida pela excel</t>
  </si>
  <si>
    <t>G15:Q19</t>
  </si>
  <si>
    <t>R15:AI19</t>
  </si>
  <si>
    <t>AJ15:AM19</t>
  </si>
  <si>
    <t>S82:Y85</t>
  </si>
  <si>
    <t>Z82:AH85</t>
  </si>
  <si>
    <t>AI82:AM85</t>
  </si>
  <si>
    <t>Z46</t>
  </si>
  <si>
    <t>N47</t>
  </si>
  <si>
    <t>N92</t>
  </si>
  <si>
    <t>I56:K65</t>
  </si>
  <si>
    <t>L56:M65</t>
  </si>
  <si>
    <t>N56:O65</t>
  </si>
  <si>
    <t>P56:Q65</t>
  </si>
  <si>
    <t>R56:S65</t>
  </si>
  <si>
    <t>T56:U65</t>
  </si>
  <si>
    <t>V56:W65</t>
  </si>
  <si>
    <t>X56:Y65</t>
  </si>
  <si>
    <t>Z56:AA65</t>
  </si>
  <si>
    <t>Padrão (campos vazio na tabela de resultados preenchida para pelo menos 1 animal)</t>
  </si>
  <si>
    <t>N59:AK59</t>
  </si>
  <si>
    <t>N61:AK63</t>
  </si>
  <si>
    <t>Tempo de lavagem correto</t>
  </si>
  <si>
    <t>src para cálculo do preenchimento dos resultados</t>
  </si>
  <si>
    <t>Resultados grupos</t>
  </si>
  <si>
    <t>S74:Y77</t>
  </si>
  <si>
    <t>Z74:AH77</t>
  </si>
  <si>
    <t>AI74:AM77</t>
  </si>
  <si>
    <t>N30:S39</t>
  </si>
  <si>
    <t>T30:V39</t>
  </si>
  <si>
    <t>W30:Y39</t>
  </si>
  <si>
    <t>Y21</t>
  </si>
  <si>
    <t>AE21</t>
  </si>
  <si>
    <t>N69</t>
  </si>
  <si>
    <t>N82</t>
  </si>
  <si>
    <t>N84</t>
  </si>
  <si>
    <t>Preenchimento grupos</t>
  </si>
  <si>
    <t>Controle positivo concorrente</t>
  </si>
  <si>
    <t>AD50</t>
  </si>
  <si>
    <t>AD51</t>
  </si>
  <si>
    <t>AH52</t>
  </si>
  <si>
    <t>AN52</t>
  </si>
  <si>
    <t>#Retorna 0 para "A maior dose do teste definitivo foi investigada no teste preliminar" e 1 para "A maior dose do teste definitivo não foi investigada no teste preliminar"</t>
  </si>
  <si>
    <t>maior_dose_teste_definitivo</t>
  </si>
  <si>
    <t>src para cálculo da maior dose individuos e grupo</t>
  </si>
  <si>
    <t>O63:AR63</t>
  </si>
  <si>
    <t>maior_dose_teste_definitivo_grupo</t>
  </si>
  <si>
    <t>etapa 3</t>
  </si>
  <si>
    <t>Dose_investigada</t>
  </si>
  <si>
    <t>estudo_confiabilidade_posterior</t>
  </si>
  <si>
    <t>#Retorna 0 para "Estudo de confiabilidade anteior a data de conclusão do estudo" e 1 para "Estudo de confiabilidade é posterior a conclusão do estudo"</t>
  </si>
  <si>
    <t>substancia_testada_a_100%_preliminar</t>
  </si>
  <si>
    <t>#Retorna 0 para "Substância investigada a 100% no teste preliminar" e 1 para "A substância não foi investigada a 100% no teste preliminar"</t>
  </si>
  <si>
    <t>P39:Q43</t>
  </si>
  <si>
    <t>R39:S43</t>
  </si>
  <si>
    <t>T39:U43</t>
  </si>
  <si>
    <t>V39:W43</t>
  </si>
  <si>
    <t>X39:Y43</t>
  </si>
  <si>
    <t>AA39:AB43</t>
  </si>
  <si>
    <t>AC39:AD43</t>
  </si>
  <si>
    <t>AE39:AF43</t>
  </si>
  <si>
    <t>AG39:AH43</t>
  </si>
  <si>
    <t>S95:Y98</t>
  </si>
  <si>
    <t>Z95:AH98</t>
  </si>
  <si>
    <t>AI95:AM98</t>
  </si>
  <si>
    <t>N28</t>
  </si>
  <si>
    <t>N30</t>
  </si>
  <si>
    <t>N48</t>
  </si>
  <si>
    <t>S48</t>
  </si>
  <si>
    <t>S49</t>
  </si>
  <si>
    <t>R63</t>
  </si>
  <si>
    <t>R64</t>
  </si>
  <si>
    <t>V63</t>
  </si>
  <si>
    <t>V64</t>
  </si>
  <si>
    <t>N73</t>
  </si>
  <si>
    <t>N74</t>
  </si>
  <si>
    <t>N77</t>
  </si>
  <si>
    <t>N87</t>
  </si>
  <si>
    <t>N103</t>
  </si>
  <si>
    <t>N105</t>
  </si>
  <si>
    <t>#(Maximização) Retorna 0 para "Foi preenchida pelo menos uma dose intradérmica no teste preliminar" e 1 para "Não foi informada a dose da injeção intradérmica no teste preliminar"</t>
  </si>
  <si>
    <t>maximizacao_preliminar_intradermica</t>
  </si>
  <si>
    <t>qtd _animais_igual_total_de doses</t>
  </si>
  <si>
    <t>#Retorna 0 para "Quantidade de animais é igual ao total de doses de aplicação tópica" e 1 para "Total de animais diferente da quantidade de doses de aplicação tópica"</t>
  </si>
  <si>
    <t>AA39:AH43</t>
  </si>
  <si>
    <t>src para cálculo da dose na aplicação tópica</t>
  </si>
  <si>
    <t>#Retorna 0 para "A substância foi testada a 100% na aplicação tópica do teste preliminar" e 1 para "A substância não foi testada a 100% na aplicação tópica do teste preliminar"</t>
  </si>
  <si>
    <t>maximizacao_check_animais_negativo</t>
  </si>
  <si>
    <t>#Retorna 0 para "total de animais igual ou superior a 5 no controle negativo (maximização)" e 1 para "total de animais inferior a 5 no controle negativo (maximização)"</t>
  </si>
  <si>
    <t>maximizacao_check_animais_teste</t>
  </si>
  <si>
    <t>#Retorna 0 para "total de animais igual ou superior a 10 no grupo teste (maximização)" e 1 para "total de animais inferior a 10 no grupo teste (maximização)"</t>
  </si>
  <si>
    <t>buehler_check_animais_negativo</t>
  </si>
  <si>
    <t>buehler_check_animais_teste</t>
  </si>
  <si>
    <t>grupo negativo</t>
  </si>
  <si>
    <t>grupo teste</t>
  </si>
  <si>
    <t>#Retorna 0 para "total de animais igual ou superior a 10 no controle negativo (Buehler)" e 1 para "total de animais inferior a 10 no controle negativo (Buehler)"</t>
  </si>
  <si>
    <t>#Retorna 0 para "total de animais igual ou superior a 20 no grupo teste (Buehler)" e 1 para "total de animais inferior a 20 no grupo teste (Buehler)"</t>
  </si>
  <si>
    <t>sensibilizacao_teste</t>
  </si>
  <si>
    <t>sensibilizacao_reteste</t>
  </si>
  <si>
    <t>sensibilizacao_estudo</t>
  </si>
  <si>
    <t>resultado_estudo</t>
  </si>
  <si>
    <t>etapa 4</t>
  </si>
  <si>
    <t>etapa 5</t>
  </si>
  <si>
    <t>resultado_buehler</t>
  </si>
  <si>
    <t>resultado_maximizacao</t>
  </si>
  <si>
    <t>#(Buehler) Retorna 0 para "negativo" e 1 para "positivo"</t>
  </si>
  <si>
    <t>#(Estudo) Retorna 0 para "negativo" e 1 para "positivo"</t>
  </si>
  <si>
    <t>#(Maximização) Retorna 0 para "negativo" e 1 para "positivo"</t>
  </si>
  <si>
    <t>confiabilidade_informar_diluente</t>
  </si>
  <si>
    <t>#Retorna 0 para "Foi testada a dose de 100%, não existe diluente" e 1 para "Precisa informar o diluente".</t>
  </si>
  <si>
    <t>Metodo_estudo_x_confiabilidade</t>
  </si>
  <si>
    <t>confiabilidade_check_data</t>
  </si>
  <si>
    <t>#Retorna 0 para 'O estudo e o teste de confiabilidade utilizaram o mesmo método" e 1 para "O método do estudo é diferente do teste de confiabilidade"</t>
  </si>
  <si>
    <t>#Retorna a diferença entre as datas do estudo e do teste de confiabilidade</t>
  </si>
  <si>
    <t>diff_meses</t>
  </si>
  <si>
    <t>diff_dias</t>
  </si>
  <si>
    <t>confiabilidade_check_data_meses</t>
  </si>
  <si>
    <t>confiabilidade_check_data_superior_6 meses</t>
  </si>
  <si>
    <t>confiabilidade_check_data_posterior</t>
  </si>
  <si>
    <t>#Retorna o diferença em meses</t>
  </si>
  <si>
    <t>#Retorna o valor inteiro da diferença</t>
  </si>
  <si>
    <t>#Retorna os valores em dias da parte decimal da diferença</t>
  </si>
  <si>
    <t>#Retorna 0 para "Estudo conduzido até 6 meses" e 1 para "Estudo conduzido há mais de 6 meses"</t>
  </si>
  <si>
    <t>#Retorna 0 para "Confiabilidade anterior ao estudo" e 1 para "Confiabilidade posterior ao estudo"</t>
  </si>
  <si>
    <t>dose_topica_preliminar</t>
  </si>
  <si>
    <t>dose_topica_desafio</t>
  </si>
  <si>
    <t>#Retorna 0 para "A dose definida foi a mesma utilizada no desafio" e 1 para "A dose definida não foi a mesma utilizada no desafio"</t>
  </si>
  <si>
    <t>dose_intradermica_preliminar</t>
  </si>
  <si>
    <t>dose_intradermica_inducao</t>
  </si>
  <si>
    <t>dose_topica_inducao</t>
  </si>
  <si>
    <t>Teste definitivo (indução, desafio e redesafio)</t>
  </si>
  <si>
    <t>diff_desafio_redesafio</t>
  </si>
  <si>
    <t>Tempo entre desafio e redesafio (dias)</t>
  </si>
  <si>
    <t>Tempo entre indução e desafio (dias)</t>
  </si>
  <si>
    <t>mín.</t>
  </si>
  <si>
    <t>máx.</t>
  </si>
  <si>
    <t>diff_inducao_desafio</t>
  </si>
  <si>
    <t>doses_definidas_x_utilizadas_desafio</t>
  </si>
  <si>
    <t>#Retorna 0 para "O tempo entre o desafio e o redesafio está adequado" e 1 para "O tempo entre o desafio e redesafio foi superior a 7 dias"</t>
  </si>
  <si>
    <t>#Retorna 0 para "O tempo entre indução e desafio está adequado" e 1 para "O tempo entre indução e desafio está fora do preconizado pelo protocolo"</t>
  </si>
  <si>
    <t>S189:Y192</t>
  </si>
  <si>
    <t>Z189:AH192</t>
  </si>
  <si>
    <t>AI189:AM192</t>
  </si>
  <si>
    <t>J37:K46</t>
  </si>
  <si>
    <t>L37:M46</t>
  </si>
  <si>
    <t>N37:O46</t>
  </si>
  <si>
    <t>P37:Q46</t>
  </si>
  <si>
    <t>R37:S46</t>
  </si>
  <si>
    <t>T37:U46</t>
  </si>
  <si>
    <t>V37:W46</t>
  </si>
  <si>
    <t>X37:Y46</t>
  </si>
  <si>
    <t>AG37:AH46</t>
  </si>
  <si>
    <t>AI37:AJ46</t>
  </si>
  <si>
    <t>AK37:AL46</t>
  </si>
  <si>
    <t>AM37:AN46</t>
  </si>
  <si>
    <t>AO37:AP46</t>
  </si>
  <si>
    <t>AQ37:AR46</t>
  </si>
  <si>
    <t>AS37:AT46</t>
  </si>
  <si>
    <t>AU37:AV46</t>
  </si>
  <si>
    <t>N72</t>
  </si>
  <si>
    <t>N80</t>
  </si>
  <si>
    <t>N83</t>
  </si>
  <si>
    <t>Q202</t>
  </si>
  <si>
    <t>V202</t>
  </si>
  <si>
    <t>Z202</t>
  </si>
  <si>
    <t>AH202</t>
  </si>
  <si>
    <t>N110</t>
  </si>
  <si>
    <t>N111</t>
  </si>
  <si>
    <t>N112</t>
  </si>
  <si>
    <t>N113</t>
  </si>
  <si>
    <t>N114</t>
  </si>
  <si>
    <t>N116</t>
  </si>
  <si>
    <t>N120</t>
  </si>
  <si>
    <t>N122</t>
  </si>
  <si>
    <t>Q203</t>
  </si>
  <si>
    <t>V203</t>
  </si>
  <si>
    <t>Z203</t>
  </si>
  <si>
    <t>AH203</t>
  </si>
  <si>
    <t>N149</t>
  </si>
  <si>
    <t>N150</t>
  </si>
  <si>
    <t>N151</t>
  </si>
  <si>
    <t>N152</t>
  </si>
  <si>
    <t>N153</t>
  </si>
  <si>
    <t>Q204</t>
  </si>
  <si>
    <t>V204</t>
  </si>
  <si>
    <t>Z204</t>
  </si>
  <si>
    <t>AH204</t>
  </si>
  <si>
    <t>Aba 2</t>
  </si>
  <si>
    <t>AF12</t>
  </si>
  <si>
    <t>N15</t>
  </si>
  <si>
    <t>R17</t>
  </si>
  <si>
    <t>AD17</t>
  </si>
  <si>
    <t>Y26</t>
  </si>
  <si>
    <t>AJ26</t>
  </si>
  <si>
    <t>N197</t>
  </si>
  <si>
    <t>N206</t>
  </si>
  <si>
    <t>estudo anterior a 2009</t>
  </si>
  <si>
    <t>#Retorna 0 para "Estudo anterior a dez/2009" e 1 para "Estudo posterior a dez/2009"</t>
  </si>
  <si>
    <t>tipo_de_teste</t>
  </si>
  <si>
    <t>total_replicatas</t>
  </si>
  <si>
    <t>#retorna o tipo de teste</t>
  </si>
  <si>
    <t>#Retorna o total de replicatas</t>
  </si>
  <si>
    <t>31/12/2009</t>
  </si>
  <si>
    <t>Resumo executivo</t>
  </si>
  <si>
    <t>In vitro</t>
  </si>
  <si>
    <t>Grupo 5</t>
  </si>
  <si>
    <t>Grupo 6</t>
  </si>
  <si>
    <t>S129:Y132</t>
  </si>
  <si>
    <t>Z129:AH132</t>
  </si>
  <si>
    <t>AI129:AM132</t>
  </si>
  <si>
    <t>K49:L50</t>
  </si>
  <si>
    <t>M49:N50</t>
  </si>
  <si>
    <t>O49:P50</t>
  </si>
  <si>
    <t>Q49:R50</t>
  </si>
  <si>
    <t>Y47:Z48</t>
  </si>
  <si>
    <t>AA47:AB48</t>
  </si>
  <si>
    <t>AC47:AD48</t>
  </si>
  <si>
    <t>AE47:AF48</t>
  </si>
  <si>
    <t>I65:L74</t>
  </si>
  <si>
    <t>M65:O74</t>
  </si>
  <si>
    <t>P65:R74</t>
  </si>
  <si>
    <t>S65:U74</t>
  </si>
  <si>
    <t>V65:X74</t>
  </si>
  <si>
    <t>Y65:AM74</t>
  </si>
  <si>
    <t>M16:N25</t>
  </si>
  <si>
    <t>W22</t>
  </si>
  <si>
    <t>AB22</t>
  </si>
  <si>
    <t>Z25</t>
  </si>
  <si>
    <t>Z26</t>
  </si>
  <si>
    <t>N134</t>
  </si>
  <si>
    <t>N136</t>
  </si>
  <si>
    <t>N40</t>
  </si>
  <si>
    <t>K52</t>
  </si>
  <si>
    <t>K55</t>
  </si>
  <si>
    <t>M55</t>
  </si>
  <si>
    <t>AA50</t>
  </si>
  <si>
    <t>AA80</t>
  </si>
  <si>
    <t>X83</t>
  </si>
  <si>
    <t>Z85</t>
  </si>
  <si>
    <t>AE85</t>
  </si>
  <si>
    <t>AJ85</t>
  </si>
  <si>
    <t>Z86</t>
  </si>
  <si>
    <t>AE86</t>
  </si>
  <si>
    <t>AJ86</t>
  </si>
  <si>
    <t>N91</t>
  </si>
  <si>
    <t>N124</t>
  </si>
  <si>
    <t>diferenca_entre_sexos</t>
  </si>
  <si>
    <t>#Retorna 0 para "não houve diferença" e 1 para "Houve diferença entre os sexos"</t>
  </si>
  <si>
    <t>Testados_machos_e_femeas</t>
  </si>
  <si>
    <t>#Retorna 0 para "escolha adequada de animais" e 1 para "Foi selecionado apenas um sexo, mas deveriam ser avaliados os dois"</t>
  </si>
  <si>
    <t xml:space="preserve">#Retorna 0 para "Foram testados os dois sexos"e 1 para "foi testado apenas um sexo" </t>
  </si>
  <si>
    <t>Tempo_coleta_minimo</t>
  </si>
  <si>
    <t>Tempo_coleta_maximo</t>
  </si>
  <si>
    <t>Tempo_coleta_adequado</t>
  </si>
  <si>
    <t>#Retorna 0 para "O tempo de coleta está adequado" e 1 para " O tempo de coleta está em desacordo com o protocolo"</t>
  </si>
  <si>
    <t>Tipo_amostra</t>
  </si>
  <si>
    <t>Tempo_coleta_protocolo_minimo</t>
  </si>
  <si>
    <t>Tempo_coleta_protocolo_maximo</t>
  </si>
  <si>
    <t>Qtd_adminitrações</t>
  </si>
  <si>
    <t>etapa 6</t>
  </si>
  <si>
    <t>M13</t>
  </si>
  <si>
    <t>O62</t>
  </si>
  <si>
    <t>O46</t>
  </si>
  <si>
    <t>O63</t>
  </si>
  <si>
    <t>O80</t>
  </si>
  <si>
    <t>O97</t>
  </si>
  <si>
    <t>O114</t>
  </si>
  <si>
    <t>O131</t>
  </si>
  <si>
    <t>Uso_das_doses_selecionadas</t>
  </si>
  <si>
    <t>#Retorna 0 para "A DMT ou DL50 foi avaliada no estudo" e 1 para "A DMT ou DL50 não foi utilizada no estudo"</t>
  </si>
  <si>
    <t>#Verifica se as doses de DMT ou de DL50 foram testadas. 0=sim, 1=não</t>
  </si>
  <si>
    <t>#Relação entre as doses escolhidas e a DL50</t>
  </si>
  <si>
    <t>Selecao_doses_machos_DL50</t>
  </si>
  <si>
    <t>#Retorna 0 para "A seleção das doses está adequada" e 1 para "A seleação das doses em machos não corresponde a 25%, 50% e 80% da DL50"</t>
  </si>
  <si>
    <t>Selecao_doses_femeas_DL50</t>
  </si>
  <si>
    <t>#Retorna 0 para "A seleção das doses está adequada" e 1 para "A seleação das doses em femeas não corresponde a 25%, 50% e 80% da DL50"</t>
  </si>
  <si>
    <t>#Verifica se as doses escolhidas correspondem a 80%, 50% e 25% da DL50. Parâmetros do protocolo.</t>
  </si>
  <si>
    <t>#Total de animais por grupo</t>
  </si>
  <si>
    <t>Existe_grupo_menos_5_animais_machos</t>
  </si>
  <si>
    <t>#Retorna 0 para "Todos os grupos possuem mais de 5 animais" e 1 para "Existe grupo com menos de 5 animais machos"</t>
  </si>
  <si>
    <t>Existe_grupo_menos_5_animais_femeas</t>
  </si>
  <si>
    <t>#Retorna 0 para "Todos os grupos possuem mais de 5 animais" e 1 para "Existe grupo com menos de 5 animais femeas"</t>
  </si>
  <si>
    <t>Evidencia_atingiu_medula</t>
  </si>
  <si>
    <t>Via_administracao</t>
  </si>
  <si>
    <t>Data_protocolo</t>
  </si>
  <si>
    <t>#Retorna 0 para "Outros protocolos" e 1 para "Protocolo de 1997"</t>
  </si>
  <si>
    <t>#Retorna 0 para "Não é necessário informar evidência de que atingiu órgão alvo" e 1 para "É necessário apresentar evidência de que atingiu órgão alvo"</t>
  </si>
  <si>
    <t>#Retorna o valor mínimo para o total de EP analisado para EP/(EP+EN)</t>
  </si>
  <si>
    <t>EP_para_relacao_EP_total</t>
  </si>
  <si>
    <t>EP_para_EPMN</t>
  </si>
  <si>
    <t>#Retorna o valor mínimo para o Total de EP para EPMN</t>
  </si>
  <si>
    <t>#Verifica em porcentagem de quanto foi a redução da relação EP/total de cada animal comparada com a média do CN</t>
  </si>
  <si>
    <t>Toxicidade</t>
  </si>
  <si>
    <t>referencia_toxicidade</t>
  </si>
  <si>
    <t>#Retorna o valor máximo de toxicidade permitida pelo protocolo</t>
  </si>
  <si>
    <t>Metodo</t>
  </si>
  <si>
    <t>Toxicidade_excessiva</t>
  </si>
  <si>
    <t>#Retorna 0 para "Não houve toxicidade excessiva" e 1 para "houve toxicicidade acima do permitido pelo protocolo"</t>
  </si>
  <si>
    <t>Toxicidade_excessiva_CP</t>
  </si>
  <si>
    <t>#(apenas para o controle positivo) Retorna 0 para "Não houve toxicidade excessiva" e 1 para "houve toxicicidade acima do permitido pelo protocolo"</t>
  </si>
  <si>
    <t>#(estudo) Retorna o valor mínimo para o Total de EP para EPMN</t>
  </si>
  <si>
    <t>maior_EPMN_teste</t>
  </si>
  <si>
    <t>maior_EPMN_controle_positivo</t>
  </si>
  <si>
    <t>maior_EPMN_controle_negativo</t>
  </si>
  <si>
    <t>#maior</t>
  </si>
  <si>
    <t>#menor</t>
  </si>
  <si>
    <t>EPMN_superior_CP_teste</t>
  </si>
  <si>
    <t>EPMN_superior_CP_negativo</t>
  </si>
  <si>
    <t>#(controle negativo) Retorna 0 para "%EPMN foi inferior ao controle positivo" e 1 para ""%EPMN foi igual ou superior ao controle positivo"</t>
  </si>
  <si>
    <t>#(teste) Retorna 0 para "%EPMN foi inferior ao controle positivo" e 1 para ""%EPMN foi igual ou superior ao controle positivo"</t>
  </si>
  <si>
    <t>Valor_fora_do_controle_CN_machos</t>
  </si>
  <si>
    <t>Valor_fora_do_controle_CN_femeas</t>
  </si>
  <si>
    <t>Valor_fora_do_controle_CP_machos</t>
  </si>
  <si>
    <t>Valor_fora_do_controle_CP_femeas</t>
  </si>
  <si>
    <t>#Retorna 0 para "O controle negativo machos está dentro da faixa de controle histórico" e 1 para "O controle negativo machos está fora da faixa de controle histórico"</t>
  </si>
  <si>
    <t>#Retorna 0 para "O controle negativo fêmeas está dentro da faixa de controle histórico" e 1 para "O controle negativo fêmeas está fora da faixa de controle histórico"</t>
  </si>
  <si>
    <t>#Retorna 0 para "O controle positivo machos está dentro da faixa de controle histórico" e 1 para "O controle positivo machos está fora da faixa de controle histórico"</t>
  </si>
  <si>
    <t>#Retorna 0 para "O controle positivo fêmeas está dentro da faixa de controle histórico" e 1 para "O controle positivo fêmeas está fora da faixa de controle histórico"</t>
  </si>
  <si>
    <t>Valores do protocolo</t>
  </si>
  <si>
    <t>#Retorna 0 para "Há grupo testado com dose igual ou superior a 2000"  e 1 para "Nenhum grupo foi testado com dose igual ou superior a 2000"</t>
  </si>
  <si>
    <t>'Dl50_Cutanea(2)'!</t>
  </si>
  <si>
    <t>pontuação</t>
  </si>
  <si>
    <t>Discussão complementar</t>
  </si>
  <si>
    <t>Componente_tox_relevante</t>
  </si>
  <si>
    <t>Resumo Executivo</t>
  </si>
  <si>
    <t>N10, N35</t>
  </si>
  <si>
    <t>Significância estatística com relevância biológica</t>
  </si>
  <si>
    <t>LLNA e Sensibilização Buehler ou Maximização</t>
  </si>
  <si>
    <t>Base de consulta para filtros em PT&amp;IA e em Composição</t>
  </si>
  <si>
    <t>Componente toxicologicamente relevante</t>
  </si>
  <si>
    <t>Dados da composição</t>
  </si>
  <si>
    <t>Texto para bula</t>
  </si>
  <si>
    <t>Total de doses &gt; 2000</t>
  </si>
  <si>
    <t>Classificação _desfecho</t>
  </si>
  <si>
    <t>#Quadra de respostas item 1.5. Guia Relatório</t>
  </si>
  <si>
    <t>Evidência de toxicidade até a categoria 4</t>
  </si>
  <si>
    <t>Relatório!</t>
  </si>
  <si>
    <t xml:space="preserve">#Verifica se houve alteração da classificação. </t>
  </si>
  <si>
    <t>#Retorna 0 para "Classificação mantida" e 1 para "Classificação alterada"</t>
  </si>
  <si>
    <t>Um produto será classificado na Categoria 5 se: (assinale uma das alternativas abaixo)</t>
  </si>
  <si>
    <t>## Nada a declarar ##</t>
  </si>
  <si>
    <t>Caveira</t>
  </si>
  <si>
    <t>Apresentar quadro do item 1.5</t>
  </si>
  <si>
    <t>Não determinada nas condições do teste</t>
  </si>
  <si>
    <t>#Retorna a classificação calculada</t>
  </si>
  <si>
    <t>#Retorna a classificação ajustada pelo usuário</t>
  </si>
  <si>
    <t>3. Frases de perigo obrigatórias de constar no rótulo e na bula</t>
  </si>
  <si>
    <t>Cor da faixa:</t>
  </si>
  <si>
    <t>Caveira (pictograma):</t>
  </si>
  <si>
    <t>Obrigatória</t>
  </si>
  <si>
    <t>Dispensada</t>
  </si>
  <si>
    <t xml:space="preserve">Data de conclusão: </t>
  </si>
  <si>
    <t>AN103</t>
  </si>
  <si>
    <t>AN104</t>
  </si>
  <si>
    <t>AN105</t>
  </si>
  <si>
    <t>AN106</t>
  </si>
  <si>
    <t>AN107</t>
  </si>
  <si>
    <t>AN108</t>
  </si>
  <si>
    <t>#Src tabela de resultados</t>
  </si>
  <si>
    <t>#Valores</t>
  </si>
  <si>
    <t>AP103</t>
  </si>
  <si>
    <t>AP104</t>
  </si>
  <si>
    <t>AP105</t>
  </si>
  <si>
    <t>AP106</t>
  </si>
  <si>
    <t>AP107</t>
  </si>
  <si>
    <t>AP108</t>
  </si>
  <si>
    <t>return para formatação condicional da tabela automática de resultados aba Micronucleo</t>
  </si>
  <si>
    <t>Erro</t>
  </si>
  <si>
    <t>PT_cancelado</t>
  </si>
  <si>
    <t>ativos_nao_cadastrado</t>
  </si>
  <si>
    <t>Existe ativo declarado na aba PT&amp;IA que não consta na declaração de composição</t>
  </si>
  <si>
    <t>Não foi informado o Nº CAS de algum dos ingredientes ativos</t>
  </si>
  <si>
    <t>Não foi preenchido a linhagem</t>
  </si>
  <si>
    <t>apenas machos</t>
  </si>
  <si>
    <t>#Retorna 0 para "Não foram testados apenas machos" e 1 para "Foram testados apenas machos"</t>
  </si>
  <si>
    <t>#Retorna 0 para "DL50 preenchida" e 1 para "DL50 não preenchida)</t>
  </si>
  <si>
    <t>etapa 0</t>
  </si>
  <si>
    <t>Mostrar_alertas</t>
  </si>
  <si>
    <t>#Retorna 0 para "Estudo não apresentado" e 1 para "Estudo apresentado"</t>
  </si>
  <si>
    <t>Não foi preenchida a DL50 cutânea</t>
  </si>
  <si>
    <t>#Retorna 0 para "Não foi solicitada dispensa" e 1 para "Foi solicitada dispensa"</t>
  </si>
  <si>
    <t>Não foi preenchida a CL50 inalatória</t>
  </si>
  <si>
    <t>#Retorna 0 para "CL50  preenchida" e 1 para "CL50 não preenchida)</t>
  </si>
  <si>
    <t>Exposicao_menor_4_horas</t>
  </si>
  <si>
    <t>Lavagem_olhos_nao_relatada</t>
  </si>
  <si>
    <t>Tempo de lavagem do olho inferior ao mínimo do protocolo (24 horas: líquidos; 1 hora: sólidos)</t>
  </si>
  <si>
    <t>mais_de_uma_resposta</t>
  </si>
  <si>
    <t>Lesões encontradas</t>
  </si>
  <si>
    <t>Respostas_usuario!X6:X11</t>
  </si>
  <si>
    <t>Lavagem_pele_nao_relatada</t>
  </si>
  <si>
    <t>diluicao__nao_relatada</t>
  </si>
  <si>
    <t>Não foram preenchidos os resultados do teste definitivo</t>
  </si>
  <si>
    <t>label</t>
  </si>
  <si>
    <t>n_animais_inferior_4</t>
  </si>
  <si>
    <t xml:space="preserve">#Retorna 0 para "todos os grupos com mais de 3 animais" e 1 para "Há grupo com menos de 4 animais" </t>
  </si>
  <si>
    <t>Valores grupos</t>
  </si>
  <si>
    <t>O64</t>
  </si>
  <si>
    <t>O65</t>
  </si>
  <si>
    <t>O66</t>
  </si>
  <si>
    <t>O67</t>
  </si>
  <si>
    <t>Y62</t>
  </si>
  <si>
    <t>Y63</t>
  </si>
  <si>
    <t>Y64</t>
  </si>
  <si>
    <t>Y65</t>
  </si>
  <si>
    <t>Y66</t>
  </si>
  <si>
    <t>Y67</t>
  </si>
  <si>
    <t>espessura_maior_25_preliminar</t>
  </si>
  <si>
    <t>#Retorna 0 para "Não houve espessura de orelha maior ou igual a 25%(preliminar)" e 1 para "Houve animal com espessura de orelha superior ou igual a 25%(preliminar)</t>
  </si>
  <si>
    <t>#Retorna 0 para "Não houve eritema maior ou igual a 3(preliminar)" e 1 para "Houve eritema maior ou igual a 3(preliminar)"</t>
  </si>
  <si>
    <t>Eritema_maior_3_preliminar</t>
  </si>
  <si>
    <t>Houve animal com espessura da orelha maior ou igual a 25% (preliminar)</t>
  </si>
  <si>
    <t>Houve animal com eritema maior ou igual a 3 (preliminar)</t>
  </si>
  <si>
    <t>#valor de referência por protocolo</t>
  </si>
  <si>
    <t>protocolo</t>
  </si>
  <si>
    <t>valor de referência</t>
  </si>
  <si>
    <t>CP_IS_menor_limite</t>
  </si>
  <si>
    <t>IS_CP</t>
  </si>
  <si>
    <t>valor_referencia</t>
  </si>
  <si>
    <t>Controle positivo apresentou Índice de estimulação (SI) abaixo do valor de protocolo</t>
  </si>
  <si>
    <t>Espessura_nao_relatada</t>
  </si>
  <si>
    <t>Eritema_nao_relatado</t>
  </si>
  <si>
    <t>dose_100_definitivo</t>
  </si>
  <si>
    <t>sem_preliminar_sem_dose100_no_definitivo</t>
  </si>
  <si>
    <t>A maior dose do teste definitivo não foi investigada no teste preliminar</t>
  </si>
  <si>
    <t>sem_CP_e_sem_confiabilidade</t>
  </si>
  <si>
    <t xml:space="preserve">etapa 0 </t>
  </si>
  <si>
    <t>maximização</t>
  </si>
  <si>
    <t>#Retorna 0 para "Não é maximização" e 1 para "Estudo por maximização"</t>
  </si>
  <si>
    <t>doses_definidas_x_utilizadas_inducao</t>
  </si>
  <si>
    <t>#Retorna 0 para "A dose definida foi a mesma utilizada na inducao" e 1 para "A dose definida não foi a mesma utilizada na inducao"</t>
  </si>
  <si>
    <t>confiabilidade_check_posterior</t>
  </si>
  <si>
    <t>A substância não foi testada a 100% (preliminar) (Aplicação tópica)</t>
  </si>
  <si>
    <t>resultado_label_buehler</t>
  </si>
  <si>
    <t>resultado_label_maximizacao</t>
  </si>
  <si>
    <t>A dose administrada na indução foi diferente da dose escolhida no teste preliminar</t>
  </si>
  <si>
    <t>A dose administrada no desafio foi diferente da dose escolhida no teste preliminar</t>
  </si>
  <si>
    <t>Tempo_desafio_redesafio</t>
  </si>
  <si>
    <t>Tempo_inducao_desafio</t>
  </si>
  <si>
    <t>Não foi preenchido se há outro mutágeno testado além do 2-aminoantraceno</t>
  </si>
  <si>
    <t>#Retorna 0 para "Estudo definitivo feito em triplicata" e 1 para "Estudo definitivo não conduzido em triplicata"</t>
  </si>
  <si>
    <t>definitivo_em_triplicata</t>
  </si>
  <si>
    <t>metodo_historico</t>
  </si>
  <si>
    <t>metodo_estudo</t>
  </si>
  <si>
    <t>precipitacao</t>
  </si>
  <si>
    <t>#Retorna 0 para "sem precipitacao" e 1 para "houve precipitação"</t>
  </si>
  <si>
    <t>#Retorna 0 para "Mesmo método" e 1 para "Método diferente"</t>
  </si>
  <si>
    <t>#Retorna 0 para "background normal" e 1 para "background alterado"</t>
  </si>
  <si>
    <t>concentracao_analisavel</t>
  </si>
  <si>
    <t>CN_x_historico_sem_S9</t>
  </si>
  <si>
    <t>CN_x_historico_com_S9</t>
  </si>
  <si>
    <t>CP_x_historico_com_S9</t>
  </si>
  <si>
    <t>CP_x_historico_sem_S9</t>
  </si>
  <si>
    <t>#Retorna 0 para "todos os controles dentro do histórico" e 1 para "Existe controle fora do histórico"</t>
  </si>
  <si>
    <t>#Retorna 0 para "todas as concentrações foram analisáveis" e 1 para "houve concentração não analisável"</t>
  </si>
  <si>
    <t>correlacao_positiva</t>
  </si>
  <si>
    <t>significancia_estatistica</t>
  </si>
  <si>
    <t>relevancia_biologica</t>
  </si>
  <si>
    <t>estudo_in_vitro</t>
  </si>
  <si>
    <t>O tempo de coleta após a última administração está fora do protocolo.</t>
  </si>
  <si>
    <t>Não foi conduzido estudo preliminar e não foi testada a dose limite</t>
  </si>
  <si>
    <t>A DMT não foi determinada e não foi utilizado estudo de DL50 para definição da dose teste</t>
  </si>
  <si>
    <t>DL50_sexos_utilizados</t>
  </si>
  <si>
    <t>#Retorna 0 para "escolha adequada de animais" e 1 para "O sexo dos animais do estudo de DL50 não é o mesmo do teste de micronucleo"</t>
  </si>
  <si>
    <t>O sexo dos animais do estudo de DL50 não é o mesmo do teste de micronucleo</t>
  </si>
  <si>
    <t>#Retorna 0 para "A contagem de células foi adequada para todos os grupos" e 1 para "Houve contagem de células inferior ao mínimo do protocolo (Relação  EP/total)"</t>
  </si>
  <si>
    <t>EP_para_relacao_EP_total_protocolo</t>
  </si>
  <si>
    <t>EP_para_EPMN_protocolo</t>
  </si>
  <si>
    <t>Quantidade de EPMN divergindo dos dados do controle histórico</t>
  </si>
  <si>
    <t>O controle negativo resultou em %EPMN maior ou igual ao valor do controle positivo</t>
  </si>
  <si>
    <t>Algum grupo teste resultou em %EPMN maior ou igual ao valor do controle positivo</t>
  </si>
  <si>
    <t>Sexo_animais_definitivo</t>
  </si>
  <si>
    <t>Respostas_usuario!T11:T14</t>
  </si>
  <si>
    <t>Composição!J31</t>
  </si>
  <si>
    <t>Estudos_padrao</t>
  </si>
  <si>
    <t>Estudos_alterados</t>
  </si>
  <si>
    <t>A lista de estudos exigidos pela RDC n. 294/19 foi alterada</t>
  </si>
  <si>
    <t>Coleta</t>
  </si>
  <si>
    <t>Empresa do representante legal</t>
  </si>
  <si>
    <r>
      <t xml:space="preserve">Resultados do CN com o mesmo solvente do CP </t>
    </r>
    <r>
      <rPr>
        <b/>
        <sz val="10"/>
        <color theme="5" tint="-0.249977111117893"/>
        <rFont val="Calibri"/>
        <family val="2"/>
        <scheme val="minor"/>
      </rPr>
      <t>(?)</t>
    </r>
  </si>
  <si>
    <t>Preenchimento_criterio_parada</t>
  </si>
  <si>
    <t>Classificação completa</t>
  </si>
  <si>
    <t>CAVEIRA</t>
  </si>
  <si>
    <t>PICTOGRAMA DISPENSADO</t>
  </si>
  <si>
    <t>FALHA AO DEFINIR PICTOGRAMA</t>
  </si>
  <si>
    <t>O produto é uma formulação que contém uma proporção significante (&gt; 99% em massa) de partículas com diâmetro ≥ 50 µm;</t>
  </si>
  <si>
    <t>A viabilidade celular das cepas não esteve entre 10^8 e 10^9 UFC/placa</t>
  </si>
  <si>
    <t>Grupo_dose_superior_a_2000</t>
  </si>
  <si>
    <t>Nº 405: Acute Eye Irritation/Corrosion (26/06/2020)</t>
  </si>
  <si>
    <t>Houve sinais clínicos relevantes</t>
  </si>
  <si>
    <t>Não houve sinais clínicos relevantes</t>
  </si>
  <si>
    <t>##</t>
  </si>
  <si>
    <t xml:space="preserve">Toxicidade inalatória aguda: </t>
  </si>
  <si>
    <t>dispensado da frase de perigo</t>
  </si>
  <si>
    <t>N59:O64</t>
  </si>
  <si>
    <t>P59:Q64</t>
  </si>
  <si>
    <t>R59:S64</t>
  </si>
  <si>
    <t>T59:U64</t>
  </si>
  <si>
    <t>V59:W64</t>
  </si>
  <si>
    <t>X59:Y64</t>
  </si>
  <si>
    <t>Z59:AA64</t>
  </si>
  <si>
    <t>AB59:AC64</t>
  </si>
  <si>
    <t>AD59:AE64</t>
  </si>
  <si>
    <t>AF59:AG64</t>
  </si>
  <si>
    <t>AH59:AI64</t>
  </si>
  <si>
    <t>AJ59:AK64</t>
  </si>
  <si>
    <t>Sob segredo industrial de terceiros?</t>
  </si>
  <si>
    <r>
      <t xml:space="preserve">Componente toxicologicamente relevante, conforme limites do GHS? </t>
    </r>
    <r>
      <rPr>
        <b/>
        <sz val="10"/>
        <color theme="5" tint="-0.249977111117893"/>
        <rFont val="Calibri"/>
        <family val="2"/>
        <scheme val="minor"/>
      </rPr>
      <t>(?)</t>
    </r>
  </si>
  <si>
    <t>%</t>
  </si>
  <si>
    <t>Desfechos (endpoints)</t>
  </si>
  <si>
    <r>
      <t xml:space="preserve">Código da frase de perigo </t>
    </r>
    <r>
      <rPr>
        <b/>
        <sz val="10"/>
        <color theme="5" tint="-0.249977111117893"/>
        <rFont val="Calibri"/>
        <family val="2"/>
        <scheme val="minor"/>
      </rPr>
      <t>(?)</t>
    </r>
  </si>
  <si>
    <t>Observações |
Discussão sobre componentes toxicologicamente relevantes</t>
  </si>
  <si>
    <t>Fechamento analítico</t>
  </si>
  <si>
    <t>Unidada de medida &gt;&gt;</t>
  </si>
  <si>
    <t>Componentes_concatenados</t>
  </si>
  <si>
    <r>
      <t xml:space="preserve">Conclusão </t>
    </r>
    <r>
      <rPr>
        <b/>
        <sz val="10"/>
        <color theme="5" tint="-0.249977111117893"/>
        <rFont val="Calibri"/>
        <family val="2"/>
        <scheme val="minor"/>
      </rPr>
      <t>(?)</t>
    </r>
  </si>
  <si>
    <r>
      <t xml:space="preserve">Justificativa para dispensa </t>
    </r>
    <r>
      <rPr>
        <b/>
        <sz val="10"/>
        <color theme="5" tint="-0.249977111117893"/>
        <rFont val="Calibri"/>
        <family val="2"/>
        <scheme val="minor"/>
      </rPr>
      <t>(?)</t>
    </r>
  </si>
  <si>
    <t>Código_certificados</t>
  </si>
  <si>
    <t>Total_de_estudos</t>
  </si>
  <si>
    <t>H20:H28</t>
  </si>
  <si>
    <t>I20:I28</t>
  </si>
  <si>
    <t>Total_de_estudos_faltantes</t>
  </si>
  <si>
    <t>Conclusoes preenchidas</t>
  </si>
  <si>
    <t>Justificativas preenchidas</t>
  </si>
  <si>
    <t>Mensagem</t>
  </si>
  <si>
    <r>
      <t xml:space="preserve">Evidências de toxicidade </t>
    </r>
    <r>
      <rPr>
        <b/>
        <sz val="11"/>
        <color theme="5" tint="-0.249977111117893"/>
        <rFont val="Calibri"/>
        <family val="2"/>
        <scheme val="minor"/>
      </rPr>
      <t>(?)</t>
    </r>
  </si>
  <si>
    <t xml:space="preserve">Sinais Clínicos, comportamentais e achados de necropsia. </t>
  </si>
  <si>
    <t>Alerta sobre cutoff</t>
  </si>
  <si>
    <t>Guia</t>
  </si>
  <si>
    <t>Intervalo_doses</t>
  </si>
  <si>
    <t xml:space="preserve">* Evite utilizar o valor de cutoff para preencher o resultado. </t>
  </si>
  <si>
    <t xml:space="preserve">Linhas da dose </t>
  </si>
  <si>
    <t>'Up&amp;Down(1)'!I</t>
  </si>
  <si>
    <t>'Up&amp;Down(2)'!I</t>
  </si>
  <si>
    <t>'Dl50_Oral(1)'!I</t>
  </si>
  <si>
    <t>'Dl50_Oral(2)'!I</t>
  </si>
  <si>
    <t>I22:K37</t>
  </si>
  <si>
    <t>Q56</t>
  </si>
  <si>
    <t>'Dl50_Cutanea(1)'!I</t>
  </si>
  <si>
    <t>'Dl50_Cutanea(2)'!I</t>
  </si>
  <si>
    <t>'CL50(1)'!U</t>
  </si>
  <si>
    <t>'CL50(2)'!U</t>
  </si>
  <si>
    <t>&lt;&lt;&lt;&lt; quebra de linha = 
Alt + Enter</t>
  </si>
  <si>
    <r>
      <t xml:space="preserve">Detalhamento das alterações </t>
    </r>
    <r>
      <rPr>
        <b/>
        <sz val="11"/>
        <color theme="5" tint="-0.249977111117893"/>
        <rFont val="Calibri"/>
        <family val="2"/>
        <scheme val="minor"/>
      </rPr>
      <t>(?)</t>
    </r>
  </si>
  <si>
    <t>COLUNA</t>
  </si>
  <si>
    <t>AN</t>
  </si>
  <si>
    <t>ControleVeículo_CP</t>
  </si>
  <si>
    <t>Espessura_orelha</t>
  </si>
  <si>
    <t>Linhas DPM/BRdU</t>
  </si>
  <si>
    <t>Linhas Espessura</t>
  </si>
  <si>
    <t>S66:Z66</t>
  </si>
  <si>
    <t>S67:Z67</t>
  </si>
  <si>
    <t xml:space="preserve">Resultados </t>
  </si>
  <si>
    <t>Precipitação</t>
  </si>
  <si>
    <t>Ames</t>
  </si>
  <si>
    <t>Substância teste</t>
  </si>
  <si>
    <r>
      <t>Background alterado</t>
    </r>
    <r>
      <rPr>
        <b/>
        <sz val="10"/>
        <color theme="5" tint="-0.249977111117893"/>
        <rFont val="Calibri"/>
        <family val="2"/>
        <scheme val="minor"/>
      </rPr>
      <t xml:space="preserve"> (?)</t>
    </r>
  </si>
  <si>
    <t>INÍCIO DO TESTE II</t>
  </si>
  <si>
    <t>INÍCIO DO TESTE III</t>
  </si>
  <si>
    <t>Intervalo mesma cepa</t>
  </si>
  <si>
    <t>Intervalo entre cepas</t>
  </si>
  <si>
    <t>TesteII</t>
  </si>
  <si>
    <t>Cepa</t>
  </si>
  <si>
    <t>Background</t>
  </si>
  <si>
    <t>Qtd de Citotox</t>
  </si>
  <si>
    <t>TA97-</t>
  </si>
  <si>
    <t>TA97+</t>
  </si>
  <si>
    <t>TA97a+</t>
  </si>
  <si>
    <t>TA97a-</t>
  </si>
  <si>
    <t>TA98-</t>
  </si>
  <si>
    <t>TA98+</t>
  </si>
  <si>
    <t>TA100-</t>
  </si>
  <si>
    <t>TA100+</t>
  </si>
  <si>
    <t>TA102-</t>
  </si>
  <si>
    <t>TA102+</t>
  </si>
  <si>
    <t>TA1535-</t>
  </si>
  <si>
    <t>TA1535+</t>
  </si>
  <si>
    <t>TA1537-</t>
  </si>
  <si>
    <t>TA1537+</t>
  </si>
  <si>
    <t>TA1538-</t>
  </si>
  <si>
    <t>TA1538+</t>
  </si>
  <si>
    <t>WP2 uvrA (pKM101)+</t>
  </si>
  <si>
    <t>WP2 uvrA-</t>
  </si>
  <si>
    <t>WP2 uvrA+</t>
  </si>
  <si>
    <t>WP2 uvrA (pKM101)-</t>
  </si>
  <si>
    <t>Tipo Teste I</t>
  </si>
  <si>
    <t>Tipo Teste III</t>
  </si>
  <si>
    <t>Ames (Resultado testes)</t>
  </si>
  <si>
    <t>Campo</t>
  </si>
  <si>
    <t>Tipo teste</t>
  </si>
  <si>
    <t>cepas_preenchidas_Teste_I</t>
  </si>
  <si>
    <t>cepas_preenchidas_Teste_II</t>
  </si>
  <si>
    <t>cepas_preenchidas_Teste_III</t>
  </si>
  <si>
    <t>Linhas substância teste</t>
  </si>
  <si>
    <t>Início</t>
  </si>
  <si>
    <t>Fim</t>
  </si>
  <si>
    <t>BJ</t>
  </si>
  <si>
    <t>BU</t>
  </si>
  <si>
    <t>CF</t>
  </si>
  <si>
    <t>Média  Placas</t>
  </si>
  <si>
    <t>BK</t>
  </si>
  <si>
    <t>BV</t>
  </si>
  <si>
    <t>CG</t>
  </si>
  <si>
    <t>Texto p/ concentrações analisáveis</t>
  </si>
  <si>
    <t>Resultados preenchidos</t>
  </si>
  <si>
    <t>Ames (Controle histórico)</t>
  </si>
  <si>
    <t>Linha CN -</t>
  </si>
  <si>
    <t>Linha CN +</t>
  </si>
  <si>
    <t>Linha CP -</t>
  </si>
  <si>
    <t>Linha CP +</t>
  </si>
  <si>
    <t>BN</t>
  </si>
  <si>
    <t>BY</t>
  </si>
  <si>
    <t>CJ</t>
  </si>
  <si>
    <t>Houve citotixidade</t>
  </si>
  <si>
    <t>intervalo entre resultados</t>
  </si>
  <si>
    <t>0: ok</t>
  </si>
  <si>
    <t>1: Abaixo do valor histórico</t>
  </si>
  <si>
    <t>2: Acima do valor histórico</t>
  </si>
  <si>
    <t>3: Não preenchido</t>
  </si>
  <si>
    <t>Teste</t>
  </si>
  <si>
    <t>Ativação</t>
  </si>
  <si>
    <t>VALORES FORMATADOS</t>
  </si>
  <si>
    <t>Abaixo do valor histórico</t>
  </si>
  <si>
    <t>Acima do valor histórico</t>
  </si>
  <si>
    <t>Histórico não preenchido</t>
  </si>
  <si>
    <t xml:space="preserve">✓ </t>
  </si>
  <si>
    <t xml:space="preserve">Controle negativo </t>
  </si>
  <si>
    <t xml:space="preserve"> [ ? ]</t>
  </si>
  <si>
    <t>CONTROLE NEGATIVO HISTÓRICO</t>
  </si>
  <si>
    <t>CONTROLE HISTÓRICO NEGATIVO CONCORRENTE</t>
  </si>
  <si>
    <t>CONTROLE POSITIVO HISTÓRICO</t>
  </si>
  <si>
    <t>CONTROLE HISTÓRICO POSITIVO CONCORRENTE</t>
  </si>
  <si>
    <t>Situação</t>
  </si>
  <si>
    <t>Dentro do intervalo</t>
  </si>
  <si>
    <t>Em branco</t>
  </si>
  <si>
    <t>Controle</t>
  </si>
  <si>
    <r>
      <t xml:space="preserve">Presença de S9 </t>
    </r>
    <r>
      <rPr>
        <b/>
        <sz val="11"/>
        <color theme="5" tint="-0.249977111117893"/>
        <rFont val="Calibri"/>
        <family val="2"/>
        <scheme val="minor"/>
      </rPr>
      <t>(?)</t>
    </r>
  </si>
  <si>
    <t>Teste I (Estudo 2)</t>
  </si>
  <si>
    <t>Teste II  (Estudo 2)</t>
  </si>
  <si>
    <t>Teste III  (Estudo 2)</t>
  </si>
  <si>
    <r>
      <t xml:space="preserve">Alterações clínicas, de necropsia e comportamentais </t>
    </r>
    <r>
      <rPr>
        <b/>
        <sz val="10"/>
        <color theme="5" tint="-0.249977111117893"/>
        <rFont val="Calibri"/>
        <family val="2"/>
        <scheme val="minor"/>
      </rPr>
      <t>(?)</t>
    </r>
  </si>
  <si>
    <t>Houve relação dose-resposta para algum grupo testado?</t>
  </si>
  <si>
    <t xml:space="preserve">Houve aumento estatisticamente significante na frequência de EPMN? </t>
  </si>
  <si>
    <r>
      <t>Grupo controle negativo</t>
    </r>
    <r>
      <rPr>
        <b/>
        <sz val="11"/>
        <color theme="5" tint="-0.249977111117893"/>
        <rFont val="Calibri"/>
        <family val="2"/>
        <scheme val="minor"/>
      </rPr>
      <t xml:space="preserve"> (?)</t>
    </r>
  </si>
  <si>
    <r>
      <t xml:space="preserve">Total de EP para determinação %EPMN </t>
    </r>
    <r>
      <rPr>
        <b/>
        <sz val="8.8000000000000007"/>
        <color theme="5" tint="-0.249977111117893"/>
        <rFont val="Calibri"/>
        <family val="2"/>
        <scheme val="minor"/>
      </rPr>
      <t>(?)</t>
    </r>
  </si>
  <si>
    <t>Micronúcleo</t>
  </si>
  <si>
    <t>sexo</t>
  </si>
  <si>
    <t>tb_fonte_sexo</t>
  </si>
  <si>
    <t>1ª linha de resultado</t>
  </si>
  <si>
    <t>Intervalo entre grupos</t>
  </si>
  <si>
    <t>EP para %EPMN</t>
  </si>
  <si>
    <t>Total de grupos</t>
  </si>
  <si>
    <t>LIN</t>
  </si>
  <si>
    <t>Controles</t>
  </si>
  <si>
    <r>
      <t>Precipitação com interferência na leitura</t>
    </r>
    <r>
      <rPr>
        <sz val="10"/>
        <color theme="5" tint="-0.249977111117893"/>
        <rFont val="Calibri"/>
        <family val="2"/>
        <scheme val="minor"/>
      </rPr>
      <t xml:space="preserve"> </t>
    </r>
    <r>
      <rPr>
        <b/>
        <sz val="10"/>
        <color theme="5" tint="-0.249977111117893"/>
        <rFont val="Calibri"/>
        <family val="2"/>
        <scheme val="minor"/>
      </rPr>
      <t>(?)</t>
    </r>
  </si>
  <si>
    <r>
      <t>Valor de referência mínimo</t>
    </r>
    <r>
      <rPr>
        <b/>
        <sz val="10"/>
        <color theme="8" tint="-0.499984740745262"/>
        <rFont val="Calibri"/>
        <family val="2"/>
        <scheme val="minor"/>
      </rPr>
      <t xml:space="preserve"> (UFC/Placa) </t>
    </r>
    <r>
      <rPr>
        <b/>
        <sz val="10"/>
        <color theme="5" tint="-0.249977111117893"/>
        <rFont val="Calibri"/>
        <family val="2"/>
        <scheme val="minor"/>
      </rPr>
      <t>(?)</t>
    </r>
  </si>
  <si>
    <t>Linha dose 1º grupo_M</t>
  </si>
  <si>
    <t>Linha dose CN</t>
  </si>
  <si>
    <t>Linha dose CP</t>
  </si>
  <si>
    <t>Relação de EP/(EP+EN)</t>
  </si>
  <si>
    <t>Total EP para EPMN</t>
  </si>
  <si>
    <t>EPMN &gt;= CP</t>
  </si>
  <si>
    <t xml:space="preserve">Legenda: </t>
  </si>
  <si>
    <t>Grupo com %EPMN &gt;= ao controle positivo</t>
  </si>
  <si>
    <t>tb_fonte</t>
  </si>
  <si>
    <t>Relatório</t>
  </si>
  <si>
    <t>Formulário!N21</t>
  </si>
  <si>
    <t>Formulário!N22</t>
  </si>
  <si>
    <t>Formulário!N23</t>
  </si>
  <si>
    <t>Formulário!N24</t>
  </si>
  <si>
    <t>Formulário!N19</t>
  </si>
  <si>
    <t>Formulário!AA20</t>
  </si>
  <si>
    <t>Formulário!AG23</t>
  </si>
  <si>
    <t>Formulário!AI22</t>
  </si>
  <si>
    <t>Formulário!Y24</t>
  </si>
  <si>
    <t>Classe_de_uso_concat</t>
  </si>
  <si>
    <t>FB6</t>
  </si>
  <si>
    <t>Formulário!N20</t>
  </si>
  <si>
    <t>Nº de expediente</t>
  </si>
  <si>
    <t>1. Identificação da petição</t>
  </si>
  <si>
    <r>
      <t xml:space="preserve">Frase de perigo adicional </t>
    </r>
    <r>
      <rPr>
        <b/>
        <sz val="10"/>
        <color theme="1"/>
        <rFont val="Arial"/>
        <family val="2"/>
      </rPr>
      <t>(?)</t>
    </r>
  </si>
  <si>
    <t>2. Discussão complementar</t>
  </si>
  <si>
    <t>Discussao!F11</t>
  </si>
  <si>
    <t>3. Produtos técnicos e Ingredientes ativos</t>
  </si>
  <si>
    <t>Produto formulado sem produto técnico:</t>
  </si>
  <si>
    <t>Produto formulado sem produto técnico</t>
  </si>
  <si>
    <t>FB12</t>
  </si>
  <si>
    <t>Mono</t>
  </si>
  <si>
    <t>PT&amp;IA - Ingrediente ativo</t>
  </si>
  <si>
    <t>PT&amp;IA - Marca comercial</t>
  </si>
  <si>
    <t>PT&amp;IA - Registro</t>
  </si>
  <si>
    <t>'PT&amp;IA'!F</t>
  </si>
  <si>
    <t>'PT&amp;IA'!I</t>
  </si>
  <si>
    <t>'PT&amp;IA'!K</t>
  </si>
  <si>
    <t>4. Declaração da Composição Qualitativa e Quantitativa (DCQQ)</t>
  </si>
  <si>
    <t>Segredo industrial</t>
  </si>
  <si>
    <t>Composição!I15</t>
  </si>
  <si>
    <t>Composição - Segredo</t>
  </si>
  <si>
    <t>Composição!G</t>
  </si>
  <si>
    <t>Composição -Nº CAS</t>
  </si>
  <si>
    <t>Composição!H</t>
  </si>
  <si>
    <t>Composição!I</t>
  </si>
  <si>
    <t>Composição - Componente</t>
  </si>
  <si>
    <t>Composição - Função</t>
  </si>
  <si>
    <t>Composição - Nominal</t>
  </si>
  <si>
    <t>Composição - Mínima</t>
  </si>
  <si>
    <t>Composição - Máxima</t>
  </si>
  <si>
    <t>Composição!J</t>
  </si>
  <si>
    <t>Composição!K</t>
  </si>
  <si>
    <t>Composição!L</t>
  </si>
  <si>
    <t>Composição!M</t>
  </si>
  <si>
    <t>5. Componente(s) toxicológicamente relevante(s)</t>
  </si>
  <si>
    <t>AC4</t>
  </si>
  <si>
    <t>6. Estudos físico-químicos</t>
  </si>
  <si>
    <t>F&amp;Q - Conclusão</t>
  </si>
  <si>
    <t>F&amp;Q - Justificativa</t>
  </si>
  <si>
    <t>'F&amp;Q'!H</t>
  </si>
  <si>
    <t>'F&amp;Q'!I</t>
  </si>
  <si>
    <t>F&amp;Q - Código</t>
  </si>
  <si>
    <t>'F&amp;Q'!G</t>
  </si>
  <si>
    <t>7. Estudos toxicológicos</t>
  </si>
  <si>
    <t>7.1 Resultados</t>
  </si>
  <si>
    <t>1º estudo - LLNA</t>
  </si>
  <si>
    <t>2º estudo - LLNA</t>
  </si>
  <si>
    <t>Preenchido?</t>
  </si>
  <si>
    <t>Titulo</t>
  </si>
  <si>
    <t>Formulario</t>
  </si>
  <si>
    <t>resultado_numerico</t>
  </si>
  <si>
    <t>Linha_resultado</t>
  </si>
  <si>
    <t>Mortalidade_M</t>
  </si>
  <si>
    <t>Mortalidade_F</t>
  </si>
  <si>
    <t>Dl50_Cutanea(2)</t>
  </si>
  <si>
    <t>Dl50_Cutanea(1)</t>
  </si>
  <si>
    <t>Mortalidade até cat 4*</t>
  </si>
  <si>
    <t>Irritacao_Ocular(1)'</t>
  </si>
  <si>
    <t>É método alternativo</t>
  </si>
  <si>
    <t>Título in vivo</t>
  </si>
  <si>
    <t>Classificação in vitro</t>
  </si>
  <si>
    <t>AJ15:AM17</t>
  </si>
  <si>
    <t>Irritacao_Ocular(2)'</t>
  </si>
  <si>
    <t>Descrever os resultados do estudo no tópico: "Efeitos agudos"</t>
  </si>
  <si>
    <t>Produto sensibilizante a pele</t>
  </si>
  <si>
    <t>Produto não sensibilizante a pele</t>
  </si>
  <si>
    <t>Produto mutagênico</t>
  </si>
  <si>
    <t>Produto não mutagênico</t>
  </si>
  <si>
    <t>Classificação pela dose</t>
  </si>
  <si>
    <t>Texto</t>
  </si>
  <si>
    <t>dispensa</t>
  </si>
  <si>
    <t>Resultados AMES - Análise dos resultados</t>
  </si>
  <si>
    <t>cn</t>
  </si>
  <si>
    <t>amostra</t>
  </si>
  <si>
    <t>cp</t>
  </si>
  <si>
    <t>WP2 uvrA (pKM101)</t>
  </si>
  <si>
    <t>Resultado_Fold</t>
  </si>
  <si>
    <t>BO</t>
  </si>
  <si>
    <t>BZ</t>
  </si>
  <si>
    <t>CK</t>
  </si>
  <si>
    <t>AH202:AH204</t>
  </si>
  <si>
    <t>Resultado_Checkbox</t>
  </si>
  <si>
    <t>Ver estudo in vitro</t>
  </si>
  <si>
    <t>Aumento estatisticamente significante na frequência de EPMN</t>
  </si>
  <si>
    <t>AA122</t>
  </si>
  <si>
    <t>Grupo com EPMN% maior que do CP</t>
  </si>
  <si>
    <t>Conclusão in vitro</t>
  </si>
  <si>
    <t>Informar manualmente (estudo dispensado)</t>
  </si>
  <si>
    <t>Resultado não informado</t>
  </si>
  <si>
    <t xml:space="preserve">Positivo (SI: </t>
  </si>
  <si>
    <t xml:space="preserve">Positivo (limítrofe) (SI: </t>
  </si>
  <si>
    <t>Sinais de toxicidade até cat 4</t>
  </si>
  <si>
    <t>7.2 Quadro resumo da classificação toxicológica preliminar - RDC n. 294/19</t>
  </si>
  <si>
    <t>R175</t>
  </si>
  <si>
    <t>R176</t>
  </si>
  <si>
    <t>R177</t>
  </si>
  <si>
    <t>R178</t>
  </si>
  <si>
    <t>R179</t>
  </si>
  <si>
    <t>R180</t>
  </si>
  <si>
    <t>R181</t>
  </si>
  <si>
    <t>R182</t>
  </si>
  <si>
    <t>R183</t>
  </si>
  <si>
    <t>R184</t>
  </si>
  <si>
    <t>R185</t>
  </si>
  <si>
    <t>R186</t>
  </si>
  <si>
    <t>R187</t>
  </si>
  <si>
    <t>R188</t>
  </si>
  <si>
    <t>R189</t>
  </si>
  <si>
    <t>R190</t>
  </si>
  <si>
    <t>R191</t>
  </si>
  <si>
    <t>R192</t>
  </si>
  <si>
    <t>R193</t>
  </si>
  <si>
    <t>Classificação final no relatório*</t>
  </si>
  <si>
    <t>*Permite alteração manul pelo usuário</t>
  </si>
  <si>
    <t>Classificacao_final</t>
  </si>
  <si>
    <t>Classificação_por_estudo</t>
  </si>
  <si>
    <t>1º  Up and Down</t>
  </si>
  <si>
    <t>2º Up and Down</t>
  </si>
  <si>
    <t>1º LLNA</t>
  </si>
  <si>
    <t>2º LLNA</t>
  </si>
  <si>
    <t>R174</t>
  </si>
  <si>
    <t>Não foi possível definir a classificação toxicológica</t>
  </si>
  <si>
    <t>Classificação preliminar</t>
  </si>
  <si>
    <t>Recebeu classificação toxicológica em cat. de perigo?</t>
  </si>
  <si>
    <t>Classificou os outros desfechos?</t>
  </si>
  <si>
    <t>Correção para "&gt;"</t>
  </si>
  <si>
    <t>Nº do Item 1.5 respondido</t>
  </si>
  <si>
    <t>Item 1.5 Leva a cat. 5</t>
  </si>
  <si>
    <t>Deve mudar para cat. 5</t>
  </si>
  <si>
    <t>Frase de perigo</t>
  </si>
  <si>
    <t>Cor da faixa</t>
  </si>
  <si>
    <t>Pictograma_caveira</t>
  </si>
  <si>
    <r>
      <t xml:space="preserve">7.3 Discussão a respeito da classificação toxicológica, se houver </t>
    </r>
    <r>
      <rPr>
        <b/>
        <sz val="10"/>
        <color theme="5" tint="-0.249977111117893"/>
        <rFont val="Arial"/>
        <family val="2"/>
      </rPr>
      <t xml:space="preserve">(?) </t>
    </r>
  </si>
  <si>
    <t>8. INFORMAÇÕES OBRIGATÓRIAS QUE DEVEM CONSTAR NO RÓTULO E NA BULA DO PRODUTO:</t>
  </si>
  <si>
    <t>Intervalo do grupo</t>
  </si>
  <si>
    <t>Contagem</t>
  </si>
  <si>
    <t>Concentrações analisáveis</t>
  </si>
  <si>
    <t>*ativo*</t>
  </si>
  <si>
    <t>Não foi especificado o critério de parada</t>
  </si>
  <si>
    <t>Form</t>
  </si>
  <si>
    <t>Lin_inicio</t>
  </si>
  <si>
    <t>Lin_fim</t>
  </si>
  <si>
    <t>Conta_preenchidos</t>
  </si>
  <si>
    <t># 0 = "Não há PT cancelado"; 1 = "há PT cancelado"</t>
  </si>
  <si>
    <t># 0 = "Todos os ativos estão cadastrado na base";  1 =  "Existe ativo não cadastrado na base"</t>
  </si>
  <si>
    <t>Alertas</t>
  </si>
  <si>
    <t>Existe PT cancelado</t>
  </si>
  <si>
    <t>Existe IA não cadastrado no índice de monografias</t>
  </si>
  <si>
    <t/>
  </si>
  <si>
    <t>Limite Máximo (?)</t>
  </si>
  <si>
    <t>Fechamento analítico (?)</t>
  </si>
  <si>
    <t>Componente toxicologicamente relevante, conforme limites do GHS? (?)</t>
  </si>
  <si>
    <t>Código da frase de perigo (?)</t>
  </si>
  <si>
    <r>
      <t xml:space="preserve">Nome do Ingrediente ativo/Componente  </t>
    </r>
    <r>
      <rPr>
        <sz val="10"/>
        <color theme="5" tint="-0.249977111117893"/>
        <rFont val="Calibri"/>
        <family val="2"/>
        <scheme val="minor"/>
      </rPr>
      <t>(?)</t>
    </r>
  </si>
  <si>
    <t>Critério de busca - IA</t>
  </si>
  <si>
    <t>1 =  o NºCAS da PT&amp;IA não for encontrado; 0 = Todos os Nº CAS foram encontrados</t>
  </si>
  <si>
    <t>PT&amp;IA</t>
  </si>
  <si>
    <t>Valores únicos</t>
  </si>
  <si>
    <t>Verifica se está presente em ambos os forms</t>
  </si>
  <si>
    <t>Nºs CAS - Composição</t>
  </si>
  <si>
    <t>Nºs CAS - PT&amp;IA</t>
  </si>
  <si>
    <t>G14</t>
  </si>
  <si>
    <t>CERTIFICADOS</t>
  </si>
  <si>
    <t>PT&amp;IA + COMPOSIÇÃO</t>
  </si>
  <si>
    <t>Sem validade</t>
  </si>
  <si>
    <t>Fora</t>
  </si>
  <si>
    <t>Vencida</t>
  </si>
  <si>
    <t>ok</t>
  </si>
  <si>
    <t># 1 = de acordo com a composição;  2 = fora dos limites mínimo e máximo</t>
  </si>
  <si>
    <t>Certificados com problema</t>
  </si>
  <si>
    <t>2 anos em dias + tolerância</t>
  </si>
  <si>
    <t>Certificados com validade maior que 2 anos</t>
  </si>
  <si>
    <t>Certificados únicos</t>
  </si>
  <si>
    <t>Certifcados com problema</t>
  </si>
  <si>
    <t>CONTÉM TODOS OS IAS</t>
  </si>
  <si>
    <t>TOTAL IAS (COMPOSIÇÃO)</t>
  </si>
  <si>
    <t>ATIVOS únicos</t>
  </si>
  <si>
    <t>TOTAL IAS ÚNICOS</t>
  </si>
  <si>
    <t>Foi apresentado?</t>
  </si>
  <si>
    <t>Foram apresentados todos os estudos obrigatórios</t>
  </si>
  <si>
    <t>Respostas_usuario!AB4:AB18</t>
  </si>
  <si>
    <t>Houve sinais de toxicidade nos animais</t>
  </si>
  <si>
    <t>Respostas_usuario!AC4:AC18</t>
  </si>
  <si>
    <t>Respostas_usuario!AB24:AB38</t>
  </si>
  <si>
    <t>Respostas_usuario!AC24:AC38</t>
  </si>
  <si>
    <t>Respostas_usuario!AB44:AB58</t>
  </si>
  <si>
    <t>Respostas_usuario!AC44:AC58</t>
  </si>
  <si>
    <t>Respostas_usuario!AB64:AB73</t>
  </si>
  <si>
    <t>Respostas_usuario!AC64:AC73</t>
  </si>
  <si>
    <t>L56:W56</t>
  </si>
  <si>
    <t>S62</t>
  </si>
  <si>
    <t>U62</t>
  </si>
  <si>
    <t>W62</t>
  </si>
  <si>
    <t>AA62</t>
  </si>
  <si>
    <t>S63</t>
  </si>
  <si>
    <t>U63</t>
  </si>
  <si>
    <t>W63</t>
  </si>
  <si>
    <t>AA63</t>
  </si>
  <si>
    <t>S64</t>
  </si>
  <si>
    <t>U64</t>
  </si>
  <si>
    <t>W64</t>
  </si>
  <si>
    <t>AA64</t>
  </si>
  <si>
    <t>S65</t>
  </si>
  <si>
    <t>U65</t>
  </si>
  <si>
    <t>W65</t>
  </si>
  <si>
    <t>AA65</t>
  </si>
  <si>
    <t>S66</t>
  </si>
  <si>
    <t>U66</t>
  </si>
  <si>
    <t>W66</t>
  </si>
  <si>
    <t>AA66</t>
  </si>
  <si>
    <t>S67</t>
  </si>
  <si>
    <t>U67</t>
  </si>
  <si>
    <t>W67</t>
  </si>
  <si>
    <t>AA67</t>
  </si>
  <si>
    <t>SubForm</t>
  </si>
  <si>
    <t>linhas do grupo</t>
  </si>
  <si>
    <t>linhas entre grupos</t>
  </si>
  <si>
    <t>Coluna_inicio</t>
  </si>
  <si>
    <t>Coluna_fim</t>
  </si>
  <si>
    <t>1ª linha</t>
  </si>
  <si>
    <t>23</t>
  </si>
  <si>
    <t>Q105:BD105</t>
  </si>
  <si>
    <t>Q144:BD144</t>
  </si>
  <si>
    <t>Q183:BD183</t>
  </si>
  <si>
    <t>Aplicação tópica - indução (2)</t>
  </si>
  <si>
    <t>src_'Calculos(2)'</t>
  </si>
  <si>
    <t>Relação de EP/EP+EM_m</t>
  </si>
  <si>
    <t>Relação de EP/EP+EM_F</t>
  </si>
  <si>
    <t>Total de EP para determinação %EPMN (?)_M</t>
  </si>
  <si>
    <t>Total de EP para determinação %EPMN (?)_F</t>
  </si>
  <si>
    <t>Eritrócitos policromáticos micronucleados (EPMN)_M</t>
  </si>
  <si>
    <t>Eritrócitos policromáticos micronucleados (EPMN)_F</t>
  </si>
  <si>
    <t>M33:N42</t>
  </si>
  <si>
    <t>M50:N59</t>
  </si>
  <si>
    <t>M67:N76</t>
  </si>
  <si>
    <t>M84:N93</t>
  </si>
  <si>
    <t>M101:N110</t>
  </si>
  <si>
    <t>M118:N127</t>
  </si>
  <si>
    <t>M135:N144</t>
  </si>
  <si>
    <t>O16:N25</t>
  </si>
  <si>
    <t>O33:N42</t>
  </si>
  <si>
    <t>O50:N59</t>
  </si>
  <si>
    <t>O67:N76</t>
  </si>
  <si>
    <t>O84:N93</t>
  </si>
  <si>
    <t>O101:N110</t>
  </si>
  <si>
    <t>O118:N127</t>
  </si>
  <si>
    <t>O135:N144</t>
  </si>
  <si>
    <t>Q16:N25</t>
  </si>
  <si>
    <t>Q33:N42</t>
  </si>
  <si>
    <t>Q50:N59</t>
  </si>
  <si>
    <t>Q67:N76</t>
  </si>
  <si>
    <t>Q84:N93</t>
  </si>
  <si>
    <t>Q101:N110</t>
  </si>
  <si>
    <t>Q118:N127</t>
  </si>
  <si>
    <t>Q135:N144</t>
  </si>
  <si>
    <t>S16:N25</t>
  </si>
  <si>
    <t>S33:N42</t>
  </si>
  <si>
    <t>S50:N59</t>
  </si>
  <si>
    <t>S67:N76</t>
  </si>
  <si>
    <t>S84:N93</t>
  </si>
  <si>
    <t>S101:N110</t>
  </si>
  <si>
    <t>S118:N127</t>
  </si>
  <si>
    <t>S135:N144</t>
  </si>
  <si>
    <t>U16:N25</t>
  </si>
  <si>
    <t>U33:N42</t>
  </si>
  <si>
    <t>U50:N59</t>
  </si>
  <si>
    <t>U67:N76</t>
  </si>
  <si>
    <t>U84:N93</t>
  </si>
  <si>
    <t>U101:N110</t>
  </si>
  <si>
    <t>U118:N127</t>
  </si>
  <si>
    <t>U135:N144</t>
  </si>
  <si>
    <t>W16:N25</t>
  </si>
  <si>
    <t>W33:N42</t>
  </si>
  <si>
    <t>W50:N59</t>
  </si>
  <si>
    <t>W67:N76</t>
  </si>
  <si>
    <t>W84:N93</t>
  </si>
  <si>
    <t>W101:N110</t>
  </si>
  <si>
    <t>W118:N127</t>
  </si>
  <si>
    <t>W135:N144</t>
  </si>
  <si>
    <t>Y16:N25</t>
  </si>
  <si>
    <t>Y33:N42</t>
  </si>
  <si>
    <t>Y50:N59</t>
  </si>
  <si>
    <t>Y67:N76</t>
  </si>
  <si>
    <t>Y84:N93</t>
  </si>
  <si>
    <t>Y101:N110</t>
  </si>
  <si>
    <t>Y118:N127</t>
  </si>
  <si>
    <t>Y135:N144</t>
  </si>
  <si>
    <t>AA16:N25</t>
  </si>
  <si>
    <t>AA33:N42</t>
  </si>
  <si>
    <t>AA50:N59</t>
  </si>
  <si>
    <t>AA67:N76</t>
  </si>
  <si>
    <t>AA84:N93</t>
  </si>
  <si>
    <t>AA101:N110</t>
  </si>
  <si>
    <t>AA118:N127</t>
  </si>
  <si>
    <t>AA135:N144</t>
  </si>
  <si>
    <t>Formulário Flora 5.0</t>
  </si>
  <si>
    <t>Código</t>
  </si>
  <si>
    <t>Frases de perigo</t>
  </si>
  <si>
    <t>Classe de perigo</t>
  </si>
  <si>
    <t>Perigo</t>
  </si>
  <si>
    <t>Atenção</t>
  </si>
  <si>
    <t>H300</t>
  </si>
  <si>
    <t>Toxicidade aguda, oral</t>
  </si>
  <si>
    <t>Categoria 1, 2</t>
  </si>
  <si>
    <t>H301</t>
  </si>
  <si>
    <t>Tóxico se ingerido</t>
  </si>
  <si>
    <t>H302</t>
  </si>
  <si>
    <t>H303</t>
  </si>
  <si>
    <t>H304</t>
  </si>
  <si>
    <t>Pode ser fatal se ingerido e penetrar nas vias respiratórias</t>
  </si>
  <si>
    <t>Perigo por aspiração</t>
  </si>
  <si>
    <t>H305</t>
  </si>
  <si>
    <t>H310</t>
  </si>
  <si>
    <t>Toxicidade aguda, dérmica</t>
  </si>
  <si>
    <t>H311</t>
  </si>
  <si>
    <t>H312</t>
  </si>
  <si>
    <t>H313</t>
  </si>
  <si>
    <t>H314</t>
  </si>
  <si>
    <t>Provoca queimadura severa à pele e dano aos olhos</t>
  </si>
  <si>
    <t>Categoria 1A, B, C</t>
  </si>
  <si>
    <t>H315</t>
  </si>
  <si>
    <t>H316</t>
  </si>
  <si>
    <t>Provoca irritação leve à pele</t>
  </si>
  <si>
    <t>H317</t>
  </si>
  <si>
    <t>Pode provocar reações alérgicas na pele</t>
  </si>
  <si>
    <t>Sensibilização na pele</t>
  </si>
  <si>
    <t>H318</t>
  </si>
  <si>
    <t>Lesões oculares/irritação ocular graves</t>
  </si>
  <si>
    <t>H319</t>
  </si>
  <si>
    <t>Provoca irritação ocular grave</t>
  </si>
  <si>
    <t>Categoria 2A</t>
  </si>
  <si>
    <t>H320</t>
  </si>
  <si>
    <t>Provoca irritação ocular</t>
  </si>
  <si>
    <t>Categoria 2B</t>
  </si>
  <si>
    <t>H330</t>
  </si>
  <si>
    <t>Toxicidade aguda, inalação</t>
  </si>
  <si>
    <t>H331</t>
  </si>
  <si>
    <t>H332</t>
  </si>
  <si>
    <t>H333</t>
  </si>
  <si>
    <t>H334</t>
  </si>
  <si>
    <t>Quando inalado pode provocar sintomas alérgicos, de asma ou dificuldades respiratórias</t>
  </si>
  <si>
    <t>Sensibilização respiratória</t>
  </si>
  <si>
    <t>H335</t>
  </si>
  <si>
    <t>Pode provocar irritação das vias respiratórias</t>
  </si>
  <si>
    <t>Toxicidade para órgãos-alvo específicos,</t>
  </si>
  <si>
    <t>H336</t>
  </si>
  <si>
    <t>Pode provocar sonolência ou vertigem</t>
  </si>
  <si>
    <t>Toxicidade para órgãos-alvo</t>
  </si>
  <si>
    <t>H340</t>
  </si>
  <si>
    <t>Mutagenicidade em células germinativas</t>
  </si>
  <si>
    <t>Categoria 1A, 1B</t>
  </si>
  <si>
    <t>H341</t>
  </si>
  <si>
    <t>H350</t>
  </si>
  <si>
    <t>Pode provocar câncer</t>
  </si>
  <si>
    <t>Carcinogenicidade</t>
  </si>
  <si>
    <t>H351</t>
  </si>
  <si>
    <t>Suspeito de provocar câncer</t>
  </si>
  <si>
    <t>H360</t>
  </si>
  <si>
    <t>Pode prejudicar a fertilidade ou o feto</t>
  </si>
  <si>
    <t>Toxicidade reprodutiva</t>
  </si>
  <si>
    <t>H361</t>
  </si>
  <si>
    <t>Suspeita-se que prejudique a fertilidade ou o feto</t>
  </si>
  <si>
    <t>H362</t>
  </si>
  <si>
    <t>Pode ser nocivo às crianças alimentadas com leite materno</t>
  </si>
  <si>
    <t>Toxicidade reprodutiva,</t>
  </si>
  <si>
    <t>Categoria adicional</t>
  </si>
  <si>
    <t>H370</t>
  </si>
  <si>
    <t>Provoca danos aos órgãos</t>
  </si>
  <si>
    <t>Toxicidade para órgãos-alvo específicos, exposição única</t>
  </si>
  <si>
    <t>H371</t>
  </si>
  <si>
    <t>Pode provocar danos aos órgãos</t>
  </si>
  <si>
    <t>H372</t>
  </si>
  <si>
    <t>Provoca danos aos órgãos por exposição repetida ou prolongada</t>
  </si>
  <si>
    <t>Toxicidade para órgãos-alvo específicos, exposição repetida</t>
  </si>
  <si>
    <t>H373</t>
  </si>
  <si>
    <t>Pode provocar danos a órgãos por exposição repetida ou prolongada</t>
  </si>
  <si>
    <t>Frases de perigo (extras)</t>
  </si>
  <si>
    <t xml:space="preserve">Frase de perigo adicional: </t>
  </si>
  <si>
    <t>Códigos de perigo</t>
  </si>
  <si>
    <t>,</t>
  </si>
  <si>
    <t>;</t>
  </si>
  <si>
    <t>Cepas preenchidas</t>
  </si>
  <si>
    <t>único</t>
  </si>
  <si>
    <t>Separador do texto final:</t>
  </si>
  <si>
    <t>Separador preenchido pelo usuário:</t>
  </si>
  <si>
    <t xml:space="preserve">(?) (?) </t>
  </si>
  <si>
    <t>Frase de perigo adicional</t>
  </si>
  <si>
    <t>Código: Frase</t>
  </si>
  <si>
    <t>Descritivo</t>
  </si>
  <si>
    <t>Não preencheu o porquê o teste definitivo não foi conduzido em triplicata</t>
  </si>
  <si>
    <t>N67</t>
  </si>
  <si>
    <t>Respostas_usuario!K19</t>
  </si>
  <si>
    <t>Respostas_usuario!K3</t>
  </si>
  <si>
    <t>Respostas_usuario!$L$3</t>
  </si>
  <si>
    <t>Respostas_usuario!$L$5</t>
  </si>
  <si>
    <t>Respostas_usuario!K21</t>
  </si>
  <si>
    <t>Respostas_usuario!$T$18</t>
  </si>
  <si>
    <t>Respostas_usuario!$L$9</t>
  </si>
  <si>
    <t>Respostas_usuario!V11:V14</t>
  </si>
  <si>
    <t>Respostas_usuario!K11</t>
  </si>
  <si>
    <t>Respostas_usuario!Z6:Z11</t>
  </si>
  <si>
    <t>Respostas_usuario!K13</t>
  </si>
  <si>
    <t>Respostas_usuario!K15</t>
  </si>
  <si>
    <t>Respostas_usuario!K17</t>
  </si>
  <si>
    <t>Relatório!A172</t>
  </si>
  <si>
    <t>Célula de Referência</t>
  </si>
  <si>
    <t>F2</t>
  </si>
  <si>
    <t>(1)</t>
  </si>
  <si>
    <t>(2)</t>
  </si>
  <si>
    <t>'Micronucleo</t>
  </si>
  <si>
    <t>Estudo_End</t>
  </si>
  <si>
    <t>'!</t>
  </si>
  <si>
    <t>'Up&amp;Down</t>
  </si>
  <si>
    <t>'Ames</t>
  </si>
  <si>
    <t>'Sensibilizacao</t>
  </si>
  <si>
    <t>'LLNA</t>
  </si>
  <si>
    <t>'Irritacao_Cutanea</t>
  </si>
  <si>
    <t>'Irritacao_Ocular</t>
  </si>
  <si>
    <t>'CL50</t>
  </si>
  <si>
    <t>'Dl50_Cutanea</t>
  </si>
  <si>
    <t>'Dl50_Oral</t>
  </si>
  <si>
    <t>Respostas_usuario!$K$5</t>
  </si>
  <si>
    <t>Respostas_usuario!$K$7</t>
  </si>
  <si>
    <t>Respostas_usuario!$K$9</t>
  </si>
  <si>
    <t>Respostas_usuario!$L$7</t>
  </si>
  <si>
    <t>N59</t>
  </si>
  <si>
    <t>Total Alertas</t>
  </si>
  <si>
    <t>x</t>
  </si>
  <si>
    <t>Alerta_1</t>
  </si>
  <si>
    <t>Alerta_2</t>
  </si>
  <si>
    <t>Link(1)</t>
  </si>
  <si>
    <t>Link(2)</t>
  </si>
  <si>
    <t>Atributo link</t>
  </si>
  <si>
    <t>Nome_1</t>
  </si>
  <si>
    <t>Nome_2</t>
  </si>
  <si>
    <t>Estudo (1)</t>
  </si>
  <si>
    <t>Estudo (2)</t>
  </si>
  <si>
    <t>Check ok</t>
  </si>
  <si>
    <t>Descritivo_formulário</t>
  </si>
  <si>
    <t xml:space="preserve">Alertas gerados: </t>
  </si>
  <si>
    <t>Descritivo_formulários(1)</t>
  </si>
  <si>
    <t>Descritivo_formulários(2)</t>
  </si>
  <si>
    <t>Total_1</t>
  </si>
  <si>
    <t>Total_2</t>
  </si>
  <si>
    <t>Dano cromossômico em células de mamíferos 
Micronúcleo - estudo 1</t>
  </si>
  <si>
    <t>Dano cromossômico em células de mamíferos 
Micronúcleo - estudo 2</t>
  </si>
  <si>
    <t>Dano cromossômico em células de mamíferos (estudo de micronúcleo)</t>
  </si>
  <si>
    <t>REMOVE ESPAÇOS</t>
  </si>
  <si>
    <t>REMOVE ;</t>
  </si>
  <si>
    <t>REMOVE -</t>
  </si>
  <si>
    <t>Filtro</t>
  </si>
  <si>
    <r>
      <t xml:space="preserve">Participa do fechamento analítico? </t>
    </r>
    <r>
      <rPr>
        <b/>
        <sz val="10"/>
        <color theme="5" tint="-0.249977111117893"/>
        <rFont val="Calibri"/>
        <family val="2"/>
        <scheme val="minor"/>
      </rPr>
      <t>(?)</t>
    </r>
  </si>
  <si>
    <t>Aguardando preenchimento da unidade de medida na aba Composição</t>
  </si>
  <si>
    <t>CAS_corrigido</t>
  </si>
  <si>
    <r>
      <t xml:space="preserve">Nº de replicatas com redução &gt;= 50%  </t>
    </r>
    <r>
      <rPr>
        <b/>
        <sz val="10"/>
        <color theme="5" tint="-0.249977111117893"/>
        <rFont val="Calibri"/>
        <family val="2"/>
        <scheme val="minor"/>
      </rPr>
      <t>(?)</t>
    </r>
  </si>
  <si>
    <t>TA97 / S9-</t>
  </si>
  <si>
    <t>TA97 / S9+</t>
  </si>
  <si>
    <t>TA97a / S9-</t>
  </si>
  <si>
    <t>TA98 / S9-</t>
  </si>
  <si>
    <t>TA100 / S9-</t>
  </si>
  <si>
    <t>TA102 / S9-</t>
  </si>
  <si>
    <t>TA1535 / S9-</t>
  </si>
  <si>
    <t>TA1537 / S9-</t>
  </si>
  <si>
    <t>TA1538 / S9-</t>
  </si>
  <si>
    <t>WP2 uvrA / S9-</t>
  </si>
  <si>
    <t>WP2 uvrA (pKM101) / S9-</t>
  </si>
  <si>
    <t>TA97a / S9+</t>
  </si>
  <si>
    <t>TA98 / S9+</t>
  </si>
  <si>
    <t>TA100 / S9+</t>
  </si>
  <si>
    <t>TA102 / S9+</t>
  </si>
  <si>
    <t>TA1535 / S9+</t>
  </si>
  <si>
    <t>TA1537 / S9+</t>
  </si>
  <si>
    <t>TA1538 / S9+</t>
  </si>
  <si>
    <t>WP2 uvrA / S9+</t>
  </si>
  <si>
    <t>WP2 uvrA (pKM101) / S9+</t>
  </si>
  <si>
    <r>
      <t xml:space="preserve">Os resultados dos controles concorrentes (CN e CP) estão dentro da faixa do controle histórico? </t>
    </r>
    <r>
      <rPr>
        <b/>
        <sz val="10"/>
        <color theme="5" tint="-0.249977111117893"/>
        <rFont val="Calibri"/>
        <family val="2"/>
        <scheme val="minor"/>
      </rPr>
      <t>(?)</t>
    </r>
  </si>
  <si>
    <t>N121</t>
  </si>
  <si>
    <r>
      <t xml:space="preserve">Os controles concorrentes (CN e CP) estão dentro da faixa do controle histórico? </t>
    </r>
    <r>
      <rPr>
        <b/>
        <sz val="10"/>
        <color theme="5" tint="-0.249977111117893"/>
        <rFont val="Calibri"/>
        <family val="2"/>
        <scheme val="minor"/>
      </rPr>
      <t>(?)</t>
    </r>
  </si>
  <si>
    <t>Os controles concorrentes (CN e CP) estão dentro da faixa do controle histórico? (?)</t>
  </si>
  <si>
    <t>Não preencheu se os controles concorrentes (CN e CP) estão dentro da faixa do controle histórico</t>
  </si>
  <si>
    <t>Não preencheu se houve aumento estatisticamente significante na frequência de EPMN</t>
  </si>
  <si>
    <t>Não preencheu se os grupos testados estão dentro da faixa do controle histórico</t>
  </si>
  <si>
    <t>Não preencheu se houve relação dose-resposta para algum grupo testado</t>
  </si>
  <si>
    <r>
      <t xml:space="preserve">Os grupos testados estão dentro da faixa do controle histórico? </t>
    </r>
    <r>
      <rPr>
        <b/>
        <sz val="10"/>
        <color theme="5" tint="-0.249977111117893"/>
        <rFont val="Calibri"/>
        <family val="2"/>
        <scheme val="minor"/>
      </rPr>
      <t>(?)</t>
    </r>
  </si>
  <si>
    <t>Os grupos testados estão dentro da faixa do controle histórico? (?)</t>
  </si>
  <si>
    <r>
      <t xml:space="preserve">Os grupos testados estão dentro da faixa do controle histórico? </t>
    </r>
    <r>
      <rPr>
        <b/>
        <sz val="11"/>
        <color theme="5" tint="-0.249977111117893"/>
        <rFont val="Calibri"/>
        <family val="2"/>
        <scheme val="minor"/>
      </rPr>
      <t>(?)</t>
    </r>
  </si>
  <si>
    <t>Foi declarado que o controle concorrente (CN ou CP) está fora da faixa do controle histórico</t>
  </si>
  <si>
    <t>Foi declarado que algum grupo está fora da faixa do controle histórico</t>
  </si>
  <si>
    <t>Foi declarado que houve aumento estatisticamente significante na frequência de EPMN</t>
  </si>
  <si>
    <t>Foi declarado que houve relação dose-resposta</t>
  </si>
  <si>
    <t>Positivo: existe grupo com %EPMN superior ao CP.</t>
  </si>
  <si>
    <t>S63:Y66</t>
  </si>
  <si>
    <t>Z63:AH66</t>
  </si>
  <si>
    <t>AI63:AM66</t>
  </si>
  <si>
    <t>Índice de marcação BrdU</t>
  </si>
  <si>
    <t>LLNA resultados_tipo (texto)</t>
  </si>
  <si>
    <t>Toxicidade até cat.4*</t>
  </si>
  <si>
    <t>* Conforme RDC n. 294/19, Anexo IV, item1.5, alínea d</t>
  </si>
  <si>
    <t xml:space="preserve">📂 </t>
  </si>
  <si>
    <r>
      <rPr>
        <sz val="14"/>
        <color theme="5" tint="-0.249977111117893"/>
        <rFont val="Calibri"/>
        <family val="2"/>
        <scheme val="minor"/>
      </rPr>
      <t xml:space="preserve">⚠️ </t>
    </r>
    <r>
      <rPr>
        <sz val="12"/>
        <color theme="1"/>
        <rFont val="Calibri"/>
        <family val="2"/>
        <scheme val="minor"/>
      </rPr>
      <t xml:space="preserve">Os alertas gerados pelo Flora têm como objetivo sinalizar ao responsável pela análise os pontos que requerem maior atenção. 
</t>
    </r>
    <r>
      <rPr>
        <sz val="14"/>
        <color theme="5" tint="-0.249977111117893"/>
        <rFont val="Calibri"/>
        <family val="2"/>
        <scheme val="minor"/>
      </rPr>
      <t>⚠️</t>
    </r>
    <r>
      <rPr>
        <sz val="12"/>
        <color rgb="FFEE0000"/>
        <rFont val="Calibri"/>
        <family val="2"/>
        <scheme val="minor"/>
      </rPr>
      <t xml:space="preserve"> </t>
    </r>
    <r>
      <rPr>
        <sz val="12"/>
        <color theme="1"/>
        <rFont val="Calibri"/>
        <family val="2"/>
        <scheme val="minor"/>
      </rPr>
      <t>A ocorrência do alerta não exige, necessariamente, que a requerente apresente justificativa técnica.</t>
    </r>
  </si>
  <si>
    <t>ç</t>
  </si>
  <si>
    <r>
      <rPr>
        <sz val="11"/>
        <color theme="4" tint="-0.499984740745262"/>
        <rFont val="Calibri"/>
        <family val="2"/>
        <scheme val="minor"/>
      </rPr>
      <t xml:space="preserve">Clique no sinal "+" ao lado para visualizar o </t>
    </r>
    <r>
      <rPr>
        <b/>
        <sz val="11"/>
        <color theme="4" tint="-0.499984740745262"/>
        <rFont val="Calibri"/>
        <family val="2"/>
        <scheme val="minor"/>
      </rPr>
      <t xml:space="preserve">resultado da avaliação dos controles concorrentes </t>
    </r>
  </si>
  <si>
    <r>
      <rPr>
        <sz val="11"/>
        <color theme="4" tint="-0.499984740745262"/>
        <rFont val="Calibri"/>
        <family val="2"/>
        <scheme val="minor"/>
      </rPr>
      <t xml:space="preserve">Clique no sinal "+" ao lado para visualizar o </t>
    </r>
    <r>
      <rPr>
        <b/>
        <sz val="11"/>
        <color theme="4" tint="-0.499984740745262"/>
        <rFont val="Calibri"/>
        <family val="2"/>
        <scheme val="minor"/>
      </rPr>
      <t>resumo das razões de mutagenicidade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</si>
</sst>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0.000"/>
    <numFmt numFmtId="166" formatCode="0.0"/>
    <numFmt numFmtId="167" formatCode="0.000%"/>
  </numFmts>
  <fonts count="11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font>
    <font>
      <b/>
      <sz val="18"/>
      <color theme="0"/>
      <name val="Calibri"/>
      <family val="2"/>
      <scheme val="minor"/>
    </font>
    <font>
      <sz val="11"/>
      <name val="Calibri"/>
      <family val="2"/>
      <scheme val="minor"/>
    </font>
    <font>
      <b/>
      <sz val="11"/>
      <name val="Calibri"/>
      <family val="2"/>
      <scheme val="minor"/>
    </font>
    <font>
      <b/>
      <sz val="12"/>
      <color theme="1"/>
      <name val="Calibri"/>
      <family val="2"/>
      <scheme val="minor"/>
    </font>
    <font>
      <b/>
      <sz val="10"/>
      <color theme="1"/>
      <name val="Calibri"/>
      <family val="2"/>
      <scheme val="minor"/>
    </font>
    <font>
      <b/>
      <i/>
      <sz val="11"/>
      <color theme="1"/>
      <name val="Calibri"/>
      <family val="2"/>
      <scheme val="minor"/>
    </font>
    <font>
      <i/>
      <sz val="11"/>
      <color theme="1"/>
      <name val="Calibri"/>
      <family val="2"/>
      <scheme val="minor"/>
    </font>
    <font>
      <b/>
      <sz val="11"/>
      <color theme="8" tint="0.79998168889431442"/>
      <name val="Calibri"/>
      <family val="2"/>
      <scheme val="minor"/>
    </font>
    <font>
      <sz val="10"/>
      <color theme="1"/>
      <name val="Calibri"/>
      <family val="2"/>
      <scheme val="minor"/>
    </font>
    <font>
      <sz val="11"/>
      <color theme="4" tint="0.79998168889431442"/>
      <name val="Calibri"/>
      <family val="2"/>
      <scheme val="minor"/>
    </font>
    <font>
      <sz val="11"/>
      <color rgb="FFFF0000"/>
      <name val="Calibri"/>
      <family val="2"/>
      <scheme val="minor"/>
    </font>
    <font>
      <sz val="11"/>
      <color rgb="FF00B050"/>
      <name val="Calibri"/>
      <family val="2"/>
      <scheme val="minor"/>
    </font>
    <font>
      <b/>
      <sz val="11"/>
      <color theme="5" tint="-0.249977111117893"/>
      <name val="Calibri"/>
      <family val="2"/>
      <scheme val="minor"/>
    </font>
    <font>
      <sz val="10"/>
      <name val="Calibri"/>
      <family val="2"/>
      <scheme val="minor"/>
    </font>
    <font>
      <sz val="8"/>
      <color rgb="FF000000"/>
      <name val="Segoe UI"/>
      <family val="2"/>
    </font>
    <font>
      <sz val="11"/>
      <color theme="8" tint="0.79998168889431442"/>
      <name val="Calibri"/>
      <family val="2"/>
      <scheme val="minor"/>
    </font>
    <font>
      <b/>
      <sz val="11"/>
      <color theme="9" tint="-0.249977111117893"/>
      <name val="Calibri"/>
      <family val="2"/>
      <scheme val="minor"/>
    </font>
    <font>
      <sz val="8"/>
      <name val="Calibri"/>
      <family val="2"/>
      <scheme val="minor"/>
    </font>
    <font>
      <b/>
      <sz val="22"/>
      <color theme="4" tint="-0.499984740745262"/>
      <name val="Calibri"/>
      <family val="2"/>
      <scheme val="minor"/>
    </font>
    <font>
      <sz val="11"/>
      <color theme="4" tint="-0.499984740745262"/>
      <name val="Calibri"/>
      <family val="2"/>
      <scheme val="minor"/>
    </font>
    <font>
      <b/>
      <sz val="20"/>
      <color theme="8" tint="-0.499984740745262"/>
      <name val="Calibri"/>
      <family val="2"/>
      <scheme val="minor"/>
    </font>
    <font>
      <b/>
      <sz val="22"/>
      <color theme="8" tint="-0.499984740745262"/>
      <name val="Calibri"/>
      <family val="2"/>
      <scheme val="minor"/>
    </font>
    <font>
      <b/>
      <sz val="11"/>
      <color theme="4" tint="-0.499984740745262"/>
      <name val="Calibri"/>
      <family val="2"/>
      <scheme val="minor"/>
    </font>
    <font>
      <sz val="10"/>
      <color theme="4" tint="-0.499984740745262"/>
      <name val="Calibri"/>
      <family val="2"/>
      <scheme val="minor"/>
    </font>
    <font>
      <sz val="11"/>
      <color theme="5" tint="-0.249977111117893"/>
      <name val="Calibri"/>
      <family val="2"/>
      <scheme val="minor"/>
    </font>
    <font>
      <b/>
      <sz val="10"/>
      <color theme="4" tint="-0.499984740745262"/>
      <name val="Calibri"/>
      <family val="2"/>
      <scheme val="minor"/>
    </font>
    <font>
      <b/>
      <sz val="10"/>
      <color theme="5" tint="-0.249977111117893"/>
      <name val="Calibri"/>
      <family val="2"/>
      <scheme val="minor"/>
    </font>
    <font>
      <b/>
      <sz val="11"/>
      <color theme="4" tint="-0.249977111117893"/>
      <name val="Calibri"/>
      <family val="2"/>
      <scheme val="minor"/>
    </font>
    <font>
      <b/>
      <sz val="10"/>
      <color theme="9" tint="-0.249977111117893"/>
      <name val="Calibri"/>
      <family val="2"/>
      <scheme val="minor"/>
    </font>
    <font>
      <b/>
      <sz val="10"/>
      <color rgb="FFFF0000"/>
      <name val="Calibri"/>
      <family val="2"/>
      <scheme val="minor"/>
    </font>
    <font>
      <sz val="11"/>
      <color theme="8" tint="-0.499984740745262"/>
      <name val="Calibri"/>
      <family val="2"/>
      <scheme val="minor"/>
    </font>
    <font>
      <b/>
      <sz val="10"/>
      <color theme="8" tint="-0.499984740745262"/>
      <name val="Calibri"/>
      <family val="2"/>
      <scheme val="minor"/>
    </font>
    <font>
      <b/>
      <sz val="11"/>
      <color theme="8" tint="-0.499984740745262"/>
      <name val="Calibri"/>
      <family val="2"/>
      <scheme val="minor"/>
    </font>
    <font>
      <b/>
      <sz val="12"/>
      <color theme="4" tint="-0.499984740745262"/>
      <name val="Calibri"/>
      <family val="2"/>
      <scheme val="minor"/>
    </font>
    <font>
      <sz val="9"/>
      <color theme="8" tint="-0.499984740745262"/>
      <name val="Calibri"/>
      <family val="2"/>
      <scheme val="minor"/>
    </font>
    <font>
      <i/>
      <sz val="11"/>
      <color theme="8" tint="-0.499984740745262"/>
      <name val="Calibri"/>
      <family val="2"/>
      <scheme val="minor"/>
    </font>
    <font>
      <sz val="10"/>
      <color theme="8" tint="-0.499984740745262"/>
      <name val="Calibri"/>
      <family val="2"/>
      <scheme val="minor"/>
    </font>
    <font>
      <b/>
      <sz val="16"/>
      <color theme="8" tint="-0.499984740745262"/>
      <name val="Calibri"/>
      <family val="2"/>
      <scheme val="minor"/>
    </font>
    <font>
      <b/>
      <sz val="12"/>
      <color theme="8" tint="-0.499984740745262"/>
      <name val="Calibri"/>
      <family val="2"/>
      <scheme val="minor"/>
    </font>
    <font>
      <b/>
      <sz val="14"/>
      <color theme="8" tint="-0.499984740745262"/>
      <name val="Calibri"/>
      <family val="2"/>
      <scheme val="minor"/>
    </font>
    <font>
      <b/>
      <sz val="9"/>
      <color theme="8" tint="-0.499984740745262"/>
      <name val="Calibri"/>
      <family val="2"/>
      <scheme val="minor"/>
    </font>
    <font>
      <i/>
      <sz val="10"/>
      <color theme="8" tint="-0.499984740745262"/>
      <name val="Calibri"/>
      <family val="2"/>
      <scheme val="minor"/>
    </font>
    <font>
      <i/>
      <sz val="11"/>
      <name val="Calibri"/>
      <family val="2"/>
      <scheme val="minor"/>
    </font>
    <font>
      <sz val="9"/>
      <color theme="4" tint="-0.499984740745262"/>
      <name val="Calibri"/>
      <family val="2"/>
      <scheme val="minor"/>
    </font>
    <font>
      <i/>
      <sz val="9"/>
      <color theme="4" tint="-0.499984740745262"/>
      <name val="Calibri"/>
      <family val="2"/>
      <scheme val="minor"/>
    </font>
    <font>
      <sz val="8.8000000000000007"/>
      <color theme="4" tint="-0.499984740745262"/>
      <name val="Calibri"/>
      <family val="2"/>
      <scheme val="minor"/>
    </font>
    <font>
      <b/>
      <sz val="8.8000000000000007"/>
      <color theme="5" tint="-0.249977111117893"/>
      <name val="Calibri"/>
      <family val="2"/>
      <scheme val="minor"/>
    </font>
    <font>
      <b/>
      <sz val="11"/>
      <color theme="5" tint="0.39997558519241921"/>
      <name val="Calibri"/>
      <family val="2"/>
      <scheme val="minor"/>
    </font>
    <font>
      <b/>
      <sz val="16"/>
      <color theme="4" tint="-0.499984740745262"/>
      <name val="Calibri"/>
      <family val="2"/>
      <scheme val="minor"/>
    </font>
    <font>
      <sz val="10"/>
      <color rgb="FFFF0000"/>
      <name val="Calibri"/>
      <family val="2"/>
      <scheme val="minor"/>
    </font>
    <font>
      <sz val="12"/>
      <color theme="4" tint="-0.499984740745262"/>
      <name val="Calibri"/>
      <family val="2"/>
      <scheme val="minor"/>
    </font>
    <font>
      <b/>
      <sz val="11"/>
      <color theme="2" tint="-0.749992370372631"/>
      <name val="Calibri"/>
      <family val="2"/>
      <scheme val="minor"/>
    </font>
    <font>
      <sz val="11"/>
      <color theme="2" tint="-0.749992370372631"/>
      <name val="Calibri"/>
      <family val="2"/>
      <scheme val="minor"/>
    </font>
    <font>
      <i/>
      <sz val="11"/>
      <color theme="2" tint="-0.749992370372631"/>
      <name val="Calibri"/>
      <family val="2"/>
      <scheme val="minor"/>
    </font>
    <font>
      <i/>
      <sz val="11"/>
      <color theme="4" tint="-0.249977111117893"/>
      <name val="Calibri"/>
      <family val="2"/>
      <scheme val="minor"/>
    </font>
    <font>
      <i/>
      <sz val="11"/>
      <color theme="2" tint="-0.499984740745262"/>
      <name val="Calibri"/>
      <family val="2"/>
      <scheme val="minor"/>
    </font>
    <font>
      <sz val="10.5"/>
      <color theme="4" tint="-0.499984740745262"/>
      <name val="Calibri"/>
      <family val="2"/>
      <scheme val="minor"/>
    </font>
    <font>
      <i/>
      <sz val="11"/>
      <color theme="1" tint="0.249977111117893"/>
      <name val="Calibri"/>
      <family val="2"/>
      <scheme val="minor"/>
    </font>
    <font>
      <b/>
      <sz val="9"/>
      <color theme="5" tint="-0.249977111117893"/>
      <name val="Calibri"/>
      <family val="2"/>
      <scheme val="minor"/>
    </font>
    <font>
      <sz val="11"/>
      <color rgb="FFC00000"/>
      <name val="Calibri"/>
      <family val="2"/>
      <scheme val="minor"/>
    </font>
    <font>
      <sz val="12"/>
      <color theme="1"/>
      <name val="Calibri"/>
      <family val="2"/>
      <scheme val="minor"/>
    </font>
    <font>
      <i/>
      <sz val="10"/>
      <color theme="2" tint="-0.749992370372631"/>
      <name val="Calibri"/>
      <family val="2"/>
      <scheme val="minor"/>
    </font>
    <font>
      <b/>
      <sz val="14"/>
      <color theme="1"/>
      <name val="Calibri"/>
      <family val="2"/>
      <scheme val="minor"/>
    </font>
    <font>
      <b/>
      <sz val="11"/>
      <color rgb="FFFF0000"/>
      <name val="Calibri"/>
      <family val="2"/>
      <scheme val="minor"/>
    </font>
    <font>
      <sz val="11"/>
      <color theme="4" tint="-0.249977111117893"/>
      <name val="Calibri"/>
      <family val="2"/>
      <scheme val="minor"/>
    </font>
    <font>
      <i/>
      <sz val="11"/>
      <color theme="0"/>
      <name val="Calibri"/>
      <family val="2"/>
      <scheme val="minor"/>
    </font>
    <font>
      <u/>
      <sz val="11"/>
      <color theme="10"/>
      <name val="Calibri"/>
      <family val="2"/>
      <scheme val="minor"/>
    </font>
    <font>
      <i/>
      <sz val="11"/>
      <color theme="1" tint="0.499984740745262"/>
      <name val="Calibri"/>
      <family val="2"/>
      <scheme val="minor"/>
    </font>
    <font>
      <sz val="10.5"/>
      <color theme="1"/>
      <name val="Calibri"/>
      <family val="2"/>
      <scheme val="minor"/>
    </font>
    <font>
      <b/>
      <sz val="8"/>
      <color theme="5" tint="-0.249977111117893"/>
      <name val="Calibri"/>
      <family val="2"/>
      <scheme val="minor"/>
    </font>
    <font>
      <strike/>
      <sz val="11"/>
      <color theme="1"/>
      <name val="Calibri"/>
      <family val="2"/>
      <scheme val="minor"/>
    </font>
    <font>
      <i/>
      <sz val="10.5"/>
      <color theme="2" tint="-0.749992370372631"/>
      <name val="Calibri"/>
      <family val="2"/>
      <scheme val="minor"/>
    </font>
    <font>
      <b/>
      <sz val="11"/>
      <color theme="5" tint="-0.499984740745262"/>
      <name val="Calibri"/>
      <family val="2"/>
      <scheme val="minor"/>
    </font>
    <font>
      <i/>
      <sz val="10.5"/>
      <name val="Calibri"/>
      <family val="2"/>
      <scheme val="minor"/>
    </font>
    <font>
      <b/>
      <sz val="10"/>
      <color theme="5" tint="-0.499984740745262"/>
      <name val="Calibri"/>
      <family val="2"/>
      <scheme val="minor"/>
    </font>
    <font>
      <b/>
      <sz val="9"/>
      <color theme="4" tint="-0.499984740745262"/>
      <name val="Calibri"/>
      <family val="2"/>
      <scheme val="minor"/>
    </font>
    <font>
      <i/>
      <sz val="9"/>
      <color theme="1"/>
      <name val="Calibri"/>
      <family val="2"/>
      <scheme val="minor"/>
    </font>
    <font>
      <u/>
      <sz val="11"/>
      <color theme="1"/>
      <name val="Calibri"/>
      <family val="2"/>
      <scheme val="minor"/>
    </font>
    <font>
      <b/>
      <sz val="10"/>
      <color rgb="FFC00000"/>
      <name val="Calibri"/>
      <family val="2"/>
      <scheme val="minor"/>
    </font>
    <font>
      <i/>
      <sz val="8"/>
      <color theme="1"/>
      <name val="Calibri"/>
      <family val="2"/>
      <scheme val="minor"/>
    </font>
    <font>
      <sz val="10"/>
      <color theme="5" tint="-0.249977111117893"/>
      <name val="Calibri"/>
      <family val="2"/>
      <scheme val="minor"/>
    </font>
    <font>
      <b/>
      <sz val="16"/>
      <color theme="0"/>
      <name val="Calibri"/>
      <family val="2"/>
      <scheme val="minor"/>
    </font>
    <font>
      <sz val="12"/>
      <color theme="7" tint="-0.249977111117893"/>
      <name val="Arial"/>
      <family val="2"/>
    </font>
    <font>
      <b/>
      <sz val="16"/>
      <color theme="9" tint="0.39997558519241921"/>
      <name val="Arial"/>
      <family val="2"/>
    </font>
    <font>
      <b/>
      <i/>
      <sz val="10"/>
      <color theme="4" tint="-0.249977111117893"/>
      <name val="Calibri"/>
      <family val="2"/>
      <scheme val="minor"/>
    </font>
    <font>
      <b/>
      <sz val="12"/>
      <color theme="1"/>
      <name val="Arial"/>
      <family val="2"/>
    </font>
    <font>
      <b/>
      <sz val="11"/>
      <color theme="1"/>
      <name val="Arial"/>
      <family val="2"/>
    </font>
    <font>
      <sz val="10"/>
      <color theme="1"/>
      <name val="Arial"/>
      <family val="2"/>
    </font>
    <font>
      <b/>
      <sz val="10"/>
      <color theme="1"/>
      <name val="Arial"/>
      <family val="2"/>
    </font>
    <font>
      <sz val="9"/>
      <color theme="1"/>
      <name val="Arial"/>
      <family val="2"/>
    </font>
    <font>
      <b/>
      <sz val="9"/>
      <color theme="1"/>
      <name val="Arial"/>
      <family val="2"/>
    </font>
    <font>
      <b/>
      <sz val="10"/>
      <color theme="5" tint="-0.249977111117893"/>
      <name val="Arial"/>
      <family val="2"/>
    </font>
    <font>
      <sz val="9"/>
      <color theme="0" tint="-4.9989318521683403E-2"/>
      <name val="Calibri"/>
      <family val="2"/>
      <scheme val="minor"/>
    </font>
    <font>
      <i/>
      <sz val="9"/>
      <color theme="0" tint="-4.9989318521683403E-2"/>
      <name val="Calibri"/>
      <family val="2"/>
      <scheme val="minor"/>
    </font>
    <font>
      <i/>
      <sz val="10"/>
      <color theme="0" tint="-4.9989318521683403E-2"/>
      <name val="Calibri"/>
      <family val="2"/>
      <scheme val="minor"/>
    </font>
    <font>
      <b/>
      <sz val="10"/>
      <color theme="0"/>
      <name val="Calibri"/>
      <family val="2"/>
      <scheme val="minor"/>
    </font>
    <font>
      <u/>
      <sz val="11"/>
      <color theme="8" tint="-0.249977111117893"/>
      <name val="Calibri"/>
      <family val="2"/>
      <scheme val="minor"/>
    </font>
    <font>
      <b/>
      <sz val="14"/>
      <color theme="5" tint="-0.249977111117893"/>
      <name val="Wingdings"/>
      <charset val="2"/>
    </font>
    <font>
      <b/>
      <sz val="14"/>
      <color theme="4" tint="-0.499984740745262"/>
      <name val="Calibri"/>
      <family val="2"/>
      <scheme val="minor"/>
    </font>
    <font>
      <sz val="14"/>
      <color theme="1"/>
      <name val="Calibri"/>
      <family val="2"/>
      <scheme val="minor"/>
    </font>
    <font>
      <sz val="14"/>
      <color theme="8" tint="-0.499984740745262"/>
      <name val="Calibri"/>
      <family val="2"/>
      <scheme val="minor"/>
    </font>
    <font>
      <sz val="11"/>
      <color theme="2"/>
      <name val="Calibri"/>
      <family val="2"/>
      <scheme val="minor"/>
    </font>
    <font>
      <i/>
      <sz val="10"/>
      <color theme="2"/>
      <name val="Calibri"/>
      <family val="2"/>
      <scheme val="minor"/>
    </font>
    <font>
      <sz val="11"/>
      <color theme="3" tint="0.79998168889431442"/>
      <name val="Calibri"/>
      <family val="2"/>
      <scheme val="minor"/>
    </font>
    <font>
      <i/>
      <sz val="10"/>
      <color theme="3" tint="0.79998168889431442"/>
      <name val="Calibri"/>
      <family val="2"/>
      <scheme val="minor"/>
    </font>
    <font>
      <i/>
      <sz val="11"/>
      <color theme="3" tint="0.79998168889431442"/>
      <name val="Calibri"/>
      <family val="2"/>
      <scheme val="minor"/>
    </font>
    <font>
      <i/>
      <sz val="10"/>
      <color theme="0"/>
      <name val="Calibri"/>
      <family val="2"/>
      <scheme val="minor"/>
    </font>
    <font>
      <b/>
      <sz val="9"/>
      <color theme="1"/>
      <name val="Calibri"/>
      <family val="2"/>
      <scheme val="minor"/>
    </font>
    <font>
      <sz val="12"/>
      <color rgb="FFEE0000"/>
      <name val="Calibri"/>
      <family val="2"/>
      <scheme val="minor"/>
    </font>
    <font>
      <sz val="14"/>
      <color theme="5" tint="-0.249977111117893"/>
      <name val="Calibri"/>
      <family val="2"/>
      <scheme val="minor"/>
    </font>
  </fonts>
  <fills count="4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DEFF3"/>
        <bgColor indexed="64"/>
      </patternFill>
    </fill>
    <fill>
      <patternFill patternType="solid">
        <fgColor theme="0" tint="-0.249977111117893"/>
        <bgColor indexed="64"/>
      </patternFill>
    </fill>
    <fill>
      <patternFill patternType="solid">
        <fgColor theme="0"/>
        <bgColor theme="4"/>
      </patternFill>
    </fill>
    <fill>
      <patternFill patternType="solid">
        <fgColor rgb="FFC00000"/>
        <bgColor indexed="64"/>
      </patternFill>
    </fill>
    <fill>
      <patternFill patternType="solid">
        <fgColor theme="8" tint="-0.499984740745262"/>
        <bgColor indexed="64"/>
      </patternFill>
    </fill>
    <fill>
      <patternFill patternType="solid">
        <fgColor rgb="FFEAEDF3"/>
        <bgColor indexed="64"/>
      </patternFill>
    </fill>
    <fill>
      <patternFill patternType="solid">
        <fgColor theme="5" tint="0.79998168889431442"/>
        <bgColor indexed="64"/>
      </patternFill>
    </fill>
    <fill>
      <patternFill patternType="solid">
        <fgColor rgb="FFE1E3F3"/>
        <bgColor indexed="64"/>
      </patternFill>
    </fill>
    <fill>
      <patternFill patternType="solid">
        <fgColor theme="4" tint="0.79998168889431442"/>
        <bgColor theme="4" tint="0.79998168889431442"/>
      </patternFill>
    </fill>
    <fill>
      <patternFill patternType="solid">
        <fgColor theme="0" tint="-4.9989318521683403E-2"/>
        <bgColor theme="4" tint="0.79998168889431442"/>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E6EFFE"/>
        <bgColor indexed="64"/>
      </patternFill>
    </fill>
    <fill>
      <patternFill patternType="solid">
        <fgColor theme="3" tint="0.59999389629810485"/>
        <bgColor indexed="64"/>
      </patternFill>
    </fill>
    <fill>
      <patternFill patternType="solid">
        <fgColor theme="3" tint="0.79998168889431442"/>
        <bgColor indexed="64"/>
      </patternFill>
    </fill>
  </fills>
  <borders count="156">
    <border>
      <left/>
      <right/>
      <top/>
      <bottom/>
      <diagonal/>
    </border>
    <border>
      <left/>
      <right style="thin">
        <color theme="0"/>
      </right>
      <top/>
      <bottom/>
      <diagonal/>
    </border>
    <border>
      <left style="thin">
        <color theme="0"/>
      </left>
      <right/>
      <top/>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2" tint="-9.9978637043366805E-2"/>
      </bottom>
      <diagonal/>
    </border>
    <border>
      <left/>
      <right/>
      <top style="thin">
        <color theme="2" tint="-9.9978637043366805E-2"/>
      </top>
      <bottom style="thin">
        <color theme="2" tint="-9.9978637043366805E-2"/>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style="thin">
        <color theme="0"/>
      </right>
      <top/>
      <bottom style="thin">
        <color theme="0"/>
      </bottom>
      <diagonal/>
    </border>
    <border>
      <left/>
      <right style="thin">
        <color theme="0" tint="-0.34998626667073579"/>
      </right>
      <top style="thin">
        <color theme="0" tint="-0.34998626667073579"/>
      </top>
      <bottom style="thin">
        <color theme="0" tint="-0.34998626667073579"/>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right/>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4" tint="0.39997558519241921"/>
      </left>
      <right/>
      <top/>
      <bottom/>
      <diagonal/>
    </border>
    <border>
      <left style="thin">
        <color theme="0"/>
      </left>
      <right style="thin">
        <color theme="0"/>
      </right>
      <top/>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4" tint="0.39997558519241921"/>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thin">
        <color theme="0"/>
      </left>
      <right style="thin">
        <color theme="4" tint="0.39997558519241921"/>
      </right>
      <top style="thin">
        <color theme="4" tint="0.39997558519241921"/>
      </top>
      <bottom style="thin">
        <color theme="4"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0"/>
      </left>
      <right/>
      <top/>
      <bottom style="thin">
        <color theme="4" tint="0.39997558519241921"/>
      </bottom>
      <diagonal/>
    </border>
    <border>
      <left/>
      <right style="thin">
        <color theme="0"/>
      </right>
      <top/>
      <bottom style="thin">
        <color theme="4" tint="0.39997558519241921"/>
      </bottom>
      <diagonal/>
    </border>
    <border>
      <left style="thin">
        <color theme="4" tint="0.39997558519241921"/>
      </left>
      <right/>
      <top/>
      <bottom style="thin">
        <color theme="4" tint="0.39997558519241921"/>
      </bottom>
      <diagonal/>
    </border>
    <border>
      <left/>
      <right style="thin">
        <color theme="4" tint="0.39997558519241921"/>
      </right>
      <top/>
      <bottom/>
      <diagonal/>
    </border>
    <border>
      <left/>
      <right/>
      <top style="thin">
        <color theme="0"/>
      </top>
      <bottom style="thin">
        <color theme="4" tint="0.39997558519241921"/>
      </bottom>
      <diagonal/>
    </border>
    <border>
      <left style="thin">
        <color theme="4" tint="0.39997558519241921"/>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diagonal/>
    </border>
    <border>
      <left style="thin">
        <color theme="0"/>
      </left>
      <right style="thin">
        <color theme="4" tint="0.39997558519241921"/>
      </right>
      <top style="thin">
        <color theme="4" tint="0.39997558519241921"/>
      </top>
      <bottom/>
      <diagonal/>
    </border>
    <border>
      <left/>
      <right style="thin">
        <color theme="4" tint="0.39997558519241921"/>
      </right>
      <top/>
      <bottom style="thin">
        <color theme="4" tint="0.39997558519241921"/>
      </bottom>
      <diagonal/>
    </border>
    <border>
      <left style="thin">
        <color theme="0"/>
      </left>
      <right/>
      <top style="thin">
        <color theme="4" tint="0.39997558519241921"/>
      </top>
      <bottom style="thin">
        <color theme="4" tint="0.39997558519241921"/>
      </bottom>
      <diagonal/>
    </border>
    <border>
      <left style="thin">
        <color theme="0"/>
      </left>
      <right style="thin">
        <color theme="4" tint="0.39997558519241921"/>
      </right>
      <top/>
      <bottom/>
      <diagonal/>
    </border>
    <border>
      <left/>
      <right style="thin">
        <color theme="0"/>
      </right>
      <top style="thin">
        <color theme="0"/>
      </top>
      <bottom style="thin">
        <color theme="4" tint="0.39997558519241921"/>
      </bottom>
      <diagonal/>
    </border>
    <border>
      <left style="thin">
        <color theme="0"/>
      </left>
      <right/>
      <top style="thin">
        <color theme="0"/>
      </top>
      <bottom style="thin">
        <color theme="4" tint="0.399975585192419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4" tint="0.39997558519241921"/>
      </left>
      <right style="thin">
        <color theme="4" tint="0.59999389629810485"/>
      </right>
      <top style="thin">
        <color theme="4" tint="0.39997558519241921"/>
      </top>
      <bottom/>
      <diagonal/>
    </border>
    <border>
      <left style="thin">
        <color theme="4" tint="0.59999389629810485"/>
      </left>
      <right style="thin">
        <color theme="4" tint="0.59999389629810485"/>
      </right>
      <top style="thin">
        <color theme="4" tint="0.39997558519241921"/>
      </top>
      <bottom/>
      <diagonal/>
    </border>
    <border>
      <left style="thin">
        <color theme="4" tint="0.59999389629810485"/>
      </left>
      <right style="thin">
        <color theme="4" tint="0.39997558519241921"/>
      </right>
      <top style="thin">
        <color theme="4" tint="0.39997558519241921"/>
      </top>
      <bottom/>
      <diagonal/>
    </border>
    <border>
      <left/>
      <right style="thin">
        <color theme="4" tint="0.39997558519241921"/>
      </right>
      <top style="thin">
        <color theme="0"/>
      </top>
      <bottom style="thin">
        <color theme="4" tint="0.39997558519241921"/>
      </bottom>
      <diagonal/>
    </border>
    <border>
      <left style="thin">
        <color theme="0"/>
      </left>
      <right/>
      <top style="thin">
        <color theme="0"/>
      </top>
      <bottom style="thin">
        <color theme="0"/>
      </bottom>
      <diagonal/>
    </border>
    <border>
      <left/>
      <right style="thin">
        <color theme="0" tint="-0.249977111117893"/>
      </right>
      <top/>
      <bottom/>
      <diagonal/>
    </border>
    <border>
      <left style="thin">
        <color theme="0" tint="-0.249977111117893"/>
      </left>
      <right style="thin">
        <color theme="0" tint="-0.249977111117893"/>
      </right>
      <top/>
      <bottom/>
      <diagonal/>
    </border>
    <border>
      <left style="thin">
        <color theme="0" tint="-0.34998626667073579"/>
      </left>
      <right style="thin">
        <color theme="0" tint="-0.34998626667073579"/>
      </right>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right/>
      <top/>
      <bottom style="medium">
        <color theme="0" tint="-0.14999847407452621"/>
      </bottom>
      <diagonal/>
    </border>
    <border>
      <left style="thin">
        <color theme="0"/>
      </left>
      <right/>
      <top/>
      <bottom style="thin">
        <color theme="0" tint="-0.14999847407452621"/>
      </bottom>
      <diagonal/>
    </border>
    <border>
      <left/>
      <right/>
      <top style="thin">
        <color theme="4"/>
      </top>
      <bottom style="thin">
        <color theme="4"/>
      </bottom>
      <diagonal/>
    </border>
    <border>
      <left/>
      <right/>
      <top/>
      <bottom style="thin">
        <color theme="4"/>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14999847407452621"/>
      </top>
      <bottom style="thin">
        <color theme="0" tint="-0.249977111117893"/>
      </bottom>
      <diagonal/>
    </border>
    <border>
      <left/>
      <right style="thin">
        <color theme="0" tint="-0.249977111117893"/>
      </right>
      <top style="thin">
        <color theme="0" tint="-0.14999847407452621"/>
      </top>
      <bottom style="thin">
        <color theme="0" tint="-0.249977111117893"/>
      </bottom>
      <diagonal/>
    </border>
    <border>
      <left style="thin">
        <color theme="0" tint="-0.249977111117893"/>
      </left>
      <right/>
      <top style="thin">
        <color theme="0" tint="-0.14999847407452621"/>
      </top>
      <bottom/>
      <diagonal/>
    </border>
    <border>
      <left/>
      <right style="thin">
        <color theme="0" tint="-0.249977111117893"/>
      </right>
      <top style="thin">
        <color theme="0" tint="-0.14999847407452621"/>
      </top>
      <bottom/>
      <diagonal/>
    </border>
    <border>
      <left style="thin">
        <color theme="0" tint="-0.249977111117893"/>
      </left>
      <right/>
      <top style="thin">
        <color theme="0" tint="-0.249977111117893"/>
      </top>
      <bottom style="thin">
        <color theme="0" tint="-0.14999847407452621"/>
      </bottom>
      <diagonal/>
    </border>
    <border>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diagonal/>
    </border>
    <border>
      <left/>
      <right/>
      <top style="thin">
        <color theme="4" tint="0.39997558519241921"/>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249977111117893"/>
      </bottom>
      <diagonal/>
    </border>
    <border>
      <left/>
      <right/>
      <top style="thin">
        <color theme="0" tint="-0.249977111117893"/>
      </top>
      <bottom style="thin">
        <color theme="0" tint="-0.249977111117893"/>
      </bottom>
      <diagonal/>
    </border>
    <border>
      <left style="thin">
        <color theme="0" tint="-0.14999847407452621"/>
      </left>
      <right style="thin">
        <color theme="0" tint="-0.14999847407452621"/>
      </right>
      <top/>
      <bottom/>
      <diagonal/>
    </border>
    <border>
      <left style="thin">
        <color theme="9" tint="0.59999389629810485"/>
      </left>
      <right/>
      <top style="thin">
        <color theme="9" tint="0.59999389629810485"/>
      </top>
      <bottom style="medium">
        <color theme="9" tint="-0.249977111117893"/>
      </bottom>
      <diagonal/>
    </border>
    <border>
      <left/>
      <right/>
      <top/>
      <bottom style="medium">
        <color theme="9" tint="-0.249977111117893"/>
      </bottom>
      <diagonal/>
    </border>
    <border>
      <left/>
      <right style="thin">
        <color theme="0" tint="-0.499984740745262"/>
      </right>
      <top style="thin">
        <color theme="0" tint="-0.14999847407452621"/>
      </top>
      <bottom style="thin">
        <color theme="0" tint="-0.14999847407452621"/>
      </bottom>
      <diagonal/>
    </border>
    <border>
      <left/>
      <right style="thin">
        <color theme="0" tint="-0.499984740745262"/>
      </right>
      <top style="thin">
        <color theme="0" tint="-0.249977111117893"/>
      </top>
      <bottom style="thin">
        <color theme="0" tint="-0.249977111117893"/>
      </bottom>
      <diagonal/>
    </border>
    <border>
      <left/>
      <right style="thin">
        <color theme="0" tint="-0.499984740745262"/>
      </right>
      <top style="thin">
        <color theme="0" tint="-0.14999847407452621"/>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14999847407452621"/>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4" tint="0.39997558519241921"/>
      </right>
      <top style="thin">
        <color theme="8" tint="0.39997558519241921"/>
      </top>
      <bottom style="thin">
        <color theme="8" tint="0.39997558519241921"/>
      </bottom>
      <diagonal/>
    </border>
    <border>
      <left style="thin">
        <color theme="4" tint="0.39997558519241921"/>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theme="8" tint="0.39997558519241921"/>
      </left>
      <right/>
      <top style="thin">
        <color theme="8" tint="0.39997558519241921"/>
      </top>
      <bottom style="thin">
        <color theme="4" tint="0.39997558519241921"/>
      </bottom>
      <diagonal/>
    </border>
    <border>
      <left/>
      <right/>
      <top style="thin">
        <color theme="8" tint="0.39997558519241921"/>
      </top>
      <bottom style="thin">
        <color theme="4" tint="0.39997558519241921"/>
      </bottom>
      <diagonal/>
    </border>
    <border>
      <left/>
      <right style="thin">
        <color theme="0"/>
      </right>
      <top style="thin">
        <color theme="8" tint="0.39997558519241921"/>
      </top>
      <bottom style="thin">
        <color theme="4" tint="0.39997558519241921"/>
      </bottom>
      <diagonal/>
    </border>
    <border>
      <left/>
      <right style="thin">
        <color theme="8" tint="0.39997558519241921"/>
      </right>
      <top style="thin">
        <color theme="8" tint="0.39997558519241921"/>
      </top>
      <bottom style="thin">
        <color theme="4" tint="0.39997558519241921"/>
      </bottom>
      <diagonal/>
    </border>
    <border>
      <left style="thin">
        <color theme="8" tint="0.39997558519241921"/>
      </left>
      <right/>
      <top style="thin">
        <color theme="4" tint="0.39997558519241921"/>
      </top>
      <bottom style="thin">
        <color theme="4" tint="0.39997558519241921"/>
      </bottom>
      <diagonal/>
    </border>
    <border>
      <left/>
      <right style="thin">
        <color theme="8" tint="0.39997558519241921"/>
      </right>
      <top style="thin">
        <color theme="4" tint="0.39997558519241921"/>
      </top>
      <bottom style="thin">
        <color theme="4" tint="0.39997558519241921"/>
      </bottom>
      <diagonal/>
    </border>
    <border>
      <left style="thin">
        <color theme="8" tint="0.39997558519241921"/>
      </left>
      <right/>
      <top style="thin">
        <color theme="4" tint="0.39997558519241921"/>
      </top>
      <bottom/>
      <diagonal/>
    </border>
    <border>
      <left/>
      <right style="thin">
        <color theme="8" tint="0.39997558519241921"/>
      </right>
      <top style="thin">
        <color theme="4" tint="0.39997558519241921"/>
      </top>
      <bottom/>
      <diagonal/>
    </border>
    <border>
      <left style="thin">
        <color theme="8" tint="0.39997558519241921"/>
      </left>
      <right/>
      <top style="thin">
        <color theme="4" tint="0.39997558519241921"/>
      </top>
      <bottom style="thin">
        <color theme="8" tint="0.39997558519241921"/>
      </bottom>
      <diagonal/>
    </border>
    <border>
      <left/>
      <right/>
      <top style="thin">
        <color theme="4" tint="0.39997558519241921"/>
      </top>
      <bottom style="thin">
        <color theme="8" tint="0.39997558519241921"/>
      </bottom>
      <diagonal/>
    </border>
    <border>
      <left/>
      <right style="thin">
        <color theme="8" tint="0.39997558519241921"/>
      </right>
      <top style="thin">
        <color theme="4" tint="0.39997558519241921"/>
      </top>
      <bottom style="thin">
        <color theme="8" tint="0.39997558519241921"/>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right/>
      <top style="medium">
        <color theme="0" tint="-0.14999847407452621"/>
      </top>
      <bottom/>
      <diagonal/>
    </border>
    <border>
      <left style="thin">
        <color theme="0" tint="-0.249977111117893"/>
      </left>
      <right/>
      <top style="thin">
        <color theme="0" tint="-0.249977111117893"/>
      </top>
      <bottom/>
      <diagonal/>
    </border>
    <border>
      <left/>
      <right/>
      <top/>
      <bottom style="medium">
        <color indexed="64"/>
      </bottom>
      <diagonal/>
    </border>
    <border>
      <left style="thin">
        <color theme="0"/>
      </left>
      <right/>
      <top style="thin">
        <color theme="0" tint="-0.14999847407452621"/>
      </top>
      <bottom style="thin">
        <color theme="0" tint="-0.14999847407452621"/>
      </bottom>
      <diagonal/>
    </border>
    <border>
      <left style="thin">
        <color theme="4" tint="0.39997558519241921"/>
      </left>
      <right style="thin">
        <color theme="3" tint="0.39997558519241921"/>
      </right>
      <top style="thin">
        <color theme="4" tint="0.39997558519241921"/>
      </top>
      <bottom style="thin">
        <color theme="4" tint="0.39997558519241921"/>
      </bottom>
      <diagonal/>
    </border>
    <border>
      <left style="thin">
        <color theme="3" tint="0.39997558519241921"/>
      </left>
      <right style="thin">
        <color theme="3" tint="0.39997558519241921"/>
      </right>
      <top style="thin">
        <color theme="4" tint="0.39997558519241921"/>
      </top>
      <bottom style="thin">
        <color theme="4" tint="0.39997558519241921"/>
      </bottom>
      <diagonal/>
    </border>
    <border>
      <left style="thin">
        <color theme="3" tint="0.39997558519241921"/>
      </left>
      <right style="thin">
        <color theme="4" tint="0.39997558519241921"/>
      </right>
      <top style="thin">
        <color theme="4" tint="0.39997558519241921"/>
      </top>
      <bottom style="thin">
        <color theme="4" tint="0.39997558519241921"/>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4" tint="0.39997558519241921"/>
      </left>
      <right/>
      <top style="thin">
        <color theme="4" tint="0.39997558519241921"/>
      </top>
      <bottom style="thin">
        <color theme="0" tint="-0.34998626667073579"/>
      </bottom>
      <diagonal/>
    </border>
    <border>
      <left/>
      <right/>
      <top style="thin">
        <color theme="4" tint="0.39997558519241921"/>
      </top>
      <bottom style="thin">
        <color theme="0" tint="-0.34998626667073579"/>
      </bottom>
      <diagonal/>
    </border>
    <border>
      <left/>
      <right style="thin">
        <color theme="4" tint="0.39997558519241921"/>
      </right>
      <top style="thin">
        <color theme="4" tint="0.39997558519241921"/>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thin">
        <color theme="0" tint="-0.14999847407452621"/>
      </left>
      <right style="medium">
        <color theme="0" tint="-0.14999847407452621"/>
      </right>
      <top style="thin">
        <color theme="0" tint="-0.14999847407452621"/>
      </top>
      <bottom style="thin">
        <color theme="0" tint="-0.14999847407452621"/>
      </bottom>
      <diagonal/>
    </border>
    <border>
      <left/>
      <right style="medium">
        <color theme="0" tint="-0.14999847407452621"/>
      </right>
      <top style="thin">
        <color theme="0" tint="-0.14999847407452621"/>
      </top>
      <bottom style="thin">
        <color theme="0" tint="-0.14999847407452621"/>
      </bottom>
      <diagonal/>
    </border>
    <border>
      <left/>
      <right style="medium">
        <color theme="0" tint="-0.14999847407452621"/>
      </right>
      <top/>
      <bottom style="thin">
        <color theme="0" tint="-0.14999847407452621"/>
      </bottom>
      <diagonal/>
    </border>
    <border>
      <left style="thin">
        <color theme="0" tint="-0.14999847407452621"/>
      </left>
      <right style="medium">
        <color theme="0" tint="-0.14999847407452621"/>
      </right>
      <top style="thin">
        <color theme="0" tint="-0.14999847407452621"/>
      </top>
      <bottom/>
      <diagonal/>
    </border>
    <border>
      <left/>
      <right style="medium">
        <color theme="0" tint="-0.14999847407452621"/>
      </right>
      <top style="thin">
        <color theme="0" tint="-0.14999847407452621"/>
      </top>
      <bottom/>
      <diagonal/>
    </border>
    <border>
      <left/>
      <right style="medium">
        <color theme="0" tint="-0.14999847407452621"/>
      </right>
      <top/>
      <bottom/>
      <diagonal/>
    </border>
    <border>
      <left style="medium">
        <color theme="0" tint="-0.14999847407452621"/>
      </left>
      <right/>
      <top style="thin">
        <color theme="0" tint="-0.14999847407452621"/>
      </top>
      <bottom style="thin">
        <color theme="0" tint="-0.14999847407452621"/>
      </bottom>
      <diagonal/>
    </border>
    <border>
      <left style="medium">
        <color theme="0" tint="-0.14999847407452621"/>
      </left>
      <right style="thin">
        <color theme="0" tint="-0.14999847407452621"/>
      </right>
      <top style="thin">
        <color theme="0" tint="-0.14999847407452621"/>
      </top>
      <bottom style="thin">
        <color theme="0" tint="-0.14999847407452621"/>
      </bottom>
      <diagonal/>
    </border>
    <border>
      <left style="medium">
        <color theme="0" tint="-0.14999847407452621"/>
      </left>
      <right style="thin">
        <color theme="0" tint="-0.14999847407452621"/>
      </right>
      <top/>
      <bottom/>
      <diagonal/>
    </border>
    <border>
      <left style="medium">
        <color theme="0" tint="-0.14999847407452621"/>
      </left>
      <right/>
      <top style="thin">
        <color theme="0" tint="-0.14999847407452621"/>
      </top>
      <bottom/>
      <diagonal/>
    </border>
    <border>
      <left style="medium">
        <color theme="0" tint="-0.14999847407452621"/>
      </left>
      <right/>
      <top/>
      <bottom/>
      <diagonal/>
    </border>
    <border>
      <left style="medium">
        <color theme="0" tint="-0.14999847407452621"/>
      </left>
      <right/>
      <top/>
      <bottom style="thin">
        <color theme="0" tint="-0.14999847407452621"/>
      </bottom>
      <diagonal/>
    </border>
    <border>
      <left style="thin">
        <color theme="0" tint="-0.14999847407452621"/>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14999847407452621"/>
      </right>
      <top style="thin">
        <color theme="0" tint="-0.249977111117893"/>
      </top>
      <bottom style="thin">
        <color theme="0" tint="-0.249977111117893"/>
      </bottom>
      <diagonal/>
    </border>
    <border>
      <left style="thin">
        <color theme="0" tint="-0.14999847407452621"/>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14999847407452621"/>
      </right>
      <top style="thin">
        <color theme="0" tint="-0.249977111117893"/>
      </top>
      <bottom style="thin">
        <color theme="0" tint="-0.14999847407452621"/>
      </bottom>
      <diagonal/>
    </border>
    <border>
      <left style="thin">
        <color theme="9" tint="0.59999389629810485"/>
      </left>
      <right/>
      <top style="thin">
        <color theme="9" tint="0.59999389629810485"/>
      </top>
      <bottom/>
      <diagonal/>
    </border>
    <border>
      <left style="thin">
        <color theme="9" tint="0.59999389629810485"/>
      </left>
      <right/>
      <top/>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theme="4" tint="0.59999389629810485"/>
      </left>
      <right style="thin">
        <color theme="4" tint="0.59999389629810485"/>
      </right>
      <top style="thin">
        <color theme="4" tint="0.39997558519241921"/>
      </top>
      <bottom style="thin">
        <color theme="4" tint="0.39997558519241921"/>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4" tint="0.59999389629810485"/>
      </left>
      <right/>
      <top style="thin">
        <color theme="4" tint="0.59999389629810485"/>
      </top>
      <bottom/>
      <diagonal/>
    </border>
    <border>
      <left/>
      <right/>
      <top style="thin">
        <color theme="4" tint="0.59999389629810485"/>
      </top>
      <bottom/>
      <diagonal/>
    </border>
    <border>
      <left/>
      <right style="thin">
        <color theme="4" tint="0.59999389629810485"/>
      </right>
      <top style="thin">
        <color theme="4" tint="0.59999389629810485"/>
      </top>
      <bottom/>
      <diagonal/>
    </border>
    <border>
      <left style="thin">
        <color theme="4" tint="0.59999389629810485"/>
      </left>
      <right/>
      <top/>
      <bottom/>
      <diagonal/>
    </border>
    <border>
      <left/>
      <right style="thin">
        <color theme="4" tint="0.59999389629810485"/>
      </right>
      <top/>
      <bottom/>
      <diagonal/>
    </border>
    <border>
      <left style="thin">
        <color theme="4" tint="0.59999389629810485"/>
      </left>
      <right/>
      <top/>
      <bottom style="thin">
        <color theme="4" tint="0.59999389629810485"/>
      </bottom>
      <diagonal/>
    </border>
    <border>
      <left/>
      <right/>
      <top/>
      <bottom style="thin">
        <color theme="4" tint="0.59999389629810485"/>
      </bottom>
      <diagonal/>
    </border>
    <border>
      <left/>
      <right style="thin">
        <color theme="4" tint="0.59999389629810485"/>
      </right>
      <top/>
      <bottom style="thin">
        <color theme="4" tint="0.59999389629810485"/>
      </bottom>
      <diagonal/>
    </border>
    <border>
      <left/>
      <right/>
      <top style="thin">
        <color theme="4" tint="0.59999389629810485"/>
      </top>
      <bottom style="thin">
        <color theme="4" tint="0.39997558519241921"/>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2"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680">
    <xf numFmtId="0" fontId="0" fillId="0" borderId="0" xfId="0"/>
    <xf numFmtId="0" fontId="0" fillId="5" borderId="0" xfId="0" applyFill="1" applyProtection="1">
      <protection locked="0"/>
    </xf>
    <xf numFmtId="0" fontId="0" fillId="2" borderId="0" xfId="0" applyFill="1" applyProtection="1">
      <protection locked="0"/>
    </xf>
    <xf numFmtId="0" fontId="0" fillId="2" borderId="0" xfId="0" applyFill="1" applyAlignment="1" applyProtection="1">
      <alignment wrapText="1"/>
      <protection locked="0"/>
    </xf>
    <xf numFmtId="0" fontId="0" fillId="2" borderId="0" xfId="0" applyFill="1" applyAlignment="1" applyProtection="1">
      <alignment vertical="top" wrapText="1"/>
      <protection locked="0"/>
    </xf>
    <xf numFmtId="0" fontId="28" fillId="2" borderId="17" xfId="0" applyFont="1" applyFill="1" applyBorder="1" applyAlignment="1" applyProtection="1">
      <alignment horizontal="center" vertical="center" wrapText="1"/>
      <protection locked="0"/>
    </xf>
    <xf numFmtId="0" fontId="6" fillId="10" borderId="0" xfId="0" applyFont="1" applyFill="1" applyAlignment="1" applyProtection="1">
      <alignment vertical="center"/>
      <protection locked="0"/>
    </xf>
    <xf numFmtId="0" fontId="0" fillId="10" borderId="0" xfId="0" applyFill="1" applyProtection="1">
      <protection locked="0"/>
    </xf>
    <xf numFmtId="49" fontId="0" fillId="2" borderId="0" xfId="0" applyNumberFormat="1" applyFill="1" applyAlignment="1" applyProtection="1">
      <alignment wrapText="1"/>
      <protection locked="0"/>
    </xf>
    <xf numFmtId="49" fontId="0" fillId="2" borderId="0" xfId="0" applyNumberFormat="1" applyFill="1" applyProtection="1">
      <protection locked="0"/>
    </xf>
    <xf numFmtId="49" fontId="0" fillId="10" borderId="12" xfId="0" applyNumberFormat="1" applyFill="1" applyBorder="1" applyAlignment="1" applyProtection="1">
      <alignment horizontal="center" vertical="center"/>
      <protection locked="0"/>
    </xf>
    <xf numFmtId="49" fontId="59" fillId="2" borderId="0" xfId="0" applyNumberFormat="1" applyFont="1" applyFill="1" applyProtection="1">
      <protection locked="0"/>
    </xf>
    <xf numFmtId="0" fontId="59" fillId="2" borderId="0" xfId="0" applyFont="1" applyFill="1" applyAlignment="1" applyProtection="1">
      <alignment vertical="top"/>
      <protection locked="0"/>
    </xf>
    <xf numFmtId="0" fontId="59" fillId="2" borderId="0" xfId="0" applyFont="1" applyFill="1" applyAlignment="1" applyProtection="1">
      <alignment horizontal="left" vertical="center"/>
      <protection locked="0"/>
    </xf>
    <xf numFmtId="0" fontId="59" fillId="2" borderId="0" xfId="0" applyFont="1" applyFill="1" applyAlignment="1" applyProtection="1">
      <alignment vertical="top" wrapText="1"/>
      <protection locked="0"/>
    </xf>
    <xf numFmtId="0" fontId="69" fillId="2" borderId="0" xfId="0" applyFont="1" applyFill="1" applyAlignment="1" applyProtection="1">
      <alignment horizontal="right" vertical="center"/>
      <protection locked="0"/>
    </xf>
    <xf numFmtId="0" fontId="36" fillId="2" borderId="0" xfId="0" applyFont="1" applyFill="1" applyAlignment="1" applyProtection="1">
      <alignment horizontal="left" vertical="center"/>
      <protection locked="0"/>
    </xf>
    <xf numFmtId="0" fontId="6" fillId="23" borderId="0" xfId="0" applyFont="1" applyFill="1" applyAlignment="1" applyProtection="1">
      <alignment vertical="center"/>
      <protection locked="0"/>
    </xf>
    <xf numFmtId="0" fontId="0" fillId="23" borderId="0" xfId="0" applyFill="1" applyProtection="1">
      <protection locked="0"/>
    </xf>
    <xf numFmtId="0" fontId="15" fillId="23" borderId="0" xfId="0" applyFont="1" applyFill="1" applyProtection="1">
      <protection locked="0"/>
    </xf>
    <xf numFmtId="0" fontId="0" fillId="0" borderId="0" xfId="0" applyProtection="1">
      <protection locked="0"/>
    </xf>
    <xf numFmtId="0" fontId="0" fillId="22" borderId="12" xfId="0" applyFill="1" applyBorder="1" applyAlignment="1" applyProtection="1">
      <alignment horizontal="center" vertical="center" wrapText="1"/>
      <protection locked="0"/>
    </xf>
    <xf numFmtId="0" fontId="0" fillId="2" borderId="52" xfId="0" applyFill="1" applyBorder="1" applyAlignment="1" applyProtection="1">
      <alignment horizontal="center" vertical="center"/>
      <protection locked="0"/>
    </xf>
    <xf numFmtId="0" fontId="0" fillId="0" borderId="0" xfId="0" applyAlignment="1" applyProtection="1">
      <alignment vertical="center"/>
      <protection locked="0"/>
    </xf>
    <xf numFmtId="0" fontId="28" fillId="2" borderId="18" xfId="0" applyFont="1" applyFill="1"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59" fillId="2" borderId="22" xfId="0" applyFont="1" applyFill="1" applyBorder="1" applyAlignment="1" applyProtection="1">
      <alignment vertical="center" wrapText="1"/>
      <protection locked="0"/>
    </xf>
    <xf numFmtId="0" fontId="3" fillId="2" borderId="0" xfId="0" applyFont="1" applyFill="1" applyAlignment="1" applyProtection="1">
      <alignment vertical="center" wrapText="1"/>
      <protection locked="0"/>
    </xf>
    <xf numFmtId="0" fontId="3" fillId="2" borderId="32" xfId="0" applyFont="1" applyFill="1" applyBorder="1" applyAlignment="1" applyProtection="1">
      <alignment vertical="center" wrapText="1"/>
      <protection locked="0"/>
    </xf>
    <xf numFmtId="0" fontId="108" fillId="2" borderId="0" xfId="0" applyFont="1" applyFill="1" applyAlignment="1" applyProtection="1">
      <alignment horizontal="right" vertical="center"/>
      <protection locked="0"/>
    </xf>
    <xf numFmtId="0" fontId="15" fillId="2" borderId="0" xfId="0" applyFont="1" applyFill="1" applyProtection="1">
      <protection locked="0"/>
    </xf>
    <xf numFmtId="0" fontId="107" fillId="2" borderId="0" xfId="0" applyFont="1" applyFill="1" applyProtection="1">
      <protection locked="0"/>
    </xf>
    <xf numFmtId="0" fontId="112" fillId="2" borderId="0" xfId="0" applyFont="1" applyFill="1" applyAlignment="1" applyProtection="1">
      <alignment horizontal="right"/>
      <protection locked="0"/>
    </xf>
    <xf numFmtId="0" fontId="6" fillId="2" borderId="0" xfId="0" applyFont="1" applyFill="1" applyAlignment="1" applyProtection="1">
      <alignment vertical="center"/>
      <protection locked="0"/>
    </xf>
    <xf numFmtId="49" fontId="7" fillId="2" borderId="0" xfId="0" applyNumberFormat="1" applyFont="1" applyFill="1" applyAlignment="1" applyProtection="1">
      <alignment vertical="center" wrapText="1"/>
      <protection locked="0"/>
    </xf>
    <xf numFmtId="49" fontId="0" fillId="2" borderId="0" xfId="0" applyNumberFormat="1" applyFill="1" applyAlignment="1" applyProtection="1">
      <alignment vertical="center" wrapText="1"/>
      <protection locked="0"/>
    </xf>
    <xf numFmtId="14" fontId="0" fillId="2" borderId="0" xfId="0" applyNumberFormat="1" applyFill="1" applyAlignment="1" applyProtection="1">
      <alignment vertical="top" wrapText="1"/>
      <protection locked="0"/>
    </xf>
    <xf numFmtId="0" fontId="6" fillId="5" borderId="0" xfId="0" applyFont="1" applyFill="1" applyAlignment="1" applyProtection="1">
      <alignment vertical="center"/>
      <protection locked="0"/>
    </xf>
    <xf numFmtId="14" fontId="0" fillId="5" borderId="0" xfId="0" applyNumberFormat="1" applyFill="1" applyProtection="1">
      <protection locked="0"/>
    </xf>
    <xf numFmtId="49" fontId="0" fillId="5" borderId="0" xfId="0" applyNumberFormat="1" applyFill="1" applyAlignment="1" applyProtection="1">
      <alignment vertical="center"/>
      <protection locked="0"/>
    </xf>
    <xf numFmtId="0" fontId="0" fillId="5" borderId="0" xfId="0" applyFill="1" applyAlignment="1" applyProtection="1">
      <alignment vertical="center"/>
      <protection locked="0"/>
    </xf>
    <xf numFmtId="0" fontId="0" fillId="2" borderId="13" xfId="0" applyFill="1" applyBorder="1" applyProtection="1">
      <protection locked="0"/>
    </xf>
    <xf numFmtId="0" fontId="0" fillId="2" borderId="38" xfId="0" applyFill="1" applyBorder="1" applyProtection="1">
      <protection locked="0"/>
    </xf>
    <xf numFmtId="0" fontId="17" fillId="5" borderId="0" xfId="0" applyFont="1" applyFill="1" applyProtection="1">
      <protection locked="0"/>
    </xf>
    <xf numFmtId="0" fontId="54" fillId="2" borderId="0" xfId="0" applyFont="1" applyFill="1" applyAlignment="1" applyProtection="1">
      <alignment vertical="center"/>
      <protection locked="0"/>
    </xf>
    <xf numFmtId="0" fontId="69" fillId="2" borderId="17" xfId="0" applyFont="1" applyFill="1" applyBorder="1" applyAlignment="1" applyProtection="1">
      <alignment horizontal="center" vertical="center"/>
      <protection locked="0"/>
    </xf>
    <xf numFmtId="49" fontId="7" fillId="5" borderId="18" xfId="0" applyNumberFormat="1" applyFont="1" applyFill="1" applyBorder="1" applyAlignment="1" applyProtection="1">
      <alignment horizontal="center" vertical="center" wrapText="1"/>
      <protection locked="0"/>
    </xf>
    <xf numFmtId="14" fontId="0" fillId="2" borderId="0" xfId="0" applyNumberFormat="1" applyFill="1" applyProtection="1">
      <protection locked="0"/>
    </xf>
    <xf numFmtId="49" fontId="0" fillId="2" borderId="0" xfId="0" applyNumberFormat="1" applyFill="1" applyAlignment="1" applyProtection="1">
      <alignment vertical="center"/>
      <protection locked="0"/>
    </xf>
    <xf numFmtId="0" fontId="0" fillId="2" borderId="0" xfId="0" applyFill="1" applyAlignment="1" applyProtection="1">
      <alignment vertical="center"/>
      <protection locked="0"/>
    </xf>
    <xf numFmtId="0" fontId="0" fillId="2" borderId="18" xfId="0" applyFill="1" applyBorder="1" applyProtection="1">
      <protection locked="0"/>
    </xf>
    <xf numFmtId="0" fontId="0" fillId="2" borderId="16" xfId="0" applyFill="1" applyBorder="1" applyProtection="1">
      <protection locked="0"/>
    </xf>
    <xf numFmtId="0" fontId="26" fillId="2" borderId="0" xfId="0" applyFont="1" applyFill="1" applyAlignment="1" applyProtection="1">
      <alignment vertical="center" wrapText="1"/>
      <protection locked="0"/>
    </xf>
    <xf numFmtId="0" fontId="72" fillId="7" borderId="0" xfId="6" applyFill="1" applyAlignment="1" applyProtection="1">
      <alignment horizontal="left" vertical="center" wrapText="1"/>
      <protection locked="0"/>
    </xf>
    <xf numFmtId="0" fontId="25" fillId="2" borderId="21" xfId="0" applyFont="1" applyFill="1" applyBorder="1" applyAlignment="1" applyProtection="1">
      <alignment horizontal="center" vertical="center"/>
      <protection locked="0"/>
    </xf>
    <xf numFmtId="0" fontId="79" fillId="2"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28" fillId="7" borderId="0" xfId="0"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49" fontId="5" fillId="5" borderId="12" xfId="0" applyNumberFormat="1" applyFont="1" applyFill="1" applyBorder="1" applyAlignment="1" applyProtection="1">
      <alignment horizontal="left" vertical="center"/>
      <protection locked="0"/>
    </xf>
    <xf numFmtId="0" fontId="7" fillId="4" borderId="12" xfId="0" applyFont="1" applyFill="1" applyBorder="1" applyAlignment="1" applyProtection="1">
      <alignment horizontal="center" vertical="center"/>
      <protection locked="0"/>
    </xf>
    <xf numFmtId="0" fontId="7" fillId="4" borderId="19" xfId="0" applyFont="1" applyFill="1" applyBorder="1" applyAlignment="1" applyProtection="1">
      <alignment horizontal="center" vertical="center"/>
      <protection locked="0"/>
    </xf>
    <xf numFmtId="49" fontId="7" fillId="5" borderId="19" xfId="0" applyNumberFormat="1" applyFont="1" applyFill="1" applyBorder="1" applyAlignment="1" applyProtection="1">
      <alignment horizontal="center" vertical="center"/>
      <protection locked="0"/>
    </xf>
    <xf numFmtId="49" fontId="7" fillId="5" borderId="19" xfId="0" applyNumberFormat="1" applyFont="1" applyFill="1" applyBorder="1" applyAlignment="1" applyProtection="1">
      <alignment horizontal="center" vertical="center" wrapText="1"/>
      <protection locked="0"/>
    </xf>
    <xf numFmtId="49" fontId="7" fillId="5" borderId="12" xfId="0" applyNumberFormat="1" applyFont="1" applyFill="1" applyBorder="1" applyAlignment="1" applyProtection="1">
      <alignment horizontal="center" vertical="center"/>
      <protection locked="0"/>
    </xf>
    <xf numFmtId="49" fontId="5" fillId="10" borderId="12" xfId="0" applyNumberFormat="1" applyFont="1" applyFill="1" applyBorder="1" applyAlignment="1" applyProtection="1">
      <alignment horizontal="left" vertical="center"/>
      <protection locked="0"/>
    </xf>
    <xf numFmtId="49" fontId="7" fillId="5" borderId="18" xfId="0" applyNumberFormat="1" applyFont="1" applyFill="1" applyBorder="1" applyAlignment="1" applyProtection="1">
      <alignment horizontal="center" vertical="center"/>
      <protection locked="0"/>
    </xf>
    <xf numFmtId="0" fontId="12" fillId="2" borderId="0" xfId="0" applyFont="1" applyFill="1" applyProtection="1">
      <protection locked="0"/>
    </xf>
    <xf numFmtId="49" fontId="7" fillId="2" borderId="0" xfId="0" applyNumberFormat="1" applyFont="1" applyFill="1" applyAlignment="1" applyProtection="1">
      <alignment horizontal="center" vertical="center"/>
      <protection locked="0"/>
    </xf>
    <xf numFmtId="0" fontId="0" fillId="2" borderId="0" xfId="0" applyFill="1" applyAlignment="1" applyProtection="1">
      <alignment horizontal="left"/>
      <protection locked="0"/>
    </xf>
    <xf numFmtId="0" fontId="0" fillId="2" borderId="0" xfId="0" applyFill="1" applyAlignment="1" applyProtection="1">
      <alignment horizontal="center"/>
      <protection locked="0"/>
    </xf>
    <xf numFmtId="0" fontId="0" fillId="10" borderId="0" xfId="0" applyFill="1" applyAlignment="1" applyProtection="1">
      <alignment horizontal="center"/>
      <protection locked="0"/>
    </xf>
    <xf numFmtId="0" fontId="0" fillId="5" borderId="0" xfId="0" applyFill="1" applyAlignment="1" applyProtection="1">
      <alignment wrapText="1"/>
      <protection locked="0"/>
    </xf>
    <xf numFmtId="0" fontId="3" fillId="2" borderId="0" xfId="0" applyFont="1" applyFill="1" applyProtection="1">
      <protection locked="0"/>
    </xf>
    <xf numFmtId="0" fontId="27" fillId="2" borderId="0" xfId="0" applyFont="1" applyFill="1" applyAlignment="1" applyProtection="1">
      <alignment vertical="center"/>
      <protection locked="0"/>
    </xf>
    <xf numFmtId="0" fontId="14" fillId="2" borderId="0" xfId="0" applyFont="1" applyFill="1" applyAlignment="1" applyProtection="1">
      <alignment horizontal="left" vertical="top" wrapText="1"/>
      <protection locked="0"/>
    </xf>
    <xf numFmtId="0" fontId="77" fillId="0" borderId="0" xfId="0" applyFont="1" applyAlignment="1" applyProtection="1">
      <alignment horizontal="center"/>
      <protection locked="0"/>
    </xf>
    <xf numFmtId="0" fontId="32" fillId="2" borderId="0" xfId="0" applyFont="1" applyFill="1" applyAlignment="1" applyProtection="1">
      <alignment horizontal="right" vertical="center"/>
      <protection locked="0"/>
    </xf>
    <xf numFmtId="0" fontId="25" fillId="2" borderId="16"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left" vertical="center"/>
      <protection locked="0"/>
    </xf>
    <xf numFmtId="0" fontId="25" fillId="2" borderId="19" xfId="0" applyFont="1" applyFill="1" applyBorder="1" applyAlignment="1" applyProtection="1">
      <alignment horizontal="center" vertical="center" wrapText="1"/>
      <protection locked="0"/>
    </xf>
    <xf numFmtId="0" fontId="29" fillId="2" borderId="26" xfId="0" applyFont="1" applyFill="1" applyBorder="1" applyAlignment="1" applyProtection="1">
      <alignment vertical="center" wrapText="1"/>
      <protection locked="0"/>
    </xf>
    <xf numFmtId="49" fontId="0" fillId="10" borderId="19" xfId="0" applyNumberFormat="1" applyFill="1" applyBorder="1" applyAlignment="1" applyProtection="1">
      <alignment horizontal="center" vertical="center"/>
      <protection locked="0"/>
    </xf>
    <xf numFmtId="49" fontId="14" fillId="10" borderId="19" xfId="0" applyNumberFormat="1"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2" fontId="0" fillId="10" borderId="19" xfId="0" applyNumberFormat="1" applyFill="1" applyBorder="1" applyAlignment="1" applyProtection="1">
      <alignment horizontal="center" vertical="center"/>
      <protection locked="0"/>
    </xf>
    <xf numFmtId="2" fontId="0" fillId="10" borderId="12" xfId="0" applyNumberFormat="1" applyFill="1" applyBorder="1" applyAlignment="1" applyProtection="1">
      <alignment horizontal="center" vertical="center"/>
      <protection locked="0"/>
    </xf>
    <xf numFmtId="10" fontId="16" fillId="4" borderId="12" xfId="0" applyNumberFormat="1" applyFont="1" applyFill="1" applyBorder="1" applyAlignment="1" applyProtection="1">
      <alignment horizontal="center" vertical="center"/>
      <protection locked="0"/>
    </xf>
    <xf numFmtId="0" fontId="19" fillId="10" borderId="12" xfId="0" applyFont="1" applyFill="1" applyBorder="1" applyAlignment="1" applyProtection="1">
      <alignment horizontal="center" vertical="center"/>
      <protection locked="0"/>
    </xf>
    <xf numFmtId="49" fontId="0" fillId="10" borderId="18" xfId="0" applyNumberFormat="1" applyFill="1" applyBorder="1" applyAlignment="1" applyProtection="1">
      <alignment horizontal="center" vertical="center"/>
      <protection locked="0"/>
    </xf>
    <xf numFmtId="49" fontId="14" fillId="10" borderId="12" xfId="0" applyNumberFormat="1" applyFont="1" applyFill="1" applyBorder="1" applyAlignment="1" applyProtection="1">
      <alignment horizontal="left" vertical="center"/>
      <protection locked="0"/>
    </xf>
    <xf numFmtId="0" fontId="27" fillId="2" borderId="0" xfId="0" applyFont="1" applyFill="1" applyAlignment="1" applyProtection="1">
      <alignment vertical="center" wrapText="1"/>
      <protection locked="0"/>
    </xf>
    <xf numFmtId="0" fontId="3" fillId="5" borderId="0" xfId="0" applyFont="1" applyFill="1" applyProtection="1">
      <protection locked="0"/>
    </xf>
    <xf numFmtId="0" fontId="57" fillId="2" borderId="0" xfId="0" applyFont="1" applyFill="1" applyProtection="1">
      <protection locked="0"/>
    </xf>
    <xf numFmtId="0" fontId="58" fillId="2" borderId="0" xfId="0" applyFont="1" applyFill="1" applyProtection="1">
      <protection locked="0"/>
    </xf>
    <xf numFmtId="0" fontId="107" fillId="2" borderId="0" xfId="0" applyFont="1" applyFill="1" applyAlignment="1" applyProtection="1">
      <alignment horizontal="right" vertical="center"/>
      <protection locked="0"/>
    </xf>
    <xf numFmtId="0" fontId="28" fillId="2" borderId="0" xfId="0" applyFont="1" applyFill="1" applyAlignment="1" applyProtection="1">
      <alignment horizontal="center"/>
      <protection locked="0"/>
    </xf>
    <xf numFmtId="0" fontId="25" fillId="2" borderId="0" xfId="0" applyFont="1" applyFill="1" applyAlignment="1" applyProtection="1">
      <alignment horizontal="center" vertical="center" wrapText="1"/>
      <protection locked="0"/>
    </xf>
    <xf numFmtId="0" fontId="5" fillId="5" borderId="12" xfId="0" applyFont="1" applyFill="1" applyBorder="1" applyAlignment="1" applyProtection="1">
      <alignment horizontal="center" vertical="center"/>
      <protection locked="0"/>
    </xf>
    <xf numFmtId="49" fontId="5" fillId="5" borderId="12" xfId="0" applyNumberFormat="1" applyFont="1" applyFill="1" applyBorder="1" applyAlignment="1" applyProtection="1">
      <alignment horizontal="center" vertical="center"/>
      <protection locked="0"/>
    </xf>
    <xf numFmtId="14" fontId="7" fillId="5" borderId="12" xfId="0" applyNumberFormat="1" applyFont="1" applyFill="1" applyBorder="1" applyAlignment="1" applyProtection="1">
      <alignment horizontal="center" vertical="center"/>
      <protection locked="0"/>
    </xf>
    <xf numFmtId="2" fontId="5" fillId="5" borderId="12" xfId="0" applyNumberFormat="1" applyFont="1" applyFill="1" applyBorder="1" applyAlignment="1" applyProtection="1">
      <alignment horizontal="center" vertical="center"/>
      <protection locked="0"/>
    </xf>
    <xf numFmtId="2" fontId="5" fillId="2" borderId="0" xfId="0" applyNumberFormat="1" applyFont="1" applyFill="1" applyAlignment="1" applyProtection="1">
      <alignment horizontal="center" vertical="center"/>
      <protection locked="0"/>
    </xf>
    <xf numFmtId="0" fontId="59" fillId="2" borderId="0" xfId="0" applyFont="1" applyFill="1" applyProtection="1">
      <protection locked="0"/>
    </xf>
    <xf numFmtId="0" fontId="0" fillId="2" borderId="0" xfId="0" applyFill="1" applyAlignment="1" applyProtection="1">
      <alignment horizontal="center" vertical="center"/>
      <protection locked="0"/>
    </xf>
    <xf numFmtId="0" fontId="3" fillId="10" borderId="0" xfId="0" applyFont="1" applyFill="1" applyProtection="1">
      <protection locked="0"/>
    </xf>
    <xf numFmtId="0" fontId="0" fillId="0" borderId="0" xfId="0" applyAlignment="1" applyProtection="1">
      <alignment wrapText="1"/>
      <protection locked="0"/>
    </xf>
    <xf numFmtId="0" fontId="19" fillId="2" borderId="0" xfId="0" applyFont="1" applyFill="1" applyAlignment="1" applyProtection="1">
      <alignment vertical="center" wrapText="1"/>
      <protection locked="0"/>
    </xf>
    <xf numFmtId="0" fontId="18" fillId="2" borderId="0" xfId="0" applyFont="1" applyFill="1" applyAlignment="1" applyProtection="1">
      <alignment horizontal="center"/>
      <protection locked="0"/>
    </xf>
    <xf numFmtId="0" fontId="80" fillId="11" borderId="12" xfId="0" applyFont="1" applyFill="1" applyBorder="1" applyAlignment="1" applyProtection="1">
      <alignment horizontal="left" vertical="center" wrapText="1"/>
      <protection locked="0"/>
    </xf>
    <xf numFmtId="0" fontId="28" fillId="2" borderId="7" xfId="0" applyFont="1" applyFill="1" applyBorder="1" applyAlignment="1" applyProtection="1">
      <alignment horizontal="center" vertical="center" wrapText="1"/>
      <protection locked="0"/>
    </xf>
    <xf numFmtId="0" fontId="25" fillId="2" borderId="12" xfId="0" applyFont="1" applyFill="1" applyBorder="1" applyAlignment="1" applyProtection="1">
      <alignment vertical="center" wrapText="1"/>
      <protection locked="0"/>
    </xf>
    <xf numFmtId="0" fontId="7" fillId="5" borderId="12" xfId="0" applyFont="1" applyFill="1" applyBorder="1" applyAlignment="1" applyProtection="1">
      <alignment horizontal="center" vertical="center" wrapText="1"/>
      <protection locked="0"/>
    </xf>
    <xf numFmtId="49" fontId="14" fillId="5" borderId="12" xfId="0" applyNumberFormat="1" applyFont="1" applyFill="1" applyBorder="1" applyAlignment="1" applyProtection="1">
      <alignment horizontal="left" vertical="top" wrapText="1"/>
      <protection locked="0"/>
    </xf>
    <xf numFmtId="0" fontId="27" fillId="10" borderId="0" xfId="0" applyFont="1" applyFill="1" applyAlignment="1" applyProtection="1">
      <alignment vertical="center" wrapText="1"/>
      <protection locked="0"/>
    </xf>
    <xf numFmtId="14" fontId="0" fillId="2" borderId="0" xfId="0" applyNumberFormat="1" applyFill="1" applyAlignment="1" applyProtection="1">
      <alignment vertical="center" wrapText="1"/>
      <protection locked="0"/>
    </xf>
    <xf numFmtId="0" fontId="0" fillId="2" borderId="0" xfId="0" applyFill="1" applyAlignment="1" applyProtection="1">
      <alignment vertical="center" wrapText="1"/>
      <protection locked="0"/>
    </xf>
    <xf numFmtId="0" fontId="36" fillId="2" borderId="0" xfId="0" applyFont="1" applyFill="1" applyAlignment="1" applyProtection="1">
      <alignment horizontal="center" vertical="center" wrapText="1"/>
      <protection locked="0"/>
    </xf>
    <xf numFmtId="0" fontId="36" fillId="2" borderId="15" xfId="0" applyFont="1" applyFill="1" applyBorder="1" applyAlignment="1" applyProtection="1">
      <alignment horizontal="center" vertical="center" wrapText="1"/>
      <protection locked="0"/>
    </xf>
    <xf numFmtId="0" fontId="33" fillId="2" borderId="47" xfId="0" applyFont="1" applyFill="1" applyBorder="1" applyAlignment="1" applyProtection="1">
      <alignment horizontal="center" vertical="center"/>
      <protection locked="0"/>
    </xf>
    <xf numFmtId="49" fontId="14" fillId="10" borderId="18" xfId="0" applyNumberFormat="1" applyFont="1" applyFill="1" applyBorder="1" applyAlignment="1" applyProtection="1">
      <alignment vertical="top" wrapText="1"/>
      <protection locked="0"/>
    </xf>
    <xf numFmtId="49" fontId="14" fillId="10" borderId="13" xfId="0" applyNumberFormat="1" applyFont="1" applyFill="1" applyBorder="1" applyAlignment="1" applyProtection="1">
      <alignment vertical="top" wrapText="1"/>
      <protection locked="0"/>
    </xf>
    <xf numFmtId="49" fontId="14" fillId="10" borderId="17" xfId="0" applyNumberFormat="1" applyFont="1" applyFill="1" applyBorder="1" applyAlignment="1" applyProtection="1">
      <alignment vertical="top" wrapText="1"/>
      <protection locked="0"/>
    </xf>
    <xf numFmtId="0" fontId="33" fillId="2" borderId="17" xfId="0" applyFont="1" applyFill="1" applyBorder="1" applyAlignment="1" applyProtection="1">
      <alignment horizontal="center" vertical="center"/>
      <protection locked="0"/>
    </xf>
    <xf numFmtId="0" fontId="0" fillId="2" borderId="0" xfId="0" applyFill="1" applyAlignment="1" applyProtection="1">
      <alignment vertical="top"/>
      <protection locked="0"/>
    </xf>
    <xf numFmtId="0" fontId="14" fillId="2" borderId="0" xfId="0" applyFont="1" applyFill="1" applyAlignment="1" applyProtection="1">
      <alignment vertical="top"/>
      <protection locked="0"/>
    </xf>
    <xf numFmtId="0" fontId="34" fillId="2" borderId="0" xfId="0" applyFont="1" applyFill="1" applyAlignment="1" applyProtection="1">
      <alignment horizontal="right" vertical="center" wrapText="1"/>
      <protection locked="0"/>
    </xf>
    <xf numFmtId="0" fontId="0" fillId="2" borderId="0" xfId="0" applyFill="1" applyAlignment="1" applyProtection="1">
      <alignment horizontal="center" vertical="center" wrapText="1"/>
      <protection locked="0"/>
    </xf>
    <xf numFmtId="49" fontId="14" fillId="2" borderId="0" xfId="0" applyNumberFormat="1" applyFont="1" applyFill="1" applyAlignment="1" applyProtection="1">
      <alignment horizontal="left" vertical="top" wrapText="1"/>
      <protection locked="0"/>
    </xf>
    <xf numFmtId="49" fontId="0" fillId="2" borderId="0" xfId="0" applyNumberFormat="1" applyFill="1" applyAlignment="1" applyProtection="1">
      <alignment horizontal="center" vertical="top" wrapText="1"/>
      <protection locked="0"/>
    </xf>
    <xf numFmtId="0" fontId="10" fillId="2" borderId="0" xfId="0" applyFont="1" applyFill="1" applyAlignment="1" applyProtection="1">
      <alignment vertical="top" wrapText="1"/>
      <protection locked="0"/>
    </xf>
    <xf numFmtId="0" fontId="85" fillId="2" borderId="0" xfId="0" applyFont="1" applyFill="1" applyAlignment="1" applyProtection="1">
      <alignment vertical="center" wrapText="1"/>
      <protection locked="0"/>
    </xf>
    <xf numFmtId="49" fontId="14" fillId="10" borderId="0" xfId="0" applyNumberFormat="1" applyFont="1" applyFill="1" applyAlignment="1" applyProtection="1">
      <alignment horizontal="left" vertical="top" wrapText="1"/>
      <protection locked="0"/>
    </xf>
    <xf numFmtId="49" fontId="0" fillId="10" borderId="0" xfId="0" applyNumberFormat="1" applyFill="1" applyAlignment="1" applyProtection="1">
      <alignment horizontal="center" vertical="top" wrapText="1"/>
      <protection locked="0"/>
    </xf>
    <xf numFmtId="0" fontId="10" fillId="10" borderId="0" xfId="0" applyFont="1" applyFill="1" applyAlignment="1" applyProtection="1">
      <alignment vertical="top" wrapText="1"/>
      <protection locked="0"/>
    </xf>
    <xf numFmtId="0" fontId="0" fillId="5" borderId="19" xfId="0" applyFill="1" applyBorder="1" applyProtection="1">
      <protection locked="0"/>
    </xf>
    <xf numFmtId="0" fontId="0" fillId="10" borderId="16" xfId="0" applyFill="1" applyBorder="1" applyAlignment="1" applyProtection="1">
      <alignment vertical="center" wrapText="1"/>
      <protection locked="0"/>
    </xf>
    <xf numFmtId="0" fontId="0" fillId="10" borderId="20" xfId="0" applyFill="1" applyBorder="1" applyAlignment="1" applyProtection="1">
      <alignment vertical="center" wrapText="1"/>
      <protection locked="0"/>
    </xf>
    <xf numFmtId="0" fontId="0" fillId="10" borderId="0" xfId="0" applyFill="1" applyAlignment="1" applyProtection="1">
      <alignment vertical="center" wrapText="1"/>
      <protection locked="0"/>
    </xf>
    <xf numFmtId="0" fontId="0" fillId="10" borderId="32" xfId="0" applyFill="1" applyBorder="1" applyAlignment="1" applyProtection="1">
      <alignment vertical="center" wrapText="1"/>
      <protection locked="0"/>
    </xf>
    <xf numFmtId="0" fontId="0" fillId="10" borderId="15" xfId="0" applyFill="1" applyBorder="1" applyAlignment="1" applyProtection="1">
      <alignment vertical="center" wrapText="1"/>
      <protection locked="0"/>
    </xf>
    <xf numFmtId="0" fontId="0" fillId="10" borderId="38" xfId="0" applyFill="1" applyBorder="1" applyAlignment="1" applyProtection="1">
      <alignment vertical="center" wrapText="1"/>
      <protection locked="0"/>
    </xf>
    <xf numFmtId="0" fontId="25" fillId="10" borderId="0" xfId="0" applyFont="1" applyFill="1" applyAlignment="1" applyProtection="1">
      <alignment horizontal="center" vertical="center" wrapText="1"/>
      <protection locked="0"/>
    </xf>
    <xf numFmtId="0" fontId="14" fillId="10" borderId="0" xfId="0" applyFont="1" applyFill="1" applyAlignment="1" applyProtection="1">
      <alignment horizontal="left" vertical="top" wrapText="1"/>
      <protection locked="0"/>
    </xf>
    <xf numFmtId="0" fontId="0" fillId="10" borderId="0" xfId="0" applyFill="1" applyAlignment="1" applyProtection="1">
      <alignment vertical="top" wrapText="1"/>
      <protection locked="0"/>
    </xf>
    <xf numFmtId="0" fontId="84" fillId="2" borderId="0" xfId="0" applyFont="1" applyFill="1" applyAlignment="1" applyProtection="1">
      <alignment horizontal="left" vertical="center"/>
      <protection locked="0"/>
    </xf>
    <xf numFmtId="0" fontId="3" fillId="2" borderId="10" xfId="0" applyFont="1" applyFill="1" applyBorder="1" applyAlignment="1" applyProtection="1">
      <alignment vertical="center" wrapText="1"/>
      <protection locked="0"/>
    </xf>
    <xf numFmtId="0" fontId="69" fillId="2" borderId="101" xfId="0" applyFont="1" applyFill="1" applyBorder="1" applyAlignment="1" applyProtection="1">
      <alignment horizontal="right" vertical="center"/>
      <protection locked="0"/>
    </xf>
    <xf numFmtId="0" fontId="69" fillId="2" borderId="17" xfId="0" applyFont="1" applyFill="1" applyBorder="1" applyAlignment="1" applyProtection="1">
      <alignment horizontal="right" vertical="center"/>
      <protection locked="0"/>
    </xf>
    <xf numFmtId="0" fontId="69" fillId="2" borderId="103" xfId="0" applyFont="1" applyFill="1" applyBorder="1" applyAlignment="1" applyProtection="1">
      <alignment horizontal="right" vertical="center"/>
      <protection locked="0"/>
    </xf>
    <xf numFmtId="0" fontId="69" fillId="2" borderId="105" xfId="0" applyFont="1" applyFill="1" applyBorder="1" applyAlignment="1" applyProtection="1">
      <alignment horizontal="right" vertical="center"/>
      <protection locked="0"/>
    </xf>
    <xf numFmtId="0" fontId="69" fillId="2" borderId="97" xfId="0" applyFont="1" applyFill="1" applyBorder="1" applyAlignment="1" applyProtection="1">
      <alignment horizontal="right" vertical="center"/>
      <protection locked="0"/>
    </xf>
    <xf numFmtId="0" fontId="69" fillId="2" borderId="95" xfId="0" applyFont="1" applyFill="1" applyBorder="1" applyAlignment="1" applyProtection="1">
      <alignment horizontal="right" vertical="center"/>
      <protection locked="0"/>
    </xf>
    <xf numFmtId="0" fontId="10" fillId="2" borderId="0" xfId="0" applyFont="1" applyFill="1" applyProtection="1">
      <protection locked="0"/>
    </xf>
    <xf numFmtId="0" fontId="34" fillId="10" borderId="0" xfId="0" applyFont="1" applyFill="1" applyAlignment="1" applyProtection="1">
      <alignment horizontal="right" vertical="center" wrapText="1"/>
      <protection locked="0"/>
    </xf>
    <xf numFmtId="0" fontId="0" fillId="10" borderId="0" xfId="0" applyFill="1" applyAlignment="1" applyProtection="1">
      <alignment horizontal="center" vertical="center" wrapText="1"/>
      <protection locked="0"/>
    </xf>
    <xf numFmtId="0" fontId="10" fillId="2" borderId="0" xfId="0" applyFont="1" applyFill="1" applyAlignment="1" applyProtection="1">
      <alignment wrapText="1"/>
      <protection locked="0"/>
    </xf>
    <xf numFmtId="0" fontId="69" fillId="2" borderId="108" xfId="0" applyFont="1" applyFill="1" applyBorder="1" applyAlignment="1" applyProtection="1">
      <alignment horizontal="right" vertical="center"/>
      <protection locked="0"/>
    </xf>
    <xf numFmtId="0" fontId="24" fillId="2" borderId="0" xfId="0" applyFont="1" applyFill="1" applyAlignment="1" applyProtection="1">
      <alignment vertical="center" wrapText="1"/>
      <protection locked="0"/>
    </xf>
    <xf numFmtId="0" fontId="24" fillId="10" borderId="0" xfId="0" applyFont="1" applyFill="1" applyAlignment="1" applyProtection="1">
      <alignment vertical="center"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center"/>
      <protection locked="0"/>
    </xf>
    <xf numFmtId="0" fontId="3" fillId="2" borderId="0" xfId="0" applyFont="1" applyFill="1" applyAlignment="1" applyProtection="1">
      <alignment vertical="center"/>
      <protection locked="0"/>
    </xf>
    <xf numFmtId="0" fontId="0" fillId="2" borderId="0" xfId="0" quotePrefix="1" applyFill="1" applyAlignment="1" applyProtection="1">
      <alignment vertical="center" wrapText="1"/>
      <protection locked="0"/>
    </xf>
    <xf numFmtId="14" fontId="0" fillId="2" borderId="0" xfId="0" applyNumberFormat="1" applyFill="1" applyAlignment="1" applyProtection="1">
      <alignment vertical="center"/>
      <protection locked="0"/>
    </xf>
    <xf numFmtId="0" fontId="25" fillId="10" borderId="0" xfId="0" applyFont="1" applyFill="1" applyProtection="1">
      <protection locked="0"/>
    </xf>
    <xf numFmtId="0" fontId="25" fillId="2" borderId="0" xfId="0" applyFont="1" applyFill="1" applyProtection="1">
      <protection locked="0"/>
    </xf>
    <xf numFmtId="0" fontId="3" fillId="10" borderId="0" xfId="0" applyFont="1" applyFill="1" applyAlignment="1" applyProtection="1">
      <alignment vertical="center" wrapText="1"/>
      <protection locked="0"/>
    </xf>
    <xf numFmtId="0" fontId="0" fillId="10" borderId="0" xfId="0" applyFill="1" applyAlignment="1" applyProtection="1">
      <alignment horizontal="left" vertical="top"/>
      <protection locked="0"/>
    </xf>
    <xf numFmtId="0" fontId="0" fillId="2" borderId="0" xfId="0" applyFill="1" applyAlignment="1" applyProtection="1">
      <alignment horizontal="left" vertical="top"/>
      <protection locked="0"/>
    </xf>
    <xf numFmtId="0" fontId="14" fillId="2" borderId="0" xfId="0" applyFont="1" applyFill="1" applyAlignment="1" applyProtection="1">
      <alignment vertical="top" wrapText="1"/>
      <protection locked="0"/>
    </xf>
    <xf numFmtId="0" fontId="0" fillId="2" borderId="1" xfId="0" applyFill="1" applyBorder="1" applyAlignment="1" applyProtection="1">
      <alignment horizontal="left" vertical="center" wrapText="1"/>
      <protection locked="0"/>
    </xf>
    <xf numFmtId="0" fontId="0" fillId="2" borderId="23" xfId="0" applyFill="1" applyBorder="1" applyAlignment="1" applyProtection="1">
      <alignment horizontal="left" vertical="center" wrapText="1"/>
      <protection locked="0"/>
    </xf>
    <xf numFmtId="0" fontId="3" fillId="2" borderId="23"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0" fontId="12" fillId="2" borderId="0" xfId="0" applyFont="1" applyFill="1" applyAlignment="1" applyProtection="1">
      <alignment vertical="center" wrapText="1"/>
      <protection locked="0"/>
    </xf>
    <xf numFmtId="0" fontId="14" fillId="10" borderId="0" xfId="0" applyFont="1" applyFill="1" applyAlignment="1" applyProtection="1">
      <alignment vertical="top" wrapText="1"/>
      <protection locked="0"/>
    </xf>
    <xf numFmtId="0" fontId="0" fillId="2" borderId="13" xfId="0" applyFill="1" applyBorder="1" applyAlignment="1" applyProtection="1">
      <alignment vertical="center" wrapText="1"/>
      <protection locked="0"/>
    </xf>
    <xf numFmtId="0" fontId="0" fillId="5" borderId="13" xfId="0" applyFill="1" applyBorder="1" applyAlignment="1" applyProtection="1">
      <alignment vertical="center" wrapText="1"/>
      <protection locked="0"/>
    </xf>
    <xf numFmtId="0" fontId="0" fillId="10" borderId="0" xfId="0" applyFill="1" applyAlignment="1" applyProtection="1">
      <alignment horizontal="left" vertical="center"/>
      <protection locked="0"/>
    </xf>
    <xf numFmtId="0" fontId="35" fillId="2" borderId="27" xfId="0" applyFont="1" applyFill="1" applyBorder="1" applyAlignment="1" applyProtection="1">
      <alignment horizontal="right" vertical="center" wrapText="1"/>
      <protection locked="0"/>
    </xf>
    <xf numFmtId="0" fontId="16" fillId="2" borderId="0" xfId="0" applyFont="1" applyFill="1" applyProtection="1">
      <protection locked="0"/>
    </xf>
    <xf numFmtId="0" fontId="29" fillId="10" borderId="0" xfId="0" applyFont="1" applyFill="1" applyAlignment="1" applyProtection="1">
      <alignment horizontal="left"/>
      <protection locked="0"/>
    </xf>
    <xf numFmtId="0" fontId="36" fillId="2" borderId="0" xfId="0" applyFont="1" applyFill="1" applyAlignment="1" applyProtection="1">
      <alignment vertical="center" wrapText="1"/>
      <protection locked="0"/>
    </xf>
    <xf numFmtId="0" fontId="34" fillId="2" borderId="0" xfId="0" applyFont="1" applyFill="1" applyAlignment="1" applyProtection="1">
      <alignment vertical="center" wrapText="1"/>
      <protection locked="0"/>
    </xf>
    <xf numFmtId="0" fontId="34" fillId="2" borderId="20" xfId="0" applyFont="1" applyFill="1" applyBorder="1" applyAlignment="1" applyProtection="1">
      <alignment vertical="center" wrapText="1"/>
      <protection locked="0"/>
    </xf>
    <xf numFmtId="1" fontId="0" fillId="5" borderId="12" xfId="0" applyNumberFormat="1" applyFill="1" applyBorder="1" applyAlignment="1" applyProtection="1">
      <alignment horizontal="center" vertical="center"/>
      <protection locked="0"/>
    </xf>
    <xf numFmtId="165" fontId="0" fillId="5" borderId="12" xfId="0" applyNumberFormat="1" applyFill="1" applyBorder="1" applyAlignment="1" applyProtection="1">
      <alignment horizontal="center" vertical="center"/>
      <protection locked="0"/>
    </xf>
    <xf numFmtId="0" fontId="36" fillId="2" borderId="22" xfId="0" applyFont="1" applyFill="1" applyBorder="1" applyAlignment="1" applyProtection="1">
      <alignment horizontal="center" vertical="center" wrapText="1"/>
      <protection locked="0"/>
    </xf>
    <xf numFmtId="0" fontId="34" fillId="2" borderId="32" xfId="0" applyFont="1" applyFill="1" applyBorder="1" applyAlignment="1" applyProtection="1">
      <alignment vertical="center" wrapText="1"/>
      <protection locked="0"/>
    </xf>
    <xf numFmtId="0" fontId="35" fillId="2" borderId="32" xfId="0" applyFont="1" applyFill="1" applyBorder="1" applyAlignment="1" applyProtection="1">
      <alignment horizontal="center" vertical="center" wrapText="1"/>
      <protection locked="0"/>
    </xf>
    <xf numFmtId="0" fontId="34" fillId="2" borderId="38" xfId="0" applyFont="1" applyFill="1" applyBorder="1" applyAlignment="1" applyProtection="1">
      <alignment vertical="center" wrapText="1"/>
      <protection locked="0"/>
    </xf>
    <xf numFmtId="0" fontId="31" fillId="2" borderId="12" xfId="0" applyFont="1" applyFill="1" applyBorder="1" applyAlignment="1" applyProtection="1">
      <alignment horizontal="center" vertical="center"/>
      <protection locked="0"/>
    </xf>
    <xf numFmtId="0" fontId="38" fillId="2" borderId="0" xfId="0" applyFont="1" applyFill="1" applyProtection="1">
      <protection locked="0"/>
    </xf>
    <xf numFmtId="0" fontId="28" fillId="2" borderId="0" xfId="0" applyFont="1" applyFill="1" applyAlignment="1" applyProtection="1">
      <alignment vertical="center" wrapText="1"/>
      <protection locked="0"/>
    </xf>
    <xf numFmtId="0" fontId="37" fillId="2" borderId="0" xfId="0" applyFont="1" applyFill="1" applyAlignment="1" applyProtection="1">
      <alignment vertical="center" wrapText="1"/>
      <protection locked="0"/>
    </xf>
    <xf numFmtId="0" fontId="28" fillId="2" borderId="15" xfId="0" applyFont="1" applyFill="1" applyBorder="1" applyAlignment="1" applyProtection="1">
      <alignment vertical="center"/>
      <protection locked="0"/>
    </xf>
    <xf numFmtId="0" fontId="0" fillId="2" borderId="15" xfId="0" applyFill="1" applyBorder="1" applyAlignment="1" applyProtection="1">
      <alignment horizontal="left" vertical="center"/>
      <protection locked="0"/>
    </xf>
    <xf numFmtId="0" fontId="37" fillId="2" borderId="20" xfId="0" applyFont="1" applyFill="1" applyBorder="1" applyAlignment="1" applyProtection="1">
      <alignment vertical="center" wrapText="1"/>
      <protection locked="0"/>
    </xf>
    <xf numFmtId="0" fontId="0" fillId="2" borderId="18" xfId="0" applyFill="1" applyBorder="1" applyAlignment="1" applyProtection="1">
      <alignment vertical="center" wrapText="1"/>
      <protection locked="0"/>
    </xf>
    <xf numFmtId="0" fontId="0" fillId="2" borderId="31" xfId="0" applyFill="1" applyBorder="1" applyAlignment="1" applyProtection="1">
      <alignment vertical="center" wrapText="1"/>
      <protection locked="0"/>
    </xf>
    <xf numFmtId="0" fontId="37" fillId="2" borderId="38" xfId="0" applyFont="1" applyFill="1" applyBorder="1" applyAlignment="1" applyProtection="1">
      <alignment vertical="center" wrapText="1"/>
      <protection locked="0"/>
    </xf>
    <xf numFmtId="0" fontId="0" fillId="2" borderId="0" xfId="0" applyFill="1" applyAlignment="1" applyProtection="1">
      <alignment horizontal="left" vertical="center" wrapText="1"/>
      <protection locked="0"/>
    </xf>
    <xf numFmtId="0" fontId="35" fillId="2" borderId="37" xfId="0" applyFont="1" applyFill="1" applyBorder="1" applyAlignment="1" applyProtection="1">
      <alignment horizontal="right" vertical="center" wrapText="1"/>
      <protection locked="0"/>
    </xf>
    <xf numFmtId="0" fontId="25" fillId="2" borderId="18" xfId="0" applyFont="1" applyFill="1" applyBorder="1" applyAlignment="1" applyProtection="1">
      <alignment horizontal="left" vertical="center"/>
      <protection locked="0"/>
    </xf>
    <xf numFmtId="0" fontId="25" fillId="2" borderId="13" xfId="0" applyFont="1" applyFill="1" applyBorder="1" applyAlignment="1" applyProtection="1">
      <alignment vertical="center"/>
      <protection locked="0"/>
    </xf>
    <xf numFmtId="0" fontId="25" fillId="2" borderId="13" xfId="0" applyFont="1" applyFill="1" applyBorder="1" applyAlignment="1" applyProtection="1">
      <alignment vertical="center" wrapText="1"/>
      <protection locked="0"/>
    </xf>
    <xf numFmtId="0" fontId="25" fillId="2" borderId="17" xfId="0" applyFont="1" applyFill="1" applyBorder="1" applyAlignment="1" applyProtection="1">
      <alignment vertical="center" wrapText="1"/>
      <protection locked="0"/>
    </xf>
    <xf numFmtId="0" fontId="0" fillId="2" borderId="15" xfId="0" applyFill="1" applyBorder="1" applyProtection="1">
      <protection locked="0"/>
    </xf>
    <xf numFmtId="0" fontId="28" fillId="2" borderId="33" xfId="0" applyFont="1" applyFill="1" applyBorder="1" applyAlignment="1" applyProtection="1">
      <alignment vertical="center"/>
      <protection locked="0"/>
    </xf>
    <xf numFmtId="0" fontId="28" fillId="2" borderId="42" xfId="0" applyFont="1" applyFill="1" applyBorder="1" applyAlignment="1" applyProtection="1">
      <alignment vertical="center"/>
      <protection locked="0"/>
    </xf>
    <xf numFmtId="0" fontId="3" fillId="2" borderId="33" xfId="0" applyFont="1" applyFill="1" applyBorder="1" applyAlignment="1" applyProtection="1">
      <alignment vertical="center"/>
      <protection locked="0"/>
    </xf>
    <xf numFmtId="2" fontId="0" fillId="2" borderId="0" xfId="0" applyNumberFormat="1" applyFill="1" applyAlignment="1" applyProtection="1">
      <alignment vertical="center"/>
      <protection locked="0"/>
    </xf>
    <xf numFmtId="49" fontId="8" fillId="2" borderId="12" xfId="0" applyNumberFormat="1" applyFont="1" applyFill="1" applyBorder="1" applyAlignment="1" applyProtection="1">
      <alignment vertical="center"/>
      <protection locked="0"/>
    </xf>
    <xf numFmtId="166" fontId="0" fillId="2" borderId="0" xfId="0" applyNumberFormat="1" applyFill="1" applyProtection="1">
      <protection locked="0"/>
    </xf>
    <xf numFmtId="0" fontId="28" fillId="2" borderId="0" xfId="0" applyFont="1" applyFill="1" applyProtection="1">
      <protection locked="0"/>
    </xf>
    <xf numFmtId="0" fontId="0" fillId="2" borderId="19" xfId="0" applyFill="1" applyBorder="1" applyProtection="1">
      <protection locked="0"/>
    </xf>
    <xf numFmtId="0" fontId="0" fillId="0" borderId="16" xfId="0" applyBorder="1" applyProtection="1">
      <protection locked="0"/>
    </xf>
    <xf numFmtId="0" fontId="37" fillId="2" borderId="20" xfId="0" applyFont="1" applyFill="1" applyBorder="1" applyAlignment="1" applyProtection="1">
      <alignment horizontal="right" vertical="center" wrapText="1"/>
      <protection locked="0"/>
    </xf>
    <xf numFmtId="0" fontId="0" fillId="2" borderId="5" xfId="0" applyFill="1" applyBorder="1" applyAlignment="1" applyProtection="1">
      <alignment vertical="center" wrapText="1"/>
      <protection locked="0"/>
    </xf>
    <xf numFmtId="0" fontId="71" fillId="2" borderId="0" xfId="0" applyFont="1" applyFill="1" applyAlignment="1" applyProtection="1">
      <alignment vertical="center"/>
      <protection locked="0"/>
    </xf>
    <xf numFmtId="0" fontId="0" fillId="2" borderId="22" xfId="0" applyFill="1" applyBorder="1" applyProtection="1">
      <protection locked="0"/>
    </xf>
    <xf numFmtId="0" fontId="0" fillId="2" borderId="32" xfId="0" applyFill="1" applyBorder="1" applyProtection="1">
      <protection locked="0"/>
    </xf>
    <xf numFmtId="0" fontId="0" fillId="2" borderId="31" xfId="0" applyFill="1" applyBorder="1" applyProtection="1">
      <protection locked="0"/>
    </xf>
    <xf numFmtId="0" fontId="22" fillId="10" borderId="0" xfId="0" applyFont="1" applyFill="1" applyAlignment="1" applyProtection="1">
      <alignment horizontal="right" vertical="center" wrapText="1"/>
      <protection locked="0"/>
    </xf>
    <xf numFmtId="0" fontId="28" fillId="2" borderId="0" xfId="0" applyFont="1" applyFill="1" applyAlignment="1" applyProtection="1">
      <alignment vertical="center"/>
      <protection locked="0"/>
    </xf>
    <xf numFmtId="0" fontId="37" fillId="2" borderId="16" xfId="0" applyFont="1" applyFill="1" applyBorder="1" applyAlignment="1" applyProtection="1">
      <alignment vertical="center" wrapText="1"/>
      <protection locked="0"/>
    </xf>
    <xf numFmtId="0" fontId="35" fillId="2" borderId="0" xfId="0" applyFont="1" applyFill="1" applyAlignment="1" applyProtection="1">
      <alignment horizontal="center" vertical="center" wrapText="1"/>
      <protection locked="0"/>
    </xf>
    <xf numFmtId="0" fontId="0" fillId="5" borderId="15" xfId="0" applyFill="1" applyBorder="1" applyAlignment="1" applyProtection="1">
      <alignment vertical="center" wrapText="1"/>
      <protection locked="0"/>
    </xf>
    <xf numFmtId="0" fontId="28" fillId="2" borderId="0" xfId="0" applyFont="1" applyFill="1" applyAlignment="1" applyProtection="1">
      <alignment horizontal="center" vertical="center"/>
      <protection locked="0"/>
    </xf>
    <xf numFmtId="2" fontId="21" fillId="2" borderId="0" xfId="0" applyNumberFormat="1" applyFont="1" applyFill="1" applyAlignment="1" applyProtection="1">
      <alignment vertical="center"/>
      <protection locked="0"/>
    </xf>
    <xf numFmtId="0" fontId="0" fillId="0" borderId="19" xfId="0" applyBorder="1" applyProtection="1">
      <protection locked="0"/>
    </xf>
    <xf numFmtId="0" fontId="36" fillId="2" borderId="16" xfId="0" applyFont="1" applyFill="1" applyBorder="1" applyAlignment="1" applyProtection="1">
      <alignment vertical="center" wrapText="1"/>
      <protection locked="0"/>
    </xf>
    <xf numFmtId="0" fontId="36" fillId="2" borderId="22" xfId="0" applyFont="1" applyFill="1" applyBorder="1" applyAlignment="1" applyProtection="1">
      <alignment vertical="center" wrapText="1"/>
      <protection locked="0"/>
    </xf>
    <xf numFmtId="0" fontId="37" fillId="2" borderId="32" xfId="0" applyFont="1" applyFill="1" applyBorder="1" applyAlignment="1" applyProtection="1">
      <alignment horizontal="right" vertical="center" wrapText="1"/>
      <protection locked="0"/>
    </xf>
    <xf numFmtId="0" fontId="36" fillId="2" borderId="31" xfId="0" applyFont="1" applyFill="1" applyBorder="1" applyAlignment="1" applyProtection="1">
      <alignment vertical="center" wrapText="1"/>
      <protection locked="0"/>
    </xf>
    <xf numFmtId="0" fontId="36" fillId="2" borderId="15" xfId="0" applyFont="1" applyFill="1" applyBorder="1" applyAlignment="1" applyProtection="1">
      <alignment vertical="center" wrapText="1"/>
      <protection locked="0"/>
    </xf>
    <xf numFmtId="0" fontId="21" fillId="2" borderId="0" xfId="0" applyFont="1" applyFill="1" applyAlignment="1" applyProtection="1">
      <alignment horizontal="center" vertical="center"/>
      <protection locked="0"/>
    </xf>
    <xf numFmtId="0" fontId="22" fillId="2" borderId="0" xfId="0" applyFont="1" applyFill="1" applyAlignment="1" applyProtection="1">
      <alignment horizontal="right" vertical="center" wrapText="1"/>
      <protection locked="0"/>
    </xf>
    <xf numFmtId="0" fontId="25" fillId="2" borderId="0" xfId="0" applyFont="1" applyFill="1" applyAlignment="1" applyProtection="1">
      <alignment horizontal="right" vertical="center" wrapText="1"/>
      <protection locked="0"/>
    </xf>
    <xf numFmtId="0" fontId="37" fillId="2" borderId="0" xfId="0" applyFont="1" applyFill="1" applyAlignment="1" applyProtection="1">
      <alignment horizontal="right" vertical="center" wrapText="1"/>
      <protection locked="0"/>
    </xf>
    <xf numFmtId="14" fontId="0" fillId="2" borderId="0" xfId="0" applyNumberFormat="1" applyFill="1" applyAlignment="1" applyProtection="1">
      <alignment horizontal="center" vertical="center"/>
      <protection locked="0"/>
    </xf>
    <xf numFmtId="14" fontId="0" fillId="2" borderId="0" xfId="0" applyNumberFormat="1" applyFill="1" applyAlignment="1" applyProtection="1">
      <alignment horizontal="left" vertical="top" wrapText="1"/>
      <protection locked="0"/>
    </xf>
    <xf numFmtId="0" fontId="39" fillId="2" borderId="33" xfId="0" applyFont="1" applyFill="1" applyBorder="1" applyAlignment="1" applyProtection="1">
      <alignment vertical="center"/>
      <protection locked="0"/>
    </xf>
    <xf numFmtId="0" fontId="39" fillId="2" borderId="42" xfId="0" applyFont="1" applyFill="1" applyBorder="1" applyAlignment="1" applyProtection="1">
      <alignment vertical="center"/>
      <protection locked="0"/>
    </xf>
    <xf numFmtId="0" fontId="3" fillId="2" borderId="15" xfId="0" applyFont="1" applyFill="1" applyBorder="1" applyAlignment="1" applyProtection="1">
      <alignment vertical="center"/>
      <protection locked="0"/>
    </xf>
    <xf numFmtId="0" fontId="39" fillId="2" borderId="15" xfId="0" applyFont="1" applyFill="1" applyBorder="1" applyAlignment="1" applyProtection="1">
      <alignment horizontal="center" vertical="center"/>
      <protection locked="0"/>
    </xf>
    <xf numFmtId="0" fontId="39" fillId="2" borderId="0" xfId="0" applyFont="1" applyFill="1" applyAlignment="1" applyProtection="1">
      <alignment horizontal="center" vertical="center"/>
      <protection locked="0"/>
    </xf>
    <xf numFmtId="0" fontId="10" fillId="2" borderId="0" xfId="0" applyFont="1" applyFill="1" applyAlignment="1" applyProtection="1">
      <alignment vertical="top"/>
      <protection locked="0"/>
    </xf>
    <xf numFmtId="0" fontId="25" fillId="2" borderId="0" xfId="0" applyFont="1" applyFill="1" applyAlignment="1" applyProtection="1">
      <alignment vertical="center" wrapText="1"/>
      <protection locked="0"/>
    </xf>
    <xf numFmtId="0" fontId="25" fillId="2" borderId="19" xfId="0" applyFont="1" applyFill="1" applyBorder="1" applyAlignment="1" applyProtection="1">
      <alignment vertical="center" wrapText="1"/>
      <protection locked="0"/>
    </xf>
    <xf numFmtId="0" fontId="25" fillId="2" borderId="16" xfId="0" applyFont="1" applyFill="1" applyBorder="1" applyAlignment="1" applyProtection="1">
      <alignment vertical="center" wrapText="1"/>
      <protection locked="0"/>
    </xf>
    <xf numFmtId="0" fontId="25" fillId="2" borderId="22" xfId="0" applyFont="1" applyFill="1" applyBorder="1" applyAlignment="1" applyProtection="1">
      <alignment vertical="center" wrapText="1"/>
      <protection locked="0"/>
    </xf>
    <xf numFmtId="0" fontId="37" fillId="2" borderId="32" xfId="0" applyFont="1" applyFill="1" applyBorder="1" applyAlignment="1" applyProtection="1">
      <alignment vertical="center" wrapText="1"/>
      <protection locked="0"/>
    </xf>
    <xf numFmtId="0" fontId="25" fillId="2" borderId="31" xfId="0" applyFont="1" applyFill="1" applyBorder="1" applyAlignment="1" applyProtection="1">
      <alignment vertical="center" wrapText="1"/>
      <protection locked="0"/>
    </xf>
    <xf numFmtId="0" fontId="25" fillId="2" borderId="15" xfId="0" applyFont="1" applyFill="1" applyBorder="1" applyAlignment="1" applyProtection="1">
      <alignment vertical="center" wrapText="1"/>
      <protection locked="0"/>
    </xf>
    <xf numFmtId="1" fontId="0" fillId="2" borderId="0" xfId="2" applyNumberFormat="1" applyFont="1" applyFill="1" applyBorder="1" applyAlignment="1" applyProtection="1">
      <alignment horizontal="center" vertical="center" wrapText="1"/>
      <protection locked="0"/>
    </xf>
    <xf numFmtId="165" fontId="0" fillId="5" borderId="0" xfId="0" applyNumberFormat="1" applyFill="1" applyProtection="1">
      <protection locked="0"/>
    </xf>
    <xf numFmtId="0" fontId="39" fillId="2" borderId="15" xfId="0" applyFont="1" applyFill="1" applyBorder="1" applyAlignment="1" applyProtection="1">
      <alignment vertical="center"/>
      <protection locked="0"/>
    </xf>
    <xf numFmtId="0" fontId="39" fillId="2" borderId="0" xfId="0" applyFont="1" applyFill="1" applyAlignment="1" applyProtection="1">
      <alignment vertical="center"/>
      <protection locked="0"/>
    </xf>
    <xf numFmtId="0" fontId="69" fillId="2" borderId="13" xfId="0" applyFont="1" applyFill="1" applyBorder="1" applyAlignment="1" applyProtection="1">
      <alignment horizontal="right" vertical="center"/>
      <protection locked="0"/>
    </xf>
    <xf numFmtId="0" fontId="69" fillId="2" borderId="32" xfId="0" applyFont="1" applyFill="1" applyBorder="1" applyAlignment="1" applyProtection="1">
      <alignment horizontal="right" vertical="center"/>
      <protection locked="0"/>
    </xf>
    <xf numFmtId="0" fontId="3" fillId="2" borderId="1" xfId="0" applyFont="1" applyFill="1" applyBorder="1" applyAlignment="1" applyProtection="1">
      <alignment horizontal="center" vertical="center" wrapText="1"/>
      <protection locked="0"/>
    </xf>
    <xf numFmtId="0" fontId="0" fillId="2" borderId="2" xfId="0" applyFill="1" applyBorder="1" applyAlignment="1" applyProtection="1">
      <alignment horizontal="left" vertical="top" wrapText="1"/>
      <protection locked="0"/>
    </xf>
    <xf numFmtId="0" fontId="3" fillId="2" borderId="0" xfId="0" quotePrefix="1" applyFont="1" applyFill="1" applyAlignment="1" applyProtection="1">
      <alignment vertical="center"/>
      <protection locked="0"/>
    </xf>
    <xf numFmtId="0" fontId="0" fillId="0" borderId="15" xfId="0" applyBorder="1" applyProtection="1">
      <protection locked="0"/>
    </xf>
    <xf numFmtId="0" fontId="0" fillId="0" borderId="22" xfId="0" applyBorder="1" applyProtection="1">
      <protection locked="0"/>
    </xf>
    <xf numFmtId="1" fontId="0" fillId="2" borderId="0" xfId="0" applyNumberFormat="1" applyFill="1" applyAlignment="1" applyProtection="1">
      <alignment horizontal="center" vertical="center"/>
      <protection locked="0"/>
    </xf>
    <xf numFmtId="0" fontId="36" fillId="10" borderId="0" xfId="0" applyFont="1" applyFill="1" applyAlignment="1" applyProtection="1">
      <alignment horizontal="center" vertical="center" wrapText="1"/>
      <protection locked="0"/>
    </xf>
    <xf numFmtId="0" fontId="37" fillId="10" borderId="0" xfId="0" applyFont="1" applyFill="1" applyAlignment="1" applyProtection="1">
      <alignment horizontal="right" vertical="center" wrapText="1"/>
      <protection locked="0"/>
    </xf>
    <xf numFmtId="1" fontId="0" fillId="10" borderId="0" xfId="0" applyNumberFormat="1" applyFill="1" applyAlignment="1" applyProtection="1">
      <alignment horizontal="center" vertical="center"/>
      <protection locked="0"/>
    </xf>
    <xf numFmtId="0" fontId="37" fillId="2" borderId="15" xfId="0" applyFont="1" applyFill="1" applyBorder="1" applyAlignment="1" applyProtection="1">
      <alignment horizontal="right" vertical="center" wrapText="1"/>
      <protection locked="0"/>
    </xf>
    <xf numFmtId="1" fontId="0" fillId="2" borderId="15" xfId="0" applyNumberFormat="1" applyFill="1" applyBorder="1" applyAlignment="1" applyProtection="1">
      <alignment horizontal="center" vertical="center"/>
      <protection locked="0"/>
    </xf>
    <xf numFmtId="2" fontId="14" fillId="2" borderId="0" xfId="0" applyNumberFormat="1" applyFont="1" applyFill="1" applyAlignment="1" applyProtection="1">
      <alignment vertical="top"/>
      <protection locked="0"/>
    </xf>
    <xf numFmtId="9" fontId="0" fillId="2" borderId="0" xfId="0" applyNumberFormat="1" applyFill="1" applyAlignment="1" applyProtection="1">
      <alignment horizontal="center" vertical="center"/>
      <protection locked="0"/>
    </xf>
    <xf numFmtId="0" fontId="69" fillId="2" borderId="27" xfId="0" applyFont="1" applyFill="1" applyBorder="1" applyAlignment="1" applyProtection="1">
      <alignment horizontal="right" vertical="center"/>
      <protection locked="0"/>
    </xf>
    <xf numFmtId="0" fontId="18" fillId="2" borderId="0" xfId="0" applyFont="1" applyFill="1" applyAlignment="1" applyProtection="1">
      <alignment vertical="top"/>
      <protection locked="0"/>
    </xf>
    <xf numFmtId="0" fontId="66" fillId="2" borderId="0" xfId="0" applyFont="1" applyFill="1" applyProtection="1">
      <protection locked="0"/>
    </xf>
    <xf numFmtId="0" fontId="36" fillId="2" borderId="0" xfId="0" applyFont="1" applyFill="1" applyAlignment="1" applyProtection="1">
      <alignment horizontal="left" vertical="top" wrapText="1"/>
      <protection locked="0"/>
    </xf>
    <xf numFmtId="0" fontId="36" fillId="10" borderId="0" xfId="0" applyFont="1" applyFill="1" applyAlignment="1" applyProtection="1">
      <alignment horizontal="left" vertical="top" wrapText="1"/>
      <protection locked="0"/>
    </xf>
    <xf numFmtId="0" fontId="103" fillId="2" borderId="2" xfId="0" applyFont="1" applyFill="1" applyBorder="1" applyAlignment="1" applyProtection="1">
      <alignment vertical="center"/>
      <protection locked="0"/>
    </xf>
    <xf numFmtId="0" fontId="28" fillId="2" borderId="2" xfId="0" applyFont="1" applyFill="1" applyBorder="1" applyAlignment="1" applyProtection="1">
      <alignment vertical="center"/>
      <protection locked="0"/>
    </xf>
    <xf numFmtId="0" fontId="28" fillId="2" borderId="58" xfId="0" applyFont="1" applyFill="1" applyBorder="1" applyAlignment="1" applyProtection="1">
      <alignment vertical="center"/>
      <protection locked="0"/>
    </xf>
    <xf numFmtId="0" fontId="0" fillId="4" borderId="55" xfId="0" applyFill="1" applyBorder="1" applyAlignment="1" applyProtection="1">
      <alignment horizontal="left" vertical="center"/>
      <protection locked="0"/>
    </xf>
    <xf numFmtId="0" fontId="0" fillId="4" borderId="56" xfId="0" applyFill="1" applyBorder="1" applyAlignment="1" applyProtection="1">
      <alignment horizontal="left" vertical="center"/>
      <protection locked="0"/>
    </xf>
    <xf numFmtId="0" fontId="0" fillId="4" borderId="57" xfId="0" applyFill="1" applyBorder="1" applyAlignment="1" applyProtection="1">
      <alignment horizontal="left" vertical="center"/>
      <protection locked="0"/>
    </xf>
    <xf numFmtId="0" fontId="0" fillId="24" borderId="62" xfId="0" applyFill="1" applyBorder="1" applyAlignment="1" applyProtection="1">
      <alignment horizontal="left" vertical="center"/>
      <protection locked="0"/>
    </xf>
    <xf numFmtId="0" fontId="0" fillId="24" borderId="0" xfId="0" applyFill="1" applyAlignment="1" applyProtection="1">
      <alignment horizontal="left" vertical="center"/>
      <protection locked="0"/>
    </xf>
    <xf numFmtId="0" fontId="0" fillId="24" borderId="63" xfId="0" applyFill="1" applyBorder="1" applyAlignment="1" applyProtection="1">
      <alignment horizontal="left" vertical="center"/>
      <protection locked="0"/>
    </xf>
    <xf numFmtId="0" fontId="0" fillId="20" borderId="62" xfId="0" applyFill="1" applyBorder="1" applyAlignment="1" applyProtection="1">
      <alignment horizontal="left" vertical="center"/>
      <protection locked="0"/>
    </xf>
    <xf numFmtId="0" fontId="0" fillId="20" borderId="0" xfId="0" applyFill="1" applyAlignment="1" applyProtection="1">
      <alignment horizontal="left" vertical="center"/>
      <protection locked="0"/>
    </xf>
    <xf numFmtId="0" fontId="0" fillId="20" borderId="63" xfId="0" applyFill="1" applyBorder="1" applyAlignment="1" applyProtection="1">
      <alignment horizontal="left" vertical="center"/>
      <protection locked="0"/>
    </xf>
    <xf numFmtId="0" fontId="0" fillId="26" borderId="62" xfId="0" applyFill="1" applyBorder="1" applyAlignment="1" applyProtection="1">
      <alignment horizontal="left" vertical="center"/>
      <protection locked="0"/>
    </xf>
    <xf numFmtId="0" fontId="0" fillId="26" borderId="0" xfId="0" applyFill="1" applyAlignment="1" applyProtection="1">
      <alignment horizontal="left" vertical="center"/>
      <protection locked="0"/>
    </xf>
    <xf numFmtId="0" fontId="0" fillId="26" borderId="63" xfId="0" applyFill="1" applyBorder="1" applyAlignment="1" applyProtection="1">
      <alignment horizontal="left" vertical="center"/>
      <protection locked="0"/>
    </xf>
    <xf numFmtId="0" fontId="4" fillId="32" borderId="64" xfId="0" applyFont="1" applyFill="1" applyBorder="1" applyAlignment="1" applyProtection="1">
      <alignment horizontal="left" vertical="center"/>
      <protection locked="0"/>
    </xf>
    <xf numFmtId="0" fontId="0" fillId="32" borderId="58" xfId="0" applyFill="1" applyBorder="1" applyAlignment="1" applyProtection="1">
      <alignment horizontal="left" vertical="center"/>
      <protection locked="0"/>
    </xf>
    <xf numFmtId="0" fontId="0" fillId="32" borderId="65" xfId="0" applyFill="1" applyBorder="1" applyAlignment="1" applyProtection="1">
      <alignment horizontal="left" vertical="center"/>
      <protection locked="0"/>
    </xf>
    <xf numFmtId="0" fontId="38" fillId="0" borderId="62" xfId="0" applyFont="1" applyBorder="1" applyAlignment="1" applyProtection="1">
      <alignment vertical="center"/>
      <protection locked="0"/>
    </xf>
    <xf numFmtId="0" fontId="38" fillId="0" borderId="64" xfId="0" applyFont="1" applyBorder="1" applyAlignment="1" applyProtection="1">
      <alignment vertical="center"/>
      <protection locked="0"/>
    </xf>
    <xf numFmtId="0" fontId="38" fillId="0" borderId="0" xfId="0" applyFont="1" applyAlignment="1" applyProtection="1">
      <alignment vertical="center"/>
      <protection locked="0"/>
    </xf>
    <xf numFmtId="0" fontId="38" fillId="0" borderId="58" xfId="0" applyFont="1" applyBorder="1" applyAlignment="1" applyProtection="1">
      <alignment vertical="center"/>
      <protection locked="0"/>
    </xf>
    <xf numFmtId="0" fontId="38" fillId="0" borderId="56" xfId="0" applyFont="1" applyBorder="1" applyProtection="1">
      <protection locked="0"/>
    </xf>
    <xf numFmtId="0" fontId="38" fillId="0" borderId="0" xfId="0" applyFont="1" applyProtection="1">
      <protection locked="0"/>
    </xf>
    <xf numFmtId="0" fontId="38" fillId="0" borderId="58" xfId="0" applyFont="1" applyBorder="1" applyProtection="1">
      <protection locked="0"/>
    </xf>
    <xf numFmtId="0" fontId="38" fillId="2" borderId="0" xfId="0" applyFont="1" applyFill="1" applyAlignment="1" applyProtection="1">
      <alignment horizontal="center" vertical="center" wrapText="1"/>
      <protection locked="0"/>
    </xf>
    <xf numFmtId="0" fontId="105" fillId="23" borderId="0" xfId="0" applyFont="1" applyFill="1" applyProtection="1">
      <protection locked="0"/>
    </xf>
    <xf numFmtId="0" fontId="106" fillId="2" borderId="0" xfId="0" applyFont="1" applyFill="1" applyProtection="1">
      <protection locked="0"/>
    </xf>
    <xf numFmtId="0" fontId="105" fillId="2" borderId="0" xfId="0" applyFont="1" applyFill="1" applyProtection="1">
      <protection locked="0"/>
    </xf>
    <xf numFmtId="0" fontId="104" fillId="2" borderId="2" xfId="0" applyFont="1" applyFill="1" applyBorder="1" applyAlignment="1" applyProtection="1">
      <alignment vertical="center"/>
      <protection locked="0"/>
    </xf>
    <xf numFmtId="0" fontId="104" fillId="2" borderId="0" xfId="0" applyFont="1" applyFill="1" applyAlignment="1" applyProtection="1">
      <alignment vertical="center"/>
      <protection locked="0"/>
    </xf>
    <xf numFmtId="0" fontId="104" fillId="2" borderId="58" xfId="0" applyFont="1" applyFill="1" applyBorder="1" applyAlignment="1" applyProtection="1">
      <alignment vertical="center"/>
      <protection locked="0"/>
    </xf>
    <xf numFmtId="0" fontId="105" fillId="0" borderId="0" xfId="0" applyFont="1" applyProtection="1">
      <protection locked="0"/>
    </xf>
    <xf numFmtId="0" fontId="36" fillId="2" borderId="0" xfId="0" applyFont="1" applyFill="1" applyProtection="1">
      <protection locked="0"/>
    </xf>
    <xf numFmtId="0" fontId="36" fillId="2" borderId="0" xfId="0" applyFont="1" applyFill="1" applyAlignment="1" applyProtection="1">
      <alignment horizontal="center" vertical="center"/>
      <protection locked="0"/>
    </xf>
    <xf numFmtId="0" fontId="10" fillId="5" borderId="0" xfId="0" applyFont="1" applyFill="1" applyAlignment="1" applyProtection="1">
      <alignment vertical="top"/>
      <protection locked="0"/>
    </xf>
    <xf numFmtId="0" fontId="0" fillId="2" borderId="0" xfId="0" applyFill="1" applyAlignment="1" applyProtection="1">
      <alignment horizontal="right"/>
      <protection locked="0"/>
    </xf>
    <xf numFmtId="0" fontId="35" fillId="2" borderId="20" xfId="0" applyFont="1" applyFill="1" applyBorder="1" applyAlignment="1" applyProtection="1">
      <alignment horizontal="right" vertical="center" wrapText="1"/>
      <protection locked="0"/>
    </xf>
    <xf numFmtId="0" fontId="35" fillId="2" borderId="32" xfId="0" applyFont="1" applyFill="1" applyBorder="1" applyAlignment="1" applyProtection="1">
      <alignment horizontal="right" vertical="center" wrapText="1"/>
      <protection locked="0"/>
    </xf>
    <xf numFmtId="0" fontId="35" fillId="2" borderId="38" xfId="0" applyFont="1" applyFill="1" applyBorder="1" applyAlignment="1" applyProtection="1">
      <alignment horizontal="right" vertical="center" wrapText="1"/>
      <protection locked="0"/>
    </xf>
    <xf numFmtId="0" fontId="0" fillId="2" borderId="147" xfId="0" applyFill="1" applyBorder="1" applyProtection="1">
      <protection locked="0"/>
    </xf>
    <xf numFmtId="0" fontId="0" fillId="2" borderId="148" xfId="0" applyFill="1" applyBorder="1" applyProtection="1">
      <protection locked="0"/>
    </xf>
    <xf numFmtId="0" fontId="43" fillId="2" borderId="148" xfId="0" applyFont="1" applyFill="1" applyBorder="1" applyAlignment="1" applyProtection="1">
      <alignment vertical="center" wrapText="1"/>
      <protection locked="0"/>
    </xf>
    <xf numFmtId="0" fontId="26" fillId="2" borderId="155" xfId="0" applyFont="1" applyFill="1" applyBorder="1" applyAlignment="1" applyProtection="1">
      <alignment vertical="center" wrapText="1"/>
      <protection locked="0"/>
    </xf>
    <xf numFmtId="0" fontId="43" fillId="2" borderId="149" xfId="0" applyFont="1" applyFill="1" applyBorder="1" applyAlignment="1" applyProtection="1">
      <alignment vertical="center" wrapText="1"/>
      <protection locked="0"/>
    </xf>
    <xf numFmtId="0" fontId="0" fillId="2" borderId="150" xfId="0" applyFill="1" applyBorder="1" applyProtection="1">
      <protection locked="0"/>
    </xf>
    <xf numFmtId="0" fontId="42" fillId="22" borderId="12" xfId="0"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protection locked="0"/>
    </xf>
    <xf numFmtId="0" fontId="0" fillId="0" borderId="151" xfId="0" applyBorder="1" applyProtection="1">
      <protection locked="0"/>
    </xf>
    <xf numFmtId="49" fontId="0" fillId="5" borderId="12" xfId="0" applyNumberFormat="1" applyFill="1" applyBorder="1" applyAlignment="1" applyProtection="1">
      <alignment horizontal="center" vertical="center"/>
      <protection locked="0"/>
    </xf>
    <xf numFmtId="165" fontId="0" fillId="12" borderId="12" xfId="0" applyNumberFormat="1" applyFill="1" applyBorder="1" applyAlignment="1" applyProtection="1">
      <alignment horizontal="center" vertical="center"/>
      <protection locked="0"/>
    </xf>
    <xf numFmtId="0" fontId="0" fillId="2" borderId="151" xfId="0" applyFill="1" applyBorder="1" applyProtection="1">
      <protection locked="0"/>
    </xf>
    <xf numFmtId="0" fontId="42" fillId="4" borderId="12" xfId="0" applyFont="1" applyFill="1" applyBorder="1" applyAlignment="1" applyProtection="1">
      <alignment horizontal="center" vertical="center" wrapText="1"/>
      <protection locked="0"/>
    </xf>
    <xf numFmtId="165" fontId="0" fillId="2" borderId="12" xfId="0" applyNumberFormat="1" applyFill="1" applyBorder="1" applyAlignment="1" applyProtection="1">
      <alignment horizontal="center" vertical="center"/>
      <protection locked="0"/>
    </xf>
    <xf numFmtId="49" fontId="0" fillId="2" borderId="12" xfId="0" applyNumberFormat="1" applyFill="1" applyBorder="1" applyAlignment="1" applyProtection="1">
      <alignment horizontal="center" vertical="center"/>
      <protection locked="0"/>
    </xf>
    <xf numFmtId="0" fontId="0" fillId="2" borderId="152" xfId="0" applyFill="1" applyBorder="1" applyProtection="1">
      <protection locked="0"/>
    </xf>
    <xf numFmtId="0" fontId="0" fillId="0" borderId="153" xfId="0" applyBorder="1" applyProtection="1">
      <protection locked="0"/>
    </xf>
    <xf numFmtId="0" fontId="0" fillId="0" borderId="154" xfId="0" applyBorder="1" applyProtection="1">
      <protection locked="0"/>
    </xf>
    <xf numFmtId="0" fontId="0" fillId="0" borderId="148" xfId="0" applyBorder="1" applyProtection="1">
      <protection locked="0"/>
    </xf>
    <xf numFmtId="0" fontId="43" fillId="2" borderId="148" xfId="0" applyFont="1" applyFill="1" applyBorder="1" applyAlignment="1" applyProtection="1">
      <alignment horizontal="center" vertical="center"/>
      <protection locked="0"/>
    </xf>
    <xf numFmtId="0" fontId="0" fillId="2" borderId="153" xfId="0" applyFill="1" applyBorder="1" applyProtection="1">
      <protection locked="0"/>
    </xf>
    <xf numFmtId="0" fontId="0" fillId="0" borderId="149" xfId="0" applyBorder="1" applyProtection="1">
      <protection locked="0"/>
    </xf>
    <xf numFmtId="0" fontId="0" fillId="27" borderId="0" xfId="0" applyFill="1" applyProtection="1">
      <protection locked="0"/>
    </xf>
    <xf numFmtId="0" fontId="65" fillId="27" borderId="0" xfId="0" applyFont="1" applyFill="1" applyProtection="1">
      <protection locked="0"/>
    </xf>
    <xf numFmtId="0" fontId="87" fillId="27" borderId="0" xfId="0" applyFont="1" applyFill="1" applyAlignment="1" applyProtection="1">
      <alignment horizontal="center" vertical="center"/>
      <protection locked="0"/>
    </xf>
    <xf numFmtId="0" fontId="43" fillId="2" borderId="33" xfId="0" applyFont="1" applyFill="1" applyBorder="1" applyAlignment="1" applyProtection="1">
      <alignment vertical="center"/>
      <protection locked="0"/>
    </xf>
    <xf numFmtId="0" fontId="43" fillId="2" borderId="33" xfId="0" applyFont="1" applyFill="1" applyBorder="1" applyAlignment="1" applyProtection="1">
      <alignment horizontal="center" vertical="center"/>
      <protection locked="0"/>
    </xf>
    <xf numFmtId="0" fontId="43" fillId="10" borderId="0" xfId="0" applyFont="1" applyFill="1" applyAlignment="1" applyProtection="1">
      <alignment vertical="center"/>
      <protection locked="0"/>
    </xf>
    <xf numFmtId="0" fontId="10" fillId="2" borderId="0" xfId="0" applyFont="1" applyFill="1" applyAlignment="1" applyProtection="1">
      <alignment vertical="center"/>
      <protection locked="0"/>
    </xf>
    <xf numFmtId="0" fontId="28" fillId="2" borderId="67" xfId="0" applyFont="1" applyFill="1" applyBorder="1" applyAlignment="1" applyProtection="1">
      <alignment vertical="center"/>
      <protection locked="0"/>
    </xf>
    <xf numFmtId="0" fontId="69" fillId="2" borderId="15" xfId="0" applyFont="1" applyFill="1" applyBorder="1" applyAlignment="1" applyProtection="1">
      <alignment horizontal="right" vertical="center"/>
      <protection locked="0"/>
    </xf>
    <xf numFmtId="0" fontId="69" fillId="2" borderId="38" xfId="0" applyFont="1" applyFill="1" applyBorder="1" applyAlignment="1" applyProtection="1">
      <alignment horizontal="right" vertical="center"/>
      <protection locked="0"/>
    </xf>
    <xf numFmtId="0" fontId="69" fillId="0" borderId="0" xfId="0" applyFont="1" applyAlignment="1" applyProtection="1">
      <alignment vertical="top"/>
      <protection locked="0"/>
    </xf>
    <xf numFmtId="0" fontId="14" fillId="2" borderId="0" xfId="0" applyFont="1" applyFill="1" applyProtection="1">
      <protection locked="0"/>
    </xf>
    <xf numFmtId="0" fontId="14" fillId="5" borderId="0" xfId="0" applyFont="1" applyFill="1" applyAlignment="1" applyProtection="1">
      <alignment wrapText="1"/>
      <protection locked="0"/>
    </xf>
    <xf numFmtId="0" fontId="14" fillId="2" borderId="0" xfId="0" applyFont="1" applyFill="1" applyAlignment="1" applyProtection="1">
      <alignment wrapText="1"/>
      <protection locked="0"/>
    </xf>
    <xf numFmtId="0" fontId="10" fillId="5" borderId="0" xfId="0" applyFont="1" applyFill="1" applyProtection="1">
      <protection locked="0"/>
    </xf>
    <xf numFmtId="1" fontId="0" fillId="5" borderId="0" xfId="0" applyNumberFormat="1" applyFill="1" applyAlignment="1" applyProtection="1">
      <alignment horizontal="center"/>
      <protection locked="0"/>
    </xf>
    <xf numFmtId="0" fontId="38" fillId="2" borderId="15"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0" fontId="47" fillId="2" borderId="0" xfId="0" applyFont="1" applyFill="1" applyAlignment="1" applyProtection="1">
      <alignment horizontal="right" vertical="center"/>
      <protection locked="0"/>
    </xf>
    <xf numFmtId="0" fontId="35" fillId="2" borderId="0" xfId="0" applyFont="1" applyFill="1" applyAlignment="1" applyProtection="1">
      <alignment horizontal="left" vertical="center"/>
      <protection locked="0"/>
    </xf>
    <xf numFmtId="0" fontId="14" fillId="2" borderId="0" xfId="0" applyFont="1" applyFill="1" applyAlignment="1" applyProtection="1">
      <alignment horizontal="left"/>
      <protection locked="0"/>
    </xf>
    <xf numFmtId="0" fontId="14" fillId="2" borderId="0" xfId="0" applyFont="1" applyFill="1" applyAlignment="1" applyProtection="1">
      <alignment vertical="center" wrapText="1"/>
      <protection locked="0"/>
    </xf>
    <xf numFmtId="0" fontId="14" fillId="2" borderId="0" xfId="0" applyFont="1" applyFill="1" applyAlignment="1" applyProtection="1">
      <alignment horizontal="center" vertical="center" wrapText="1"/>
      <protection locked="0"/>
    </xf>
    <xf numFmtId="0" fontId="90" fillId="0" borderId="0" xfId="0" applyFont="1" applyAlignment="1" applyProtection="1">
      <alignment horizontal="left" vertical="center"/>
      <protection locked="0"/>
    </xf>
    <xf numFmtId="0" fontId="82" fillId="19" borderId="0" xfId="0" applyFont="1" applyFill="1" applyAlignment="1" applyProtection="1">
      <alignment vertical="center"/>
      <protection locked="0"/>
    </xf>
    <xf numFmtId="0" fontId="28" fillId="2" borderId="15" xfId="0" applyFont="1" applyFill="1" applyBorder="1" applyAlignment="1" applyProtection="1">
      <alignment horizontal="center" vertical="center"/>
      <protection locked="0"/>
    </xf>
    <xf numFmtId="0" fontId="38" fillId="2" borderId="0" xfId="0" applyFont="1" applyFill="1" applyAlignment="1" applyProtection="1">
      <alignment vertical="center"/>
      <protection locked="0"/>
    </xf>
    <xf numFmtId="0" fontId="36" fillId="5" borderId="0" xfId="0" applyFont="1" applyFill="1" applyProtection="1">
      <protection locked="0"/>
    </xf>
    <xf numFmtId="0" fontId="0" fillId="23" borderId="0" xfId="0" applyFill="1" applyAlignment="1" applyProtection="1">
      <alignment horizontal="center" vertical="center"/>
      <protection locked="0"/>
    </xf>
    <xf numFmtId="0" fontId="0" fillId="0" borderId="0" xfId="0" applyAlignment="1" applyProtection="1">
      <alignment horizontal="center" vertical="center"/>
      <protection locked="0"/>
    </xf>
    <xf numFmtId="2" fontId="25" fillId="2" borderId="0" xfId="0" applyNumberFormat="1" applyFont="1" applyFill="1" applyAlignment="1" applyProtection="1">
      <alignment horizontal="center" vertical="center"/>
      <protection locked="0"/>
    </xf>
    <xf numFmtId="3" fontId="0" fillId="2" borderId="0" xfId="0" applyNumberFormat="1" applyFill="1" applyAlignment="1" applyProtection="1">
      <alignment horizontal="center" vertical="center"/>
      <protection locked="0"/>
    </xf>
    <xf numFmtId="0" fontId="36" fillId="10" borderId="0" xfId="0" applyFont="1" applyFill="1" applyProtection="1">
      <protection locked="0"/>
    </xf>
    <xf numFmtId="0" fontId="38" fillId="10" borderId="0" xfId="0" applyFont="1" applyFill="1" applyAlignment="1" applyProtection="1">
      <alignment horizontal="center" vertical="center" wrapText="1"/>
      <protection locked="0"/>
    </xf>
    <xf numFmtId="2" fontId="25" fillId="10" borderId="0" xfId="0" applyNumberFormat="1" applyFont="1" applyFill="1" applyAlignment="1" applyProtection="1">
      <alignment horizontal="center" vertical="center"/>
      <protection locked="0"/>
    </xf>
    <xf numFmtId="3" fontId="0" fillId="10" borderId="0" xfId="0" applyNumberFormat="1" applyFill="1" applyAlignment="1" applyProtection="1">
      <alignment horizontal="center" vertical="center"/>
      <protection locked="0"/>
    </xf>
    <xf numFmtId="0" fontId="69" fillId="0" borderId="0" xfId="0" applyFont="1" applyAlignment="1" applyProtection="1">
      <alignment horizontal="left" vertical="top"/>
      <protection locked="0"/>
    </xf>
    <xf numFmtId="0" fontId="43" fillId="2" borderId="0" xfId="0" applyFont="1" applyFill="1" applyAlignment="1" applyProtection="1">
      <alignment vertical="center"/>
      <protection locked="0"/>
    </xf>
    <xf numFmtId="0" fontId="36" fillId="2" borderId="0" xfId="0" applyFont="1" applyFill="1" applyAlignment="1" applyProtection="1">
      <alignment vertical="center"/>
      <protection locked="0"/>
    </xf>
    <xf numFmtId="0" fontId="18" fillId="2" borderId="0" xfId="0" applyFont="1" applyFill="1" applyProtection="1">
      <protection locked="0"/>
    </xf>
    <xf numFmtId="0" fontId="72" fillId="23" borderId="0" xfId="6" applyFill="1" applyProtection="1">
      <protection locked="0"/>
    </xf>
    <xf numFmtId="0" fontId="93" fillId="2" borderId="0" xfId="0" applyFont="1" applyFill="1" applyProtection="1">
      <protection locked="0"/>
    </xf>
    <xf numFmtId="0" fontId="93" fillId="0" borderId="0" xfId="0" applyFont="1" applyProtection="1">
      <protection locked="0"/>
    </xf>
    <xf numFmtId="0" fontId="93" fillId="2" borderId="0" xfId="0" applyFont="1" applyFill="1" applyAlignment="1" applyProtection="1">
      <alignment horizontal="center"/>
      <protection locked="0"/>
    </xf>
    <xf numFmtId="0" fontId="93" fillId="2" borderId="112" xfId="0" applyFont="1" applyFill="1" applyBorder="1" applyProtection="1">
      <protection locked="0"/>
    </xf>
    <xf numFmtId="0" fontId="92" fillId="2" borderId="0" xfId="0" applyFont="1" applyFill="1" applyAlignment="1" applyProtection="1">
      <alignment vertical="center"/>
      <protection locked="0"/>
    </xf>
    <xf numFmtId="0" fontId="93" fillId="2" borderId="0" xfId="0" applyFont="1" applyFill="1" applyAlignment="1" applyProtection="1">
      <alignment vertical="center"/>
      <protection locked="0"/>
    </xf>
    <xf numFmtId="0" fontId="93" fillId="0" borderId="0" xfId="0" applyFont="1" applyAlignment="1" applyProtection="1">
      <alignment vertical="center"/>
      <protection locked="0"/>
    </xf>
    <xf numFmtId="0" fontId="94" fillId="2" borderId="0" xfId="0" applyFont="1" applyFill="1" applyProtection="1">
      <protection locked="0"/>
    </xf>
    <xf numFmtId="0" fontId="93" fillId="2" borderId="0" xfId="0" applyFont="1" applyFill="1" applyAlignment="1" applyProtection="1">
      <alignment horizontal="left" vertical="center"/>
      <protection locked="0"/>
    </xf>
    <xf numFmtId="0" fontId="94" fillId="2" borderId="0" xfId="0" applyFont="1" applyFill="1" applyAlignment="1" applyProtection="1">
      <alignment vertical="center"/>
      <protection locked="0"/>
    </xf>
    <xf numFmtId="0" fontId="94" fillId="0" borderId="0" xfId="0" applyFont="1" applyAlignment="1" applyProtection="1">
      <alignment vertical="center"/>
      <protection locked="0"/>
    </xf>
    <xf numFmtId="0" fontId="93" fillId="0" borderId="0" xfId="0" applyFont="1" applyAlignment="1" applyProtection="1">
      <alignment vertical="top" wrapText="1"/>
      <protection locked="0"/>
    </xf>
    <xf numFmtId="0" fontId="93" fillId="0" borderId="0" xfId="0" applyFont="1" applyAlignment="1" applyProtection="1">
      <alignment horizontal="left" vertical="center" wrapText="1"/>
      <protection locked="0"/>
    </xf>
    <xf numFmtId="49" fontId="93" fillId="0" borderId="0" xfId="0" applyNumberFormat="1" applyFont="1" applyAlignment="1" applyProtection="1">
      <alignment horizontal="left" vertical="center"/>
      <protection locked="0"/>
    </xf>
    <xf numFmtId="0" fontId="93" fillId="0" borderId="0" xfId="0" applyFont="1" applyAlignment="1" applyProtection="1">
      <alignment horizontal="left" vertical="center"/>
      <protection locked="0"/>
    </xf>
    <xf numFmtId="49" fontId="93" fillId="0" borderId="0" xfId="0" applyNumberFormat="1" applyFont="1" applyAlignment="1" applyProtection="1">
      <alignment horizontal="center" vertical="center"/>
      <protection locked="0"/>
    </xf>
    <xf numFmtId="0" fontId="93" fillId="0" borderId="0" xfId="0" applyFont="1" applyAlignment="1" applyProtection="1">
      <alignment horizontal="center" vertical="center"/>
      <protection locked="0"/>
    </xf>
    <xf numFmtId="10" fontId="93" fillId="0" borderId="0" xfId="0" applyNumberFormat="1" applyFont="1" applyAlignment="1" applyProtection="1">
      <alignment horizontal="center" vertical="center"/>
      <protection locked="0"/>
    </xf>
    <xf numFmtId="0" fontId="93" fillId="0" borderId="58" xfId="0" applyFont="1" applyBorder="1" applyProtection="1">
      <protection locked="0"/>
    </xf>
    <xf numFmtId="0" fontId="113" fillId="0" borderId="0" xfId="0" applyFont="1" applyProtection="1">
      <protection locked="0"/>
    </xf>
    <xf numFmtId="0" fontId="93" fillId="2" borderId="0" xfId="0" applyFont="1" applyFill="1" applyAlignment="1" applyProtection="1">
      <alignment horizontal="center" vertical="center" wrapText="1"/>
      <protection locked="0"/>
    </xf>
    <xf numFmtId="0" fontId="93" fillId="0" borderId="0" xfId="0" applyFont="1" applyAlignment="1" applyProtection="1">
      <alignment horizontal="center" vertical="center" wrapText="1"/>
      <protection locked="0"/>
    </xf>
    <xf numFmtId="0" fontId="93" fillId="0" borderId="56" xfId="0" applyFont="1" applyBorder="1" applyProtection="1">
      <protection locked="0"/>
    </xf>
    <xf numFmtId="0" fontId="94" fillId="18" borderId="0" xfId="0" applyFont="1" applyFill="1" applyAlignment="1" applyProtection="1">
      <alignment vertical="center"/>
      <protection locked="0"/>
    </xf>
    <xf numFmtId="0" fontId="93" fillId="18" borderId="0" xfId="0" applyFont="1" applyFill="1" applyAlignment="1" applyProtection="1">
      <alignment vertical="center"/>
      <protection locked="0"/>
    </xf>
    <xf numFmtId="0" fontId="93" fillId="18" borderId="0" xfId="0" applyFont="1" applyFill="1" applyProtection="1">
      <protection locked="0"/>
    </xf>
    <xf numFmtId="0" fontId="93" fillId="24" borderId="0" xfId="0" applyFont="1" applyFill="1" applyProtection="1">
      <protection locked="0"/>
    </xf>
    <xf numFmtId="0" fontId="93" fillId="24" borderId="0" xfId="0" applyFont="1" applyFill="1" applyAlignment="1" applyProtection="1">
      <alignment vertical="center" wrapText="1"/>
      <protection locked="0"/>
    </xf>
    <xf numFmtId="0" fontId="94" fillId="0" borderId="58" xfId="0" applyFont="1" applyBorder="1" applyProtection="1">
      <protection locked="0"/>
    </xf>
    <xf numFmtId="0" fontId="93" fillId="2" borderId="0" xfId="0" applyFont="1" applyFill="1" applyAlignment="1" applyProtection="1">
      <alignment horizontal="left" vertical="center" wrapText="1"/>
      <protection locked="0"/>
    </xf>
    <xf numFmtId="0" fontId="94" fillId="2" borderId="0" xfId="0" applyFont="1" applyFill="1" applyAlignment="1" applyProtection="1">
      <alignment horizontal="left" vertical="center"/>
      <protection locked="0"/>
    </xf>
    <xf numFmtId="0" fontId="94" fillId="2" borderId="0" xfId="0" applyFont="1" applyFill="1" applyAlignment="1" applyProtection="1">
      <alignment horizontal="left" wrapText="1"/>
      <protection locked="0"/>
    </xf>
    <xf numFmtId="0" fontId="93" fillId="2" borderId="0" xfId="0" applyFont="1" applyFill="1" applyAlignment="1" applyProtection="1">
      <alignment horizontal="left" vertical="top"/>
      <protection locked="0"/>
    </xf>
    <xf numFmtId="0" fontId="98" fillId="2" borderId="0" xfId="0" applyFont="1" applyFill="1" applyProtection="1">
      <protection locked="0"/>
    </xf>
    <xf numFmtId="0" fontId="109" fillId="39" borderId="0" xfId="0" applyFont="1" applyFill="1" applyProtection="1">
      <protection locked="0"/>
    </xf>
    <xf numFmtId="0" fontId="0" fillId="39" borderId="0" xfId="0" applyFill="1" applyProtection="1">
      <protection locked="0"/>
    </xf>
    <xf numFmtId="0" fontId="0" fillId="39" borderId="0" xfId="0" applyFill="1" applyAlignment="1" applyProtection="1">
      <alignment horizontal="left"/>
      <protection locked="0"/>
    </xf>
    <xf numFmtId="0" fontId="68" fillId="2" borderId="0" xfId="0" applyFont="1" applyFill="1" applyAlignment="1" applyProtection="1">
      <alignment horizontal="center" vertical="center"/>
      <protection locked="0"/>
    </xf>
    <xf numFmtId="0" fontId="66" fillId="2" borderId="12" xfId="0" applyFont="1" applyFill="1" applyBorder="1" applyAlignment="1" applyProtection="1">
      <alignment horizontal="left" vertical="center" wrapText="1"/>
      <protection locked="0"/>
    </xf>
    <xf numFmtId="0" fontId="3" fillId="24" borderId="87" xfId="0" applyFont="1" applyFill="1" applyBorder="1" applyAlignment="1" applyProtection="1">
      <alignment horizontal="center" vertical="center"/>
      <protection locked="0"/>
    </xf>
    <xf numFmtId="0" fontId="3" fillId="24" borderId="0" xfId="0" applyFont="1" applyFill="1" applyAlignment="1" applyProtection="1">
      <alignment horizontal="center" vertical="center"/>
      <protection locked="0"/>
    </xf>
    <xf numFmtId="0" fontId="72" fillId="39" borderId="0" xfId="6" applyFill="1" applyAlignment="1" applyProtection="1">
      <alignment horizontal="left"/>
      <protection locked="0"/>
    </xf>
    <xf numFmtId="0" fontId="0" fillId="0" borderId="52" xfId="0" applyBorder="1" applyProtection="1">
      <protection locked="0"/>
    </xf>
    <xf numFmtId="0" fontId="0" fillId="2" borderId="52" xfId="0" applyFill="1" applyBorder="1" applyProtection="1">
      <protection locked="0"/>
    </xf>
    <xf numFmtId="0" fontId="0" fillId="39" borderId="0" xfId="0" applyFill="1" applyAlignment="1" applyProtection="1">
      <alignment vertical="center"/>
      <protection locked="0"/>
    </xf>
    <xf numFmtId="0" fontId="2" fillId="9" borderId="52" xfId="0" applyFont="1" applyFill="1" applyBorder="1" applyAlignment="1" applyProtection="1">
      <alignment horizontal="left"/>
      <protection locked="0"/>
    </xf>
    <xf numFmtId="0" fontId="0" fillId="2" borderId="52" xfId="0" quotePrefix="1" applyFill="1" applyBorder="1" applyAlignment="1" applyProtection="1">
      <alignment horizontal="center" vertical="center"/>
      <protection locked="0"/>
    </xf>
    <xf numFmtId="0" fontId="0" fillId="39" borderId="0" xfId="0" applyFill="1" applyAlignment="1" applyProtection="1">
      <alignment horizontal="left" vertical="center"/>
      <protection locked="0"/>
    </xf>
    <xf numFmtId="0" fontId="89" fillId="0" borderId="0" xfId="0" applyFont="1" applyAlignment="1" applyProtection="1">
      <alignment horizontal="center"/>
      <protection locked="0"/>
    </xf>
    <xf numFmtId="0" fontId="10" fillId="24" borderId="52" xfId="0" applyFont="1" applyFill="1" applyBorder="1" applyAlignment="1" applyProtection="1">
      <alignment horizontal="center" vertical="center"/>
      <protection locked="0"/>
    </xf>
    <xf numFmtId="0" fontId="101" fillId="27" borderId="52"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4" fillId="5" borderId="0" xfId="0" applyFont="1" applyFill="1" applyProtection="1">
      <protection locked="0"/>
    </xf>
    <xf numFmtId="0" fontId="110" fillId="39" borderId="0" xfId="0" applyFont="1" applyFill="1" applyProtection="1">
      <protection locked="0"/>
    </xf>
    <xf numFmtId="0" fontId="102" fillId="2" borderId="58" xfId="6" applyFont="1" applyFill="1" applyBorder="1" applyAlignment="1" applyProtection="1">
      <alignment horizontal="left" vertical="center"/>
      <protection locked="0"/>
    </xf>
    <xf numFmtId="0" fontId="14" fillId="39" borderId="0" xfId="0" applyFont="1" applyFill="1" applyAlignment="1" applyProtection="1">
      <alignment horizontal="left"/>
      <protection locked="0"/>
    </xf>
    <xf numFmtId="0" fontId="14" fillId="39" borderId="0" xfId="0" applyFont="1" applyFill="1" applyProtection="1">
      <protection locked="0"/>
    </xf>
    <xf numFmtId="0" fontId="14" fillId="0" borderId="0" xfId="0" applyFont="1" applyProtection="1">
      <protection locked="0"/>
    </xf>
    <xf numFmtId="0" fontId="0" fillId="24" borderId="52" xfId="0" applyFill="1" applyBorder="1" applyAlignment="1" applyProtection="1">
      <alignment horizontal="center" vertical="center"/>
      <protection locked="0"/>
    </xf>
    <xf numFmtId="0" fontId="0" fillId="24" borderId="21" xfId="0" applyFill="1" applyBorder="1" applyAlignment="1" applyProtection="1">
      <alignment horizontal="left" vertical="center"/>
      <protection locked="0"/>
    </xf>
    <xf numFmtId="0" fontId="0" fillId="24" borderId="52" xfId="0" quotePrefix="1" applyFill="1" applyBorder="1" applyAlignment="1" applyProtection="1">
      <alignment horizontal="left" vertical="center"/>
      <protection locked="0"/>
    </xf>
    <xf numFmtId="0" fontId="0" fillId="24" borderId="52" xfId="0" applyFill="1" applyBorder="1" applyAlignment="1" applyProtection="1">
      <alignment horizontal="left" vertical="center"/>
      <protection locked="0"/>
    </xf>
    <xf numFmtId="0" fontId="99" fillId="2" borderId="0" xfId="0" applyFont="1" applyFill="1" applyAlignment="1" applyProtection="1">
      <alignment horizontal="center" vertical="center"/>
      <protection locked="0"/>
    </xf>
    <xf numFmtId="0" fontId="111" fillId="39" borderId="0" xfId="0" applyFont="1" applyFill="1" applyProtection="1">
      <protection locked="0"/>
    </xf>
    <xf numFmtId="0" fontId="7" fillId="2" borderId="61" xfId="0" applyFont="1" applyFill="1" applyBorder="1" applyAlignment="1" applyProtection="1">
      <alignment vertical="center"/>
      <protection locked="0"/>
    </xf>
    <xf numFmtId="0" fontId="0" fillId="0" borderId="52" xfId="0" applyBorder="1" applyAlignment="1" applyProtection="1">
      <alignment horizontal="left" vertical="center"/>
      <protection locked="0"/>
    </xf>
    <xf numFmtId="0" fontId="7" fillId="2" borderId="52" xfId="0" applyFont="1" applyFill="1" applyBorder="1" applyAlignment="1" applyProtection="1">
      <alignment vertical="center"/>
      <protection locked="0"/>
    </xf>
    <xf numFmtId="0" fontId="102" fillId="2" borderId="59" xfId="6" applyFont="1" applyFill="1" applyBorder="1" applyAlignment="1" applyProtection="1">
      <alignment horizontal="left" vertical="center"/>
      <protection locked="0"/>
    </xf>
    <xf numFmtId="0" fontId="7" fillId="2" borderId="52" xfId="0" applyFont="1" applyFill="1" applyBorder="1" applyAlignment="1" applyProtection="1">
      <alignment vertical="center" wrapText="1"/>
      <protection locked="0"/>
    </xf>
    <xf numFmtId="0" fontId="7" fillId="2" borderId="59" xfId="6" applyFont="1" applyFill="1" applyBorder="1" applyAlignment="1" applyProtection="1">
      <alignment horizontal="left" vertical="center"/>
      <protection locked="0"/>
    </xf>
    <xf numFmtId="0" fontId="72" fillId="2" borderId="58" xfId="6" applyFill="1" applyBorder="1" applyAlignment="1" applyProtection="1">
      <alignment horizontal="center" vertical="center"/>
      <protection locked="0"/>
    </xf>
    <xf numFmtId="0" fontId="102" fillId="2" borderId="58" xfId="6" applyFont="1" applyFill="1" applyBorder="1" applyAlignment="1" applyProtection="1">
      <alignment horizontal="center" vertical="center"/>
      <protection locked="0"/>
    </xf>
    <xf numFmtId="0" fontId="7" fillId="2" borderId="52" xfId="0" applyFont="1" applyFill="1" applyBorder="1" applyAlignment="1" applyProtection="1">
      <alignment horizontal="center" vertical="center"/>
      <protection locked="0"/>
    </xf>
    <xf numFmtId="0" fontId="7" fillId="2" borderId="0" xfId="6" applyFont="1" applyFill="1" applyAlignment="1" applyProtection="1">
      <alignment horizontal="left" vertical="center"/>
      <protection locked="0"/>
    </xf>
    <xf numFmtId="0" fontId="0" fillId="38" borderId="0" xfId="0" applyFill="1" applyProtection="1">
      <protection locked="0"/>
    </xf>
    <xf numFmtId="0" fontId="0" fillId="38" borderId="52" xfId="0" applyFill="1" applyBorder="1" applyAlignment="1" applyProtection="1">
      <alignment horizontal="center" vertical="center"/>
      <protection locked="0"/>
    </xf>
    <xf numFmtId="0" fontId="0" fillId="38" borderId="21" xfId="0" applyFill="1" applyBorder="1" applyAlignment="1" applyProtection="1">
      <alignment horizontal="left" vertical="center"/>
      <protection locked="0"/>
    </xf>
    <xf numFmtId="0" fontId="0" fillId="38" borderId="52" xfId="0" quotePrefix="1" applyFill="1" applyBorder="1" applyAlignment="1" applyProtection="1">
      <alignment horizontal="left" vertical="center"/>
      <protection locked="0"/>
    </xf>
    <xf numFmtId="0" fontId="0" fillId="38" borderId="52" xfId="0" applyFill="1" applyBorder="1" applyAlignment="1" applyProtection="1">
      <alignment horizontal="left" vertical="center"/>
      <protection locked="0"/>
    </xf>
    <xf numFmtId="0" fontId="0" fillId="38" borderId="0" xfId="0" applyFill="1" applyAlignment="1" applyProtection="1">
      <alignment horizontal="center" vertical="center"/>
      <protection locked="0"/>
    </xf>
    <xf numFmtId="0" fontId="0" fillId="38" borderId="0" xfId="0" applyFill="1" applyAlignment="1" applyProtection="1">
      <alignment horizontal="left"/>
      <protection locked="0"/>
    </xf>
    <xf numFmtId="0" fontId="0" fillId="37" borderId="0" xfId="0" applyFill="1" applyProtection="1">
      <protection locked="0"/>
    </xf>
    <xf numFmtId="0" fontId="0" fillId="37" borderId="0" xfId="0" applyFill="1" applyAlignment="1" applyProtection="1">
      <alignment horizontal="center" vertical="center"/>
      <protection locked="0"/>
    </xf>
    <xf numFmtId="0" fontId="0" fillId="37" borderId="0" xfId="0" applyFill="1" applyAlignment="1" applyProtection="1">
      <alignment horizontal="left"/>
      <protection locked="0"/>
    </xf>
    <xf numFmtId="0" fontId="11" fillId="24" borderId="114" xfId="0" applyFont="1" applyFill="1" applyBorder="1" applyProtection="1">
      <protection locked="0"/>
    </xf>
    <xf numFmtId="0" fontId="3" fillId="0" borderId="0" xfId="0" applyFont="1" applyAlignment="1" applyProtection="1">
      <alignment horizontal="center"/>
      <protection locked="0"/>
    </xf>
    <xf numFmtId="0" fontId="3" fillId="0" borderId="0" xfId="0" applyFont="1" applyAlignment="1" applyProtection="1">
      <alignment horizontal="center" vertical="center"/>
      <protection locked="0"/>
    </xf>
    <xf numFmtId="0" fontId="11" fillId="24" borderId="0" xfId="0" applyFont="1" applyFill="1" applyProtection="1">
      <protection locked="0"/>
    </xf>
    <xf numFmtId="0" fontId="0" fillId="0" borderId="0" xfId="0" applyAlignment="1" applyProtection="1">
      <alignment horizontal="center"/>
      <protection locked="0"/>
    </xf>
    <xf numFmtId="0" fontId="2" fillId="27" borderId="0" xfId="0" quotePrefix="1" applyFont="1" applyFill="1" applyAlignment="1" applyProtection="1">
      <alignment horizontal="center"/>
      <protection locked="0"/>
    </xf>
    <xf numFmtId="0" fontId="3" fillId="17" borderId="0" xfId="0" applyFont="1" applyFill="1" applyAlignment="1" applyProtection="1">
      <alignment horizontal="center"/>
      <protection locked="0"/>
    </xf>
    <xf numFmtId="0" fontId="0" fillId="0" borderId="0" xfId="0" applyAlignment="1" applyProtection="1">
      <alignment horizontal="left"/>
      <protection locked="0"/>
    </xf>
    <xf numFmtId="0" fontId="3" fillId="17" borderId="0" xfId="0" applyFont="1" applyFill="1" applyAlignment="1" applyProtection="1">
      <alignment horizontal="center" vertical="center"/>
      <protection locked="0"/>
    </xf>
    <xf numFmtId="0" fontId="3" fillId="0" borderId="52" xfId="0" applyFont="1" applyBorder="1" applyAlignment="1" applyProtection="1">
      <alignment horizontal="center" vertical="center"/>
      <protection locked="0"/>
    </xf>
    <xf numFmtId="0" fontId="3" fillId="17" borderId="0" xfId="0" quotePrefix="1" applyFont="1" applyFill="1" applyAlignment="1" applyProtection="1">
      <alignment horizontal="center" vertical="center"/>
      <protection locked="0"/>
    </xf>
    <xf numFmtId="0" fontId="3" fillId="0" borderId="21" xfId="0" applyFont="1" applyBorder="1" applyAlignment="1" applyProtection="1">
      <alignment horizontal="center" vertical="center"/>
      <protection locked="0"/>
    </xf>
    <xf numFmtId="0" fontId="2" fillId="27" borderId="0" xfId="0" quotePrefix="1" applyFont="1" applyFill="1" applyAlignment="1" applyProtection="1">
      <alignment horizontal="center" vertical="center"/>
      <protection locked="0"/>
    </xf>
    <xf numFmtId="0" fontId="0" fillId="0" borderId="0" xfId="0" quotePrefix="1" applyAlignment="1" applyProtection="1">
      <alignment horizontal="center"/>
      <protection locked="0"/>
    </xf>
    <xf numFmtId="2" fontId="0" fillId="0" borderId="0" xfId="0" quotePrefix="1" applyNumberFormat="1" applyAlignment="1" applyProtection="1">
      <alignment horizontal="center"/>
      <protection locked="0"/>
    </xf>
    <xf numFmtId="0" fontId="3" fillId="0" borderId="70" xfId="0" applyFont="1" applyBorder="1" applyAlignment="1" applyProtection="1">
      <alignment horizontal="center" vertical="center"/>
      <protection locked="0"/>
    </xf>
    <xf numFmtId="0" fontId="3" fillId="0" borderId="21" xfId="0" applyFont="1" applyBorder="1" applyAlignment="1" applyProtection="1">
      <alignment horizontal="center"/>
      <protection locked="0"/>
    </xf>
    <xf numFmtId="0" fontId="8" fillId="0" borderId="21" xfId="0" applyFont="1" applyBorder="1" applyAlignment="1" applyProtection="1">
      <alignment horizontal="center"/>
      <protection locked="0"/>
    </xf>
    <xf numFmtId="49" fontId="0" fillId="0" borderId="21" xfId="0" applyNumberFormat="1" applyBorder="1" applyAlignment="1" applyProtection="1">
      <alignment horizontal="center"/>
      <protection locked="0"/>
    </xf>
    <xf numFmtId="49" fontId="0" fillId="0" borderId="21" xfId="0" applyNumberFormat="1" applyBorder="1" applyProtection="1">
      <protection locked="0"/>
    </xf>
    <xf numFmtId="0" fontId="3" fillId="4" borderId="21" xfId="0" applyFont="1" applyFill="1" applyBorder="1" applyAlignment="1" applyProtection="1">
      <alignment horizontal="center"/>
      <protection locked="0"/>
    </xf>
    <xf numFmtId="0" fontId="3" fillId="0" borderId="78" xfId="0" applyFont="1" applyBorder="1" applyAlignment="1" applyProtection="1">
      <alignment horizontal="center"/>
      <protection locked="0"/>
    </xf>
    <xf numFmtId="0" fontId="3" fillId="0" borderId="78" xfId="0" applyFont="1" applyBorder="1" applyAlignment="1" applyProtection="1">
      <alignment horizontal="center" vertical="center"/>
      <protection locked="0"/>
    </xf>
    <xf numFmtId="0" fontId="3" fillId="0" borderId="113" xfId="0" applyFont="1" applyBorder="1" applyAlignment="1" applyProtection="1">
      <alignment horizontal="center" vertical="center"/>
      <protection locked="0"/>
    </xf>
    <xf numFmtId="0" fontId="0" fillId="4" borderId="52" xfId="0" applyFill="1" applyBorder="1" applyAlignment="1" applyProtection="1">
      <alignment horizontal="center" vertical="center"/>
      <protection locked="0"/>
    </xf>
    <xf numFmtId="0" fontId="3" fillId="24" borderId="52" xfId="0" applyFont="1" applyFill="1" applyBorder="1" applyAlignment="1" applyProtection="1">
      <alignment horizontal="center" vertical="center"/>
      <protection locked="0"/>
    </xf>
    <xf numFmtId="0" fontId="0" fillId="4" borderId="21" xfId="0" applyFill="1" applyBorder="1" applyAlignment="1" applyProtection="1">
      <alignment horizontal="left" vertical="center"/>
      <protection locked="0"/>
    </xf>
    <xf numFmtId="0" fontId="0" fillId="4" borderId="52" xfId="0" applyFill="1" applyBorder="1" applyAlignment="1" applyProtection="1">
      <alignment horizontal="left" vertical="center"/>
      <protection locked="0"/>
    </xf>
    <xf numFmtId="0" fontId="0" fillId="4" borderId="70" xfId="0" applyFill="1" applyBorder="1" applyAlignment="1" applyProtection="1">
      <alignment horizontal="center" vertical="center"/>
      <protection locked="0"/>
    </xf>
    <xf numFmtId="1" fontId="7" fillId="14" borderId="21" xfId="0" applyNumberFormat="1" applyFont="1" applyFill="1" applyBorder="1" applyAlignment="1" applyProtection="1">
      <alignment horizontal="center"/>
      <protection locked="0"/>
    </xf>
    <xf numFmtId="0" fontId="7" fillId="14" borderId="21" xfId="0" applyFont="1" applyFill="1" applyBorder="1" applyAlignment="1" applyProtection="1">
      <alignment horizontal="center"/>
      <protection locked="0"/>
    </xf>
    <xf numFmtId="0" fontId="0" fillId="4" borderId="21" xfId="0" applyFill="1" applyBorder="1" applyAlignment="1" applyProtection="1">
      <alignment horizontal="left"/>
      <protection locked="0"/>
    </xf>
    <xf numFmtId="0" fontId="0" fillId="4" borderId="21" xfId="0" applyFill="1" applyBorder="1" applyProtection="1">
      <protection locked="0"/>
    </xf>
    <xf numFmtId="0" fontId="0" fillId="4" borderId="52" xfId="0" applyFill="1" applyBorder="1" applyAlignment="1" applyProtection="1">
      <alignment horizontal="center"/>
      <protection locked="0"/>
    </xf>
    <xf numFmtId="0" fontId="0" fillId="4" borderId="52" xfId="0" applyFill="1" applyBorder="1" applyAlignment="1" applyProtection="1">
      <alignment horizontal="left"/>
      <protection locked="0"/>
    </xf>
    <xf numFmtId="0" fontId="0" fillId="4" borderId="54" xfId="0" applyFill="1" applyBorder="1" applyAlignment="1" applyProtection="1">
      <alignment horizontal="left" vertical="center"/>
      <protection locked="0"/>
    </xf>
    <xf numFmtId="0" fontId="3" fillId="2" borderId="52" xfId="0" applyFont="1" applyFill="1" applyBorder="1" applyAlignment="1" applyProtection="1">
      <alignment horizontal="center" vertical="center"/>
      <protection locked="0"/>
    </xf>
    <xf numFmtId="0" fontId="0" fillId="22" borderId="53" xfId="0" quotePrefix="1" applyFill="1" applyBorder="1" applyProtection="1">
      <protection locked="0"/>
    </xf>
    <xf numFmtId="0" fontId="0" fillId="0" borderId="0" xfId="0" applyAlignment="1" applyProtection="1">
      <alignment horizontal="right"/>
      <protection locked="0"/>
    </xf>
    <xf numFmtId="0" fontId="4" fillId="27" borderId="0" xfId="0" quotePrefix="1" applyFont="1" applyFill="1" applyAlignment="1" applyProtection="1">
      <alignment horizontal="center" vertical="center"/>
      <protection locked="0"/>
    </xf>
    <xf numFmtId="0" fontId="3" fillId="0" borderId="52" xfId="0" applyFont="1" applyBorder="1" applyProtection="1">
      <protection locked="0"/>
    </xf>
    <xf numFmtId="0" fontId="3" fillId="0" borderId="53" xfId="0" applyFont="1" applyBorder="1" applyAlignment="1" applyProtection="1">
      <alignment horizontal="center" vertical="center"/>
      <protection locked="0"/>
    </xf>
    <xf numFmtId="0" fontId="3" fillId="0" borderId="56" xfId="0" applyFont="1" applyBorder="1" applyAlignment="1" applyProtection="1">
      <alignment horizontal="center" vertical="center"/>
      <protection locked="0"/>
    </xf>
    <xf numFmtId="0" fontId="3" fillId="0" borderId="60" xfId="0" applyFont="1" applyBorder="1" applyAlignment="1" applyProtection="1">
      <alignment horizontal="center" vertical="center"/>
      <protection locked="0"/>
    </xf>
    <xf numFmtId="0" fontId="3" fillId="0" borderId="52" xfId="0" applyFont="1" applyBorder="1" applyAlignment="1" applyProtection="1">
      <alignment horizontal="left" vertical="center"/>
      <protection locked="0"/>
    </xf>
    <xf numFmtId="0" fontId="3" fillId="21" borderId="52" xfId="0" applyFont="1" applyFill="1" applyBorder="1" applyAlignment="1" applyProtection="1">
      <alignment horizontal="center" vertical="center"/>
      <protection locked="0"/>
    </xf>
    <xf numFmtId="0" fontId="3" fillId="0" borderId="52" xfId="0" applyFont="1" applyBorder="1" applyAlignment="1" applyProtection="1">
      <alignment horizontal="right" vertical="center"/>
      <protection locked="0"/>
    </xf>
    <xf numFmtId="0" fontId="0" fillId="3" borderId="52" xfId="0" applyFill="1" applyBorder="1" applyAlignment="1" applyProtection="1">
      <alignment vertical="center" wrapText="1"/>
      <protection locked="0"/>
    </xf>
    <xf numFmtId="0" fontId="12" fillId="0" borderId="0" xfId="0" applyFont="1" applyProtection="1">
      <protection locked="0"/>
    </xf>
    <xf numFmtId="2" fontId="0" fillId="0" borderId="0" xfId="0" applyNumberFormat="1" applyProtection="1">
      <protection locked="0"/>
    </xf>
    <xf numFmtId="0" fontId="0" fillId="4" borderId="52" xfId="0" applyFill="1" applyBorder="1" applyProtection="1">
      <protection locked="0"/>
    </xf>
    <xf numFmtId="0" fontId="7" fillId="31" borderId="52" xfId="0" applyFont="1" applyFill="1" applyBorder="1" applyAlignment="1" applyProtection="1">
      <alignment horizontal="center" vertical="center"/>
      <protection locked="0"/>
    </xf>
    <xf numFmtId="0" fontId="7" fillId="31" borderId="54" xfId="0" applyFont="1" applyFill="1" applyBorder="1" applyAlignment="1" applyProtection="1">
      <alignment horizontal="center" vertical="center"/>
      <protection locked="0"/>
    </xf>
    <xf numFmtId="0" fontId="0" fillId="2" borderId="53" xfId="0" applyFill="1" applyBorder="1" applyAlignment="1" applyProtection="1">
      <alignment horizontal="center" vertical="center"/>
      <protection locked="0"/>
    </xf>
    <xf numFmtId="0" fontId="0" fillId="2" borderId="60" xfId="0" applyFill="1" applyBorder="1" applyAlignment="1" applyProtection="1">
      <alignment horizontal="center" vertical="center"/>
      <protection locked="0"/>
    </xf>
    <xf numFmtId="0" fontId="0" fillId="2" borderId="52" xfId="0" applyFill="1" applyBorder="1" applyAlignment="1" applyProtection="1">
      <alignment horizontal="left" vertical="center"/>
      <protection locked="0"/>
    </xf>
    <xf numFmtId="0" fontId="0" fillId="2" borderId="71" xfId="0" applyFill="1" applyBorder="1" applyAlignment="1" applyProtection="1">
      <alignment horizontal="center" vertical="center" wrapText="1"/>
      <protection locked="0"/>
    </xf>
    <xf numFmtId="0" fontId="0" fillId="0" borderId="52" xfId="0" applyBorder="1" applyAlignment="1" applyProtection="1">
      <alignment horizontal="center"/>
      <protection locked="0"/>
    </xf>
    <xf numFmtId="0" fontId="0" fillId="2" borderId="86" xfId="0" applyFill="1" applyBorder="1" applyAlignment="1" applyProtection="1">
      <alignment horizontal="center" vertical="center"/>
      <protection locked="0"/>
    </xf>
    <xf numFmtId="0" fontId="3" fillId="0" borderId="21" xfId="0" applyFont="1" applyBorder="1" applyAlignment="1" applyProtection="1">
      <alignment horizontal="right" vertical="center"/>
      <protection locked="0"/>
    </xf>
    <xf numFmtId="0" fontId="3" fillId="24" borderId="54" xfId="0" applyFont="1" applyFill="1" applyBorder="1" applyAlignment="1" applyProtection="1">
      <alignment horizontal="center" vertical="center"/>
      <protection locked="0"/>
    </xf>
    <xf numFmtId="0" fontId="0" fillId="0" borderId="146" xfId="0" applyBorder="1" applyProtection="1">
      <protection locked="0"/>
    </xf>
    <xf numFmtId="0" fontId="3" fillId="16" borderId="0" xfId="0" applyFont="1" applyFill="1" applyProtection="1">
      <protection locked="0"/>
    </xf>
    <xf numFmtId="0" fontId="3" fillId="16" borderId="0" xfId="0" applyFont="1" applyFill="1" applyAlignment="1" applyProtection="1">
      <alignment horizontal="center" vertical="center"/>
      <protection locked="0"/>
    </xf>
    <xf numFmtId="0" fontId="3" fillId="16" borderId="0" xfId="0" applyFont="1" applyFill="1" applyAlignment="1" applyProtection="1">
      <alignment horizontal="center"/>
      <protection locked="0"/>
    </xf>
    <xf numFmtId="1" fontId="0" fillId="2" borderId="52" xfId="0" applyNumberFormat="1" applyFill="1" applyBorder="1" applyAlignment="1" applyProtection="1">
      <alignment horizontal="center" vertical="center"/>
      <protection locked="0"/>
    </xf>
    <xf numFmtId="0" fontId="0" fillId="4" borderId="52" xfId="0" quotePrefix="1" applyFill="1" applyBorder="1" applyAlignment="1" applyProtection="1">
      <alignment horizontal="center" vertical="center"/>
      <protection locked="0"/>
    </xf>
    <xf numFmtId="0" fontId="0" fillId="0" borderId="21" xfId="0" applyBorder="1" applyProtection="1">
      <protection locked="0"/>
    </xf>
    <xf numFmtId="0" fontId="3" fillId="2" borderId="21" xfId="0" applyFont="1" applyFill="1" applyBorder="1" applyAlignment="1" applyProtection="1">
      <alignment horizontal="center" vertical="center"/>
      <protection locked="0"/>
    </xf>
    <xf numFmtId="165" fontId="0" fillId="4" borderId="21" xfId="0" applyNumberFormat="1" applyFill="1" applyBorder="1" applyAlignment="1" applyProtection="1">
      <alignment horizontal="center" vertical="center"/>
      <protection locked="0"/>
    </xf>
    <xf numFmtId="0" fontId="0" fillId="2" borderId="61"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0" fillId="18" borderId="21" xfId="0" applyFill="1" applyBorder="1" applyAlignment="1" applyProtection="1">
      <alignment horizontal="left" vertical="center"/>
      <protection locked="0"/>
    </xf>
    <xf numFmtId="0" fontId="7" fillId="31" borderId="61" xfId="0" applyFont="1" applyFill="1" applyBorder="1" applyAlignment="1" applyProtection="1">
      <alignment horizontal="center" vertical="center"/>
      <protection locked="0"/>
    </xf>
    <xf numFmtId="0" fontId="0" fillId="4" borderId="70" xfId="0" applyFill="1" applyBorder="1" applyAlignment="1" applyProtection="1">
      <alignment horizontal="left" vertical="center"/>
      <protection locked="0"/>
    </xf>
    <xf numFmtId="0" fontId="4" fillId="33" borderId="0" xfId="0" quotePrefix="1" applyFont="1" applyFill="1" applyAlignment="1" applyProtection="1">
      <alignment horizontal="center" vertical="center"/>
      <protection locked="0"/>
    </xf>
    <xf numFmtId="0" fontId="3" fillId="17" borderId="52" xfId="0" applyFont="1" applyFill="1" applyBorder="1" applyAlignment="1" applyProtection="1">
      <alignment horizontal="right" vertical="center"/>
      <protection locked="0"/>
    </xf>
    <xf numFmtId="0" fontId="0" fillId="17" borderId="71" xfId="0" applyFill="1" applyBorder="1" applyAlignment="1" applyProtection="1">
      <alignment horizontal="center" vertical="center" wrapText="1"/>
      <protection locked="0"/>
    </xf>
    <xf numFmtId="0" fontId="11" fillId="0" borderId="52" xfId="0" applyFont="1" applyBorder="1" applyAlignment="1" applyProtection="1">
      <alignment horizontal="left" vertical="center"/>
      <protection locked="0"/>
    </xf>
    <xf numFmtId="0" fontId="0" fillId="4" borderId="0" xfId="0" applyFill="1" applyAlignment="1" applyProtection="1">
      <alignment vertical="center"/>
      <protection locked="0"/>
    </xf>
    <xf numFmtId="0" fontId="0" fillId="4" borderId="52" xfId="0" applyFill="1" applyBorder="1" applyAlignment="1" applyProtection="1">
      <alignment vertical="center"/>
      <protection locked="0"/>
    </xf>
    <xf numFmtId="0" fontId="0" fillId="4" borderId="59" xfId="0" applyFill="1" applyBorder="1" applyAlignment="1" applyProtection="1">
      <alignment vertical="center"/>
      <protection locked="0"/>
    </xf>
    <xf numFmtId="0" fontId="0" fillId="4" borderId="56" xfId="0" applyFill="1" applyBorder="1" applyAlignment="1" applyProtection="1">
      <alignment vertical="center"/>
      <protection locked="0"/>
    </xf>
    <xf numFmtId="0" fontId="0" fillId="4" borderId="53" xfId="0" applyFill="1" applyBorder="1" applyAlignment="1" applyProtection="1">
      <alignment horizontal="left" vertical="center"/>
      <protection locked="0"/>
    </xf>
    <xf numFmtId="0" fontId="3" fillId="0" borderId="52" xfId="0" applyFont="1" applyBorder="1" applyAlignment="1" applyProtection="1">
      <alignment horizontal="center"/>
      <protection locked="0"/>
    </xf>
    <xf numFmtId="0" fontId="0" fillId="2" borderId="52" xfId="0" applyFill="1" applyBorder="1" applyAlignment="1" applyProtection="1">
      <alignment vertical="center"/>
      <protection locked="0"/>
    </xf>
    <xf numFmtId="0" fontId="0" fillId="2" borderId="60" xfId="0" applyFill="1" applyBorder="1" applyAlignment="1" applyProtection="1">
      <alignment horizontal="left" vertical="center"/>
      <protection locked="0"/>
    </xf>
    <xf numFmtId="0" fontId="0" fillId="4" borderId="21" xfId="0" quotePrefix="1" applyFill="1" applyBorder="1" applyAlignment="1" applyProtection="1">
      <alignment horizontal="center"/>
      <protection locked="0"/>
    </xf>
    <xf numFmtId="0" fontId="7" fillId="31" borderId="53" xfId="0" applyFont="1" applyFill="1" applyBorder="1" applyAlignment="1" applyProtection="1">
      <alignment horizontal="center" vertical="center"/>
      <protection locked="0"/>
    </xf>
    <xf numFmtId="2" fontId="0" fillId="4" borderId="52" xfId="0" applyNumberFormat="1" applyFill="1" applyBorder="1" applyAlignment="1" applyProtection="1">
      <alignment horizontal="center" vertical="center"/>
      <protection locked="0"/>
    </xf>
    <xf numFmtId="0" fontId="0" fillId="4" borderId="60" xfId="0" applyFill="1" applyBorder="1" applyAlignment="1" applyProtection="1">
      <alignment horizontal="center" vertical="center"/>
      <protection locked="0"/>
    </xf>
    <xf numFmtId="0" fontId="0" fillId="4" borderId="61" xfId="0" applyFill="1" applyBorder="1" applyAlignment="1" applyProtection="1">
      <alignment horizontal="left" vertical="center"/>
      <protection locked="0"/>
    </xf>
    <xf numFmtId="0" fontId="3" fillId="24" borderId="49" xfId="0" applyFont="1" applyFill="1" applyBorder="1" applyAlignment="1" applyProtection="1">
      <alignment horizontal="center" vertical="center"/>
      <protection locked="0"/>
    </xf>
    <xf numFmtId="0" fontId="0" fillId="19" borderId="21" xfId="0" applyFill="1" applyBorder="1" applyAlignment="1" applyProtection="1">
      <alignment horizontal="left" vertical="center"/>
      <protection locked="0"/>
    </xf>
    <xf numFmtId="0" fontId="0" fillId="4" borderId="86" xfId="0" applyFill="1" applyBorder="1" applyAlignment="1" applyProtection="1">
      <alignment horizontal="left" vertical="center"/>
      <protection locked="0"/>
    </xf>
    <xf numFmtId="0" fontId="0" fillId="4" borderId="86" xfId="0" applyFill="1" applyBorder="1" applyAlignment="1" applyProtection="1">
      <alignment horizontal="center" vertical="center"/>
      <protection locked="0"/>
    </xf>
    <xf numFmtId="0" fontId="0" fillId="0" borderId="52" xfId="0" quotePrefix="1" applyBorder="1" applyAlignment="1" applyProtection="1">
      <alignment horizontal="left"/>
      <protection locked="0"/>
    </xf>
    <xf numFmtId="0" fontId="0" fillId="0" borderId="53" xfId="0" applyBorder="1" applyAlignment="1" applyProtection="1">
      <alignment horizontal="center" vertical="center"/>
      <protection locked="0"/>
    </xf>
    <xf numFmtId="0" fontId="0" fillId="4" borderId="61" xfId="0" applyFill="1" applyBorder="1" applyAlignment="1" applyProtection="1">
      <alignment horizontal="center" vertical="center"/>
      <protection locked="0"/>
    </xf>
    <xf numFmtId="0" fontId="0" fillId="2" borderId="58" xfId="0" applyFill="1" applyBorder="1" applyAlignment="1" applyProtection="1">
      <alignment vertical="center"/>
      <protection locked="0"/>
    </xf>
    <xf numFmtId="0" fontId="0" fillId="4" borderId="54" xfId="0" applyFill="1" applyBorder="1" applyProtection="1">
      <protection locked="0"/>
    </xf>
    <xf numFmtId="0" fontId="0" fillId="4" borderId="60" xfId="0" applyFill="1" applyBorder="1" applyAlignment="1" applyProtection="1">
      <alignment horizontal="left" vertical="center"/>
      <protection locked="0"/>
    </xf>
    <xf numFmtId="0" fontId="0" fillId="4" borderId="21" xfId="0" quotePrefix="1" applyFill="1" applyBorder="1" applyProtection="1">
      <protection locked="0"/>
    </xf>
    <xf numFmtId="0" fontId="2" fillId="35" borderId="0" xfId="0" quotePrefix="1" applyFont="1" applyFill="1" applyAlignment="1" applyProtection="1">
      <alignment horizontal="center" vertical="center"/>
      <protection locked="0"/>
    </xf>
    <xf numFmtId="0" fontId="0" fillId="0" borderId="0" xfId="0" quotePrefix="1" applyProtection="1">
      <protection locked="0"/>
    </xf>
    <xf numFmtId="0" fontId="3" fillId="0" borderId="124" xfId="0" applyFont="1" applyBorder="1" applyAlignment="1" applyProtection="1">
      <alignment horizontal="left" vertical="center"/>
      <protection locked="0"/>
    </xf>
    <xf numFmtId="0" fontId="0" fillId="0" borderId="119" xfId="0" applyBorder="1" applyProtection="1">
      <protection locked="0"/>
    </xf>
    <xf numFmtId="0" fontId="0" fillId="0" borderId="11" xfId="0" applyBorder="1" applyProtection="1">
      <protection locked="0"/>
    </xf>
    <xf numFmtId="0" fontId="2" fillId="29" borderId="0" xfId="0" applyFont="1" applyFill="1" applyAlignment="1" applyProtection="1">
      <alignment horizontal="center"/>
      <protection locked="0"/>
    </xf>
    <xf numFmtId="165" fontId="0" fillId="4" borderId="70" xfId="0" applyNumberFormat="1" applyFill="1" applyBorder="1" applyAlignment="1" applyProtection="1">
      <alignment horizontal="center" vertical="center"/>
      <protection locked="0"/>
    </xf>
    <xf numFmtId="0" fontId="0" fillId="4" borderId="60" xfId="0" quotePrefix="1" applyFill="1" applyBorder="1" applyAlignment="1" applyProtection="1">
      <alignment horizontal="left" vertical="center"/>
      <protection locked="0"/>
    </xf>
    <xf numFmtId="0" fontId="3" fillId="0" borderId="21" xfId="0" applyFont="1" applyBorder="1" applyAlignment="1" applyProtection="1">
      <alignment horizontal="left" vertical="center"/>
      <protection locked="0"/>
    </xf>
    <xf numFmtId="0" fontId="3" fillId="4" borderId="21" xfId="0" applyFont="1" applyFill="1" applyBorder="1" applyAlignment="1" applyProtection="1">
      <alignment horizontal="center" vertical="center"/>
      <protection locked="0"/>
    </xf>
    <xf numFmtId="0" fontId="3" fillId="0" borderId="71" xfId="0" applyFont="1" applyBorder="1" applyAlignment="1" applyProtection="1">
      <alignment horizontal="center" vertical="center"/>
      <protection locked="0"/>
    </xf>
    <xf numFmtId="0" fontId="3" fillId="0" borderId="78" xfId="0" applyFont="1" applyBorder="1" applyAlignment="1" applyProtection="1">
      <alignment horizontal="right" vertical="center"/>
      <protection locked="0"/>
    </xf>
    <xf numFmtId="0" fontId="3" fillId="17" borderId="52" xfId="0" applyFont="1" applyFill="1" applyBorder="1" applyAlignment="1" applyProtection="1">
      <alignment horizontal="center" vertical="center"/>
      <protection locked="0"/>
    </xf>
    <xf numFmtId="0" fontId="0" fillId="4" borderId="83" xfId="0" applyFill="1" applyBorder="1" applyAlignment="1" applyProtection="1">
      <alignment horizontal="center" vertical="center"/>
      <protection locked="0"/>
    </xf>
    <xf numFmtId="0" fontId="4" fillId="27" borderId="0" xfId="0" applyFont="1" applyFill="1" applyAlignment="1" applyProtection="1">
      <alignment horizontal="center" vertical="center"/>
      <protection locked="0"/>
    </xf>
    <xf numFmtId="0" fontId="0" fillId="6" borderId="52" xfId="0" applyFill="1" applyBorder="1" applyAlignment="1" applyProtection="1">
      <alignment horizontal="left" vertical="center"/>
      <protection locked="0"/>
    </xf>
    <xf numFmtId="14" fontId="0" fillId="4" borderId="52" xfId="0" applyNumberFormat="1" applyFill="1" applyBorder="1" applyAlignment="1" applyProtection="1">
      <alignment horizontal="center" vertical="center"/>
      <protection locked="0"/>
    </xf>
    <xf numFmtId="14" fontId="0" fillId="4" borderId="52" xfId="0" applyNumberFormat="1" applyFill="1" applyBorder="1" applyAlignment="1" applyProtection="1">
      <alignment horizontal="center"/>
      <protection locked="0"/>
    </xf>
    <xf numFmtId="0" fontId="57" fillId="4" borderId="21"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protection locked="0"/>
    </xf>
    <xf numFmtId="0" fontId="0" fillId="0" borderId="56" xfId="0" applyBorder="1" applyProtection="1">
      <protection locked="0"/>
    </xf>
    <xf numFmtId="0" fontId="0" fillId="0" borderId="57" xfId="0" applyBorder="1" applyProtection="1">
      <protection locked="0"/>
    </xf>
    <xf numFmtId="0" fontId="2" fillId="27" borderId="0" xfId="0" applyFont="1" applyFill="1" applyAlignment="1" applyProtection="1">
      <alignment horizontal="center" vertical="center"/>
      <protection locked="0"/>
    </xf>
    <xf numFmtId="0" fontId="0" fillId="0" borderId="62" xfId="0" applyBorder="1" applyProtection="1">
      <protection locked="0"/>
    </xf>
    <xf numFmtId="0" fontId="0" fillId="0" borderId="63" xfId="0" applyBorder="1" applyProtection="1">
      <protection locked="0"/>
    </xf>
    <xf numFmtId="0" fontId="0" fillId="4" borderId="60" xfId="0" applyFill="1" applyBorder="1" applyProtection="1">
      <protection locked="0"/>
    </xf>
    <xf numFmtId="0" fontId="0" fillId="0" borderId="21" xfId="0" applyBorder="1" applyAlignment="1" applyProtection="1">
      <alignment horizontal="center" vertical="center"/>
      <protection locked="0"/>
    </xf>
    <xf numFmtId="0" fontId="2" fillId="27" borderId="62" xfId="0" applyFont="1" applyFill="1" applyBorder="1" applyAlignment="1" applyProtection="1">
      <alignment horizontal="center" vertical="center"/>
      <protection locked="0"/>
    </xf>
    <xf numFmtId="0" fontId="2" fillId="27" borderId="63" xfId="0" applyFont="1" applyFill="1" applyBorder="1" applyAlignment="1" applyProtection="1">
      <alignment horizontal="center" vertical="center"/>
      <protection locked="0"/>
    </xf>
    <xf numFmtId="0" fontId="0" fillId="4" borderId="84" xfId="0"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0" borderId="137" xfId="0" applyBorder="1" applyAlignment="1" applyProtection="1">
      <alignment horizontal="center" vertical="center"/>
      <protection locked="0"/>
    </xf>
    <xf numFmtId="0" fontId="0" fillId="0" borderId="138" xfId="0" applyBorder="1" applyAlignment="1" applyProtection="1">
      <alignment horizontal="center" vertical="center"/>
      <protection locked="0"/>
    </xf>
    <xf numFmtId="0" fontId="0" fillId="22" borderId="70" xfId="0" applyFill="1" applyBorder="1" applyAlignment="1" applyProtection="1">
      <alignment horizontal="center"/>
      <protection locked="0"/>
    </xf>
    <xf numFmtId="0" fontId="3" fillId="0" borderId="0" xfId="0" applyFont="1" applyProtection="1">
      <protection locked="0"/>
    </xf>
    <xf numFmtId="0" fontId="2" fillId="29" borderId="0" xfId="0" applyFont="1" applyFill="1" applyProtection="1">
      <protection locked="0"/>
    </xf>
    <xf numFmtId="0" fontId="0" fillId="0" borderId="0" xfId="0" applyAlignment="1" applyProtection="1">
      <alignment horizontal="left" vertical="center"/>
      <protection locked="0"/>
    </xf>
    <xf numFmtId="0" fontId="0" fillId="4" borderId="0" xfId="0" applyFill="1" applyProtection="1">
      <protection locked="0"/>
    </xf>
    <xf numFmtId="0" fontId="2" fillId="29" borderId="55" xfId="0" applyFont="1" applyFill="1" applyBorder="1" applyAlignment="1" applyProtection="1">
      <alignment horizontal="center" vertical="center"/>
      <protection locked="0"/>
    </xf>
    <xf numFmtId="0" fontId="3" fillId="4" borderId="0" xfId="0" applyFont="1" applyFill="1" applyAlignment="1" applyProtection="1">
      <alignment horizontal="center" vertical="center"/>
      <protection locked="0"/>
    </xf>
    <xf numFmtId="0" fontId="0" fillId="4" borderId="0" xfId="0" applyFill="1" applyAlignment="1" applyProtection="1">
      <alignment horizontal="center"/>
      <protection locked="0"/>
    </xf>
    <xf numFmtId="0" fontId="3" fillId="4" borderId="43" xfId="0" applyFont="1" applyFill="1" applyBorder="1" applyAlignment="1" applyProtection="1">
      <alignment horizontal="center" vertical="center"/>
      <protection locked="0"/>
    </xf>
    <xf numFmtId="0" fontId="0" fillId="4" borderId="43" xfId="0" applyFill="1" applyBorder="1" applyAlignment="1" applyProtection="1">
      <alignment horizontal="center"/>
      <protection locked="0"/>
    </xf>
    <xf numFmtId="0" fontId="3" fillId="4" borderId="43" xfId="0" applyFont="1" applyFill="1" applyBorder="1" applyAlignment="1" applyProtection="1">
      <alignment horizontal="right"/>
      <protection locked="0"/>
    </xf>
    <xf numFmtId="0" fontId="0" fillId="4" borderId="43" xfId="0" applyFill="1" applyBorder="1" applyAlignment="1" applyProtection="1">
      <alignment horizontal="center" vertical="center"/>
      <protection locked="0"/>
    </xf>
    <xf numFmtId="0" fontId="0" fillId="0" borderId="0" xfId="0" quotePrefix="1" applyAlignment="1" applyProtection="1">
      <alignment horizontal="center" vertical="center"/>
      <protection locked="0"/>
    </xf>
    <xf numFmtId="0" fontId="3" fillId="4" borderId="43" xfId="0" applyFont="1" applyFill="1" applyBorder="1" applyAlignment="1" applyProtection="1">
      <alignment horizontal="center"/>
      <protection locked="0"/>
    </xf>
    <xf numFmtId="0" fontId="0" fillId="4" borderId="21" xfId="0" quotePrefix="1" applyFill="1" applyBorder="1" applyAlignment="1" applyProtection="1">
      <alignment horizontal="left"/>
      <protection locked="0"/>
    </xf>
    <xf numFmtId="0" fontId="0" fillId="0" borderId="21" xfId="0" applyBorder="1" applyAlignment="1" applyProtection="1">
      <alignment horizontal="left" vertical="center"/>
      <protection locked="0"/>
    </xf>
    <xf numFmtId="0" fontId="0" fillId="4" borderId="43" xfId="0" applyFill="1" applyBorder="1" applyProtection="1">
      <protection locked="0"/>
    </xf>
    <xf numFmtId="0" fontId="3" fillId="4" borderId="0" xfId="0" applyFont="1" applyFill="1" applyAlignment="1" applyProtection="1">
      <alignment horizontal="center"/>
      <protection locked="0"/>
    </xf>
    <xf numFmtId="0" fontId="3" fillId="24" borderId="21" xfId="0" applyFon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21" xfId="0" applyFill="1" applyBorder="1" applyAlignment="1" applyProtection="1">
      <alignment horizontal="center"/>
      <protection locked="0"/>
    </xf>
    <xf numFmtId="2" fontId="0" fillId="4" borderId="21" xfId="0" applyNumberFormat="1" applyFill="1" applyBorder="1" applyAlignment="1" applyProtection="1">
      <alignment horizontal="center" vertical="center"/>
      <protection locked="0"/>
    </xf>
    <xf numFmtId="0" fontId="3" fillId="0" borderId="52" xfId="0" quotePrefix="1" applyFont="1" applyBorder="1" applyAlignment="1" applyProtection="1">
      <alignment horizontal="left" vertical="center"/>
      <protection locked="0"/>
    </xf>
    <xf numFmtId="0" fontId="0" fillId="0" borderId="139" xfId="0" applyBorder="1" applyAlignment="1" applyProtection="1">
      <alignment horizontal="center" vertical="center"/>
      <protection locked="0"/>
    </xf>
    <xf numFmtId="0" fontId="0" fillId="0" borderId="92" xfId="0" applyBorder="1" applyAlignment="1" applyProtection="1">
      <alignment horizontal="center" vertical="center"/>
      <protection locked="0"/>
    </xf>
    <xf numFmtId="0" fontId="0" fillId="0" borderId="140" xfId="0" applyBorder="1" applyAlignment="1" applyProtection="1">
      <alignment horizontal="center" vertical="center"/>
      <protection locked="0"/>
    </xf>
    <xf numFmtId="0" fontId="3" fillId="0" borderId="54" xfId="0" applyFont="1" applyBorder="1" applyAlignment="1" applyProtection="1">
      <alignment horizontal="center" vertical="center"/>
      <protection locked="0"/>
    </xf>
    <xf numFmtId="0" fontId="0" fillId="0" borderId="52" xfId="0" applyBorder="1" applyAlignment="1" applyProtection="1">
      <alignment vertical="center"/>
      <protection locked="0"/>
    </xf>
    <xf numFmtId="0" fontId="0" fillId="0" borderId="54" xfId="0" applyBorder="1" applyAlignment="1" applyProtection="1">
      <alignment horizontal="center"/>
      <protection locked="0"/>
    </xf>
    <xf numFmtId="0" fontId="12" fillId="0" borderId="52" xfId="0" applyFont="1" applyBorder="1" applyAlignment="1" applyProtection="1">
      <alignment vertical="center"/>
      <protection locked="0"/>
    </xf>
    <xf numFmtId="0" fontId="7" fillId="31" borderId="52" xfId="0" applyFont="1" applyFill="1" applyBorder="1" applyAlignment="1" applyProtection="1">
      <alignment horizontal="center"/>
      <protection locked="0"/>
    </xf>
    <xf numFmtId="0" fontId="2" fillId="29" borderId="62" xfId="0" applyFont="1" applyFill="1" applyBorder="1" applyAlignment="1" applyProtection="1">
      <alignment horizontal="center" vertical="center"/>
      <protection locked="0"/>
    </xf>
    <xf numFmtId="0" fontId="0" fillId="4" borderId="53" xfId="0" applyFill="1" applyBorder="1" applyAlignment="1" applyProtection="1">
      <alignment horizontal="center" vertical="center"/>
      <protection locked="0"/>
    </xf>
    <xf numFmtId="0" fontId="0" fillId="0" borderId="62" xfId="0" applyBorder="1" applyAlignment="1" applyProtection="1">
      <alignment horizontal="center"/>
      <protection locked="0"/>
    </xf>
    <xf numFmtId="0" fontId="0" fillId="0" borderId="86" xfId="0" applyBorder="1" applyAlignment="1" applyProtection="1">
      <alignment horizontal="center"/>
      <protection locked="0"/>
    </xf>
    <xf numFmtId="0" fontId="0" fillId="3" borderId="0" xfId="0" applyFill="1" applyProtection="1">
      <protection locked="0"/>
    </xf>
    <xf numFmtId="0" fontId="0" fillId="2" borderId="70" xfId="0" applyFill="1" applyBorder="1" applyProtection="1">
      <protection locked="0"/>
    </xf>
    <xf numFmtId="0" fontId="0" fillId="2" borderId="70" xfId="0" applyFill="1" applyBorder="1" applyAlignment="1" applyProtection="1">
      <alignment horizontal="center" vertical="center"/>
      <protection locked="0"/>
    </xf>
    <xf numFmtId="0" fontId="2" fillId="29" borderId="55" xfId="0" quotePrefix="1" applyFont="1" applyFill="1" applyBorder="1" applyAlignment="1" applyProtection="1">
      <alignment horizontal="center" vertical="center"/>
      <protection locked="0"/>
    </xf>
    <xf numFmtId="0" fontId="0" fillId="0" borderId="21" xfId="0" applyBorder="1" applyAlignment="1" applyProtection="1">
      <alignment horizontal="center"/>
      <protection locked="0"/>
    </xf>
    <xf numFmtId="0" fontId="0" fillId="0" borderId="71" xfId="0" applyBorder="1" applyProtection="1">
      <protection locked="0"/>
    </xf>
    <xf numFmtId="0" fontId="3" fillId="0" borderId="0" xfId="0" applyFont="1" applyAlignment="1" applyProtection="1">
      <alignment horizontal="right"/>
      <protection locked="0"/>
    </xf>
    <xf numFmtId="0" fontId="0" fillId="0" borderId="21" xfId="0" quotePrefix="1" applyBorder="1" applyProtection="1">
      <protection locked="0"/>
    </xf>
    <xf numFmtId="0" fontId="0" fillId="0" borderId="12" xfId="0" applyBorder="1" applyAlignment="1" applyProtection="1">
      <alignment horizontal="left"/>
      <protection locked="0"/>
    </xf>
    <xf numFmtId="49" fontId="3" fillId="17" borderId="0" xfId="0" quotePrefix="1" applyNumberFormat="1" applyFont="1" applyFill="1" applyAlignment="1" applyProtection="1">
      <alignment horizontal="left" vertical="center"/>
      <protection locked="0"/>
    </xf>
    <xf numFmtId="49" fontId="3" fillId="17" borderId="0" xfId="0" applyNumberFormat="1" applyFont="1" applyFill="1" applyAlignment="1" applyProtection="1">
      <alignment horizontal="left" vertical="center"/>
      <protection locked="0"/>
    </xf>
    <xf numFmtId="49" fontId="0" fillId="0" borderId="0" xfId="0" applyNumberFormat="1" applyProtection="1">
      <protection locked="0"/>
    </xf>
    <xf numFmtId="0" fontId="3" fillId="0" borderId="53" xfId="0" applyFont="1" applyBorder="1" applyAlignment="1" applyProtection="1">
      <alignment horizontal="center"/>
      <protection locked="0"/>
    </xf>
    <xf numFmtId="0" fontId="0" fillId="6" borderId="52" xfId="0" applyFill="1" applyBorder="1" applyProtection="1">
      <protection locked="0"/>
    </xf>
    <xf numFmtId="0" fontId="0" fillId="6" borderId="52" xfId="0" applyFill="1" applyBorder="1" applyAlignment="1" applyProtection="1">
      <alignment horizontal="center" vertical="center"/>
      <protection locked="0"/>
    </xf>
    <xf numFmtId="0" fontId="2" fillId="29" borderId="52" xfId="0" applyFont="1" applyFill="1" applyBorder="1" applyAlignment="1" applyProtection="1">
      <alignment horizontal="center"/>
      <protection locked="0"/>
    </xf>
    <xf numFmtId="0" fontId="0" fillId="0" borderId="53" xfId="0" applyBorder="1" applyAlignment="1" applyProtection="1">
      <alignment horizontal="center"/>
      <protection locked="0"/>
    </xf>
    <xf numFmtId="0" fontId="0" fillId="6" borderId="53" xfId="0" applyFill="1" applyBorder="1" applyAlignment="1" applyProtection="1">
      <alignment horizontal="center"/>
      <protection locked="0"/>
    </xf>
    <xf numFmtId="0" fontId="0" fillId="0" borderId="54" xfId="0" applyBorder="1" applyProtection="1">
      <protection locked="0"/>
    </xf>
    <xf numFmtId="0" fontId="0" fillId="0" borderId="60" xfId="0" applyBorder="1" applyProtection="1">
      <protection locked="0"/>
    </xf>
    <xf numFmtId="0" fontId="0" fillId="0" borderId="60" xfId="0" applyBorder="1" applyAlignment="1" applyProtection="1">
      <alignment horizontal="center"/>
      <protection locked="0"/>
    </xf>
    <xf numFmtId="0" fontId="2" fillId="29" borderId="52" xfId="0" quotePrefix="1" applyFont="1" applyFill="1" applyBorder="1" applyAlignment="1" applyProtection="1">
      <alignment horizontal="center"/>
      <protection locked="0"/>
    </xf>
    <xf numFmtId="0" fontId="3" fillId="2" borderId="52" xfId="0" applyFont="1" applyFill="1" applyBorder="1" applyAlignment="1" applyProtection="1">
      <alignment horizontal="center"/>
      <protection locked="0"/>
    </xf>
    <xf numFmtId="0" fontId="0" fillId="4" borderId="61" xfId="0" applyFill="1" applyBorder="1" applyAlignment="1" applyProtection="1">
      <alignment horizontal="center"/>
      <protection locked="0"/>
    </xf>
    <xf numFmtId="166" fontId="0" fillId="6" borderId="52" xfId="0" applyNumberFormat="1" applyFill="1" applyBorder="1" applyAlignment="1" applyProtection="1">
      <alignment horizontal="center" vertical="center"/>
      <protection locked="0"/>
    </xf>
    <xf numFmtId="0" fontId="0" fillId="0" borderId="21" xfId="0" applyBorder="1" applyAlignment="1" applyProtection="1">
      <alignment horizontal="left"/>
      <protection locked="0"/>
    </xf>
    <xf numFmtId="0" fontId="33" fillId="3" borderId="21" xfId="0" applyFont="1" applyFill="1" applyBorder="1" applyAlignment="1" applyProtection="1">
      <alignment horizontal="center"/>
      <protection locked="0"/>
    </xf>
    <xf numFmtId="0" fontId="0" fillId="3" borderId="21" xfId="0" applyFill="1" applyBorder="1" applyProtection="1">
      <protection locked="0"/>
    </xf>
    <xf numFmtId="0" fontId="70" fillId="3" borderId="21" xfId="0" applyFont="1" applyFill="1" applyBorder="1" applyAlignment="1" applyProtection="1">
      <alignment horizontal="center"/>
      <protection locked="0"/>
    </xf>
    <xf numFmtId="0" fontId="0" fillId="3" borderId="21" xfId="0" applyFill="1" applyBorder="1" applyAlignment="1" applyProtection="1">
      <alignment horizontal="center"/>
      <protection locked="0"/>
    </xf>
    <xf numFmtId="0" fontId="9" fillId="22" borderId="0" xfId="0" applyFont="1" applyFill="1" applyAlignment="1" applyProtection="1">
      <alignment horizontal="left" vertical="center"/>
      <protection locked="0"/>
    </xf>
    <xf numFmtId="0" fontId="0" fillId="22" borderId="0" xfId="0" applyFill="1" applyAlignment="1" applyProtection="1">
      <alignment horizontal="center" vertical="center"/>
      <protection locked="0"/>
    </xf>
    <xf numFmtId="0" fontId="0" fillId="22" borderId="0" xfId="0" applyFill="1" applyProtection="1">
      <protection locked="0"/>
    </xf>
    <xf numFmtId="0" fontId="2" fillId="33" borderId="0" xfId="0" quotePrefix="1" applyFont="1" applyFill="1" applyAlignment="1" applyProtection="1">
      <alignment horizontal="center" vertical="center"/>
      <protection locked="0"/>
    </xf>
    <xf numFmtId="0" fontId="3" fillId="0" borderId="0" xfId="0" applyFont="1" applyAlignment="1" applyProtection="1">
      <alignment horizontal="right" vertical="center"/>
      <protection locked="0"/>
    </xf>
    <xf numFmtId="0" fontId="0" fillId="22" borderId="0" xfId="0" applyFill="1" applyAlignment="1" applyProtection="1">
      <alignment horizontal="left" vertical="center"/>
      <protection locked="0"/>
    </xf>
    <xf numFmtId="0" fontId="3" fillId="3" borderId="21" xfId="0" applyFont="1" applyFill="1" applyBorder="1" applyAlignment="1" applyProtection="1">
      <alignment horizontal="center" vertical="center"/>
      <protection locked="0"/>
    </xf>
    <xf numFmtId="0" fontId="3" fillId="31" borderId="0" xfId="0" applyFont="1" applyFill="1" applyProtection="1">
      <protection locked="0"/>
    </xf>
    <xf numFmtId="0" fontId="0" fillId="31" borderId="0" xfId="0" applyFill="1" applyProtection="1">
      <protection locked="0"/>
    </xf>
    <xf numFmtId="0" fontId="3" fillId="26" borderId="0" xfId="0" applyFont="1" applyFill="1" applyProtection="1">
      <protection locked="0"/>
    </xf>
    <xf numFmtId="0" fontId="0" fillId="26" borderId="0" xfId="0" applyFill="1" applyProtection="1">
      <protection locked="0"/>
    </xf>
    <xf numFmtId="0" fontId="7" fillId="30" borderId="21" xfId="0" applyFont="1" applyFill="1" applyBorder="1" applyAlignment="1" applyProtection="1">
      <alignment horizontal="center"/>
      <protection locked="0"/>
    </xf>
    <xf numFmtId="0" fontId="7" fillId="4" borderId="21" xfId="0" applyFont="1" applyFill="1" applyBorder="1" applyAlignment="1" applyProtection="1">
      <alignment horizontal="center"/>
      <protection locked="0"/>
    </xf>
    <xf numFmtId="0" fontId="0" fillId="30" borderId="21" xfId="0" applyFill="1" applyBorder="1" applyAlignment="1" applyProtection="1">
      <alignment horizontal="center"/>
      <protection locked="0"/>
    </xf>
    <xf numFmtId="0" fontId="7" fillId="26" borderId="21" xfId="0" applyFont="1" applyFill="1" applyBorder="1" applyAlignment="1" applyProtection="1">
      <alignment horizontal="center"/>
      <protection locked="0"/>
    </xf>
    <xf numFmtId="0" fontId="7" fillId="11" borderId="21" xfId="0" applyFont="1" applyFill="1" applyBorder="1" applyAlignment="1" applyProtection="1">
      <alignment horizontal="center"/>
      <protection locked="0"/>
    </xf>
    <xf numFmtId="0" fontId="0" fillId="26" borderId="21" xfId="0" applyFill="1" applyBorder="1" applyAlignment="1" applyProtection="1">
      <alignment horizontal="center"/>
      <protection locked="0"/>
    </xf>
    <xf numFmtId="0" fontId="0" fillId="11" borderId="21" xfId="0" applyFill="1" applyBorder="1" applyAlignment="1" applyProtection="1">
      <alignment horizontal="center"/>
      <protection locked="0"/>
    </xf>
    <xf numFmtId="0" fontId="3" fillId="17" borderId="81" xfId="0" applyFont="1" applyFill="1" applyBorder="1" applyProtection="1">
      <protection locked="0"/>
    </xf>
    <xf numFmtId="0" fontId="3" fillId="17" borderId="85" xfId="0" applyFont="1" applyFill="1" applyBorder="1" applyProtection="1">
      <protection locked="0"/>
    </xf>
    <xf numFmtId="0" fontId="3" fillId="17" borderId="71" xfId="0" applyFont="1" applyFill="1" applyBorder="1" applyProtection="1">
      <protection locked="0"/>
    </xf>
    <xf numFmtId="0" fontId="3" fillId="11" borderId="81" xfId="0" applyFont="1" applyFill="1" applyBorder="1" applyProtection="1">
      <protection locked="0"/>
    </xf>
    <xf numFmtId="0" fontId="3" fillId="11" borderId="85" xfId="0" applyFont="1" applyFill="1" applyBorder="1" applyProtection="1">
      <protection locked="0"/>
    </xf>
    <xf numFmtId="0" fontId="3" fillId="11" borderId="71" xfId="0" applyFont="1" applyFill="1" applyBorder="1" applyProtection="1">
      <protection locked="0"/>
    </xf>
    <xf numFmtId="0" fontId="3" fillId="0" borderId="81" xfId="0" applyFont="1" applyBorder="1" applyAlignment="1" applyProtection="1">
      <alignment horizontal="center" vertical="center"/>
      <protection locked="0"/>
    </xf>
    <xf numFmtId="0" fontId="0" fillId="0" borderId="85" xfId="0" applyBorder="1" applyAlignment="1" applyProtection="1">
      <alignment horizontal="center"/>
      <protection locked="0"/>
    </xf>
    <xf numFmtId="0" fontId="0" fillId="0" borderId="71" xfId="0" applyBorder="1" applyAlignment="1" applyProtection="1">
      <alignment horizontal="center"/>
      <protection locked="0"/>
    </xf>
    <xf numFmtId="0" fontId="3" fillId="0" borderId="81" xfId="0" applyFont="1" applyBorder="1" applyAlignment="1" applyProtection="1">
      <alignment horizontal="center"/>
      <protection locked="0"/>
    </xf>
    <xf numFmtId="165" fontId="3" fillId="0" borderId="81" xfId="0" applyNumberFormat="1" applyFont="1" applyBorder="1" applyAlignment="1" applyProtection="1">
      <alignment horizontal="center" vertical="center"/>
      <protection locked="0"/>
    </xf>
    <xf numFmtId="0" fontId="0" fillId="30" borderId="21" xfId="0" applyFill="1" applyBorder="1" applyAlignment="1" applyProtection="1">
      <alignment horizontal="center" vertical="center"/>
      <protection locked="0"/>
    </xf>
    <xf numFmtId="0" fontId="0" fillId="24" borderId="0" xfId="0" applyFill="1" applyProtection="1">
      <protection locked="0"/>
    </xf>
    <xf numFmtId="0" fontId="0" fillId="20" borderId="0" xfId="0" applyFill="1" applyProtection="1">
      <protection locked="0"/>
    </xf>
    <xf numFmtId="0" fontId="4" fillId="8" borderId="0" xfId="0" applyFont="1" applyFill="1" applyProtection="1">
      <protection locked="0"/>
    </xf>
    <xf numFmtId="0" fontId="88" fillId="0" borderId="0" xfId="0" applyFont="1" applyAlignment="1" applyProtection="1">
      <alignment horizontal="center"/>
      <protection locked="0"/>
    </xf>
    <xf numFmtId="0" fontId="8" fillId="17" borderId="0" xfId="0" applyFont="1" applyFill="1" applyAlignment="1" applyProtection="1">
      <alignment horizontal="left" vertical="center"/>
      <protection locked="0"/>
    </xf>
    <xf numFmtId="0" fontId="7" fillId="17" borderId="0" xfId="0" applyFont="1" applyFill="1" applyAlignment="1" applyProtection="1">
      <alignment horizontal="center" vertical="center"/>
      <protection locked="0"/>
    </xf>
    <xf numFmtId="0" fontId="8" fillId="11" borderId="0" xfId="0" applyFont="1" applyFill="1" applyAlignment="1" applyProtection="1">
      <alignment horizontal="left" vertical="center"/>
      <protection locked="0"/>
    </xf>
    <xf numFmtId="0" fontId="7" fillId="11" borderId="0" xfId="0" applyFont="1" applyFill="1" applyAlignment="1" applyProtection="1">
      <alignment horizontal="center" vertical="center"/>
      <protection locked="0"/>
    </xf>
    <xf numFmtId="1" fontId="0" fillId="4" borderId="21" xfId="0" applyNumberFormat="1" applyFill="1" applyBorder="1" applyAlignment="1" applyProtection="1">
      <alignment horizontal="center" vertical="center"/>
      <protection locked="0"/>
    </xf>
    <xf numFmtId="0" fontId="70" fillId="3" borderId="21" xfId="0" applyFont="1" applyFill="1" applyBorder="1" applyProtection="1">
      <protection locked="0"/>
    </xf>
    <xf numFmtId="0" fontId="0" fillId="20" borderId="21" xfId="0" applyFill="1" applyBorder="1" applyAlignment="1" applyProtection="1">
      <alignment horizontal="center" vertical="center"/>
      <protection locked="0"/>
    </xf>
    <xf numFmtId="165" fontId="0" fillId="0" borderId="21" xfId="0" applyNumberFormat="1" applyBorder="1" applyAlignment="1" applyProtection="1">
      <alignment horizontal="center" vertical="center"/>
      <protection locked="0"/>
    </xf>
    <xf numFmtId="165" fontId="0" fillId="20" borderId="21" xfId="0" applyNumberFormat="1" applyFill="1" applyBorder="1" applyAlignment="1" applyProtection="1">
      <alignment horizontal="center" vertical="center"/>
      <protection locked="0"/>
    </xf>
    <xf numFmtId="0" fontId="3" fillId="4" borderId="0" xfId="0" applyFont="1" applyFill="1" applyProtection="1">
      <protection locked="0"/>
    </xf>
    <xf numFmtId="0" fontId="0" fillId="20" borderId="21" xfId="0" applyFill="1" applyBorder="1" applyAlignment="1" applyProtection="1">
      <alignment horizontal="center"/>
      <protection locked="0"/>
    </xf>
    <xf numFmtId="165" fontId="0" fillId="0" borderId="21" xfId="0" applyNumberFormat="1" applyBorder="1" applyAlignment="1" applyProtection="1">
      <alignment horizontal="center"/>
      <protection locked="0"/>
    </xf>
    <xf numFmtId="165" fontId="0" fillId="20" borderId="21" xfId="0" applyNumberFormat="1" applyFill="1" applyBorder="1" applyAlignment="1" applyProtection="1">
      <alignment horizontal="center"/>
      <protection locked="0"/>
    </xf>
    <xf numFmtId="0" fontId="0" fillId="2" borderId="21" xfId="0" applyFill="1" applyBorder="1" applyAlignment="1" applyProtection="1">
      <alignment horizontal="center"/>
      <protection locked="0"/>
    </xf>
    <xf numFmtId="0" fontId="0" fillId="2" borderId="21" xfId="0" applyFill="1" applyBorder="1" applyAlignment="1" applyProtection="1">
      <alignment horizontal="center" vertical="center"/>
      <protection locked="0"/>
    </xf>
    <xf numFmtId="0" fontId="0" fillId="0" borderId="21" xfId="0" quotePrefix="1" applyBorder="1" applyAlignment="1" applyProtection="1">
      <alignment horizontal="center" vertical="center"/>
      <protection locked="0"/>
    </xf>
    <xf numFmtId="165" fontId="0" fillId="0" borderId="21" xfId="0" applyNumberFormat="1" applyBorder="1" applyAlignment="1" applyProtection="1">
      <alignment horizontal="left"/>
      <protection locked="0"/>
    </xf>
    <xf numFmtId="1" fontId="0" fillId="0" borderId="21" xfId="0" applyNumberFormat="1" applyBorder="1" applyAlignment="1" applyProtection="1">
      <alignment horizontal="left"/>
      <protection locked="0"/>
    </xf>
    <xf numFmtId="0" fontId="3" fillId="0" borderId="82" xfId="0" applyFont="1" applyBorder="1" applyAlignment="1" applyProtection="1">
      <alignment horizontal="center"/>
      <protection locked="0"/>
    </xf>
    <xf numFmtId="0" fontId="0" fillId="4" borderId="78" xfId="0" applyFill="1" applyBorder="1" applyAlignment="1" applyProtection="1">
      <alignment horizontal="center" vertical="center"/>
      <protection locked="0"/>
    </xf>
    <xf numFmtId="1" fontId="0" fillId="22" borderId="21" xfId="0" applyNumberFormat="1" applyFill="1" applyBorder="1" applyAlignment="1" applyProtection="1">
      <alignment horizontal="center" vertical="center"/>
      <protection locked="0"/>
    </xf>
    <xf numFmtId="1" fontId="0" fillId="22" borderId="21" xfId="0" applyNumberFormat="1" applyFill="1" applyBorder="1" applyAlignment="1" applyProtection="1">
      <alignment horizontal="center"/>
      <protection locked="0"/>
    </xf>
    <xf numFmtId="1" fontId="0" fillId="21" borderId="21" xfId="0" applyNumberFormat="1" applyFill="1" applyBorder="1" applyAlignment="1" applyProtection="1">
      <alignment horizontal="center" vertical="center"/>
      <protection locked="0"/>
    </xf>
    <xf numFmtId="1" fontId="0" fillId="21" borderId="21" xfId="0" applyNumberFormat="1" applyFill="1" applyBorder="1" applyAlignment="1" applyProtection="1">
      <alignment horizontal="center"/>
      <protection locked="0"/>
    </xf>
    <xf numFmtId="0" fontId="12" fillId="0" borderId="52" xfId="0" applyFont="1" applyBorder="1" applyProtection="1">
      <protection locked="0"/>
    </xf>
    <xf numFmtId="0" fontId="76" fillId="0" borderId="52" xfId="0" applyFont="1" applyBorder="1" applyProtection="1">
      <protection locked="0"/>
    </xf>
    <xf numFmtId="0" fontId="0" fillId="4" borderId="52" xfId="0" quotePrefix="1" applyFill="1" applyBorder="1" applyAlignment="1" applyProtection="1">
      <alignment horizontal="center"/>
      <protection locked="0"/>
    </xf>
    <xf numFmtId="0" fontId="3" fillId="24" borderId="87" xfId="0" applyFont="1" applyFill="1" applyBorder="1" applyAlignment="1" applyProtection="1">
      <alignment vertical="center"/>
      <protection locked="0"/>
    </xf>
    <xf numFmtId="0" fontId="3" fillId="24" borderId="88" xfId="0" applyFont="1" applyFill="1" applyBorder="1" applyAlignment="1" applyProtection="1">
      <alignment vertical="center"/>
      <protection locked="0"/>
    </xf>
    <xf numFmtId="49" fontId="2" fillId="9" borderId="52" xfId="0" quotePrefix="1" applyNumberFormat="1" applyFont="1" applyFill="1" applyBorder="1" applyAlignment="1" applyProtection="1">
      <alignment horizontal="center"/>
      <protection locked="0"/>
    </xf>
    <xf numFmtId="0" fontId="3" fillId="3" borderId="54" xfId="0" applyFont="1" applyFill="1" applyBorder="1" applyAlignment="1" applyProtection="1">
      <alignment horizontal="center" vertical="center"/>
      <protection locked="0"/>
    </xf>
    <xf numFmtId="0" fontId="0" fillId="24" borderId="21" xfId="0" quotePrefix="1" applyFill="1" applyBorder="1" applyAlignment="1" applyProtection="1">
      <alignment horizontal="center"/>
      <protection locked="0"/>
    </xf>
    <xf numFmtId="0" fontId="2" fillId="9" borderId="52" xfId="0" quotePrefix="1" applyFont="1" applyFill="1" applyBorder="1" applyAlignment="1" applyProtection="1">
      <alignment horizontal="center"/>
      <protection locked="0"/>
    </xf>
    <xf numFmtId="49" fontId="2" fillId="9" borderId="53" xfId="0" quotePrefix="1" applyNumberFormat="1" applyFont="1" applyFill="1" applyBorder="1" applyAlignment="1" applyProtection="1">
      <alignment horizontal="center"/>
      <protection locked="0"/>
    </xf>
    <xf numFmtId="0" fontId="57" fillId="4" borderId="21" xfId="0" applyFont="1" applyFill="1" applyBorder="1" applyAlignment="1" applyProtection="1">
      <alignment horizontal="left" vertical="center"/>
      <protection locked="0"/>
    </xf>
    <xf numFmtId="0" fontId="57" fillId="20" borderId="21" xfId="0" applyFont="1" applyFill="1" applyBorder="1" applyAlignment="1" applyProtection="1">
      <alignment horizontal="left" vertical="center"/>
      <protection locked="0"/>
    </xf>
    <xf numFmtId="0" fontId="3" fillId="0" borderId="52" xfId="0" applyFont="1" applyBorder="1" applyAlignment="1" applyProtection="1">
      <alignment vertical="center"/>
      <protection locked="0"/>
    </xf>
    <xf numFmtId="49" fontId="58" fillId="2" borderId="52" xfId="0" quotePrefix="1" applyNumberFormat="1" applyFont="1" applyFill="1" applyBorder="1" applyAlignment="1" applyProtection="1">
      <alignment horizontal="center" vertical="center"/>
      <protection locked="0"/>
    </xf>
    <xf numFmtId="0" fontId="58" fillId="2" borderId="52" xfId="0" quotePrefix="1" applyFont="1" applyFill="1" applyBorder="1" applyAlignment="1" applyProtection="1">
      <alignment horizontal="center" vertical="center"/>
      <protection locked="0"/>
    </xf>
    <xf numFmtId="0" fontId="58" fillId="2" borderId="52" xfId="0" quotePrefix="1" applyFont="1" applyFill="1" applyBorder="1" applyAlignment="1" applyProtection="1">
      <alignment horizontal="left" vertical="center"/>
      <protection locked="0"/>
    </xf>
    <xf numFmtId="49" fontId="58" fillId="2" borderId="21" xfId="0" quotePrefix="1" applyNumberFormat="1" applyFont="1" applyFill="1" applyBorder="1" applyAlignment="1" applyProtection="1">
      <alignment horizontal="center" vertical="center"/>
      <protection locked="0"/>
    </xf>
    <xf numFmtId="0" fontId="58" fillId="2" borderId="21" xfId="0" quotePrefix="1" applyFont="1" applyFill="1" applyBorder="1" applyAlignment="1" applyProtection="1">
      <alignment horizontal="center" vertical="center"/>
      <protection locked="0"/>
    </xf>
    <xf numFmtId="14" fontId="58" fillId="2" borderId="21" xfId="0" quotePrefix="1" applyNumberFormat="1" applyFont="1" applyFill="1" applyBorder="1" applyAlignment="1" applyProtection="1">
      <alignment horizontal="center" vertical="center"/>
      <protection locked="0"/>
    </xf>
    <xf numFmtId="49" fontId="58" fillId="20" borderId="21" xfId="0" quotePrefix="1" applyNumberFormat="1" applyFont="1" applyFill="1" applyBorder="1" applyAlignment="1" applyProtection="1">
      <alignment horizontal="center" vertical="center"/>
      <protection locked="0"/>
    </xf>
    <xf numFmtId="0" fontId="58" fillId="20" borderId="21" xfId="0" quotePrefix="1" applyFont="1" applyFill="1" applyBorder="1" applyAlignment="1" applyProtection="1">
      <alignment horizontal="center" vertical="center"/>
      <protection locked="0"/>
    </xf>
    <xf numFmtId="0" fontId="7" fillId="2" borderId="52" xfId="0" applyFont="1" applyFill="1" applyBorder="1" applyAlignment="1" applyProtection="1">
      <alignment horizontal="left" vertical="center"/>
      <protection locked="0"/>
    </xf>
    <xf numFmtId="0" fontId="3" fillId="3" borderId="61" xfId="0" applyFont="1" applyFill="1" applyBorder="1" applyAlignment="1" applyProtection="1">
      <alignment horizontal="left" vertical="center"/>
      <protection locked="0"/>
    </xf>
    <xf numFmtId="0" fontId="7" fillId="2" borderId="52" xfId="0" quotePrefix="1" applyFont="1" applyFill="1" applyBorder="1" applyAlignment="1" applyProtection="1">
      <alignment vertical="center"/>
      <protection locked="0"/>
    </xf>
    <xf numFmtId="14" fontId="58" fillId="2" borderId="52" xfId="0" quotePrefix="1" applyNumberFormat="1" applyFont="1" applyFill="1" applyBorder="1" applyAlignment="1" applyProtection="1">
      <alignment horizontal="center" vertical="center"/>
      <protection locked="0"/>
    </xf>
    <xf numFmtId="0" fontId="0" fillId="0" borderId="52" xfId="0" quotePrefix="1" applyBorder="1" applyProtection="1">
      <protection locked="0"/>
    </xf>
    <xf numFmtId="0" fontId="3" fillId="3" borderId="52" xfId="0" applyFont="1" applyFill="1" applyBorder="1" applyAlignment="1" applyProtection="1">
      <alignment horizontal="center" vertical="center"/>
      <protection locked="0"/>
    </xf>
    <xf numFmtId="0" fontId="0" fillId="0" borderId="52" xfId="0" quotePrefix="1" applyBorder="1" applyAlignment="1" applyProtection="1">
      <alignment horizontal="center"/>
      <protection locked="0"/>
    </xf>
    <xf numFmtId="0" fontId="3" fillId="3" borderId="0" xfId="0" applyFont="1" applyFill="1" applyAlignment="1" applyProtection="1">
      <alignment horizontal="left"/>
      <protection locked="0"/>
    </xf>
    <xf numFmtId="0" fontId="3" fillId="3" borderId="52" xfId="0" applyFont="1" applyFill="1" applyBorder="1" applyProtection="1">
      <protection locked="0"/>
    </xf>
    <xf numFmtId="0" fontId="3" fillId="4" borderId="62" xfId="0" applyFont="1" applyFill="1" applyBorder="1" applyAlignment="1" applyProtection="1">
      <alignment horizontal="left"/>
      <protection locked="0"/>
    </xf>
    <xf numFmtId="0" fontId="3" fillId="3" borderId="62" xfId="0" applyFont="1" applyFill="1" applyBorder="1" applyAlignment="1" applyProtection="1">
      <alignment horizontal="left"/>
      <protection locked="0"/>
    </xf>
    <xf numFmtId="0" fontId="0" fillId="25" borderId="52" xfId="0" applyFill="1" applyBorder="1" applyAlignment="1" applyProtection="1">
      <alignment horizontal="center"/>
      <protection locked="0"/>
    </xf>
    <xf numFmtId="49" fontId="58" fillId="2" borderId="78" xfId="0" quotePrefix="1" applyNumberFormat="1" applyFont="1" applyFill="1" applyBorder="1" applyProtection="1">
      <protection locked="0"/>
    </xf>
    <xf numFmtId="49" fontId="58" fillId="2" borderId="21" xfId="0" quotePrefix="1" applyNumberFormat="1" applyFont="1" applyFill="1" applyBorder="1" applyAlignment="1" applyProtection="1">
      <alignment horizontal="center"/>
      <protection locked="0"/>
    </xf>
    <xf numFmtId="49" fontId="58" fillId="2" borderId="92" xfId="0" quotePrefix="1" applyNumberFormat="1" applyFont="1" applyFill="1" applyBorder="1" applyProtection="1">
      <protection locked="0"/>
    </xf>
    <xf numFmtId="0" fontId="3" fillId="4" borderId="52" xfId="0" applyFont="1" applyFill="1" applyBorder="1" applyAlignment="1" applyProtection="1">
      <alignment horizontal="center" vertical="center"/>
      <protection locked="0"/>
    </xf>
    <xf numFmtId="0" fontId="57" fillId="20" borderId="52" xfId="0" applyFont="1" applyFill="1" applyBorder="1" applyAlignment="1" applyProtection="1">
      <alignment vertical="center"/>
      <protection locked="0"/>
    </xf>
    <xf numFmtId="49" fontId="58" fillId="20" borderId="52" xfId="0" quotePrefix="1" applyNumberFormat="1" applyFont="1" applyFill="1" applyBorder="1" applyAlignment="1" applyProtection="1">
      <alignment horizontal="center" vertical="center"/>
      <protection locked="0"/>
    </xf>
    <xf numFmtId="0" fontId="58" fillId="20" borderId="52" xfId="0" quotePrefix="1" applyFont="1" applyFill="1" applyBorder="1" applyAlignment="1" applyProtection="1">
      <alignment horizontal="left" vertical="center"/>
      <protection locked="0"/>
    </xf>
    <xf numFmtId="0" fontId="0" fillId="25" borderId="21" xfId="0" applyFill="1" applyBorder="1" applyAlignment="1" applyProtection="1">
      <alignment horizontal="center" vertical="center"/>
      <protection locked="0"/>
    </xf>
    <xf numFmtId="0" fontId="57" fillId="20" borderId="53" xfId="0" applyFont="1" applyFill="1" applyBorder="1" applyAlignment="1" applyProtection="1">
      <alignment vertical="center"/>
      <protection locked="0"/>
    </xf>
    <xf numFmtId="0" fontId="58" fillId="20" borderId="52" xfId="0" quotePrefix="1" applyFont="1" applyFill="1" applyBorder="1" applyAlignment="1" applyProtection="1">
      <alignment horizontal="center" vertical="center"/>
      <protection locked="0"/>
    </xf>
    <xf numFmtId="0" fontId="57" fillId="4" borderId="52" xfId="0" applyFont="1" applyFill="1" applyBorder="1" applyAlignment="1" applyProtection="1">
      <alignment vertical="center"/>
      <protection locked="0"/>
    </xf>
    <xf numFmtId="49" fontId="58" fillId="0" borderId="71" xfId="0" quotePrefix="1" applyNumberFormat="1" applyFont="1" applyBorder="1" applyAlignment="1" applyProtection="1">
      <alignment horizontal="center" vertical="center"/>
      <protection locked="0"/>
    </xf>
    <xf numFmtId="0" fontId="57" fillId="4" borderId="52" xfId="0" applyFont="1" applyFill="1" applyBorder="1" applyAlignment="1" applyProtection="1">
      <alignment horizontal="left" vertical="center"/>
      <protection locked="0"/>
    </xf>
    <xf numFmtId="0" fontId="16" fillId="0" borderId="0" xfId="0" applyFont="1" applyAlignment="1" applyProtection="1">
      <alignment horizontal="center"/>
      <protection locked="0"/>
    </xf>
    <xf numFmtId="0" fontId="0" fillId="4" borderId="86" xfId="0" applyFill="1" applyBorder="1" applyAlignment="1" applyProtection="1">
      <alignment horizontal="center"/>
      <protection locked="0"/>
    </xf>
    <xf numFmtId="0" fontId="0" fillId="26" borderId="52" xfId="0" applyFill="1" applyBorder="1" applyAlignment="1" applyProtection="1">
      <alignment horizontal="center"/>
      <protection locked="0"/>
    </xf>
    <xf numFmtId="0" fontId="0" fillId="2" borderId="52" xfId="0" quotePrefix="1" applyFill="1" applyBorder="1" applyAlignment="1" applyProtection="1">
      <alignment horizontal="center"/>
      <protection locked="0"/>
    </xf>
    <xf numFmtId="0" fontId="3" fillId="24" borderId="52" xfId="0" applyFont="1" applyFill="1" applyBorder="1" applyAlignment="1" applyProtection="1">
      <alignment horizontal="center"/>
      <protection locked="0"/>
    </xf>
    <xf numFmtId="0" fontId="57" fillId="24" borderId="52" xfId="0" applyFont="1" applyFill="1" applyBorder="1" applyAlignment="1" applyProtection="1">
      <alignment horizontal="left" vertical="center"/>
      <protection locked="0"/>
    </xf>
    <xf numFmtId="0" fontId="58" fillId="24" borderId="71" xfId="0" quotePrefix="1" applyFont="1" applyFill="1" applyBorder="1" applyAlignment="1" applyProtection="1">
      <alignment horizontal="center" vertical="center"/>
      <protection locked="0"/>
    </xf>
    <xf numFmtId="0" fontId="58" fillId="24" borderId="52" xfId="0" quotePrefix="1" applyFont="1" applyFill="1" applyBorder="1" applyAlignment="1" applyProtection="1">
      <alignment horizontal="center" vertical="center"/>
      <protection locked="0"/>
    </xf>
    <xf numFmtId="0" fontId="58" fillId="24" borderId="52" xfId="0" quotePrefix="1" applyFont="1" applyFill="1" applyBorder="1" applyAlignment="1" applyProtection="1">
      <alignment horizontal="left" vertical="center"/>
      <protection locked="0"/>
    </xf>
    <xf numFmtId="0" fontId="0" fillId="0" borderId="54" xfId="0" applyBorder="1" applyAlignment="1" applyProtection="1">
      <alignment horizontal="right" vertical="center"/>
      <protection locked="0"/>
    </xf>
    <xf numFmtId="2" fontId="0" fillId="0" borderId="21" xfId="0" quotePrefix="1" applyNumberFormat="1" applyBorder="1" applyAlignment="1" applyProtection="1">
      <alignment horizontal="center"/>
      <protection locked="0"/>
    </xf>
    <xf numFmtId="1" fontId="0" fillId="25" borderId="21" xfId="0" applyNumberFormat="1" applyFill="1" applyBorder="1" applyAlignment="1" applyProtection="1">
      <alignment horizontal="center" vertical="center"/>
      <protection locked="0"/>
    </xf>
    <xf numFmtId="0" fontId="3" fillId="3" borderId="21" xfId="0" applyFont="1" applyFill="1" applyBorder="1" applyAlignment="1" applyProtection="1">
      <alignment horizontal="left" vertical="center"/>
      <protection locked="0"/>
    </xf>
    <xf numFmtId="0" fontId="3" fillId="3" borderId="70" xfId="0" applyFont="1" applyFill="1" applyBorder="1" applyAlignment="1" applyProtection="1">
      <alignment horizontal="left" vertical="center"/>
      <protection locked="0"/>
    </xf>
    <xf numFmtId="0" fontId="3" fillId="20" borderId="21" xfId="0" applyFont="1" applyFill="1" applyBorder="1" applyAlignment="1" applyProtection="1">
      <alignment horizontal="left" vertical="center"/>
      <protection locked="0"/>
    </xf>
    <xf numFmtId="49" fontId="0" fillId="0" borderId="21" xfId="0" quotePrefix="1" applyNumberFormat="1" applyBorder="1" applyAlignment="1" applyProtection="1">
      <alignment horizontal="center" vertical="center"/>
      <protection locked="0"/>
    </xf>
    <xf numFmtId="0" fontId="0" fillId="20" borderId="21" xfId="0" applyFill="1" applyBorder="1" applyProtection="1">
      <protection locked="0"/>
    </xf>
    <xf numFmtId="0" fontId="0" fillId="0" borderId="21" xfId="0" applyBorder="1" applyAlignment="1" applyProtection="1">
      <alignment horizontal="right"/>
      <protection locked="0"/>
    </xf>
    <xf numFmtId="0" fontId="0" fillId="3" borderId="109" xfId="0" quotePrefix="1" applyFill="1" applyBorder="1" applyAlignment="1" applyProtection="1">
      <alignment horizontal="center"/>
      <protection locked="0"/>
    </xf>
    <xf numFmtId="0" fontId="0" fillId="3" borderId="109" xfId="0" quotePrefix="1" applyFill="1" applyBorder="1" applyAlignment="1" applyProtection="1">
      <alignment horizontal="left"/>
      <protection locked="0"/>
    </xf>
    <xf numFmtId="0" fontId="0" fillId="20" borderId="109" xfId="0" quotePrefix="1" applyFill="1" applyBorder="1" applyAlignment="1" applyProtection="1">
      <alignment horizontal="center"/>
      <protection locked="0"/>
    </xf>
    <xf numFmtId="0" fontId="73" fillId="2" borderId="59" xfId="0" applyFont="1" applyFill="1" applyBorder="1" applyAlignment="1" applyProtection="1">
      <alignment vertical="center"/>
      <protection locked="0"/>
    </xf>
    <xf numFmtId="0" fontId="7" fillId="25" borderId="52" xfId="0" applyFont="1" applyFill="1" applyBorder="1" applyAlignment="1" applyProtection="1">
      <alignment horizontal="center" vertical="center"/>
      <protection locked="0"/>
    </xf>
    <xf numFmtId="0" fontId="0" fillId="18" borderId="21" xfId="0" applyFill="1" applyBorder="1" applyAlignment="1" applyProtection="1">
      <alignment horizontal="center" vertical="center"/>
      <protection locked="0"/>
    </xf>
    <xf numFmtId="2" fontId="0" fillId="0" borderId="21" xfId="0" quotePrefix="1" applyNumberFormat="1" applyBorder="1" applyAlignment="1" applyProtection="1">
      <alignment horizontal="center" vertical="center"/>
      <protection locked="0"/>
    </xf>
    <xf numFmtId="0" fontId="0" fillId="0" borderId="62" xfId="0" applyBorder="1" applyAlignment="1" applyProtection="1">
      <alignment horizontal="right" vertical="center"/>
      <protection locked="0"/>
    </xf>
    <xf numFmtId="0" fontId="2" fillId="33" borderId="52" xfId="0" quotePrefix="1" applyFont="1" applyFill="1" applyBorder="1" applyAlignment="1" applyProtection="1">
      <alignment horizontal="center"/>
      <protection locked="0"/>
    </xf>
    <xf numFmtId="0" fontId="3" fillId="22" borderId="52" xfId="0" applyFont="1" applyFill="1" applyBorder="1" applyProtection="1">
      <protection locked="0"/>
    </xf>
    <xf numFmtId="0" fontId="73" fillId="2" borderId="0" xfId="0" applyFont="1" applyFill="1" applyAlignment="1" applyProtection="1">
      <alignment vertical="center"/>
      <protection locked="0"/>
    </xf>
    <xf numFmtId="0" fontId="0" fillId="0" borderId="52" xfId="0" applyBorder="1" applyAlignment="1" applyProtection="1">
      <alignment horizontal="left"/>
      <protection locked="0"/>
    </xf>
    <xf numFmtId="0" fontId="3" fillId="0" borderId="86" xfId="0" applyFont="1" applyBorder="1" applyAlignment="1" applyProtection="1">
      <alignment horizontal="center" vertical="center"/>
      <protection locked="0"/>
    </xf>
    <xf numFmtId="0" fontId="58" fillId="4" borderId="109" xfId="0" quotePrefix="1" applyFont="1" applyFill="1" applyBorder="1" applyAlignment="1" applyProtection="1">
      <alignment horizontal="center" vertical="center"/>
      <protection locked="0"/>
    </xf>
    <xf numFmtId="0" fontId="0" fillId="0" borderId="59" xfId="0" applyBorder="1" applyAlignment="1" applyProtection="1">
      <alignment horizontal="center"/>
      <protection locked="0"/>
    </xf>
    <xf numFmtId="49" fontId="58" fillId="4" borderId="78" xfId="0" quotePrefix="1" applyNumberFormat="1" applyFont="1" applyFill="1" applyBorder="1" applyAlignment="1" applyProtection="1">
      <alignment horizontal="center" vertical="center"/>
      <protection locked="0"/>
    </xf>
    <xf numFmtId="0" fontId="58" fillId="4" borderId="78" xfId="0" quotePrefix="1" applyFont="1" applyFill="1" applyBorder="1" applyAlignment="1" applyProtection="1">
      <alignment horizontal="center" vertical="center"/>
      <protection locked="0"/>
    </xf>
    <xf numFmtId="0" fontId="2" fillId="33" borderId="52" xfId="0" applyFont="1" applyFill="1" applyBorder="1" applyAlignment="1" applyProtection="1">
      <alignment horizontal="center" vertical="center"/>
      <protection locked="0"/>
    </xf>
    <xf numFmtId="0" fontId="3" fillId="3" borderId="62" xfId="0" applyFont="1" applyFill="1" applyBorder="1" applyAlignment="1" applyProtection="1">
      <alignment horizontal="center" vertical="center"/>
      <protection locked="0"/>
    </xf>
    <xf numFmtId="0" fontId="3" fillId="3" borderId="0" xfId="0" applyFont="1" applyFill="1" applyAlignment="1" applyProtection="1">
      <alignment horizontal="center" vertical="center"/>
      <protection locked="0"/>
    </xf>
    <xf numFmtId="0" fontId="3" fillId="3" borderId="62" xfId="0" applyFont="1" applyFill="1" applyBorder="1" applyAlignment="1" applyProtection="1">
      <alignment horizontal="left" vertical="center"/>
      <protection locked="0"/>
    </xf>
    <xf numFmtId="0" fontId="3" fillId="3" borderId="0" xfId="0" applyFont="1" applyFill="1" applyAlignment="1" applyProtection="1">
      <alignment horizontal="left" vertical="center"/>
      <protection locked="0"/>
    </xf>
    <xf numFmtId="0" fontId="0" fillId="26" borderId="52" xfId="0" applyFill="1" applyBorder="1" applyProtection="1">
      <protection locked="0"/>
    </xf>
    <xf numFmtId="0" fontId="73" fillId="2" borderId="89" xfId="0" applyFont="1" applyFill="1" applyBorder="1" applyAlignment="1" applyProtection="1">
      <alignment vertical="center"/>
      <protection locked="0"/>
    </xf>
    <xf numFmtId="0" fontId="0" fillId="2" borderId="91" xfId="0" applyFill="1" applyBorder="1" applyAlignment="1" applyProtection="1">
      <alignment horizontal="left"/>
      <protection locked="0"/>
    </xf>
    <xf numFmtId="0" fontId="57" fillId="24" borderId="21" xfId="0" applyFont="1" applyFill="1" applyBorder="1" applyAlignment="1" applyProtection="1">
      <alignment horizontal="left" vertical="center"/>
      <protection locked="0"/>
    </xf>
    <xf numFmtId="49" fontId="58" fillId="24" borderId="109" xfId="0" quotePrefix="1" applyNumberFormat="1" applyFont="1" applyFill="1" applyBorder="1" applyAlignment="1" applyProtection="1">
      <alignment horizontal="center" vertical="center"/>
      <protection locked="0"/>
    </xf>
    <xf numFmtId="0" fontId="58" fillId="24" borderId="109" xfId="0" quotePrefix="1" applyFont="1" applyFill="1" applyBorder="1" applyAlignment="1" applyProtection="1">
      <alignment horizontal="center" vertical="center"/>
      <protection locked="0"/>
    </xf>
    <xf numFmtId="49" fontId="58" fillId="24" borderId="78" xfId="0" quotePrefix="1" applyNumberFormat="1" applyFont="1" applyFill="1" applyBorder="1" applyAlignment="1" applyProtection="1">
      <alignment horizontal="center" vertical="center"/>
      <protection locked="0"/>
    </xf>
    <xf numFmtId="0" fontId="58" fillId="24" borderId="78" xfId="0" quotePrefix="1" applyFont="1" applyFill="1" applyBorder="1" applyAlignment="1" applyProtection="1">
      <alignment horizontal="center" vertical="center"/>
      <protection locked="0"/>
    </xf>
    <xf numFmtId="0" fontId="3" fillId="24" borderId="142" xfId="0" applyFont="1" applyFill="1" applyBorder="1" applyAlignment="1" applyProtection="1">
      <alignment vertical="center"/>
      <protection locked="0"/>
    </xf>
    <xf numFmtId="0" fontId="0" fillId="22" borderId="21" xfId="0" applyFill="1" applyBorder="1" applyAlignment="1" applyProtection="1">
      <alignment horizontal="center" vertical="center"/>
      <protection locked="0"/>
    </xf>
    <xf numFmtId="0" fontId="57" fillId="4" borderId="70" xfId="0" applyFont="1" applyFill="1" applyBorder="1" applyAlignment="1" applyProtection="1">
      <alignment horizontal="left" vertical="center"/>
      <protection locked="0"/>
    </xf>
    <xf numFmtId="0" fontId="57" fillId="21" borderId="21" xfId="0" applyFont="1" applyFill="1" applyBorder="1" applyAlignment="1" applyProtection="1">
      <alignment horizontal="center" vertical="center"/>
      <protection locked="0"/>
    </xf>
    <xf numFmtId="2" fontId="58" fillId="2" borderId="21" xfId="0" quotePrefix="1" applyNumberFormat="1" applyFont="1" applyFill="1" applyBorder="1" applyAlignment="1" applyProtection="1">
      <alignment horizontal="center" vertical="center"/>
      <protection locked="0"/>
    </xf>
    <xf numFmtId="0" fontId="58" fillId="21" borderId="21" xfId="0" quotePrefix="1" applyFont="1" applyFill="1" applyBorder="1" applyProtection="1">
      <protection locked="0"/>
    </xf>
    <xf numFmtId="0" fontId="58" fillId="2" borderId="21" xfId="0" quotePrefix="1" applyFont="1" applyFill="1" applyBorder="1" applyAlignment="1" applyProtection="1">
      <alignment horizontal="center"/>
      <protection locked="0"/>
    </xf>
    <xf numFmtId="0" fontId="58" fillId="3" borderId="21" xfId="0" quotePrefix="1" applyFont="1" applyFill="1" applyBorder="1" applyAlignment="1" applyProtection="1">
      <alignment horizontal="center"/>
      <protection locked="0"/>
    </xf>
    <xf numFmtId="0" fontId="58" fillId="20" borderId="21" xfId="0" quotePrefix="1" applyFont="1" applyFill="1" applyBorder="1" applyAlignment="1" applyProtection="1">
      <alignment horizontal="center"/>
      <protection locked="0"/>
    </xf>
    <xf numFmtId="0" fontId="3" fillId="25" borderId="52" xfId="0" applyFont="1" applyFill="1" applyBorder="1" applyAlignment="1" applyProtection="1">
      <alignment horizontal="center" vertical="center"/>
      <protection locked="0"/>
    </xf>
    <xf numFmtId="0" fontId="0" fillId="4" borderId="53" xfId="0" applyFill="1" applyBorder="1" applyAlignment="1" applyProtection="1">
      <alignment horizontal="left"/>
      <protection locked="0"/>
    </xf>
    <xf numFmtId="1" fontId="0" fillId="0" borderId="21" xfId="0" applyNumberFormat="1" applyBorder="1" applyAlignment="1" applyProtection="1">
      <alignment horizontal="center" vertical="center"/>
      <protection locked="0"/>
    </xf>
    <xf numFmtId="49" fontId="0" fillId="0" borderId="21" xfId="0" applyNumberFormat="1" applyBorder="1" applyAlignment="1" applyProtection="1">
      <alignment horizontal="center" vertical="center"/>
      <protection locked="0"/>
    </xf>
    <xf numFmtId="0" fontId="12" fillId="0" borderId="52" xfId="0" applyFont="1" applyBorder="1" applyAlignment="1" applyProtection="1">
      <alignment horizontal="center" vertical="center"/>
      <protection locked="0"/>
    </xf>
    <xf numFmtId="0" fontId="0" fillId="0" borderId="21" xfId="0" quotePrefix="1" applyBorder="1" applyAlignment="1" applyProtection="1">
      <alignment horizontal="center"/>
      <protection locked="0"/>
    </xf>
    <xf numFmtId="0" fontId="3" fillId="22" borderId="54" xfId="0" applyFont="1" applyFill="1" applyBorder="1" applyAlignment="1" applyProtection="1">
      <alignment horizontal="center" vertical="center"/>
      <protection locked="0"/>
    </xf>
    <xf numFmtId="3" fontId="0" fillId="22" borderId="21" xfId="0" quotePrefix="1" applyNumberFormat="1" applyFill="1" applyBorder="1" applyAlignment="1" applyProtection="1">
      <alignment horizontal="center"/>
      <protection locked="0"/>
    </xf>
    <xf numFmtId="0" fontId="57" fillId="20" borderId="21" xfId="0" applyFont="1" applyFill="1" applyBorder="1" applyAlignment="1" applyProtection="1">
      <alignment horizontal="center" vertical="center"/>
      <protection locked="0"/>
    </xf>
    <xf numFmtId="49" fontId="58" fillId="20" borderId="21" xfId="0" quotePrefix="1" applyNumberFormat="1" applyFont="1" applyFill="1" applyBorder="1" applyProtection="1">
      <protection locked="0"/>
    </xf>
    <xf numFmtId="49" fontId="58" fillId="2" borderId="21" xfId="0" quotePrefix="1" applyNumberFormat="1" applyFont="1" applyFill="1" applyBorder="1" applyProtection="1">
      <protection locked="0"/>
    </xf>
    <xf numFmtId="0" fontId="58" fillId="2" borderId="21" xfId="0" quotePrefix="1" applyFont="1" applyFill="1" applyBorder="1" applyProtection="1">
      <protection locked="0"/>
    </xf>
    <xf numFmtId="0" fontId="3" fillId="22" borderId="52" xfId="0" applyFont="1" applyFill="1" applyBorder="1" applyAlignment="1" applyProtection="1">
      <alignment horizontal="center" vertical="center"/>
      <protection locked="0"/>
    </xf>
    <xf numFmtId="0" fontId="3" fillId="20" borderId="52" xfId="0" applyFont="1" applyFill="1" applyBorder="1" applyAlignment="1" applyProtection="1">
      <alignment horizontal="center" vertical="center"/>
      <protection locked="0"/>
    </xf>
    <xf numFmtId="0" fontId="7" fillId="2" borderId="59" xfId="0" applyFont="1" applyFill="1" applyBorder="1" applyAlignment="1" applyProtection="1">
      <alignment horizontal="center" vertical="center"/>
      <protection locked="0"/>
    </xf>
    <xf numFmtId="14" fontId="58" fillId="2" borderId="21" xfId="0" quotePrefix="1" applyNumberFormat="1" applyFont="1" applyFill="1" applyBorder="1" applyAlignment="1" applyProtection="1">
      <alignment horizontal="center"/>
      <protection locked="0"/>
    </xf>
    <xf numFmtId="49" fontId="58" fillId="20" borderId="21" xfId="0" quotePrefix="1" applyNumberFormat="1" applyFont="1" applyFill="1" applyBorder="1" applyAlignment="1" applyProtection="1">
      <alignment horizontal="center"/>
      <protection locked="0"/>
    </xf>
    <xf numFmtId="2" fontId="58" fillId="2" borderId="21" xfId="0" quotePrefix="1" applyNumberFormat="1" applyFont="1" applyFill="1" applyBorder="1" applyAlignment="1" applyProtection="1">
      <alignment horizontal="center"/>
      <protection locked="0"/>
    </xf>
    <xf numFmtId="2" fontId="0" fillId="2" borderId="52" xfId="0" quotePrefix="1" applyNumberFormat="1" applyFill="1" applyBorder="1" applyAlignment="1" applyProtection="1">
      <alignment horizontal="center"/>
      <protection locked="0"/>
    </xf>
    <xf numFmtId="1" fontId="0" fillId="2" borderId="52" xfId="0" quotePrefix="1" applyNumberFormat="1" applyFill="1" applyBorder="1" applyAlignment="1" applyProtection="1">
      <alignment horizontal="center"/>
      <protection locked="0"/>
    </xf>
    <xf numFmtId="49" fontId="0" fillId="2" borderId="52" xfId="0" quotePrefix="1" applyNumberFormat="1" applyFill="1" applyBorder="1" applyAlignment="1" applyProtection="1">
      <alignment horizontal="center"/>
      <protection locked="0"/>
    </xf>
    <xf numFmtId="0" fontId="0" fillId="2" borderId="53" xfId="0" quotePrefix="1" applyFill="1" applyBorder="1" applyAlignment="1" applyProtection="1">
      <alignment horizontal="center"/>
      <protection locked="0"/>
    </xf>
    <xf numFmtId="0" fontId="57" fillId="6" borderId="21" xfId="0" applyFont="1" applyFill="1" applyBorder="1" applyAlignment="1" applyProtection="1">
      <alignment horizontal="left" vertical="center"/>
      <protection locked="0"/>
    </xf>
    <xf numFmtId="0" fontId="57" fillId="36" borderId="21" xfId="0" applyFont="1" applyFill="1" applyBorder="1" applyAlignment="1" applyProtection="1">
      <alignment horizontal="left" vertical="center"/>
      <protection locked="0"/>
    </xf>
    <xf numFmtId="49" fontId="58" fillId="6" borderId="21" xfId="0" quotePrefix="1" applyNumberFormat="1" applyFont="1" applyFill="1" applyBorder="1" applyAlignment="1" applyProtection="1">
      <alignment horizontal="center"/>
      <protection locked="0"/>
    </xf>
    <xf numFmtId="0" fontId="0" fillId="6" borderId="21" xfId="0" applyFill="1" applyBorder="1" applyAlignment="1" applyProtection="1">
      <alignment horizontal="center" vertical="center"/>
      <protection locked="0"/>
    </xf>
    <xf numFmtId="0" fontId="2" fillId="34" borderId="0" xfId="0" applyFont="1" applyFill="1" applyAlignment="1" applyProtection="1">
      <alignment horizontal="center" vertical="center"/>
      <protection locked="0"/>
    </xf>
    <xf numFmtId="0" fontId="12" fillId="0" borderId="0" xfId="0" applyFont="1" applyAlignment="1" applyProtection="1">
      <alignment horizontal="center" vertical="center"/>
      <protection locked="0"/>
    </xf>
    <xf numFmtId="0" fontId="57" fillId="22" borderId="21" xfId="0" applyFont="1" applyFill="1" applyBorder="1" applyAlignment="1" applyProtection="1">
      <alignment horizontal="center" vertical="center"/>
      <protection locked="0"/>
    </xf>
    <xf numFmtId="3" fontId="0" fillId="0" borderId="21" xfId="0" applyNumberFormat="1" applyBorder="1" applyProtection="1">
      <protection locked="0"/>
    </xf>
    <xf numFmtId="2" fontId="0" fillId="0" borderId="21" xfId="0" applyNumberFormat="1" applyBorder="1" applyProtection="1">
      <protection locked="0"/>
    </xf>
    <xf numFmtId="3" fontId="0" fillId="0" borderId="21" xfId="0" applyNumberFormat="1" applyBorder="1" applyAlignment="1" applyProtection="1">
      <alignment horizontal="center" vertical="center"/>
      <protection locked="0"/>
    </xf>
    <xf numFmtId="0" fontId="3" fillId="24" borderId="141" xfId="0" applyFont="1" applyFill="1" applyBorder="1" applyAlignment="1" applyProtection="1">
      <alignment vertical="center"/>
      <protection locked="0"/>
    </xf>
    <xf numFmtId="0" fontId="57" fillId="3" borderId="21" xfId="0" applyFont="1" applyFill="1" applyBorder="1" applyAlignment="1" applyProtection="1">
      <alignment horizontal="center" vertical="center"/>
      <protection locked="0"/>
    </xf>
    <xf numFmtId="0" fontId="57" fillId="3" borderId="21" xfId="0" applyFont="1" applyFill="1" applyBorder="1" applyAlignment="1" applyProtection="1">
      <alignment horizontal="left" vertical="center"/>
      <protection locked="0"/>
    </xf>
    <xf numFmtId="0" fontId="57" fillId="21" borderId="21" xfId="0" applyFont="1" applyFill="1" applyBorder="1" applyAlignment="1" applyProtection="1">
      <alignment horizontal="left" vertical="center"/>
      <protection locked="0"/>
    </xf>
    <xf numFmtId="14" fontId="58" fillId="2" borderId="21" xfId="0" quotePrefix="1" applyNumberFormat="1" applyFont="1" applyFill="1" applyBorder="1" applyProtection="1">
      <protection locked="0"/>
    </xf>
    <xf numFmtId="2" fontId="58" fillId="2" borderId="21" xfId="0" quotePrefix="1" applyNumberFormat="1" applyFont="1" applyFill="1" applyBorder="1" applyProtection="1">
      <protection locked="0"/>
    </xf>
    <xf numFmtId="0" fontId="57" fillId="3" borderId="50" xfId="0" applyFont="1" applyFill="1" applyBorder="1" applyAlignment="1" applyProtection="1">
      <alignment horizontal="center" vertical="center"/>
      <protection locked="0"/>
    </xf>
    <xf numFmtId="49" fontId="58" fillId="0" borderId="21" xfId="0" quotePrefix="1" applyNumberFormat="1" applyFont="1" applyBorder="1" applyAlignment="1" applyProtection="1">
      <alignment horizontal="center" vertical="center"/>
      <protection locked="0"/>
    </xf>
    <xf numFmtId="49" fontId="58" fillId="0" borderId="50" xfId="0" quotePrefix="1" applyNumberFormat="1" applyFont="1" applyBorder="1" applyAlignment="1" applyProtection="1">
      <alignment horizontal="center" vertical="center"/>
      <protection locked="0"/>
    </xf>
    <xf numFmtId="0" fontId="3" fillId="4" borderId="62" xfId="0" applyFont="1" applyFill="1" applyBorder="1" applyProtection="1">
      <protection locked="0"/>
    </xf>
    <xf numFmtId="0" fontId="3" fillId="3" borderId="62" xfId="0" applyFont="1" applyFill="1" applyBorder="1" applyProtection="1">
      <protection locked="0"/>
    </xf>
    <xf numFmtId="1" fontId="0" fillId="0" borderId="0" xfId="0" applyNumberFormat="1" applyProtection="1">
      <protection locked="0"/>
    </xf>
    <xf numFmtId="1" fontId="0" fillId="0" borderId="52" xfId="0" applyNumberFormat="1" applyBorder="1" applyAlignment="1" applyProtection="1">
      <alignment horizontal="center"/>
      <protection locked="0"/>
    </xf>
    <xf numFmtId="2" fontId="0" fillId="0" borderId="52" xfId="0" applyNumberFormat="1" applyBorder="1" applyAlignment="1" applyProtection="1">
      <alignment horizontal="center"/>
      <protection locked="0"/>
    </xf>
    <xf numFmtId="2" fontId="83" fillId="0" borderId="21" xfId="0" applyNumberFormat="1" applyFont="1" applyBorder="1" applyAlignment="1" applyProtection="1">
      <alignment horizontal="center"/>
      <protection locked="0"/>
    </xf>
    <xf numFmtId="0" fontId="0" fillId="15" borderId="52" xfId="0" applyFill="1" applyBorder="1" applyAlignment="1" applyProtection="1">
      <alignment horizontal="center"/>
      <protection locked="0"/>
    </xf>
    <xf numFmtId="2" fontId="0" fillId="0" borderId="21" xfId="0" applyNumberFormat="1" applyBorder="1" applyAlignment="1" applyProtection="1">
      <alignment horizontal="center"/>
      <protection locked="0"/>
    </xf>
    <xf numFmtId="0" fontId="3" fillId="3" borderId="21" xfId="0" applyFont="1" applyFill="1" applyBorder="1" applyAlignment="1" applyProtection="1">
      <alignment horizontal="left"/>
      <protection locked="0"/>
    </xf>
    <xf numFmtId="0" fontId="3" fillId="20" borderId="21" xfId="0" applyFont="1" applyFill="1" applyBorder="1" applyAlignment="1" applyProtection="1">
      <alignment horizontal="left"/>
      <protection locked="0"/>
    </xf>
    <xf numFmtId="49" fontId="0" fillId="20" borderId="21" xfId="0" applyNumberFormat="1" applyFill="1" applyBorder="1" applyAlignment="1" applyProtection="1">
      <alignment horizontal="center" vertical="center"/>
      <protection locked="0"/>
    </xf>
    <xf numFmtId="49" fontId="58" fillId="3" borderId="21" xfId="0" quotePrefix="1" applyNumberFormat="1" applyFont="1" applyFill="1" applyBorder="1" applyAlignment="1" applyProtection="1">
      <alignment horizontal="center" vertical="center"/>
      <protection locked="0"/>
    </xf>
    <xf numFmtId="0" fontId="58" fillId="3" borderId="21" xfId="0" quotePrefix="1" applyFont="1" applyFill="1" applyBorder="1" applyAlignment="1" applyProtection="1">
      <alignment horizontal="center" vertical="center"/>
      <protection locked="0"/>
    </xf>
    <xf numFmtId="14" fontId="58" fillId="3" borderId="21" xfId="0" quotePrefix="1" applyNumberFormat="1" applyFont="1" applyFill="1" applyBorder="1" applyAlignment="1" applyProtection="1">
      <alignment horizontal="center" vertical="center"/>
      <protection locked="0"/>
    </xf>
    <xf numFmtId="2" fontId="0" fillId="3" borderId="21" xfId="0" quotePrefix="1" applyNumberFormat="1" applyFill="1" applyBorder="1" applyAlignment="1" applyProtection="1">
      <alignment horizontal="center" vertical="center"/>
      <protection locked="0"/>
    </xf>
    <xf numFmtId="49" fontId="0" fillId="3" borderId="21" xfId="0" quotePrefix="1" applyNumberFormat="1" applyFill="1" applyBorder="1" applyAlignment="1" applyProtection="1">
      <alignment horizontal="center" vertical="center"/>
      <protection locked="0"/>
    </xf>
    <xf numFmtId="0" fontId="0" fillId="3" borderId="21" xfId="0" quotePrefix="1" applyFill="1" applyBorder="1" applyAlignment="1" applyProtection="1">
      <alignment horizontal="center" vertical="center"/>
      <protection locked="0"/>
    </xf>
    <xf numFmtId="49" fontId="0" fillId="20" borderId="21" xfId="0" quotePrefix="1" applyNumberFormat="1" applyFill="1" applyBorder="1" applyAlignment="1" applyProtection="1">
      <alignment horizontal="center" vertical="center"/>
      <protection locked="0"/>
    </xf>
    <xf numFmtId="0" fontId="0" fillId="0" borderId="70" xfId="0" applyBorder="1" applyAlignment="1" applyProtection="1">
      <alignment horizontal="right"/>
      <protection locked="0"/>
    </xf>
    <xf numFmtId="0" fontId="0" fillId="2" borderId="52" xfId="0" applyFill="1" applyBorder="1" applyAlignment="1" applyProtection="1">
      <alignment horizontal="center"/>
      <protection locked="0"/>
    </xf>
    <xf numFmtId="0" fontId="0" fillId="2" borderId="53" xfId="0" applyFill="1" applyBorder="1" applyAlignment="1" applyProtection="1">
      <alignment horizontal="center"/>
      <protection locked="0"/>
    </xf>
    <xf numFmtId="0" fontId="3" fillId="4" borderId="62" xfId="0" applyFont="1" applyFill="1" applyBorder="1" applyAlignment="1" applyProtection="1">
      <alignment horizontal="center"/>
      <protection locked="0"/>
    </xf>
    <xf numFmtId="0" fontId="3" fillId="3" borderId="52" xfId="0" applyFont="1" applyFill="1" applyBorder="1" applyAlignment="1" applyProtection="1">
      <alignment horizontal="center"/>
      <protection locked="0"/>
    </xf>
    <xf numFmtId="0" fontId="0" fillId="25" borderId="62" xfId="0" applyFill="1" applyBorder="1" applyAlignment="1" applyProtection="1">
      <alignment horizontal="center"/>
      <protection locked="0"/>
    </xf>
    <xf numFmtId="0" fontId="0" fillId="25" borderId="63" xfId="0" applyFill="1" applyBorder="1" applyAlignment="1" applyProtection="1">
      <alignment horizontal="center"/>
      <protection locked="0"/>
    </xf>
    <xf numFmtId="0" fontId="0" fillId="25" borderId="0" xfId="0" applyFill="1" applyAlignment="1" applyProtection="1">
      <alignment horizontal="center"/>
      <protection locked="0"/>
    </xf>
    <xf numFmtId="0" fontId="7" fillId="2" borderId="59" xfId="0" applyFont="1" applyFill="1" applyBorder="1" applyAlignment="1" applyProtection="1">
      <alignment vertical="center"/>
      <protection locked="0"/>
    </xf>
    <xf numFmtId="0" fontId="57" fillId="20" borderId="111" xfId="0" applyFont="1" applyFill="1" applyBorder="1" applyAlignment="1" applyProtection="1">
      <alignment horizontal="left" vertical="center"/>
      <protection locked="0"/>
    </xf>
    <xf numFmtId="49" fontId="58" fillId="2" borderId="21" xfId="0" applyNumberFormat="1" applyFont="1" applyFill="1" applyBorder="1" applyAlignment="1" applyProtection="1">
      <alignment horizontal="center" vertical="center"/>
      <protection locked="0"/>
    </xf>
    <xf numFmtId="0" fontId="7" fillId="25" borderId="21" xfId="0" applyFont="1" applyFill="1" applyBorder="1" applyAlignment="1" applyProtection="1">
      <alignment horizontal="center"/>
      <protection locked="0"/>
    </xf>
    <xf numFmtId="0" fontId="3" fillId="20" borderId="0" xfId="0" applyFont="1" applyFill="1" applyAlignment="1" applyProtection="1">
      <alignment horizontal="center" vertical="center"/>
      <protection locked="0"/>
    </xf>
    <xf numFmtId="0" fontId="7" fillId="0" borderId="21" xfId="0" applyFont="1" applyBorder="1" applyAlignment="1" applyProtection="1">
      <alignment horizontal="center"/>
      <protection locked="0"/>
    </xf>
    <xf numFmtId="0" fontId="7" fillId="20" borderId="21" xfId="0" applyFont="1" applyFill="1" applyBorder="1" applyAlignment="1" applyProtection="1">
      <alignment horizontal="center"/>
      <protection locked="0"/>
    </xf>
    <xf numFmtId="0" fontId="0" fillId="20" borderId="0" xfId="0" applyFill="1" applyAlignment="1" applyProtection="1">
      <alignment horizontal="center"/>
      <protection locked="0"/>
    </xf>
    <xf numFmtId="0" fontId="0" fillId="20" borderId="21" xfId="0" quotePrefix="1" applyFill="1" applyBorder="1" applyAlignment="1" applyProtection="1">
      <alignment horizontal="center" vertical="center"/>
      <protection locked="0"/>
    </xf>
    <xf numFmtId="49" fontId="0" fillId="20" borderId="21" xfId="0" applyNumberFormat="1" applyFill="1" applyBorder="1" applyAlignment="1" applyProtection="1">
      <alignment horizontal="center"/>
      <protection locked="0"/>
    </xf>
    <xf numFmtId="2" fontId="0" fillId="2" borderId="21" xfId="0" quotePrefix="1" applyNumberFormat="1" applyFill="1" applyBorder="1" applyAlignment="1" applyProtection="1">
      <alignment horizontal="center"/>
      <protection locked="0"/>
    </xf>
    <xf numFmtId="49" fontId="0" fillId="2" borderId="21" xfId="0" quotePrefix="1" applyNumberFormat="1" applyFill="1" applyBorder="1" applyAlignment="1" applyProtection="1">
      <alignment horizontal="center"/>
      <protection locked="0"/>
    </xf>
    <xf numFmtId="49" fontId="0" fillId="20" borderId="21" xfId="0" quotePrefix="1" applyNumberFormat="1" applyFill="1" applyBorder="1" applyAlignment="1" applyProtection="1">
      <alignment horizontal="center"/>
      <protection locked="0"/>
    </xf>
    <xf numFmtId="0" fontId="0" fillId="20" borderId="21" xfId="0" quotePrefix="1" applyFill="1" applyBorder="1" applyAlignment="1" applyProtection="1">
      <alignment horizontal="center"/>
      <protection locked="0"/>
    </xf>
    <xf numFmtId="0" fontId="58" fillId="2" borderId="70" xfId="0" quotePrefix="1" applyFont="1" applyFill="1" applyBorder="1" applyAlignment="1" applyProtection="1">
      <alignment horizontal="center"/>
      <protection locked="0"/>
    </xf>
    <xf numFmtId="49" fontId="58" fillId="2" borderId="70" xfId="0" quotePrefix="1" applyNumberFormat="1" applyFont="1" applyFill="1" applyBorder="1" applyAlignment="1" applyProtection="1">
      <alignment horizontal="center"/>
      <protection locked="0"/>
    </xf>
    <xf numFmtId="1" fontId="58" fillId="2" borderId="21" xfId="0" quotePrefix="1" applyNumberFormat="1" applyFont="1" applyFill="1" applyBorder="1" applyAlignment="1" applyProtection="1">
      <alignment horizontal="center"/>
      <protection locked="0"/>
    </xf>
    <xf numFmtId="0" fontId="11" fillId="0" borderId="0" xfId="0" applyFont="1" applyAlignment="1" applyProtection="1">
      <alignment horizontal="left"/>
      <protection locked="0"/>
    </xf>
    <xf numFmtId="0" fontId="0" fillId="0" borderId="21" xfId="0" quotePrefix="1" applyBorder="1" applyAlignment="1" applyProtection="1">
      <alignment horizontal="right"/>
      <protection locked="0"/>
    </xf>
    <xf numFmtId="0" fontId="57" fillId="3" borderId="78" xfId="0" applyFont="1" applyFill="1" applyBorder="1" applyAlignment="1" applyProtection="1">
      <alignment horizontal="center" vertical="center"/>
      <protection locked="0"/>
    </xf>
    <xf numFmtId="1" fontId="0" fillId="0" borderId="21" xfId="0" quotePrefix="1" applyNumberFormat="1" applyBorder="1" applyProtection="1">
      <protection locked="0"/>
    </xf>
    <xf numFmtId="0" fontId="11" fillId="0" borderId="0" xfId="0" applyFont="1" applyAlignment="1" applyProtection="1">
      <alignment horizontal="center"/>
      <protection locked="0"/>
    </xf>
    <xf numFmtId="49" fontId="58" fillId="0" borderId="21" xfId="0" quotePrefix="1" applyNumberFormat="1" applyFont="1" applyBorder="1" applyAlignment="1" applyProtection="1">
      <alignment horizontal="center"/>
      <protection locked="0"/>
    </xf>
    <xf numFmtId="0" fontId="11" fillId="0" borderId="0" xfId="0" applyFont="1" applyProtection="1">
      <protection locked="0"/>
    </xf>
    <xf numFmtId="0" fontId="3" fillId="0" borderId="0" xfId="0" applyFont="1" applyAlignment="1" applyProtection="1">
      <alignment horizontal="left"/>
      <protection locked="0"/>
    </xf>
    <xf numFmtId="0" fontId="57" fillId="3" borderId="78" xfId="0" applyFont="1" applyFill="1" applyBorder="1" applyAlignment="1" applyProtection="1">
      <alignment horizontal="left" vertical="center"/>
      <protection locked="0"/>
    </xf>
    <xf numFmtId="0" fontId="73" fillId="2" borderId="59" xfId="0" applyFont="1" applyFill="1" applyBorder="1" applyAlignment="1" applyProtection="1">
      <alignment horizontal="center" vertical="center"/>
      <protection locked="0"/>
    </xf>
    <xf numFmtId="0" fontId="3" fillId="3" borderId="0" xfId="0" applyFont="1" applyFill="1" applyProtection="1">
      <protection locked="0"/>
    </xf>
    <xf numFmtId="0" fontId="0" fillId="25" borderId="21" xfId="0" applyFill="1" applyBorder="1" applyAlignment="1" applyProtection="1">
      <alignment horizontal="center"/>
      <protection locked="0"/>
    </xf>
    <xf numFmtId="0" fontId="0" fillId="20" borderId="52" xfId="0" applyFill="1" applyBorder="1" applyAlignment="1" applyProtection="1">
      <alignment horizontal="center" vertical="center"/>
      <protection locked="0"/>
    </xf>
    <xf numFmtId="0" fontId="7" fillId="0" borderId="0" xfId="0" applyFont="1" applyProtection="1">
      <protection locked="0"/>
    </xf>
    <xf numFmtId="0" fontId="73" fillId="2" borderId="91" xfId="0" applyFont="1" applyFill="1" applyBorder="1" applyAlignment="1" applyProtection="1">
      <alignment vertical="center"/>
      <protection locked="0"/>
    </xf>
    <xf numFmtId="0" fontId="73" fillId="2" borderId="90" xfId="0" applyFont="1" applyFill="1" applyBorder="1" applyAlignment="1" applyProtection="1">
      <alignment vertical="center"/>
      <protection locked="0"/>
    </xf>
    <xf numFmtId="0" fontId="73" fillId="2" borderId="0" xfId="0" applyFont="1" applyFill="1" applyAlignment="1" applyProtection="1">
      <alignment horizontal="center" vertical="center"/>
      <protection locked="0"/>
    </xf>
    <xf numFmtId="0" fontId="73" fillId="2" borderId="58" xfId="0" applyFont="1" applyFill="1" applyBorder="1" applyAlignment="1" applyProtection="1">
      <alignment vertical="center"/>
      <protection locked="0"/>
    </xf>
    <xf numFmtId="0" fontId="73" fillId="2" borderId="58" xfId="0" applyFont="1" applyFill="1" applyBorder="1" applyAlignment="1" applyProtection="1">
      <alignment horizontal="center" vertical="center"/>
      <protection locked="0"/>
    </xf>
    <xf numFmtId="0" fontId="57" fillId="3" borderId="43" xfId="0" applyFont="1" applyFill="1" applyBorder="1" applyAlignment="1" applyProtection="1">
      <alignment horizontal="left" vertical="center"/>
      <protection locked="0"/>
    </xf>
    <xf numFmtId="0" fontId="0" fillId="3" borderId="43" xfId="0" applyFill="1" applyBorder="1" applyAlignment="1" applyProtection="1">
      <alignment horizontal="left"/>
      <protection locked="0"/>
    </xf>
    <xf numFmtId="0" fontId="0" fillId="0" borderId="78" xfId="0" applyBorder="1" applyAlignment="1" applyProtection="1">
      <alignment horizontal="center"/>
      <protection locked="0"/>
    </xf>
    <xf numFmtId="49" fontId="0" fillId="0" borderId="79" xfId="0" quotePrefix="1" applyNumberFormat="1" applyBorder="1" applyAlignment="1" applyProtection="1">
      <alignment horizontal="center"/>
      <protection locked="0"/>
    </xf>
    <xf numFmtId="0" fontId="0" fillId="0" borderId="79" xfId="0" quotePrefix="1" applyBorder="1" applyAlignment="1" applyProtection="1">
      <alignment horizontal="center"/>
      <protection locked="0"/>
    </xf>
    <xf numFmtId="14" fontId="0" fillId="0" borderId="79" xfId="0" quotePrefix="1" applyNumberFormat="1" applyBorder="1" applyAlignment="1" applyProtection="1">
      <alignment horizontal="center"/>
      <protection locked="0"/>
    </xf>
    <xf numFmtId="0" fontId="3" fillId="21" borderId="79" xfId="0" applyFont="1" applyFill="1" applyBorder="1" applyAlignment="1" applyProtection="1">
      <alignment horizontal="center"/>
      <protection locked="0"/>
    </xf>
    <xf numFmtId="0" fontId="3" fillId="21" borderId="79" xfId="0" applyFont="1" applyFill="1" applyBorder="1" applyAlignment="1" applyProtection="1">
      <alignment horizontal="center" vertical="center"/>
      <protection locked="0"/>
    </xf>
    <xf numFmtId="0" fontId="3" fillId="3" borderId="79" xfId="0" applyFont="1" applyFill="1" applyBorder="1" applyAlignment="1" applyProtection="1">
      <alignment horizontal="center"/>
      <protection locked="0"/>
    </xf>
    <xf numFmtId="10" fontId="0" fillId="0" borderId="21" xfId="0" quotePrefix="1" applyNumberFormat="1" applyBorder="1" applyAlignment="1" applyProtection="1">
      <alignment horizontal="center" vertical="center"/>
      <protection locked="0"/>
    </xf>
    <xf numFmtId="0" fontId="0" fillId="21" borderId="21" xfId="0" applyFill="1" applyBorder="1" applyAlignment="1" applyProtection="1">
      <alignment horizontal="center" vertical="center"/>
      <protection locked="0"/>
    </xf>
    <xf numFmtId="0" fontId="3" fillId="3" borderId="79" xfId="0" applyFont="1" applyFill="1" applyBorder="1" applyAlignment="1" applyProtection="1">
      <alignment horizontal="left"/>
      <protection locked="0"/>
    </xf>
    <xf numFmtId="0" fontId="57" fillId="21" borderId="79" xfId="0" applyFont="1" applyFill="1" applyBorder="1" applyAlignment="1" applyProtection="1">
      <alignment horizontal="left" vertical="center"/>
      <protection locked="0"/>
    </xf>
    <xf numFmtId="0" fontId="57" fillId="3" borderId="79" xfId="0" applyFont="1" applyFill="1" applyBorder="1" applyAlignment="1" applyProtection="1">
      <alignment horizontal="left" vertical="center"/>
      <protection locked="0"/>
    </xf>
    <xf numFmtId="0" fontId="57" fillId="20" borderId="79" xfId="0" applyFont="1" applyFill="1" applyBorder="1" applyAlignment="1" applyProtection="1">
      <alignment horizontal="left" vertical="center"/>
      <protection locked="0"/>
    </xf>
    <xf numFmtId="1" fontId="0" fillId="0" borderId="21" xfId="0" quotePrefix="1" applyNumberFormat="1" applyBorder="1" applyAlignment="1" applyProtection="1">
      <alignment horizontal="center"/>
      <protection locked="0"/>
    </xf>
    <xf numFmtId="1" fontId="0" fillId="20" borderId="21" xfId="0" quotePrefix="1" applyNumberFormat="1" applyFill="1" applyBorder="1" applyAlignment="1" applyProtection="1">
      <alignment horizontal="center"/>
      <protection locked="0"/>
    </xf>
    <xf numFmtId="10" fontId="0" fillId="0" borderId="21" xfId="0" applyNumberFormat="1" applyBorder="1" applyProtection="1">
      <protection locked="0"/>
    </xf>
    <xf numFmtId="0" fontId="3" fillId="20" borderId="0" xfId="0" applyFont="1" applyFill="1" applyAlignment="1" applyProtection="1">
      <alignment horizontal="center"/>
      <protection locked="0"/>
    </xf>
    <xf numFmtId="0" fontId="12" fillId="0" borderId="0" xfId="0" applyFont="1" applyAlignment="1" applyProtection="1">
      <alignment horizontal="left" vertical="center"/>
      <protection locked="0"/>
    </xf>
    <xf numFmtId="1" fontId="0" fillId="2" borderId="21" xfId="0" quotePrefix="1" applyNumberFormat="1" applyFill="1" applyBorder="1" applyAlignment="1" applyProtection="1">
      <alignment horizontal="center"/>
      <protection locked="0"/>
    </xf>
    <xf numFmtId="0" fontId="0" fillId="28" borderId="0" xfId="0" applyFill="1" applyProtection="1">
      <protection locked="0"/>
    </xf>
    <xf numFmtId="0" fontId="33" fillId="0" borderId="68" xfId="0" applyFont="1" applyBorder="1" applyAlignment="1" applyProtection="1">
      <alignment horizontal="center" vertical="center"/>
      <protection locked="0"/>
    </xf>
    <xf numFmtId="0" fontId="0" fillId="20" borderId="0" xfId="0" applyFill="1" applyAlignment="1" applyProtection="1">
      <alignment horizontal="center" vertical="center"/>
      <protection locked="0"/>
    </xf>
    <xf numFmtId="0" fontId="70" fillId="13" borderId="0" xfId="0" applyFont="1" applyFill="1" applyProtection="1">
      <protection locked="0"/>
    </xf>
    <xf numFmtId="0" fontId="70" fillId="0" borderId="0" xfId="0" applyFont="1" applyProtection="1">
      <protection locked="0"/>
    </xf>
    <xf numFmtId="0" fontId="70" fillId="13" borderId="69" xfId="0" applyFont="1" applyFill="1" applyBorder="1" applyProtection="1">
      <protection locked="0"/>
    </xf>
    <xf numFmtId="0" fontId="33" fillId="0" borderId="68" xfId="0" applyFont="1" applyBorder="1" applyProtection="1">
      <protection locked="0"/>
    </xf>
    <xf numFmtId="0" fontId="70" fillId="0" borderId="69" xfId="0" applyFont="1" applyBorder="1" applyProtection="1">
      <protection locked="0"/>
    </xf>
    <xf numFmtId="0" fontId="36" fillId="2" borderId="31" xfId="0" applyFont="1" applyFill="1" applyBorder="1" applyAlignment="1" applyProtection="1">
      <alignment horizontal="left" vertical="center"/>
      <protection locked="0"/>
    </xf>
    <xf numFmtId="0" fontId="36" fillId="2" borderId="15" xfId="0" applyFont="1" applyFill="1" applyBorder="1" applyAlignment="1" applyProtection="1">
      <alignment horizontal="left" vertical="center"/>
      <protection locked="0"/>
    </xf>
    <xf numFmtId="0" fontId="36" fillId="2" borderId="18" xfId="0" applyFont="1" applyFill="1" applyBorder="1" applyAlignment="1" applyProtection="1">
      <alignment horizontal="left" vertical="center"/>
      <protection locked="0"/>
    </xf>
    <xf numFmtId="0" fontId="36" fillId="2" borderId="13" xfId="0" applyFont="1" applyFill="1" applyBorder="1" applyAlignment="1" applyProtection="1">
      <alignment horizontal="left" vertical="center"/>
      <protection locked="0"/>
    </xf>
    <xf numFmtId="0" fontId="0" fillId="2" borderId="15" xfId="0" applyFill="1" applyBorder="1" applyAlignment="1" applyProtection="1">
      <alignment horizontal="center" vertical="center"/>
      <protection locked="0"/>
    </xf>
    <xf numFmtId="49" fontId="0" fillId="5" borderId="19" xfId="0" applyNumberFormat="1" applyFill="1" applyBorder="1" applyAlignment="1" applyProtection="1">
      <alignment horizontal="center" vertical="center"/>
      <protection locked="0"/>
    </xf>
    <xf numFmtId="49" fontId="0" fillId="5" borderId="16" xfId="0" applyNumberFormat="1" applyFill="1" applyBorder="1" applyAlignment="1" applyProtection="1">
      <alignment horizontal="center" vertical="center"/>
      <protection locked="0"/>
    </xf>
    <xf numFmtId="49" fontId="0" fillId="5" borderId="20" xfId="0" applyNumberFormat="1" applyFill="1" applyBorder="1" applyAlignment="1" applyProtection="1">
      <alignment horizontal="center" vertical="center"/>
      <protection locked="0"/>
    </xf>
    <xf numFmtId="49" fontId="7" fillId="5" borderId="18" xfId="0" applyNumberFormat="1" applyFont="1" applyFill="1" applyBorder="1" applyAlignment="1" applyProtection="1">
      <alignment horizontal="center" vertical="center" wrapText="1"/>
      <protection locked="0"/>
    </xf>
    <xf numFmtId="49" fontId="7" fillId="5" borderId="13" xfId="0" applyNumberFormat="1" applyFont="1" applyFill="1" applyBorder="1" applyAlignment="1" applyProtection="1">
      <alignment horizontal="center" vertical="center" wrapText="1"/>
      <protection locked="0"/>
    </xf>
    <xf numFmtId="49" fontId="7" fillId="5" borderId="17" xfId="0" applyNumberFormat="1" applyFont="1" applyFill="1" applyBorder="1" applyAlignment="1" applyProtection="1">
      <alignment horizontal="center" vertical="center" wrapText="1"/>
      <protection locked="0"/>
    </xf>
    <xf numFmtId="49" fontId="0" fillId="5" borderId="18" xfId="0" applyNumberFormat="1" applyFill="1" applyBorder="1" applyAlignment="1" applyProtection="1">
      <alignment horizontal="center" vertical="center" wrapText="1"/>
      <protection locked="0"/>
    </xf>
    <xf numFmtId="49" fontId="0" fillId="5" borderId="13" xfId="0" applyNumberFormat="1" applyFill="1" applyBorder="1" applyAlignment="1" applyProtection="1">
      <alignment horizontal="center" vertical="center" wrapText="1"/>
      <protection locked="0"/>
    </xf>
    <xf numFmtId="49" fontId="0" fillId="5" borderId="17" xfId="0" applyNumberFormat="1" applyFill="1" applyBorder="1" applyAlignment="1" applyProtection="1">
      <alignment horizontal="center" vertical="center" wrapText="1"/>
      <protection locked="0"/>
    </xf>
    <xf numFmtId="49" fontId="0" fillId="5" borderId="18" xfId="0" applyNumberFormat="1" applyFill="1" applyBorder="1" applyAlignment="1" applyProtection="1">
      <alignment horizontal="left" vertical="top" wrapText="1"/>
      <protection locked="0"/>
    </xf>
    <xf numFmtId="49" fontId="0" fillId="5" borderId="13" xfId="0" applyNumberFormat="1" applyFill="1" applyBorder="1" applyAlignment="1" applyProtection="1">
      <alignment horizontal="left" vertical="top" wrapText="1"/>
      <protection locked="0"/>
    </xf>
    <xf numFmtId="49" fontId="0" fillId="5" borderId="17" xfId="0" applyNumberFormat="1" applyFill="1" applyBorder="1" applyAlignment="1" applyProtection="1">
      <alignment horizontal="left" vertical="top" wrapText="1"/>
      <protection locked="0"/>
    </xf>
    <xf numFmtId="0" fontId="25" fillId="2" borderId="18" xfId="0" applyFont="1" applyFill="1" applyBorder="1" applyAlignment="1" applyProtection="1">
      <alignment horizontal="center" vertical="center"/>
      <protection locked="0"/>
    </xf>
    <xf numFmtId="0" fontId="25" fillId="2" borderId="13"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5" borderId="38" xfId="0" applyFill="1" applyBorder="1" applyAlignment="1" applyProtection="1">
      <alignment horizontal="center" vertical="center"/>
      <protection locked="0"/>
    </xf>
    <xf numFmtId="0" fontId="36" fillId="2" borderId="18" xfId="0" applyFont="1" applyFill="1" applyBorder="1" applyAlignment="1" applyProtection="1">
      <alignment horizontal="center" vertical="center"/>
      <protection locked="0"/>
    </xf>
    <xf numFmtId="0" fontId="36" fillId="2" borderId="13" xfId="0" applyFont="1" applyFill="1" applyBorder="1" applyAlignment="1" applyProtection="1">
      <alignment horizontal="center" vertical="center"/>
      <protection locked="0"/>
    </xf>
    <xf numFmtId="0" fontId="36" fillId="2" borderId="17" xfId="0" applyFont="1" applyFill="1" applyBorder="1" applyAlignment="1" applyProtection="1">
      <alignment horizontal="center" vertical="center"/>
      <protection locked="0"/>
    </xf>
    <xf numFmtId="49" fontId="0" fillId="5" borderId="18" xfId="0" applyNumberFormat="1" applyFill="1" applyBorder="1" applyAlignment="1" applyProtection="1">
      <alignment horizontal="left" vertical="center"/>
      <protection locked="0"/>
    </xf>
    <xf numFmtId="49" fontId="0" fillId="5" borderId="13" xfId="0" applyNumberFormat="1" applyFill="1" applyBorder="1" applyAlignment="1" applyProtection="1">
      <alignment horizontal="left" vertical="center"/>
      <protection locked="0"/>
    </xf>
    <xf numFmtId="49" fontId="0" fillId="5" borderId="17" xfId="0" applyNumberFormat="1" applyFill="1" applyBorder="1" applyAlignment="1" applyProtection="1">
      <alignment horizontal="left" vertical="center"/>
      <protection locked="0"/>
    </xf>
    <xf numFmtId="0" fontId="27" fillId="2" borderId="0" xfId="0" applyFont="1" applyFill="1" applyAlignment="1" applyProtection="1">
      <alignment horizontal="center" vertical="center" wrapText="1"/>
      <protection locked="0"/>
    </xf>
    <xf numFmtId="0" fontId="3" fillId="2" borderId="0" xfId="0" applyFont="1" applyFill="1" applyAlignment="1" applyProtection="1">
      <alignment horizontal="center"/>
      <protection locked="0"/>
    </xf>
    <xf numFmtId="49" fontId="0" fillId="5" borderId="18" xfId="0" applyNumberFormat="1" applyFill="1" applyBorder="1" applyAlignment="1" applyProtection="1">
      <alignment horizontal="left" vertical="center" wrapText="1"/>
      <protection locked="0"/>
    </xf>
    <xf numFmtId="49" fontId="0" fillId="5" borderId="13" xfId="0" applyNumberFormat="1" applyFill="1" applyBorder="1" applyAlignment="1" applyProtection="1">
      <alignment horizontal="left" vertical="center" wrapText="1"/>
      <protection locked="0"/>
    </xf>
    <xf numFmtId="49" fontId="0" fillId="5" borderId="17" xfId="0" applyNumberForma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protection locked="0"/>
    </xf>
    <xf numFmtId="49" fontId="7" fillId="5" borderId="12" xfId="0" applyNumberFormat="1" applyFont="1" applyFill="1" applyBorder="1" applyAlignment="1" applyProtection="1">
      <alignment horizontal="left" vertical="top" wrapText="1"/>
      <protection locked="0"/>
    </xf>
    <xf numFmtId="49" fontId="0" fillId="5" borderId="12" xfId="0" applyNumberFormat="1" applyFill="1" applyBorder="1" applyAlignment="1" applyProtection="1">
      <alignment horizontal="left" vertical="top" wrapText="1"/>
      <protection locked="0"/>
    </xf>
    <xf numFmtId="14" fontId="0" fillId="5" borderId="12" xfId="0" applyNumberFormat="1" applyFill="1" applyBorder="1" applyAlignment="1" applyProtection="1">
      <alignment horizontal="left" vertical="top" wrapText="1"/>
      <protection locked="0"/>
    </xf>
    <xf numFmtId="14" fontId="0" fillId="5" borderId="18" xfId="0" applyNumberFormat="1" applyFill="1" applyBorder="1" applyAlignment="1" applyProtection="1">
      <alignment horizontal="center" vertical="center"/>
      <protection locked="0"/>
    </xf>
    <xf numFmtId="14" fontId="0" fillId="5" borderId="13" xfId="0" applyNumberFormat="1" applyFill="1" applyBorder="1" applyAlignment="1" applyProtection="1">
      <alignment horizontal="center" vertical="center"/>
      <protection locked="0"/>
    </xf>
    <xf numFmtId="14" fontId="0" fillId="5" borderId="17" xfId="0" applyNumberFormat="1" applyFill="1" applyBorder="1" applyAlignment="1" applyProtection="1">
      <alignment horizontal="center" vertical="center"/>
      <protection locked="0"/>
    </xf>
    <xf numFmtId="0" fontId="0" fillId="22" borderId="21" xfId="0" applyFill="1" applyBorder="1" applyAlignment="1" applyProtection="1">
      <alignment horizontal="left" vertical="center"/>
      <protection locked="0"/>
    </xf>
    <xf numFmtId="0" fontId="26" fillId="2" borderId="0" xfId="0" applyFont="1" applyFill="1" applyAlignment="1" applyProtection="1">
      <alignment horizontal="center" vertical="center" wrapText="1"/>
      <protection locked="0"/>
    </xf>
    <xf numFmtId="0" fontId="29" fillId="2" borderId="18"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wrapText="1"/>
      <protection locked="0"/>
    </xf>
    <xf numFmtId="0" fontId="29" fillId="2" borderId="14" xfId="0" applyFont="1" applyFill="1" applyBorder="1" applyAlignment="1" applyProtection="1">
      <alignment horizontal="center" vertical="center" wrapText="1"/>
      <protection locked="0"/>
    </xf>
    <xf numFmtId="0" fontId="29" fillId="2" borderId="26" xfId="0" applyFont="1" applyFill="1" applyBorder="1" applyAlignment="1" applyProtection="1">
      <alignment horizontal="center" vertical="center" wrapText="1"/>
      <protection locked="0"/>
    </xf>
    <xf numFmtId="0" fontId="25" fillId="2" borderId="18"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locked="0"/>
    </xf>
    <xf numFmtId="0" fontId="25" fillId="2" borderId="17" xfId="0" applyFont="1" applyFill="1" applyBorder="1" applyAlignment="1" applyProtection="1">
      <alignment horizontal="center" vertical="center" wrapText="1"/>
      <protection locked="0"/>
    </xf>
    <xf numFmtId="0" fontId="58" fillId="2" borderId="0" xfId="0" applyFont="1" applyFill="1" applyAlignment="1" applyProtection="1">
      <alignment horizontal="left" vertical="center" wrapText="1"/>
      <protection locked="0"/>
    </xf>
    <xf numFmtId="0" fontId="25" fillId="2" borderId="12"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49" fontId="14" fillId="5" borderId="19" xfId="0" applyNumberFormat="1" applyFont="1" applyFill="1" applyBorder="1" applyAlignment="1" applyProtection="1">
      <alignment horizontal="left" vertical="top" wrapText="1"/>
      <protection locked="0"/>
    </xf>
    <xf numFmtId="49" fontId="14" fillId="5" borderId="16" xfId="0" applyNumberFormat="1" applyFont="1" applyFill="1" applyBorder="1" applyAlignment="1" applyProtection="1">
      <alignment horizontal="left" vertical="top" wrapText="1"/>
      <protection locked="0"/>
    </xf>
    <xf numFmtId="49" fontId="14" fillId="5" borderId="20" xfId="0" applyNumberFormat="1" applyFont="1" applyFill="1" applyBorder="1" applyAlignment="1" applyProtection="1">
      <alignment horizontal="left" vertical="top" wrapText="1"/>
      <protection locked="0"/>
    </xf>
    <xf numFmtId="0" fontId="78" fillId="11" borderId="16" xfId="0" applyFont="1" applyFill="1" applyBorder="1" applyAlignment="1" applyProtection="1">
      <alignment horizontal="left" vertical="top" wrapText="1"/>
      <protection locked="0"/>
    </xf>
    <xf numFmtId="0" fontId="78" fillId="11" borderId="20" xfId="0" applyFont="1" applyFill="1" applyBorder="1" applyAlignment="1" applyProtection="1">
      <alignment horizontal="left" vertical="top" wrapText="1"/>
      <protection locked="0"/>
    </xf>
    <xf numFmtId="0" fontId="78" fillId="11" borderId="0" xfId="0" applyFont="1" applyFill="1" applyAlignment="1" applyProtection="1">
      <alignment horizontal="left" vertical="top" wrapText="1"/>
      <protection locked="0"/>
    </xf>
    <xf numFmtId="0" fontId="78" fillId="11" borderId="32" xfId="0" applyFont="1" applyFill="1" applyBorder="1" applyAlignment="1" applyProtection="1">
      <alignment horizontal="left" vertical="top" wrapText="1"/>
      <protection locked="0"/>
    </xf>
    <xf numFmtId="0" fontId="78" fillId="11" borderId="15" xfId="0" applyFont="1" applyFill="1" applyBorder="1" applyAlignment="1" applyProtection="1">
      <alignment horizontal="left" vertical="top" wrapText="1"/>
      <protection locked="0"/>
    </xf>
    <xf numFmtId="0" fontId="78" fillId="11" borderId="38" xfId="0" applyFont="1" applyFill="1" applyBorder="1" applyAlignment="1" applyProtection="1">
      <alignment horizontal="left" vertical="top" wrapText="1"/>
      <protection locked="0"/>
    </xf>
    <xf numFmtId="0" fontId="27" fillId="2" borderId="0" xfId="0" applyFont="1" applyFill="1" applyAlignment="1" applyProtection="1">
      <alignment horizontal="center" vertical="center"/>
      <protection locked="0"/>
    </xf>
    <xf numFmtId="0" fontId="72" fillId="7" borderId="0" xfId="6" applyFill="1" applyAlignment="1" applyProtection="1">
      <alignment horizontal="center" vertical="center" wrapText="1"/>
      <protection locked="0"/>
    </xf>
    <xf numFmtId="0" fontId="14" fillId="2" borderId="0" xfId="0" applyFont="1" applyFill="1" applyAlignment="1" applyProtection="1">
      <alignment horizontal="left" vertical="top" wrapText="1"/>
      <protection locked="0"/>
    </xf>
    <xf numFmtId="0" fontId="78" fillId="11" borderId="19" xfId="0" applyFont="1" applyFill="1" applyBorder="1" applyAlignment="1" applyProtection="1">
      <alignment horizontal="left" vertical="top"/>
      <protection locked="0"/>
    </xf>
    <xf numFmtId="0" fontId="78" fillId="11" borderId="16" xfId="0" applyFont="1" applyFill="1" applyBorder="1" applyAlignment="1" applyProtection="1">
      <alignment horizontal="left" vertical="top"/>
      <protection locked="0"/>
    </xf>
    <xf numFmtId="0" fontId="78" fillId="11" borderId="20" xfId="0" applyFont="1" applyFill="1" applyBorder="1" applyAlignment="1" applyProtection="1">
      <alignment horizontal="left" vertical="top"/>
      <protection locked="0"/>
    </xf>
    <xf numFmtId="0" fontId="78" fillId="11" borderId="31" xfId="0" applyFont="1" applyFill="1" applyBorder="1" applyAlignment="1" applyProtection="1">
      <alignment horizontal="left" vertical="top"/>
      <protection locked="0"/>
    </xf>
    <xf numFmtId="0" fontId="78" fillId="11" borderId="15" xfId="0" applyFont="1" applyFill="1" applyBorder="1" applyAlignment="1" applyProtection="1">
      <alignment horizontal="left" vertical="top"/>
      <protection locked="0"/>
    </xf>
    <xf numFmtId="0" fontId="78" fillId="11" borderId="38" xfId="0" applyFont="1" applyFill="1" applyBorder="1" applyAlignment="1" applyProtection="1">
      <alignment horizontal="left" vertical="top"/>
      <protection locked="0"/>
    </xf>
    <xf numFmtId="49" fontId="14" fillId="5" borderId="18" xfId="0" applyNumberFormat="1" applyFont="1" applyFill="1" applyBorder="1" applyAlignment="1" applyProtection="1">
      <alignment horizontal="left" vertical="top" wrapText="1"/>
      <protection locked="0"/>
    </xf>
    <xf numFmtId="49" fontId="14" fillId="5" borderId="13" xfId="0" applyNumberFormat="1" applyFont="1" applyFill="1" applyBorder="1" applyAlignment="1" applyProtection="1">
      <alignment horizontal="left" vertical="top" wrapText="1"/>
      <protection locked="0"/>
    </xf>
    <xf numFmtId="49" fontId="14" fillId="5" borderId="17" xfId="0" applyNumberFormat="1" applyFont="1" applyFill="1" applyBorder="1" applyAlignment="1" applyProtection="1">
      <alignment horizontal="left" vertical="top" wrapText="1"/>
      <protection locked="0"/>
    </xf>
    <xf numFmtId="0" fontId="0" fillId="2" borderId="0" xfId="0" applyFill="1" applyAlignment="1" applyProtection="1">
      <alignment horizontal="center"/>
      <protection locked="0"/>
    </xf>
    <xf numFmtId="49" fontId="14" fillId="5" borderId="143" xfId="0" applyNumberFormat="1" applyFont="1" applyFill="1" applyBorder="1" applyAlignment="1" applyProtection="1">
      <alignment horizontal="center" vertical="top" wrapText="1"/>
      <protection locked="0"/>
    </xf>
    <xf numFmtId="49" fontId="14" fillId="5" borderId="144" xfId="0" applyNumberFormat="1" applyFont="1" applyFill="1" applyBorder="1" applyAlignment="1" applyProtection="1">
      <alignment horizontal="center" vertical="top" wrapText="1"/>
      <protection locked="0"/>
    </xf>
    <xf numFmtId="49" fontId="14" fillId="5" borderId="145" xfId="0" applyNumberFormat="1" applyFont="1" applyFill="1" applyBorder="1" applyAlignment="1" applyProtection="1">
      <alignment horizontal="center" vertical="top" wrapText="1"/>
      <protection locked="0"/>
    </xf>
    <xf numFmtId="2" fontId="0" fillId="10" borderId="12" xfId="0" applyNumberFormat="1" applyFill="1" applyBorder="1" applyAlignment="1" applyProtection="1">
      <alignment horizontal="center" vertical="center" wrapText="1"/>
      <protection locked="0"/>
    </xf>
    <xf numFmtId="49" fontId="0" fillId="10" borderId="12" xfId="0" applyNumberFormat="1" applyFill="1" applyBorder="1" applyAlignment="1" applyProtection="1">
      <alignment horizontal="center" vertical="center"/>
      <protection locked="0"/>
    </xf>
    <xf numFmtId="0" fontId="25" fillId="2" borderId="35" xfId="0" applyFont="1" applyFill="1" applyBorder="1" applyAlignment="1" applyProtection="1">
      <alignment horizontal="center" vertical="center" wrapText="1"/>
      <protection locked="0"/>
    </xf>
    <xf numFmtId="49" fontId="14" fillId="10" borderId="17" xfId="0" applyNumberFormat="1" applyFont="1" applyFill="1" applyBorder="1" applyAlignment="1" applyProtection="1">
      <alignment horizontal="left" vertical="top" wrapText="1"/>
      <protection locked="0"/>
    </xf>
    <xf numFmtId="49" fontId="14" fillId="10" borderId="12" xfId="0" applyNumberFormat="1" applyFont="1" applyFill="1" applyBorder="1" applyAlignment="1" applyProtection="1">
      <alignment horizontal="left" vertical="top" wrapText="1"/>
      <protection locked="0"/>
    </xf>
    <xf numFmtId="49" fontId="14" fillId="5" borderId="12" xfId="0" applyNumberFormat="1" applyFont="1" applyFill="1" applyBorder="1" applyAlignment="1" applyProtection="1">
      <alignment horizontal="left" vertical="top" wrapText="1"/>
      <protection locked="0"/>
    </xf>
    <xf numFmtId="0" fontId="0" fillId="10" borderId="0" xfId="0" applyFill="1" applyAlignment="1" applyProtection="1">
      <alignment horizontal="left" vertical="center" wrapText="1"/>
      <protection locked="0"/>
    </xf>
    <xf numFmtId="0" fontId="0" fillId="10" borderId="32" xfId="0" applyFill="1" applyBorder="1" applyAlignment="1" applyProtection="1">
      <alignment horizontal="left" vertical="center" wrapText="1"/>
      <protection locked="0"/>
    </xf>
    <xf numFmtId="0" fontId="0" fillId="10" borderId="0" xfId="0" applyFill="1" applyAlignment="1" applyProtection="1">
      <alignment vertical="center" wrapText="1"/>
      <protection locked="0"/>
    </xf>
    <xf numFmtId="0" fontId="0" fillId="10" borderId="32" xfId="0" applyFill="1" applyBorder="1" applyAlignment="1" applyProtection="1">
      <alignment vertical="center" wrapText="1"/>
      <protection locked="0"/>
    </xf>
    <xf numFmtId="0" fontId="25" fillId="2" borderId="18" xfId="0" applyFont="1" applyFill="1" applyBorder="1" applyAlignment="1" applyProtection="1">
      <alignment horizontal="left" vertical="center" wrapText="1"/>
      <protection locked="0"/>
    </xf>
    <xf numFmtId="0" fontId="25" fillId="2" borderId="13" xfId="0" applyFont="1" applyFill="1" applyBorder="1" applyAlignment="1" applyProtection="1">
      <alignment horizontal="left" vertical="center" wrapText="1"/>
      <protection locked="0"/>
    </xf>
    <xf numFmtId="0" fontId="25" fillId="2" borderId="17" xfId="0" applyFont="1" applyFill="1" applyBorder="1" applyAlignment="1" applyProtection="1">
      <alignment horizontal="left" vertical="center" wrapText="1"/>
      <protection locked="0"/>
    </xf>
    <xf numFmtId="49" fontId="14" fillId="5" borderId="18" xfId="0" applyNumberFormat="1" applyFont="1" applyFill="1" applyBorder="1" applyAlignment="1" applyProtection="1">
      <alignment horizontal="left" vertical="center" wrapText="1"/>
      <protection locked="0"/>
    </xf>
    <xf numFmtId="49" fontId="14" fillId="5" borderId="13" xfId="0" applyNumberFormat="1" applyFont="1" applyFill="1" applyBorder="1" applyAlignment="1" applyProtection="1">
      <alignment horizontal="left" vertical="center" wrapText="1"/>
      <protection locked="0"/>
    </xf>
    <xf numFmtId="49" fontId="14" fillId="5" borderId="17" xfId="0" applyNumberFormat="1" applyFont="1" applyFill="1" applyBorder="1" applyAlignment="1" applyProtection="1">
      <alignment horizontal="left" vertical="center" wrapText="1"/>
      <protection locked="0"/>
    </xf>
    <xf numFmtId="0" fontId="14" fillId="5" borderId="18" xfId="0" applyFont="1" applyFill="1" applyBorder="1" applyAlignment="1" applyProtection="1">
      <alignment horizontal="right" vertical="center"/>
      <protection locked="0"/>
    </xf>
    <xf numFmtId="0" fontId="14" fillId="5" borderId="13" xfId="0" applyFont="1" applyFill="1" applyBorder="1" applyAlignment="1" applyProtection="1">
      <alignment horizontal="right" vertical="center"/>
      <protection locked="0"/>
    </xf>
    <xf numFmtId="0" fontId="14" fillId="5" borderId="17" xfId="0" applyFont="1" applyFill="1" applyBorder="1" applyAlignment="1" applyProtection="1">
      <alignment horizontal="right" vertical="center"/>
      <protection locked="0"/>
    </xf>
    <xf numFmtId="2" fontId="0" fillId="5" borderId="18" xfId="0" applyNumberFormat="1" applyFill="1" applyBorder="1" applyAlignment="1" applyProtection="1">
      <alignment horizontal="center" vertical="center"/>
      <protection locked="0"/>
    </xf>
    <xf numFmtId="2" fontId="0" fillId="5" borderId="13" xfId="0" applyNumberFormat="1" applyFill="1" applyBorder="1" applyAlignment="1" applyProtection="1">
      <alignment horizontal="center" vertical="center"/>
      <protection locked="0"/>
    </xf>
    <xf numFmtId="2" fontId="0" fillId="5" borderId="17" xfId="0" applyNumberFormat="1" applyFill="1" applyBorder="1" applyAlignment="1" applyProtection="1">
      <alignment horizontal="center" vertical="center"/>
      <protection locked="0"/>
    </xf>
    <xf numFmtId="2" fontId="0" fillId="5" borderId="18" xfId="0" applyNumberFormat="1" applyFill="1" applyBorder="1" applyAlignment="1" applyProtection="1">
      <alignment horizontal="center" vertical="center" wrapText="1"/>
      <protection locked="0"/>
    </xf>
    <xf numFmtId="2" fontId="0" fillId="5" borderId="13" xfId="0" applyNumberFormat="1" applyFill="1" applyBorder="1" applyAlignment="1" applyProtection="1">
      <alignment horizontal="center" vertical="center" wrapText="1"/>
      <protection locked="0"/>
    </xf>
    <xf numFmtId="2" fontId="0" fillId="5" borderId="17" xfId="0" applyNumberFormat="1" applyFill="1" applyBorder="1" applyAlignment="1" applyProtection="1">
      <alignment horizontal="center" vertical="center" wrapText="1"/>
      <protection locked="0"/>
    </xf>
    <xf numFmtId="0" fontId="31" fillId="2" borderId="13" xfId="0" applyFont="1" applyFill="1" applyBorder="1" applyAlignment="1" applyProtection="1">
      <alignment horizontal="center" vertical="center" wrapText="1"/>
      <protection locked="0"/>
    </xf>
    <xf numFmtId="0" fontId="31" fillId="2" borderId="17" xfId="0" applyFont="1" applyFill="1" applyBorder="1" applyAlignment="1" applyProtection="1">
      <alignment horizontal="center" vertical="center" wrapText="1"/>
      <protection locked="0"/>
    </xf>
    <xf numFmtId="49" fontId="0" fillId="5" borderId="12" xfId="0" applyNumberFormat="1" applyFill="1" applyBorder="1" applyAlignment="1" applyProtection="1">
      <alignment horizontal="center" vertical="center" wrapText="1"/>
      <protection locked="0"/>
    </xf>
    <xf numFmtId="0" fontId="25" fillId="2" borderId="19"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protection locked="0"/>
    </xf>
    <xf numFmtId="0" fontId="25" fillId="2" borderId="36"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2" borderId="31" xfId="0" applyFont="1" applyFill="1" applyBorder="1" applyAlignment="1" applyProtection="1">
      <alignment horizontal="center" vertical="center" wrapText="1"/>
      <protection locked="0"/>
    </xf>
    <xf numFmtId="0" fontId="25" fillId="2" borderId="15" xfId="0" applyFont="1" applyFill="1" applyBorder="1" applyAlignment="1" applyProtection="1">
      <alignment horizontal="center" vertical="center" wrapText="1"/>
      <protection locked="0"/>
    </xf>
    <xf numFmtId="0" fontId="25" fillId="2" borderId="30" xfId="0" applyFont="1" applyFill="1" applyBorder="1" applyAlignment="1" applyProtection="1">
      <alignment horizontal="center" vertical="center" wrapText="1"/>
      <protection locked="0"/>
    </xf>
    <xf numFmtId="0" fontId="69" fillId="2" borderId="37" xfId="0" applyFont="1" applyFill="1" applyBorder="1" applyAlignment="1" applyProtection="1">
      <alignment horizontal="right" vertical="center" wrapText="1"/>
      <protection locked="0"/>
    </xf>
    <xf numFmtId="0" fontId="69" fillId="2" borderId="40" xfId="0" applyFont="1" applyFill="1" applyBorder="1" applyAlignment="1" applyProtection="1">
      <alignment horizontal="right" vertical="center" wrapText="1"/>
      <protection locked="0"/>
    </xf>
    <xf numFmtId="0" fontId="69" fillId="2" borderId="25" xfId="0" applyFont="1" applyFill="1" applyBorder="1" applyAlignment="1" applyProtection="1">
      <alignment horizontal="right" vertical="center" wrapText="1"/>
      <protection locked="0"/>
    </xf>
    <xf numFmtId="0" fontId="31" fillId="2" borderId="18" xfId="0" applyFont="1" applyFill="1" applyBorder="1" applyAlignment="1" applyProtection="1">
      <alignment horizontal="center" vertical="center" wrapText="1"/>
      <protection locked="0"/>
    </xf>
    <xf numFmtId="0" fontId="60" fillId="2"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protection locked="0"/>
    </xf>
    <xf numFmtId="0" fontId="36" fillId="2" borderId="2"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25" fillId="2" borderId="98" xfId="0" applyFont="1" applyFill="1" applyBorder="1" applyAlignment="1" applyProtection="1">
      <alignment horizontal="center" vertical="center" wrapText="1"/>
      <protection locked="0"/>
    </xf>
    <xf numFmtId="0" fontId="25" fillId="2" borderId="99" xfId="0" applyFont="1" applyFill="1" applyBorder="1" applyAlignment="1" applyProtection="1">
      <alignment horizontal="center" vertical="center" wrapText="1"/>
      <protection locked="0"/>
    </xf>
    <xf numFmtId="0" fontId="25" fillId="2" borderId="100"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right" vertical="center" wrapText="1"/>
      <protection locked="0"/>
    </xf>
    <xf numFmtId="0" fontId="25" fillId="2" borderId="35" xfId="0" applyFont="1" applyFill="1" applyBorder="1" applyAlignment="1" applyProtection="1">
      <alignment horizontal="right" vertical="center" wrapText="1"/>
      <protection locked="0"/>
    </xf>
    <xf numFmtId="0" fontId="7" fillId="5" borderId="16" xfId="0" applyFont="1" applyFill="1" applyBorder="1" applyAlignment="1" applyProtection="1">
      <alignment horizontal="center" vertical="center" wrapText="1"/>
      <protection locked="0"/>
    </xf>
    <xf numFmtId="0" fontId="7" fillId="5" borderId="0" xfId="0" applyFont="1" applyFill="1" applyAlignment="1" applyProtection="1">
      <alignment horizontal="center" vertical="center" wrapText="1"/>
      <protection locked="0"/>
    </xf>
    <xf numFmtId="0" fontId="7" fillId="5" borderId="32" xfId="0" applyFont="1" applyFill="1" applyBorder="1" applyAlignment="1" applyProtection="1">
      <alignment horizontal="center" vertical="center" wrapText="1"/>
      <protection locked="0"/>
    </xf>
    <xf numFmtId="0" fontId="36" fillId="2" borderId="102" xfId="0" applyFont="1" applyFill="1" applyBorder="1" applyAlignment="1" applyProtection="1">
      <alignment horizontal="center" vertical="center" wrapText="1"/>
      <protection locked="0"/>
    </xf>
    <xf numFmtId="0" fontId="36" fillId="2" borderId="13" xfId="0" applyFont="1" applyFill="1" applyBorder="1" applyAlignment="1" applyProtection="1">
      <alignment horizontal="center" vertical="center" wrapText="1"/>
      <protection locked="0"/>
    </xf>
    <xf numFmtId="0" fontId="36" fillId="2" borderId="103" xfId="0" applyFont="1" applyFill="1" applyBorder="1" applyAlignment="1" applyProtection="1">
      <alignment horizontal="center" vertical="center" wrapText="1"/>
      <protection locked="0"/>
    </xf>
    <xf numFmtId="0" fontId="0" fillId="5" borderId="16" xfId="0" applyFill="1" applyBorder="1" applyAlignment="1" applyProtection="1">
      <alignment horizontal="center" vertical="center" wrapText="1"/>
      <protection locked="0"/>
    </xf>
    <xf numFmtId="0" fontId="0" fillId="5" borderId="20" xfId="0" applyFill="1" applyBorder="1" applyAlignment="1" applyProtection="1">
      <alignment horizontal="center" vertical="center" wrapText="1"/>
      <protection locked="0"/>
    </xf>
    <xf numFmtId="14" fontId="0" fillId="5" borderId="18" xfId="0" applyNumberFormat="1" applyFill="1" applyBorder="1" applyAlignment="1" applyProtection="1">
      <alignment horizontal="center" vertical="center" wrapText="1"/>
      <protection locked="0"/>
    </xf>
    <xf numFmtId="14" fontId="0" fillId="5" borderId="13" xfId="0" applyNumberFormat="1" applyFill="1" applyBorder="1" applyAlignment="1" applyProtection="1">
      <alignment horizontal="center" vertical="center" wrapText="1"/>
      <protection locked="0"/>
    </xf>
    <xf numFmtId="0" fontId="59" fillId="2" borderId="22" xfId="0" applyFont="1" applyFill="1" applyBorder="1" applyAlignment="1" applyProtection="1">
      <alignment horizontal="left" vertical="center" wrapText="1"/>
      <protection locked="0"/>
    </xf>
    <xf numFmtId="0" fontId="59" fillId="2" borderId="0" xfId="0" applyFont="1" applyFill="1" applyAlignment="1" applyProtection="1">
      <alignment horizontal="left" vertical="center" wrapText="1"/>
      <protection locked="0"/>
    </xf>
    <xf numFmtId="0" fontId="25" fillId="2" borderId="104" xfId="0" applyFont="1" applyFill="1" applyBorder="1" applyAlignment="1" applyProtection="1">
      <alignment horizontal="center" vertical="center" wrapText="1"/>
      <protection locked="0"/>
    </xf>
    <xf numFmtId="0" fontId="25" fillId="2" borderId="102" xfId="0" applyFont="1" applyFill="1" applyBorder="1" applyAlignment="1" applyProtection="1">
      <alignment horizontal="center" vertical="center" wrapText="1"/>
      <protection locked="0"/>
    </xf>
    <xf numFmtId="0" fontId="36" fillId="2" borderId="35" xfId="0" applyFont="1" applyFill="1" applyBorder="1" applyAlignment="1" applyProtection="1">
      <alignment horizontal="center" vertical="center" wrapText="1"/>
      <protection locked="0"/>
    </xf>
    <xf numFmtId="0" fontId="25" fillId="2" borderId="103" xfId="0" applyFont="1" applyFill="1" applyBorder="1" applyAlignment="1" applyProtection="1">
      <alignment horizontal="center" vertical="center" wrapText="1"/>
      <protection locked="0"/>
    </xf>
    <xf numFmtId="0" fontId="0" fillId="5" borderId="13" xfId="0" quotePrefix="1" applyFill="1" applyBorder="1" applyAlignment="1" applyProtection="1">
      <alignment horizontal="left" vertical="center"/>
      <protection locked="0"/>
    </xf>
    <xf numFmtId="0" fontId="0" fillId="5" borderId="17" xfId="0" quotePrefix="1" applyFill="1" applyBorder="1" applyAlignment="1" applyProtection="1">
      <alignment horizontal="left" vertical="center"/>
      <protection locked="0"/>
    </xf>
    <xf numFmtId="0" fontId="0" fillId="5" borderId="13" xfId="0" quotePrefix="1" applyFill="1" applyBorder="1" applyAlignment="1" applyProtection="1">
      <alignment horizontal="left" vertical="top" wrapText="1"/>
      <protection locked="0"/>
    </xf>
    <xf numFmtId="0" fontId="0" fillId="5" borderId="17" xfId="0" quotePrefix="1" applyFill="1" applyBorder="1" applyAlignment="1" applyProtection="1">
      <alignment horizontal="left" vertical="top" wrapText="1"/>
      <protection locked="0"/>
    </xf>
    <xf numFmtId="0" fontId="0" fillId="5" borderId="96" xfId="0" applyFill="1" applyBorder="1" applyAlignment="1" applyProtection="1">
      <alignment horizontal="left" vertical="top" wrapText="1"/>
      <protection locked="0"/>
    </xf>
    <xf numFmtId="0" fontId="0" fillId="5" borderId="94" xfId="0" applyFill="1" applyBorder="1" applyAlignment="1" applyProtection="1">
      <alignment horizontal="left" vertical="top" wrapText="1"/>
      <protection locked="0"/>
    </xf>
    <xf numFmtId="0" fontId="0" fillId="5" borderId="97" xfId="0" applyFill="1" applyBorder="1" applyAlignment="1" applyProtection="1">
      <alignment horizontal="left" vertical="top" wrapText="1"/>
      <protection locked="0"/>
    </xf>
    <xf numFmtId="0" fontId="25" fillId="2" borderId="93" xfId="0" applyFont="1" applyFill="1" applyBorder="1" applyAlignment="1" applyProtection="1">
      <alignment horizontal="center" vertical="center" wrapText="1"/>
      <protection locked="0"/>
    </xf>
    <xf numFmtId="0" fontId="25" fillId="2" borderId="94" xfId="0" applyFont="1" applyFill="1" applyBorder="1" applyAlignment="1" applyProtection="1">
      <alignment horizontal="center" vertical="center" wrapText="1"/>
      <protection locked="0"/>
    </xf>
    <xf numFmtId="0" fontId="12" fillId="5" borderId="94" xfId="0" applyFont="1" applyFill="1" applyBorder="1" applyAlignment="1" applyProtection="1">
      <alignment horizontal="left" vertical="top" wrapText="1"/>
      <protection locked="0"/>
    </xf>
    <xf numFmtId="0" fontId="25" fillId="2" borderId="96" xfId="0" applyFont="1" applyFill="1" applyBorder="1" applyAlignment="1" applyProtection="1">
      <alignment horizontal="center" vertical="center" wrapText="1"/>
      <protection locked="0"/>
    </xf>
    <xf numFmtId="0" fontId="36" fillId="2" borderId="8"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protection locked="0"/>
    </xf>
    <xf numFmtId="0" fontId="36" fillId="2" borderId="9" xfId="0" applyFont="1" applyFill="1" applyBorder="1" applyAlignment="1" applyProtection="1">
      <alignment horizontal="center" vertical="center" wrapText="1"/>
      <protection locked="0"/>
    </xf>
    <xf numFmtId="0" fontId="36" fillId="2" borderId="29" xfId="0" applyFont="1" applyFill="1" applyBorder="1" applyAlignment="1" applyProtection="1">
      <alignment horizontal="center" vertical="center" wrapText="1"/>
      <protection locked="0"/>
    </xf>
    <xf numFmtId="0" fontId="36" fillId="2" borderId="15" xfId="0"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49" fontId="14" fillId="5" borderId="18" xfId="0" applyNumberFormat="1" applyFont="1" applyFill="1" applyBorder="1" applyAlignment="1" applyProtection="1">
      <alignment horizontal="center" vertical="top" wrapText="1"/>
      <protection locked="0"/>
    </xf>
    <xf numFmtId="49" fontId="14" fillId="5" borderId="13" xfId="0" applyNumberFormat="1" applyFont="1" applyFill="1" applyBorder="1" applyAlignment="1" applyProtection="1">
      <alignment horizontal="center" vertical="top" wrapText="1"/>
      <protection locked="0"/>
    </xf>
    <xf numFmtId="49" fontId="14" fillId="5" borderId="17" xfId="0" applyNumberFormat="1" applyFont="1" applyFill="1" applyBorder="1" applyAlignment="1" applyProtection="1">
      <alignment horizontal="center" vertical="top" wrapText="1"/>
      <protection locked="0"/>
    </xf>
    <xf numFmtId="0" fontId="10" fillId="2" borderId="0" xfId="0" applyFont="1" applyFill="1" applyAlignment="1" applyProtection="1">
      <alignment horizontal="center" vertical="top"/>
      <protection locked="0"/>
    </xf>
    <xf numFmtId="0" fontId="25" fillId="2" borderId="106" xfId="0" applyFont="1" applyFill="1" applyBorder="1" applyAlignment="1" applyProtection="1">
      <alignment horizontal="center" vertical="center" wrapText="1"/>
      <protection locked="0"/>
    </xf>
    <xf numFmtId="0" fontId="25" fillId="2" borderId="107" xfId="0" applyFont="1" applyFill="1" applyBorder="1" applyAlignment="1" applyProtection="1">
      <alignment horizontal="center" vertical="center" wrapText="1"/>
      <protection locked="0"/>
    </xf>
    <xf numFmtId="0" fontId="12" fillId="5" borderId="96" xfId="0" applyFont="1" applyFill="1" applyBorder="1" applyAlignment="1" applyProtection="1">
      <alignment horizontal="left" vertical="top" wrapText="1"/>
      <protection locked="0"/>
    </xf>
    <xf numFmtId="0" fontId="0" fillId="5" borderId="1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2" fontId="0" fillId="5" borderId="12" xfId="0" applyNumberFormat="1" applyFill="1" applyBorder="1" applyAlignment="1" applyProtection="1">
      <alignment horizontal="center" vertical="center"/>
      <protection locked="0"/>
    </xf>
    <xf numFmtId="1" fontId="0" fillId="5" borderId="18" xfId="0" applyNumberFormat="1" applyFill="1" applyBorder="1" applyAlignment="1" applyProtection="1">
      <alignment horizontal="center" vertical="center"/>
      <protection locked="0"/>
    </xf>
    <xf numFmtId="1" fontId="0" fillId="5" borderId="17" xfId="0" applyNumberFormat="1" applyFill="1" applyBorder="1" applyAlignment="1" applyProtection="1">
      <alignment horizontal="center" vertical="center"/>
      <protection locked="0"/>
    </xf>
    <xf numFmtId="0" fontId="7" fillId="5" borderId="19" xfId="0" applyFont="1" applyFill="1" applyBorder="1" applyAlignment="1" applyProtection="1">
      <alignment horizontal="center" vertical="center" wrapText="1"/>
      <protection locked="0"/>
    </xf>
    <xf numFmtId="0" fontId="12" fillId="5" borderId="39" xfId="0" applyFont="1" applyFill="1" applyBorder="1" applyAlignment="1" applyProtection="1">
      <alignment horizontal="left" vertical="center" wrapText="1"/>
      <protection locked="0"/>
    </xf>
    <xf numFmtId="0" fontId="12" fillId="5" borderId="13" xfId="0" applyFont="1" applyFill="1" applyBorder="1" applyAlignment="1" applyProtection="1">
      <alignment horizontal="left" vertical="center" wrapText="1"/>
      <protection locked="0"/>
    </xf>
    <xf numFmtId="0" fontId="12" fillId="5" borderId="17" xfId="0" applyFont="1" applyFill="1" applyBorder="1" applyAlignment="1" applyProtection="1">
      <alignment horizontal="left" vertical="center" wrapText="1"/>
      <protection locked="0"/>
    </xf>
    <xf numFmtId="0" fontId="14" fillId="5" borderId="18" xfId="0" applyFont="1" applyFill="1" applyBorder="1" applyAlignment="1" applyProtection="1">
      <alignment horizontal="left" vertical="top" wrapText="1"/>
      <protection locked="0"/>
    </xf>
    <xf numFmtId="0" fontId="14" fillId="5" borderId="13"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top" wrapText="1"/>
      <protection locked="0"/>
    </xf>
    <xf numFmtId="0" fontId="0" fillId="5" borderId="18" xfId="0" quotePrefix="1" applyFill="1" applyBorder="1" applyAlignment="1" applyProtection="1">
      <alignment horizontal="left" vertical="center"/>
      <protection locked="0"/>
    </xf>
    <xf numFmtId="0" fontId="0" fillId="5" borderId="18" xfId="0" quotePrefix="1" applyFill="1" applyBorder="1" applyAlignment="1" applyProtection="1">
      <alignment horizontal="left" vertical="top" wrapText="1"/>
      <protection locked="0"/>
    </xf>
    <xf numFmtId="0" fontId="0" fillId="5" borderId="16" xfId="0" quotePrefix="1" applyFill="1" applyBorder="1" applyAlignment="1" applyProtection="1">
      <alignment horizontal="left" vertical="top" wrapText="1"/>
      <protection locked="0"/>
    </xf>
    <xf numFmtId="0" fontId="0" fillId="5" borderId="20" xfId="0" quotePrefix="1" applyFill="1" applyBorder="1" applyAlignment="1" applyProtection="1">
      <alignment horizontal="left" vertical="top" wrapText="1"/>
      <protection locked="0"/>
    </xf>
    <xf numFmtId="0" fontId="0" fillId="5" borderId="19" xfId="0" applyFill="1" applyBorder="1" applyAlignment="1" applyProtection="1">
      <alignment horizontal="center" vertical="center" wrapText="1"/>
      <protection locked="0"/>
    </xf>
    <xf numFmtId="0" fontId="24" fillId="2" borderId="0" xfId="0" applyFont="1" applyFill="1" applyAlignment="1" applyProtection="1">
      <alignment horizontal="center" vertical="center" wrapText="1"/>
      <protection locked="0"/>
    </xf>
    <xf numFmtId="0" fontId="36" fillId="2" borderId="18" xfId="0" applyFont="1" applyFill="1" applyBorder="1" applyAlignment="1" applyProtection="1">
      <alignment horizontal="center" vertical="center" wrapText="1"/>
      <protection locked="0"/>
    </xf>
    <xf numFmtId="0" fontId="36" fillId="2" borderId="17" xfId="0" applyFont="1" applyFill="1" applyBorder="1" applyAlignment="1" applyProtection="1">
      <alignment horizontal="center" vertical="center" wrapText="1"/>
      <protection locked="0"/>
    </xf>
    <xf numFmtId="0" fontId="25" fillId="2" borderId="18" xfId="0" applyFont="1" applyFill="1" applyBorder="1" applyAlignment="1" applyProtection="1">
      <alignment horizontal="right" vertical="center" wrapText="1"/>
      <protection locked="0"/>
    </xf>
    <xf numFmtId="0" fontId="25" fillId="2" borderId="33" xfId="0" applyFont="1" applyFill="1" applyBorder="1" applyAlignment="1" applyProtection="1">
      <alignment horizontal="center" vertical="center" wrapText="1"/>
      <protection locked="0"/>
    </xf>
    <xf numFmtId="0" fontId="61" fillId="5" borderId="18" xfId="0" applyFont="1" applyFill="1" applyBorder="1" applyAlignment="1" applyProtection="1">
      <alignment horizontal="center" vertical="center" wrapText="1"/>
      <protection locked="0"/>
    </xf>
    <xf numFmtId="0" fontId="61" fillId="5" borderId="17" xfId="0" applyFont="1" applyFill="1" applyBorder="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locked="0"/>
    </xf>
    <xf numFmtId="1" fontId="0" fillId="5" borderId="13" xfId="0" applyNumberFormat="1" applyFill="1" applyBorder="1" applyAlignment="1" applyProtection="1">
      <alignment horizontal="center" vertical="center"/>
      <protection locked="0"/>
    </xf>
    <xf numFmtId="0" fontId="25" fillId="2" borderId="42" xfId="0" applyFont="1" applyFill="1" applyBorder="1" applyAlignment="1" applyProtection="1">
      <alignment horizontal="center" vertical="center" wrapText="1"/>
      <protection locked="0"/>
    </xf>
    <xf numFmtId="0" fontId="12" fillId="2" borderId="22" xfId="0" applyFont="1" applyFill="1" applyBorder="1" applyAlignment="1" applyProtection="1">
      <alignment horizontal="left" vertical="center" wrapText="1"/>
      <protection locked="0"/>
    </xf>
    <xf numFmtId="0" fontId="12" fillId="2" borderId="0" xfId="0" applyFont="1" applyFill="1" applyAlignment="1" applyProtection="1">
      <alignment horizontal="left" vertical="center" wrapText="1"/>
      <protection locked="0"/>
    </xf>
    <xf numFmtId="0" fontId="0" fillId="5" borderId="18" xfId="0" quotePrefix="1" applyFill="1" applyBorder="1" applyAlignment="1" applyProtection="1">
      <alignment horizontal="left" vertical="top"/>
      <protection locked="0"/>
    </xf>
    <xf numFmtId="0" fontId="0" fillId="5" borderId="13" xfId="0" quotePrefix="1" applyFill="1" applyBorder="1" applyAlignment="1" applyProtection="1">
      <alignment horizontal="left" vertical="top"/>
      <protection locked="0"/>
    </xf>
    <xf numFmtId="0" fontId="0" fillId="5" borderId="17" xfId="0" quotePrefix="1" applyFill="1" applyBorder="1" applyAlignment="1" applyProtection="1">
      <alignment horizontal="left" vertical="top"/>
      <protection locked="0"/>
    </xf>
    <xf numFmtId="0" fontId="0" fillId="5" borderId="19" xfId="0"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20" xfId="0" applyFill="1" applyBorder="1" applyAlignment="1" applyProtection="1">
      <alignment horizontal="center" vertical="center"/>
      <protection locked="0"/>
    </xf>
    <xf numFmtId="0" fontId="0" fillId="5" borderId="22" xfId="0"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0" fillId="5" borderId="32" xfId="0" applyFill="1" applyBorder="1" applyAlignment="1" applyProtection="1">
      <alignment horizontal="center" vertical="center"/>
      <protection locked="0"/>
    </xf>
    <xf numFmtId="0" fontId="0" fillId="5" borderId="31" xfId="0" applyFill="1" applyBorder="1" applyAlignment="1" applyProtection="1">
      <alignment horizontal="center" vertical="center"/>
      <protection locked="0"/>
    </xf>
    <xf numFmtId="0" fontId="0" fillId="5" borderId="15" xfId="0" applyFill="1" applyBorder="1" applyAlignment="1" applyProtection="1">
      <alignment horizontal="center" vertical="center"/>
      <protection locked="0"/>
    </xf>
    <xf numFmtId="0" fontId="12" fillId="5" borderId="18" xfId="0" applyFont="1" applyFill="1" applyBorder="1" applyAlignment="1" applyProtection="1">
      <alignment horizontal="left" vertical="center" wrapText="1"/>
      <protection locked="0"/>
    </xf>
    <xf numFmtId="0" fontId="36" fillId="2" borderId="19" xfId="0"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protection locked="0"/>
    </xf>
    <xf numFmtId="0" fontId="36" fillId="2" borderId="20" xfId="0" applyFont="1" applyFill="1" applyBorder="1" applyAlignment="1" applyProtection="1">
      <alignment horizontal="left" vertical="center" wrapText="1"/>
      <protection locked="0"/>
    </xf>
    <xf numFmtId="0" fontId="36" fillId="2" borderId="22"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2" borderId="32"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protection locked="0"/>
    </xf>
    <xf numFmtId="0" fontId="36" fillId="2" borderId="15" xfId="0" applyFont="1" applyFill="1" applyBorder="1" applyAlignment="1" applyProtection="1">
      <alignment horizontal="left" vertical="center" wrapText="1"/>
      <protection locked="0"/>
    </xf>
    <xf numFmtId="0" fontId="36" fillId="2" borderId="38" xfId="0" applyFont="1" applyFill="1" applyBorder="1" applyAlignment="1" applyProtection="1">
      <alignment horizontal="left" vertical="center" wrapText="1"/>
      <protection locked="0"/>
    </xf>
    <xf numFmtId="0" fontId="25" fillId="2" borderId="31" xfId="0" applyFont="1" applyFill="1" applyBorder="1" applyAlignment="1" applyProtection="1">
      <alignment horizontal="right" vertical="center" wrapText="1"/>
      <protection locked="0"/>
    </xf>
    <xf numFmtId="0" fontId="25" fillId="2" borderId="15" xfId="0" applyFont="1" applyFill="1" applyBorder="1" applyAlignment="1" applyProtection="1">
      <alignment horizontal="right" vertical="center" wrapText="1"/>
      <protection locked="0"/>
    </xf>
    <xf numFmtId="0" fontId="25" fillId="2" borderId="30" xfId="0" applyFont="1" applyFill="1" applyBorder="1" applyAlignment="1" applyProtection="1">
      <alignment horizontal="right" vertical="center" wrapText="1"/>
      <protection locked="0"/>
    </xf>
    <xf numFmtId="0" fontId="85" fillId="2" borderId="22" xfId="0" applyFont="1" applyFill="1" applyBorder="1" applyAlignment="1" applyProtection="1">
      <alignment horizontal="left" vertical="center" wrapText="1"/>
      <protection locked="0"/>
    </xf>
    <xf numFmtId="0" fontId="85" fillId="2" borderId="0" xfId="0" applyFont="1" applyFill="1" applyAlignment="1" applyProtection="1">
      <alignment horizontal="left" vertical="center" wrapText="1"/>
      <protection locked="0"/>
    </xf>
    <xf numFmtId="0" fontId="69" fillId="2" borderId="20" xfId="0" applyFont="1" applyFill="1" applyBorder="1" applyAlignment="1" applyProtection="1">
      <alignment horizontal="center" vertical="center" wrapText="1"/>
      <protection locked="0"/>
    </xf>
    <xf numFmtId="0" fontId="69" fillId="2" borderId="38" xfId="0" applyFont="1" applyFill="1" applyBorder="1" applyAlignment="1" applyProtection="1">
      <alignment horizontal="center" vertical="center" wrapText="1"/>
      <protection locked="0"/>
    </xf>
    <xf numFmtId="0" fontId="28" fillId="2" borderId="15" xfId="0" applyFont="1" applyFill="1" applyBorder="1" applyAlignment="1" applyProtection="1">
      <alignment horizontal="left" vertical="center"/>
      <protection locked="0"/>
    </xf>
    <xf numFmtId="0" fontId="0" fillId="5" borderId="12" xfId="0" applyFill="1" applyBorder="1" applyAlignment="1" applyProtection="1">
      <alignment horizontal="center" vertical="center" wrapText="1"/>
      <protection locked="0"/>
    </xf>
    <xf numFmtId="0" fontId="0" fillId="5" borderId="17" xfId="0" applyFill="1" applyBorder="1" applyAlignment="1" applyProtection="1">
      <alignment horizontal="center" vertical="center" wrapText="1"/>
      <protection locked="0"/>
    </xf>
    <xf numFmtId="0" fontId="12" fillId="5" borderId="12" xfId="0" applyFont="1" applyFill="1" applyBorder="1" applyAlignment="1" applyProtection="1">
      <alignment horizontal="left" vertical="center" wrapText="1"/>
      <protection locked="0"/>
    </xf>
    <xf numFmtId="2" fontId="0" fillId="4" borderId="12" xfId="0" applyNumberFormat="1" applyFill="1" applyBorder="1" applyAlignment="1" applyProtection="1">
      <alignment horizontal="center" vertical="center"/>
      <protection locked="0"/>
    </xf>
    <xf numFmtId="0" fontId="36" fillId="2" borderId="19" xfId="0" applyFont="1" applyFill="1" applyBorder="1" applyAlignment="1" applyProtection="1">
      <alignment horizontal="center" vertical="center" wrapText="1"/>
      <protection locked="0"/>
    </xf>
    <xf numFmtId="0" fontId="36" fillId="2" borderId="16" xfId="0" applyFont="1" applyFill="1" applyBorder="1" applyAlignment="1" applyProtection="1">
      <alignment horizontal="center" vertical="center" wrapText="1"/>
      <protection locked="0"/>
    </xf>
    <xf numFmtId="0" fontId="36" fillId="2" borderId="22" xfId="0" applyFont="1" applyFill="1" applyBorder="1" applyAlignment="1" applyProtection="1">
      <alignment horizontal="center" vertical="center" wrapText="1"/>
      <protection locked="0"/>
    </xf>
    <xf numFmtId="0" fontId="36" fillId="2" borderId="31" xfId="0" applyFont="1" applyFill="1" applyBorder="1" applyAlignment="1" applyProtection="1">
      <alignment horizontal="center" vertical="center" wrapText="1"/>
      <protection locked="0"/>
    </xf>
    <xf numFmtId="2" fontId="61" fillId="4" borderId="18" xfId="0" applyNumberFormat="1" applyFont="1" applyFill="1" applyBorder="1" applyAlignment="1" applyProtection="1">
      <alignment horizontal="center" vertical="center"/>
      <protection locked="0"/>
    </xf>
    <xf numFmtId="2" fontId="61" fillId="4" borderId="13" xfId="0" applyNumberFormat="1" applyFont="1" applyFill="1" applyBorder="1" applyAlignment="1" applyProtection="1">
      <alignment horizontal="center" vertical="center"/>
      <protection locked="0"/>
    </xf>
    <xf numFmtId="2" fontId="61" fillId="4" borderId="17" xfId="0" applyNumberFormat="1" applyFont="1" applyFill="1" applyBorder="1" applyAlignment="1" applyProtection="1">
      <alignment horizontal="center" vertical="center"/>
      <protection locked="0"/>
    </xf>
    <xf numFmtId="0" fontId="14" fillId="5" borderId="12" xfId="0" applyFont="1" applyFill="1" applyBorder="1" applyAlignment="1" applyProtection="1">
      <alignment horizontal="left" vertical="top" wrapText="1"/>
      <protection locked="0"/>
    </xf>
    <xf numFmtId="0" fontId="29" fillId="2" borderId="0" xfId="0" applyFont="1" applyFill="1" applyAlignment="1" applyProtection="1">
      <alignment horizontal="left"/>
      <protection locked="0"/>
    </xf>
    <xf numFmtId="0" fontId="42" fillId="2" borderId="29"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center" vertical="center" wrapText="1"/>
      <protection locked="0"/>
    </xf>
    <xf numFmtId="1" fontId="0" fillId="5" borderId="12" xfId="0" applyNumberFormat="1" applyFill="1" applyBorder="1" applyAlignment="1" applyProtection="1">
      <alignment horizontal="center" vertical="center"/>
      <protection locked="0"/>
    </xf>
    <xf numFmtId="1" fontId="14" fillId="5" borderId="12" xfId="0" applyNumberFormat="1" applyFont="1" applyFill="1" applyBorder="1" applyAlignment="1" applyProtection="1">
      <alignment horizontal="center" vertical="center"/>
      <protection locked="0"/>
    </xf>
    <xf numFmtId="165" fontId="0" fillId="5" borderId="12" xfId="0" applyNumberFormat="1" applyFill="1" applyBorder="1" applyAlignment="1" applyProtection="1">
      <alignment horizontal="center" vertical="center"/>
      <protection locked="0"/>
    </xf>
    <xf numFmtId="0" fontId="25" fillId="2" borderId="12" xfId="0" applyFont="1" applyFill="1" applyBorder="1" applyAlignment="1" applyProtection="1">
      <alignment horizontal="left" vertical="center" wrapText="1"/>
      <protection locked="0"/>
    </xf>
    <xf numFmtId="0" fontId="0" fillId="5" borderId="12" xfId="0" applyFill="1" applyBorder="1" applyAlignment="1" applyProtection="1">
      <alignment horizontal="center" vertical="center"/>
      <protection locked="0"/>
    </xf>
    <xf numFmtId="0" fontId="25" fillId="5" borderId="13"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center" vertical="center" wrapText="1"/>
      <protection locked="0"/>
    </xf>
    <xf numFmtId="0" fontId="0" fillId="5" borderId="17" xfId="0" applyFill="1" applyBorder="1" applyAlignment="1" applyProtection="1">
      <alignment horizontal="center" vertical="center"/>
      <protection locked="0"/>
    </xf>
    <xf numFmtId="0" fontId="0" fillId="5" borderId="18" xfId="0" applyFill="1" applyBorder="1" applyAlignment="1" applyProtection="1">
      <alignment horizontal="center" vertical="center" wrapText="1"/>
      <protection locked="0"/>
    </xf>
    <xf numFmtId="0" fontId="0" fillId="5" borderId="13" xfId="0" applyFill="1" applyBorder="1" applyAlignment="1" applyProtection="1">
      <alignment horizontal="center" vertical="center" wrapText="1"/>
      <protection locked="0"/>
    </xf>
    <xf numFmtId="0" fontId="28" fillId="2" borderId="0" xfId="0" applyFont="1" applyFill="1" applyAlignment="1" applyProtection="1">
      <alignment horizontal="left" vertical="center"/>
      <protection locked="0"/>
    </xf>
    <xf numFmtId="0" fontId="74" fillId="10" borderId="12" xfId="0" applyFont="1" applyFill="1" applyBorder="1" applyAlignment="1" applyProtection="1">
      <alignment horizontal="center" vertical="center" wrapText="1"/>
      <protection locked="0"/>
    </xf>
    <xf numFmtId="49" fontId="0" fillId="10" borderId="12" xfId="0" applyNumberFormat="1" applyFill="1" applyBorder="1" applyAlignment="1" applyProtection="1">
      <alignment horizontal="left" vertical="top" wrapText="1"/>
      <protection locked="0"/>
    </xf>
    <xf numFmtId="0" fontId="0" fillId="10" borderId="18" xfId="0" applyFill="1" applyBorder="1" applyAlignment="1" applyProtection="1">
      <alignment horizontal="center" vertical="center"/>
      <protection locked="0"/>
    </xf>
    <xf numFmtId="0" fontId="0" fillId="10" borderId="13" xfId="0" applyFill="1" applyBorder="1" applyAlignment="1" applyProtection="1">
      <alignment horizontal="center" vertical="center"/>
      <protection locked="0"/>
    </xf>
    <xf numFmtId="0" fontId="0" fillId="10" borderId="17" xfId="0" applyFill="1" applyBorder="1" applyAlignment="1" applyProtection="1">
      <alignment horizontal="center" vertical="center"/>
      <protection locked="0"/>
    </xf>
    <xf numFmtId="0" fontId="28" fillId="2" borderId="0" xfId="0" applyFont="1" applyFill="1" applyAlignment="1" applyProtection="1">
      <alignment horizontal="center"/>
      <protection locked="0"/>
    </xf>
    <xf numFmtId="49" fontId="0" fillId="10" borderId="18" xfId="0" applyNumberFormat="1" applyFill="1" applyBorder="1" applyAlignment="1" applyProtection="1">
      <alignment horizontal="left" vertical="top" wrapText="1"/>
      <protection locked="0"/>
    </xf>
    <xf numFmtId="49" fontId="0" fillId="10" borderId="13" xfId="0" applyNumberFormat="1" applyFill="1" applyBorder="1" applyAlignment="1" applyProtection="1">
      <alignment horizontal="left" vertical="top" wrapText="1"/>
      <protection locked="0"/>
    </xf>
    <xf numFmtId="49" fontId="0" fillId="10" borderId="17" xfId="0" applyNumberFormat="1" applyFill="1" applyBorder="1" applyAlignment="1" applyProtection="1">
      <alignment horizontal="left" vertical="top" wrapText="1"/>
      <protection locked="0"/>
    </xf>
    <xf numFmtId="0" fontId="25" fillId="2" borderId="15" xfId="0" applyFont="1" applyFill="1" applyBorder="1" applyAlignment="1" applyProtection="1">
      <alignment horizontal="left" vertical="center" wrapText="1"/>
      <protection locked="0"/>
    </xf>
    <xf numFmtId="0" fontId="25" fillId="2" borderId="38" xfId="0" applyFont="1" applyFill="1" applyBorder="1" applyAlignment="1" applyProtection="1">
      <alignment horizontal="left" vertical="center" wrapText="1"/>
      <protection locked="0"/>
    </xf>
    <xf numFmtId="166" fontId="0" fillId="5" borderId="18" xfId="0" applyNumberFormat="1" applyFill="1" applyBorder="1" applyAlignment="1" applyProtection="1">
      <alignment horizontal="center" vertical="center"/>
      <protection locked="0"/>
    </xf>
    <xf numFmtId="166" fontId="0" fillId="5" borderId="17" xfId="0" applyNumberFormat="1" applyFill="1" applyBorder="1" applyAlignment="1" applyProtection="1">
      <alignment horizontal="center" vertical="center"/>
      <protection locked="0"/>
    </xf>
    <xf numFmtId="0" fontId="28" fillId="2" borderId="18" xfId="0" applyFont="1" applyFill="1" applyBorder="1" applyAlignment="1" applyProtection="1">
      <alignment horizontal="center" vertical="center"/>
      <protection locked="0"/>
    </xf>
    <xf numFmtId="0" fontId="28" fillId="2" borderId="13" xfId="0" applyFont="1" applyFill="1" applyBorder="1" applyAlignment="1" applyProtection="1">
      <alignment horizontal="center" vertical="center"/>
      <protection locked="0"/>
    </xf>
    <xf numFmtId="0" fontId="28" fillId="2" borderId="17" xfId="0" applyFont="1" applyFill="1" applyBorder="1" applyAlignment="1" applyProtection="1">
      <alignment horizontal="center" vertical="center"/>
      <protection locked="0"/>
    </xf>
    <xf numFmtId="166" fontId="0" fillId="17" borderId="18" xfId="0" applyNumberFormat="1" applyFill="1" applyBorder="1" applyAlignment="1" applyProtection="1">
      <alignment horizontal="center" vertical="center"/>
      <protection locked="0"/>
    </xf>
    <xf numFmtId="166" fontId="0" fillId="17" borderId="17" xfId="0" applyNumberFormat="1" applyFill="1" applyBorder="1" applyAlignment="1" applyProtection="1">
      <alignment horizontal="center" vertical="center"/>
      <protection locked="0"/>
    </xf>
    <xf numFmtId="0" fontId="28" fillId="2" borderId="26" xfId="0" applyFont="1" applyFill="1" applyBorder="1" applyAlignment="1" applyProtection="1">
      <alignment horizontal="center" vertical="center"/>
      <protection locked="0"/>
    </xf>
    <xf numFmtId="0" fontId="28" fillId="2" borderId="13" xfId="0" applyFont="1" applyFill="1" applyBorder="1" applyAlignment="1" applyProtection="1">
      <alignment horizontal="right" vertical="center"/>
      <protection locked="0"/>
    </xf>
    <xf numFmtId="0" fontId="28" fillId="2" borderId="18" xfId="0" applyFont="1" applyFill="1" applyBorder="1" applyAlignment="1" applyProtection="1">
      <alignment horizontal="right" vertical="center"/>
      <protection locked="0"/>
    </xf>
    <xf numFmtId="0" fontId="28" fillId="17" borderId="12" xfId="0" applyFont="1" applyFill="1" applyBorder="1" applyAlignment="1" applyProtection="1">
      <alignment horizontal="center" vertical="center"/>
      <protection locked="0"/>
    </xf>
    <xf numFmtId="0" fontId="28" fillId="2" borderId="12" xfId="0" applyFont="1" applyFill="1" applyBorder="1" applyAlignment="1" applyProtection="1">
      <alignment horizontal="center" vertical="center"/>
      <protection locked="0"/>
    </xf>
    <xf numFmtId="0" fontId="25" fillId="2" borderId="35" xfId="0" applyFont="1" applyFill="1" applyBorder="1" applyAlignment="1" applyProtection="1">
      <alignment horizontal="left" vertical="center" wrapText="1"/>
      <protection locked="0"/>
    </xf>
    <xf numFmtId="0" fontId="0" fillId="2" borderId="5" xfId="0" applyFill="1" applyBorder="1" applyAlignment="1" applyProtection="1">
      <alignment horizontal="left" vertical="center" wrapText="1"/>
      <protection locked="0"/>
    </xf>
    <xf numFmtId="0" fontId="28" fillId="2" borderId="15" xfId="0" applyFont="1" applyFill="1" applyBorder="1" applyAlignment="1" applyProtection="1">
      <alignment horizontal="center"/>
      <protection locked="0"/>
    </xf>
    <xf numFmtId="0" fontId="28" fillId="17" borderId="26" xfId="0" applyFont="1" applyFill="1" applyBorder="1" applyAlignment="1" applyProtection="1">
      <alignment horizontal="center" vertical="center"/>
      <protection locked="0"/>
    </xf>
    <xf numFmtId="49" fontId="0" fillId="5" borderId="18" xfId="0" quotePrefix="1" applyNumberFormat="1" applyFill="1" applyBorder="1" applyAlignment="1" applyProtection="1">
      <alignment horizontal="left" vertical="center" wrapText="1"/>
      <protection locked="0"/>
    </xf>
    <xf numFmtId="49" fontId="0" fillId="5" borderId="13" xfId="0" quotePrefix="1" applyNumberFormat="1" applyFill="1" applyBorder="1" applyAlignment="1" applyProtection="1">
      <alignment horizontal="left" vertical="center" wrapText="1"/>
      <protection locked="0"/>
    </xf>
    <xf numFmtId="49" fontId="0" fillId="5" borderId="17" xfId="0" quotePrefix="1" applyNumberFormat="1" applyFill="1" applyBorder="1" applyAlignment="1" applyProtection="1">
      <alignment horizontal="left" vertical="center" wrapText="1"/>
      <protection locked="0"/>
    </xf>
    <xf numFmtId="49" fontId="12" fillId="5" borderId="18" xfId="0" applyNumberFormat="1" applyFont="1" applyFill="1" applyBorder="1" applyAlignment="1" applyProtection="1">
      <alignment horizontal="left" vertical="center" wrapText="1"/>
      <protection locked="0"/>
    </xf>
    <xf numFmtId="49" fontId="12" fillId="5" borderId="13" xfId="0" applyNumberFormat="1" applyFont="1" applyFill="1" applyBorder="1" applyAlignment="1" applyProtection="1">
      <alignment horizontal="left" vertical="center" wrapText="1"/>
      <protection locked="0"/>
    </xf>
    <xf numFmtId="49" fontId="12" fillId="5" borderId="17" xfId="0" applyNumberFormat="1" applyFont="1" applyFill="1" applyBorder="1" applyAlignment="1" applyProtection="1">
      <alignment horizontal="left" vertical="center" wrapText="1"/>
      <protection locked="0"/>
    </xf>
    <xf numFmtId="0" fontId="81" fillId="2" borderId="110" xfId="0" quotePrefix="1" applyFont="1" applyFill="1" applyBorder="1" applyAlignment="1" applyProtection="1">
      <alignment horizontal="left" vertical="top" wrapText="1"/>
      <protection locked="0"/>
    </xf>
    <xf numFmtId="0" fontId="81" fillId="2" borderId="0" xfId="0" quotePrefix="1" applyFont="1" applyFill="1" applyAlignment="1" applyProtection="1">
      <alignment horizontal="left" vertical="top" wrapText="1"/>
      <protection locked="0"/>
    </xf>
    <xf numFmtId="0" fontId="59" fillId="2" borderId="22" xfId="0"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wrapText="1"/>
      <protection locked="0"/>
    </xf>
    <xf numFmtId="0" fontId="28" fillId="2" borderId="18" xfId="0" applyFont="1" applyFill="1" applyBorder="1" applyAlignment="1" applyProtection="1">
      <alignment horizontal="center" vertical="center" wrapText="1"/>
      <protection locked="0"/>
    </xf>
    <xf numFmtId="0" fontId="28" fillId="2" borderId="13" xfId="0" applyFont="1" applyFill="1" applyBorder="1" applyAlignment="1" applyProtection="1">
      <alignment horizontal="center" vertical="center" wrapText="1"/>
      <protection locked="0"/>
    </xf>
    <xf numFmtId="0" fontId="28" fillId="2" borderId="17" xfId="0" applyFont="1" applyFill="1" applyBorder="1" applyAlignment="1" applyProtection="1">
      <alignment horizontal="center" vertical="center" wrapText="1"/>
      <protection locked="0"/>
    </xf>
    <xf numFmtId="49" fontId="7" fillId="5" borderId="18" xfId="0" applyNumberFormat="1" applyFont="1" applyFill="1" applyBorder="1" applyAlignment="1" applyProtection="1">
      <alignment horizontal="center" vertical="center"/>
      <protection locked="0"/>
    </xf>
    <xf numFmtId="49" fontId="7" fillId="5" borderId="13" xfId="0" applyNumberFormat="1" applyFont="1" applyFill="1" applyBorder="1" applyAlignment="1" applyProtection="1">
      <alignment horizontal="center" vertical="center"/>
      <protection locked="0"/>
    </xf>
    <xf numFmtId="2" fontId="7" fillId="3" borderId="21" xfId="0" applyNumberFormat="1" applyFont="1" applyFill="1" applyBorder="1" applyAlignment="1" applyProtection="1">
      <alignment horizontal="center" vertical="center"/>
      <protection locked="0"/>
    </xf>
    <xf numFmtId="49" fontId="0" fillId="5" borderId="18" xfId="0" applyNumberFormat="1" applyFill="1" applyBorder="1" applyAlignment="1" applyProtection="1">
      <alignment horizontal="center" vertical="center"/>
      <protection locked="0"/>
    </xf>
    <xf numFmtId="49" fontId="0" fillId="5" borderId="13" xfId="0" applyNumberFormat="1" applyFill="1" applyBorder="1" applyAlignment="1" applyProtection="1">
      <alignment horizontal="center" vertical="center"/>
      <protection locked="0"/>
    </xf>
    <xf numFmtId="49" fontId="0" fillId="5" borderId="17" xfId="0" applyNumberFormat="1" applyFill="1" applyBorder="1" applyAlignment="1" applyProtection="1">
      <alignment horizontal="center" vertical="center"/>
      <protection locked="0"/>
    </xf>
    <xf numFmtId="0" fontId="28" fillId="2" borderId="14" xfId="0" applyFont="1" applyFill="1" applyBorder="1" applyAlignment="1" applyProtection="1">
      <alignment horizontal="center" vertical="center"/>
      <protection locked="0"/>
    </xf>
    <xf numFmtId="2" fontId="7" fillId="2" borderId="0" xfId="0" applyNumberFormat="1" applyFont="1" applyFill="1" applyAlignment="1" applyProtection="1">
      <alignment horizontal="center" vertical="center"/>
      <protection locked="0"/>
    </xf>
    <xf numFmtId="0" fontId="36" fillId="2" borderId="36" xfId="0" applyFont="1" applyFill="1" applyBorder="1" applyAlignment="1" applyProtection="1">
      <alignment horizontal="center" vertical="center" wrapText="1"/>
      <protection locked="0"/>
    </xf>
    <xf numFmtId="166" fontId="0" fillId="5" borderId="12" xfId="0" applyNumberFormat="1" applyFill="1" applyBorder="1" applyAlignment="1" applyProtection="1">
      <alignment horizontal="center" vertical="center"/>
      <protection locked="0"/>
    </xf>
    <xf numFmtId="166" fontId="0" fillId="17" borderId="12" xfId="0" applyNumberFormat="1" applyFill="1" applyBorder="1" applyAlignment="1" applyProtection="1">
      <alignment horizontal="center" vertical="center"/>
      <protection locked="0"/>
    </xf>
    <xf numFmtId="0" fontId="41" fillId="2" borderId="0" xfId="0" applyFont="1" applyFill="1" applyAlignment="1" applyProtection="1">
      <alignment horizontal="center"/>
      <protection locked="0"/>
    </xf>
    <xf numFmtId="0" fontId="25" fillId="2" borderId="14" xfId="0" applyFont="1" applyFill="1" applyBorder="1" applyAlignment="1" applyProtection="1">
      <alignment horizontal="center" vertical="center"/>
      <protection locked="0"/>
    </xf>
    <xf numFmtId="166" fontId="0" fillId="5" borderId="13" xfId="0" applyNumberFormat="1" applyFill="1" applyBorder="1" applyAlignment="1" applyProtection="1">
      <alignment horizontal="center" vertical="center"/>
      <protection locked="0"/>
    </xf>
    <xf numFmtId="49" fontId="14" fillId="5" borderId="12" xfId="0" applyNumberFormat="1" applyFont="1" applyFill="1" applyBorder="1" applyAlignment="1" applyProtection="1">
      <alignment horizontal="left" vertical="center" wrapText="1"/>
      <protection locked="0"/>
    </xf>
    <xf numFmtId="49" fontId="14" fillId="5" borderId="12" xfId="0" applyNumberFormat="1" applyFont="1" applyFill="1" applyBorder="1" applyAlignment="1" applyProtection="1">
      <alignment horizontal="left" vertical="center"/>
      <protection locked="0"/>
    </xf>
    <xf numFmtId="0" fontId="25" fillId="2" borderId="17" xfId="0" applyFont="1" applyFill="1" applyBorder="1" applyAlignment="1" applyProtection="1">
      <alignment horizontal="center" vertical="center"/>
      <protection locked="0"/>
    </xf>
    <xf numFmtId="0" fontId="25" fillId="5" borderId="15" xfId="0" applyFont="1" applyFill="1" applyBorder="1" applyAlignment="1" applyProtection="1">
      <alignment horizontal="left" vertical="center" wrapText="1"/>
      <protection locked="0"/>
    </xf>
    <xf numFmtId="0" fontId="25" fillId="2" borderId="26"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protection locked="0"/>
    </xf>
    <xf numFmtId="0" fontId="0" fillId="5" borderId="18" xfId="0" quotePrefix="1" applyFill="1" applyBorder="1" applyAlignment="1" applyProtection="1">
      <alignment horizontal="left" vertical="center" wrapText="1"/>
      <protection locked="0"/>
    </xf>
    <xf numFmtId="0" fontId="0" fillId="5" borderId="13" xfId="0" quotePrefix="1" applyFill="1" applyBorder="1" applyAlignment="1" applyProtection="1">
      <alignment horizontal="left" vertical="center" wrapText="1"/>
      <protection locked="0"/>
    </xf>
    <xf numFmtId="0" fontId="0" fillId="5" borderId="17" xfId="0" quotePrefix="1" applyFill="1" applyBorder="1" applyAlignment="1" applyProtection="1">
      <alignment horizontal="left" vertical="center" wrapText="1"/>
      <protection locked="0"/>
    </xf>
    <xf numFmtId="0" fontId="14" fillId="5" borderId="26" xfId="0" applyFont="1" applyFill="1" applyBorder="1" applyAlignment="1" applyProtection="1">
      <alignment horizontal="left" vertical="top" wrapText="1"/>
      <protection locked="0"/>
    </xf>
    <xf numFmtId="0" fontId="25" fillId="2" borderId="19"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1" fontId="21" fillId="2" borderId="0" xfId="0" applyNumberFormat="1" applyFont="1" applyFill="1" applyAlignment="1" applyProtection="1">
      <alignment horizontal="center" vertical="center"/>
      <protection locked="0"/>
    </xf>
    <xf numFmtId="0" fontId="13" fillId="2" borderId="0" xfId="0" applyFont="1" applyFill="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28" fillId="2" borderId="0" xfId="0" applyFont="1" applyFill="1" applyAlignment="1" applyProtection="1">
      <alignment horizontal="center" vertical="center"/>
      <protection locked="0"/>
    </xf>
    <xf numFmtId="0" fontId="36" fillId="2" borderId="12"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right" vertical="center" wrapText="1"/>
      <protection locked="0"/>
    </xf>
    <xf numFmtId="0" fontId="25" fillId="2" borderId="0" xfId="0" applyFont="1" applyFill="1" applyAlignment="1" applyProtection="1">
      <alignment horizontal="right" vertical="center" wrapText="1"/>
      <protection locked="0"/>
    </xf>
    <xf numFmtId="0" fontId="25" fillId="2" borderId="1" xfId="0" applyFont="1" applyFill="1" applyBorder="1" applyAlignment="1" applyProtection="1">
      <alignment horizontal="right" vertical="center" wrapText="1"/>
      <protection locked="0"/>
    </xf>
    <xf numFmtId="0" fontId="0" fillId="5" borderId="28" xfId="0" applyFill="1" applyBorder="1" applyAlignment="1" applyProtection="1">
      <alignment horizontal="center" vertical="center" wrapText="1"/>
      <protection locked="0"/>
    </xf>
    <xf numFmtId="10" fontId="0" fillId="5" borderId="17" xfId="2" applyNumberFormat="1" applyFont="1" applyFill="1" applyBorder="1" applyAlignment="1" applyProtection="1">
      <alignment horizontal="center" vertical="center"/>
      <protection locked="0"/>
    </xf>
    <xf numFmtId="10" fontId="0" fillId="5" borderId="12" xfId="2" applyNumberFormat="1" applyFont="1" applyFill="1" applyBorder="1" applyAlignment="1" applyProtection="1">
      <alignment horizontal="center" vertical="center"/>
      <protection locked="0"/>
    </xf>
    <xf numFmtId="49" fontId="12" fillId="5" borderId="12" xfId="0" applyNumberFormat="1" applyFont="1" applyFill="1" applyBorder="1" applyAlignment="1" applyProtection="1">
      <alignment horizontal="left" vertical="center" wrapText="1"/>
      <protection locked="0"/>
    </xf>
    <xf numFmtId="0" fontId="42" fillId="2" borderId="18"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wrapText="1"/>
      <protection locked="0"/>
    </xf>
    <xf numFmtId="0" fontId="42" fillId="2" borderId="35" xfId="0" applyFont="1" applyFill="1" applyBorder="1" applyAlignment="1" applyProtection="1">
      <alignment horizontal="center" vertical="center" wrapText="1"/>
      <protection locked="0"/>
    </xf>
    <xf numFmtId="49" fontId="14" fillId="5" borderId="12" xfId="0" applyNumberFormat="1" applyFont="1" applyFill="1" applyBorder="1" applyAlignment="1" applyProtection="1">
      <alignment horizontal="left" vertical="top"/>
      <protection locked="0"/>
    </xf>
    <xf numFmtId="49" fontId="0" fillId="5" borderId="12" xfId="0" quotePrefix="1" applyNumberFormat="1" applyFill="1" applyBorder="1" applyAlignment="1" applyProtection="1">
      <alignment horizontal="left" vertical="center" wrapText="1"/>
      <protection locked="0"/>
    </xf>
    <xf numFmtId="14" fontId="0" fillId="5" borderId="26" xfId="0" applyNumberFormat="1" applyFill="1" applyBorder="1" applyAlignment="1" applyProtection="1">
      <alignment horizontal="center" vertical="center"/>
      <protection locked="0"/>
    </xf>
    <xf numFmtId="0" fontId="28" fillId="2" borderId="0" xfId="0" applyFont="1" applyFill="1" applyAlignment="1" applyProtection="1">
      <alignment horizontal="center" vertical="center" wrapText="1"/>
      <protection locked="0"/>
    </xf>
    <xf numFmtId="1" fontId="0" fillId="5" borderId="12" xfId="2" applyNumberFormat="1" applyFont="1" applyFill="1" applyBorder="1" applyAlignment="1" applyProtection="1">
      <alignment horizontal="center" vertical="center" wrapText="1"/>
      <protection locked="0"/>
    </xf>
    <xf numFmtId="49" fontId="0" fillId="5" borderId="12" xfId="0" applyNumberFormat="1" applyFill="1" applyBorder="1" applyAlignment="1" applyProtection="1">
      <alignment horizontal="left" vertical="center" wrapText="1"/>
      <protection locked="0"/>
    </xf>
    <xf numFmtId="0" fontId="0" fillId="5" borderId="116" xfId="0" applyFill="1" applyBorder="1" applyAlignment="1" applyProtection="1">
      <alignment horizontal="center" vertical="center" wrapText="1"/>
      <protection locked="0"/>
    </xf>
    <xf numFmtId="0" fontId="0" fillId="5" borderId="117" xfId="0" applyFill="1" applyBorder="1" applyAlignment="1" applyProtection="1">
      <alignment horizontal="center" vertical="center" wrapText="1"/>
      <protection locked="0"/>
    </xf>
    <xf numFmtId="0" fontId="0" fillId="5" borderId="118" xfId="0" applyFill="1" applyBorder="1" applyAlignment="1" applyProtection="1">
      <alignment horizontal="center" vertical="center" wrapText="1"/>
      <protection locked="0"/>
    </xf>
    <xf numFmtId="0" fontId="28" fillId="2" borderId="38" xfId="0" applyFont="1" applyFill="1" applyBorder="1" applyAlignment="1" applyProtection="1">
      <alignment horizontal="center" vertical="center" wrapText="1"/>
      <protection locked="0"/>
    </xf>
    <xf numFmtId="0" fontId="28" fillId="2" borderId="26" xfId="0" applyFont="1" applyFill="1" applyBorder="1" applyAlignment="1" applyProtection="1">
      <alignment horizontal="center" vertical="center" wrapText="1"/>
      <protection locked="0"/>
    </xf>
    <xf numFmtId="0" fontId="28" fillId="2" borderId="31" xfId="0" applyFont="1" applyFill="1" applyBorder="1" applyAlignment="1" applyProtection="1">
      <alignment horizontal="center" vertical="center" wrapText="1"/>
      <protection locked="0"/>
    </xf>
    <xf numFmtId="0" fontId="59" fillId="2" borderId="22" xfId="0" applyFont="1" applyFill="1" applyBorder="1" applyAlignment="1" applyProtection="1">
      <alignment horizontal="center" vertical="top" wrapText="1"/>
      <protection locked="0"/>
    </xf>
    <xf numFmtId="0" fontId="59" fillId="2" borderId="0" xfId="0" applyFont="1" applyFill="1" applyAlignment="1" applyProtection="1">
      <alignment horizontal="center" vertical="top" wrapText="1"/>
      <protection locked="0"/>
    </xf>
    <xf numFmtId="14" fontId="14" fillId="5" borderId="18" xfId="0" applyNumberFormat="1" applyFont="1" applyFill="1" applyBorder="1" applyAlignment="1" applyProtection="1">
      <alignment horizontal="left" vertical="top" wrapText="1"/>
      <protection locked="0"/>
    </xf>
    <xf numFmtId="14" fontId="14" fillId="5" borderId="13" xfId="0" applyNumberFormat="1" applyFont="1" applyFill="1" applyBorder="1" applyAlignment="1" applyProtection="1">
      <alignment horizontal="left" vertical="top" wrapText="1"/>
      <protection locked="0"/>
    </xf>
    <xf numFmtId="14" fontId="14" fillId="5" borderId="17" xfId="0" applyNumberFormat="1" applyFont="1" applyFill="1" applyBorder="1" applyAlignment="1" applyProtection="1">
      <alignment horizontal="left" vertical="top" wrapText="1"/>
      <protection locked="0"/>
    </xf>
    <xf numFmtId="0" fontId="29" fillId="2" borderId="13"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protection locked="0"/>
    </xf>
    <xf numFmtId="0" fontId="62" fillId="5" borderId="18" xfId="0" applyFont="1" applyFill="1" applyBorder="1" applyAlignment="1" applyProtection="1">
      <alignment horizontal="center" vertical="center" wrapText="1"/>
      <protection locked="0"/>
    </xf>
    <xf numFmtId="0" fontId="62" fillId="5" borderId="17" xfId="0"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wrapText="1"/>
      <protection locked="0"/>
    </xf>
    <xf numFmtId="0" fontId="62" fillId="2" borderId="18" xfId="0" applyFont="1" applyFill="1" applyBorder="1" applyAlignment="1" applyProtection="1">
      <alignment horizontal="center" vertical="center" wrapText="1"/>
      <protection locked="0"/>
    </xf>
    <xf numFmtId="10" fontId="0" fillId="3" borderId="43" xfId="2" applyNumberFormat="1" applyFont="1" applyFill="1" applyBorder="1" applyAlignment="1" applyProtection="1">
      <alignment horizontal="center" vertical="center"/>
      <protection locked="0"/>
    </xf>
    <xf numFmtId="10" fontId="0" fillId="5" borderId="12" xfId="0" applyNumberFormat="1" applyFill="1" applyBorder="1" applyAlignment="1" applyProtection="1">
      <alignment horizontal="center" vertical="center"/>
      <protection locked="0"/>
    </xf>
    <xf numFmtId="2" fontId="0" fillId="3" borderId="51" xfId="0" applyNumberFormat="1" applyFill="1" applyBorder="1" applyAlignment="1" applyProtection="1">
      <alignment horizontal="center" vertical="center"/>
      <protection locked="0"/>
    </xf>
    <xf numFmtId="10" fontId="0" fillId="3" borderId="120" xfId="2" applyNumberFormat="1" applyFont="1" applyFill="1" applyBorder="1" applyAlignment="1" applyProtection="1">
      <alignment horizontal="center" vertical="center"/>
      <protection locked="0"/>
    </xf>
    <xf numFmtId="10" fontId="0" fillId="3" borderId="11" xfId="2" applyNumberFormat="1" applyFont="1" applyFill="1" applyBorder="1" applyAlignment="1" applyProtection="1">
      <alignment horizontal="center" vertical="center"/>
      <protection locked="0"/>
    </xf>
    <xf numFmtId="10" fontId="0" fillId="3" borderId="119" xfId="2" applyNumberFormat="1" applyFont="1" applyFill="1" applyBorder="1" applyAlignment="1" applyProtection="1">
      <alignment horizontal="center" vertical="center"/>
      <protection locked="0"/>
    </xf>
    <xf numFmtId="10" fontId="0" fillId="5" borderId="18" xfId="0" applyNumberFormat="1" applyFill="1" applyBorder="1" applyAlignment="1" applyProtection="1">
      <alignment horizontal="center" vertical="center"/>
      <protection locked="0"/>
    </xf>
    <xf numFmtId="10" fontId="0" fillId="5" borderId="17" xfId="0" applyNumberFormat="1" applyFill="1" applyBorder="1" applyAlignment="1" applyProtection="1">
      <alignment horizontal="center" vertical="center"/>
      <protection locked="0"/>
    </xf>
    <xf numFmtId="2" fontId="0" fillId="5" borderId="121" xfId="0" applyNumberFormat="1" applyFill="1" applyBorder="1" applyAlignment="1" applyProtection="1">
      <alignment horizontal="center" vertical="center"/>
      <protection locked="0"/>
    </xf>
    <xf numFmtId="2" fontId="0" fillId="5" borderId="123" xfId="0" applyNumberFormat="1" applyFill="1" applyBorder="1" applyAlignment="1" applyProtection="1">
      <alignment horizontal="center" vertical="center"/>
      <protection locked="0"/>
    </xf>
    <xf numFmtId="2" fontId="0" fillId="3" borderId="120" xfId="0" applyNumberFormat="1" applyFill="1" applyBorder="1" applyAlignment="1" applyProtection="1">
      <alignment horizontal="center" vertical="center"/>
      <protection locked="0"/>
    </xf>
    <xf numFmtId="2" fontId="0" fillId="3" borderId="11" xfId="0" applyNumberFormat="1" applyFill="1" applyBorder="1" applyAlignment="1" applyProtection="1">
      <alignment horizontal="center" vertical="center"/>
      <protection locked="0"/>
    </xf>
    <xf numFmtId="2" fontId="0" fillId="3" borderId="119" xfId="0" applyNumberFormat="1" applyFill="1" applyBorder="1" applyAlignment="1" applyProtection="1">
      <alignment horizontal="center" vertical="center"/>
      <protection locked="0"/>
    </xf>
    <xf numFmtId="10" fontId="0" fillId="5" borderId="13" xfId="0" applyNumberFormat="1" applyFill="1" applyBorder="1" applyAlignment="1" applyProtection="1">
      <alignment horizontal="center" vertical="center"/>
      <protection locked="0"/>
    </xf>
    <xf numFmtId="2" fontId="0" fillId="5" borderId="122" xfId="0" applyNumberFormat="1" applyFill="1" applyBorder="1" applyAlignment="1" applyProtection="1">
      <alignment horizontal="center" vertical="center"/>
      <protection locked="0"/>
    </xf>
    <xf numFmtId="10" fontId="67" fillId="2" borderId="0" xfId="0" applyNumberFormat="1" applyFont="1" applyFill="1" applyAlignment="1" applyProtection="1">
      <alignment horizontal="center" vertical="center"/>
      <protection locked="0"/>
    </xf>
    <xf numFmtId="1" fontId="0" fillId="5" borderId="19" xfId="0" applyNumberFormat="1" applyFill="1" applyBorder="1" applyAlignment="1" applyProtection="1">
      <alignment horizontal="center" vertical="center"/>
      <protection locked="0"/>
    </xf>
    <xf numFmtId="1" fontId="0" fillId="5" borderId="16" xfId="0" applyNumberFormat="1" applyFill="1" applyBorder="1" applyAlignment="1" applyProtection="1">
      <alignment horizontal="center" vertical="center"/>
      <protection locked="0"/>
    </xf>
    <xf numFmtId="1" fontId="0" fillId="5" borderId="20" xfId="0" applyNumberFormat="1" applyFill="1" applyBorder="1" applyAlignment="1" applyProtection="1">
      <alignment horizontal="center" vertical="center"/>
      <protection locked="0"/>
    </xf>
    <xf numFmtId="10" fontId="0" fillId="5" borderId="18" xfId="2" applyNumberFormat="1" applyFont="1" applyFill="1" applyBorder="1" applyAlignment="1" applyProtection="1">
      <alignment horizontal="center" vertical="center"/>
      <protection locked="0"/>
    </xf>
    <xf numFmtId="10" fontId="0" fillId="5" borderId="13" xfId="2" applyNumberFormat="1" applyFont="1" applyFill="1" applyBorder="1" applyAlignment="1" applyProtection="1">
      <alignment horizontal="center" vertical="center"/>
      <protection locked="0"/>
    </xf>
    <xf numFmtId="9" fontId="0" fillId="5" borderId="18" xfId="0" applyNumberFormat="1" applyFill="1" applyBorder="1" applyAlignment="1" applyProtection="1">
      <alignment horizontal="center" vertical="center"/>
      <protection locked="0"/>
    </xf>
    <xf numFmtId="9" fontId="0" fillId="5" borderId="13" xfId="0" applyNumberFormat="1" applyFill="1" applyBorder="1" applyAlignment="1" applyProtection="1">
      <alignment horizontal="center" vertical="center"/>
      <protection locked="0"/>
    </xf>
    <xf numFmtId="9" fontId="0" fillId="5" borderId="17" xfId="0" applyNumberFormat="1" applyFill="1" applyBorder="1" applyAlignment="1" applyProtection="1">
      <alignment horizontal="center" vertical="center"/>
      <protection locked="0"/>
    </xf>
    <xf numFmtId="1" fontId="63" fillId="3" borderId="13" xfId="0" applyNumberFormat="1" applyFont="1" applyFill="1" applyBorder="1" applyAlignment="1" applyProtection="1">
      <alignment horizontal="center" vertical="center"/>
      <protection locked="0"/>
    </xf>
    <xf numFmtId="0" fontId="35" fillId="2" borderId="37" xfId="0" applyFont="1" applyFill="1" applyBorder="1" applyAlignment="1" applyProtection="1">
      <alignment horizontal="right" vertical="center" wrapText="1"/>
      <protection locked="0"/>
    </xf>
    <xf numFmtId="0" fontId="35" fillId="2" borderId="25" xfId="0" applyFont="1" applyFill="1" applyBorder="1" applyAlignment="1" applyProtection="1">
      <alignment horizontal="right" vertical="center" wrapText="1"/>
      <protection locked="0"/>
    </xf>
    <xf numFmtId="49" fontId="0" fillId="5" borderId="18" xfId="0" quotePrefix="1" applyNumberFormat="1" applyFill="1" applyBorder="1" applyAlignment="1" applyProtection="1">
      <alignment horizontal="left" vertical="center"/>
      <protection locked="0"/>
    </xf>
    <xf numFmtId="49" fontId="0" fillId="5" borderId="13" xfId="0" quotePrefix="1" applyNumberFormat="1" applyFill="1" applyBorder="1" applyAlignment="1" applyProtection="1">
      <alignment horizontal="left" vertical="center"/>
      <protection locked="0"/>
    </xf>
    <xf numFmtId="49" fontId="0" fillId="5" borderId="17" xfId="0" quotePrefix="1" applyNumberFormat="1" applyFill="1" applyBorder="1" applyAlignment="1" applyProtection="1">
      <alignment horizontal="left" vertical="center"/>
      <protection locked="0"/>
    </xf>
    <xf numFmtId="0" fontId="59" fillId="2" borderId="80" xfId="0" applyFont="1" applyFill="1" applyBorder="1" applyAlignment="1" applyProtection="1">
      <alignment horizontal="center"/>
      <protection locked="0"/>
    </xf>
    <xf numFmtId="10" fontId="0" fillId="5" borderId="26" xfId="2" applyNumberFormat="1" applyFont="1" applyFill="1" applyBorder="1" applyAlignment="1" applyProtection="1">
      <alignment horizontal="center" vertical="center"/>
      <protection locked="0"/>
    </xf>
    <xf numFmtId="10" fontId="0" fillId="0" borderId="0" xfId="2" applyNumberFormat="1" applyFont="1" applyFill="1" applyBorder="1" applyAlignment="1" applyProtection="1">
      <alignment horizontal="center" vertical="center"/>
      <protection locked="0"/>
    </xf>
    <xf numFmtId="0" fontId="36" fillId="2" borderId="30" xfId="0" applyFont="1" applyFill="1" applyBorder="1" applyAlignment="1" applyProtection="1">
      <alignment horizontal="center" vertical="center" wrapText="1"/>
      <protection locked="0"/>
    </xf>
    <xf numFmtId="165" fontId="42" fillId="4" borderId="52" xfId="0" applyNumberFormat="1" applyFont="1" applyFill="1" applyBorder="1" applyAlignment="1" applyProtection="1">
      <alignment horizontal="center" vertical="center"/>
      <protection locked="0"/>
    </xf>
    <xf numFmtId="0" fontId="36" fillId="4" borderId="54" xfId="0" applyFont="1" applyFill="1" applyBorder="1" applyAlignment="1" applyProtection="1">
      <alignment horizontal="center" vertical="center"/>
      <protection locked="0"/>
    </xf>
    <xf numFmtId="0" fontId="36" fillId="4" borderId="60" xfId="0" applyFont="1" applyFill="1" applyBorder="1" applyAlignment="1" applyProtection="1">
      <alignment horizontal="center" vertical="center"/>
      <protection locked="0"/>
    </xf>
    <xf numFmtId="0" fontId="38" fillId="2" borderId="54" xfId="0" applyFont="1" applyFill="1" applyBorder="1" applyAlignment="1" applyProtection="1">
      <alignment horizontal="center" vertical="center" wrapText="1"/>
      <protection locked="0"/>
    </xf>
    <xf numFmtId="0" fontId="38" fillId="2" borderId="59" xfId="0" applyFont="1" applyFill="1" applyBorder="1" applyAlignment="1" applyProtection="1">
      <alignment horizontal="center" vertical="center" wrapText="1"/>
      <protection locked="0"/>
    </xf>
    <xf numFmtId="0" fontId="38" fillId="2" borderId="60" xfId="0" applyFont="1" applyFill="1" applyBorder="1" applyAlignment="1" applyProtection="1">
      <alignment horizontal="center" vertical="center" wrapText="1"/>
      <protection locked="0"/>
    </xf>
    <xf numFmtId="0" fontId="38" fillId="0" borderId="64" xfId="0" applyFont="1" applyBorder="1" applyAlignment="1" applyProtection="1">
      <alignment horizontal="center" vertical="center"/>
      <protection locked="0"/>
    </xf>
    <xf numFmtId="0" fontId="38" fillId="0" borderId="65" xfId="0" applyFont="1" applyBorder="1" applyAlignment="1" applyProtection="1">
      <alignment horizontal="center" vertical="center"/>
      <protection locked="0"/>
    </xf>
    <xf numFmtId="0" fontId="45" fillId="0" borderId="64" xfId="0" applyFont="1" applyBorder="1" applyAlignment="1" applyProtection="1">
      <alignment horizontal="center" vertical="center"/>
      <protection locked="0"/>
    </xf>
    <xf numFmtId="0" fontId="45" fillId="0" borderId="65" xfId="0" applyFont="1" applyBorder="1" applyAlignment="1" applyProtection="1">
      <alignment horizontal="center" vertical="center"/>
      <protection locked="0"/>
    </xf>
    <xf numFmtId="0" fontId="36" fillId="4" borderId="60" xfId="0" applyFont="1" applyFill="1" applyBorder="1" applyAlignment="1" applyProtection="1">
      <alignment horizontal="center" vertical="center" wrapText="1"/>
      <protection locked="0"/>
    </xf>
    <xf numFmtId="0" fontId="36" fillId="4" borderId="52"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protection locked="0"/>
    </xf>
    <xf numFmtId="0" fontId="29" fillId="2" borderId="13" xfId="0" applyFont="1" applyFill="1" applyBorder="1" applyAlignment="1" applyProtection="1">
      <alignment horizontal="center" vertical="center"/>
      <protection locked="0"/>
    </xf>
    <xf numFmtId="0" fontId="29" fillId="2" borderId="17" xfId="0" applyFont="1" applyFill="1" applyBorder="1" applyAlignment="1" applyProtection="1">
      <alignment horizontal="center" vertical="center"/>
      <protection locked="0"/>
    </xf>
    <xf numFmtId="166" fontId="14" fillId="4" borderId="56" xfId="0" applyNumberFormat="1" applyFont="1" applyFill="1" applyBorder="1" applyAlignment="1" applyProtection="1">
      <alignment horizontal="center" vertical="center"/>
      <protection locked="0"/>
    </xf>
    <xf numFmtId="166" fontId="14" fillId="4" borderId="57" xfId="0" applyNumberFormat="1" applyFont="1" applyFill="1" applyBorder="1" applyAlignment="1" applyProtection="1">
      <alignment horizontal="center" vertical="center"/>
      <protection locked="0"/>
    </xf>
    <xf numFmtId="166" fontId="14" fillId="4" borderId="0" xfId="0" applyNumberFormat="1" applyFont="1" applyFill="1" applyAlignment="1" applyProtection="1">
      <alignment horizontal="center" vertical="center"/>
      <protection locked="0"/>
    </xf>
    <xf numFmtId="166" fontId="14" fillId="4" borderId="63" xfId="0" applyNumberFormat="1" applyFont="1" applyFill="1" applyBorder="1" applyAlignment="1" applyProtection="1">
      <alignment horizontal="center" vertical="center"/>
      <protection locked="0"/>
    </xf>
    <xf numFmtId="166" fontId="14" fillId="4" borderId="58" xfId="0" applyNumberFormat="1" applyFont="1" applyFill="1" applyBorder="1" applyAlignment="1" applyProtection="1">
      <alignment horizontal="center" vertical="center"/>
      <protection locked="0"/>
    </xf>
    <xf numFmtId="166" fontId="14" fillId="4" borderId="65" xfId="0" applyNumberFormat="1" applyFont="1" applyFill="1" applyBorder="1" applyAlignment="1" applyProtection="1">
      <alignment horizontal="center" vertical="center"/>
      <protection locked="0"/>
    </xf>
    <xf numFmtId="165" fontId="42" fillId="4" borderId="54" xfId="0" applyNumberFormat="1" applyFont="1" applyFill="1" applyBorder="1" applyAlignment="1" applyProtection="1">
      <alignment horizontal="center" vertical="center"/>
      <protection locked="0"/>
    </xf>
    <xf numFmtId="165" fontId="42" fillId="4" borderId="60" xfId="0" applyNumberFormat="1" applyFont="1" applyFill="1" applyBorder="1" applyAlignment="1" applyProtection="1">
      <alignment horizontal="center" vertical="center"/>
      <protection locked="0"/>
    </xf>
    <xf numFmtId="0" fontId="36" fillId="2" borderId="52"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protection locked="0"/>
    </xf>
    <xf numFmtId="0" fontId="25" fillId="2" borderId="22" xfId="0" applyFont="1" applyFill="1" applyBorder="1" applyAlignment="1" applyProtection="1">
      <alignment horizontal="center" vertical="center"/>
      <protection locked="0"/>
    </xf>
    <xf numFmtId="0" fontId="25" fillId="2" borderId="0" xfId="0" applyFont="1" applyFill="1" applyAlignment="1" applyProtection="1">
      <alignment horizontal="center" vertical="center"/>
      <protection locked="0"/>
    </xf>
    <xf numFmtId="0" fontId="25" fillId="2" borderId="31" xfId="0" applyFont="1" applyFill="1" applyBorder="1" applyAlignment="1" applyProtection="1">
      <alignment horizontal="center" vertical="center"/>
      <protection locked="0"/>
    </xf>
    <xf numFmtId="0" fontId="25" fillId="2" borderId="15"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wrapText="1"/>
      <protection locked="0"/>
    </xf>
    <xf numFmtId="0" fontId="36" fillId="2" borderId="52" xfId="0" applyFont="1" applyFill="1" applyBorder="1" applyAlignment="1" applyProtection="1">
      <alignment horizontal="center" vertical="center"/>
      <protection locked="0"/>
    </xf>
    <xf numFmtId="0" fontId="36" fillId="4" borderId="53"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36" fillId="2" borderId="0" xfId="0" applyFont="1" applyFill="1" applyAlignment="1" applyProtection="1">
      <alignment horizontal="left" wrapText="1"/>
      <protection locked="0"/>
    </xf>
    <xf numFmtId="0" fontId="36" fillId="4" borderId="52" xfId="0" applyFont="1" applyFill="1" applyBorder="1" applyAlignment="1" applyProtection="1">
      <alignment horizontal="center" vertical="center"/>
      <protection locked="0"/>
    </xf>
    <xf numFmtId="166" fontId="14" fillId="4" borderId="62" xfId="0" applyNumberFormat="1" applyFont="1" applyFill="1" applyBorder="1" applyAlignment="1" applyProtection="1">
      <alignment horizontal="center" vertical="center"/>
      <protection locked="0"/>
    </xf>
    <xf numFmtId="166" fontId="14" fillId="4" borderId="130" xfId="0" applyNumberFormat="1" applyFont="1" applyFill="1" applyBorder="1" applyAlignment="1" applyProtection="1">
      <alignment horizontal="center" vertical="center"/>
      <protection locked="0"/>
    </xf>
    <xf numFmtId="166" fontId="14" fillId="4" borderId="135" xfId="0" applyNumberFormat="1" applyFont="1"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0" fontId="36" fillId="2" borderId="63" xfId="0" applyFont="1" applyFill="1" applyBorder="1" applyAlignment="1" applyProtection="1">
      <alignment horizontal="center" vertical="center" wrapText="1"/>
      <protection locked="0"/>
    </xf>
    <xf numFmtId="0" fontId="36" fillId="2" borderId="86" xfId="0" applyFont="1" applyFill="1" applyBorder="1" applyAlignment="1" applyProtection="1">
      <alignment horizontal="center" vertical="center" wrapText="1"/>
      <protection locked="0"/>
    </xf>
    <xf numFmtId="166" fontId="14" fillId="4" borderId="134" xfId="0" applyNumberFormat="1" applyFont="1" applyFill="1" applyBorder="1" applyAlignment="1" applyProtection="1">
      <alignment horizontal="center" vertical="center"/>
      <protection locked="0"/>
    </xf>
    <xf numFmtId="166" fontId="14" fillId="4" borderId="55" xfId="0" applyNumberFormat="1" applyFont="1" applyFill="1" applyBorder="1" applyAlignment="1" applyProtection="1">
      <alignment horizontal="center" vertical="center"/>
      <protection locked="0"/>
    </xf>
    <xf numFmtId="166" fontId="14" fillId="4" borderId="64" xfId="0" applyNumberFormat="1" applyFont="1" applyFill="1" applyBorder="1" applyAlignment="1" applyProtection="1">
      <alignment horizontal="center" vertical="center"/>
      <protection locked="0"/>
    </xf>
    <xf numFmtId="166" fontId="14" fillId="4" borderId="136" xfId="0" applyNumberFormat="1" applyFont="1" applyFill="1" applyBorder="1" applyAlignment="1" applyProtection="1">
      <alignment horizontal="center" vertical="center"/>
      <protection locked="0"/>
    </xf>
    <xf numFmtId="0" fontId="38" fillId="0" borderId="55" xfId="0" applyFont="1" applyBorder="1" applyAlignment="1" applyProtection="1">
      <alignment horizontal="center" vertical="center"/>
      <protection locked="0"/>
    </xf>
    <xf numFmtId="0" fontId="38" fillId="0" borderId="56" xfId="0" applyFont="1" applyBorder="1" applyAlignment="1" applyProtection="1">
      <alignment horizontal="center" vertical="center"/>
      <protection locked="0"/>
    </xf>
    <xf numFmtId="0" fontId="38" fillId="0" borderId="62"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2" borderId="55" xfId="0" applyFont="1" applyFill="1" applyBorder="1" applyAlignment="1" applyProtection="1">
      <alignment horizontal="center" vertical="center" wrapText="1"/>
      <protection locked="0"/>
    </xf>
    <xf numFmtId="0" fontId="38" fillId="2" borderId="56" xfId="0" applyFont="1" applyFill="1" applyBorder="1" applyAlignment="1" applyProtection="1">
      <alignment horizontal="center" vertical="center" wrapText="1"/>
      <protection locked="0"/>
    </xf>
    <xf numFmtId="0" fontId="38" fillId="2" borderId="57" xfId="0" applyFont="1" applyFill="1" applyBorder="1" applyAlignment="1" applyProtection="1">
      <alignment horizontal="center" vertical="center" wrapText="1"/>
      <protection locked="0"/>
    </xf>
    <xf numFmtId="0" fontId="38" fillId="2" borderId="62" xfId="0" applyFont="1" applyFill="1" applyBorder="1" applyAlignment="1" applyProtection="1">
      <alignment horizontal="center" vertical="center" wrapText="1"/>
      <protection locked="0"/>
    </xf>
    <xf numFmtId="0" fontId="38" fillId="2" borderId="63" xfId="0" applyFont="1" applyFill="1" applyBorder="1" applyAlignment="1" applyProtection="1">
      <alignment horizontal="center" vertical="center" wrapText="1"/>
      <protection locked="0"/>
    </xf>
    <xf numFmtId="0" fontId="38" fillId="2" borderId="64" xfId="0" applyFont="1" applyFill="1" applyBorder="1" applyAlignment="1" applyProtection="1">
      <alignment horizontal="center" vertical="center" wrapText="1"/>
      <protection locked="0"/>
    </xf>
    <xf numFmtId="0" fontId="38" fillId="2" borderId="58" xfId="0" applyFont="1" applyFill="1" applyBorder="1" applyAlignment="1" applyProtection="1">
      <alignment horizontal="center" vertical="center" wrapText="1"/>
      <protection locked="0"/>
    </xf>
    <xf numFmtId="0" fontId="38" fillId="2" borderId="65" xfId="0" applyFont="1" applyFill="1" applyBorder="1" applyAlignment="1" applyProtection="1">
      <alignment horizontal="center" vertical="center" wrapText="1"/>
      <protection locked="0"/>
    </xf>
    <xf numFmtId="0" fontId="38" fillId="0" borderId="0" xfId="0" applyFont="1" applyAlignment="1" applyProtection="1">
      <alignment horizontal="center"/>
      <protection locked="0"/>
    </xf>
    <xf numFmtId="0" fontId="38" fillId="0" borderId="56" xfId="0" applyFont="1" applyBorder="1" applyAlignment="1" applyProtection="1">
      <alignment horizontal="center"/>
      <protection locked="0"/>
    </xf>
    <xf numFmtId="0" fontId="0" fillId="5" borderId="18" xfId="0" applyFill="1" applyBorder="1" applyAlignment="1" applyProtection="1">
      <alignment horizontal="left" vertical="center"/>
      <protection locked="0"/>
    </xf>
    <xf numFmtId="0" fontId="0" fillId="5" borderId="13" xfId="0" applyFill="1" applyBorder="1" applyAlignment="1" applyProtection="1">
      <alignment horizontal="left" vertical="center"/>
      <protection locked="0"/>
    </xf>
    <xf numFmtId="0" fontId="0" fillId="5" borderId="17" xfId="0" applyFill="1" applyBorder="1" applyAlignment="1" applyProtection="1">
      <alignment horizontal="left" vertical="center"/>
      <protection locked="0"/>
    </xf>
    <xf numFmtId="0" fontId="38" fillId="0" borderId="58" xfId="0" applyFont="1" applyBorder="1" applyAlignment="1" applyProtection="1">
      <alignment horizontal="center"/>
      <protection locked="0"/>
    </xf>
    <xf numFmtId="49" fontId="19" fillId="5" borderId="18" xfId="0" applyNumberFormat="1" applyFont="1" applyFill="1" applyBorder="1" applyAlignment="1" applyProtection="1">
      <alignment horizontal="left" vertical="top" wrapText="1"/>
      <protection locked="0"/>
    </xf>
    <xf numFmtId="49" fontId="19" fillId="5" borderId="13" xfId="0" applyNumberFormat="1" applyFont="1" applyFill="1" applyBorder="1" applyAlignment="1" applyProtection="1">
      <alignment horizontal="left" vertical="top" wrapText="1"/>
      <protection locked="0"/>
    </xf>
    <xf numFmtId="49" fontId="19" fillId="5" borderId="17" xfId="0" applyNumberFormat="1" applyFont="1" applyFill="1" applyBorder="1" applyAlignment="1" applyProtection="1">
      <alignment horizontal="left" vertical="top" wrapText="1"/>
      <protection locked="0"/>
    </xf>
    <xf numFmtId="166" fontId="14" fillId="4" borderId="127" xfId="0" applyNumberFormat="1" applyFont="1" applyFill="1" applyBorder="1" applyAlignment="1" applyProtection="1">
      <alignment horizontal="center" vertical="center"/>
      <protection locked="0"/>
    </xf>
    <xf numFmtId="0" fontId="36" fillId="2" borderId="53" xfId="0" applyFont="1" applyFill="1" applyBorder="1" applyAlignment="1" applyProtection="1">
      <alignment horizontal="center" vertical="center" wrapText="1"/>
      <protection locked="0"/>
    </xf>
    <xf numFmtId="0" fontId="36" fillId="2" borderId="128" xfId="0" applyFont="1" applyFill="1" applyBorder="1" applyAlignment="1" applyProtection="1">
      <alignment horizontal="center" vertical="center" wrapText="1"/>
      <protection locked="0"/>
    </xf>
    <xf numFmtId="166" fontId="14" fillId="4" borderId="129" xfId="0" applyNumberFormat="1" applyFont="1" applyFill="1" applyBorder="1" applyAlignment="1" applyProtection="1">
      <alignment horizontal="center" vertical="center"/>
      <protection locked="0"/>
    </xf>
    <xf numFmtId="0" fontId="38" fillId="0" borderId="58" xfId="0" applyFont="1" applyBorder="1" applyAlignment="1" applyProtection="1">
      <alignment horizontal="center" vertical="center"/>
      <protection locked="0"/>
    </xf>
    <xf numFmtId="0" fontId="36" fillId="2" borderId="16" xfId="0" applyFont="1" applyFill="1" applyBorder="1" applyAlignment="1" applyProtection="1">
      <alignment horizontal="left" vertical="top" wrapText="1"/>
      <protection locked="0"/>
    </xf>
    <xf numFmtId="0" fontId="36" fillId="2" borderId="0" xfId="0" applyFont="1" applyFill="1" applyAlignment="1" applyProtection="1">
      <alignment horizontal="left" vertical="top" wrapText="1"/>
      <protection locked="0"/>
    </xf>
    <xf numFmtId="0" fontId="25" fillId="2" borderId="52" xfId="0" applyFont="1" applyFill="1" applyBorder="1" applyAlignment="1" applyProtection="1">
      <alignment horizontal="center" vertical="center"/>
      <protection locked="0"/>
    </xf>
    <xf numFmtId="0" fontId="25" fillId="2" borderId="54" xfId="0" applyFont="1" applyFill="1" applyBorder="1" applyAlignment="1" applyProtection="1">
      <alignment horizontal="center" vertical="center"/>
      <protection locked="0"/>
    </xf>
    <xf numFmtId="0" fontId="40" fillId="2" borderId="18" xfId="0" applyFont="1" applyFill="1" applyBorder="1" applyAlignment="1" applyProtection="1">
      <alignment horizontal="center" vertical="center" wrapText="1"/>
      <protection locked="0"/>
    </xf>
    <xf numFmtId="0" fontId="40" fillId="2" borderId="17" xfId="0" applyFont="1" applyFill="1" applyBorder="1" applyAlignment="1" applyProtection="1">
      <alignment horizontal="center" vertical="center" wrapText="1"/>
      <protection locked="0"/>
    </xf>
    <xf numFmtId="0" fontId="40" fillId="2" borderId="13" xfId="0" applyFont="1" applyFill="1" applyBorder="1" applyAlignment="1" applyProtection="1">
      <alignment horizontal="center" vertical="center" wrapText="1"/>
      <protection locked="0"/>
    </xf>
    <xf numFmtId="0" fontId="3" fillId="5" borderId="18" xfId="0" quotePrefix="1" applyFont="1" applyFill="1" applyBorder="1" applyAlignment="1" applyProtection="1">
      <alignment horizontal="left" vertical="center"/>
      <protection locked="0"/>
    </xf>
    <xf numFmtId="0" fontId="3" fillId="5" borderId="13" xfId="0" quotePrefix="1" applyFont="1" applyFill="1" applyBorder="1" applyAlignment="1" applyProtection="1">
      <alignment horizontal="left" vertical="center"/>
      <protection locked="0"/>
    </xf>
    <xf numFmtId="0" fontId="3" fillId="5" borderId="17" xfId="0" quotePrefix="1" applyFont="1" applyFill="1" applyBorder="1" applyAlignment="1" applyProtection="1">
      <alignment horizontal="left" vertical="center"/>
      <protection locked="0"/>
    </xf>
    <xf numFmtId="0" fontId="28" fillId="2" borderId="42" xfId="0" applyFont="1" applyFill="1" applyBorder="1" applyAlignment="1" applyProtection="1">
      <alignment horizontal="center" vertical="center"/>
      <protection locked="0"/>
    </xf>
    <xf numFmtId="0" fontId="28" fillId="2" borderId="33"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wrapText="1"/>
      <protection locked="0"/>
    </xf>
    <xf numFmtId="0" fontId="56" fillId="2" borderId="13" xfId="0"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protection locked="0"/>
    </xf>
    <xf numFmtId="0" fontId="28" fillId="2" borderId="41" xfId="0" applyFont="1" applyFill="1" applyBorder="1" applyAlignment="1" applyProtection="1">
      <alignment horizontal="center" vertical="center"/>
      <protection locked="0"/>
    </xf>
    <xf numFmtId="0" fontId="0" fillId="12" borderId="18" xfId="0" applyFill="1" applyBorder="1" applyAlignment="1" applyProtection="1">
      <alignment horizontal="center" vertical="center"/>
      <protection locked="0"/>
    </xf>
    <xf numFmtId="0" fontId="0" fillId="12" borderId="17" xfId="0" applyFill="1" applyBorder="1" applyAlignment="1" applyProtection="1">
      <alignment horizontal="center" vertical="center"/>
      <protection locked="0"/>
    </xf>
    <xf numFmtId="0" fontId="36" fillId="2" borderId="132" xfId="0" applyFont="1" applyFill="1" applyBorder="1" applyAlignment="1" applyProtection="1">
      <alignment horizontal="center" vertical="center"/>
      <protection locked="0"/>
    </xf>
    <xf numFmtId="0" fontId="36" fillId="2" borderId="60" xfId="0" applyFont="1" applyFill="1" applyBorder="1" applyAlignment="1" applyProtection="1">
      <alignment horizontal="center" vertical="center"/>
      <protection locked="0"/>
    </xf>
    <xf numFmtId="0" fontId="7" fillId="5" borderId="18"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0" fontId="14" fillId="2" borderId="0" xfId="0" applyFont="1" applyFill="1" applyAlignment="1" applyProtection="1">
      <alignment horizontal="left" vertical="center"/>
      <protection locked="0"/>
    </xf>
    <xf numFmtId="0" fontId="19" fillId="5" borderId="18" xfId="0" applyFont="1" applyFill="1" applyBorder="1" applyAlignment="1" applyProtection="1">
      <alignment horizontal="center" vertical="center" wrapText="1"/>
      <protection locked="0"/>
    </xf>
    <xf numFmtId="0" fontId="19" fillId="5" borderId="13"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36" fillId="2" borderId="133" xfId="0" applyFont="1" applyFill="1" applyBorder="1" applyAlignment="1" applyProtection="1">
      <alignment horizontal="center" vertical="center" wrapText="1"/>
      <protection locked="0"/>
    </xf>
    <xf numFmtId="0" fontId="36" fillId="2" borderId="62" xfId="0" applyFont="1" applyFill="1" applyBorder="1" applyAlignment="1" applyProtection="1">
      <alignment horizontal="center" vertical="center" wrapText="1"/>
      <protection locked="0"/>
    </xf>
    <xf numFmtId="0" fontId="3" fillId="2" borderId="15" xfId="0" applyFont="1" applyFill="1" applyBorder="1" applyAlignment="1" applyProtection="1">
      <alignment horizontal="center" vertical="center" wrapText="1"/>
      <protection locked="0"/>
    </xf>
    <xf numFmtId="0" fontId="36" fillId="2" borderId="125" xfId="0" applyFont="1" applyFill="1" applyBorder="1" applyAlignment="1" applyProtection="1">
      <alignment horizontal="center" vertical="center"/>
      <protection locked="0"/>
    </xf>
    <xf numFmtId="0" fontId="36" fillId="2" borderId="64" xfId="0" applyFont="1" applyFill="1" applyBorder="1" applyAlignment="1" applyProtection="1">
      <alignment horizontal="center" vertical="center" wrapText="1"/>
      <protection locked="0"/>
    </xf>
    <xf numFmtId="0" fontId="36" fillId="2" borderId="58" xfId="0" applyFont="1" applyFill="1" applyBorder="1" applyAlignment="1" applyProtection="1">
      <alignment horizontal="center" vertical="center" wrapText="1"/>
      <protection locked="0"/>
    </xf>
    <xf numFmtId="0" fontId="36" fillId="2" borderId="127" xfId="0" applyFont="1" applyFill="1" applyBorder="1" applyAlignment="1" applyProtection="1">
      <alignment horizontal="center" vertical="center" wrapText="1"/>
      <protection locked="0"/>
    </xf>
    <xf numFmtId="0" fontId="36" fillId="2" borderId="131" xfId="0" applyFont="1" applyFill="1" applyBorder="1" applyAlignment="1" applyProtection="1">
      <alignment horizontal="center" vertical="center" wrapText="1"/>
      <protection locked="0"/>
    </xf>
    <xf numFmtId="0" fontId="36" fillId="2" borderId="59" xfId="0" applyFont="1" applyFill="1" applyBorder="1" applyAlignment="1" applyProtection="1">
      <alignment horizontal="center" vertical="center" wrapText="1"/>
      <protection locked="0"/>
    </xf>
    <xf numFmtId="0" fontId="36" fillId="2" borderId="126" xfId="0" applyFont="1" applyFill="1" applyBorder="1" applyAlignment="1" applyProtection="1">
      <alignment horizontal="center" vertical="center" wrapText="1"/>
      <protection locked="0"/>
    </xf>
    <xf numFmtId="1" fontId="36" fillId="2" borderId="59" xfId="0" applyNumberFormat="1" applyFont="1" applyFill="1" applyBorder="1" applyAlignment="1" applyProtection="1">
      <alignment horizontal="center" vertical="center" wrapText="1"/>
      <protection locked="0"/>
    </xf>
    <xf numFmtId="1" fontId="36" fillId="2" borderId="60"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horizontal="center" vertical="center" wrapText="1"/>
      <protection locked="0"/>
    </xf>
    <xf numFmtId="0" fontId="38" fillId="2" borderId="126" xfId="0" applyFont="1" applyFill="1" applyBorder="1" applyAlignment="1" applyProtection="1">
      <alignment horizontal="center" vertical="center" wrapText="1"/>
      <protection locked="0"/>
    </xf>
    <xf numFmtId="1" fontId="38" fillId="2" borderId="59" xfId="0" applyNumberFormat="1" applyFont="1" applyFill="1" applyBorder="1" applyAlignment="1" applyProtection="1">
      <alignment horizontal="center" vertical="center" wrapText="1"/>
      <protection locked="0"/>
    </xf>
    <xf numFmtId="1" fontId="38" fillId="2" borderId="60" xfId="0" applyNumberFormat="1"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49" fontId="45" fillId="22" borderId="12" xfId="0" applyNumberFormat="1" applyFont="1" applyFill="1" applyBorder="1" applyAlignment="1" applyProtection="1">
      <alignment horizontal="center" vertical="center" wrapText="1"/>
      <protection locked="0"/>
    </xf>
    <xf numFmtId="0" fontId="45" fillId="22" borderId="12" xfId="0"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protection locked="0"/>
    </xf>
    <xf numFmtId="0" fontId="38" fillId="2" borderId="18"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38" fillId="2" borderId="17" xfId="0" applyFont="1" applyFill="1" applyBorder="1" applyAlignment="1" applyProtection="1">
      <alignment horizontal="center" vertical="center"/>
      <protection locked="0"/>
    </xf>
    <xf numFmtId="49" fontId="45" fillId="4" borderId="12" xfId="0" applyNumberFormat="1" applyFont="1" applyFill="1" applyBorder="1" applyAlignment="1" applyProtection="1">
      <alignment horizontal="center" vertical="center" wrapText="1"/>
      <protection locked="0"/>
    </xf>
    <xf numFmtId="0" fontId="45" fillId="4" borderId="12" xfId="0" applyFont="1" applyFill="1" applyBorder="1" applyAlignment="1" applyProtection="1">
      <alignment horizontal="center" vertical="center" wrapText="1"/>
      <protection locked="0"/>
    </xf>
    <xf numFmtId="0" fontId="38" fillId="2" borderId="131" xfId="0" applyFont="1" applyFill="1" applyBorder="1" applyAlignment="1" applyProtection="1">
      <alignment horizontal="center" vertical="center" wrapText="1"/>
      <protection locked="0"/>
    </xf>
    <xf numFmtId="0" fontId="14" fillId="2" borderId="15" xfId="0" applyFont="1" applyFill="1" applyBorder="1" applyAlignment="1" applyProtection="1">
      <alignment horizontal="left" vertical="center"/>
      <protection locked="0"/>
    </xf>
    <xf numFmtId="49" fontId="45" fillId="4" borderId="18" xfId="0" applyNumberFormat="1" applyFont="1" applyFill="1" applyBorder="1" applyAlignment="1" applyProtection="1">
      <alignment horizontal="center" vertical="center" wrapText="1"/>
      <protection locked="0"/>
    </xf>
    <xf numFmtId="49" fontId="45" fillId="4" borderId="13" xfId="0" applyNumberFormat="1" applyFont="1" applyFill="1" applyBorder="1" applyAlignment="1" applyProtection="1">
      <alignment horizontal="center" vertical="center" wrapText="1"/>
      <protection locked="0"/>
    </xf>
    <xf numFmtId="49" fontId="45" fillId="4" borderId="17" xfId="0" applyNumberFormat="1" applyFont="1" applyFill="1" applyBorder="1" applyAlignment="1" applyProtection="1">
      <alignment horizontal="center" vertical="center" wrapText="1"/>
      <protection locked="0"/>
    </xf>
    <xf numFmtId="0" fontId="44" fillId="2" borderId="19" xfId="0" applyFont="1" applyFill="1" applyBorder="1" applyAlignment="1" applyProtection="1">
      <alignment horizontal="center" vertical="center" wrapText="1"/>
      <protection locked="0"/>
    </xf>
    <xf numFmtId="0" fontId="44" fillId="2" borderId="16" xfId="0" applyFont="1" applyFill="1" applyBorder="1" applyAlignment="1" applyProtection="1">
      <alignment horizontal="center" vertical="center" wrapText="1"/>
      <protection locked="0"/>
    </xf>
    <xf numFmtId="0" fontId="44" fillId="2" borderId="20" xfId="0" applyFont="1" applyFill="1" applyBorder="1" applyAlignment="1" applyProtection="1">
      <alignment horizontal="center" vertical="center" wrapText="1"/>
      <protection locked="0"/>
    </xf>
    <xf numFmtId="0" fontId="44" fillId="2" borderId="22" xfId="0"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wrapText="1"/>
      <protection locked="0"/>
    </xf>
    <xf numFmtId="0" fontId="44" fillId="2" borderId="32" xfId="0" applyFont="1" applyFill="1" applyBorder="1" applyAlignment="1" applyProtection="1">
      <alignment horizontal="center" vertical="center" wrapText="1"/>
      <protection locked="0"/>
    </xf>
    <xf numFmtId="0" fontId="44" fillId="2" borderId="31" xfId="0"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protection locked="0"/>
    </xf>
    <xf numFmtId="0" fontId="36" fillId="2" borderId="32" xfId="0" applyFont="1" applyFill="1" applyBorder="1" applyAlignment="1" applyProtection="1">
      <alignment horizontal="center" vertical="center" wrapText="1"/>
      <protection locked="0"/>
    </xf>
    <xf numFmtId="0" fontId="36" fillId="2" borderId="38" xfId="0" applyFont="1" applyFill="1" applyBorder="1" applyAlignment="1" applyProtection="1">
      <alignment horizontal="center" vertical="center" wrapText="1"/>
      <protection locked="0"/>
    </xf>
    <xf numFmtId="49" fontId="45" fillId="22" borderId="18" xfId="0" applyNumberFormat="1" applyFont="1" applyFill="1" applyBorder="1" applyAlignment="1" applyProtection="1">
      <alignment horizontal="center" vertical="center" wrapText="1"/>
      <protection locked="0"/>
    </xf>
    <xf numFmtId="49" fontId="45" fillId="22" borderId="13" xfId="0" applyNumberFormat="1" applyFont="1" applyFill="1" applyBorder="1" applyAlignment="1" applyProtection="1">
      <alignment horizontal="center" vertical="center" wrapText="1"/>
      <protection locked="0"/>
    </xf>
    <xf numFmtId="49" fontId="45" fillId="22" borderId="17" xfId="0" applyNumberFormat="1" applyFont="1" applyFill="1" applyBorder="1" applyAlignment="1" applyProtection="1">
      <alignment horizontal="center" vertical="center" wrapText="1"/>
      <protection locked="0"/>
    </xf>
    <xf numFmtId="1" fontId="42" fillId="4" borderId="59" xfId="0" applyNumberFormat="1" applyFont="1" applyFill="1" applyBorder="1" applyAlignment="1" applyProtection="1">
      <alignment horizontal="center" vertical="center"/>
      <protection locked="0"/>
    </xf>
    <xf numFmtId="0" fontId="37" fillId="2" borderId="54" xfId="0" applyFont="1" applyFill="1" applyBorder="1" applyAlignment="1" applyProtection="1">
      <alignment horizontal="center" vertical="center" wrapText="1"/>
      <protection locked="0"/>
    </xf>
    <xf numFmtId="0" fontId="37" fillId="2" borderId="60" xfId="0" applyFont="1" applyFill="1" applyBorder="1" applyAlignment="1" applyProtection="1">
      <alignment horizontal="center" vertical="center" wrapText="1"/>
      <protection locked="0"/>
    </xf>
    <xf numFmtId="1" fontId="42" fillId="4" borderId="54" xfId="0" applyNumberFormat="1" applyFont="1" applyFill="1" applyBorder="1" applyAlignment="1" applyProtection="1">
      <alignment horizontal="center" vertical="center"/>
      <protection locked="0"/>
    </xf>
    <xf numFmtId="167" fontId="37" fillId="4" borderId="54" xfId="0" applyNumberFormat="1" applyFont="1" applyFill="1" applyBorder="1" applyAlignment="1" applyProtection="1">
      <alignment horizontal="center" vertical="center"/>
      <protection locked="0"/>
    </xf>
    <xf numFmtId="167" fontId="37" fillId="4" borderId="59" xfId="0" applyNumberFormat="1" applyFont="1" applyFill="1" applyBorder="1" applyAlignment="1" applyProtection="1">
      <alignment horizontal="center" vertical="center"/>
      <protection locked="0"/>
    </xf>
    <xf numFmtId="167" fontId="37" fillId="4" borderId="60" xfId="0" applyNumberFormat="1" applyFont="1" applyFill="1" applyBorder="1" applyAlignment="1" applyProtection="1">
      <alignment horizontal="center" vertical="center"/>
      <protection locked="0"/>
    </xf>
    <xf numFmtId="0" fontId="37" fillId="2" borderId="53" xfId="0" applyFont="1" applyFill="1" applyBorder="1" applyAlignment="1" applyProtection="1">
      <alignment horizontal="center" vertical="center" wrapText="1"/>
      <protection locked="0"/>
    </xf>
    <xf numFmtId="0" fontId="37" fillId="2" borderId="52" xfId="0" applyFont="1" applyFill="1" applyBorder="1" applyAlignment="1" applyProtection="1">
      <alignment horizontal="center" vertical="center" wrapText="1"/>
      <protection locked="0"/>
    </xf>
    <xf numFmtId="2" fontId="42" fillId="4" borderId="54" xfId="0" applyNumberFormat="1" applyFont="1" applyFill="1" applyBorder="1" applyAlignment="1" applyProtection="1">
      <alignment horizontal="center" vertical="center"/>
      <protection locked="0"/>
    </xf>
    <xf numFmtId="2" fontId="42" fillId="4" borderId="59" xfId="0" applyNumberFormat="1" applyFont="1" applyFill="1" applyBorder="1" applyAlignment="1" applyProtection="1">
      <alignment horizontal="center" vertical="center"/>
      <protection locked="0"/>
    </xf>
    <xf numFmtId="2" fontId="42" fillId="4" borderId="60" xfId="0" applyNumberFormat="1" applyFont="1" applyFill="1" applyBorder="1" applyAlignment="1" applyProtection="1">
      <alignment horizontal="center" vertical="center"/>
      <protection locked="0"/>
    </xf>
    <xf numFmtId="0" fontId="29" fillId="5" borderId="12" xfId="0" applyFont="1" applyFill="1" applyBorder="1" applyAlignment="1" applyProtection="1">
      <alignment horizontal="left" vertical="top" wrapText="1"/>
      <protection locked="0"/>
    </xf>
    <xf numFmtId="0" fontId="19" fillId="10" borderId="31" xfId="0" applyFont="1" applyFill="1" applyBorder="1" applyAlignment="1" applyProtection="1">
      <alignment horizontal="center" vertical="center" wrapText="1"/>
      <protection locked="0"/>
    </xf>
    <xf numFmtId="0" fontId="19" fillId="10" borderId="38" xfId="0" applyFont="1" applyFill="1" applyBorder="1" applyAlignment="1" applyProtection="1">
      <alignment horizontal="center" vertical="center" wrapText="1"/>
      <protection locked="0"/>
    </xf>
    <xf numFmtId="0" fontId="36" fillId="2" borderId="12" xfId="0" applyFont="1" applyFill="1" applyBorder="1" applyAlignment="1" applyProtection="1">
      <alignment horizontal="center" vertical="center"/>
      <protection locked="0"/>
    </xf>
    <xf numFmtId="49" fontId="14" fillId="5" borderId="18" xfId="0" quotePrefix="1" applyNumberFormat="1" applyFont="1" applyFill="1" applyBorder="1" applyAlignment="1" applyProtection="1">
      <alignment horizontal="left" vertical="center"/>
      <protection locked="0"/>
    </xf>
    <xf numFmtId="49" fontId="14" fillId="5" borderId="13" xfId="0" quotePrefix="1" applyNumberFormat="1" applyFont="1" applyFill="1" applyBorder="1" applyAlignment="1" applyProtection="1">
      <alignment horizontal="left" vertical="center"/>
      <protection locked="0"/>
    </xf>
    <xf numFmtId="49" fontId="14" fillId="5" borderId="17" xfId="0" quotePrefix="1" applyNumberFormat="1" applyFont="1" applyFill="1" applyBorder="1" applyAlignment="1" applyProtection="1">
      <alignment horizontal="left" vertical="center"/>
      <protection locked="0"/>
    </xf>
    <xf numFmtId="0" fontId="48" fillId="4" borderId="12" xfId="0" applyFont="1" applyFill="1" applyBorder="1" applyAlignment="1" applyProtection="1">
      <alignment horizontal="center" vertical="center"/>
      <protection locked="0"/>
    </xf>
    <xf numFmtId="0" fontId="41" fillId="2" borderId="12" xfId="0" applyFont="1" applyFill="1" applyBorder="1" applyAlignment="1" applyProtection="1">
      <alignment horizontal="center" vertical="center"/>
      <protection locked="0"/>
    </xf>
    <xf numFmtId="2" fontId="7" fillId="5" borderId="45" xfId="0" applyNumberFormat="1" applyFont="1" applyFill="1" applyBorder="1" applyAlignment="1" applyProtection="1">
      <alignment horizontal="center" vertical="center"/>
      <protection locked="0"/>
    </xf>
    <xf numFmtId="2" fontId="7" fillId="5" borderId="12" xfId="0" applyNumberFormat="1" applyFont="1" applyFill="1" applyBorder="1" applyAlignment="1" applyProtection="1">
      <alignment horizontal="center" vertical="center"/>
      <protection locked="0"/>
    </xf>
    <xf numFmtId="2" fontId="7" fillId="5" borderId="46" xfId="0" applyNumberFormat="1" applyFont="1" applyFill="1" applyBorder="1" applyAlignment="1" applyProtection="1">
      <alignment horizontal="center" vertical="center"/>
      <protection locked="0"/>
    </xf>
    <xf numFmtId="0" fontId="36" fillId="2" borderId="7" xfId="0" applyFont="1" applyFill="1" applyBorder="1" applyAlignment="1" applyProtection="1">
      <alignment horizontal="center" vertical="center"/>
      <protection locked="0"/>
    </xf>
    <xf numFmtId="0" fontId="36" fillId="2" borderId="9" xfId="0" applyFont="1" applyFill="1" applyBorder="1" applyAlignment="1" applyProtection="1">
      <alignment horizontal="center" vertical="center"/>
      <protection locked="0"/>
    </xf>
    <xf numFmtId="49" fontId="0" fillId="5" borderId="34" xfId="0" applyNumberFormat="1" applyFill="1" applyBorder="1" applyAlignment="1" applyProtection="1">
      <alignment horizontal="center" vertical="center"/>
      <protection locked="0"/>
    </xf>
    <xf numFmtId="49" fontId="0" fillId="5" borderId="24" xfId="0" applyNumberFormat="1" applyFill="1" applyBorder="1" applyAlignment="1" applyProtection="1">
      <alignment horizontal="center" vertical="center"/>
      <protection locked="0"/>
    </xf>
    <xf numFmtId="49" fontId="0" fillId="5" borderId="27" xfId="0" applyNumberFormat="1" applyFill="1" applyBorder="1" applyAlignment="1" applyProtection="1">
      <alignment horizontal="center" vertical="center"/>
      <protection locked="0"/>
    </xf>
    <xf numFmtId="0" fontId="37" fillId="2" borderId="59"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left" vertical="center" wrapText="1"/>
      <protection locked="0"/>
    </xf>
    <xf numFmtId="0" fontId="36" fillId="2" borderId="33" xfId="0" applyFont="1" applyFill="1" applyBorder="1" applyAlignment="1" applyProtection="1">
      <alignment horizontal="left" vertical="center" wrapText="1"/>
      <protection locked="0"/>
    </xf>
    <xf numFmtId="0" fontId="38" fillId="2" borderId="12" xfId="0" applyFont="1" applyFill="1" applyBorder="1" applyAlignment="1" applyProtection="1">
      <alignment horizontal="center" vertical="center"/>
      <protection locked="0"/>
    </xf>
    <xf numFmtId="0" fontId="45" fillId="2" borderId="29" xfId="0"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0" fontId="36" fillId="2" borderId="33" xfId="0" applyFont="1" applyFill="1" applyBorder="1" applyAlignment="1" applyProtection="1">
      <alignment horizontal="center" vertical="center" wrapText="1"/>
      <protection locked="0"/>
    </xf>
    <xf numFmtId="0" fontId="36" fillId="2" borderId="41" xfId="0" applyFont="1" applyFill="1" applyBorder="1" applyAlignment="1" applyProtection="1">
      <alignment horizontal="center" vertical="center" wrapText="1"/>
      <protection locked="0"/>
    </xf>
    <xf numFmtId="2" fontId="42" fillId="2" borderId="52" xfId="0" applyNumberFormat="1" applyFont="1" applyFill="1" applyBorder="1" applyAlignment="1" applyProtection="1">
      <alignment horizontal="center" vertical="center"/>
      <protection locked="0"/>
    </xf>
    <xf numFmtId="2" fontId="42" fillId="2" borderId="54" xfId="0" applyNumberFormat="1" applyFont="1" applyFill="1" applyBorder="1" applyAlignment="1" applyProtection="1">
      <alignment horizontal="center" vertical="center"/>
      <protection locked="0"/>
    </xf>
    <xf numFmtId="1" fontId="61" fillId="4" borderId="52" xfId="0" applyNumberFormat="1" applyFont="1" applyFill="1" applyBorder="1" applyAlignment="1" applyProtection="1">
      <alignment horizontal="center" vertical="center" wrapText="1"/>
      <protection locked="0"/>
    </xf>
    <xf numFmtId="0" fontId="38" fillId="2" borderId="12" xfId="0" applyFont="1" applyFill="1" applyBorder="1" applyAlignment="1" applyProtection="1">
      <alignment horizontal="center" vertical="center" wrapText="1"/>
      <protection locked="0"/>
    </xf>
    <xf numFmtId="0" fontId="42" fillId="2" borderId="0" xfId="0" applyFont="1" applyFill="1" applyAlignment="1" applyProtection="1">
      <alignment horizontal="left" vertical="top" wrapText="1"/>
      <protection locked="0"/>
    </xf>
    <xf numFmtId="2" fontId="7" fillId="5" borderId="17" xfId="0" applyNumberFormat="1" applyFont="1"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4" borderId="13"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2" fontId="7" fillId="5" borderId="44" xfId="0" applyNumberFormat="1" applyFont="1" applyFill="1" applyBorder="1" applyAlignment="1" applyProtection="1">
      <alignment horizontal="center" vertical="center"/>
      <protection locked="0"/>
    </xf>
    <xf numFmtId="1" fontId="42" fillId="2" borderId="52" xfId="0" applyNumberFormat="1" applyFont="1" applyFill="1" applyBorder="1" applyAlignment="1" applyProtection="1">
      <alignment horizontal="center" vertical="center"/>
      <protection locked="0"/>
    </xf>
    <xf numFmtId="1" fontId="42" fillId="2" borderId="54" xfId="0" applyNumberFormat="1" applyFont="1" applyFill="1" applyBorder="1" applyAlignment="1" applyProtection="1">
      <alignment horizontal="center" vertical="center"/>
      <protection locked="0"/>
    </xf>
    <xf numFmtId="0" fontId="59" fillId="2" borderId="22" xfId="0" applyFont="1" applyFill="1" applyBorder="1" applyAlignment="1" applyProtection="1">
      <alignment horizontal="left" vertical="top" wrapText="1"/>
      <protection locked="0"/>
    </xf>
    <xf numFmtId="0" fontId="59" fillId="2" borderId="0" xfId="0" applyFont="1" applyFill="1" applyAlignment="1" applyProtection="1">
      <alignment horizontal="left" vertical="top" wrapText="1"/>
      <protection locked="0"/>
    </xf>
    <xf numFmtId="10" fontId="25" fillId="2" borderId="12" xfId="2" applyNumberFormat="1"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wrapText="1"/>
      <protection locked="0"/>
    </xf>
    <xf numFmtId="0" fontId="46" fillId="2" borderId="12" xfId="0" applyFont="1" applyFill="1" applyBorder="1" applyAlignment="1" applyProtection="1">
      <alignment horizontal="center" vertical="center" wrapText="1"/>
      <protection locked="0"/>
    </xf>
    <xf numFmtId="4" fontId="0" fillId="5" borderId="18" xfId="0" applyNumberFormat="1" applyFill="1" applyBorder="1" applyAlignment="1" applyProtection="1">
      <alignment horizontal="center" vertical="center"/>
      <protection locked="0"/>
    </xf>
    <xf numFmtId="4" fontId="0" fillId="5" borderId="17" xfId="0" applyNumberFormat="1" applyFill="1" applyBorder="1" applyAlignment="1" applyProtection="1">
      <alignment horizontal="center" vertical="center"/>
      <protection locked="0"/>
    </xf>
    <xf numFmtId="0" fontId="50" fillId="2" borderId="26" xfId="0"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wrapText="1"/>
      <protection locked="0"/>
    </xf>
    <xf numFmtId="4" fontId="0" fillId="5" borderId="12" xfId="0" applyNumberFormat="1" applyFill="1" applyBorder="1" applyAlignment="1" applyProtection="1">
      <alignment horizontal="center" vertical="center"/>
      <protection locked="0"/>
    </xf>
    <xf numFmtId="2" fontId="36" fillId="5" borderId="12" xfId="0" applyNumberFormat="1" applyFont="1" applyFill="1" applyBorder="1" applyAlignment="1" applyProtection="1">
      <alignment horizontal="center" vertical="center"/>
      <protection locked="0"/>
    </xf>
    <xf numFmtId="0" fontId="2" fillId="9" borderId="12" xfId="0" applyFont="1" applyFill="1" applyBorder="1" applyAlignment="1" applyProtection="1">
      <alignment horizontal="center" vertical="center" wrapText="1"/>
      <protection locked="0"/>
    </xf>
    <xf numFmtId="3" fontId="0" fillId="5" borderId="12" xfId="0" applyNumberFormat="1" applyFill="1" applyBorder="1" applyAlignment="1" applyProtection="1">
      <alignment horizontal="center" vertical="center"/>
      <protection locked="0"/>
    </xf>
    <xf numFmtId="0" fontId="8" fillId="3" borderId="12" xfId="0" applyFont="1" applyFill="1" applyBorder="1" applyAlignment="1" applyProtection="1">
      <alignment horizontal="center" vertical="center" wrapText="1"/>
      <protection locked="0"/>
    </xf>
    <xf numFmtId="0" fontId="50" fillId="2" borderId="18" xfId="0" applyFont="1" applyFill="1" applyBorder="1" applyAlignment="1" applyProtection="1">
      <alignment horizontal="center" vertical="center" wrapText="1"/>
      <protection locked="0"/>
    </xf>
    <xf numFmtId="0" fontId="50" fillId="2" borderId="13" xfId="0" applyFont="1" applyFill="1" applyBorder="1" applyAlignment="1" applyProtection="1">
      <alignment horizontal="center" vertical="center" wrapText="1"/>
      <protection locked="0"/>
    </xf>
    <xf numFmtId="0" fontId="50" fillId="2" borderId="17" xfId="0" applyFont="1" applyFill="1" applyBorder="1" applyAlignment="1" applyProtection="1">
      <alignment horizontal="center" vertical="center" wrapText="1"/>
      <protection locked="0"/>
    </xf>
    <xf numFmtId="0" fontId="51" fillId="2" borderId="18" xfId="0" applyFont="1" applyFill="1" applyBorder="1" applyAlignment="1" applyProtection="1">
      <alignment horizontal="center" vertical="center" wrapText="1"/>
      <protection locked="0"/>
    </xf>
    <xf numFmtId="0" fontId="51" fillId="2" borderId="13" xfId="0" applyFont="1" applyFill="1" applyBorder="1" applyAlignment="1" applyProtection="1">
      <alignment horizontal="center" vertical="center" wrapText="1"/>
      <protection locked="0"/>
    </xf>
    <xf numFmtId="0" fontId="51" fillId="2" borderId="17" xfId="0" applyFont="1" applyFill="1" applyBorder="1" applyAlignment="1" applyProtection="1">
      <alignment horizontal="center" vertical="center" wrapText="1"/>
      <protection locked="0"/>
    </xf>
    <xf numFmtId="2" fontId="25" fillId="5" borderId="12" xfId="0" applyNumberFormat="1" applyFont="1" applyFill="1" applyBorder="1" applyAlignment="1" applyProtection="1">
      <alignment horizontal="center" vertical="center"/>
      <protection locked="0"/>
    </xf>
    <xf numFmtId="2" fontId="25" fillId="5" borderId="18" xfId="0" applyNumberFormat="1" applyFont="1" applyFill="1" applyBorder="1" applyAlignment="1" applyProtection="1">
      <alignment horizontal="center" vertical="center"/>
      <protection locked="0"/>
    </xf>
    <xf numFmtId="2" fontId="25" fillId="2" borderId="12" xfId="0" applyNumberFormat="1" applyFont="1" applyFill="1" applyBorder="1" applyAlignment="1" applyProtection="1">
      <alignment horizontal="center" vertical="center"/>
      <protection locked="0"/>
    </xf>
    <xf numFmtId="2" fontId="36" fillId="2" borderId="12" xfId="0" applyNumberFormat="1" applyFont="1" applyFill="1" applyBorder="1" applyAlignment="1" applyProtection="1">
      <alignment horizontal="center" vertical="center"/>
      <protection locked="0"/>
    </xf>
    <xf numFmtId="2" fontId="36" fillId="4" borderId="12" xfId="0" applyNumberFormat="1"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wrapText="1"/>
      <protection locked="0"/>
    </xf>
    <xf numFmtId="0" fontId="38" fillId="2" borderId="16" xfId="0" applyFont="1" applyFill="1" applyBorder="1" applyAlignment="1" applyProtection="1">
      <alignment horizontal="center" vertical="center" wrapText="1"/>
      <protection locked="0"/>
    </xf>
    <xf numFmtId="0" fontId="38" fillId="2" borderId="20" xfId="0" applyFont="1" applyFill="1" applyBorder="1" applyAlignment="1" applyProtection="1">
      <alignment horizontal="center" vertical="center" wrapText="1"/>
      <protection locked="0"/>
    </xf>
    <xf numFmtId="0" fontId="38" fillId="2" borderId="22" xfId="0" applyFont="1" applyFill="1" applyBorder="1" applyAlignment="1" applyProtection="1">
      <alignment horizontal="center" vertical="center" wrapText="1"/>
      <protection locked="0"/>
    </xf>
    <xf numFmtId="0" fontId="38" fillId="2" borderId="32" xfId="0" applyFont="1" applyFill="1" applyBorder="1" applyAlignment="1" applyProtection="1">
      <alignment horizontal="center" vertical="center" wrapText="1"/>
      <protection locked="0"/>
    </xf>
    <xf numFmtId="0" fontId="38" fillId="2" borderId="31"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protection locked="0"/>
    </xf>
    <xf numFmtId="0" fontId="38" fillId="2" borderId="38" xfId="0" applyFont="1" applyFill="1" applyBorder="1" applyAlignment="1" applyProtection="1">
      <alignment horizontal="center" vertical="center" wrapText="1"/>
      <protection locked="0"/>
    </xf>
    <xf numFmtId="0" fontId="36" fillId="5" borderId="12" xfId="0" applyFont="1" applyFill="1" applyBorder="1" applyAlignment="1" applyProtection="1">
      <alignment horizontal="center" vertical="center"/>
      <protection locked="0"/>
    </xf>
    <xf numFmtId="2" fontId="36" fillId="5" borderId="18" xfId="0" applyNumberFormat="1" applyFont="1" applyFill="1" applyBorder="1" applyAlignment="1" applyProtection="1">
      <alignment horizontal="center" vertical="center"/>
      <protection locked="0"/>
    </xf>
    <xf numFmtId="2" fontId="36" fillId="5" borderId="13" xfId="0" applyNumberFormat="1" applyFont="1" applyFill="1" applyBorder="1" applyAlignment="1" applyProtection="1">
      <alignment horizontal="center" vertical="center"/>
      <protection locked="0"/>
    </xf>
    <xf numFmtId="2" fontId="36" fillId="5" borderId="17" xfId="0" applyNumberFormat="1" applyFont="1" applyFill="1" applyBorder="1" applyAlignment="1" applyProtection="1">
      <alignment horizontal="center" vertical="center"/>
      <protection locked="0"/>
    </xf>
    <xf numFmtId="0" fontId="19" fillId="10" borderId="18" xfId="0" applyFont="1" applyFill="1" applyBorder="1" applyAlignment="1" applyProtection="1">
      <alignment horizontal="center" vertical="center" wrapText="1"/>
      <protection locked="0"/>
    </xf>
    <xf numFmtId="0" fontId="19" fillId="10" borderId="17" xfId="0" applyFont="1" applyFill="1" applyBorder="1" applyAlignment="1" applyProtection="1">
      <alignment horizontal="center" vertical="center" wrapText="1"/>
      <protection locked="0"/>
    </xf>
    <xf numFmtId="0" fontId="51" fillId="2" borderId="18" xfId="0" applyFont="1" applyFill="1" applyBorder="1" applyAlignment="1" applyProtection="1">
      <alignment horizontal="center" vertical="top" wrapText="1"/>
      <protection locked="0"/>
    </xf>
    <xf numFmtId="0" fontId="51" fillId="2" borderId="13" xfId="0" applyFont="1" applyFill="1" applyBorder="1" applyAlignment="1" applyProtection="1">
      <alignment horizontal="center" vertical="top" wrapText="1"/>
      <protection locked="0"/>
    </xf>
    <xf numFmtId="0" fontId="51" fillId="2" borderId="17" xfId="0" applyFont="1" applyFill="1" applyBorder="1" applyAlignment="1" applyProtection="1">
      <alignment horizontal="center" vertical="top" wrapText="1"/>
      <protection locked="0"/>
    </xf>
    <xf numFmtId="0" fontId="93" fillId="4" borderId="54" xfId="0" applyFont="1" applyFill="1" applyBorder="1" applyAlignment="1" applyProtection="1">
      <alignment horizontal="center" vertical="center" wrapText="1"/>
      <protection locked="0"/>
    </xf>
    <xf numFmtId="0" fontId="93" fillId="4" borderId="59" xfId="0" applyFont="1" applyFill="1" applyBorder="1" applyAlignment="1" applyProtection="1">
      <alignment horizontal="center" vertical="center" wrapText="1"/>
      <protection locked="0"/>
    </xf>
    <xf numFmtId="0" fontId="93" fillId="4" borderId="60" xfId="0" applyFont="1" applyFill="1" applyBorder="1" applyAlignment="1" applyProtection="1">
      <alignment horizontal="center" vertical="center" wrapText="1"/>
      <protection locked="0"/>
    </xf>
    <xf numFmtId="0" fontId="93" fillId="10" borderId="52" xfId="0" applyFont="1" applyFill="1" applyBorder="1" applyAlignment="1" applyProtection="1">
      <alignment horizontal="left" vertical="center" wrapText="1"/>
      <protection locked="0"/>
    </xf>
    <xf numFmtId="0" fontId="94" fillId="4" borderId="52" xfId="0" applyFont="1" applyFill="1" applyBorder="1" applyAlignment="1" applyProtection="1">
      <alignment horizontal="center" vertical="center"/>
      <protection locked="0"/>
    </xf>
    <xf numFmtId="0" fontId="93" fillId="0" borderId="52" xfId="0" applyFont="1" applyBorder="1" applyAlignment="1" applyProtection="1">
      <alignment horizontal="center" vertical="center" wrapText="1"/>
      <protection locked="0"/>
    </xf>
    <xf numFmtId="0" fontId="93" fillId="0" borderId="52" xfId="0" applyFont="1" applyBorder="1" applyAlignment="1" applyProtection="1">
      <alignment horizontal="left" vertical="center" wrapText="1"/>
      <protection locked="0"/>
    </xf>
    <xf numFmtId="0" fontId="93" fillId="2" borderId="115" xfId="0" applyFont="1" applyFill="1" applyBorder="1" applyAlignment="1" applyProtection="1">
      <alignment horizontal="left" vertical="center" wrapText="1"/>
      <protection locked="0"/>
    </xf>
    <xf numFmtId="0" fontId="93" fillId="2" borderId="59" xfId="0" applyFont="1" applyFill="1" applyBorder="1" applyAlignment="1" applyProtection="1">
      <alignment horizontal="left" vertical="center" wrapText="1"/>
      <protection locked="0"/>
    </xf>
    <xf numFmtId="0" fontId="93" fillId="10" borderId="59" xfId="0" applyFont="1" applyFill="1" applyBorder="1" applyAlignment="1" applyProtection="1">
      <alignment horizontal="left" vertical="center" wrapText="1"/>
      <protection locked="0"/>
    </xf>
    <xf numFmtId="49" fontId="93" fillId="2" borderId="54" xfId="0" applyNumberFormat="1" applyFont="1" applyFill="1" applyBorder="1" applyAlignment="1" applyProtection="1">
      <alignment horizontal="left" vertical="top" wrapText="1"/>
      <protection locked="0"/>
    </xf>
    <xf numFmtId="49" fontId="93" fillId="2" borderId="59" xfId="0" applyNumberFormat="1" applyFont="1" applyFill="1" applyBorder="1" applyAlignment="1" applyProtection="1">
      <alignment horizontal="left" vertical="top" wrapText="1"/>
      <protection locked="0"/>
    </xf>
    <xf numFmtId="49" fontId="93" fillId="2" borderId="60" xfId="0" applyNumberFormat="1" applyFont="1" applyFill="1" applyBorder="1" applyAlignment="1" applyProtection="1">
      <alignment horizontal="left" vertical="top" wrapText="1"/>
      <protection locked="0"/>
    </xf>
    <xf numFmtId="0" fontId="94" fillId="0" borderId="58" xfId="0" applyFont="1" applyBorder="1" applyAlignment="1" applyProtection="1">
      <alignment horizontal="center" vertical="center"/>
      <protection locked="0"/>
    </xf>
    <xf numFmtId="49" fontId="93" fillId="0" borderId="52" xfId="0" applyNumberFormat="1" applyFont="1" applyBorder="1" applyAlignment="1" applyProtection="1">
      <alignment horizontal="left" vertical="center"/>
      <protection locked="0"/>
    </xf>
    <xf numFmtId="0" fontId="93" fillId="0" borderId="52" xfId="0" applyFont="1" applyBorder="1" applyAlignment="1" applyProtection="1">
      <alignment horizontal="left" vertical="center"/>
      <protection locked="0"/>
    </xf>
    <xf numFmtId="49" fontId="93" fillId="0" borderId="52" xfId="0" applyNumberFormat="1" applyFont="1" applyBorder="1" applyAlignment="1" applyProtection="1">
      <alignment horizontal="center" vertical="center"/>
      <protection locked="0"/>
    </xf>
    <xf numFmtId="0" fontId="93" fillId="0" borderId="52" xfId="0" applyFont="1" applyBorder="1" applyAlignment="1" applyProtection="1">
      <alignment horizontal="center" vertical="center"/>
      <protection locked="0"/>
    </xf>
    <xf numFmtId="0" fontId="96" fillId="4" borderId="52" xfId="0" applyFont="1" applyFill="1" applyBorder="1" applyAlignment="1" applyProtection="1">
      <alignment horizontal="center" vertical="center" wrapText="1"/>
      <protection locked="0"/>
    </xf>
    <xf numFmtId="0" fontId="95" fillId="0" borderId="52" xfId="0" applyFont="1" applyBorder="1" applyAlignment="1" applyProtection="1">
      <alignment horizontal="center" vertical="center"/>
      <protection locked="0"/>
    </xf>
    <xf numFmtId="0" fontId="91" fillId="2" borderId="66" xfId="0" applyFont="1" applyFill="1" applyBorder="1" applyAlignment="1" applyProtection="1">
      <alignment horizontal="center"/>
      <protection locked="0"/>
    </xf>
    <xf numFmtId="0" fontId="93" fillId="4" borderId="52" xfId="0" applyFont="1" applyFill="1" applyBorder="1" applyAlignment="1" applyProtection="1">
      <alignment horizontal="center" vertical="center"/>
      <protection locked="0"/>
    </xf>
    <xf numFmtId="0" fontId="93" fillId="4" borderId="61" xfId="0" applyFont="1" applyFill="1" applyBorder="1" applyAlignment="1" applyProtection="1">
      <alignment horizontal="center" vertical="center"/>
      <protection locked="0"/>
    </xf>
    <xf numFmtId="0" fontId="93" fillId="2" borderId="52" xfId="0" applyFont="1" applyFill="1" applyBorder="1" applyAlignment="1" applyProtection="1">
      <alignment horizontal="left" vertical="center" wrapText="1"/>
      <protection locked="0"/>
    </xf>
    <xf numFmtId="0" fontId="93" fillId="2" borderId="52" xfId="0" applyFont="1" applyFill="1" applyBorder="1" applyAlignment="1" applyProtection="1">
      <alignment horizontal="left" vertical="center"/>
      <protection locked="0"/>
    </xf>
    <xf numFmtId="14" fontId="94" fillId="2" borderId="112" xfId="0" applyNumberFormat="1" applyFont="1" applyFill="1" applyBorder="1" applyAlignment="1" applyProtection="1">
      <alignment horizontal="right" vertical="center"/>
      <protection locked="0"/>
    </xf>
    <xf numFmtId="0" fontId="93" fillId="2" borderId="52" xfId="0" applyFont="1" applyFill="1" applyBorder="1" applyAlignment="1" applyProtection="1">
      <alignment horizontal="center" vertical="center"/>
      <protection locked="0"/>
    </xf>
    <xf numFmtId="14" fontId="93" fillId="2" borderId="53" xfId="0" applyNumberFormat="1" applyFont="1" applyFill="1" applyBorder="1" applyAlignment="1" applyProtection="1">
      <alignment horizontal="center" vertical="center"/>
      <protection locked="0"/>
    </xf>
    <xf numFmtId="0" fontId="93" fillId="4" borderId="52" xfId="0" applyFont="1" applyFill="1" applyBorder="1" applyAlignment="1" applyProtection="1">
      <alignment horizontal="center"/>
      <protection locked="0"/>
    </xf>
    <xf numFmtId="0" fontId="94" fillId="2" borderId="52" xfId="0" applyFont="1" applyFill="1" applyBorder="1" applyAlignment="1" applyProtection="1">
      <alignment horizontal="center" vertical="center"/>
      <protection locked="0"/>
    </xf>
    <xf numFmtId="0" fontId="93" fillId="0" borderId="52" xfId="0" applyFont="1" applyBorder="1" applyAlignment="1" applyProtection="1">
      <alignment horizontal="left" vertical="top" wrapText="1"/>
      <protection locked="0"/>
    </xf>
    <xf numFmtId="0" fontId="94" fillId="4" borderId="54" xfId="0" applyFont="1" applyFill="1" applyBorder="1" applyAlignment="1" applyProtection="1">
      <alignment horizontal="center" vertical="center"/>
      <protection locked="0"/>
    </xf>
    <xf numFmtId="0" fontId="94" fillId="4" borderId="59" xfId="0" applyFont="1" applyFill="1" applyBorder="1" applyAlignment="1" applyProtection="1">
      <alignment horizontal="center" vertical="center"/>
      <protection locked="0"/>
    </xf>
    <xf numFmtId="0" fontId="94" fillId="4" borderId="60" xfId="0" applyFont="1" applyFill="1" applyBorder="1" applyAlignment="1" applyProtection="1">
      <alignment horizontal="center" vertical="center"/>
      <protection locked="0"/>
    </xf>
    <xf numFmtId="49" fontId="93" fillId="0" borderId="61" xfId="0" applyNumberFormat="1" applyFont="1" applyBorder="1" applyAlignment="1" applyProtection="1">
      <alignment horizontal="center" vertical="center"/>
      <protection locked="0"/>
    </xf>
    <xf numFmtId="0" fontId="93" fillId="0" borderId="61" xfId="0" applyFont="1" applyBorder="1" applyAlignment="1" applyProtection="1">
      <alignment horizontal="center" vertical="center"/>
      <protection locked="0"/>
    </xf>
    <xf numFmtId="0" fontId="95" fillId="0" borderId="52" xfId="0" applyFont="1" applyBorder="1" applyAlignment="1" applyProtection="1">
      <alignment horizontal="left" vertical="center"/>
      <protection locked="0"/>
    </xf>
    <xf numFmtId="0" fontId="93" fillId="2" borderId="54" xfId="0" applyFont="1" applyFill="1" applyBorder="1" applyAlignment="1" applyProtection="1">
      <alignment horizontal="left" vertical="center" wrapText="1"/>
      <protection locked="0"/>
    </xf>
    <xf numFmtId="0" fontId="93" fillId="2" borderId="60" xfId="0" applyFont="1" applyFill="1" applyBorder="1" applyAlignment="1" applyProtection="1">
      <alignment horizontal="left" vertical="center" wrapText="1"/>
      <protection locked="0"/>
    </xf>
    <xf numFmtId="0" fontId="93" fillId="2" borderId="52" xfId="0" applyFont="1" applyFill="1" applyBorder="1" applyAlignment="1" applyProtection="1">
      <alignment horizontal="left" vertical="top" wrapText="1"/>
      <protection locked="0"/>
    </xf>
    <xf numFmtId="2" fontId="93" fillId="0" borderId="52" xfId="0" applyNumberFormat="1" applyFont="1" applyBorder="1" applyAlignment="1" applyProtection="1">
      <alignment horizontal="center" vertical="center"/>
      <protection locked="0"/>
    </xf>
    <xf numFmtId="0" fontId="94" fillId="4" borderId="61" xfId="0" applyFont="1" applyFill="1" applyBorder="1" applyAlignment="1" applyProtection="1">
      <alignment horizontal="center" vertical="center" wrapText="1"/>
      <protection locked="0"/>
    </xf>
    <xf numFmtId="0" fontId="94" fillId="4" borderId="52" xfId="0" applyFont="1" applyFill="1" applyBorder="1" applyAlignment="1" applyProtection="1">
      <alignment horizontal="center" vertical="center" wrapText="1"/>
      <protection locked="0"/>
    </xf>
    <xf numFmtId="0" fontId="93" fillId="2" borderId="52" xfId="0" applyFont="1" applyFill="1" applyBorder="1" applyAlignment="1" applyProtection="1">
      <alignment horizontal="center" vertical="center" wrapText="1"/>
      <protection locked="0"/>
    </xf>
    <xf numFmtId="0" fontId="93" fillId="2" borderId="54" xfId="0" applyFont="1" applyFill="1" applyBorder="1" applyAlignment="1" applyProtection="1">
      <alignment horizontal="left" vertical="top" wrapText="1"/>
      <protection locked="0"/>
    </xf>
    <xf numFmtId="0" fontId="93" fillId="2" borderId="59" xfId="0" applyFont="1" applyFill="1" applyBorder="1" applyAlignment="1" applyProtection="1">
      <alignment horizontal="left" vertical="top" wrapText="1"/>
      <protection locked="0"/>
    </xf>
    <xf numFmtId="0" fontId="93" fillId="2" borderId="60" xfId="0" applyFont="1" applyFill="1" applyBorder="1" applyAlignment="1" applyProtection="1">
      <alignment horizontal="left" vertical="top" wrapText="1"/>
      <protection locked="0"/>
    </xf>
    <xf numFmtId="0" fontId="93" fillId="4" borderId="52" xfId="0" applyFont="1" applyFill="1" applyBorder="1" applyAlignment="1" applyProtection="1">
      <alignment horizontal="center" vertical="center" wrapText="1"/>
      <protection locked="0"/>
    </xf>
    <xf numFmtId="0" fontId="93" fillId="2" borderId="67" xfId="0" applyFont="1" applyFill="1" applyBorder="1" applyAlignment="1" applyProtection="1">
      <alignment horizontal="left" vertical="center" wrapText="1"/>
      <protection locked="0"/>
    </xf>
    <xf numFmtId="0" fontId="93" fillId="2" borderId="58" xfId="0" applyFont="1" applyFill="1" applyBorder="1" applyAlignment="1" applyProtection="1">
      <alignment horizontal="left" vertical="center" wrapText="1"/>
      <protection locked="0"/>
    </xf>
    <xf numFmtId="0" fontId="93" fillId="2" borderId="0" xfId="0" applyFont="1" applyFill="1" applyAlignment="1" applyProtection="1">
      <alignment horizontal="right" vertical="center"/>
      <protection locked="0"/>
    </xf>
    <xf numFmtId="0" fontId="94" fillId="2" borderId="0" xfId="0" applyFont="1" applyFill="1" applyAlignment="1" applyProtection="1">
      <alignment horizontal="left" vertical="center"/>
      <protection locked="0"/>
    </xf>
    <xf numFmtId="0" fontId="94" fillId="2" borderId="52" xfId="0" applyFont="1" applyFill="1" applyBorder="1" applyAlignment="1" applyProtection="1">
      <alignment horizontal="left" vertical="center"/>
      <protection locked="0"/>
    </xf>
    <xf numFmtId="0" fontId="94" fillId="2" borderId="0" xfId="0" applyFont="1" applyFill="1" applyAlignment="1" applyProtection="1">
      <alignment horizontal="left"/>
      <protection locked="0"/>
    </xf>
    <xf numFmtId="0" fontId="93" fillId="24" borderId="59" xfId="0" applyFont="1" applyFill="1" applyBorder="1" applyAlignment="1" applyProtection="1">
      <alignment horizontal="left" vertical="center" wrapText="1"/>
      <protection locked="0"/>
    </xf>
    <xf numFmtId="0" fontId="93" fillId="5" borderId="52" xfId="0" applyFont="1" applyFill="1" applyBorder="1" applyAlignment="1" applyProtection="1">
      <alignment horizontal="center" vertical="center" wrapText="1"/>
      <protection locked="0"/>
    </xf>
    <xf numFmtId="0" fontId="93" fillId="3" borderId="0" xfId="0" applyFont="1" applyFill="1" applyAlignment="1" applyProtection="1">
      <alignment horizontal="center" vertical="center"/>
      <protection locked="0"/>
    </xf>
    <xf numFmtId="0" fontId="14" fillId="2" borderId="52" xfId="0" applyFont="1" applyFill="1" applyBorder="1" applyAlignment="1" applyProtection="1">
      <alignment horizontal="center" vertical="center" wrapText="1"/>
      <protection locked="0"/>
    </xf>
    <xf numFmtId="0" fontId="14" fillId="4" borderId="52" xfId="0" applyFont="1" applyFill="1" applyBorder="1" applyAlignment="1" applyProtection="1">
      <alignment horizontal="center" vertical="center" wrapText="1"/>
      <protection locked="0"/>
    </xf>
    <xf numFmtId="0" fontId="0" fillId="4" borderId="52" xfId="0" applyFill="1" applyBorder="1" applyAlignment="1" applyProtection="1">
      <alignment horizontal="center" vertical="center" wrapText="1"/>
      <protection locked="0"/>
    </xf>
    <xf numFmtId="0" fontId="0" fillId="2" borderId="52" xfId="0" applyFill="1" applyBorder="1" applyAlignment="1" applyProtection="1">
      <alignment horizontal="center" vertical="center" wrapText="1"/>
      <protection locked="0"/>
    </xf>
    <xf numFmtId="0" fontId="3" fillId="0" borderId="76" xfId="0" applyFont="1" applyBorder="1" applyAlignment="1" applyProtection="1">
      <alignment horizontal="center" vertical="center"/>
      <protection locked="0"/>
    </xf>
    <xf numFmtId="0" fontId="3" fillId="0" borderId="77" xfId="0" applyFont="1" applyBorder="1" applyAlignment="1" applyProtection="1">
      <alignment horizontal="center" vertical="center"/>
      <protection locked="0"/>
    </xf>
    <xf numFmtId="0" fontId="3" fillId="0" borderId="52" xfId="0" applyFont="1" applyBorder="1" applyAlignment="1" applyProtection="1">
      <alignment horizontal="center" vertical="center"/>
      <protection locked="0"/>
    </xf>
    <xf numFmtId="0" fontId="3" fillId="0" borderId="52" xfId="0" applyFont="1" applyBorder="1" applyAlignment="1" applyProtection="1">
      <alignment horizontal="center"/>
      <protection locked="0"/>
    </xf>
    <xf numFmtId="0" fontId="3" fillId="0" borderId="72" xfId="0" applyFont="1" applyBorder="1" applyAlignment="1" applyProtection="1">
      <alignment horizontal="left" vertical="center"/>
      <protection locked="0"/>
    </xf>
    <xf numFmtId="0" fontId="3" fillId="0" borderId="73" xfId="0" applyFont="1" applyBorder="1" applyAlignment="1" applyProtection="1">
      <alignment horizontal="left" vertical="center"/>
      <protection locked="0"/>
    </xf>
    <xf numFmtId="0" fontId="3" fillId="0" borderId="72" xfId="0" applyFont="1" applyBorder="1" applyAlignment="1" applyProtection="1">
      <alignment horizontal="center" vertical="center"/>
      <protection locked="0"/>
    </xf>
    <xf numFmtId="0" fontId="3" fillId="0" borderId="73" xfId="0" applyFont="1" applyBorder="1" applyAlignment="1" applyProtection="1">
      <alignment horizontal="center" vertical="center"/>
      <protection locked="0"/>
    </xf>
    <xf numFmtId="0" fontId="3" fillId="0" borderId="74" xfId="0" applyFont="1" applyBorder="1" applyAlignment="1" applyProtection="1">
      <alignment horizontal="center" vertical="center"/>
      <protection locked="0"/>
    </xf>
    <xf numFmtId="0" fontId="3" fillId="0" borderId="75" xfId="0" applyFont="1" applyBorder="1" applyAlignment="1" applyProtection="1">
      <alignment horizontal="center" vertical="center"/>
      <protection locked="0"/>
    </xf>
    <xf numFmtId="0" fontId="14" fillId="4" borderId="53" xfId="0" applyFont="1" applyFill="1" applyBorder="1" applyAlignment="1" applyProtection="1">
      <alignment horizontal="center" vertical="center" wrapText="1"/>
      <protection locked="0"/>
    </xf>
    <xf numFmtId="0" fontId="3" fillId="0" borderId="72" xfId="0" quotePrefix="1" applyFont="1" applyBorder="1" applyAlignment="1" applyProtection="1">
      <alignment horizontal="center" vertical="center"/>
      <protection locked="0"/>
    </xf>
    <xf numFmtId="0" fontId="0" fillId="0" borderId="54" xfId="0" applyBorder="1" applyAlignment="1" applyProtection="1">
      <alignment horizontal="center"/>
      <protection locked="0"/>
    </xf>
    <xf numFmtId="0" fontId="0" fillId="0" borderId="60" xfId="0" applyBorder="1" applyAlignment="1" applyProtection="1">
      <alignment horizontal="center"/>
      <protection locked="0"/>
    </xf>
    <xf numFmtId="0" fontId="3" fillId="2" borderId="52" xfId="0" applyFont="1" applyFill="1" applyBorder="1" applyAlignment="1" applyProtection="1">
      <alignment horizontal="center"/>
      <protection locked="0"/>
    </xf>
    <xf numFmtId="0" fontId="14" fillId="4" borderId="61" xfId="0" applyFont="1" applyFill="1" applyBorder="1" applyAlignment="1" applyProtection="1">
      <alignment horizontal="center" vertical="center" wrapText="1"/>
      <protection locked="0"/>
    </xf>
    <xf numFmtId="0" fontId="0" fillId="0" borderId="52" xfId="0" applyBorder="1" applyAlignment="1" applyProtection="1">
      <alignment horizontal="center"/>
      <protection locked="0"/>
    </xf>
    <xf numFmtId="0" fontId="0" fillId="0" borderId="21" xfId="0" applyBorder="1" applyAlignment="1" applyProtection="1">
      <alignment horizontal="center" vertical="center"/>
      <protection locked="0"/>
    </xf>
    <xf numFmtId="0" fontId="3" fillId="0" borderId="82" xfId="0" applyFont="1" applyBorder="1" applyAlignment="1" applyProtection="1">
      <alignment horizontal="center"/>
      <protection locked="0"/>
    </xf>
    <xf numFmtId="0" fontId="0" fillId="4" borderId="21" xfId="0" applyFill="1" applyBorder="1" applyAlignment="1" applyProtection="1">
      <alignment horizontal="center" vertical="center"/>
      <protection locked="0"/>
    </xf>
    <xf numFmtId="0" fontId="0" fillId="4" borderId="81" xfId="0" applyFill="1" applyBorder="1" applyAlignment="1" applyProtection="1">
      <alignment horizontal="center" vertical="center"/>
      <protection locked="0"/>
    </xf>
    <xf numFmtId="0" fontId="0" fillId="4" borderId="71" xfId="0" applyFill="1" applyBorder="1" applyAlignment="1" applyProtection="1">
      <alignment horizontal="center" vertical="center"/>
      <protection locked="0"/>
    </xf>
    <xf numFmtId="0" fontId="0" fillId="4" borderId="0" xfId="0" applyFill="1" applyAlignment="1" applyProtection="1">
      <alignment horizontal="center"/>
      <protection locked="0"/>
    </xf>
    <xf numFmtId="0" fontId="0" fillId="4" borderId="81" xfId="0" applyFill="1" applyBorder="1" applyAlignment="1" applyProtection="1">
      <alignment horizontal="center"/>
      <protection locked="0"/>
    </xf>
    <xf numFmtId="0" fontId="0" fillId="4" borderId="71" xfId="0" applyFill="1" applyBorder="1" applyAlignment="1" applyProtection="1">
      <alignment horizontal="center"/>
      <protection locked="0"/>
    </xf>
    <xf numFmtId="0" fontId="0" fillId="2" borderId="81" xfId="0" applyFill="1" applyBorder="1" applyAlignment="1" applyProtection="1">
      <alignment horizontal="center"/>
      <protection locked="0"/>
    </xf>
    <xf numFmtId="0" fontId="0" fillId="2" borderId="71" xfId="0" applyFill="1" applyBorder="1" applyAlignment="1" applyProtection="1">
      <alignment horizontal="center"/>
      <protection locked="0"/>
    </xf>
    <xf numFmtId="165" fontId="0" fillId="20" borderId="21" xfId="0" applyNumberFormat="1" applyFill="1" applyBorder="1" applyAlignment="1" applyProtection="1">
      <alignment horizontal="center" vertical="center"/>
      <protection locked="0"/>
    </xf>
    <xf numFmtId="0" fontId="0" fillId="20" borderId="21" xfId="0" applyFill="1" applyBorder="1" applyAlignment="1" applyProtection="1">
      <alignment horizontal="center" vertical="center"/>
      <protection locked="0"/>
    </xf>
    <xf numFmtId="165" fontId="0" fillId="0" borderId="21" xfId="0" applyNumberFormat="1" applyBorder="1" applyAlignment="1" applyProtection="1">
      <alignment horizontal="center" vertical="center"/>
      <protection locked="0"/>
    </xf>
  </cellXfs>
  <cellStyles count="11">
    <cellStyle name="Hiperlink" xfId="6" builtinId="8"/>
    <cellStyle name="Normal" xfId="0" builtinId="0"/>
    <cellStyle name="Porcentagem" xfId="2" builtinId="5"/>
    <cellStyle name="Vírgula 2" xfId="1" xr:uid="{00000000-0005-0000-0000-00002F000000}"/>
    <cellStyle name="Vírgula 2 2" xfId="3" xr:uid="{A5BF1B4A-1637-4F58-AEC1-A88E2C35B006}"/>
    <cellStyle name="Vírgula 2 2 2" xfId="5" xr:uid="{D36A8527-49D1-48C4-A55F-6BA896A3DF2B}"/>
    <cellStyle name="Vírgula 2 2 2 2" xfId="10" xr:uid="{6F858EBB-660C-4BD0-B38E-5F56764FD406}"/>
    <cellStyle name="Vírgula 2 2 3" xfId="8" xr:uid="{5D2FF091-B57B-45B1-B8E1-1E80FB71B6D2}"/>
    <cellStyle name="Vírgula 2 3" xfId="4" xr:uid="{6D3607ED-2F5E-4421-B9B0-FF670EF20E98}"/>
    <cellStyle name="Vírgula 2 3 2" xfId="9" xr:uid="{92F9D517-2642-43FD-BA39-E0E9CF3BCBF8}"/>
    <cellStyle name="Vírgula 2 4" xfId="7" xr:uid="{605D1164-612A-405E-B2B5-88BD3DE3DCBD}"/>
  </cellStyles>
  <dxfs count="896">
    <dxf>
      <fill>
        <patternFill>
          <bgColor rgb="FFFF7C80"/>
        </patternFill>
      </fill>
    </dxf>
    <dxf>
      <fill>
        <patternFill>
          <bgColor rgb="FFFF7C80"/>
        </patternFill>
      </fill>
    </dxf>
    <dxf>
      <font>
        <b/>
        <i val="0"/>
        <strike val="0"/>
        <u val="none"/>
        <color rgb="FFFF0000"/>
      </font>
    </dxf>
    <dxf>
      <font>
        <color theme="0" tint="-4.9989318521683403E-2"/>
      </font>
      <fill>
        <patternFill>
          <bgColor theme="0" tint="-4.9989318521683403E-2"/>
        </patternFill>
      </fill>
      <border>
        <top/>
        <bottom/>
      </border>
    </dxf>
    <dxf>
      <font>
        <b/>
        <i val="0"/>
        <color theme="7" tint="-0.499984740745262"/>
      </font>
      <fill>
        <patternFill>
          <bgColor rgb="FFFFF6DD"/>
        </patternFill>
      </fill>
    </dxf>
    <dxf>
      <font>
        <b val="0"/>
        <i val="0"/>
        <color theme="9" tint="-0.499984740745262"/>
      </font>
      <fill>
        <patternFill patternType="solid">
          <bgColor theme="0"/>
        </patternFill>
      </fill>
    </dxf>
    <dxf>
      <font>
        <color rgb="FF9C5700"/>
      </font>
      <fill>
        <patternFill>
          <bgColor rgb="FFFFEB9C"/>
        </patternFill>
      </fill>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border>
    </dxf>
    <dxf>
      <font>
        <b val="0"/>
        <i/>
        <color theme="2" tint="-0.499984740745262"/>
      </font>
      <fill>
        <patternFill>
          <bgColor theme="0" tint="-4.9989318521683403E-2"/>
        </patternFill>
      </fill>
    </dxf>
    <dxf>
      <font>
        <color theme="0"/>
      </font>
      <fill>
        <patternFill>
          <bgColor theme="0"/>
        </patternFill>
      </fill>
      <border>
        <left/>
        <right/>
        <top/>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border>
    </dxf>
    <dxf>
      <fill>
        <patternFill>
          <bgColor rgb="FF00B050"/>
        </patternFill>
      </fill>
      <border>
        <left/>
        <right/>
        <top/>
        <bottom/>
        <vertical/>
        <horizontal/>
      </border>
    </dxf>
    <dxf>
      <fill>
        <patternFill>
          <bgColor rgb="FF0070C0"/>
        </patternFill>
      </fill>
      <border>
        <left/>
        <right/>
        <top/>
        <bottom/>
        <vertical/>
        <horizontal/>
      </border>
    </dxf>
    <dxf>
      <fill>
        <patternFill>
          <bgColor rgb="FFFFFF00"/>
        </patternFill>
      </fill>
      <border>
        <left/>
        <right/>
        <top/>
        <bottom/>
        <vertical/>
        <horizontal/>
      </border>
    </dxf>
    <dxf>
      <fill>
        <patternFill>
          <bgColor rgb="FFFF0000"/>
        </patternFill>
      </fill>
      <border>
        <left/>
        <right/>
        <top/>
        <bottom/>
        <vertical/>
        <horizontal/>
      </border>
    </dxf>
    <dxf>
      <fill>
        <patternFill>
          <bgColor theme="5" tint="0.59996337778862885"/>
        </patternFill>
      </fill>
    </dxf>
    <dxf>
      <font>
        <b/>
        <i val="0"/>
        <color rgb="FF00B050"/>
      </font>
    </dxf>
    <dxf>
      <font>
        <b/>
        <i val="0"/>
        <color rgb="FF00B050"/>
      </font>
    </dxf>
    <dxf>
      <font>
        <color theme="0"/>
      </font>
      <fill>
        <patternFill>
          <bgColor theme="0"/>
        </patternFill>
      </fill>
      <border>
        <right/>
        <top/>
        <bottom/>
        <vertical/>
        <horizontal/>
      </border>
    </dxf>
    <dxf>
      <font>
        <b/>
        <i val="0"/>
        <color rgb="FF00B050"/>
      </font>
    </dxf>
    <dxf>
      <fill>
        <patternFill>
          <bgColor theme="5" tint="0.59996337778862885"/>
        </patternFill>
      </fill>
    </dxf>
    <dxf>
      <font>
        <b/>
        <i val="0"/>
        <color rgb="FF00B050"/>
      </font>
    </dxf>
    <dxf>
      <font>
        <color theme="0"/>
      </font>
      <fill>
        <patternFill>
          <bgColor theme="0"/>
        </patternFill>
      </fill>
      <border>
        <left/>
        <right/>
        <bottom/>
        <vertical/>
        <horizontal/>
      </border>
    </dxf>
    <dxf>
      <font>
        <b/>
        <i val="0"/>
        <color rgb="FF00B050"/>
      </font>
    </dxf>
    <dxf>
      <font>
        <b/>
        <i val="0"/>
        <color rgb="FF00B050"/>
      </font>
    </dxf>
    <dxf>
      <fill>
        <patternFill>
          <bgColor theme="5" tint="0.59996337778862885"/>
        </patternFill>
      </fill>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color theme="0"/>
      </font>
      <fill>
        <patternFill>
          <bgColor theme="0"/>
        </patternFill>
      </fill>
      <border>
        <right/>
        <top/>
        <vertical/>
        <horizontal/>
      </border>
    </dxf>
    <dxf>
      <font>
        <color theme="0"/>
      </font>
      <fill>
        <patternFill>
          <bgColor theme="0"/>
        </patternFill>
      </fill>
      <border>
        <right/>
        <bottom/>
        <vertical/>
        <horizontal/>
      </border>
    </dxf>
    <dxf>
      <font>
        <color theme="0"/>
      </font>
      <fill>
        <patternFill>
          <bgColor theme="0"/>
        </patternFill>
      </fill>
      <border>
        <right/>
        <top/>
        <vertical/>
        <horizontal/>
      </border>
    </dxf>
    <dxf>
      <font>
        <color theme="0"/>
      </font>
      <fill>
        <patternFill>
          <bgColor theme="0"/>
        </patternFill>
      </fill>
      <border>
        <right/>
        <top/>
        <bottom/>
      </border>
    </dxf>
    <dxf>
      <font>
        <color theme="0"/>
      </font>
      <fill>
        <patternFill>
          <bgColor theme="0"/>
        </patternFill>
      </fill>
      <border>
        <right/>
        <top/>
        <bottom/>
        <vertical/>
        <horizontal/>
      </border>
    </dxf>
    <dxf>
      <font>
        <color theme="0"/>
      </font>
      <fill>
        <patternFill>
          <bgColor theme="0"/>
        </patternFill>
      </fill>
      <border>
        <right/>
        <top/>
        <bottom/>
        <vertical/>
        <horizontal/>
      </border>
    </dxf>
    <dxf>
      <border>
        <right/>
        <vertical/>
        <horizontal/>
      </border>
    </dxf>
    <dxf>
      <font>
        <b/>
        <i val="0"/>
        <color rgb="FF00B050"/>
      </font>
    </dxf>
    <dxf>
      <font>
        <b/>
        <i val="0"/>
        <color rgb="FF00B050"/>
      </font>
    </dxf>
    <dxf>
      <font>
        <b/>
        <i val="0"/>
        <color rgb="FF00B050"/>
      </font>
      <fill>
        <patternFill patternType="none">
          <bgColor auto="1"/>
        </patternFill>
      </fill>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border>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b/>
        <i val="0"/>
        <color theme="7" tint="0.79998168889431442"/>
      </font>
      <fill>
        <patternFill>
          <bgColor theme="7" tint="-0.24994659260841701"/>
        </patternFill>
      </fill>
    </dxf>
    <dxf>
      <font>
        <b/>
        <i val="0"/>
        <color rgb="FF00B050"/>
      </font>
    </dxf>
    <dxf>
      <font>
        <b/>
        <i val="0"/>
        <color rgb="FF00B050"/>
      </font>
    </dxf>
    <dxf>
      <font>
        <color theme="0"/>
      </font>
      <fill>
        <patternFill>
          <bgColor theme="0"/>
        </patternFill>
      </fill>
      <border>
        <right/>
        <top/>
        <bottom/>
        <vertical/>
        <horizontal/>
      </border>
    </dxf>
    <dxf>
      <font>
        <b/>
        <i val="0"/>
        <color rgb="FF00B050"/>
      </font>
    </dxf>
    <dxf>
      <fill>
        <patternFill>
          <bgColor theme="5" tint="0.59996337778862885"/>
        </patternFill>
      </fill>
    </dxf>
    <dxf>
      <font>
        <b/>
        <i val="0"/>
        <color rgb="FF00B050"/>
      </font>
    </dxf>
    <dxf>
      <font>
        <b/>
        <i val="0"/>
        <color rgb="FF00B050"/>
      </font>
    </dxf>
    <dxf>
      <font>
        <color theme="0"/>
      </font>
      <fill>
        <patternFill>
          <bgColor theme="0"/>
        </patternFill>
      </fill>
      <border>
        <left/>
        <right/>
        <bottom/>
        <vertical/>
        <horizontal/>
      </border>
    </dxf>
    <dxf>
      <font>
        <b/>
        <i val="0"/>
        <color rgb="FF00B050"/>
      </font>
    </dxf>
    <dxf>
      <fill>
        <patternFill>
          <bgColor theme="5" tint="0.59996337778862885"/>
        </patternFill>
      </fill>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color theme="0"/>
      </font>
      <fill>
        <patternFill>
          <bgColor theme="0"/>
        </patternFill>
      </fill>
      <border>
        <right/>
        <top/>
        <vertical/>
        <horizontal/>
      </border>
    </dxf>
    <dxf>
      <font>
        <color theme="0"/>
      </font>
      <fill>
        <patternFill>
          <bgColor theme="0"/>
        </patternFill>
      </fill>
      <border>
        <right/>
        <bottom/>
        <vertical/>
        <horizontal/>
      </border>
    </dxf>
    <dxf>
      <font>
        <color theme="0"/>
      </font>
      <fill>
        <patternFill>
          <bgColor theme="0"/>
        </patternFill>
      </fill>
      <border>
        <right/>
        <top/>
        <vertical/>
        <horizontal/>
      </border>
    </dxf>
    <dxf>
      <font>
        <color theme="0"/>
      </font>
      <fill>
        <patternFill>
          <bgColor theme="0"/>
        </patternFill>
      </fill>
      <border>
        <right/>
        <top/>
        <bottom/>
      </border>
    </dxf>
    <dxf>
      <font>
        <color theme="0"/>
      </font>
      <fill>
        <patternFill>
          <bgColor theme="0"/>
        </patternFill>
      </fill>
      <border>
        <right/>
        <top/>
        <bottom/>
        <vertical/>
        <horizontal/>
      </border>
    </dxf>
    <dxf>
      <font>
        <color theme="0"/>
      </font>
      <fill>
        <patternFill>
          <bgColor theme="0"/>
        </patternFill>
      </fill>
      <border>
        <right/>
        <top/>
        <bottom/>
        <vertical/>
        <horizontal/>
      </border>
    </dxf>
    <dxf>
      <border>
        <right/>
        <vertical/>
        <horizontal/>
      </border>
    </dxf>
    <dxf>
      <font>
        <b/>
        <i val="0"/>
        <color rgb="FF00B050"/>
      </font>
    </dxf>
    <dxf>
      <font>
        <b/>
        <i val="0"/>
        <color rgb="FF00B050"/>
      </font>
    </dxf>
    <dxf>
      <font>
        <b/>
        <i val="0"/>
        <color rgb="FF00B050"/>
      </font>
      <fill>
        <patternFill patternType="none">
          <bgColor auto="1"/>
        </patternFill>
      </fill>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border>
    </dxf>
    <dxf>
      <font>
        <color theme="0"/>
      </font>
      <fill>
        <patternFill>
          <bgColor theme="0"/>
        </patternFill>
      </fill>
      <border>
        <left/>
        <right/>
        <bottom/>
        <vertical/>
        <horizontal/>
      </border>
    </dxf>
    <dxf>
      <font>
        <b/>
        <i val="0"/>
        <color theme="7" tint="0.79998168889431442"/>
      </font>
      <fill>
        <patternFill>
          <bgColor theme="7" tint="-0.2499465926084170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tint="-0.499984740745262"/>
        </patternFill>
      </fill>
    </dxf>
    <dxf>
      <fill>
        <patternFill>
          <bgColor theme="5" tint="0.39994506668294322"/>
        </patternFill>
      </fill>
    </dxf>
    <dxf>
      <fill>
        <patternFill>
          <bgColor theme="7" tint="0.79998168889431442"/>
        </patternFill>
      </fill>
    </dxf>
    <dxf>
      <fill>
        <patternFill>
          <bgColor theme="9" tint="0.79998168889431442"/>
        </patternFill>
      </fill>
    </dxf>
    <dxf>
      <font>
        <b/>
        <i val="0"/>
        <color rgb="FF00B050"/>
      </font>
    </dxf>
    <dxf>
      <fill>
        <patternFill>
          <bgColor theme="9" tint="0.79998168889431442"/>
        </patternFill>
      </fill>
    </dxf>
    <dxf>
      <fill>
        <patternFill>
          <bgColor theme="7" tint="0.79998168889431442"/>
        </patternFill>
      </fill>
    </dxf>
    <dxf>
      <fill>
        <patternFill>
          <bgColor theme="5" tint="0.39994506668294322"/>
        </patternFill>
      </fill>
    </dxf>
    <dxf>
      <font>
        <color theme="0"/>
      </font>
      <fill>
        <patternFill>
          <bgColor theme="0" tint="-0.499984740745262"/>
        </patternFill>
      </fill>
    </dxf>
    <dxf>
      <font>
        <color theme="0"/>
      </font>
      <fill>
        <patternFill>
          <bgColor theme="0"/>
        </patternFill>
      </fill>
      <border>
        <left/>
        <right/>
        <top/>
        <bottom/>
        <vertical/>
        <horizontal/>
      </border>
    </dxf>
    <dxf>
      <font>
        <b/>
        <i val="0"/>
        <color rgb="FF00B050"/>
      </font>
    </dxf>
    <dxf>
      <fill>
        <patternFill>
          <bgColor theme="7" tint="0.79998168889431442"/>
        </patternFill>
      </fill>
    </dxf>
    <dxf>
      <fill>
        <patternFill>
          <bgColor theme="9" tint="0.79998168889431442"/>
        </patternFill>
      </fill>
    </dxf>
    <dxf>
      <fill>
        <patternFill>
          <bgColor theme="5" tint="0.39994506668294322"/>
        </patternFill>
      </fill>
    </dxf>
    <dxf>
      <font>
        <color theme="0"/>
      </font>
      <fill>
        <patternFill>
          <bgColor theme="0" tint="-0.499984740745262"/>
        </patternFill>
      </fill>
    </dxf>
    <dxf>
      <font>
        <color theme="0"/>
      </font>
      <fill>
        <patternFill>
          <bgColor theme="0"/>
        </patternFill>
      </fill>
      <border>
        <right/>
        <top/>
        <bottom/>
        <vertical/>
        <horizontal/>
      </border>
    </dxf>
    <dxf>
      <font>
        <color theme="0"/>
      </font>
    </dxf>
    <dxf>
      <fill>
        <patternFill>
          <bgColor theme="7" tint="0.79998168889431442"/>
        </patternFill>
      </fill>
    </dxf>
    <dxf>
      <font>
        <color theme="0"/>
      </font>
      <fill>
        <patternFill>
          <bgColor theme="0" tint="-0.499984740745262"/>
        </patternFill>
      </fill>
    </dxf>
    <dxf>
      <fill>
        <patternFill>
          <bgColor theme="5" tint="0.39994506668294322"/>
        </patternFill>
      </fill>
    </dxf>
    <dxf>
      <fill>
        <patternFill>
          <bgColor theme="9" tint="0.79998168889431442"/>
        </patternFill>
      </fill>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font>
        <color theme="0"/>
      </font>
      <fill>
        <patternFill>
          <bgColor theme="0" tint="-0.499984740745262"/>
        </patternFill>
      </fill>
    </dxf>
    <dxf>
      <fill>
        <patternFill>
          <bgColor theme="5" tint="0.39994506668294322"/>
        </patternFill>
      </fill>
    </dxf>
    <dxf>
      <fill>
        <patternFill>
          <bgColor theme="7" tint="0.79998168889431442"/>
        </patternFill>
      </fill>
    </dxf>
    <dxf>
      <fill>
        <patternFill>
          <bgColor theme="9" tint="0.79998168889431442"/>
        </patternFill>
      </fill>
    </dxf>
    <dxf>
      <font>
        <color theme="0"/>
      </font>
      <fill>
        <patternFill>
          <bgColor theme="0" tint="-0.499984740745262"/>
        </patternFill>
      </fill>
    </dxf>
    <dxf>
      <fill>
        <patternFill>
          <bgColor theme="5" tint="0.39994506668294322"/>
        </patternFill>
      </fill>
    </dxf>
    <dxf>
      <fill>
        <patternFill>
          <bgColor theme="7" tint="0.79998168889431442"/>
        </patternFill>
      </fill>
    </dxf>
    <dxf>
      <fill>
        <patternFill>
          <bgColor theme="9" tint="0.79998168889431442"/>
        </patternFill>
      </fill>
    </dxf>
    <dxf>
      <border>
        <bottom/>
        <vertical/>
        <horizontal/>
      </border>
    </dxf>
    <dxf>
      <border>
        <bottom/>
        <vertical/>
        <horizontal/>
      </border>
    </dxf>
    <dxf>
      <border>
        <bottom/>
        <vertical/>
        <horizontal/>
      </border>
    </dxf>
    <dxf>
      <font>
        <color theme="0"/>
      </font>
      <fill>
        <patternFill>
          <bgColor theme="0" tint="-0.499984740745262"/>
        </patternFill>
      </fill>
    </dxf>
    <dxf>
      <fill>
        <patternFill>
          <bgColor theme="5" tint="0.39994506668294322"/>
        </patternFill>
      </fill>
    </dxf>
    <dxf>
      <fill>
        <patternFill>
          <bgColor theme="7" tint="0.79998168889431442"/>
        </patternFill>
      </fill>
    </dxf>
    <dxf>
      <fill>
        <patternFill>
          <bgColor theme="9" tint="0.79998168889431442"/>
        </patternFill>
      </fill>
    </dxf>
    <dxf>
      <font>
        <color theme="0"/>
      </font>
      <fill>
        <patternFill>
          <bgColor theme="0"/>
        </patternFill>
      </fill>
      <border>
        <right/>
        <top/>
        <bottom/>
        <vertical/>
        <horizontal/>
      </border>
    </dxf>
    <dxf>
      <fill>
        <patternFill>
          <bgColor theme="9" tint="0.79998168889431442"/>
        </patternFill>
      </fill>
    </dxf>
    <dxf>
      <fill>
        <patternFill>
          <bgColor theme="7" tint="0.79998168889431442"/>
        </patternFill>
      </fill>
    </dxf>
    <dxf>
      <fill>
        <patternFill>
          <bgColor theme="5" tint="0.39994506668294322"/>
        </patternFill>
      </fill>
    </dxf>
    <dxf>
      <font>
        <color theme="0"/>
      </font>
      <fill>
        <patternFill patternType="solid">
          <bgColor theme="0" tint="-0.499984740745262"/>
        </patternFill>
      </fill>
    </dxf>
    <dxf>
      <font>
        <b/>
        <i val="0"/>
        <color theme="7" tint="-0.499984740745262"/>
      </font>
      <fill>
        <patternFill>
          <bgColor theme="7" tint="0.59996337778862885"/>
        </patternFill>
      </fill>
    </dxf>
    <dxf>
      <fill>
        <patternFill>
          <bgColor rgb="FFFF6464"/>
        </patternFill>
      </fill>
    </dxf>
    <dxf>
      <font>
        <b/>
        <i val="0"/>
        <color theme="7" tint="-0.499984740745262"/>
      </font>
      <fill>
        <patternFill>
          <bgColor theme="7" tint="0.59996337778862885"/>
        </patternFill>
      </fill>
    </dxf>
    <dxf>
      <fill>
        <patternFill>
          <bgColor rgb="FFFF6464"/>
        </patternFill>
      </fill>
    </dxf>
    <dxf>
      <font>
        <b/>
        <i val="0"/>
        <color theme="7" tint="-0.499984740745262"/>
      </font>
      <fill>
        <patternFill>
          <bgColor theme="7" tint="0.59996337778862885"/>
        </patternFill>
      </fill>
    </dxf>
    <dxf>
      <fill>
        <patternFill>
          <bgColor rgb="FFFF6464"/>
        </patternFill>
      </fill>
    </dxf>
    <dxf>
      <font>
        <b/>
        <i val="0"/>
        <color rgb="FF00B050"/>
      </font>
    </dxf>
    <dxf>
      <fill>
        <patternFill>
          <bgColor theme="9" tint="0.79998168889431442"/>
        </patternFill>
      </fill>
    </dxf>
    <dxf>
      <fill>
        <patternFill>
          <bgColor theme="7" tint="0.79998168889431442"/>
        </patternFill>
      </fill>
    </dxf>
    <dxf>
      <fill>
        <patternFill>
          <bgColor theme="5" tint="0.39994506668294322"/>
        </patternFill>
      </fill>
    </dxf>
    <dxf>
      <font>
        <color theme="0"/>
      </font>
      <fill>
        <patternFill>
          <bgColor theme="0" tint="-0.499984740745262"/>
        </patternFill>
      </fill>
    </dxf>
    <dxf>
      <font>
        <color theme="0"/>
      </font>
      <fill>
        <patternFill>
          <bgColor theme="0"/>
        </patternFill>
      </fill>
      <border>
        <right/>
        <bottom/>
        <vertical/>
        <horizontal/>
      </border>
    </dxf>
    <dxf>
      <font>
        <color theme="0"/>
      </font>
      <fill>
        <patternFill>
          <bgColor theme="0"/>
        </patternFill>
      </fill>
      <border>
        <right/>
        <vertical/>
        <horizontal/>
      </border>
    </dxf>
    <dxf>
      <font>
        <color theme="0"/>
      </font>
      <fill>
        <patternFill>
          <bgColor theme="0"/>
        </patternFill>
      </fill>
      <border>
        <right/>
        <top/>
        <bottom/>
      </border>
    </dxf>
    <dxf>
      <fill>
        <patternFill>
          <bgColor theme="9" tint="0.79998168889431442"/>
        </patternFill>
      </fill>
    </dxf>
    <dxf>
      <fill>
        <patternFill>
          <bgColor theme="7" tint="0.79998168889431442"/>
        </patternFill>
      </fill>
    </dxf>
    <dxf>
      <fill>
        <patternFill>
          <bgColor theme="5" tint="0.39994506668294322"/>
        </patternFill>
      </fill>
    </dxf>
    <dxf>
      <font>
        <color theme="0"/>
      </font>
      <fill>
        <patternFill>
          <bgColor theme="0" tint="-0.499984740745262"/>
        </patternFill>
      </fill>
    </dxf>
    <dxf>
      <font>
        <b/>
        <i val="0"/>
        <color rgb="FF00B050"/>
      </font>
    </dxf>
    <dxf>
      <font>
        <b/>
        <i val="0"/>
        <color rgb="FF00B050"/>
      </font>
    </dxf>
    <dxf>
      <font>
        <color theme="0"/>
      </font>
    </dxf>
    <dxf>
      <font>
        <color theme="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color theme="0"/>
      </font>
      <fill>
        <patternFill>
          <bgColor theme="0" tint="-0.499984740745262"/>
        </patternFill>
      </fill>
    </dxf>
    <dxf>
      <fill>
        <patternFill>
          <bgColor theme="5" tint="0.39994506668294322"/>
        </patternFill>
      </fill>
    </dxf>
    <dxf>
      <fill>
        <patternFill>
          <bgColor theme="7" tint="0.79998168889431442"/>
        </patternFill>
      </fill>
    </dxf>
    <dxf>
      <fill>
        <patternFill>
          <bgColor theme="9" tint="0.79998168889431442"/>
        </patternFill>
      </fill>
    </dxf>
    <dxf>
      <font>
        <color theme="0"/>
      </font>
      <fill>
        <patternFill>
          <bgColor theme="0" tint="-0.499984740745262"/>
        </patternFill>
      </fill>
    </dxf>
    <dxf>
      <fill>
        <patternFill>
          <bgColor theme="9" tint="0.79998168889431442"/>
        </patternFill>
      </fill>
    </dxf>
    <dxf>
      <fill>
        <patternFill>
          <bgColor theme="7" tint="0.79998168889431442"/>
        </patternFill>
      </fill>
    </dxf>
    <dxf>
      <fill>
        <patternFill>
          <bgColor theme="5" tint="0.39994506668294322"/>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vertical/>
        <horizontal/>
      </border>
    </dxf>
    <dxf>
      <font>
        <color theme="0"/>
      </font>
      <fill>
        <patternFill>
          <bgColor theme="0"/>
        </patternFill>
      </fill>
      <border>
        <left/>
        <right/>
        <vertical/>
        <horizontal/>
      </border>
    </dxf>
    <dxf>
      <font>
        <color theme="0"/>
      </font>
      <fill>
        <patternFill>
          <bgColor theme="0"/>
        </patternFill>
      </fill>
      <border>
        <left/>
        <right/>
        <vertical/>
        <horizontal/>
      </border>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b/>
        <i val="0"/>
        <color theme="7" tint="0.79998168889431442"/>
      </font>
      <fill>
        <patternFill>
          <bgColor theme="7" tint="-0.2499465926084170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5" tint="0.39994506668294322"/>
        </patternFill>
      </fill>
    </dxf>
    <dxf>
      <fill>
        <patternFill>
          <bgColor theme="7" tint="0.79998168889431442"/>
        </patternFill>
      </fill>
    </dxf>
    <dxf>
      <fill>
        <patternFill>
          <bgColor theme="9" tint="0.79998168889431442"/>
        </patternFill>
      </fill>
    </dxf>
    <dxf>
      <font>
        <color theme="0"/>
      </font>
      <fill>
        <patternFill>
          <bgColor theme="0" tint="-0.499984740745262"/>
        </patternFill>
      </fill>
    </dxf>
    <dxf>
      <font>
        <b/>
        <i val="0"/>
        <color rgb="FF00B050"/>
      </font>
    </dxf>
    <dxf>
      <fill>
        <patternFill>
          <bgColor theme="9" tint="0.79998168889431442"/>
        </patternFill>
      </fill>
    </dxf>
    <dxf>
      <font>
        <color theme="0"/>
      </font>
      <fill>
        <patternFill>
          <bgColor theme="0" tint="-0.499984740745262"/>
        </patternFill>
      </fill>
    </dxf>
    <dxf>
      <fill>
        <patternFill>
          <bgColor theme="5" tint="0.39994506668294322"/>
        </patternFill>
      </fill>
    </dxf>
    <dxf>
      <fill>
        <patternFill>
          <bgColor theme="7" tint="0.79998168889431442"/>
        </patternFill>
      </fill>
    </dxf>
    <dxf>
      <font>
        <color theme="0"/>
      </font>
      <fill>
        <patternFill>
          <bgColor theme="0"/>
        </patternFill>
      </fill>
      <border>
        <left/>
        <right/>
        <top/>
        <bottom/>
        <vertical/>
        <horizontal/>
      </border>
    </dxf>
    <dxf>
      <font>
        <b/>
        <i val="0"/>
        <color rgb="FF00B050"/>
      </font>
    </dxf>
    <dxf>
      <font>
        <color theme="0"/>
      </font>
      <fill>
        <patternFill>
          <bgColor theme="0" tint="-0.499984740745262"/>
        </patternFill>
      </fill>
    </dxf>
    <dxf>
      <fill>
        <patternFill>
          <bgColor theme="9" tint="0.79998168889431442"/>
        </patternFill>
      </fill>
    </dxf>
    <dxf>
      <fill>
        <patternFill>
          <bgColor theme="7" tint="0.79998168889431442"/>
        </patternFill>
      </fill>
    </dxf>
    <dxf>
      <fill>
        <patternFill>
          <bgColor theme="5" tint="0.39994506668294322"/>
        </patternFill>
      </fill>
    </dxf>
    <dxf>
      <font>
        <color theme="0"/>
      </font>
      <fill>
        <patternFill>
          <bgColor theme="0"/>
        </patternFill>
      </fill>
      <border>
        <right/>
        <top/>
        <bottom/>
        <vertical/>
        <horizontal/>
      </border>
    </dxf>
    <dxf>
      <font>
        <color theme="0"/>
      </font>
    </dxf>
    <dxf>
      <font>
        <color theme="0"/>
      </font>
      <fill>
        <patternFill>
          <bgColor theme="0" tint="-0.499984740745262"/>
        </patternFill>
      </fill>
    </dxf>
    <dxf>
      <fill>
        <patternFill>
          <bgColor theme="9" tint="0.79998168889431442"/>
        </patternFill>
      </fill>
    </dxf>
    <dxf>
      <fill>
        <patternFill>
          <bgColor theme="7" tint="0.79998168889431442"/>
        </patternFill>
      </fill>
    </dxf>
    <dxf>
      <fill>
        <patternFill>
          <bgColor theme="5" tint="0.39994506668294322"/>
        </patternFill>
      </fill>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fill>
        <patternFill>
          <bgColor theme="9" tint="0.79998168889431442"/>
        </patternFill>
      </fill>
    </dxf>
    <dxf>
      <font>
        <color theme="0"/>
      </font>
      <fill>
        <patternFill>
          <bgColor theme="0" tint="-0.499984740745262"/>
        </patternFill>
      </fill>
    </dxf>
    <dxf>
      <fill>
        <patternFill>
          <bgColor theme="5" tint="0.39994506668294322"/>
        </patternFill>
      </fill>
    </dxf>
    <dxf>
      <fill>
        <patternFill>
          <bgColor theme="7" tint="0.79998168889431442"/>
        </patternFill>
      </fill>
    </dxf>
    <dxf>
      <font>
        <color theme="0"/>
      </font>
      <fill>
        <patternFill>
          <bgColor theme="0" tint="-0.499984740745262"/>
        </patternFill>
      </fill>
    </dxf>
    <dxf>
      <fill>
        <patternFill>
          <bgColor theme="7" tint="0.79998168889431442"/>
        </patternFill>
      </fill>
    </dxf>
    <dxf>
      <fill>
        <patternFill>
          <bgColor theme="9" tint="0.79998168889431442"/>
        </patternFill>
      </fill>
    </dxf>
    <dxf>
      <fill>
        <patternFill>
          <bgColor theme="5" tint="0.39994506668294322"/>
        </patternFill>
      </fill>
    </dxf>
    <dxf>
      <border>
        <bottom/>
        <vertical/>
        <horizontal/>
      </border>
    </dxf>
    <dxf>
      <border>
        <bottom/>
        <vertical/>
        <horizontal/>
      </border>
    </dxf>
    <dxf>
      <border>
        <bottom/>
        <vertical/>
        <horizontal/>
      </border>
    </dxf>
    <dxf>
      <fill>
        <patternFill>
          <bgColor theme="9" tint="0.79998168889431442"/>
        </patternFill>
      </fill>
    </dxf>
    <dxf>
      <font>
        <color theme="0"/>
      </font>
      <fill>
        <patternFill>
          <bgColor theme="0" tint="-0.499984740745262"/>
        </patternFill>
      </fill>
    </dxf>
    <dxf>
      <fill>
        <patternFill>
          <bgColor theme="5" tint="0.39994506668294322"/>
        </patternFill>
      </fill>
    </dxf>
    <dxf>
      <fill>
        <patternFill>
          <bgColor theme="7" tint="0.79998168889431442"/>
        </patternFill>
      </fill>
    </dxf>
    <dxf>
      <font>
        <color theme="0"/>
      </font>
      <fill>
        <patternFill>
          <bgColor theme="0"/>
        </patternFill>
      </fill>
      <border>
        <right/>
        <top/>
        <bottom/>
        <vertical/>
        <horizontal/>
      </border>
    </dxf>
    <dxf>
      <font>
        <color theme="0"/>
      </font>
      <fill>
        <patternFill patternType="solid">
          <bgColor theme="0" tint="-0.499984740745262"/>
        </patternFill>
      </fill>
    </dxf>
    <dxf>
      <fill>
        <patternFill>
          <bgColor theme="5" tint="0.39994506668294322"/>
        </patternFill>
      </fill>
    </dxf>
    <dxf>
      <fill>
        <patternFill>
          <bgColor theme="7" tint="0.79998168889431442"/>
        </patternFill>
      </fill>
    </dxf>
    <dxf>
      <fill>
        <patternFill>
          <bgColor theme="9" tint="0.79998168889431442"/>
        </patternFill>
      </fill>
    </dxf>
    <dxf>
      <fill>
        <patternFill>
          <bgColor rgb="FFFF6464"/>
        </patternFill>
      </fill>
    </dxf>
    <dxf>
      <fill>
        <patternFill>
          <bgColor rgb="FFFF6464"/>
        </patternFill>
      </fill>
    </dxf>
    <dxf>
      <font>
        <b/>
        <i val="0"/>
        <color theme="7" tint="-0.499984740745262"/>
      </font>
      <fill>
        <patternFill>
          <bgColor theme="7" tint="0.59996337778862885"/>
        </patternFill>
      </fill>
    </dxf>
    <dxf>
      <fill>
        <patternFill>
          <bgColor rgb="FFFF6464"/>
        </patternFill>
      </fill>
    </dxf>
    <dxf>
      <font>
        <b/>
        <i val="0"/>
        <color rgb="FF00B050"/>
      </font>
    </dxf>
    <dxf>
      <font>
        <color theme="0"/>
      </font>
      <fill>
        <patternFill>
          <bgColor theme="0" tint="-0.499984740745262"/>
        </patternFill>
      </fill>
    </dxf>
    <dxf>
      <fill>
        <patternFill>
          <bgColor theme="9" tint="0.79998168889431442"/>
        </patternFill>
      </fill>
    </dxf>
    <dxf>
      <fill>
        <patternFill>
          <bgColor theme="7" tint="0.79998168889431442"/>
        </patternFill>
      </fill>
    </dxf>
    <dxf>
      <fill>
        <patternFill>
          <bgColor theme="5" tint="0.39994506668294322"/>
        </patternFill>
      </fill>
    </dxf>
    <dxf>
      <font>
        <color theme="0"/>
      </font>
      <fill>
        <patternFill>
          <bgColor theme="0"/>
        </patternFill>
      </fill>
      <border>
        <right/>
        <bottom/>
        <vertical/>
        <horizontal/>
      </border>
    </dxf>
    <dxf>
      <font>
        <color theme="0"/>
      </font>
      <fill>
        <patternFill>
          <bgColor theme="0"/>
        </patternFill>
      </fill>
      <border>
        <right/>
        <vertical/>
        <horizontal/>
      </border>
    </dxf>
    <dxf>
      <font>
        <color theme="0"/>
      </font>
      <fill>
        <patternFill>
          <bgColor theme="0"/>
        </patternFill>
      </fill>
      <border>
        <right/>
        <top/>
        <bottom/>
      </border>
    </dxf>
    <dxf>
      <fill>
        <patternFill>
          <bgColor theme="5" tint="0.39994506668294322"/>
        </patternFill>
      </fill>
    </dxf>
    <dxf>
      <fill>
        <patternFill>
          <bgColor theme="9" tint="0.79998168889431442"/>
        </patternFill>
      </fill>
    </dxf>
    <dxf>
      <fill>
        <patternFill>
          <bgColor theme="7" tint="0.79998168889431442"/>
        </patternFill>
      </fill>
    </dxf>
    <dxf>
      <font>
        <color theme="0"/>
      </font>
      <fill>
        <patternFill>
          <bgColor theme="0" tint="-0.499984740745262"/>
        </patternFill>
      </fill>
    </dxf>
    <dxf>
      <font>
        <b/>
        <i val="0"/>
        <color rgb="FF00B050"/>
      </font>
    </dxf>
    <dxf>
      <font>
        <b/>
        <i val="0"/>
        <color rgb="FF00B050"/>
      </font>
    </dxf>
    <dxf>
      <font>
        <color theme="0"/>
      </font>
    </dxf>
    <dxf>
      <font>
        <color theme="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ill>
        <patternFill>
          <bgColor theme="9" tint="0.79998168889431442"/>
        </patternFill>
      </fill>
    </dxf>
    <dxf>
      <fill>
        <patternFill>
          <bgColor theme="7" tint="0.79998168889431442"/>
        </patternFill>
      </fill>
    </dxf>
    <dxf>
      <fill>
        <patternFill>
          <bgColor theme="5" tint="0.39994506668294322"/>
        </patternFill>
      </fill>
    </dxf>
    <dxf>
      <font>
        <color theme="0"/>
      </font>
      <fill>
        <patternFill>
          <bgColor theme="0" tint="-0.499984740745262"/>
        </patternFill>
      </fill>
    </dxf>
    <dxf>
      <fill>
        <patternFill>
          <bgColor theme="9" tint="0.79998168889431442"/>
        </patternFill>
      </fill>
    </dxf>
    <dxf>
      <fill>
        <patternFill>
          <bgColor theme="7" tint="0.79998168889431442"/>
        </patternFill>
      </fill>
    </dxf>
    <dxf>
      <fill>
        <patternFill>
          <bgColor theme="5" tint="0.39994506668294322"/>
        </patternFill>
      </fill>
    </dxf>
    <dxf>
      <font>
        <color theme="0"/>
      </font>
      <fill>
        <patternFill>
          <bgColor theme="0" tint="-0.499984740745262"/>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vertical/>
        <horizontal/>
      </border>
    </dxf>
    <dxf>
      <font>
        <color theme="0"/>
      </font>
      <fill>
        <patternFill>
          <bgColor theme="0"/>
        </patternFill>
      </fill>
      <border>
        <left/>
        <right/>
        <vertical/>
        <horizontal/>
      </border>
    </dxf>
    <dxf>
      <font>
        <color theme="0"/>
      </font>
      <fill>
        <patternFill>
          <bgColor theme="0"/>
        </patternFill>
      </fill>
      <border>
        <left/>
        <right/>
        <vertical/>
        <horizontal/>
      </border>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b/>
        <i val="0"/>
        <color theme="7" tint="0.79998168889431442"/>
      </font>
      <fill>
        <patternFill>
          <bgColor theme="7" tint="-0.24994659260841701"/>
        </patternFill>
      </fill>
    </dxf>
    <dxf>
      <font>
        <b/>
        <i val="0"/>
        <color rgb="FF00B050"/>
      </font>
    </dxf>
    <dxf>
      <font>
        <b/>
        <i val="0"/>
        <color rgb="FF00B050"/>
      </font>
    </dxf>
    <dxf>
      <font>
        <b/>
        <i val="0"/>
        <color rgb="FF00B050"/>
      </font>
    </dxf>
    <dxf>
      <font>
        <color auto="1"/>
      </font>
      <fill>
        <patternFill>
          <bgColor theme="0"/>
        </patternFill>
      </fill>
      <border>
        <right/>
        <bottom/>
        <vertical/>
        <horizontal/>
      </border>
    </dxf>
    <dxf>
      <font>
        <color theme="0"/>
      </font>
      <fill>
        <patternFill>
          <bgColor theme="0"/>
        </patternFill>
      </fill>
      <border>
        <right/>
        <top/>
        <bottom/>
        <vertical/>
        <horizontal/>
      </border>
    </dxf>
    <dxf>
      <font>
        <color theme="0" tint="-4.9989318521683403E-2"/>
      </font>
      <fill>
        <patternFill>
          <bgColor theme="0" tint="-4.9989318521683403E-2"/>
        </patternFill>
      </fill>
      <border>
        <right/>
        <top/>
        <bottom style="thin">
          <color theme="0" tint="-0.14996795556505021"/>
        </bottom>
        <vertical/>
        <horizontal/>
      </border>
    </dxf>
    <dxf>
      <font>
        <color theme="0"/>
      </font>
      <fill>
        <patternFill>
          <bgColor theme="0"/>
        </patternFill>
      </fill>
      <border>
        <right/>
        <top/>
        <bottom/>
        <vertical/>
        <horizontal/>
      </border>
    </dxf>
    <dxf>
      <font>
        <color theme="0"/>
      </font>
      <fill>
        <patternFill>
          <bgColor theme="0"/>
        </patternFill>
      </fill>
      <border>
        <left/>
        <right/>
        <top/>
        <bottom/>
        <vertical/>
        <horizontal/>
      </border>
    </dxf>
    <dxf>
      <font>
        <color theme="0" tint="-4.9989318521683403E-2"/>
      </font>
      <fill>
        <patternFill>
          <bgColor theme="0" tint="-4.9989318521683403E-2"/>
        </patternFill>
      </fill>
      <border>
        <top/>
        <bottom style="thin">
          <color theme="0" tint="-0.14996795556505021"/>
        </bottom>
        <vertical/>
        <horizontal/>
      </border>
    </dxf>
    <dxf>
      <font>
        <color theme="0"/>
      </font>
      <fill>
        <patternFill>
          <bgColor theme="0"/>
        </patternFill>
      </fill>
    </dxf>
    <dxf>
      <font>
        <b/>
        <i val="0"/>
        <color rgb="FF00B050"/>
      </font>
    </dxf>
    <dxf>
      <font>
        <color theme="0" tint="-4.9989318521683403E-2"/>
      </font>
      <fill>
        <patternFill>
          <bgColor theme="0" tint="-4.9989318521683403E-2"/>
        </patternFill>
      </fill>
      <border>
        <top/>
        <bottom style="thin">
          <color theme="0" tint="-0.14996795556505021"/>
        </bottom>
        <vertical/>
        <horizontal/>
      </border>
    </dxf>
    <dxf>
      <font>
        <color theme="0"/>
      </font>
      <fill>
        <patternFill>
          <bgColor theme="0"/>
        </patternFill>
      </fill>
      <border>
        <left/>
        <right/>
        <top/>
        <bottom/>
        <vertical/>
        <horizontal/>
      </border>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top/>
        <vertical/>
        <horizontal/>
      </border>
    </dxf>
    <dxf>
      <font>
        <color theme="0"/>
      </font>
      <fill>
        <patternFill>
          <bgColor theme="0"/>
        </patternFill>
      </fill>
      <border>
        <left/>
        <right/>
        <top/>
        <bottom/>
        <vertical/>
        <horizontal/>
      </border>
    </dxf>
    <dxf>
      <font>
        <b/>
        <i val="0"/>
        <color theme="7" tint="0.79998168889431442"/>
      </font>
      <fill>
        <patternFill>
          <bgColor theme="7" tint="-0.24994659260841701"/>
        </patternFill>
      </fill>
    </dxf>
    <dxf>
      <font>
        <b/>
        <i val="0"/>
        <color rgb="FF00B050"/>
      </font>
    </dxf>
    <dxf>
      <font>
        <b/>
        <i val="0"/>
        <color rgb="FF00B050"/>
      </font>
    </dxf>
    <dxf>
      <font>
        <b/>
        <i val="0"/>
        <color rgb="FF00B050"/>
      </font>
    </dxf>
    <dxf>
      <font>
        <color auto="1"/>
      </font>
      <fill>
        <patternFill>
          <bgColor theme="0"/>
        </patternFill>
      </fill>
      <border>
        <right/>
        <bottom/>
        <vertical/>
        <horizontal/>
      </border>
    </dxf>
    <dxf>
      <font>
        <color theme="0"/>
      </font>
      <fill>
        <patternFill>
          <bgColor theme="0"/>
        </patternFill>
      </fill>
      <border>
        <right/>
        <top/>
        <bottom/>
        <vertical/>
        <horizontal/>
      </border>
    </dxf>
    <dxf>
      <font>
        <color theme="0" tint="-4.9989318521683403E-2"/>
      </font>
      <fill>
        <patternFill>
          <bgColor theme="0" tint="-4.9989318521683403E-2"/>
        </patternFill>
      </fill>
      <border>
        <right/>
        <top/>
        <bottom style="thin">
          <color theme="0" tint="-0.14996795556505021"/>
        </bottom>
        <vertical/>
        <horizontal/>
      </border>
    </dxf>
    <dxf>
      <font>
        <color theme="0"/>
      </font>
      <fill>
        <patternFill>
          <bgColor theme="0"/>
        </patternFill>
      </fill>
      <border>
        <right/>
        <top/>
        <bottom/>
        <vertical/>
        <horizontal/>
      </border>
    </dxf>
    <dxf>
      <font>
        <color theme="0"/>
      </font>
      <fill>
        <patternFill>
          <bgColor theme="0"/>
        </patternFill>
      </fill>
      <border>
        <left/>
        <right/>
        <top/>
        <bottom/>
        <vertical/>
        <horizontal/>
      </border>
    </dxf>
    <dxf>
      <font>
        <color theme="0" tint="-4.9989318521683403E-2"/>
      </font>
      <fill>
        <patternFill>
          <bgColor theme="0" tint="-4.9989318521683403E-2"/>
        </patternFill>
      </fill>
      <border>
        <top/>
        <bottom style="thin">
          <color theme="0" tint="-0.14996795556505021"/>
        </bottom>
        <vertical/>
        <horizontal/>
      </border>
    </dxf>
    <dxf>
      <font>
        <color theme="0"/>
      </font>
      <fill>
        <patternFill>
          <bgColor theme="0"/>
        </patternFill>
      </fill>
    </dxf>
    <dxf>
      <font>
        <b/>
        <i val="0"/>
        <color rgb="FF00B050"/>
      </font>
    </dxf>
    <dxf>
      <font>
        <color theme="0" tint="-4.9989318521683403E-2"/>
      </font>
      <fill>
        <patternFill>
          <bgColor theme="0" tint="-4.9989318521683403E-2"/>
        </patternFill>
      </fill>
      <border>
        <top/>
        <bottom style="thin">
          <color theme="0" tint="-0.14996795556505021"/>
        </bottom>
        <vertical/>
        <horizontal/>
      </border>
    </dxf>
    <dxf>
      <font>
        <color theme="0"/>
      </font>
      <fill>
        <patternFill>
          <bgColor theme="0"/>
        </patternFill>
      </fill>
      <border>
        <left/>
        <right/>
        <top/>
        <bottom/>
        <vertical/>
        <horizontal/>
      </border>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top/>
        <vertical/>
        <horizontal/>
      </border>
    </dxf>
    <dxf>
      <font>
        <color theme="0"/>
      </font>
      <fill>
        <patternFill>
          <bgColor theme="0"/>
        </patternFill>
      </fill>
      <border>
        <left/>
        <right/>
        <top/>
        <bottom/>
        <vertical/>
        <horizontal/>
      </border>
    </dxf>
    <dxf>
      <font>
        <b/>
        <i val="0"/>
        <color theme="7" tint="0.79998168889431442"/>
      </font>
      <fill>
        <patternFill>
          <bgColor theme="7" tint="-0.24994659260841701"/>
        </patternFill>
      </fill>
    </dxf>
    <dxf>
      <font>
        <color theme="0"/>
      </font>
      <fill>
        <patternFill>
          <bgColor theme="0"/>
        </patternFill>
      </fill>
      <border>
        <right/>
        <top/>
        <bottom/>
        <vertical/>
        <horizontal/>
      </border>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b/>
        <i val="0"/>
        <color rgb="FF00B050"/>
      </font>
    </dxf>
    <dxf>
      <font>
        <b/>
        <i val="0"/>
        <color rgb="FF00B050"/>
      </font>
    </dxf>
    <dxf>
      <font>
        <color theme="0"/>
      </font>
      <fill>
        <patternFill>
          <bgColor theme="0"/>
        </patternFill>
      </fill>
      <border>
        <left/>
        <right/>
        <bottom/>
        <vertical/>
        <horizontal/>
      </border>
    </dxf>
    <dxf>
      <font>
        <color theme="0"/>
      </font>
      <fill>
        <patternFill>
          <bgColor theme="0"/>
        </patternFill>
      </fill>
      <border>
        <right/>
        <top/>
        <bottom/>
        <vertical/>
        <horizontal/>
      </border>
    </dxf>
    <dxf>
      <font>
        <color theme="0"/>
      </font>
      <fill>
        <patternFill>
          <bgColor theme="0"/>
        </patternFill>
      </fill>
      <border>
        <right/>
        <top/>
        <bottom/>
        <vertical/>
        <horizontal/>
      </border>
    </dxf>
    <dxf>
      <border>
        <right/>
        <vertical/>
        <horizontal/>
      </border>
    </dxf>
    <dxf>
      <font>
        <color theme="0"/>
      </font>
      <fill>
        <patternFill>
          <bgColor theme="0"/>
        </patternFill>
      </fill>
      <border>
        <right/>
        <top/>
        <bottom/>
        <vertical/>
        <horizontal/>
      </border>
    </dxf>
    <dxf>
      <font>
        <color theme="0"/>
      </font>
      <fill>
        <patternFill>
          <bgColor theme="0"/>
        </patternFill>
      </fill>
      <border>
        <right/>
        <top/>
        <bottom/>
        <vertical/>
        <horizontal/>
      </border>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val="0"/>
        <i val="0"/>
        <color theme="0" tint="-4.9989318521683403E-2"/>
      </font>
      <fill>
        <patternFill>
          <bgColor theme="0" tint="-4.9989318521683403E-2"/>
        </patternFill>
      </fill>
      <border>
        <left/>
        <right/>
        <top/>
        <bottom/>
        <vertical/>
        <horizontal/>
      </border>
    </dxf>
    <dxf>
      <font>
        <color theme="0"/>
      </font>
      <fill>
        <patternFill>
          <bgColor theme="0"/>
        </patternFill>
      </fill>
      <border>
        <left/>
        <right/>
        <top/>
        <vertical/>
        <horizontal/>
      </border>
    </dxf>
    <dxf>
      <font>
        <color theme="0"/>
      </font>
      <fill>
        <patternFill>
          <bgColor theme="0"/>
        </patternFill>
      </fill>
      <border>
        <left/>
        <right/>
        <bottom/>
        <vertical/>
        <horizontal/>
      </border>
    </dxf>
    <dxf>
      <font>
        <b/>
        <i val="0"/>
        <color theme="7" tint="0.79998168889431442"/>
      </font>
      <fill>
        <patternFill>
          <bgColor theme="7" tint="-0.24994659260841701"/>
        </patternFill>
      </fill>
    </dxf>
    <dxf>
      <font>
        <color theme="0"/>
      </font>
      <fill>
        <patternFill>
          <bgColor theme="0"/>
        </patternFill>
      </fill>
      <border>
        <right/>
        <top/>
        <bottom/>
        <vertical/>
        <horizontal/>
      </border>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b/>
        <i val="0"/>
        <color rgb="FF00B050"/>
      </font>
    </dxf>
    <dxf>
      <font>
        <b/>
        <i val="0"/>
        <color rgb="FF00B050"/>
      </font>
    </dxf>
    <dxf>
      <font>
        <color theme="0"/>
      </font>
      <fill>
        <patternFill>
          <bgColor theme="0"/>
        </patternFill>
      </fill>
      <border>
        <left/>
        <right/>
        <bottom/>
        <vertical/>
        <horizontal/>
      </border>
    </dxf>
    <dxf>
      <font>
        <color theme="0"/>
      </font>
      <fill>
        <patternFill>
          <bgColor theme="0"/>
        </patternFill>
      </fill>
      <border>
        <right/>
        <top/>
        <bottom/>
        <vertical/>
        <horizontal/>
      </border>
    </dxf>
    <dxf>
      <border>
        <right/>
        <vertical/>
        <horizontal/>
      </border>
    </dxf>
    <dxf>
      <font>
        <color theme="0"/>
      </font>
      <fill>
        <patternFill>
          <bgColor theme="0"/>
        </patternFill>
      </fill>
      <border>
        <right/>
        <top/>
        <bottom/>
        <vertical/>
        <horizontal/>
      </border>
    </dxf>
    <dxf>
      <font>
        <color theme="0"/>
      </font>
      <fill>
        <patternFill>
          <bgColor theme="0"/>
        </patternFill>
      </fill>
      <border>
        <right/>
        <top/>
        <bottom/>
        <vertical/>
        <horizontal/>
      </border>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val="0"/>
        <i val="0"/>
        <color theme="0" tint="-4.9989318521683403E-2"/>
      </font>
      <fill>
        <patternFill>
          <bgColor theme="0" tint="-4.9989318521683403E-2"/>
        </patternFill>
      </fill>
      <border>
        <left/>
        <right/>
        <top/>
        <bottom/>
        <vertical/>
        <horizontal/>
      </border>
    </dxf>
    <dxf>
      <font>
        <color theme="0"/>
      </font>
      <fill>
        <patternFill>
          <bgColor theme="0"/>
        </patternFill>
      </fill>
      <border>
        <left/>
        <right/>
        <top/>
        <vertical/>
        <horizontal/>
      </border>
    </dxf>
    <dxf>
      <font>
        <color theme="0"/>
      </font>
      <fill>
        <patternFill>
          <bgColor theme="0"/>
        </patternFill>
      </fill>
      <border>
        <left/>
        <right/>
        <bottom/>
        <vertical/>
        <horizontal/>
      </border>
    </dxf>
    <dxf>
      <font>
        <b/>
        <i val="0"/>
        <color theme="7" tint="0.79998168889431442"/>
      </font>
      <fill>
        <patternFill>
          <bgColor theme="7" tint="-0.24994659260841701"/>
        </patternFill>
      </fill>
    </dxf>
    <dxf>
      <font>
        <b/>
        <i val="0"/>
        <color rgb="FF00B050"/>
      </font>
    </dxf>
    <dxf>
      <font>
        <b/>
        <i val="0"/>
        <color rgb="FF00B050"/>
      </font>
    </dxf>
    <dxf>
      <font>
        <b/>
        <i val="0"/>
        <color rgb="FF00B050"/>
      </font>
    </dxf>
    <dxf>
      <font>
        <color theme="0" tint="-0.14996795556505021"/>
      </font>
    </dxf>
    <dxf>
      <font>
        <color theme="0"/>
      </font>
      <fill>
        <patternFill>
          <bgColor theme="0"/>
        </patternFill>
      </fill>
      <border>
        <right/>
        <bottom/>
        <vertical/>
        <horizontal/>
      </border>
    </dxf>
    <dxf>
      <font>
        <color theme="0"/>
      </font>
      <fill>
        <patternFill>
          <bgColor theme="0"/>
        </patternFill>
      </fill>
      <border>
        <right/>
        <top/>
        <bottom/>
        <vertical/>
        <horizontal/>
      </border>
    </dxf>
    <dxf>
      <font>
        <color theme="0"/>
      </font>
      <fill>
        <patternFill>
          <bgColor theme="0"/>
        </patternFill>
      </fill>
      <border>
        <right/>
        <top/>
        <bottom/>
        <vertical/>
        <horizontal/>
      </border>
    </dxf>
    <dxf>
      <font>
        <b/>
        <i val="0"/>
        <color rgb="FF00B050"/>
      </font>
    </dxf>
    <dxf>
      <fill>
        <patternFill>
          <bgColor theme="7" tint="0.39994506668294322"/>
        </patternFill>
      </fill>
    </dxf>
    <dxf>
      <fill>
        <patternFill>
          <bgColor theme="7" tint="0.39994506668294322"/>
        </patternFill>
      </fill>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ill>
        <patternFill>
          <bgColor theme="7" tint="0.59996337778862885"/>
        </patternFill>
      </fill>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b/>
        <i val="0"/>
        <color theme="7" tint="0.79998168889431442"/>
      </font>
      <fill>
        <patternFill>
          <bgColor theme="7" tint="-0.24994659260841701"/>
        </patternFill>
      </fill>
    </dxf>
    <dxf>
      <font>
        <color theme="0"/>
      </font>
      <fill>
        <patternFill>
          <bgColor theme="0"/>
        </patternFill>
      </fill>
      <border>
        <left/>
        <right/>
        <top/>
        <bottom/>
        <vertical/>
        <horizontal/>
      </border>
    </dxf>
    <dxf>
      <font>
        <b/>
        <i val="0"/>
        <color rgb="FF00B050"/>
      </font>
    </dxf>
    <dxf>
      <font>
        <b/>
        <i val="0"/>
        <color rgb="FF00B050"/>
      </font>
    </dxf>
    <dxf>
      <font>
        <b/>
        <i val="0"/>
        <color rgb="FF00B050"/>
      </font>
    </dxf>
    <dxf>
      <font>
        <color theme="0" tint="-0.14996795556505021"/>
      </font>
    </dxf>
    <dxf>
      <font>
        <color theme="0"/>
      </font>
      <fill>
        <patternFill>
          <bgColor theme="0"/>
        </patternFill>
      </fill>
      <border>
        <right/>
        <bottom/>
        <vertical/>
        <horizontal/>
      </border>
    </dxf>
    <dxf>
      <font>
        <color theme="0"/>
      </font>
      <fill>
        <patternFill>
          <bgColor theme="0"/>
        </patternFill>
      </fill>
      <border>
        <right/>
        <top/>
        <bottom/>
        <vertical/>
        <horizontal/>
      </border>
    </dxf>
    <dxf>
      <font>
        <color theme="0"/>
      </font>
      <fill>
        <patternFill>
          <bgColor theme="0"/>
        </patternFill>
      </fill>
      <border>
        <right/>
        <top/>
        <bottom/>
        <vertical/>
        <horizontal/>
      </border>
    </dxf>
    <dxf>
      <font>
        <b/>
        <i val="0"/>
        <color rgb="FF00B050"/>
      </font>
    </dxf>
    <dxf>
      <fill>
        <patternFill>
          <bgColor theme="7" tint="0.39994506668294322"/>
        </patternFill>
      </fill>
    </dxf>
    <dxf>
      <fill>
        <patternFill>
          <bgColor theme="7" tint="0.39994506668294322"/>
        </patternFill>
      </fill>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ill>
        <patternFill>
          <bgColor theme="7" tint="0.59996337778862885"/>
        </patternFill>
      </fill>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b/>
        <i val="0"/>
        <color theme="7" tint="0.79998168889431442"/>
      </font>
      <fill>
        <patternFill>
          <bgColor theme="7" tint="-0.24994659260841701"/>
        </patternFill>
      </fill>
    </dxf>
    <dxf>
      <font>
        <color theme="0"/>
      </font>
      <fill>
        <patternFill>
          <bgColor theme="0"/>
        </patternFill>
      </fill>
      <border>
        <left/>
        <right/>
        <top/>
        <bottom/>
        <vertical/>
        <horizontal/>
      </border>
    </dxf>
    <dxf>
      <font>
        <b/>
        <i val="0"/>
        <color theme="0" tint="-0.499984740745262"/>
      </font>
    </dxf>
    <dxf>
      <font>
        <b/>
        <i val="0"/>
        <color theme="0" tint="-0.499984740745262"/>
      </font>
    </dxf>
    <dxf>
      <font>
        <b/>
        <i val="0"/>
        <color theme="0" tint="-0.499984740745262"/>
      </font>
    </dxf>
    <dxf>
      <font>
        <b/>
        <i val="0"/>
        <color theme="0" tint="-0.499984740745262"/>
      </font>
    </dxf>
    <dxf>
      <font>
        <color theme="0"/>
      </font>
      <fill>
        <patternFill>
          <bgColor theme="0"/>
        </patternFill>
      </fill>
      <border>
        <left/>
        <right/>
        <top/>
        <bottom/>
        <vertical/>
        <horizontal/>
      </border>
    </dxf>
    <dxf>
      <font>
        <b/>
        <i val="0"/>
        <color rgb="FF00B050"/>
      </font>
    </dxf>
    <dxf>
      <font>
        <b/>
        <i val="0"/>
        <color rgb="FF00B050"/>
      </font>
    </dxf>
    <dxf>
      <font>
        <b/>
        <i val="0"/>
        <color rgb="FF00B050"/>
      </font>
    </dxf>
    <dxf>
      <font>
        <b/>
        <i val="0"/>
        <color rgb="FF00B050"/>
      </font>
    </dxf>
    <dxf>
      <font>
        <b/>
        <i val="0"/>
        <color rgb="FF00B050"/>
      </font>
    </dxf>
    <dxf>
      <font>
        <color theme="0"/>
      </font>
      <fill>
        <patternFill>
          <bgColor theme="0"/>
        </patternFill>
      </fill>
      <border>
        <left/>
        <right/>
        <top/>
        <bottom/>
        <vertical/>
        <horizontal/>
      </border>
    </dxf>
    <dxf>
      <font>
        <color theme="0"/>
      </font>
      <fill>
        <patternFill>
          <bgColor theme="0"/>
        </patternFill>
      </fill>
      <border>
        <right/>
        <bottom/>
        <vertical/>
        <horizontal/>
      </border>
    </dxf>
    <dxf>
      <font>
        <color theme="0"/>
      </font>
      <fill>
        <patternFill>
          <bgColor theme="0"/>
        </patternFill>
      </fill>
      <border>
        <right/>
        <bottom/>
        <vertical/>
        <horizontal/>
      </border>
    </dxf>
    <dxf>
      <font>
        <b/>
        <i val="0"/>
        <color rgb="FF00B050"/>
      </font>
    </dxf>
    <dxf>
      <font>
        <b/>
        <i val="0"/>
        <color rgb="FF00B050"/>
      </font>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b/>
        <i val="0"/>
        <color rgb="FF00B050"/>
      </font>
    </dxf>
    <dxf>
      <font>
        <b/>
        <i val="0"/>
        <color rgb="FF00B050"/>
      </font>
      <fill>
        <patternFill>
          <bgColor theme="0"/>
        </patternFill>
      </fill>
    </dxf>
    <dxf>
      <font>
        <b/>
        <i val="0"/>
        <color rgb="FF00B050"/>
      </font>
    </dxf>
    <dxf>
      <font>
        <b/>
        <i val="0"/>
        <color rgb="FF00B050"/>
      </font>
    </dxf>
    <dxf>
      <font>
        <b/>
        <i val="0"/>
        <color rgb="FF00B050"/>
      </font>
    </dxf>
    <dxf>
      <font>
        <b/>
        <i val="0"/>
        <color rgb="FF00B050"/>
      </font>
    </dxf>
    <dxf>
      <font>
        <b/>
        <i val="0"/>
        <color theme="7" tint="-0.24994659260841701"/>
      </font>
    </dxf>
    <dxf>
      <font>
        <b/>
        <i val="0"/>
        <color rgb="FF00B050"/>
      </font>
    </dxf>
    <dxf>
      <font>
        <b/>
        <i val="0"/>
        <color rgb="FF00B050"/>
      </font>
    </dxf>
    <dxf>
      <font>
        <b/>
        <i val="0"/>
        <color rgb="FF00B050"/>
      </font>
    </dxf>
    <dxf>
      <font>
        <b/>
        <i val="0"/>
        <color rgb="FF00B050"/>
      </font>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b/>
        <i val="0"/>
        <color theme="7" tint="0.79998168889431442"/>
      </font>
      <fill>
        <patternFill>
          <bgColor theme="7"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tint="-0.499984740745262"/>
      </font>
    </dxf>
    <dxf>
      <font>
        <b/>
        <i val="0"/>
        <color theme="0" tint="-0.499984740745262"/>
      </font>
    </dxf>
    <dxf>
      <font>
        <b/>
        <i val="0"/>
        <color theme="0" tint="-0.499984740745262"/>
      </font>
    </dxf>
    <dxf>
      <font>
        <b/>
        <i val="0"/>
        <color theme="0" tint="-0.499984740745262"/>
      </font>
    </dxf>
    <dxf>
      <font>
        <b/>
        <i val="0"/>
        <color rgb="FF00B050"/>
      </font>
    </dxf>
    <dxf>
      <font>
        <b/>
        <i val="0"/>
        <color rgb="FF00B050"/>
      </font>
    </dxf>
    <dxf>
      <font>
        <b/>
        <i val="0"/>
        <color rgb="FF00B050"/>
      </font>
    </dxf>
    <dxf>
      <font>
        <b/>
        <i val="0"/>
        <color rgb="FF00B050"/>
      </font>
    </dxf>
    <dxf>
      <font>
        <b/>
        <i val="0"/>
        <color rgb="FF00B050"/>
      </font>
    </dxf>
    <dxf>
      <font>
        <color theme="0"/>
      </font>
      <fill>
        <patternFill>
          <bgColor theme="0"/>
        </patternFill>
      </fill>
      <border>
        <left/>
        <right/>
        <top/>
        <bottom/>
        <vertical/>
        <horizontal/>
      </border>
    </dxf>
    <dxf>
      <font>
        <color theme="0"/>
      </font>
      <fill>
        <patternFill>
          <bgColor theme="0"/>
        </patternFill>
      </fill>
      <border>
        <right/>
        <bottom/>
        <vertical/>
        <horizontal/>
      </border>
    </dxf>
    <dxf>
      <font>
        <color theme="0"/>
      </font>
      <fill>
        <patternFill>
          <bgColor theme="0"/>
        </patternFill>
      </fill>
      <border>
        <right/>
        <bottom/>
        <vertical/>
        <horizontal/>
      </border>
    </dxf>
    <dxf>
      <font>
        <b/>
        <i val="0"/>
        <color rgb="FF00B050"/>
      </font>
    </dxf>
    <dxf>
      <font>
        <b/>
        <i val="0"/>
        <color rgb="FF00B050"/>
      </font>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b/>
        <i val="0"/>
        <color rgb="FF00B050"/>
      </font>
    </dxf>
    <dxf>
      <font>
        <b/>
        <i val="0"/>
        <color rgb="FF00B050"/>
      </font>
      <fill>
        <patternFill>
          <bgColor theme="0"/>
        </patternFill>
      </fill>
    </dxf>
    <dxf>
      <font>
        <b/>
        <i val="0"/>
        <color rgb="FF00B050"/>
      </font>
    </dxf>
    <dxf>
      <font>
        <b/>
        <i val="0"/>
        <color rgb="FF00B050"/>
      </font>
    </dxf>
    <dxf>
      <font>
        <b/>
        <i val="0"/>
        <color rgb="FF00B050"/>
      </font>
    </dxf>
    <dxf>
      <font>
        <b/>
        <i val="0"/>
        <color rgb="FF00B050"/>
      </font>
    </dxf>
    <dxf>
      <font>
        <b/>
        <i val="0"/>
        <color theme="7" tint="-0.24994659260841701"/>
      </font>
    </dxf>
    <dxf>
      <font>
        <b/>
        <i val="0"/>
        <color rgb="FF00B050"/>
      </font>
    </dxf>
    <dxf>
      <font>
        <b/>
        <i val="0"/>
        <color rgb="FF00B050"/>
      </font>
    </dxf>
    <dxf>
      <font>
        <b/>
        <i val="0"/>
        <color rgb="FF00B050"/>
      </font>
    </dxf>
    <dxf>
      <font>
        <b/>
        <i val="0"/>
        <color rgb="FF00B050"/>
      </font>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b/>
        <i val="0"/>
        <color theme="7" tint="0.79998168889431442"/>
      </font>
      <fill>
        <patternFill>
          <bgColor theme="7"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00B050"/>
      </font>
    </dxf>
    <dxf>
      <font>
        <color theme="0"/>
      </font>
      <fill>
        <patternFill>
          <bgColor theme="0"/>
        </patternFill>
      </fill>
      <border>
        <top/>
        <bottom/>
        <vertical/>
        <horizontal/>
      </border>
    </dxf>
    <dxf>
      <font>
        <b/>
        <i val="0"/>
        <color rgb="FF00B050"/>
      </font>
    </dxf>
    <dxf>
      <font>
        <b/>
        <i val="0"/>
        <color rgb="FF00B050"/>
      </font>
    </dxf>
    <dxf>
      <font>
        <color theme="0"/>
      </font>
      <fill>
        <patternFill>
          <bgColor theme="0"/>
        </patternFill>
      </fill>
      <border>
        <top/>
        <bottom/>
        <vertical/>
        <horizontal/>
      </border>
    </dxf>
    <dxf>
      <font>
        <color theme="0"/>
      </font>
      <fill>
        <patternFill>
          <bgColor theme="0"/>
        </patternFill>
      </fill>
      <border>
        <left/>
        <right/>
        <top/>
        <bottom/>
        <vertical/>
        <horizontal/>
      </border>
    </dxf>
    <dxf>
      <font>
        <color theme="0"/>
      </font>
      <fill>
        <patternFill>
          <bgColor theme="0"/>
        </patternFill>
      </fill>
      <border>
        <right/>
        <top/>
        <bottom/>
      </border>
    </dxf>
    <dxf>
      <font>
        <b/>
        <i val="0"/>
        <color rgb="FF00B050"/>
      </font>
    </dxf>
    <dxf>
      <font>
        <b/>
        <i val="0"/>
        <color rgb="FF00B050"/>
      </font>
    </dxf>
    <dxf>
      <font>
        <b/>
        <i val="0"/>
        <color rgb="FF00B050"/>
      </font>
    </dxf>
    <dxf>
      <font>
        <b/>
        <i val="0"/>
        <color rgb="FF00B050"/>
      </font>
      <fill>
        <patternFill>
          <bgColor theme="0"/>
        </patternFill>
      </fill>
    </dxf>
    <dxf>
      <font>
        <b/>
        <i val="0"/>
        <color rgb="FF00B050"/>
      </font>
    </dxf>
    <dxf>
      <font>
        <b/>
        <i val="0"/>
        <color rgb="FF00B050"/>
      </font>
    </dxf>
    <dxf>
      <font>
        <b/>
        <i val="0"/>
        <color rgb="FF00B050"/>
      </font>
    </dxf>
    <dxf>
      <font>
        <b/>
        <i val="0"/>
        <color rgb="FF00B050"/>
      </font>
    </dxf>
    <dxf>
      <font>
        <color theme="0"/>
      </font>
      <fill>
        <patternFill>
          <bgColor theme="0"/>
        </patternFill>
      </fill>
      <border>
        <left/>
        <right/>
        <bottom/>
        <vertical/>
        <horizontal/>
      </border>
    </dxf>
    <dxf>
      <font>
        <b/>
        <i val="0"/>
        <color theme="7" tint="0.79998168889431442"/>
      </font>
      <fill>
        <patternFill>
          <bgColor theme="7"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00B050"/>
      </font>
    </dxf>
    <dxf>
      <font>
        <color theme="0"/>
      </font>
      <fill>
        <patternFill>
          <bgColor theme="0"/>
        </patternFill>
      </fill>
      <border>
        <top/>
        <bottom/>
        <vertical/>
        <horizontal/>
      </border>
    </dxf>
    <dxf>
      <font>
        <b/>
        <i val="0"/>
        <color rgb="FF00B050"/>
      </font>
    </dxf>
    <dxf>
      <font>
        <b/>
        <i val="0"/>
        <color rgb="FF00B050"/>
      </font>
    </dxf>
    <dxf>
      <font>
        <color theme="0"/>
      </font>
      <fill>
        <patternFill>
          <bgColor theme="0"/>
        </patternFill>
      </fill>
      <border>
        <top/>
        <bottom/>
        <vertical/>
        <horizontal/>
      </border>
    </dxf>
    <dxf>
      <font>
        <color theme="0"/>
      </font>
      <fill>
        <patternFill>
          <bgColor theme="0"/>
        </patternFill>
      </fill>
      <border>
        <right/>
        <top/>
        <bottom/>
      </border>
    </dxf>
    <dxf>
      <font>
        <b/>
        <i val="0"/>
        <color rgb="FF00B050"/>
      </font>
    </dxf>
    <dxf>
      <font>
        <b/>
        <i val="0"/>
        <color rgb="FF00B050"/>
      </font>
    </dxf>
    <dxf>
      <font>
        <b/>
        <i val="0"/>
        <color rgb="FF00B050"/>
      </font>
    </dxf>
    <dxf>
      <font>
        <b/>
        <i val="0"/>
        <color rgb="FF00B050"/>
      </font>
      <fill>
        <patternFill>
          <bgColor theme="0"/>
        </patternFill>
      </fill>
    </dxf>
    <dxf>
      <font>
        <b/>
        <i val="0"/>
        <color rgb="FF00B050"/>
      </font>
    </dxf>
    <dxf>
      <font>
        <b/>
        <i val="0"/>
        <color rgb="FF00B050"/>
      </font>
    </dxf>
    <dxf>
      <font>
        <b/>
        <i val="0"/>
        <color rgb="FF00B050"/>
      </font>
    </dxf>
    <dxf>
      <font>
        <b/>
        <i val="0"/>
        <color rgb="FF00B050"/>
      </font>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b/>
        <i val="0"/>
        <color theme="7" tint="0.79998168889431442"/>
      </font>
      <fill>
        <patternFill>
          <bgColor theme="7" tint="-0.24994659260841701"/>
        </patternFill>
      </fill>
    </dxf>
    <dxf>
      <font>
        <color theme="0"/>
      </font>
      <fill>
        <patternFill>
          <bgColor theme="0"/>
        </patternFill>
      </fill>
      <border>
        <left/>
        <right/>
        <top/>
        <bottom/>
        <vertical/>
        <horizontal/>
      </border>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color theme="0"/>
      </font>
      <fill>
        <patternFill>
          <bgColor theme="0"/>
        </patternFill>
      </fill>
      <border>
        <top/>
        <bottom/>
        <vertical/>
        <horizontal/>
      </border>
    </dxf>
    <dxf>
      <font>
        <b/>
        <i val="0"/>
        <color rgb="FF00B050"/>
      </font>
    </dxf>
    <dxf>
      <font>
        <color theme="0"/>
      </font>
      <fill>
        <patternFill>
          <bgColor theme="0"/>
        </patternFill>
      </fill>
      <border>
        <top/>
        <bottom/>
        <vertical/>
        <horizontal/>
      </border>
    </dxf>
    <dxf>
      <font>
        <b/>
        <i val="0"/>
        <color rgb="FF00B050"/>
      </font>
    </dxf>
    <dxf>
      <font>
        <b/>
        <i val="0"/>
        <color rgb="FF00B050"/>
      </font>
    </dxf>
    <dxf>
      <font>
        <b/>
        <i val="0"/>
        <color rgb="FF00B050"/>
      </font>
      <fill>
        <patternFill>
          <bgColor theme="0"/>
        </patternFill>
      </fill>
    </dxf>
    <dxf>
      <font>
        <b/>
        <i val="0"/>
        <color rgb="FF00B050"/>
      </font>
    </dxf>
    <dxf>
      <font>
        <b/>
        <i val="0"/>
        <color rgb="FF00B050"/>
      </font>
    </dxf>
    <dxf>
      <font>
        <b/>
        <i val="0"/>
        <color theme="7" tint="0.79998168889431442"/>
      </font>
      <fill>
        <patternFill>
          <bgColor theme="7" tint="-0.2499465926084170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color theme="0"/>
      </font>
      <fill>
        <patternFill>
          <bgColor theme="0"/>
        </patternFill>
      </fill>
      <border>
        <top/>
        <bottom/>
        <vertical/>
        <horizontal/>
      </border>
    </dxf>
    <dxf>
      <font>
        <b/>
        <i val="0"/>
        <color rgb="FF00B050"/>
      </font>
    </dxf>
    <dxf>
      <font>
        <color theme="0"/>
      </font>
      <fill>
        <patternFill>
          <bgColor theme="0"/>
        </patternFill>
      </fill>
      <border>
        <top/>
        <bottom/>
        <vertical/>
        <horizontal/>
      </border>
    </dxf>
    <dxf>
      <font>
        <b/>
        <i val="0"/>
        <color rgb="FF00B050"/>
      </font>
    </dxf>
    <dxf>
      <font>
        <b/>
        <i val="0"/>
        <color rgb="FF00B050"/>
      </font>
    </dxf>
    <dxf>
      <font>
        <b/>
        <i val="0"/>
        <color rgb="FF00B050"/>
      </font>
      <fill>
        <patternFill>
          <bgColor theme="0"/>
        </patternFill>
      </fill>
    </dxf>
    <dxf>
      <font>
        <b/>
        <i val="0"/>
        <color rgb="FF00B050"/>
      </font>
    </dxf>
    <dxf>
      <font>
        <b/>
        <i val="0"/>
        <color rgb="FF00B050"/>
      </font>
    </dxf>
    <dxf>
      <font>
        <b/>
        <i val="0"/>
        <color theme="7" tint="0.79998168889431442"/>
      </font>
      <fill>
        <patternFill>
          <bgColor theme="7" tint="-0.2499465926084170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color theme="0"/>
      </font>
      <fill>
        <patternFill>
          <bgColor theme="0"/>
        </patternFill>
      </fill>
      <border>
        <top/>
        <bottom/>
        <vertical/>
        <horizontal/>
      </border>
    </dxf>
    <dxf>
      <font>
        <b/>
        <i val="0"/>
        <color rgb="FF00B050"/>
      </font>
    </dxf>
    <dxf>
      <font>
        <color theme="0"/>
      </font>
      <fill>
        <patternFill>
          <bgColor theme="0"/>
        </patternFill>
      </fill>
      <border>
        <top/>
        <bottom/>
        <vertical/>
        <horizontal/>
      </border>
    </dxf>
    <dxf>
      <font>
        <b/>
        <i val="0"/>
        <color rgb="FF00B050"/>
      </font>
    </dxf>
    <dxf>
      <font>
        <b/>
        <i val="0"/>
        <color rgb="FF00B050"/>
      </font>
    </dxf>
    <dxf>
      <font>
        <b/>
        <i val="0"/>
        <color rgb="FF00B050"/>
      </font>
      <fill>
        <patternFill>
          <bgColor theme="0"/>
        </patternFill>
      </fill>
    </dxf>
    <dxf>
      <font>
        <b/>
        <i val="0"/>
        <color rgb="FF00B050"/>
      </font>
    </dxf>
    <dxf>
      <font>
        <b/>
        <i val="0"/>
        <color rgb="FF00B050"/>
      </font>
    </dxf>
    <dxf>
      <font>
        <b/>
        <i val="0"/>
        <color theme="7" tint="0.79998168889431442"/>
      </font>
      <fill>
        <patternFill>
          <bgColor theme="7" tint="-0.24994659260841701"/>
        </patternFill>
      </fill>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color theme="0"/>
      </font>
      <fill>
        <patternFill>
          <bgColor theme="0"/>
        </patternFill>
      </fill>
      <border>
        <top/>
        <bottom/>
        <vertical/>
        <horizontal/>
      </border>
    </dxf>
    <dxf>
      <font>
        <b/>
        <i val="0"/>
        <color rgb="FF00B050"/>
      </font>
    </dxf>
    <dxf>
      <font>
        <color theme="0"/>
      </font>
      <fill>
        <patternFill>
          <bgColor theme="0"/>
        </patternFill>
      </fill>
      <border>
        <top/>
        <bottom/>
        <vertical/>
        <horizontal/>
      </border>
    </dxf>
    <dxf>
      <font>
        <b/>
        <i val="0"/>
        <color rgb="FF00B050"/>
      </font>
    </dxf>
    <dxf>
      <font>
        <b/>
        <i val="0"/>
        <color rgb="FF00B050"/>
      </font>
    </dxf>
    <dxf>
      <font>
        <b/>
        <i val="0"/>
        <color rgb="FF00B050"/>
      </font>
      <fill>
        <patternFill>
          <bgColor theme="0"/>
        </patternFill>
      </fill>
    </dxf>
    <dxf>
      <font>
        <b/>
        <i val="0"/>
        <color rgb="FF00B050"/>
      </font>
    </dxf>
    <dxf>
      <font>
        <b/>
        <i val="0"/>
        <color rgb="FF00B050"/>
      </font>
    </dxf>
    <dxf>
      <font>
        <b/>
        <i val="0"/>
        <color theme="7" tint="0.79998168889431442"/>
      </font>
      <fill>
        <patternFill>
          <bgColor theme="7" tint="-0.24994659260841701"/>
        </patternFill>
      </fill>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b/>
        <i val="0"/>
        <color rgb="FF00B050"/>
      </font>
    </dxf>
    <dxf>
      <font>
        <b/>
        <i val="0"/>
        <color rgb="FF00B050"/>
      </font>
    </dxf>
    <dxf>
      <font>
        <b/>
        <i val="0"/>
        <color rgb="FF00B050"/>
      </font>
    </dxf>
    <dxf>
      <font>
        <b/>
        <i val="0"/>
        <color rgb="FF00B050"/>
      </font>
      <fill>
        <patternFill>
          <bgColor theme="0"/>
        </patternFill>
      </fill>
    </dxf>
    <dxf>
      <font>
        <b/>
        <i val="0"/>
        <color rgb="FF00B050"/>
      </font>
    </dxf>
    <dxf>
      <font>
        <b/>
        <i val="0"/>
        <color rgb="FF00B050"/>
      </font>
    </dxf>
    <dxf>
      <font>
        <b/>
        <i val="0"/>
        <color rgb="FF00B050"/>
      </font>
    </dxf>
    <dxf>
      <font>
        <color theme="0"/>
      </font>
      <fill>
        <patternFill>
          <bgColor theme="0"/>
        </patternFill>
      </fill>
      <border>
        <left/>
        <right/>
        <bottom/>
        <vertical/>
        <horizontal/>
      </border>
    </dxf>
    <dxf>
      <font>
        <b/>
        <i val="0"/>
        <color theme="7" tint="0.79998168889431442"/>
      </font>
      <fill>
        <patternFill>
          <bgColor theme="7" tint="-0.24994659260841701"/>
        </patternFill>
      </fill>
    </dxf>
    <dxf>
      <font>
        <b/>
        <i val="0"/>
        <color rgb="FF00B050"/>
      </font>
    </dxf>
    <dxf>
      <font>
        <b/>
        <i val="0"/>
        <color rgb="FF00B050"/>
      </font>
    </dxf>
    <dxf>
      <font>
        <b/>
        <i val="0"/>
        <color rgb="FF00B050"/>
      </font>
    </dxf>
    <dxf>
      <font>
        <color theme="0"/>
      </font>
      <fill>
        <patternFill>
          <bgColor theme="0"/>
        </patternFill>
      </fill>
      <border>
        <right/>
        <top/>
        <bottom/>
        <vertical/>
        <horizontal/>
      </border>
    </dxf>
    <dxf>
      <font>
        <b/>
        <i val="0"/>
        <color rgb="FF00B050"/>
      </font>
    </dxf>
    <dxf>
      <font>
        <b/>
        <i val="0"/>
        <color rgb="FF00B050"/>
      </font>
    </dxf>
    <dxf>
      <font>
        <b/>
        <i val="0"/>
        <color rgb="FF00B050"/>
      </font>
    </dxf>
    <dxf>
      <font>
        <b/>
        <i val="0"/>
        <color rgb="FF00B050"/>
      </font>
      <fill>
        <patternFill>
          <bgColor theme="0"/>
        </patternFill>
      </fill>
    </dxf>
    <dxf>
      <font>
        <b/>
        <i val="0"/>
        <color rgb="FF00B050"/>
      </font>
    </dxf>
    <dxf>
      <font>
        <b/>
        <i val="0"/>
        <color rgb="FF00B050"/>
      </font>
    </dxf>
    <dxf>
      <font>
        <b/>
        <i val="0"/>
        <color rgb="FF00B050"/>
      </font>
    </dxf>
    <dxf>
      <font>
        <color theme="0"/>
      </font>
      <fill>
        <patternFill>
          <bgColor theme="0"/>
        </patternFill>
      </fill>
      <border>
        <left/>
        <right/>
        <bottom/>
        <vertical/>
        <horizontal/>
      </border>
    </dxf>
    <dxf>
      <font>
        <b/>
        <i val="0"/>
        <color theme="7" tint="0.79998168889431442"/>
      </font>
      <fill>
        <patternFill>
          <bgColor theme="7" tint="-0.24994659260841701"/>
        </patternFill>
      </fill>
    </dxf>
    <dxf>
      <font>
        <b val="0"/>
        <i/>
        <color rgb="FFFF0000"/>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rgb="FF006100"/>
      </font>
      <fill>
        <patternFill>
          <bgColor rgb="FFC6EFCE"/>
        </patternFill>
      </fill>
    </dxf>
    <dxf>
      <font>
        <b val="0"/>
        <i/>
        <color rgb="FFFF0000"/>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right/>
        <bottom/>
        <vertical/>
        <horizontal/>
      </border>
    </dxf>
    <dxf>
      <font>
        <b val="0"/>
        <i/>
        <color theme="2" tint="-0.89996032593768116"/>
      </font>
      <fill>
        <patternFill>
          <bgColor theme="0" tint="-0.14996795556505021"/>
        </patternFill>
      </fill>
    </dxf>
    <dxf>
      <font>
        <b/>
        <i val="0"/>
        <color theme="7" tint="0.79998168889431442"/>
      </font>
      <fill>
        <patternFill>
          <bgColor theme="7" tint="-0.24994659260841701"/>
        </patternFill>
      </fill>
    </dxf>
    <dxf>
      <fill>
        <patternFill>
          <bgColor theme="7" tint="0.79998168889431442"/>
        </patternFill>
      </fill>
    </dxf>
    <dxf>
      <font>
        <b/>
        <i val="0"/>
        <color theme="7" tint="0.79998168889431442"/>
      </font>
      <fill>
        <patternFill>
          <bgColor theme="7" tint="-0.24994659260841701"/>
        </patternFill>
      </fill>
    </dxf>
    <dxf>
      <fill>
        <patternFill>
          <bgColor theme="7" tint="0.79998168889431442"/>
        </patternFill>
      </fill>
    </dxf>
    <dxf>
      <fill>
        <patternFill>
          <bgColor theme="9" tint="0.79998168889431442"/>
        </patternFill>
      </fill>
    </dxf>
    <dxf>
      <font>
        <color rgb="FFFF0000"/>
      </font>
    </dxf>
    <dxf>
      <fill>
        <patternFill>
          <bgColor theme="0"/>
        </patternFill>
      </fill>
      <border>
        <right/>
        <top/>
        <bottom/>
        <vertical/>
        <horizontal/>
      </border>
    </dxf>
    <dxf>
      <font>
        <b val="0"/>
        <i/>
        <color rgb="FFFF7D7D"/>
      </font>
      <fill>
        <patternFill>
          <bgColor theme="0" tint="-0.499984740745262"/>
        </patternFill>
      </fill>
    </dxf>
    <dxf>
      <font>
        <b/>
        <i val="0"/>
        <color theme="9" tint="-0.499984740745262"/>
      </font>
      <fill>
        <patternFill>
          <bgColor theme="9" tint="0.79998168889431442"/>
        </patternFill>
      </fill>
    </dxf>
    <dxf>
      <font>
        <b/>
        <i val="0"/>
        <color theme="9" tint="-0.499984740745262"/>
      </font>
      <fill>
        <patternFill>
          <bgColor theme="9" tint="0.79998168889431442"/>
        </patternFill>
      </fill>
    </dxf>
    <dxf>
      <font>
        <color theme="0"/>
      </font>
    </dxf>
    <dxf>
      <font>
        <color rgb="FF9C5700"/>
      </font>
      <fill>
        <patternFill>
          <bgColor rgb="FFFFEB9C"/>
        </patternFill>
      </fill>
    </dxf>
    <dxf>
      <fill>
        <patternFill>
          <bgColor rgb="FFFF7D7D"/>
        </patternFill>
      </fill>
    </dxf>
    <dxf>
      <fill>
        <patternFill>
          <bgColor theme="0"/>
        </patternFill>
      </fill>
      <border>
        <left style="thin">
          <color rgb="FFFF0000"/>
        </left>
        <right style="thin">
          <color rgb="FFFF0000"/>
        </right>
        <top style="thin">
          <color rgb="FFFF0000"/>
        </top>
        <bottom style="thin">
          <color rgb="FFFF0000"/>
        </bottom>
        <vertical/>
        <horizontal/>
      </border>
    </dxf>
    <dxf>
      <font>
        <b/>
        <i val="0"/>
        <color theme="9" tint="-0.499984740745262"/>
      </font>
      <fill>
        <patternFill>
          <bgColor theme="9" tint="0.79998168889431442"/>
        </patternFill>
      </fill>
    </dxf>
    <dxf>
      <font>
        <b/>
        <i val="0"/>
        <color theme="9" tint="-0.499984740745262"/>
      </font>
      <fill>
        <patternFill>
          <bgColor theme="9" tint="0.79998168889431442"/>
        </patternFill>
      </fill>
    </dxf>
    <dxf>
      <font>
        <b/>
        <i val="0"/>
        <color rgb="FF00B050"/>
      </font>
    </dxf>
    <dxf>
      <font>
        <b/>
        <i val="0"/>
        <color theme="7" tint="0.79998168889431442"/>
      </font>
      <fill>
        <patternFill>
          <bgColor theme="7" tint="-0.24994659260841701"/>
        </patternFill>
      </fill>
    </dxf>
    <dxf>
      <font>
        <color theme="0"/>
      </font>
      <fill>
        <patternFill>
          <bgColor theme="0"/>
        </patternFill>
      </fill>
      <border>
        <left/>
        <right/>
        <top/>
        <bottom/>
        <vertical/>
        <horizontal/>
      </border>
    </dxf>
    <dxf>
      <font>
        <color theme="0"/>
      </font>
      <fill>
        <patternFill>
          <bgColor theme="0"/>
        </patternFill>
      </fill>
      <border>
        <right/>
        <top/>
        <bottom/>
        <vertical/>
        <horizontal/>
      </border>
    </dxf>
    <dxf>
      <font>
        <color theme="0"/>
      </font>
    </dxf>
    <dxf>
      <fill>
        <patternFill>
          <bgColor rgb="FFFFCCCC"/>
        </patternFill>
      </fill>
    </dxf>
    <dxf>
      <font>
        <b/>
        <i val="0"/>
        <color theme="7" tint="0.79998168889431442"/>
      </font>
      <fill>
        <patternFill>
          <bgColor theme="7" tint="-0.24994659260841701"/>
        </patternFill>
      </fill>
    </dxf>
    <dxf>
      <font>
        <b/>
        <i val="0"/>
        <color rgb="FF00B050"/>
      </font>
    </dxf>
    <dxf>
      <font>
        <b/>
        <i val="0"/>
        <color rgb="FF00B050"/>
      </font>
    </dxf>
    <dxf>
      <font>
        <b/>
        <i val="0"/>
        <color rgb="FF00B050"/>
      </font>
    </dxf>
    <dxf>
      <font>
        <b/>
        <i val="0"/>
        <color rgb="FF00B050"/>
      </font>
    </dxf>
    <dxf>
      <font>
        <b/>
        <i val="0"/>
        <color rgb="FF00B050"/>
      </font>
    </dxf>
    <dxf>
      <protection locked="0" hidden="0"/>
    </dxf>
    <dxf>
      <protection locked="0" hidden="0"/>
    </dxf>
    <dxf>
      <protection locked="0" hidden="0"/>
    </dxf>
    <dxf>
      <protection locked="0" hidden="0"/>
    </dxf>
    <dxf>
      <protection locked="0" hidden="0"/>
    </dxf>
    <dxf>
      <protection locked="0" hidden="0"/>
    </dxf>
    <dxf>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locked="0" hidden="0"/>
    </dxf>
    <dxf>
      <border outline="0">
        <bottom style="thin">
          <color theme="0" tint="-0.14999847407452621"/>
        </bottom>
      </border>
    </dxf>
    <dxf>
      <fill>
        <patternFill patternType="solid">
          <fgColor indexed="64"/>
          <bgColor theme="0" tint="-4.9989318521683403E-2"/>
        </patternFill>
      </fill>
      <alignment horizontal="center" vertical="center" textRotation="0" wrapText="0"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alignment vertical="center" textRotation="0" wrapText="0" indent="0" justifyLastLine="0" shrinkToFit="0" readingOrder="0"/>
      <protection locked="0" hidden="0"/>
    </dxf>
    <dxf>
      <protection locked="0" hidden="0"/>
    </dxf>
    <dxf>
      <protection locked="0" hidden="0"/>
    </dxf>
    <dxf>
      <alignment vertical="center" textRotation="0" wrapText="0" indent="0" justifyLastLine="0" shrinkToFit="0" readingOrder="0"/>
      <protection locked="0" hidden="0"/>
    </dxf>
    <dxf>
      <protection locked="0" hidden="0"/>
    </dxf>
    <dxf>
      <protection locked="0" hidden="0"/>
    </dxf>
    <dxf>
      <protection locked="0" hidden="0"/>
    </dxf>
    <dxf>
      <protection locked="0" hidden="0"/>
    </dxf>
    <dxf>
      <alignment vertical="center" textRotation="0" wrapText="0" indent="0" justifyLastLine="0" shrinkToFit="0" readingOrder="0"/>
      <protection locked="0" hidden="0"/>
    </dxf>
    <dxf>
      <alignment horizontal="general" vertical="bottom" textRotation="0" wrapText="0" indent="0" justifyLastLine="0" shrinkToFit="0" readingOrder="0"/>
      <protection locked="0" hidden="0"/>
    </dxf>
    <dxf>
      <alignment horizontal="general" vertical="bottom" textRotation="0" wrapText="0" indent="0" justifyLastLine="0" shrinkToFit="0" readingOrder="0"/>
      <protection locked="0" hidden="0"/>
    </dxf>
    <dxf>
      <alignment horizontal="general" vertical="bottom" textRotation="0" wrapText="0" indent="0" justifyLastLine="0" shrinkToFit="0" readingOrder="0"/>
      <protection locked="0" hidden="0"/>
    </dxf>
    <dxf>
      <alignment horizontal="general" vertical="bottom" textRotation="0" wrapText="0" indent="0" justifyLastLine="0" shrinkToFit="0" readingOrder="0"/>
      <protection locked="0" hidden="0"/>
    </dxf>
    <dxf>
      <protection locked="0" hidden="0"/>
    </dxf>
    <dxf>
      <alignment vertical="center" textRotation="0" wrapText="0"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fill>
        <patternFill patternType="solid">
          <fgColor indexed="64"/>
          <bgColor theme="7" tint="0.79998168889431442"/>
        </patternFill>
      </fill>
      <protection locked="0" hidden="0"/>
    </dxf>
    <dxf>
      <alignment horizontal="center" vertical="bottom" textRotation="0" wrapText="0" indent="0" justifyLastLine="0" shrinkToFit="0" readingOrder="0"/>
      <protection locked="0" hidden="0"/>
    </dxf>
    <dxf>
      <protection locked="0" hidden="0"/>
    </dxf>
    <dxf>
      <font>
        <b val="0"/>
        <i val="0"/>
        <strike val="0"/>
        <condense val="0"/>
        <extend val="0"/>
        <outline val="0"/>
        <shadow val="0"/>
        <u val="none"/>
        <vertAlign val="baseline"/>
        <sz val="11"/>
        <color theme="4" tint="-0.249977111117893"/>
        <name val="Calibri"/>
        <family val="2"/>
        <scheme val="minor"/>
      </font>
      <protection locked="0" hidden="0"/>
    </dxf>
    <dxf>
      <font>
        <b val="0"/>
        <i val="0"/>
        <strike val="0"/>
        <condense val="0"/>
        <extend val="0"/>
        <outline val="0"/>
        <shadow val="0"/>
        <u val="none"/>
        <vertAlign val="baseline"/>
        <sz val="11"/>
        <color theme="4" tint="-0.249977111117893"/>
        <name val="Calibri"/>
        <family val="2"/>
        <scheme val="minor"/>
      </font>
      <protection locked="0" hidden="0"/>
    </dxf>
    <dxf>
      <protection locked="0" hidden="0"/>
    </dxf>
    <dxf>
      <alignment horizontal="center" vertical="center" textRotation="0" wrapText="0" indent="0" justifyLastLine="0" shrinkToFit="0" readingOrder="0"/>
      <protection locked="0" hidden="0"/>
    </dxf>
    <dxf>
      <numFmt numFmtId="0" formatCode="General"/>
      <protection locked="0" hidden="0"/>
    </dxf>
    <dxf>
      <alignment horizontal="center" textRotation="0" wrapText="0" indent="0" justifyLastLine="0" shrinkToFit="0" readingOrder="0"/>
      <protection locked="0" hidden="0"/>
    </dxf>
    <dxf>
      <protection locked="0" hidden="0"/>
    </dxf>
    <dxf>
      <protection locked="0" hidden="0"/>
    </dxf>
    <dxf>
      <alignment horizontal="center" vertical="bottom"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s>
  <tableStyles count="1" defaultTableStyle="TableStyleMedium2" defaultPivotStyle="PivotStyleLight16">
    <tableStyle name="Estilo de Tabela Dinâmica 1" table="0" count="0" xr9:uid="{3F34C49C-276E-4337-B417-3F89D602643F}"/>
  </tableStyles>
  <colors>
    <mruColors>
      <color rgb="FFFFF6DD"/>
      <color rgb="FFE6EFFE"/>
      <color rgb="FFB6D2FC"/>
      <color rgb="FFEDEFF3"/>
      <color rgb="FFFFE1E1"/>
      <color rgb="FFFF6969"/>
      <color rgb="FFFF8B8B"/>
      <color rgb="FFFFAFAF"/>
      <color rgb="FFEAEDF3"/>
      <color rgb="FFFDFD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Respostas_usuario!$E$2" lockText="1"/>
</file>

<file path=xl/ctrlProps/ctrlProp10.xml><?xml version="1.0" encoding="utf-8"?>
<formControlPr xmlns="http://schemas.microsoft.com/office/spreadsheetml/2009/9/main" objectType="CheckBox" fmlaLink="Respostas_usuario!$AB$6" lockText="1"/>
</file>

<file path=xl/ctrlProps/ctrlProp100.xml><?xml version="1.0" encoding="utf-8"?>
<formControlPr xmlns="http://schemas.microsoft.com/office/spreadsheetml/2009/9/main" objectType="CheckBox" fmlaLink="Respostas_usuario!$AC$47" lockText="1"/>
</file>

<file path=xl/ctrlProps/ctrlProp101.xml><?xml version="1.0" encoding="utf-8"?>
<formControlPr xmlns="http://schemas.microsoft.com/office/spreadsheetml/2009/9/main" objectType="CheckBox" fmlaLink="Respostas_usuario!$AC$48" lockText="1"/>
</file>

<file path=xl/ctrlProps/ctrlProp102.xml><?xml version="1.0" encoding="utf-8"?>
<formControlPr xmlns="http://schemas.microsoft.com/office/spreadsheetml/2009/9/main" objectType="CheckBox" fmlaLink="Respostas_usuario!$AC$49" lockText="1"/>
</file>

<file path=xl/ctrlProps/ctrlProp103.xml><?xml version="1.0" encoding="utf-8"?>
<formControlPr xmlns="http://schemas.microsoft.com/office/spreadsheetml/2009/9/main" objectType="CheckBox" fmlaLink="Respostas_usuario!$AC$50" lockText="1"/>
</file>

<file path=xl/ctrlProps/ctrlProp104.xml><?xml version="1.0" encoding="utf-8"?>
<formControlPr xmlns="http://schemas.microsoft.com/office/spreadsheetml/2009/9/main" objectType="CheckBox" fmlaLink="Respostas_usuario!$AC$51" lockText="1"/>
</file>

<file path=xl/ctrlProps/ctrlProp105.xml><?xml version="1.0" encoding="utf-8"?>
<formControlPr xmlns="http://schemas.microsoft.com/office/spreadsheetml/2009/9/main" objectType="CheckBox" fmlaLink="Respostas_usuario!$AC$52" lockText="1"/>
</file>

<file path=xl/ctrlProps/ctrlProp106.xml><?xml version="1.0" encoding="utf-8"?>
<formControlPr xmlns="http://schemas.microsoft.com/office/spreadsheetml/2009/9/main" objectType="CheckBox" fmlaLink="Respostas_usuario!$AC$53" lockText="1"/>
</file>

<file path=xl/ctrlProps/ctrlProp107.xml><?xml version="1.0" encoding="utf-8"?>
<formControlPr xmlns="http://schemas.microsoft.com/office/spreadsheetml/2009/9/main" objectType="CheckBox" fmlaLink="Respostas_usuario!$AC$54" lockText="1"/>
</file>

<file path=xl/ctrlProps/ctrlProp108.xml><?xml version="1.0" encoding="utf-8"?>
<formControlPr xmlns="http://schemas.microsoft.com/office/spreadsheetml/2009/9/main" objectType="CheckBox" fmlaLink="Respostas_usuario!$AC$55" lockText="1"/>
</file>

<file path=xl/ctrlProps/ctrlProp109.xml><?xml version="1.0" encoding="utf-8"?>
<formControlPr xmlns="http://schemas.microsoft.com/office/spreadsheetml/2009/9/main" objectType="CheckBox" fmlaLink="Respostas_usuario!$AC$56" lockText="1"/>
</file>

<file path=xl/ctrlProps/ctrlProp11.xml><?xml version="1.0" encoding="utf-8"?>
<formControlPr xmlns="http://schemas.microsoft.com/office/spreadsheetml/2009/9/main" objectType="CheckBox" fmlaLink="Respostas_usuario!$AB$7" lockText="1"/>
</file>

<file path=xl/ctrlProps/ctrlProp110.xml><?xml version="1.0" encoding="utf-8"?>
<formControlPr xmlns="http://schemas.microsoft.com/office/spreadsheetml/2009/9/main" objectType="CheckBox" fmlaLink="Respostas_usuario!$AC$57" lockText="1"/>
</file>

<file path=xl/ctrlProps/ctrlProp111.xml><?xml version="1.0" encoding="utf-8"?>
<formControlPr xmlns="http://schemas.microsoft.com/office/spreadsheetml/2009/9/main" objectType="CheckBox" fmlaLink="Respostas_usuario!$AC$58" lockText="1"/>
</file>

<file path=xl/ctrlProps/ctrlProp112.xml><?xml version="1.0" encoding="utf-8"?>
<formControlPr xmlns="http://schemas.microsoft.com/office/spreadsheetml/2009/9/main" objectType="CheckBox" fmlaLink="Respostas_usuario!$AC$45" lockText="1"/>
</file>

<file path=xl/ctrlProps/ctrlProp113.xml><?xml version="1.0" encoding="utf-8"?>
<formControlPr xmlns="http://schemas.microsoft.com/office/spreadsheetml/2009/9/main" objectType="CheckBox" fmlaLink="Respostas_usuario!$L$8" lockText="1"/>
</file>

<file path=xl/ctrlProps/ctrlProp114.xml><?xml version="1.0" encoding="utf-8"?>
<formControlPr xmlns="http://schemas.microsoft.com/office/spreadsheetml/2009/9/main" objectType="Radio" firstButton="1" fmlaLink="Respostas_usuario!$K$8" lockText="1"/>
</file>

<file path=xl/ctrlProps/ctrlProp115.xml><?xml version="1.0" encoding="utf-8"?>
<formControlPr xmlns="http://schemas.microsoft.com/office/spreadsheetml/2009/9/main" objectType="Radio" lockText="1"/>
</file>

<file path=xl/ctrlProps/ctrlProp116.xml><?xml version="1.0" encoding="utf-8"?>
<formControlPr xmlns="http://schemas.microsoft.com/office/spreadsheetml/2009/9/main" objectType="CheckBox" fmlaLink="Respostas_usuario!$T$1" lockText="1"/>
</file>

<file path=xl/ctrlProps/ctrlProp117.xml><?xml version="1.0" encoding="utf-8"?>
<formControlPr xmlns="http://schemas.microsoft.com/office/spreadsheetml/2009/9/main" objectType="CheckBox" fmlaLink="Respostas_usuario!$T$2" lockText="1"/>
</file>

<file path=xl/ctrlProps/ctrlProp118.xml><?xml version="1.0" encoding="utf-8"?>
<formControlPr xmlns="http://schemas.microsoft.com/office/spreadsheetml/2009/9/main" objectType="CheckBox" fmlaLink="Respostas_usuario!$AB$64" lockText="1"/>
</file>

<file path=xl/ctrlProps/ctrlProp119.xml><?xml version="1.0" encoding="utf-8"?>
<formControlPr xmlns="http://schemas.microsoft.com/office/spreadsheetml/2009/9/main" objectType="CheckBox" fmlaLink="Respostas_usuario!$AB$66" lockText="1"/>
</file>

<file path=xl/ctrlProps/ctrlProp12.xml><?xml version="1.0" encoding="utf-8"?>
<formControlPr xmlns="http://schemas.microsoft.com/office/spreadsheetml/2009/9/main" objectType="CheckBox" fmlaLink="Respostas_usuario!$AB$8" lockText="1"/>
</file>

<file path=xl/ctrlProps/ctrlProp120.xml><?xml version="1.0" encoding="utf-8"?>
<formControlPr xmlns="http://schemas.microsoft.com/office/spreadsheetml/2009/9/main" objectType="CheckBox" fmlaLink="Respostas_usuario!$AB$67" lockText="1"/>
</file>

<file path=xl/ctrlProps/ctrlProp121.xml><?xml version="1.0" encoding="utf-8"?>
<formControlPr xmlns="http://schemas.microsoft.com/office/spreadsheetml/2009/9/main" objectType="CheckBox" fmlaLink="Respostas_usuario!$AB$68" lockText="1"/>
</file>

<file path=xl/ctrlProps/ctrlProp122.xml><?xml version="1.0" encoding="utf-8"?>
<formControlPr xmlns="http://schemas.microsoft.com/office/spreadsheetml/2009/9/main" objectType="CheckBox" fmlaLink="Respostas_usuario!$AB$69" lockText="1"/>
</file>

<file path=xl/ctrlProps/ctrlProp123.xml><?xml version="1.0" encoding="utf-8"?>
<formControlPr xmlns="http://schemas.microsoft.com/office/spreadsheetml/2009/9/main" objectType="CheckBox" fmlaLink="Respostas_usuario!$AB$70" lockText="1"/>
</file>

<file path=xl/ctrlProps/ctrlProp124.xml><?xml version="1.0" encoding="utf-8"?>
<formControlPr xmlns="http://schemas.microsoft.com/office/spreadsheetml/2009/9/main" objectType="CheckBox" fmlaLink="Respostas_usuario!$AB$71" lockText="1"/>
</file>

<file path=xl/ctrlProps/ctrlProp125.xml><?xml version="1.0" encoding="utf-8"?>
<formControlPr xmlns="http://schemas.microsoft.com/office/spreadsheetml/2009/9/main" objectType="CheckBox" fmlaLink="Respostas_usuario!$AB$72" lockText="1"/>
</file>

<file path=xl/ctrlProps/ctrlProp126.xml><?xml version="1.0" encoding="utf-8"?>
<formControlPr xmlns="http://schemas.microsoft.com/office/spreadsheetml/2009/9/main" objectType="CheckBox" fmlaLink="Respostas_usuario!$AB$73" lockText="1"/>
</file>

<file path=xl/ctrlProps/ctrlProp127.xml><?xml version="1.0" encoding="utf-8"?>
<formControlPr xmlns="http://schemas.microsoft.com/office/spreadsheetml/2009/9/main" objectType="CheckBox" fmlaLink="Respostas_usuario!$AB$65" lockText="1"/>
</file>

<file path=xl/ctrlProps/ctrlProp128.xml><?xml version="1.0" encoding="utf-8"?>
<formControlPr xmlns="http://schemas.microsoft.com/office/spreadsheetml/2009/9/main" objectType="CheckBox" fmlaLink="Respostas_usuario!$L$9" lockText="1"/>
</file>

<file path=xl/ctrlProps/ctrlProp129.xml><?xml version="1.0" encoding="utf-8"?>
<formControlPr xmlns="http://schemas.microsoft.com/office/spreadsheetml/2009/9/main" objectType="Radio" firstButton="1" fmlaLink="Respostas_usuario!$K$9" lockText="1"/>
</file>

<file path=xl/ctrlProps/ctrlProp13.xml><?xml version="1.0" encoding="utf-8"?>
<formControlPr xmlns="http://schemas.microsoft.com/office/spreadsheetml/2009/9/main" objectType="CheckBox" fmlaLink="Respostas_usuario!$AB$9" lockText="1"/>
</file>

<file path=xl/ctrlProps/ctrlProp130.xml><?xml version="1.0" encoding="utf-8"?>
<formControlPr xmlns="http://schemas.microsoft.com/office/spreadsheetml/2009/9/main" objectType="Radio" lockText="1"/>
</file>

<file path=xl/ctrlProps/ctrlProp131.xml><?xml version="1.0" encoding="utf-8"?>
<formControlPr xmlns="http://schemas.microsoft.com/office/spreadsheetml/2009/9/main" objectType="CheckBox" fmlaLink="Respostas_usuario!$V$1" lockText="1"/>
</file>

<file path=xl/ctrlProps/ctrlProp132.xml><?xml version="1.0" encoding="utf-8"?>
<formControlPr xmlns="http://schemas.microsoft.com/office/spreadsheetml/2009/9/main" objectType="CheckBox" fmlaLink="Respostas_usuario!$V$2" lockText="1"/>
</file>

<file path=xl/ctrlProps/ctrlProp133.xml><?xml version="1.0" encoding="utf-8"?>
<formControlPr xmlns="http://schemas.microsoft.com/office/spreadsheetml/2009/9/main" objectType="CheckBox" fmlaLink="Respostas_usuario!$AC$64" lockText="1"/>
</file>

<file path=xl/ctrlProps/ctrlProp134.xml><?xml version="1.0" encoding="utf-8"?>
<formControlPr xmlns="http://schemas.microsoft.com/office/spreadsheetml/2009/9/main" objectType="CheckBox" fmlaLink="Respostas_usuario!$AC$66" lockText="1"/>
</file>

<file path=xl/ctrlProps/ctrlProp135.xml><?xml version="1.0" encoding="utf-8"?>
<formControlPr xmlns="http://schemas.microsoft.com/office/spreadsheetml/2009/9/main" objectType="CheckBox" fmlaLink="Respostas_usuario!$AC$67" lockText="1"/>
</file>

<file path=xl/ctrlProps/ctrlProp136.xml><?xml version="1.0" encoding="utf-8"?>
<formControlPr xmlns="http://schemas.microsoft.com/office/spreadsheetml/2009/9/main" objectType="CheckBox" fmlaLink="Respostas_usuario!$AC$68" lockText="1"/>
</file>

<file path=xl/ctrlProps/ctrlProp137.xml><?xml version="1.0" encoding="utf-8"?>
<formControlPr xmlns="http://schemas.microsoft.com/office/spreadsheetml/2009/9/main" objectType="CheckBox" fmlaLink="Respostas_usuario!$AC$69" lockText="1"/>
</file>

<file path=xl/ctrlProps/ctrlProp138.xml><?xml version="1.0" encoding="utf-8"?>
<formControlPr xmlns="http://schemas.microsoft.com/office/spreadsheetml/2009/9/main" objectType="CheckBox" fmlaLink="Respostas_usuario!$AC$70" lockText="1"/>
</file>

<file path=xl/ctrlProps/ctrlProp139.xml><?xml version="1.0" encoding="utf-8"?>
<formControlPr xmlns="http://schemas.microsoft.com/office/spreadsheetml/2009/9/main" objectType="CheckBox" fmlaLink="Respostas_usuario!$AC$71" lockText="1"/>
</file>

<file path=xl/ctrlProps/ctrlProp14.xml><?xml version="1.0" encoding="utf-8"?>
<formControlPr xmlns="http://schemas.microsoft.com/office/spreadsheetml/2009/9/main" objectType="CheckBox" fmlaLink="Respostas_usuario!$AB$10" lockText="1"/>
</file>

<file path=xl/ctrlProps/ctrlProp140.xml><?xml version="1.0" encoding="utf-8"?>
<formControlPr xmlns="http://schemas.microsoft.com/office/spreadsheetml/2009/9/main" objectType="CheckBox" fmlaLink="Respostas_usuario!$AC$72" lockText="1"/>
</file>

<file path=xl/ctrlProps/ctrlProp141.xml><?xml version="1.0" encoding="utf-8"?>
<formControlPr xmlns="http://schemas.microsoft.com/office/spreadsheetml/2009/9/main" objectType="CheckBox" fmlaLink="Respostas_usuario!$AC$73" lockText="1"/>
</file>

<file path=xl/ctrlProps/ctrlProp142.xml><?xml version="1.0" encoding="utf-8"?>
<formControlPr xmlns="http://schemas.microsoft.com/office/spreadsheetml/2009/9/main" objectType="CheckBox" fmlaLink="Respostas_usuario!$AC$65" lockText="1"/>
</file>

<file path=xl/ctrlProps/ctrlProp143.xml><?xml version="1.0" encoding="utf-8"?>
<formControlPr xmlns="http://schemas.microsoft.com/office/spreadsheetml/2009/9/main" objectType="CheckBox" fmlaLink="Respostas_usuario!$T$14" lockText="1"/>
</file>

<file path=xl/ctrlProps/ctrlProp144.xml><?xml version="1.0" encoding="utf-8"?>
<formControlPr xmlns="http://schemas.microsoft.com/office/spreadsheetml/2009/9/main" objectType="CheckBox" fmlaLink="Respostas_usuario!$T$11" lockText="1"/>
</file>

<file path=xl/ctrlProps/ctrlProp145.xml><?xml version="1.0" encoding="utf-8"?>
<formControlPr xmlns="http://schemas.microsoft.com/office/spreadsheetml/2009/9/main" objectType="CheckBox" fmlaLink="Respostas_usuario!$T$12" lockText="1"/>
</file>

<file path=xl/ctrlProps/ctrlProp146.xml><?xml version="1.0" encoding="utf-8"?>
<formControlPr xmlns="http://schemas.microsoft.com/office/spreadsheetml/2009/9/main" objectType="CheckBox" fmlaLink="Respostas_usuario!$T$13" lockText="1"/>
</file>

<file path=xl/ctrlProps/ctrlProp147.xml><?xml version="1.0" encoding="utf-8"?>
<formControlPr xmlns="http://schemas.microsoft.com/office/spreadsheetml/2009/9/main" objectType="CheckBox" fmlaLink="Respostas_usuario!$T$8" lockText="1"/>
</file>

<file path=xl/ctrlProps/ctrlProp148.xml><?xml version="1.0" encoding="utf-8"?>
<formControlPr xmlns="http://schemas.microsoft.com/office/spreadsheetml/2009/9/main" objectType="CheckBox" fmlaLink="Respostas_usuario!$T$7" lockText="1"/>
</file>

<file path=xl/ctrlProps/ctrlProp149.xml><?xml version="1.0" encoding="utf-8"?>
<formControlPr xmlns="http://schemas.microsoft.com/office/spreadsheetml/2009/9/main" objectType="CheckBox" fmlaLink="Respostas_usuario!$T$6" lockText="1"/>
</file>

<file path=xl/ctrlProps/ctrlProp15.xml><?xml version="1.0" encoding="utf-8"?>
<formControlPr xmlns="http://schemas.microsoft.com/office/spreadsheetml/2009/9/main" objectType="CheckBox" fmlaLink="Respostas_usuario!$AB$11" lockText="1"/>
</file>

<file path=xl/ctrlProps/ctrlProp150.xml><?xml version="1.0" encoding="utf-8"?>
<formControlPr xmlns="http://schemas.microsoft.com/office/spreadsheetml/2009/9/main" objectType="Radio" firstButton="1" fmlaLink="Respostas_usuario!$K$10" lockText="1"/>
</file>

<file path=xl/ctrlProps/ctrlProp151.xml><?xml version="1.0" encoding="utf-8"?>
<formControlPr xmlns="http://schemas.microsoft.com/office/spreadsheetml/2009/9/main" objectType="Radio" lockText="1"/>
</file>

<file path=xl/ctrlProps/ctrlProp152.xml><?xml version="1.0" encoding="utf-8"?>
<formControlPr xmlns="http://schemas.microsoft.com/office/spreadsheetml/2009/9/main" objectType="CheckBox" fmlaLink="Respostas_usuario!$V$14" lockText="1"/>
</file>

<file path=xl/ctrlProps/ctrlProp153.xml><?xml version="1.0" encoding="utf-8"?>
<formControlPr xmlns="http://schemas.microsoft.com/office/spreadsheetml/2009/9/main" objectType="CheckBox" fmlaLink="Respostas_usuario!$V$11" lockText="1"/>
</file>

<file path=xl/ctrlProps/ctrlProp154.xml><?xml version="1.0" encoding="utf-8"?>
<formControlPr xmlns="http://schemas.microsoft.com/office/spreadsheetml/2009/9/main" objectType="CheckBox" fmlaLink="Respostas_usuario!$V$12" lockText="1"/>
</file>

<file path=xl/ctrlProps/ctrlProp155.xml><?xml version="1.0" encoding="utf-8"?>
<formControlPr xmlns="http://schemas.microsoft.com/office/spreadsheetml/2009/9/main" objectType="CheckBox" fmlaLink="Respostas_usuario!$V$13" lockText="1"/>
</file>

<file path=xl/ctrlProps/ctrlProp156.xml><?xml version="1.0" encoding="utf-8"?>
<formControlPr xmlns="http://schemas.microsoft.com/office/spreadsheetml/2009/9/main" objectType="CheckBox" fmlaLink="Respostas_usuario!$V$8" lockText="1"/>
</file>

<file path=xl/ctrlProps/ctrlProp157.xml><?xml version="1.0" encoding="utf-8"?>
<formControlPr xmlns="http://schemas.microsoft.com/office/spreadsheetml/2009/9/main" objectType="CheckBox" fmlaLink="Respostas_usuario!$V$7" lockText="1"/>
</file>

<file path=xl/ctrlProps/ctrlProp158.xml><?xml version="1.0" encoding="utf-8"?>
<formControlPr xmlns="http://schemas.microsoft.com/office/spreadsheetml/2009/9/main" objectType="CheckBox" fmlaLink="Respostas_usuario!$V$6" lockText="1"/>
</file>

<file path=xl/ctrlProps/ctrlProp159.xml><?xml version="1.0" encoding="utf-8"?>
<formControlPr xmlns="http://schemas.microsoft.com/office/spreadsheetml/2009/9/main" objectType="Radio" firstButton="1" fmlaLink="Respostas_usuario!$K$11" lockText="1"/>
</file>

<file path=xl/ctrlProps/ctrlProp16.xml><?xml version="1.0" encoding="utf-8"?>
<formControlPr xmlns="http://schemas.microsoft.com/office/spreadsheetml/2009/9/main" objectType="CheckBox" fmlaLink="Respostas_usuario!$AB$12" lockText="1"/>
</file>

<file path=xl/ctrlProps/ctrlProp160.xml><?xml version="1.0" encoding="utf-8"?>
<formControlPr xmlns="http://schemas.microsoft.com/office/spreadsheetml/2009/9/main" objectType="Radio" lockText="1"/>
</file>

<file path=xl/ctrlProps/ctrlProp161.xml><?xml version="1.0" encoding="utf-8"?>
<formControlPr xmlns="http://schemas.microsoft.com/office/spreadsheetml/2009/9/main" objectType="CheckBox" fmlaLink="Respostas_usuario!$X$6" lockText="1"/>
</file>

<file path=xl/ctrlProps/ctrlProp162.xml><?xml version="1.0" encoding="utf-8"?>
<formControlPr xmlns="http://schemas.microsoft.com/office/spreadsheetml/2009/9/main" objectType="CheckBox" fmlaLink="Respostas_usuario!$X$7" lockText="1"/>
</file>

<file path=xl/ctrlProps/ctrlProp163.xml><?xml version="1.0" encoding="utf-8"?>
<formControlPr xmlns="http://schemas.microsoft.com/office/spreadsheetml/2009/9/main" objectType="CheckBox" fmlaLink="Respostas_usuario!$X$8" lockText="1"/>
</file>

<file path=xl/ctrlProps/ctrlProp164.xml><?xml version="1.0" encoding="utf-8"?>
<formControlPr xmlns="http://schemas.microsoft.com/office/spreadsheetml/2009/9/main" objectType="CheckBox" fmlaLink="Respostas_usuario!$X$9" lockText="1"/>
</file>

<file path=xl/ctrlProps/ctrlProp165.xml><?xml version="1.0" encoding="utf-8"?>
<formControlPr xmlns="http://schemas.microsoft.com/office/spreadsheetml/2009/9/main" objectType="CheckBox" fmlaLink="Respostas_usuario!$X$10" lockText="1"/>
</file>

<file path=xl/ctrlProps/ctrlProp166.xml><?xml version="1.0" encoding="utf-8"?>
<formControlPr xmlns="http://schemas.microsoft.com/office/spreadsheetml/2009/9/main" objectType="CheckBox" fmlaLink="Respostas_usuario!$X$1" lockText="1"/>
</file>

<file path=xl/ctrlProps/ctrlProp167.xml><?xml version="1.0" encoding="utf-8"?>
<formControlPr xmlns="http://schemas.microsoft.com/office/spreadsheetml/2009/9/main" objectType="CheckBox" fmlaLink="Respostas_usuario!$X$2" lockText="1"/>
</file>

<file path=xl/ctrlProps/ctrlProp168.xml><?xml version="1.0" encoding="utf-8"?>
<formControlPr xmlns="http://schemas.microsoft.com/office/spreadsheetml/2009/9/main" objectType="CheckBox" fmlaLink="Respostas_usuario!$X$3" lockText="1"/>
</file>

<file path=xl/ctrlProps/ctrlProp169.xml><?xml version="1.0" encoding="utf-8"?>
<formControlPr xmlns="http://schemas.microsoft.com/office/spreadsheetml/2009/9/main" objectType="CheckBox" fmlaLink="Respostas_usuario!$X$11" lockText="1"/>
</file>

<file path=xl/ctrlProps/ctrlProp17.xml><?xml version="1.0" encoding="utf-8"?>
<formControlPr xmlns="http://schemas.microsoft.com/office/spreadsheetml/2009/9/main" objectType="CheckBox" fmlaLink="Respostas_usuario!$AB$13" lockText="1"/>
</file>

<file path=xl/ctrlProps/ctrlProp170.xml><?xml version="1.0" encoding="utf-8"?>
<formControlPr xmlns="http://schemas.microsoft.com/office/spreadsheetml/2009/9/main" objectType="Radio" firstButton="1" fmlaLink="Respostas_usuario!$K$12"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CheckBox" fmlaLink="Respostas_usuario!$Z$6" lockText="1"/>
</file>

<file path=xl/ctrlProps/ctrlProp173.xml><?xml version="1.0" encoding="utf-8"?>
<formControlPr xmlns="http://schemas.microsoft.com/office/spreadsheetml/2009/9/main" objectType="CheckBox" fmlaLink="Respostas_usuario!$Z$7" lockText="1"/>
</file>

<file path=xl/ctrlProps/ctrlProp174.xml><?xml version="1.0" encoding="utf-8"?>
<formControlPr xmlns="http://schemas.microsoft.com/office/spreadsheetml/2009/9/main" objectType="CheckBox" fmlaLink="Respostas_usuario!$Z$8" lockText="1"/>
</file>

<file path=xl/ctrlProps/ctrlProp175.xml><?xml version="1.0" encoding="utf-8"?>
<formControlPr xmlns="http://schemas.microsoft.com/office/spreadsheetml/2009/9/main" objectType="CheckBox" fmlaLink="Respostas_usuario!$Z$9" lockText="1"/>
</file>

<file path=xl/ctrlProps/ctrlProp176.xml><?xml version="1.0" encoding="utf-8"?>
<formControlPr xmlns="http://schemas.microsoft.com/office/spreadsheetml/2009/9/main" objectType="CheckBox" fmlaLink="Respostas_usuario!$Z$10" lockText="1"/>
</file>

<file path=xl/ctrlProps/ctrlProp177.xml><?xml version="1.0" encoding="utf-8"?>
<formControlPr xmlns="http://schemas.microsoft.com/office/spreadsheetml/2009/9/main" objectType="CheckBox" fmlaLink="Respostas_usuario!$Z$1" lockText="1"/>
</file>

<file path=xl/ctrlProps/ctrlProp178.xml><?xml version="1.0" encoding="utf-8"?>
<formControlPr xmlns="http://schemas.microsoft.com/office/spreadsheetml/2009/9/main" objectType="CheckBox" fmlaLink="Respostas_usuario!$Z$2" lockText="1"/>
</file>

<file path=xl/ctrlProps/ctrlProp179.xml><?xml version="1.0" encoding="utf-8"?>
<formControlPr xmlns="http://schemas.microsoft.com/office/spreadsheetml/2009/9/main" objectType="CheckBox" fmlaLink="Respostas_usuario!$Z$3" lockText="1"/>
</file>

<file path=xl/ctrlProps/ctrlProp18.xml><?xml version="1.0" encoding="utf-8"?>
<formControlPr xmlns="http://schemas.microsoft.com/office/spreadsheetml/2009/9/main" objectType="CheckBox" fmlaLink="Respostas_usuario!$AB$14" lockText="1"/>
</file>

<file path=xl/ctrlProps/ctrlProp180.xml><?xml version="1.0" encoding="utf-8"?>
<formControlPr xmlns="http://schemas.microsoft.com/office/spreadsheetml/2009/9/main" objectType="CheckBox" fmlaLink="Respostas_usuario!$Z$11" lockText="1"/>
</file>

<file path=xl/ctrlProps/ctrlProp181.xml><?xml version="1.0" encoding="utf-8"?>
<formControlPr xmlns="http://schemas.microsoft.com/office/spreadsheetml/2009/9/main" objectType="Radio" firstButton="1" fmlaLink="Respostas_usuario!$K$13"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firstButton="1" fmlaLink="Respostas_usuario!$K$14"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Radio" firstButton="1" fmlaLink="Respostas_usuario!$K$15" lockText="1"/>
</file>

<file path=xl/ctrlProps/ctrlProp186.xml><?xml version="1.0" encoding="utf-8"?>
<formControlPr xmlns="http://schemas.microsoft.com/office/spreadsheetml/2009/9/main" objectType="Radio" lockText="1"/>
</file>

<file path=xl/ctrlProps/ctrlProp187.xml><?xml version="1.0" encoding="utf-8"?>
<formControlPr xmlns="http://schemas.microsoft.com/office/spreadsheetml/2009/9/main" objectType="Radio" firstButton="1" fmlaLink="Respostas_usuario!$K$16"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firstButton="1" fmlaLink="Respostas_usuario!$K$17" lockText="1"/>
</file>

<file path=xl/ctrlProps/ctrlProp19.xml><?xml version="1.0" encoding="utf-8"?>
<formControlPr xmlns="http://schemas.microsoft.com/office/spreadsheetml/2009/9/main" objectType="CheckBox" fmlaLink="Respostas_usuario!$AB$15" lockText="1"/>
</file>

<file path=xl/ctrlProps/ctrlProp190.xml><?xml version="1.0" encoding="utf-8"?>
<formControlPr xmlns="http://schemas.microsoft.com/office/spreadsheetml/2009/9/main" objectType="Radio" lockText="1"/>
</file>

<file path=xl/ctrlProps/ctrlProp191.xml><?xml version="1.0" encoding="utf-8"?>
<formControlPr xmlns="http://schemas.microsoft.com/office/spreadsheetml/2009/9/main" objectType="Radio" firstButton="1" fmlaLink="Respostas_usuario!$K$18"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Radio" firstButton="1" fmlaLink="Respostas_usuario!$K$19" lockText="1"/>
</file>

<file path=xl/ctrlProps/ctrlProp194.xml><?xml version="1.0" encoding="utf-8"?>
<formControlPr xmlns="http://schemas.microsoft.com/office/spreadsheetml/2009/9/main" objectType="Radio" lockText="1"/>
</file>

<file path=xl/ctrlProps/ctrlProp195.xml><?xml version="1.0" encoding="utf-8"?>
<formControlPr xmlns="http://schemas.microsoft.com/office/spreadsheetml/2009/9/main" objectType="Radio" firstButton="1" fmlaLink="Respostas_usuario!$K$20" lockText="1"/>
</file>

<file path=xl/ctrlProps/ctrlProp196.xml><?xml version="1.0" encoding="utf-8"?>
<formControlPr xmlns="http://schemas.microsoft.com/office/spreadsheetml/2009/9/main" objectType="Radio" lockText="1"/>
</file>

<file path=xl/ctrlProps/ctrlProp197.xml><?xml version="1.0" encoding="utf-8"?>
<formControlPr xmlns="http://schemas.microsoft.com/office/spreadsheetml/2009/9/main" objectType="CheckBox" fmlaLink="Respostas_usuario!$S$18" lockText="1"/>
</file>

<file path=xl/ctrlProps/ctrlProp198.xml><?xml version="1.0" encoding="utf-8"?>
<formControlPr xmlns="http://schemas.microsoft.com/office/spreadsheetml/2009/9/main" objectType="Radio" firstButton="1" fmlaLink="Respostas_usuario!$K$21"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spostas_usuario!$E$3" lockText="1"/>
</file>

<file path=xl/ctrlProps/ctrlProp20.xml><?xml version="1.0" encoding="utf-8"?>
<formControlPr xmlns="http://schemas.microsoft.com/office/spreadsheetml/2009/9/main" objectType="CheckBox" fmlaLink="Respostas_usuario!$AB$16" lockText="1"/>
</file>

<file path=xl/ctrlProps/ctrlProp200.xml><?xml version="1.0" encoding="utf-8"?>
<formControlPr xmlns="http://schemas.microsoft.com/office/spreadsheetml/2009/9/main" objectType="CheckBox" fmlaLink="Respostas_usuario!$T$18" lockText="1"/>
</file>

<file path=xl/ctrlProps/ctrlProp201.xml><?xml version="1.0" encoding="utf-8"?>
<formControlPr xmlns="http://schemas.microsoft.com/office/spreadsheetml/2009/9/main" objectType="CheckBox" fmlaLink="Respostas_usuario!$S$24" lockText="1"/>
</file>

<file path=xl/ctrlProps/ctrlProp202.xml><?xml version="1.0" encoding="utf-8"?>
<formControlPr xmlns="http://schemas.microsoft.com/office/spreadsheetml/2009/9/main" objectType="CheckBox" fmlaLink="Respostas_usuario!$S$25" lockText="1"/>
</file>

<file path=xl/ctrlProps/ctrlProp203.xml><?xml version="1.0" encoding="utf-8"?>
<formControlPr xmlns="http://schemas.microsoft.com/office/spreadsheetml/2009/9/main" objectType="CheckBox" fmlaLink="Respostas_usuario!$S$22" lockText="1"/>
</file>

<file path=xl/ctrlProps/ctrlProp204.xml><?xml version="1.0" encoding="utf-8"?>
<formControlPr xmlns="http://schemas.microsoft.com/office/spreadsheetml/2009/9/main" objectType="CheckBox" fmlaLink="Respostas_usuario!$S$23" lockText="1"/>
</file>

<file path=xl/ctrlProps/ctrlProp21.xml><?xml version="1.0" encoding="utf-8"?>
<formControlPr xmlns="http://schemas.microsoft.com/office/spreadsheetml/2009/9/main" objectType="CheckBox" fmlaLink="Respostas_usuario!$AB$17" lockText="1"/>
</file>

<file path=xl/ctrlProps/ctrlProp22.xml><?xml version="1.0" encoding="utf-8"?>
<formControlPr xmlns="http://schemas.microsoft.com/office/spreadsheetml/2009/9/main" objectType="CheckBox" fmlaLink="Respostas_usuario!$AB$18" lockText="1"/>
</file>

<file path=xl/ctrlProps/ctrlProp23.xml><?xml version="1.0" encoding="utf-8"?>
<formControlPr xmlns="http://schemas.microsoft.com/office/spreadsheetml/2009/9/main" objectType="CheckBox" fmlaLink="Respostas_usuario!$L$3" lockText="1"/>
</file>

<file path=xl/ctrlProps/ctrlProp24.xml><?xml version="1.0" encoding="utf-8"?>
<formControlPr xmlns="http://schemas.microsoft.com/office/spreadsheetml/2009/9/main" objectType="Radio" firstButton="1" fmlaLink="Respostas_usuario!$K$3" lockText="1"/>
</file>

<file path=xl/ctrlProps/ctrlProp25.xml><?xml version="1.0" encoding="utf-8"?>
<formControlPr xmlns="http://schemas.microsoft.com/office/spreadsheetml/2009/9/main" objectType="Radio" lockText="1"/>
</file>

<file path=xl/ctrlProps/ctrlProp26.xml><?xml version="1.0" encoding="utf-8"?>
<formControlPr xmlns="http://schemas.microsoft.com/office/spreadsheetml/2009/9/main" objectType="CheckBox" fmlaLink="Respostas_usuario!$AC$4" lockText="1"/>
</file>

<file path=xl/ctrlProps/ctrlProp27.xml><?xml version="1.0" encoding="utf-8"?>
<formControlPr xmlns="http://schemas.microsoft.com/office/spreadsheetml/2009/9/main" objectType="CheckBox" fmlaLink="Respostas_usuario!$AC$6" lockText="1"/>
</file>

<file path=xl/ctrlProps/ctrlProp28.xml><?xml version="1.0" encoding="utf-8"?>
<formControlPr xmlns="http://schemas.microsoft.com/office/spreadsheetml/2009/9/main" objectType="CheckBox" fmlaLink="Respostas_usuario!$AC$7" lockText="1"/>
</file>

<file path=xl/ctrlProps/ctrlProp29.xml><?xml version="1.0" encoding="utf-8"?>
<formControlPr xmlns="http://schemas.microsoft.com/office/spreadsheetml/2009/9/main" objectType="CheckBox" fmlaLink="Respostas_usuario!$AC$8" lockText="1"/>
</file>

<file path=xl/ctrlProps/ctrlProp3.xml><?xml version="1.0" encoding="utf-8"?>
<formControlPr xmlns="http://schemas.microsoft.com/office/spreadsheetml/2009/9/main" objectType="CheckBox" fmlaLink="Respostas_usuario!$E$4" lockText="1"/>
</file>

<file path=xl/ctrlProps/ctrlProp30.xml><?xml version="1.0" encoding="utf-8"?>
<formControlPr xmlns="http://schemas.microsoft.com/office/spreadsheetml/2009/9/main" objectType="CheckBox" fmlaLink="Respostas_usuario!$AC$9" lockText="1"/>
</file>

<file path=xl/ctrlProps/ctrlProp31.xml><?xml version="1.0" encoding="utf-8"?>
<formControlPr xmlns="http://schemas.microsoft.com/office/spreadsheetml/2009/9/main" objectType="CheckBox" fmlaLink="Respostas_usuario!$AC$10" lockText="1"/>
</file>

<file path=xl/ctrlProps/ctrlProp32.xml><?xml version="1.0" encoding="utf-8"?>
<formControlPr xmlns="http://schemas.microsoft.com/office/spreadsheetml/2009/9/main" objectType="CheckBox" fmlaLink="Respostas_usuario!$AC$11" lockText="1"/>
</file>

<file path=xl/ctrlProps/ctrlProp33.xml><?xml version="1.0" encoding="utf-8"?>
<formControlPr xmlns="http://schemas.microsoft.com/office/spreadsheetml/2009/9/main" objectType="CheckBox" fmlaLink="Respostas_usuario!$AC$12" lockText="1"/>
</file>

<file path=xl/ctrlProps/ctrlProp34.xml><?xml version="1.0" encoding="utf-8"?>
<formControlPr xmlns="http://schemas.microsoft.com/office/spreadsheetml/2009/9/main" objectType="CheckBox" fmlaLink="Respostas_usuario!$AC$13" lockText="1"/>
</file>

<file path=xl/ctrlProps/ctrlProp35.xml><?xml version="1.0" encoding="utf-8"?>
<formControlPr xmlns="http://schemas.microsoft.com/office/spreadsheetml/2009/9/main" objectType="CheckBox" fmlaLink="Respostas_usuario!$AC$14" lockText="1"/>
</file>

<file path=xl/ctrlProps/ctrlProp36.xml><?xml version="1.0" encoding="utf-8"?>
<formControlPr xmlns="http://schemas.microsoft.com/office/spreadsheetml/2009/9/main" objectType="CheckBox" fmlaLink="Respostas_usuario!$AC$15" lockText="1"/>
</file>

<file path=xl/ctrlProps/ctrlProp37.xml><?xml version="1.0" encoding="utf-8"?>
<formControlPr xmlns="http://schemas.microsoft.com/office/spreadsheetml/2009/9/main" objectType="CheckBox" fmlaLink="Respostas_usuario!$AC$16" lockText="1"/>
</file>

<file path=xl/ctrlProps/ctrlProp38.xml><?xml version="1.0" encoding="utf-8"?>
<formControlPr xmlns="http://schemas.microsoft.com/office/spreadsheetml/2009/9/main" objectType="CheckBox" fmlaLink="Respostas_usuario!$AC$17" lockText="1"/>
</file>

<file path=xl/ctrlProps/ctrlProp39.xml><?xml version="1.0" encoding="utf-8"?>
<formControlPr xmlns="http://schemas.microsoft.com/office/spreadsheetml/2009/9/main" objectType="CheckBox" fmlaLink="Respostas_usuario!$AC$18" lockText="1"/>
</file>

<file path=xl/ctrlProps/ctrlProp4.xml><?xml version="1.0" encoding="utf-8"?>
<formControlPr xmlns="http://schemas.microsoft.com/office/spreadsheetml/2009/9/main" objectType="CheckBox" fmlaLink="Respostas_usuario!$G$2" lockText="1"/>
</file>

<file path=xl/ctrlProps/ctrlProp40.xml><?xml version="1.0" encoding="utf-8"?>
<formControlPr xmlns="http://schemas.microsoft.com/office/spreadsheetml/2009/9/main" objectType="CheckBox" fmlaLink="Respostas_usuario!$AC$5" lockText="1"/>
</file>

<file path=xl/ctrlProps/ctrlProp41.xml><?xml version="1.0" encoding="utf-8"?>
<formControlPr xmlns="http://schemas.microsoft.com/office/spreadsheetml/2009/9/main" objectType="CheckBox" fmlaLink="Respostas_usuario!$L$4" lockText="1"/>
</file>

<file path=xl/ctrlProps/ctrlProp42.xml><?xml version="1.0" encoding="utf-8"?>
<formControlPr xmlns="http://schemas.microsoft.com/office/spreadsheetml/2009/9/main" objectType="Radio" firstButton="1" fmlaLink="Respostas_usuario!$K$4"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Respostas_usuario!$AB$24" lockText="1"/>
</file>

<file path=xl/ctrlProps/ctrlProp45.xml><?xml version="1.0" encoding="utf-8"?>
<formControlPr xmlns="http://schemas.microsoft.com/office/spreadsheetml/2009/9/main" objectType="CheckBox" fmlaLink="Respostas_usuario!$AB$26" lockText="1"/>
</file>

<file path=xl/ctrlProps/ctrlProp46.xml><?xml version="1.0" encoding="utf-8"?>
<formControlPr xmlns="http://schemas.microsoft.com/office/spreadsheetml/2009/9/main" objectType="CheckBox" fmlaLink="Respostas_usuario!$AB$27" lockText="1"/>
</file>

<file path=xl/ctrlProps/ctrlProp47.xml><?xml version="1.0" encoding="utf-8"?>
<formControlPr xmlns="http://schemas.microsoft.com/office/spreadsheetml/2009/9/main" objectType="CheckBox" fmlaLink="Respostas_usuario!$AB$28" lockText="1"/>
</file>

<file path=xl/ctrlProps/ctrlProp48.xml><?xml version="1.0" encoding="utf-8"?>
<formControlPr xmlns="http://schemas.microsoft.com/office/spreadsheetml/2009/9/main" objectType="CheckBox" fmlaLink="Respostas_usuario!$AB$29" lockText="1"/>
</file>

<file path=xl/ctrlProps/ctrlProp49.xml><?xml version="1.0" encoding="utf-8"?>
<formControlPr xmlns="http://schemas.microsoft.com/office/spreadsheetml/2009/9/main" objectType="CheckBox" fmlaLink="Respostas_usuario!$AB$30" lockText="1"/>
</file>

<file path=xl/ctrlProps/ctrlProp5.xml><?xml version="1.0" encoding="utf-8"?>
<formControlPr xmlns="http://schemas.microsoft.com/office/spreadsheetml/2009/9/main" objectType="CheckBox" fmlaLink="Respostas_usuario!$L$2" lockText="1"/>
</file>

<file path=xl/ctrlProps/ctrlProp50.xml><?xml version="1.0" encoding="utf-8"?>
<formControlPr xmlns="http://schemas.microsoft.com/office/spreadsheetml/2009/9/main" objectType="CheckBox" fmlaLink="Respostas_usuario!$AB$31" lockText="1"/>
</file>

<file path=xl/ctrlProps/ctrlProp51.xml><?xml version="1.0" encoding="utf-8"?>
<formControlPr xmlns="http://schemas.microsoft.com/office/spreadsheetml/2009/9/main" objectType="CheckBox" fmlaLink="Respostas_usuario!$AB$32" lockText="1"/>
</file>

<file path=xl/ctrlProps/ctrlProp52.xml><?xml version="1.0" encoding="utf-8"?>
<formControlPr xmlns="http://schemas.microsoft.com/office/spreadsheetml/2009/9/main" objectType="CheckBox" fmlaLink="Respostas_usuario!$AB$33" lockText="1"/>
</file>

<file path=xl/ctrlProps/ctrlProp53.xml><?xml version="1.0" encoding="utf-8"?>
<formControlPr xmlns="http://schemas.microsoft.com/office/spreadsheetml/2009/9/main" objectType="CheckBox" fmlaLink="Respostas_usuario!$AB$34" lockText="1"/>
</file>

<file path=xl/ctrlProps/ctrlProp54.xml><?xml version="1.0" encoding="utf-8"?>
<formControlPr xmlns="http://schemas.microsoft.com/office/spreadsheetml/2009/9/main" objectType="CheckBox" fmlaLink="Respostas_usuario!$AB$35" lockText="1"/>
</file>

<file path=xl/ctrlProps/ctrlProp55.xml><?xml version="1.0" encoding="utf-8"?>
<formControlPr xmlns="http://schemas.microsoft.com/office/spreadsheetml/2009/9/main" objectType="CheckBox" fmlaLink="Respostas_usuario!$AB$36" lockText="1"/>
</file>

<file path=xl/ctrlProps/ctrlProp56.xml><?xml version="1.0" encoding="utf-8"?>
<formControlPr xmlns="http://schemas.microsoft.com/office/spreadsheetml/2009/9/main" objectType="CheckBox" fmlaLink="Respostas_usuario!$AB$37" lockText="1"/>
</file>

<file path=xl/ctrlProps/ctrlProp57.xml><?xml version="1.0" encoding="utf-8"?>
<formControlPr xmlns="http://schemas.microsoft.com/office/spreadsheetml/2009/9/main" objectType="CheckBox" fmlaLink="Respostas_usuario!$AB$38" lockText="1"/>
</file>

<file path=xl/ctrlProps/ctrlProp58.xml><?xml version="1.0" encoding="utf-8"?>
<formControlPr xmlns="http://schemas.microsoft.com/office/spreadsheetml/2009/9/main" objectType="CheckBox" fmlaLink="Respostas_usuario!$AB$25" lockText="1"/>
</file>

<file path=xl/ctrlProps/ctrlProp59.xml><?xml version="1.0" encoding="utf-8"?>
<formControlPr xmlns="http://schemas.microsoft.com/office/spreadsheetml/2009/9/main" objectType="CheckBox" fmlaLink="Respostas_usuario!$L$5" lockText="1"/>
</file>

<file path=xl/ctrlProps/ctrlProp6.xml><?xml version="1.0" encoding="utf-8"?>
<formControlPr xmlns="http://schemas.microsoft.com/office/spreadsheetml/2009/9/main" objectType="Radio" firstButton="1" fmlaLink="Respostas_usuario!$K$2" lockText="1"/>
</file>

<file path=xl/ctrlProps/ctrlProp60.xml><?xml version="1.0" encoding="utf-8"?>
<formControlPr xmlns="http://schemas.microsoft.com/office/spreadsheetml/2009/9/main" objectType="Radio" firstButton="1" fmlaLink="Respostas_usuario!$K$5"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CheckBox" fmlaLink="Respostas_usuario!$AC$24" lockText="1"/>
</file>

<file path=xl/ctrlProps/ctrlProp63.xml><?xml version="1.0" encoding="utf-8"?>
<formControlPr xmlns="http://schemas.microsoft.com/office/spreadsheetml/2009/9/main" objectType="CheckBox" fmlaLink="Respostas_usuario!$AC$26" lockText="1"/>
</file>

<file path=xl/ctrlProps/ctrlProp64.xml><?xml version="1.0" encoding="utf-8"?>
<formControlPr xmlns="http://schemas.microsoft.com/office/spreadsheetml/2009/9/main" objectType="CheckBox" fmlaLink="Respostas_usuario!$AC$27" lockText="1"/>
</file>

<file path=xl/ctrlProps/ctrlProp65.xml><?xml version="1.0" encoding="utf-8"?>
<formControlPr xmlns="http://schemas.microsoft.com/office/spreadsheetml/2009/9/main" objectType="CheckBox" fmlaLink="Respostas_usuario!$AC$28" lockText="1"/>
</file>

<file path=xl/ctrlProps/ctrlProp66.xml><?xml version="1.0" encoding="utf-8"?>
<formControlPr xmlns="http://schemas.microsoft.com/office/spreadsheetml/2009/9/main" objectType="CheckBox" fmlaLink="Respostas_usuario!$AC$29" lockText="1"/>
</file>

<file path=xl/ctrlProps/ctrlProp67.xml><?xml version="1.0" encoding="utf-8"?>
<formControlPr xmlns="http://schemas.microsoft.com/office/spreadsheetml/2009/9/main" objectType="CheckBox" fmlaLink="Respostas_usuario!$AC$30" lockText="1"/>
</file>

<file path=xl/ctrlProps/ctrlProp68.xml><?xml version="1.0" encoding="utf-8"?>
<formControlPr xmlns="http://schemas.microsoft.com/office/spreadsheetml/2009/9/main" objectType="CheckBox" fmlaLink="Respostas_usuario!$AC$31" lockText="1"/>
</file>

<file path=xl/ctrlProps/ctrlProp69.xml><?xml version="1.0" encoding="utf-8"?>
<formControlPr xmlns="http://schemas.microsoft.com/office/spreadsheetml/2009/9/main" objectType="CheckBox" fmlaLink="Respostas_usuario!$AC$32" lockText="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CheckBox" fmlaLink="Respostas_usuario!$AC$33" lockText="1"/>
</file>

<file path=xl/ctrlProps/ctrlProp71.xml><?xml version="1.0" encoding="utf-8"?>
<formControlPr xmlns="http://schemas.microsoft.com/office/spreadsheetml/2009/9/main" objectType="CheckBox" fmlaLink="Respostas_usuario!$AC$34" lockText="1"/>
</file>

<file path=xl/ctrlProps/ctrlProp72.xml><?xml version="1.0" encoding="utf-8"?>
<formControlPr xmlns="http://schemas.microsoft.com/office/spreadsheetml/2009/9/main" objectType="CheckBox" fmlaLink="Respostas_usuario!$AC$35" lockText="1"/>
</file>

<file path=xl/ctrlProps/ctrlProp73.xml><?xml version="1.0" encoding="utf-8"?>
<formControlPr xmlns="http://schemas.microsoft.com/office/spreadsheetml/2009/9/main" objectType="CheckBox" fmlaLink="Respostas_usuario!$AC$36" lockText="1"/>
</file>

<file path=xl/ctrlProps/ctrlProp74.xml><?xml version="1.0" encoding="utf-8"?>
<formControlPr xmlns="http://schemas.microsoft.com/office/spreadsheetml/2009/9/main" objectType="CheckBox" fmlaLink="Respostas_usuario!$AC$37" lockText="1"/>
</file>

<file path=xl/ctrlProps/ctrlProp75.xml><?xml version="1.0" encoding="utf-8"?>
<formControlPr xmlns="http://schemas.microsoft.com/office/spreadsheetml/2009/9/main" objectType="CheckBox" fmlaLink="Respostas_usuario!$AC$38" lockText="1"/>
</file>

<file path=xl/ctrlProps/ctrlProp76.xml><?xml version="1.0" encoding="utf-8"?>
<formControlPr xmlns="http://schemas.microsoft.com/office/spreadsheetml/2009/9/main" objectType="CheckBox" fmlaLink="Respostas_usuario!$AC$25" lockText="1"/>
</file>

<file path=xl/ctrlProps/ctrlProp77.xml><?xml version="1.0" encoding="utf-8"?>
<formControlPr xmlns="http://schemas.microsoft.com/office/spreadsheetml/2009/9/main" objectType="CheckBox" fmlaLink="Respostas_usuario!$L$6" lockText="1"/>
</file>

<file path=xl/ctrlProps/ctrlProp78.xml><?xml version="1.0" encoding="utf-8"?>
<formControlPr xmlns="http://schemas.microsoft.com/office/spreadsheetml/2009/9/main" objectType="Radio" firstButton="1" fmlaLink="Respostas_usuario!$K$6" lockText="1"/>
</file>

<file path=xl/ctrlProps/ctrlProp7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Respostas_usuario!$AB$4" lockText="1"/>
</file>

<file path=xl/ctrlProps/ctrlProp80.xml><?xml version="1.0" encoding="utf-8"?>
<formControlPr xmlns="http://schemas.microsoft.com/office/spreadsheetml/2009/9/main" objectType="CheckBox" fmlaLink="Respostas_usuario!$AB$44" lockText="1"/>
</file>

<file path=xl/ctrlProps/ctrlProp81.xml><?xml version="1.0" encoding="utf-8"?>
<formControlPr xmlns="http://schemas.microsoft.com/office/spreadsheetml/2009/9/main" objectType="CheckBox" fmlaLink="Respostas_usuario!$AB$46" lockText="1"/>
</file>

<file path=xl/ctrlProps/ctrlProp82.xml><?xml version="1.0" encoding="utf-8"?>
<formControlPr xmlns="http://schemas.microsoft.com/office/spreadsheetml/2009/9/main" objectType="CheckBox" fmlaLink="Respostas_usuario!$AB$47" lockText="1"/>
</file>

<file path=xl/ctrlProps/ctrlProp83.xml><?xml version="1.0" encoding="utf-8"?>
<formControlPr xmlns="http://schemas.microsoft.com/office/spreadsheetml/2009/9/main" objectType="CheckBox" fmlaLink="Respostas_usuario!$AB$48" lockText="1"/>
</file>

<file path=xl/ctrlProps/ctrlProp84.xml><?xml version="1.0" encoding="utf-8"?>
<formControlPr xmlns="http://schemas.microsoft.com/office/spreadsheetml/2009/9/main" objectType="CheckBox" fmlaLink="Respostas_usuario!$AB$49" lockText="1"/>
</file>

<file path=xl/ctrlProps/ctrlProp85.xml><?xml version="1.0" encoding="utf-8"?>
<formControlPr xmlns="http://schemas.microsoft.com/office/spreadsheetml/2009/9/main" objectType="CheckBox" fmlaLink="Respostas_usuario!$AB$50" lockText="1"/>
</file>

<file path=xl/ctrlProps/ctrlProp86.xml><?xml version="1.0" encoding="utf-8"?>
<formControlPr xmlns="http://schemas.microsoft.com/office/spreadsheetml/2009/9/main" objectType="CheckBox" fmlaLink="Respostas_usuario!$AB$51" lockText="1"/>
</file>

<file path=xl/ctrlProps/ctrlProp87.xml><?xml version="1.0" encoding="utf-8"?>
<formControlPr xmlns="http://schemas.microsoft.com/office/spreadsheetml/2009/9/main" objectType="CheckBox" fmlaLink="Respostas_usuario!$AB$52" lockText="1"/>
</file>

<file path=xl/ctrlProps/ctrlProp88.xml><?xml version="1.0" encoding="utf-8"?>
<formControlPr xmlns="http://schemas.microsoft.com/office/spreadsheetml/2009/9/main" objectType="CheckBox" fmlaLink="Respostas_usuario!$AB$53" lockText="1"/>
</file>

<file path=xl/ctrlProps/ctrlProp89.xml><?xml version="1.0" encoding="utf-8"?>
<formControlPr xmlns="http://schemas.microsoft.com/office/spreadsheetml/2009/9/main" objectType="CheckBox" fmlaLink="Respostas_usuario!$AB$54" lockText="1"/>
</file>

<file path=xl/ctrlProps/ctrlProp9.xml><?xml version="1.0" encoding="utf-8"?>
<formControlPr xmlns="http://schemas.microsoft.com/office/spreadsheetml/2009/9/main" objectType="CheckBox" fmlaLink="Respostas_usuario!$AB$5" lockText="1"/>
</file>

<file path=xl/ctrlProps/ctrlProp90.xml><?xml version="1.0" encoding="utf-8"?>
<formControlPr xmlns="http://schemas.microsoft.com/office/spreadsheetml/2009/9/main" objectType="CheckBox" fmlaLink="Respostas_usuario!$AB$55" lockText="1"/>
</file>

<file path=xl/ctrlProps/ctrlProp91.xml><?xml version="1.0" encoding="utf-8"?>
<formControlPr xmlns="http://schemas.microsoft.com/office/spreadsheetml/2009/9/main" objectType="CheckBox" fmlaLink="Respostas_usuario!$AB$56" lockText="1"/>
</file>

<file path=xl/ctrlProps/ctrlProp92.xml><?xml version="1.0" encoding="utf-8"?>
<formControlPr xmlns="http://schemas.microsoft.com/office/spreadsheetml/2009/9/main" objectType="CheckBox" fmlaLink="Respostas_usuario!$AB$57" lockText="1"/>
</file>

<file path=xl/ctrlProps/ctrlProp93.xml><?xml version="1.0" encoding="utf-8"?>
<formControlPr xmlns="http://schemas.microsoft.com/office/spreadsheetml/2009/9/main" objectType="CheckBox" fmlaLink="Respostas_usuario!$AB$58" lockText="1"/>
</file>

<file path=xl/ctrlProps/ctrlProp94.xml><?xml version="1.0" encoding="utf-8"?>
<formControlPr xmlns="http://schemas.microsoft.com/office/spreadsheetml/2009/9/main" objectType="CheckBox" fmlaLink="Respostas_usuario!$AB$45" lockText="1"/>
</file>

<file path=xl/ctrlProps/ctrlProp95.xml><?xml version="1.0" encoding="utf-8"?>
<formControlPr xmlns="http://schemas.microsoft.com/office/spreadsheetml/2009/9/main" objectType="CheckBox" fmlaLink="Respostas_usuario!$L$7" lockText="1"/>
</file>

<file path=xl/ctrlProps/ctrlProp96.xml><?xml version="1.0" encoding="utf-8"?>
<formControlPr xmlns="http://schemas.microsoft.com/office/spreadsheetml/2009/9/main" objectType="Radio" firstButton="1" fmlaLink="Respostas_usuario!$K$7" lockText="1"/>
</file>

<file path=xl/ctrlProps/ctrlProp97.xml><?xml version="1.0" encoding="utf-8"?>
<formControlPr xmlns="http://schemas.microsoft.com/office/spreadsheetml/2009/9/main" objectType="Radio" lockText="1"/>
</file>

<file path=xl/ctrlProps/ctrlProp98.xml><?xml version="1.0" encoding="utf-8"?>
<formControlPr xmlns="http://schemas.microsoft.com/office/spreadsheetml/2009/9/main" objectType="CheckBox" fmlaLink="Respostas_usuario!$AC$44" lockText="1"/>
</file>

<file path=xl/ctrlProps/ctrlProp99.xml><?xml version="1.0" encoding="utf-8"?>
<formControlPr xmlns="http://schemas.microsoft.com/office/spreadsheetml/2009/9/main" objectType="CheckBox" fmlaLink="Respostas_usuario!$AC$46"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hyperlink" Target="#'Triplicatas(1)'!A355"/><Relationship Id="rId2" Type="http://schemas.openxmlformats.org/officeDocument/2006/relationships/hyperlink" Target="#'Triplicatas(1)'!A9"/><Relationship Id="rId1" Type="http://schemas.openxmlformats.org/officeDocument/2006/relationships/image" Target="../media/image1.png"/><Relationship Id="rId4" Type="http://schemas.openxmlformats.org/officeDocument/2006/relationships/hyperlink" Target="#'Triplicatas(1)'!A701"/></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hyperlink" Target="#'Triplicatas(2)'!A355"/><Relationship Id="rId2" Type="http://schemas.openxmlformats.org/officeDocument/2006/relationships/hyperlink" Target="#'Triplicatas(2)'!A9"/><Relationship Id="rId1" Type="http://schemas.openxmlformats.org/officeDocument/2006/relationships/image" Target="../media/image1.png"/><Relationship Id="rId4" Type="http://schemas.openxmlformats.org/officeDocument/2006/relationships/hyperlink" Target="#'Triplicatas(2)'!A701"/></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hyperlink" Target="#'Resultados_micro(1)'!M16"/><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hyperlink" Target="#'Resultados_micro(2)'!M16"/><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emf"/></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95250</xdr:colOff>
          <xdr:row>24</xdr:row>
          <xdr:rowOff>9524</xdr:rowOff>
        </xdr:from>
        <xdr:to>
          <xdr:col>25</xdr:col>
          <xdr:colOff>0</xdr:colOff>
          <xdr:row>25</xdr:row>
          <xdr:rowOff>0</xdr:rowOff>
        </xdr:to>
        <xdr:grpSp>
          <xdr:nvGrpSpPr>
            <xdr:cNvPr id="5" name="checks_form_classe_uso">
              <a:extLst>
                <a:ext uri="{FF2B5EF4-FFF2-40B4-BE49-F238E27FC236}">
                  <a16:creationId xmlns:a16="http://schemas.microsoft.com/office/drawing/2014/main" id="{00000000-0008-0000-0100-000005000000}"/>
                </a:ext>
              </a:extLst>
            </xdr:cNvPr>
            <xdr:cNvGrpSpPr/>
          </xdr:nvGrpSpPr>
          <xdr:grpSpPr>
            <a:xfrm>
              <a:off x="2971800" y="5257799"/>
              <a:ext cx="3676650" cy="238126"/>
              <a:chOff x="2924176" y="5600675"/>
              <a:chExt cx="3676650" cy="371526"/>
            </a:xfrm>
          </xdr:grpSpPr>
          <xdr:sp macro="" textlink="">
            <xdr:nvSpPr>
              <xdr:cNvPr id="2062" name="check_form_herbicida" descr="Produção"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2924176" y="5600723"/>
                <a:ext cx="1162051" cy="371478"/>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Segoe UI"/>
                    <a:cs typeface="Segoe UI"/>
                  </a:rPr>
                  <a:t> Herbicida</a:t>
                </a:r>
              </a:p>
            </xdr:txBody>
          </xdr:sp>
          <xdr:sp macro="" textlink="">
            <xdr:nvSpPr>
              <xdr:cNvPr id="2063" name="check_form_inseticida" descr="Produção"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4152902" y="5600675"/>
                <a:ext cx="1190625" cy="371474"/>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Segoe UI"/>
                    <a:cs typeface="Segoe UI"/>
                  </a:rPr>
                  <a:t> Inseticida</a:t>
                </a:r>
              </a:p>
            </xdr:txBody>
          </xdr:sp>
          <xdr:sp macro="" textlink="">
            <xdr:nvSpPr>
              <xdr:cNvPr id="2064" name="check_form_fungicida" descr="Produção"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5410201" y="5600700"/>
                <a:ext cx="1190625" cy="371476"/>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Segoe UI"/>
                    <a:cs typeface="Segoe UI"/>
                  </a:rPr>
                  <a:t> Fungicida</a:t>
                </a:r>
              </a:p>
            </xdr:txBody>
          </xdr:sp>
        </xdr:grpSp>
        <xdr:clientData/>
      </xdr:twoCellAnchor>
    </mc:Choice>
    <mc:Fallback/>
  </mc:AlternateContent>
  <xdr:twoCellAnchor editAs="oneCell">
    <xdr:from>
      <xdr:col>35</xdr:col>
      <xdr:colOff>190499</xdr:colOff>
      <xdr:row>0</xdr:row>
      <xdr:rowOff>171449</xdr:rowOff>
    </xdr:from>
    <xdr:to>
      <xdr:col>40</xdr:col>
      <xdr:colOff>111449</xdr:colOff>
      <xdr:row>6</xdr:row>
      <xdr:rowOff>85725</xdr:rowOff>
    </xdr:to>
    <xdr:pic>
      <xdr:nvPicPr>
        <xdr:cNvPr id="46" name="Logo" descr="Resultado de imagem para logo anvisa">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34574" y="171449"/>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28575</xdr:colOff>
          <xdr:row>59</xdr:row>
          <xdr:rowOff>180975</xdr:rowOff>
        </xdr:from>
        <xdr:to>
          <xdr:col>16</xdr:col>
          <xdr:colOff>0</xdr:colOff>
          <xdr:row>61</xdr:row>
          <xdr:rowOff>9525</xdr:rowOff>
        </xdr:to>
        <xdr:sp macro="" textlink="">
          <xdr:nvSpPr>
            <xdr:cNvPr id="25625" name="check_dlcutanea_maiorque" hidden="1">
              <a:extLst>
                <a:ext uri="{63B3BB69-23CF-44E3-9099-C40C66FF867C}">
                  <a14:compatExt spid="_x0000_s25625"/>
                </a:ext>
                <a:ext uri="{FF2B5EF4-FFF2-40B4-BE49-F238E27FC236}">
                  <a16:creationId xmlns:a16="http://schemas.microsoft.com/office/drawing/2014/main" id="{00000000-0008-0000-09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52</xdr:row>
          <xdr:rowOff>180975</xdr:rowOff>
        </xdr:from>
        <xdr:to>
          <xdr:col>18</xdr:col>
          <xdr:colOff>0</xdr:colOff>
          <xdr:row>54</xdr:row>
          <xdr:rowOff>66675</xdr:rowOff>
        </xdr:to>
        <xdr:sp macro="" textlink="">
          <xdr:nvSpPr>
            <xdr:cNvPr id="25624" name="optn_dlcuanea_desvios1" hidden="1">
              <a:extLst>
                <a:ext uri="{63B3BB69-23CF-44E3-9099-C40C66FF867C}">
                  <a14:compatExt spid="_x0000_s25624"/>
                </a:ext>
                <a:ext uri="{FF2B5EF4-FFF2-40B4-BE49-F238E27FC236}">
                  <a16:creationId xmlns:a16="http://schemas.microsoft.com/office/drawing/2014/main" id="{00000000-0008-0000-09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54</xdr:row>
          <xdr:rowOff>180975</xdr:rowOff>
        </xdr:from>
        <xdr:to>
          <xdr:col>18</xdr:col>
          <xdr:colOff>0</xdr:colOff>
          <xdr:row>56</xdr:row>
          <xdr:rowOff>66675</xdr:rowOff>
        </xdr:to>
        <xdr:sp macro="" textlink="">
          <xdr:nvSpPr>
            <xdr:cNvPr id="25623" name="optn_dlcuanea_desvios2" hidden="1">
              <a:extLst>
                <a:ext uri="{63B3BB69-23CF-44E3-9099-C40C66FF867C}">
                  <a14:compatExt spid="_x0000_s25623"/>
                </a:ext>
                <a:ext uri="{FF2B5EF4-FFF2-40B4-BE49-F238E27FC236}">
                  <a16:creationId xmlns:a16="http://schemas.microsoft.com/office/drawing/2014/main" id="{00000000-0008-0000-09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209550</xdr:colOff>
      <xdr:row>1</xdr:row>
      <xdr:rowOff>9525</xdr:rowOff>
    </xdr:from>
    <xdr:to>
      <xdr:col>39</xdr:col>
      <xdr:colOff>130500</xdr:colOff>
      <xdr:row>6</xdr:row>
      <xdr:rowOff>123826</xdr:rowOff>
    </xdr:to>
    <xdr:pic>
      <xdr:nvPicPr>
        <xdr:cNvPr id="16" name="Logo" descr="Resultado de imagem para logo anvisa">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0002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22</xdr:col>
          <xdr:colOff>142875</xdr:colOff>
          <xdr:row>27</xdr:row>
          <xdr:rowOff>9525</xdr:rowOff>
        </xdr:from>
        <xdr:to>
          <xdr:col>24</xdr:col>
          <xdr:colOff>295275</xdr:colOff>
          <xdr:row>27</xdr:row>
          <xdr:rowOff>314325</xdr:rowOff>
        </xdr:to>
        <xdr:sp macro="" textlink="">
          <xdr:nvSpPr>
            <xdr:cNvPr id="25627" name="evid_tox_1" hidden="1">
              <a:extLst>
                <a:ext uri="{63B3BB69-23CF-44E3-9099-C40C66FF867C}">
                  <a14:compatExt spid="_x0000_s25627"/>
                </a:ext>
                <a:ext uri="{FF2B5EF4-FFF2-40B4-BE49-F238E27FC236}">
                  <a16:creationId xmlns:a16="http://schemas.microsoft.com/office/drawing/2014/main" id="{00000000-0008-0000-09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xdr:row>
          <xdr:rowOff>9525</xdr:rowOff>
        </xdr:from>
        <xdr:to>
          <xdr:col>24</xdr:col>
          <xdr:colOff>295275</xdr:colOff>
          <xdr:row>29</xdr:row>
          <xdr:rowOff>314325</xdr:rowOff>
        </xdr:to>
        <xdr:sp macro="" textlink="">
          <xdr:nvSpPr>
            <xdr:cNvPr id="25628" name="evid_tox_3" hidden="1">
              <a:extLst>
                <a:ext uri="{63B3BB69-23CF-44E3-9099-C40C66FF867C}">
                  <a14:compatExt spid="_x0000_s25628"/>
                </a:ext>
                <a:ext uri="{FF2B5EF4-FFF2-40B4-BE49-F238E27FC236}">
                  <a16:creationId xmlns:a16="http://schemas.microsoft.com/office/drawing/2014/main" id="{00000000-0008-0000-09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xdr:row>
          <xdr:rowOff>9525</xdr:rowOff>
        </xdr:from>
        <xdr:to>
          <xdr:col>24</xdr:col>
          <xdr:colOff>295275</xdr:colOff>
          <xdr:row>30</xdr:row>
          <xdr:rowOff>314325</xdr:rowOff>
        </xdr:to>
        <xdr:sp macro="" textlink="">
          <xdr:nvSpPr>
            <xdr:cNvPr id="25629" name="evid_tox_4" hidden="1">
              <a:extLst>
                <a:ext uri="{63B3BB69-23CF-44E3-9099-C40C66FF867C}">
                  <a14:compatExt spid="_x0000_s25629"/>
                </a:ext>
                <a:ext uri="{FF2B5EF4-FFF2-40B4-BE49-F238E27FC236}">
                  <a16:creationId xmlns:a16="http://schemas.microsoft.com/office/drawing/2014/main" id="{00000000-0008-0000-09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xdr:row>
          <xdr:rowOff>9525</xdr:rowOff>
        </xdr:from>
        <xdr:to>
          <xdr:col>24</xdr:col>
          <xdr:colOff>295275</xdr:colOff>
          <xdr:row>31</xdr:row>
          <xdr:rowOff>314325</xdr:rowOff>
        </xdr:to>
        <xdr:sp macro="" textlink="">
          <xdr:nvSpPr>
            <xdr:cNvPr id="25630" name="evid_tox_5" hidden="1">
              <a:extLst>
                <a:ext uri="{63B3BB69-23CF-44E3-9099-C40C66FF867C}">
                  <a14:compatExt spid="_x0000_s25630"/>
                </a:ext>
                <a:ext uri="{FF2B5EF4-FFF2-40B4-BE49-F238E27FC236}">
                  <a16:creationId xmlns:a16="http://schemas.microsoft.com/office/drawing/2014/main" id="{00000000-0008-0000-09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32</xdr:row>
          <xdr:rowOff>9525</xdr:rowOff>
        </xdr:from>
        <xdr:to>
          <xdr:col>24</xdr:col>
          <xdr:colOff>295275</xdr:colOff>
          <xdr:row>32</xdr:row>
          <xdr:rowOff>314325</xdr:rowOff>
        </xdr:to>
        <xdr:sp macro="" textlink="">
          <xdr:nvSpPr>
            <xdr:cNvPr id="25631" name="evid_tox_6" hidden="1">
              <a:extLst>
                <a:ext uri="{63B3BB69-23CF-44E3-9099-C40C66FF867C}">
                  <a14:compatExt spid="_x0000_s25631"/>
                </a:ext>
                <a:ext uri="{FF2B5EF4-FFF2-40B4-BE49-F238E27FC236}">
                  <a16:creationId xmlns:a16="http://schemas.microsoft.com/office/drawing/2014/main" id="{00000000-0008-0000-09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33</xdr:row>
          <xdr:rowOff>9525</xdr:rowOff>
        </xdr:from>
        <xdr:to>
          <xdr:col>24</xdr:col>
          <xdr:colOff>295275</xdr:colOff>
          <xdr:row>33</xdr:row>
          <xdr:rowOff>314325</xdr:rowOff>
        </xdr:to>
        <xdr:sp macro="" textlink="">
          <xdr:nvSpPr>
            <xdr:cNvPr id="25632" name="evid_tox_7" hidden="1">
              <a:extLst>
                <a:ext uri="{63B3BB69-23CF-44E3-9099-C40C66FF867C}">
                  <a14:compatExt spid="_x0000_s25632"/>
                </a:ext>
                <a:ext uri="{FF2B5EF4-FFF2-40B4-BE49-F238E27FC236}">
                  <a16:creationId xmlns:a16="http://schemas.microsoft.com/office/drawing/2014/main" id="{00000000-0008-0000-09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34</xdr:row>
          <xdr:rowOff>9525</xdr:rowOff>
        </xdr:from>
        <xdr:to>
          <xdr:col>24</xdr:col>
          <xdr:colOff>295275</xdr:colOff>
          <xdr:row>34</xdr:row>
          <xdr:rowOff>314325</xdr:rowOff>
        </xdr:to>
        <xdr:sp macro="" textlink="">
          <xdr:nvSpPr>
            <xdr:cNvPr id="25633" name="evid_tox_8" hidden="1">
              <a:extLst>
                <a:ext uri="{63B3BB69-23CF-44E3-9099-C40C66FF867C}">
                  <a14:compatExt spid="_x0000_s25633"/>
                </a:ext>
                <a:ext uri="{FF2B5EF4-FFF2-40B4-BE49-F238E27FC236}">
                  <a16:creationId xmlns:a16="http://schemas.microsoft.com/office/drawing/2014/main" id="{00000000-0008-0000-09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35</xdr:row>
          <xdr:rowOff>19050</xdr:rowOff>
        </xdr:from>
        <xdr:to>
          <xdr:col>24</xdr:col>
          <xdr:colOff>295275</xdr:colOff>
          <xdr:row>36</xdr:row>
          <xdr:rowOff>0</xdr:rowOff>
        </xdr:to>
        <xdr:sp macro="" textlink="">
          <xdr:nvSpPr>
            <xdr:cNvPr id="25634" name="evid_tox_9" hidden="1">
              <a:extLst>
                <a:ext uri="{63B3BB69-23CF-44E3-9099-C40C66FF867C}">
                  <a14:compatExt spid="_x0000_s25634"/>
                </a:ext>
                <a:ext uri="{FF2B5EF4-FFF2-40B4-BE49-F238E27FC236}">
                  <a16:creationId xmlns:a16="http://schemas.microsoft.com/office/drawing/2014/main" id="{00000000-0008-0000-09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36</xdr:row>
          <xdr:rowOff>19050</xdr:rowOff>
        </xdr:from>
        <xdr:to>
          <xdr:col>24</xdr:col>
          <xdr:colOff>295275</xdr:colOff>
          <xdr:row>37</xdr:row>
          <xdr:rowOff>0</xdr:rowOff>
        </xdr:to>
        <xdr:sp macro="" textlink="">
          <xdr:nvSpPr>
            <xdr:cNvPr id="25635" name="evid_tox_10" hidden="1">
              <a:extLst>
                <a:ext uri="{63B3BB69-23CF-44E3-9099-C40C66FF867C}">
                  <a14:compatExt spid="_x0000_s25635"/>
                </a:ext>
                <a:ext uri="{FF2B5EF4-FFF2-40B4-BE49-F238E27FC236}">
                  <a16:creationId xmlns:a16="http://schemas.microsoft.com/office/drawing/2014/main" id="{00000000-0008-0000-09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37</xdr:row>
          <xdr:rowOff>19050</xdr:rowOff>
        </xdr:from>
        <xdr:to>
          <xdr:col>24</xdr:col>
          <xdr:colOff>295275</xdr:colOff>
          <xdr:row>38</xdr:row>
          <xdr:rowOff>0</xdr:rowOff>
        </xdr:to>
        <xdr:sp macro="" textlink="">
          <xdr:nvSpPr>
            <xdr:cNvPr id="25636" name="evid_tox_11" hidden="1">
              <a:extLst>
                <a:ext uri="{63B3BB69-23CF-44E3-9099-C40C66FF867C}">
                  <a14:compatExt spid="_x0000_s25636"/>
                </a:ext>
                <a:ext uri="{FF2B5EF4-FFF2-40B4-BE49-F238E27FC236}">
                  <a16:creationId xmlns:a16="http://schemas.microsoft.com/office/drawing/2014/main" id="{00000000-0008-0000-09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38</xdr:row>
          <xdr:rowOff>19050</xdr:rowOff>
        </xdr:from>
        <xdr:to>
          <xdr:col>24</xdr:col>
          <xdr:colOff>295275</xdr:colOff>
          <xdr:row>39</xdr:row>
          <xdr:rowOff>0</xdr:rowOff>
        </xdr:to>
        <xdr:sp macro="" textlink="">
          <xdr:nvSpPr>
            <xdr:cNvPr id="25637" name="evid_tox_12" hidden="1">
              <a:extLst>
                <a:ext uri="{63B3BB69-23CF-44E3-9099-C40C66FF867C}">
                  <a14:compatExt spid="_x0000_s25637"/>
                </a:ext>
                <a:ext uri="{FF2B5EF4-FFF2-40B4-BE49-F238E27FC236}">
                  <a16:creationId xmlns:a16="http://schemas.microsoft.com/office/drawing/2014/main" id="{00000000-0008-0000-09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xdr:row>
          <xdr:rowOff>19050</xdr:rowOff>
        </xdr:from>
        <xdr:to>
          <xdr:col>24</xdr:col>
          <xdr:colOff>295275</xdr:colOff>
          <xdr:row>40</xdr:row>
          <xdr:rowOff>0</xdr:rowOff>
        </xdr:to>
        <xdr:sp macro="" textlink="">
          <xdr:nvSpPr>
            <xdr:cNvPr id="25638" name="evid_tox_13" hidden="1">
              <a:extLst>
                <a:ext uri="{63B3BB69-23CF-44E3-9099-C40C66FF867C}">
                  <a14:compatExt spid="_x0000_s25638"/>
                </a:ext>
                <a:ext uri="{FF2B5EF4-FFF2-40B4-BE49-F238E27FC236}">
                  <a16:creationId xmlns:a16="http://schemas.microsoft.com/office/drawing/2014/main" id="{00000000-0008-0000-09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40</xdr:row>
          <xdr:rowOff>19050</xdr:rowOff>
        </xdr:from>
        <xdr:to>
          <xdr:col>24</xdr:col>
          <xdr:colOff>295275</xdr:colOff>
          <xdr:row>41</xdr:row>
          <xdr:rowOff>0</xdr:rowOff>
        </xdr:to>
        <xdr:sp macro="" textlink="">
          <xdr:nvSpPr>
            <xdr:cNvPr id="25639" name="evid_tox_14" hidden="1">
              <a:extLst>
                <a:ext uri="{63B3BB69-23CF-44E3-9099-C40C66FF867C}">
                  <a14:compatExt spid="_x0000_s25639"/>
                </a:ext>
                <a:ext uri="{FF2B5EF4-FFF2-40B4-BE49-F238E27FC236}">
                  <a16:creationId xmlns:a16="http://schemas.microsoft.com/office/drawing/2014/main" id="{00000000-0008-0000-09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41</xdr:row>
          <xdr:rowOff>19050</xdr:rowOff>
        </xdr:from>
        <xdr:to>
          <xdr:col>24</xdr:col>
          <xdr:colOff>295275</xdr:colOff>
          <xdr:row>42</xdr:row>
          <xdr:rowOff>0</xdr:rowOff>
        </xdr:to>
        <xdr:sp macro="" textlink="">
          <xdr:nvSpPr>
            <xdr:cNvPr id="25640" name="evid_tox_15" hidden="1">
              <a:extLst>
                <a:ext uri="{63B3BB69-23CF-44E3-9099-C40C66FF867C}">
                  <a14:compatExt spid="_x0000_s25640"/>
                </a:ext>
                <a:ext uri="{FF2B5EF4-FFF2-40B4-BE49-F238E27FC236}">
                  <a16:creationId xmlns:a16="http://schemas.microsoft.com/office/drawing/2014/main" id="{00000000-0008-0000-09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28</xdr:row>
          <xdr:rowOff>9525</xdr:rowOff>
        </xdr:from>
        <xdr:to>
          <xdr:col>24</xdr:col>
          <xdr:colOff>304800</xdr:colOff>
          <xdr:row>28</xdr:row>
          <xdr:rowOff>314325</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9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28575</xdr:colOff>
          <xdr:row>59</xdr:row>
          <xdr:rowOff>180975</xdr:rowOff>
        </xdr:from>
        <xdr:to>
          <xdr:col>16</xdr:col>
          <xdr:colOff>0</xdr:colOff>
          <xdr:row>61</xdr:row>
          <xdr:rowOff>9525</xdr:rowOff>
        </xdr:to>
        <xdr:sp macro="" textlink="">
          <xdr:nvSpPr>
            <xdr:cNvPr id="58369" name="check_dlcutanea_maiorque" hidden="1">
              <a:extLst>
                <a:ext uri="{63B3BB69-23CF-44E3-9099-C40C66FF867C}">
                  <a14:compatExt spid="_x0000_s58369"/>
                </a:ext>
                <a:ext uri="{FF2B5EF4-FFF2-40B4-BE49-F238E27FC236}">
                  <a16:creationId xmlns:a16="http://schemas.microsoft.com/office/drawing/2014/main" id="{00000000-0008-0000-0A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52</xdr:row>
          <xdr:rowOff>190500</xdr:rowOff>
        </xdr:from>
        <xdr:to>
          <xdr:col>18</xdr:col>
          <xdr:colOff>0</xdr:colOff>
          <xdr:row>54</xdr:row>
          <xdr:rowOff>76200</xdr:rowOff>
        </xdr:to>
        <xdr:sp macro="" textlink="">
          <xdr:nvSpPr>
            <xdr:cNvPr id="58370" name="optn_dlcuanea_desvios1" hidden="1">
              <a:extLst>
                <a:ext uri="{63B3BB69-23CF-44E3-9099-C40C66FF867C}">
                  <a14:compatExt spid="_x0000_s58370"/>
                </a:ext>
                <a:ext uri="{FF2B5EF4-FFF2-40B4-BE49-F238E27FC236}">
                  <a16:creationId xmlns:a16="http://schemas.microsoft.com/office/drawing/2014/main" id="{00000000-0008-0000-0A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54</xdr:row>
          <xdr:rowOff>190500</xdr:rowOff>
        </xdr:from>
        <xdr:to>
          <xdr:col>18</xdr:col>
          <xdr:colOff>0</xdr:colOff>
          <xdr:row>56</xdr:row>
          <xdr:rowOff>76200</xdr:rowOff>
        </xdr:to>
        <xdr:sp macro="" textlink="">
          <xdr:nvSpPr>
            <xdr:cNvPr id="58371" name="optn_dlcuanea_desvios2" hidden="1">
              <a:extLst>
                <a:ext uri="{63B3BB69-23CF-44E3-9099-C40C66FF867C}">
                  <a14:compatExt spid="_x0000_s58371"/>
                </a:ext>
                <a:ext uri="{FF2B5EF4-FFF2-40B4-BE49-F238E27FC236}">
                  <a16:creationId xmlns:a16="http://schemas.microsoft.com/office/drawing/2014/main" id="{00000000-0008-0000-0A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209550</xdr:colOff>
      <xdr:row>1</xdr:row>
      <xdr:rowOff>9525</xdr:rowOff>
    </xdr:from>
    <xdr:to>
      <xdr:col>39</xdr:col>
      <xdr:colOff>130500</xdr:colOff>
      <xdr:row>6</xdr:row>
      <xdr:rowOff>123826</xdr:rowOff>
    </xdr:to>
    <xdr:pic>
      <xdr:nvPicPr>
        <xdr:cNvPr id="5" name="Logo" descr="Resultado de imagem para logo anvisa">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63125" y="20002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22</xdr:col>
          <xdr:colOff>142875</xdr:colOff>
          <xdr:row>27</xdr:row>
          <xdr:rowOff>9525</xdr:rowOff>
        </xdr:from>
        <xdr:to>
          <xdr:col>24</xdr:col>
          <xdr:colOff>295275</xdr:colOff>
          <xdr:row>27</xdr:row>
          <xdr:rowOff>314325</xdr:rowOff>
        </xdr:to>
        <xdr:sp macro="" textlink="">
          <xdr:nvSpPr>
            <xdr:cNvPr id="58373" name="evid_tox_1" hidden="1">
              <a:extLst>
                <a:ext uri="{63B3BB69-23CF-44E3-9099-C40C66FF867C}">
                  <a14:compatExt spid="_x0000_s58373"/>
                </a:ext>
                <a:ext uri="{FF2B5EF4-FFF2-40B4-BE49-F238E27FC236}">
                  <a16:creationId xmlns:a16="http://schemas.microsoft.com/office/drawing/2014/main" id="{00000000-0008-0000-0A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xdr:row>
          <xdr:rowOff>9525</xdr:rowOff>
        </xdr:from>
        <xdr:to>
          <xdr:col>24</xdr:col>
          <xdr:colOff>295275</xdr:colOff>
          <xdr:row>29</xdr:row>
          <xdr:rowOff>314325</xdr:rowOff>
        </xdr:to>
        <xdr:sp macro="" textlink="">
          <xdr:nvSpPr>
            <xdr:cNvPr id="58374" name="evid_tox_3" hidden="1">
              <a:extLst>
                <a:ext uri="{63B3BB69-23CF-44E3-9099-C40C66FF867C}">
                  <a14:compatExt spid="_x0000_s58374"/>
                </a:ext>
                <a:ext uri="{FF2B5EF4-FFF2-40B4-BE49-F238E27FC236}">
                  <a16:creationId xmlns:a16="http://schemas.microsoft.com/office/drawing/2014/main" id="{00000000-0008-0000-0A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xdr:row>
          <xdr:rowOff>9525</xdr:rowOff>
        </xdr:from>
        <xdr:to>
          <xdr:col>24</xdr:col>
          <xdr:colOff>295275</xdr:colOff>
          <xdr:row>30</xdr:row>
          <xdr:rowOff>314325</xdr:rowOff>
        </xdr:to>
        <xdr:sp macro="" textlink="">
          <xdr:nvSpPr>
            <xdr:cNvPr id="58375" name="evid_tox_4" hidden="1">
              <a:extLst>
                <a:ext uri="{63B3BB69-23CF-44E3-9099-C40C66FF867C}">
                  <a14:compatExt spid="_x0000_s58375"/>
                </a:ext>
                <a:ext uri="{FF2B5EF4-FFF2-40B4-BE49-F238E27FC236}">
                  <a16:creationId xmlns:a16="http://schemas.microsoft.com/office/drawing/2014/main" id="{00000000-0008-0000-0A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xdr:row>
          <xdr:rowOff>9525</xdr:rowOff>
        </xdr:from>
        <xdr:to>
          <xdr:col>24</xdr:col>
          <xdr:colOff>295275</xdr:colOff>
          <xdr:row>31</xdr:row>
          <xdr:rowOff>314325</xdr:rowOff>
        </xdr:to>
        <xdr:sp macro="" textlink="">
          <xdr:nvSpPr>
            <xdr:cNvPr id="58376" name="evid_tox_5" hidden="1">
              <a:extLst>
                <a:ext uri="{63B3BB69-23CF-44E3-9099-C40C66FF867C}">
                  <a14:compatExt spid="_x0000_s58376"/>
                </a:ext>
                <a:ext uri="{FF2B5EF4-FFF2-40B4-BE49-F238E27FC236}">
                  <a16:creationId xmlns:a16="http://schemas.microsoft.com/office/drawing/2014/main" id="{00000000-0008-0000-0A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32</xdr:row>
          <xdr:rowOff>9525</xdr:rowOff>
        </xdr:from>
        <xdr:to>
          <xdr:col>24</xdr:col>
          <xdr:colOff>295275</xdr:colOff>
          <xdr:row>32</xdr:row>
          <xdr:rowOff>314325</xdr:rowOff>
        </xdr:to>
        <xdr:sp macro="" textlink="">
          <xdr:nvSpPr>
            <xdr:cNvPr id="58377" name="evid_tox_6" hidden="1">
              <a:extLst>
                <a:ext uri="{63B3BB69-23CF-44E3-9099-C40C66FF867C}">
                  <a14:compatExt spid="_x0000_s58377"/>
                </a:ext>
                <a:ext uri="{FF2B5EF4-FFF2-40B4-BE49-F238E27FC236}">
                  <a16:creationId xmlns:a16="http://schemas.microsoft.com/office/drawing/2014/main" id="{00000000-0008-0000-0A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33</xdr:row>
          <xdr:rowOff>9525</xdr:rowOff>
        </xdr:from>
        <xdr:to>
          <xdr:col>24</xdr:col>
          <xdr:colOff>295275</xdr:colOff>
          <xdr:row>33</xdr:row>
          <xdr:rowOff>314325</xdr:rowOff>
        </xdr:to>
        <xdr:sp macro="" textlink="">
          <xdr:nvSpPr>
            <xdr:cNvPr id="58378" name="evid_tox_7" hidden="1">
              <a:extLst>
                <a:ext uri="{63B3BB69-23CF-44E3-9099-C40C66FF867C}">
                  <a14:compatExt spid="_x0000_s58378"/>
                </a:ext>
                <a:ext uri="{FF2B5EF4-FFF2-40B4-BE49-F238E27FC236}">
                  <a16:creationId xmlns:a16="http://schemas.microsoft.com/office/drawing/2014/main" id="{00000000-0008-0000-0A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34</xdr:row>
          <xdr:rowOff>9525</xdr:rowOff>
        </xdr:from>
        <xdr:to>
          <xdr:col>24</xdr:col>
          <xdr:colOff>295275</xdr:colOff>
          <xdr:row>34</xdr:row>
          <xdr:rowOff>314325</xdr:rowOff>
        </xdr:to>
        <xdr:sp macro="" textlink="">
          <xdr:nvSpPr>
            <xdr:cNvPr id="58379" name="evid_tox_8" hidden="1">
              <a:extLst>
                <a:ext uri="{63B3BB69-23CF-44E3-9099-C40C66FF867C}">
                  <a14:compatExt spid="_x0000_s58379"/>
                </a:ext>
                <a:ext uri="{FF2B5EF4-FFF2-40B4-BE49-F238E27FC236}">
                  <a16:creationId xmlns:a16="http://schemas.microsoft.com/office/drawing/2014/main" id="{00000000-0008-0000-0A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35</xdr:row>
          <xdr:rowOff>19050</xdr:rowOff>
        </xdr:from>
        <xdr:to>
          <xdr:col>24</xdr:col>
          <xdr:colOff>295275</xdr:colOff>
          <xdr:row>36</xdr:row>
          <xdr:rowOff>0</xdr:rowOff>
        </xdr:to>
        <xdr:sp macro="" textlink="">
          <xdr:nvSpPr>
            <xdr:cNvPr id="58380" name="evid_tox_9" hidden="1">
              <a:extLst>
                <a:ext uri="{63B3BB69-23CF-44E3-9099-C40C66FF867C}">
                  <a14:compatExt spid="_x0000_s58380"/>
                </a:ext>
                <a:ext uri="{FF2B5EF4-FFF2-40B4-BE49-F238E27FC236}">
                  <a16:creationId xmlns:a16="http://schemas.microsoft.com/office/drawing/2014/main" id="{00000000-0008-0000-0A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36</xdr:row>
          <xdr:rowOff>19050</xdr:rowOff>
        </xdr:from>
        <xdr:to>
          <xdr:col>24</xdr:col>
          <xdr:colOff>295275</xdr:colOff>
          <xdr:row>37</xdr:row>
          <xdr:rowOff>0</xdr:rowOff>
        </xdr:to>
        <xdr:sp macro="" textlink="">
          <xdr:nvSpPr>
            <xdr:cNvPr id="58381" name="evid_tox_10" hidden="1">
              <a:extLst>
                <a:ext uri="{63B3BB69-23CF-44E3-9099-C40C66FF867C}">
                  <a14:compatExt spid="_x0000_s58381"/>
                </a:ext>
                <a:ext uri="{FF2B5EF4-FFF2-40B4-BE49-F238E27FC236}">
                  <a16:creationId xmlns:a16="http://schemas.microsoft.com/office/drawing/2014/main" id="{00000000-0008-0000-0A00-00000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37</xdr:row>
          <xdr:rowOff>19050</xdr:rowOff>
        </xdr:from>
        <xdr:to>
          <xdr:col>24</xdr:col>
          <xdr:colOff>295275</xdr:colOff>
          <xdr:row>38</xdr:row>
          <xdr:rowOff>0</xdr:rowOff>
        </xdr:to>
        <xdr:sp macro="" textlink="">
          <xdr:nvSpPr>
            <xdr:cNvPr id="58382" name="evid_tox_11" hidden="1">
              <a:extLst>
                <a:ext uri="{63B3BB69-23CF-44E3-9099-C40C66FF867C}">
                  <a14:compatExt spid="_x0000_s58382"/>
                </a:ext>
                <a:ext uri="{FF2B5EF4-FFF2-40B4-BE49-F238E27FC236}">
                  <a16:creationId xmlns:a16="http://schemas.microsoft.com/office/drawing/2014/main" id="{00000000-0008-0000-0A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38</xdr:row>
          <xdr:rowOff>19050</xdr:rowOff>
        </xdr:from>
        <xdr:to>
          <xdr:col>24</xdr:col>
          <xdr:colOff>295275</xdr:colOff>
          <xdr:row>39</xdr:row>
          <xdr:rowOff>0</xdr:rowOff>
        </xdr:to>
        <xdr:sp macro="" textlink="">
          <xdr:nvSpPr>
            <xdr:cNvPr id="58383" name="evid_tox_12" hidden="1">
              <a:extLst>
                <a:ext uri="{63B3BB69-23CF-44E3-9099-C40C66FF867C}">
                  <a14:compatExt spid="_x0000_s58383"/>
                </a:ext>
                <a:ext uri="{FF2B5EF4-FFF2-40B4-BE49-F238E27FC236}">
                  <a16:creationId xmlns:a16="http://schemas.microsoft.com/office/drawing/2014/main" id="{00000000-0008-0000-0A00-00000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xdr:row>
          <xdr:rowOff>19050</xdr:rowOff>
        </xdr:from>
        <xdr:to>
          <xdr:col>24</xdr:col>
          <xdr:colOff>295275</xdr:colOff>
          <xdr:row>40</xdr:row>
          <xdr:rowOff>0</xdr:rowOff>
        </xdr:to>
        <xdr:sp macro="" textlink="">
          <xdr:nvSpPr>
            <xdr:cNvPr id="58384" name="evid_tox_13" hidden="1">
              <a:extLst>
                <a:ext uri="{63B3BB69-23CF-44E3-9099-C40C66FF867C}">
                  <a14:compatExt spid="_x0000_s58384"/>
                </a:ext>
                <a:ext uri="{FF2B5EF4-FFF2-40B4-BE49-F238E27FC236}">
                  <a16:creationId xmlns:a16="http://schemas.microsoft.com/office/drawing/2014/main" id="{00000000-0008-0000-0A00-00001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40</xdr:row>
          <xdr:rowOff>19050</xdr:rowOff>
        </xdr:from>
        <xdr:to>
          <xdr:col>24</xdr:col>
          <xdr:colOff>295275</xdr:colOff>
          <xdr:row>41</xdr:row>
          <xdr:rowOff>0</xdr:rowOff>
        </xdr:to>
        <xdr:sp macro="" textlink="">
          <xdr:nvSpPr>
            <xdr:cNvPr id="58385" name="evid_tox_14" hidden="1">
              <a:extLst>
                <a:ext uri="{63B3BB69-23CF-44E3-9099-C40C66FF867C}">
                  <a14:compatExt spid="_x0000_s58385"/>
                </a:ext>
                <a:ext uri="{FF2B5EF4-FFF2-40B4-BE49-F238E27FC236}">
                  <a16:creationId xmlns:a16="http://schemas.microsoft.com/office/drawing/2014/main" id="{00000000-0008-0000-0A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41</xdr:row>
          <xdr:rowOff>19050</xdr:rowOff>
        </xdr:from>
        <xdr:to>
          <xdr:col>24</xdr:col>
          <xdr:colOff>295275</xdr:colOff>
          <xdr:row>42</xdr:row>
          <xdr:rowOff>0</xdr:rowOff>
        </xdr:to>
        <xdr:sp macro="" textlink="">
          <xdr:nvSpPr>
            <xdr:cNvPr id="58386" name="evid_tox_15" hidden="1">
              <a:extLst>
                <a:ext uri="{63B3BB69-23CF-44E3-9099-C40C66FF867C}">
                  <a14:compatExt spid="_x0000_s58386"/>
                </a:ext>
                <a:ext uri="{FF2B5EF4-FFF2-40B4-BE49-F238E27FC236}">
                  <a16:creationId xmlns:a16="http://schemas.microsoft.com/office/drawing/2014/main" id="{00000000-0008-0000-0A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28</xdr:row>
          <xdr:rowOff>9525</xdr:rowOff>
        </xdr:from>
        <xdr:to>
          <xdr:col>24</xdr:col>
          <xdr:colOff>304800</xdr:colOff>
          <xdr:row>28</xdr:row>
          <xdr:rowOff>314325</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A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9525</xdr:colOff>
          <xdr:row>69</xdr:row>
          <xdr:rowOff>19050</xdr:rowOff>
        </xdr:from>
        <xdr:to>
          <xdr:col>15</xdr:col>
          <xdr:colOff>257175</xdr:colOff>
          <xdr:row>70</xdr:row>
          <xdr:rowOff>0</xdr:rowOff>
        </xdr:to>
        <xdr:sp macro="" textlink="">
          <xdr:nvSpPr>
            <xdr:cNvPr id="27680" name="check_cl50_maiorque" hidden="1">
              <a:extLst>
                <a:ext uri="{63B3BB69-23CF-44E3-9099-C40C66FF867C}">
                  <a14:compatExt spid="_x0000_s27680"/>
                </a:ext>
                <a:ext uri="{FF2B5EF4-FFF2-40B4-BE49-F238E27FC236}">
                  <a16:creationId xmlns:a16="http://schemas.microsoft.com/office/drawing/2014/main" id="{00000000-0008-0000-0B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61</xdr:row>
          <xdr:rowOff>161925</xdr:rowOff>
        </xdr:from>
        <xdr:to>
          <xdr:col>17</xdr:col>
          <xdr:colOff>238125</xdr:colOff>
          <xdr:row>63</xdr:row>
          <xdr:rowOff>66675</xdr:rowOff>
        </xdr:to>
        <xdr:sp macro="" textlink="">
          <xdr:nvSpPr>
            <xdr:cNvPr id="27675" name="optn_cl50_desvios1" hidden="1">
              <a:extLst>
                <a:ext uri="{63B3BB69-23CF-44E3-9099-C40C66FF867C}">
                  <a14:compatExt spid="_x0000_s27675"/>
                </a:ext>
                <a:ext uri="{FF2B5EF4-FFF2-40B4-BE49-F238E27FC236}">
                  <a16:creationId xmlns:a16="http://schemas.microsoft.com/office/drawing/2014/main" id="{00000000-0008-0000-0B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63</xdr:row>
          <xdr:rowOff>171450</xdr:rowOff>
        </xdr:from>
        <xdr:to>
          <xdr:col>17</xdr:col>
          <xdr:colOff>238125</xdr:colOff>
          <xdr:row>65</xdr:row>
          <xdr:rowOff>76200</xdr:rowOff>
        </xdr:to>
        <xdr:sp macro="" textlink="">
          <xdr:nvSpPr>
            <xdr:cNvPr id="27676" name="optn_cl50_desvios2" hidden="1">
              <a:extLst>
                <a:ext uri="{63B3BB69-23CF-44E3-9099-C40C66FF867C}">
                  <a14:compatExt spid="_x0000_s27676"/>
                </a:ext>
                <a:ext uri="{FF2B5EF4-FFF2-40B4-BE49-F238E27FC236}">
                  <a16:creationId xmlns:a16="http://schemas.microsoft.com/office/drawing/2014/main" id="{00000000-0008-0000-0B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190500</xdr:colOff>
      <xdr:row>1</xdr:row>
      <xdr:rowOff>9525</xdr:rowOff>
    </xdr:from>
    <xdr:to>
      <xdr:col>39</xdr:col>
      <xdr:colOff>111450</xdr:colOff>
      <xdr:row>6</xdr:row>
      <xdr:rowOff>123826</xdr:rowOff>
    </xdr:to>
    <xdr:pic>
      <xdr:nvPicPr>
        <xdr:cNvPr id="19" name="Logo" descr="Resultado de imagem para logo anvisa">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1525" y="20002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47625</xdr:colOff>
          <xdr:row>12</xdr:row>
          <xdr:rowOff>19050</xdr:rowOff>
        </xdr:from>
        <xdr:to>
          <xdr:col>38</xdr:col>
          <xdr:colOff>304800</xdr:colOff>
          <xdr:row>13</xdr:row>
          <xdr:rowOff>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0B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13</xdr:row>
          <xdr:rowOff>9525</xdr:rowOff>
        </xdr:from>
        <xdr:to>
          <xdr:col>15</xdr:col>
          <xdr:colOff>304800</xdr:colOff>
          <xdr:row>13</xdr:row>
          <xdr:rowOff>495300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0B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43</xdr:row>
          <xdr:rowOff>9525</xdr:rowOff>
        </xdr:from>
        <xdr:to>
          <xdr:col>23</xdr:col>
          <xdr:colOff>295275</xdr:colOff>
          <xdr:row>43</xdr:row>
          <xdr:rowOff>314325</xdr:rowOff>
        </xdr:to>
        <xdr:sp macro="" textlink="">
          <xdr:nvSpPr>
            <xdr:cNvPr id="27703" name="evid_tox_1" hidden="1">
              <a:extLst>
                <a:ext uri="{63B3BB69-23CF-44E3-9099-C40C66FF867C}">
                  <a14:compatExt spid="_x0000_s27703"/>
                </a:ext>
                <a:ext uri="{FF2B5EF4-FFF2-40B4-BE49-F238E27FC236}">
                  <a16:creationId xmlns:a16="http://schemas.microsoft.com/office/drawing/2014/main" id="{00000000-0008-0000-0B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45</xdr:row>
          <xdr:rowOff>9525</xdr:rowOff>
        </xdr:from>
        <xdr:to>
          <xdr:col>23</xdr:col>
          <xdr:colOff>295275</xdr:colOff>
          <xdr:row>45</xdr:row>
          <xdr:rowOff>314325</xdr:rowOff>
        </xdr:to>
        <xdr:sp macro="" textlink="">
          <xdr:nvSpPr>
            <xdr:cNvPr id="27704" name="evid_tox_3" hidden="1">
              <a:extLst>
                <a:ext uri="{63B3BB69-23CF-44E3-9099-C40C66FF867C}">
                  <a14:compatExt spid="_x0000_s27704"/>
                </a:ext>
                <a:ext uri="{FF2B5EF4-FFF2-40B4-BE49-F238E27FC236}">
                  <a16:creationId xmlns:a16="http://schemas.microsoft.com/office/drawing/2014/main" id="{00000000-0008-0000-0B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46</xdr:row>
          <xdr:rowOff>9525</xdr:rowOff>
        </xdr:from>
        <xdr:to>
          <xdr:col>23</xdr:col>
          <xdr:colOff>295275</xdr:colOff>
          <xdr:row>46</xdr:row>
          <xdr:rowOff>314325</xdr:rowOff>
        </xdr:to>
        <xdr:sp macro="" textlink="">
          <xdr:nvSpPr>
            <xdr:cNvPr id="27705" name="evid_tox_4" hidden="1">
              <a:extLst>
                <a:ext uri="{63B3BB69-23CF-44E3-9099-C40C66FF867C}">
                  <a14:compatExt spid="_x0000_s27705"/>
                </a:ext>
                <a:ext uri="{FF2B5EF4-FFF2-40B4-BE49-F238E27FC236}">
                  <a16:creationId xmlns:a16="http://schemas.microsoft.com/office/drawing/2014/main" id="{00000000-0008-0000-0B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47</xdr:row>
          <xdr:rowOff>9525</xdr:rowOff>
        </xdr:from>
        <xdr:to>
          <xdr:col>23</xdr:col>
          <xdr:colOff>295275</xdr:colOff>
          <xdr:row>47</xdr:row>
          <xdr:rowOff>314325</xdr:rowOff>
        </xdr:to>
        <xdr:sp macro="" textlink="">
          <xdr:nvSpPr>
            <xdr:cNvPr id="27706" name="evid_tox_5" hidden="1">
              <a:extLst>
                <a:ext uri="{63B3BB69-23CF-44E3-9099-C40C66FF867C}">
                  <a14:compatExt spid="_x0000_s27706"/>
                </a:ext>
                <a:ext uri="{FF2B5EF4-FFF2-40B4-BE49-F238E27FC236}">
                  <a16:creationId xmlns:a16="http://schemas.microsoft.com/office/drawing/2014/main" id="{00000000-0008-0000-0B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48</xdr:row>
          <xdr:rowOff>9525</xdr:rowOff>
        </xdr:from>
        <xdr:to>
          <xdr:col>23</xdr:col>
          <xdr:colOff>295275</xdr:colOff>
          <xdr:row>48</xdr:row>
          <xdr:rowOff>314325</xdr:rowOff>
        </xdr:to>
        <xdr:sp macro="" textlink="">
          <xdr:nvSpPr>
            <xdr:cNvPr id="27707" name="evid_tox_6" hidden="1">
              <a:extLst>
                <a:ext uri="{63B3BB69-23CF-44E3-9099-C40C66FF867C}">
                  <a14:compatExt spid="_x0000_s27707"/>
                </a:ext>
                <a:ext uri="{FF2B5EF4-FFF2-40B4-BE49-F238E27FC236}">
                  <a16:creationId xmlns:a16="http://schemas.microsoft.com/office/drawing/2014/main" id="{00000000-0008-0000-0B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49</xdr:row>
          <xdr:rowOff>9525</xdr:rowOff>
        </xdr:from>
        <xdr:to>
          <xdr:col>23</xdr:col>
          <xdr:colOff>295275</xdr:colOff>
          <xdr:row>49</xdr:row>
          <xdr:rowOff>314325</xdr:rowOff>
        </xdr:to>
        <xdr:sp macro="" textlink="">
          <xdr:nvSpPr>
            <xdr:cNvPr id="27708" name="evid_tox_7" hidden="1">
              <a:extLst>
                <a:ext uri="{63B3BB69-23CF-44E3-9099-C40C66FF867C}">
                  <a14:compatExt spid="_x0000_s27708"/>
                </a:ext>
                <a:ext uri="{FF2B5EF4-FFF2-40B4-BE49-F238E27FC236}">
                  <a16:creationId xmlns:a16="http://schemas.microsoft.com/office/drawing/2014/main" id="{00000000-0008-0000-0B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50</xdr:row>
          <xdr:rowOff>9525</xdr:rowOff>
        </xdr:from>
        <xdr:to>
          <xdr:col>23</xdr:col>
          <xdr:colOff>295275</xdr:colOff>
          <xdr:row>50</xdr:row>
          <xdr:rowOff>314325</xdr:rowOff>
        </xdr:to>
        <xdr:sp macro="" textlink="">
          <xdr:nvSpPr>
            <xdr:cNvPr id="27709" name="evid_tox_8" hidden="1">
              <a:extLst>
                <a:ext uri="{63B3BB69-23CF-44E3-9099-C40C66FF867C}">
                  <a14:compatExt spid="_x0000_s27709"/>
                </a:ext>
                <a:ext uri="{FF2B5EF4-FFF2-40B4-BE49-F238E27FC236}">
                  <a16:creationId xmlns:a16="http://schemas.microsoft.com/office/drawing/2014/main" id="{00000000-0008-0000-0B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51</xdr:row>
          <xdr:rowOff>19050</xdr:rowOff>
        </xdr:from>
        <xdr:to>
          <xdr:col>23</xdr:col>
          <xdr:colOff>295275</xdr:colOff>
          <xdr:row>52</xdr:row>
          <xdr:rowOff>0</xdr:rowOff>
        </xdr:to>
        <xdr:sp macro="" textlink="">
          <xdr:nvSpPr>
            <xdr:cNvPr id="27710" name="evid_tox_9" hidden="1">
              <a:extLst>
                <a:ext uri="{63B3BB69-23CF-44E3-9099-C40C66FF867C}">
                  <a14:compatExt spid="_x0000_s27710"/>
                </a:ext>
                <a:ext uri="{FF2B5EF4-FFF2-40B4-BE49-F238E27FC236}">
                  <a16:creationId xmlns:a16="http://schemas.microsoft.com/office/drawing/2014/main" id="{00000000-0008-0000-0B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52</xdr:row>
          <xdr:rowOff>19050</xdr:rowOff>
        </xdr:from>
        <xdr:to>
          <xdr:col>23</xdr:col>
          <xdr:colOff>295275</xdr:colOff>
          <xdr:row>53</xdr:row>
          <xdr:rowOff>0</xdr:rowOff>
        </xdr:to>
        <xdr:sp macro="" textlink="">
          <xdr:nvSpPr>
            <xdr:cNvPr id="27711" name="evid_tox_10" hidden="1">
              <a:extLst>
                <a:ext uri="{63B3BB69-23CF-44E3-9099-C40C66FF867C}">
                  <a14:compatExt spid="_x0000_s27711"/>
                </a:ext>
                <a:ext uri="{FF2B5EF4-FFF2-40B4-BE49-F238E27FC236}">
                  <a16:creationId xmlns:a16="http://schemas.microsoft.com/office/drawing/2014/main" id="{00000000-0008-0000-0B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44</xdr:row>
          <xdr:rowOff>9525</xdr:rowOff>
        </xdr:from>
        <xdr:to>
          <xdr:col>23</xdr:col>
          <xdr:colOff>304800</xdr:colOff>
          <xdr:row>44</xdr:row>
          <xdr:rowOff>314325</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B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9525</xdr:colOff>
          <xdr:row>69</xdr:row>
          <xdr:rowOff>19050</xdr:rowOff>
        </xdr:from>
        <xdr:to>
          <xdr:col>15</xdr:col>
          <xdr:colOff>257175</xdr:colOff>
          <xdr:row>70</xdr:row>
          <xdr:rowOff>0</xdr:rowOff>
        </xdr:to>
        <xdr:sp macro="" textlink="">
          <xdr:nvSpPr>
            <xdr:cNvPr id="59393" name="check_cl50_maiorque" hidden="1">
              <a:extLst>
                <a:ext uri="{63B3BB69-23CF-44E3-9099-C40C66FF867C}">
                  <a14:compatExt spid="_x0000_s59393"/>
                </a:ext>
                <a:ext uri="{FF2B5EF4-FFF2-40B4-BE49-F238E27FC236}">
                  <a16:creationId xmlns:a16="http://schemas.microsoft.com/office/drawing/2014/main" id="{00000000-0008-0000-0C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61</xdr:row>
          <xdr:rowOff>171450</xdr:rowOff>
        </xdr:from>
        <xdr:to>
          <xdr:col>17</xdr:col>
          <xdr:colOff>238125</xdr:colOff>
          <xdr:row>63</xdr:row>
          <xdr:rowOff>76200</xdr:rowOff>
        </xdr:to>
        <xdr:sp macro="" textlink="">
          <xdr:nvSpPr>
            <xdr:cNvPr id="59394" name="optn_cl50_desvios1" hidden="1">
              <a:extLst>
                <a:ext uri="{63B3BB69-23CF-44E3-9099-C40C66FF867C}">
                  <a14:compatExt spid="_x0000_s59394"/>
                </a:ext>
                <a:ext uri="{FF2B5EF4-FFF2-40B4-BE49-F238E27FC236}">
                  <a16:creationId xmlns:a16="http://schemas.microsoft.com/office/drawing/2014/main" id="{00000000-0008-0000-0C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63</xdr:row>
          <xdr:rowOff>180975</xdr:rowOff>
        </xdr:from>
        <xdr:to>
          <xdr:col>17</xdr:col>
          <xdr:colOff>238125</xdr:colOff>
          <xdr:row>65</xdr:row>
          <xdr:rowOff>85725</xdr:rowOff>
        </xdr:to>
        <xdr:sp macro="" textlink="">
          <xdr:nvSpPr>
            <xdr:cNvPr id="59395" name="optn_cl50_desvios2" hidden="1">
              <a:extLst>
                <a:ext uri="{63B3BB69-23CF-44E3-9099-C40C66FF867C}">
                  <a14:compatExt spid="_x0000_s59395"/>
                </a:ext>
                <a:ext uri="{FF2B5EF4-FFF2-40B4-BE49-F238E27FC236}">
                  <a16:creationId xmlns:a16="http://schemas.microsoft.com/office/drawing/2014/main" id="{00000000-0008-0000-0C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190500</xdr:colOff>
      <xdr:row>1</xdr:row>
      <xdr:rowOff>9525</xdr:rowOff>
    </xdr:from>
    <xdr:to>
      <xdr:col>39</xdr:col>
      <xdr:colOff>111450</xdr:colOff>
      <xdr:row>6</xdr:row>
      <xdr:rowOff>123826</xdr:rowOff>
    </xdr:to>
    <xdr:pic>
      <xdr:nvPicPr>
        <xdr:cNvPr id="5" name="Logo" descr="Resultado de imagem para logo anvisa">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025" y="20002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38100</xdr:colOff>
          <xdr:row>12</xdr:row>
          <xdr:rowOff>9525</xdr:rowOff>
        </xdr:from>
        <xdr:to>
          <xdr:col>39</xdr:col>
          <xdr:colOff>0</xdr:colOff>
          <xdr:row>13</xdr:row>
          <xdr:rowOff>0</xdr:rowOff>
        </xdr:to>
        <xdr:sp macro="" textlink="">
          <xdr:nvSpPr>
            <xdr:cNvPr id="59396" name="Check Box 51" hidden="1">
              <a:extLst>
                <a:ext uri="{63B3BB69-23CF-44E3-9099-C40C66FF867C}">
                  <a14:compatExt spid="_x0000_s59396"/>
                </a:ext>
                <a:ext uri="{FF2B5EF4-FFF2-40B4-BE49-F238E27FC236}">
                  <a16:creationId xmlns:a16="http://schemas.microsoft.com/office/drawing/2014/main" id="{00000000-0008-0000-0C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13</xdr:row>
          <xdr:rowOff>9525</xdr:rowOff>
        </xdr:from>
        <xdr:to>
          <xdr:col>16</xdr:col>
          <xdr:colOff>0</xdr:colOff>
          <xdr:row>14</xdr:row>
          <xdr:rowOff>9525</xdr:rowOff>
        </xdr:to>
        <xdr:sp macro="" textlink="">
          <xdr:nvSpPr>
            <xdr:cNvPr id="59398" name="Check Box 53" hidden="1">
              <a:extLst>
                <a:ext uri="{63B3BB69-23CF-44E3-9099-C40C66FF867C}">
                  <a14:compatExt spid="_x0000_s59398"/>
                </a:ext>
                <a:ext uri="{FF2B5EF4-FFF2-40B4-BE49-F238E27FC236}">
                  <a16:creationId xmlns:a16="http://schemas.microsoft.com/office/drawing/2014/main" id="{00000000-0008-0000-0C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43</xdr:row>
          <xdr:rowOff>9525</xdr:rowOff>
        </xdr:from>
        <xdr:to>
          <xdr:col>23</xdr:col>
          <xdr:colOff>295275</xdr:colOff>
          <xdr:row>43</xdr:row>
          <xdr:rowOff>314325</xdr:rowOff>
        </xdr:to>
        <xdr:sp macro="" textlink="">
          <xdr:nvSpPr>
            <xdr:cNvPr id="59400" name="evid_tox_1" hidden="1">
              <a:extLst>
                <a:ext uri="{63B3BB69-23CF-44E3-9099-C40C66FF867C}">
                  <a14:compatExt spid="_x0000_s59400"/>
                </a:ext>
                <a:ext uri="{FF2B5EF4-FFF2-40B4-BE49-F238E27FC236}">
                  <a16:creationId xmlns:a16="http://schemas.microsoft.com/office/drawing/2014/main" id="{00000000-0008-0000-0C00-00000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45</xdr:row>
          <xdr:rowOff>9525</xdr:rowOff>
        </xdr:from>
        <xdr:to>
          <xdr:col>23</xdr:col>
          <xdr:colOff>295275</xdr:colOff>
          <xdr:row>45</xdr:row>
          <xdr:rowOff>314325</xdr:rowOff>
        </xdr:to>
        <xdr:sp macro="" textlink="">
          <xdr:nvSpPr>
            <xdr:cNvPr id="59401" name="evid_tox_3" hidden="1">
              <a:extLst>
                <a:ext uri="{63B3BB69-23CF-44E3-9099-C40C66FF867C}">
                  <a14:compatExt spid="_x0000_s59401"/>
                </a:ext>
                <a:ext uri="{FF2B5EF4-FFF2-40B4-BE49-F238E27FC236}">
                  <a16:creationId xmlns:a16="http://schemas.microsoft.com/office/drawing/2014/main" id="{00000000-0008-0000-0C00-00000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46</xdr:row>
          <xdr:rowOff>9525</xdr:rowOff>
        </xdr:from>
        <xdr:to>
          <xdr:col>23</xdr:col>
          <xdr:colOff>295275</xdr:colOff>
          <xdr:row>46</xdr:row>
          <xdr:rowOff>314325</xdr:rowOff>
        </xdr:to>
        <xdr:sp macro="" textlink="">
          <xdr:nvSpPr>
            <xdr:cNvPr id="59402" name="evid_tox_4" hidden="1">
              <a:extLst>
                <a:ext uri="{63B3BB69-23CF-44E3-9099-C40C66FF867C}">
                  <a14:compatExt spid="_x0000_s59402"/>
                </a:ext>
                <a:ext uri="{FF2B5EF4-FFF2-40B4-BE49-F238E27FC236}">
                  <a16:creationId xmlns:a16="http://schemas.microsoft.com/office/drawing/2014/main" id="{00000000-0008-0000-0C00-00000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47</xdr:row>
          <xdr:rowOff>9525</xdr:rowOff>
        </xdr:from>
        <xdr:to>
          <xdr:col>23</xdr:col>
          <xdr:colOff>295275</xdr:colOff>
          <xdr:row>47</xdr:row>
          <xdr:rowOff>314325</xdr:rowOff>
        </xdr:to>
        <xdr:sp macro="" textlink="">
          <xdr:nvSpPr>
            <xdr:cNvPr id="59403" name="evid_tox_5" hidden="1">
              <a:extLst>
                <a:ext uri="{63B3BB69-23CF-44E3-9099-C40C66FF867C}">
                  <a14:compatExt spid="_x0000_s59403"/>
                </a:ext>
                <a:ext uri="{FF2B5EF4-FFF2-40B4-BE49-F238E27FC236}">
                  <a16:creationId xmlns:a16="http://schemas.microsoft.com/office/drawing/2014/main" id="{00000000-0008-0000-0C00-00000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48</xdr:row>
          <xdr:rowOff>9525</xdr:rowOff>
        </xdr:from>
        <xdr:to>
          <xdr:col>23</xdr:col>
          <xdr:colOff>295275</xdr:colOff>
          <xdr:row>48</xdr:row>
          <xdr:rowOff>314325</xdr:rowOff>
        </xdr:to>
        <xdr:sp macro="" textlink="">
          <xdr:nvSpPr>
            <xdr:cNvPr id="59404" name="evid_tox_6" hidden="1">
              <a:extLst>
                <a:ext uri="{63B3BB69-23CF-44E3-9099-C40C66FF867C}">
                  <a14:compatExt spid="_x0000_s59404"/>
                </a:ext>
                <a:ext uri="{FF2B5EF4-FFF2-40B4-BE49-F238E27FC236}">
                  <a16:creationId xmlns:a16="http://schemas.microsoft.com/office/drawing/2014/main" id="{00000000-0008-0000-0C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49</xdr:row>
          <xdr:rowOff>9525</xdr:rowOff>
        </xdr:from>
        <xdr:to>
          <xdr:col>23</xdr:col>
          <xdr:colOff>295275</xdr:colOff>
          <xdr:row>49</xdr:row>
          <xdr:rowOff>314325</xdr:rowOff>
        </xdr:to>
        <xdr:sp macro="" textlink="">
          <xdr:nvSpPr>
            <xdr:cNvPr id="59405" name="evid_tox_7" hidden="1">
              <a:extLst>
                <a:ext uri="{63B3BB69-23CF-44E3-9099-C40C66FF867C}">
                  <a14:compatExt spid="_x0000_s59405"/>
                </a:ext>
                <a:ext uri="{FF2B5EF4-FFF2-40B4-BE49-F238E27FC236}">
                  <a16:creationId xmlns:a16="http://schemas.microsoft.com/office/drawing/2014/main" id="{00000000-0008-0000-0C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50</xdr:row>
          <xdr:rowOff>9525</xdr:rowOff>
        </xdr:from>
        <xdr:to>
          <xdr:col>23</xdr:col>
          <xdr:colOff>295275</xdr:colOff>
          <xdr:row>50</xdr:row>
          <xdr:rowOff>314325</xdr:rowOff>
        </xdr:to>
        <xdr:sp macro="" textlink="">
          <xdr:nvSpPr>
            <xdr:cNvPr id="59406" name="evid_tox_8" hidden="1">
              <a:extLst>
                <a:ext uri="{63B3BB69-23CF-44E3-9099-C40C66FF867C}">
                  <a14:compatExt spid="_x0000_s59406"/>
                </a:ext>
                <a:ext uri="{FF2B5EF4-FFF2-40B4-BE49-F238E27FC236}">
                  <a16:creationId xmlns:a16="http://schemas.microsoft.com/office/drawing/2014/main" id="{00000000-0008-0000-0C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51</xdr:row>
          <xdr:rowOff>19050</xdr:rowOff>
        </xdr:from>
        <xdr:to>
          <xdr:col>23</xdr:col>
          <xdr:colOff>295275</xdr:colOff>
          <xdr:row>52</xdr:row>
          <xdr:rowOff>0</xdr:rowOff>
        </xdr:to>
        <xdr:sp macro="" textlink="">
          <xdr:nvSpPr>
            <xdr:cNvPr id="59407" name="evid_tox_9" hidden="1">
              <a:extLst>
                <a:ext uri="{63B3BB69-23CF-44E3-9099-C40C66FF867C}">
                  <a14:compatExt spid="_x0000_s59407"/>
                </a:ext>
                <a:ext uri="{FF2B5EF4-FFF2-40B4-BE49-F238E27FC236}">
                  <a16:creationId xmlns:a16="http://schemas.microsoft.com/office/drawing/2014/main" id="{00000000-0008-0000-0C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52</xdr:row>
          <xdr:rowOff>19050</xdr:rowOff>
        </xdr:from>
        <xdr:to>
          <xdr:col>23</xdr:col>
          <xdr:colOff>295275</xdr:colOff>
          <xdr:row>53</xdr:row>
          <xdr:rowOff>0</xdr:rowOff>
        </xdr:to>
        <xdr:sp macro="" textlink="">
          <xdr:nvSpPr>
            <xdr:cNvPr id="59408" name="evid_tox_10" hidden="1">
              <a:extLst>
                <a:ext uri="{63B3BB69-23CF-44E3-9099-C40C66FF867C}">
                  <a14:compatExt spid="_x0000_s59408"/>
                </a:ext>
                <a:ext uri="{FF2B5EF4-FFF2-40B4-BE49-F238E27FC236}">
                  <a16:creationId xmlns:a16="http://schemas.microsoft.com/office/drawing/2014/main" id="{00000000-0008-0000-0C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44</xdr:row>
          <xdr:rowOff>9525</xdr:rowOff>
        </xdr:from>
        <xdr:to>
          <xdr:col>23</xdr:col>
          <xdr:colOff>304800</xdr:colOff>
          <xdr:row>44</xdr:row>
          <xdr:rowOff>314325</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C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114300</xdr:colOff>
          <xdr:row>72</xdr:row>
          <xdr:rowOff>66675</xdr:rowOff>
        </xdr:from>
        <xdr:to>
          <xdr:col>39</xdr:col>
          <xdr:colOff>38100</xdr:colOff>
          <xdr:row>72</xdr:row>
          <xdr:rowOff>438150</xdr:rowOff>
        </xdr:to>
        <xdr:sp macro="" textlink="">
          <xdr:nvSpPr>
            <xdr:cNvPr id="31774" name="check_irritocular_result_4" hidden="1">
              <a:extLst>
                <a:ext uri="{63B3BB69-23CF-44E3-9099-C40C66FF867C}">
                  <a14:compatExt spid="_x0000_s31774"/>
                </a:ext>
                <a:ext uri="{FF2B5EF4-FFF2-40B4-BE49-F238E27FC236}">
                  <a16:creationId xmlns:a16="http://schemas.microsoft.com/office/drawing/2014/main" id="{00000000-0008-0000-0D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69</xdr:row>
          <xdr:rowOff>38100</xdr:rowOff>
        </xdr:from>
        <xdr:to>
          <xdr:col>39</xdr:col>
          <xdr:colOff>57150</xdr:colOff>
          <xdr:row>69</xdr:row>
          <xdr:rowOff>438150</xdr:rowOff>
        </xdr:to>
        <xdr:sp macro="" textlink="">
          <xdr:nvSpPr>
            <xdr:cNvPr id="31745" name="check_irritocular_result_1" hidden="1">
              <a:extLst>
                <a:ext uri="{63B3BB69-23CF-44E3-9099-C40C66FF867C}">
                  <a14:compatExt spid="_x0000_s31745"/>
                </a:ext>
                <a:ext uri="{FF2B5EF4-FFF2-40B4-BE49-F238E27FC236}">
                  <a16:creationId xmlns:a16="http://schemas.microsoft.com/office/drawing/2014/main" id="{00000000-0008-0000-0D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70</xdr:row>
          <xdr:rowOff>19050</xdr:rowOff>
        </xdr:from>
        <xdr:to>
          <xdr:col>39</xdr:col>
          <xdr:colOff>47625</xdr:colOff>
          <xdr:row>70</xdr:row>
          <xdr:rowOff>419100</xdr:rowOff>
        </xdr:to>
        <xdr:sp macro="" textlink="">
          <xdr:nvSpPr>
            <xdr:cNvPr id="31746" name="check_irritocular_result_2" hidden="1">
              <a:extLst>
                <a:ext uri="{63B3BB69-23CF-44E3-9099-C40C66FF867C}">
                  <a14:compatExt spid="_x0000_s31746"/>
                </a:ext>
                <a:ext uri="{FF2B5EF4-FFF2-40B4-BE49-F238E27FC236}">
                  <a16:creationId xmlns:a16="http://schemas.microsoft.com/office/drawing/2014/main" id="{00000000-0008-0000-0D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70</xdr:row>
          <xdr:rowOff>495300</xdr:rowOff>
        </xdr:from>
        <xdr:to>
          <xdr:col>39</xdr:col>
          <xdr:colOff>66675</xdr:colOff>
          <xdr:row>71</xdr:row>
          <xdr:rowOff>609600</xdr:rowOff>
        </xdr:to>
        <xdr:sp macro="" textlink="">
          <xdr:nvSpPr>
            <xdr:cNvPr id="31747" name="check_irritocular_result_3" hidden="1">
              <a:extLst>
                <a:ext uri="{63B3BB69-23CF-44E3-9099-C40C66FF867C}">
                  <a14:compatExt spid="_x0000_s31747"/>
                </a:ext>
                <a:ext uri="{FF2B5EF4-FFF2-40B4-BE49-F238E27FC236}">
                  <a16:creationId xmlns:a16="http://schemas.microsoft.com/office/drawing/2014/main" id="{00000000-0008-0000-0D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30</xdr:row>
          <xdr:rowOff>133350</xdr:rowOff>
        </xdr:from>
        <xdr:to>
          <xdr:col>14</xdr:col>
          <xdr:colOff>38100</xdr:colOff>
          <xdr:row>30</xdr:row>
          <xdr:rowOff>352425</xdr:rowOff>
        </xdr:to>
        <xdr:sp macro="" textlink="">
          <xdr:nvSpPr>
            <xdr:cNvPr id="31758" name="check_irritocular_despensa3" hidden="1">
              <a:extLst>
                <a:ext uri="{63B3BB69-23CF-44E3-9099-C40C66FF867C}">
                  <a14:compatExt spid="_x0000_s31758"/>
                </a:ext>
                <a:ext uri="{FF2B5EF4-FFF2-40B4-BE49-F238E27FC236}">
                  <a16:creationId xmlns:a16="http://schemas.microsoft.com/office/drawing/2014/main" id="{00000000-0008-0000-0D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29</xdr:row>
          <xdr:rowOff>114300</xdr:rowOff>
        </xdr:from>
        <xdr:to>
          <xdr:col>14</xdr:col>
          <xdr:colOff>38100</xdr:colOff>
          <xdr:row>29</xdr:row>
          <xdr:rowOff>333375</xdr:rowOff>
        </xdr:to>
        <xdr:sp macro="" textlink="">
          <xdr:nvSpPr>
            <xdr:cNvPr id="31757" name="check_irritocular_despensa2" hidden="1">
              <a:extLst>
                <a:ext uri="{63B3BB69-23CF-44E3-9099-C40C66FF867C}">
                  <a14:compatExt spid="_x0000_s31757"/>
                </a:ext>
                <a:ext uri="{FF2B5EF4-FFF2-40B4-BE49-F238E27FC236}">
                  <a16:creationId xmlns:a16="http://schemas.microsoft.com/office/drawing/2014/main" id="{00000000-0008-0000-0D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28</xdr:row>
          <xdr:rowOff>133350</xdr:rowOff>
        </xdr:from>
        <xdr:to>
          <xdr:col>14</xdr:col>
          <xdr:colOff>38100</xdr:colOff>
          <xdr:row>28</xdr:row>
          <xdr:rowOff>352425</xdr:rowOff>
        </xdr:to>
        <xdr:sp macro="" textlink="">
          <xdr:nvSpPr>
            <xdr:cNvPr id="31786" name="check_irritocular_despensa1" hidden="1">
              <a:extLst>
                <a:ext uri="{63B3BB69-23CF-44E3-9099-C40C66FF867C}">
                  <a14:compatExt spid="_x0000_s31786"/>
                </a:ext>
                <a:ext uri="{FF2B5EF4-FFF2-40B4-BE49-F238E27FC236}">
                  <a16:creationId xmlns:a16="http://schemas.microsoft.com/office/drawing/2014/main" id="{00000000-0008-0000-0D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76</xdr:row>
          <xdr:rowOff>228600</xdr:rowOff>
        </xdr:from>
        <xdr:to>
          <xdr:col>17</xdr:col>
          <xdr:colOff>257175</xdr:colOff>
          <xdr:row>78</xdr:row>
          <xdr:rowOff>38100</xdr:rowOff>
        </xdr:to>
        <xdr:sp macro="" textlink="">
          <xdr:nvSpPr>
            <xdr:cNvPr id="31789" name="optn_desvios_irritocular1" hidden="1">
              <a:extLst>
                <a:ext uri="{63B3BB69-23CF-44E3-9099-C40C66FF867C}">
                  <a14:compatExt spid="_x0000_s31789"/>
                </a:ext>
                <a:ext uri="{FF2B5EF4-FFF2-40B4-BE49-F238E27FC236}">
                  <a16:creationId xmlns:a16="http://schemas.microsoft.com/office/drawing/2014/main" id="{00000000-0008-0000-0D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78</xdr:row>
          <xdr:rowOff>333375</xdr:rowOff>
        </xdr:from>
        <xdr:to>
          <xdr:col>17</xdr:col>
          <xdr:colOff>257175</xdr:colOff>
          <xdr:row>80</xdr:row>
          <xdr:rowOff>9525</xdr:rowOff>
        </xdr:to>
        <xdr:sp macro="" textlink="">
          <xdr:nvSpPr>
            <xdr:cNvPr id="31788" name="optn_desvios_irritocular2" hidden="1">
              <a:extLst>
                <a:ext uri="{63B3BB69-23CF-44E3-9099-C40C66FF867C}">
                  <a14:compatExt spid="_x0000_s31788"/>
                </a:ext>
                <a:ext uri="{FF2B5EF4-FFF2-40B4-BE49-F238E27FC236}">
                  <a16:creationId xmlns:a16="http://schemas.microsoft.com/office/drawing/2014/main" id="{00000000-0008-0000-0D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314325</xdr:colOff>
      <xdr:row>0</xdr:row>
      <xdr:rowOff>171450</xdr:rowOff>
    </xdr:from>
    <xdr:to>
      <xdr:col>39</xdr:col>
      <xdr:colOff>120975</xdr:colOff>
      <xdr:row>6</xdr:row>
      <xdr:rowOff>95251</xdr:rowOff>
    </xdr:to>
    <xdr:pic>
      <xdr:nvPicPr>
        <xdr:cNvPr id="27" name="Logo" descr="Resultado de imagem para logo anvisa">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9875" y="17145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95250</xdr:colOff>
          <xdr:row>72</xdr:row>
          <xdr:rowOff>57150</xdr:rowOff>
        </xdr:from>
        <xdr:to>
          <xdr:col>39</xdr:col>
          <xdr:colOff>19050</xdr:colOff>
          <xdr:row>72</xdr:row>
          <xdr:rowOff>457200</xdr:rowOff>
        </xdr:to>
        <xdr:sp macro="" textlink="">
          <xdr:nvSpPr>
            <xdr:cNvPr id="60417" name="check_irritocular_result_4" hidden="1">
              <a:extLst>
                <a:ext uri="{63B3BB69-23CF-44E3-9099-C40C66FF867C}">
                  <a14:compatExt spid="_x0000_s60417"/>
                </a:ext>
                <a:ext uri="{FF2B5EF4-FFF2-40B4-BE49-F238E27FC236}">
                  <a16:creationId xmlns:a16="http://schemas.microsoft.com/office/drawing/2014/main" id="{00000000-0008-0000-0E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69</xdr:row>
          <xdr:rowOff>38100</xdr:rowOff>
        </xdr:from>
        <xdr:to>
          <xdr:col>39</xdr:col>
          <xdr:colOff>19050</xdr:colOff>
          <xdr:row>69</xdr:row>
          <xdr:rowOff>438150</xdr:rowOff>
        </xdr:to>
        <xdr:sp macro="" textlink="">
          <xdr:nvSpPr>
            <xdr:cNvPr id="60418" name="check_irritocular_result_1" hidden="1">
              <a:extLst>
                <a:ext uri="{63B3BB69-23CF-44E3-9099-C40C66FF867C}">
                  <a14:compatExt spid="_x0000_s60418"/>
                </a:ext>
                <a:ext uri="{FF2B5EF4-FFF2-40B4-BE49-F238E27FC236}">
                  <a16:creationId xmlns:a16="http://schemas.microsoft.com/office/drawing/2014/main" id="{00000000-0008-0000-0E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69</xdr:row>
          <xdr:rowOff>495300</xdr:rowOff>
        </xdr:from>
        <xdr:to>
          <xdr:col>39</xdr:col>
          <xdr:colOff>19050</xdr:colOff>
          <xdr:row>70</xdr:row>
          <xdr:rowOff>476250</xdr:rowOff>
        </xdr:to>
        <xdr:sp macro="" textlink="">
          <xdr:nvSpPr>
            <xdr:cNvPr id="60419" name="check_irritocular_result_2" hidden="1">
              <a:extLst>
                <a:ext uri="{63B3BB69-23CF-44E3-9099-C40C66FF867C}">
                  <a14:compatExt spid="_x0000_s60419"/>
                </a:ext>
                <a:ext uri="{FF2B5EF4-FFF2-40B4-BE49-F238E27FC236}">
                  <a16:creationId xmlns:a16="http://schemas.microsoft.com/office/drawing/2014/main" id="{00000000-0008-0000-0E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71</xdr:row>
          <xdr:rowOff>28575</xdr:rowOff>
        </xdr:from>
        <xdr:to>
          <xdr:col>39</xdr:col>
          <xdr:colOff>19050</xdr:colOff>
          <xdr:row>72</xdr:row>
          <xdr:rowOff>0</xdr:rowOff>
        </xdr:to>
        <xdr:sp macro="" textlink="">
          <xdr:nvSpPr>
            <xdr:cNvPr id="60420" name="check_irritocular_result_3" hidden="1">
              <a:extLst>
                <a:ext uri="{63B3BB69-23CF-44E3-9099-C40C66FF867C}">
                  <a14:compatExt spid="_x0000_s60420"/>
                </a:ext>
                <a:ext uri="{FF2B5EF4-FFF2-40B4-BE49-F238E27FC236}">
                  <a16:creationId xmlns:a16="http://schemas.microsoft.com/office/drawing/2014/main" id="{00000000-0008-0000-0E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30</xdr:row>
          <xdr:rowOff>133350</xdr:rowOff>
        </xdr:from>
        <xdr:to>
          <xdr:col>14</xdr:col>
          <xdr:colOff>38100</xdr:colOff>
          <xdr:row>30</xdr:row>
          <xdr:rowOff>352425</xdr:rowOff>
        </xdr:to>
        <xdr:sp macro="" textlink="">
          <xdr:nvSpPr>
            <xdr:cNvPr id="60421" name="check_irritocular_despensa3" hidden="1">
              <a:extLst>
                <a:ext uri="{63B3BB69-23CF-44E3-9099-C40C66FF867C}">
                  <a14:compatExt spid="_x0000_s60421"/>
                </a:ext>
                <a:ext uri="{FF2B5EF4-FFF2-40B4-BE49-F238E27FC236}">
                  <a16:creationId xmlns:a16="http://schemas.microsoft.com/office/drawing/2014/main" id="{00000000-0008-0000-0E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29</xdr:row>
          <xdr:rowOff>114300</xdr:rowOff>
        </xdr:from>
        <xdr:to>
          <xdr:col>14</xdr:col>
          <xdr:colOff>38100</xdr:colOff>
          <xdr:row>29</xdr:row>
          <xdr:rowOff>333375</xdr:rowOff>
        </xdr:to>
        <xdr:sp macro="" textlink="">
          <xdr:nvSpPr>
            <xdr:cNvPr id="60422" name="check_irritocular_despensa2" hidden="1">
              <a:extLst>
                <a:ext uri="{63B3BB69-23CF-44E3-9099-C40C66FF867C}">
                  <a14:compatExt spid="_x0000_s60422"/>
                </a:ext>
                <a:ext uri="{FF2B5EF4-FFF2-40B4-BE49-F238E27FC236}">
                  <a16:creationId xmlns:a16="http://schemas.microsoft.com/office/drawing/2014/main" id="{00000000-0008-0000-0E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28</xdr:row>
          <xdr:rowOff>133350</xdr:rowOff>
        </xdr:from>
        <xdr:to>
          <xdr:col>14</xdr:col>
          <xdr:colOff>38100</xdr:colOff>
          <xdr:row>28</xdr:row>
          <xdr:rowOff>352425</xdr:rowOff>
        </xdr:to>
        <xdr:sp macro="" textlink="">
          <xdr:nvSpPr>
            <xdr:cNvPr id="60423" name="check_irritocular_despensa1" hidden="1">
              <a:extLst>
                <a:ext uri="{63B3BB69-23CF-44E3-9099-C40C66FF867C}">
                  <a14:compatExt spid="_x0000_s60423"/>
                </a:ext>
                <a:ext uri="{FF2B5EF4-FFF2-40B4-BE49-F238E27FC236}">
                  <a16:creationId xmlns:a16="http://schemas.microsoft.com/office/drawing/2014/main" id="{00000000-0008-0000-0E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76</xdr:row>
          <xdr:rowOff>228600</xdr:rowOff>
        </xdr:from>
        <xdr:to>
          <xdr:col>17</xdr:col>
          <xdr:colOff>257175</xdr:colOff>
          <xdr:row>78</xdr:row>
          <xdr:rowOff>38100</xdr:rowOff>
        </xdr:to>
        <xdr:sp macro="" textlink="">
          <xdr:nvSpPr>
            <xdr:cNvPr id="60424" name="optn_desvios_irritocular1" hidden="1">
              <a:extLst>
                <a:ext uri="{63B3BB69-23CF-44E3-9099-C40C66FF867C}">
                  <a14:compatExt spid="_x0000_s60424"/>
                </a:ext>
                <a:ext uri="{FF2B5EF4-FFF2-40B4-BE49-F238E27FC236}">
                  <a16:creationId xmlns:a16="http://schemas.microsoft.com/office/drawing/2014/main" id="{00000000-0008-0000-0E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78</xdr:row>
          <xdr:rowOff>333375</xdr:rowOff>
        </xdr:from>
        <xdr:to>
          <xdr:col>17</xdr:col>
          <xdr:colOff>257175</xdr:colOff>
          <xdr:row>80</xdr:row>
          <xdr:rowOff>9525</xdr:rowOff>
        </xdr:to>
        <xdr:sp macro="" textlink="">
          <xdr:nvSpPr>
            <xdr:cNvPr id="60425" name="optn_desvios_irritocular2" hidden="1">
              <a:extLst>
                <a:ext uri="{63B3BB69-23CF-44E3-9099-C40C66FF867C}">
                  <a14:compatExt spid="_x0000_s60425"/>
                </a:ext>
                <a:ext uri="{FF2B5EF4-FFF2-40B4-BE49-F238E27FC236}">
                  <a16:creationId xmlns:a16="http://schemas.microsoft.com/office/drawing/2014/main" id="{00000000-0008-0000-0E00-00000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314325</xdr:colOff>
      <xdr:row>0</xdr:row>
      <xdr:rowOff>171450</xdr:rowOff>
    </xdr:from>
    <xdr:to>
      <xdr:col>39</xdr:col>
      <xdr:colOff>120975</xdr:colOff>
      <xdr:row>6</xdr:row>
      <xdr:rowOff>95251</xdr:rowOff>
    </xdr:to>
    <xdr:pic>
      <xdr:nvPicPr>
        <xdr:cNvPr id="11" name="Logo" descr="Resultado de imagem para logo anvisa">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0" y="17145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95250</xdr:colOff>
          <xdr:row>70</xdr:row>
          <xdr:rowOff>114300</xdr:rowOff>
        </xdr:from>
        <xdr:to>
          <xdr:col>39</xdr:col>
          <xdr:colOff>19050</xdr:colOff>
          <xdr:row>70</xdr:row>
          <xdr:rowOff>619125</xdr:rowOff>
        </xdr:to>
        <xdr:sp macro="" textlink="">
          <xdr:nvSpPr>
            <xdr:cNvPr id="29705" name="check_resultado_irritcutanea1" hidden="1">
              <a:extLst>
                <a:ext uri="{63B3BB69-23CF-44E3-9099-C40C66FF867C}">
                  <a14:compatExt spid="_x0000_s29705"/>
                </a:ext>
                <a:ext uri="{FF2B5EF4-FFF2-40B4-BE49-F238E27FC236}">
                  <a16:creationId xmlns:a16="http://schemas.microsoft.com/office/drawing/2014/main" id="{00000000-0008-0000-0F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71</xdr:row>
          <xdr:rowOff>19050</xdr:rowOff>
        </xdr:from>
        <xdr:to>
          <xdr:col>39</xdr:col>
          <xdr:colOff>0</xdr:colOff>
          <xdr:row>71</xdr:row>
          <xdr:rowOff>609600</xdr:rowOff>
        </xdr:to>
        <xdr:sp macro="" textlink="">
          <xdr:nvSpPr>
            <xdr:cNvPr id="29706" name="check_resultado_irritcutanea2" hidden="1">
              <a:extLst>
                <a:ext uri="{63B3BB69-23CF-44E3-9099-C40C66FF867C}">
                  <a14:compatExt spid="_x0000_s29706"/>
                </a:ext>
                <a:ext uri="{FF2B5EF4-FFF2-40B4-BE49-F238E27FC236}">
                  <a16:creationId xmlns:a16="http://schemas.microsoft.com/office/drawing/2014/main" id="{00000000-0008-0000-0F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72</xdr:row>
          <xdr:rowOff>9525</xdr:rowOff>
        </xdr:from>
        <xdr:to>
          <xdr:col>39</xdr:col>
          <xdr:colOff>9525</xdr:colOff>
          <xdr:row>72</xdr:row>
          <xdr:rowOff>619125</xdr:rowOff>
        </xdr:to>
        <xdr:sp macro="" textlink="">
          <xdr:nvSpPr>
            <xdr:cNvPr id="29707" name="check_resultado_irritcutanea3" hidden="1">
              <a:extLst>
                <a:ext uri="{63B3BB69-23CF-44E3-9099-C40C66FF867C}">
                  <a14:compatExt spid="_x0000_s29707"/>
                </a:ext>
                <a:ext uri="{FF2B5EF4-FFF2-40B4-BE49-F238E27FC236}">
                  <a16:creationId xmlns:a16="http://schemas.microsoft.com/office/drawing/2014/main" id="{00000000-0008-0000-0F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73</xdr:row>
          <xdr:rowOff>9525</xdr:rowOff>
        </xdr:from>
        <xdr:to>
          <xdr:col>39</xdr:col>
          <xdr:colOff>0</xdr:colOff>
          <xdr:row>74</xdr:row>
          <xdr:rowOff>0</xdr:rowOff>
        </xdr:to>
        <xdr:sp macro="" textlink="">
          <xdr:nvSpPr>
            <xdr:cNvPr id="29708" name="check_resultado_irritcutanea4" hidden="1">
              <a:extLst>
                <a:ext uri="{63B3BB69-23CF-44E3-9099-C40C66FF867C}">
                  <a14:compatExt spid="_x0000_s29708"/>
                </a:ext>
                <a:ext uri="{FF2B5EF4-FFF2-40B4-BE49-F238E27FC236}">
                  <a16:creationId xmlns:a16="http://schemas.microsoft.com/office/drawing/2014/main" id="{00000000-0008-0000-0F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74</xdr:row>
          <xdr:rowOff>19050</xdr:rowOff>
        </xdr:from>
        <xdr:to>
          <xdr:col>39</xdr:col>
          <xdr:colOff>9525</xdr:colOff>
          <xdr:row>75</xdr:row>
          <xdr:rowOff>19050</xdr:rowOff>
        </xdr:to>
        <xdr:sp macro="" textlink="">
          <xdr:nvSpPr>
            <xdr:cNvPr id="29709" name="check_resultado_irritcutanea5" hidden="1">
              <a:extLst>
                <a:ext uri="{63B3BB69-23CF-44E3-9099-C40C66FF867C}">
                  <a14:compatExt spid="_x0000_s29709"/>
                </a:ext>
                <a:ext uri="{FF2B5EF4-FFF2-40B4-BE49-F238E27FC236}">
                  <a16:creationId xmlns:a16="http://schemas.microsoft.com/office/drawing/2014/main" id="{00000000-0008-0000-0F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28</xdr:row>
          <xdr:rowOff>133350</xdr:rowOff>
        </xdr:from>
        <xdr:to>
          <xdr:col>14</xdr:col>
          <xdr:colOff>38100</xdr:colOff>
          <xdr:row>28</xdr:row>
          <xdr:rowOff>352425</xdr:rowOff>
        </xdr:to>
        <xdr:sp macro="" textlink="">
          <xdr:nvSpPr>
            <xdr:cNvPr id="29712" name="check_dispensa_irritcutanea1" hidden="1">
              <a:extLst>
                <a:ext uri="{63B3BB69-23CF-44E3-9099-C40C66FF867C}">
                  <a14:compatExt spid="_x0000_s29712"/>
                </a:ext>
                <a:ext uri="{FF2B5EF4-FFF2-40B4-BE49-F238E27FC236}">
                  <a16:creationId xmlns:a16="http://schemas.microsoft.com/office/drawing/2014/main" id="{00000000-0008-0000-0F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29</xdr:row>
          <xdr:rowOff>104775</xdr:rowOff>
        </xdr:from>
        <xdr:to>
          <xdr:col>14</xdr:col>
          <xdr:colOff>38100</xdr:colOff>
          <xdr:row>29</xdr:row>
          <xdr:rowOff>323850</xdr:rowOff>
        </xdr:to>
        <xdr:sp macro="" textlink="">
          <xdr:nvSpPr>
            <xdr:cNvPr id="29713" name="check_dispensa_irritcutanea2" hidden="1">
              <a:extLst>
                <a:ext uri="{63B3BB69-23CF-44E3-9099-C40C66FF867C}">
                  <a14:compatExt spid="_x0000_s29713"/>
                </a:ext>
                <a:ext uri="{FF2B5EF4-FFF2-40B4-BE49-F238E27FC236}">
                  <a16:creationId xmlns:a16="http://schemas.microsoft.com/office/drawing/2014/main" id="{00000000-0008-0000-0F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30</xdr:row>
          <xdr:rowOff>142875</xdr:rowOff>
        </xdr:from>
        <xdr:to>
          <xdr:col>14</xdr:col>
          <xdr:colOff>38100</xdr:colOff>
          <xdr:row>30</xdr:row>
          <xdr:rowOff>361950</xdr:rowOff>
        </xdr:to>
        <xdr:sp macro="" textlink="">
          <xdr:nvSpPr>
            <xdr:cNvPr id="29714" name="check_dispensa_irritcutanea3" hidden="1">
              <a:extLst>
                <a:ext uri="{63B3BB69-23CF-44E3-9099-C40C66FF867C}">
                  <a14:compatExt spid="_x0000_s29714"/>
                </a:ext>
                <a:ext uri="{FF2B5EF4-FFF2-40B4-BE49-F238E27FC236}">
                  <a16:creationId xmlns:a16="http://schemas.microsoft.com/office/drawing/2014/main" id="{00000000-0008-0000-0F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75</xdr:row>
          <xdr:rowOff>28575</xdr:rowOff>
        </xdr:from>
        <xdr:to>
          <xdr:col>39</xdr:col>
          <xdr:colOff>9525</xdr:colOff>
          <xdr:row>75</xdr:row>
          <xdr:rowOff>600075</xdr:rowOff>
        </xdr:to>
        <xdr:sp macro="" textlink="">
          <xdr:nvSpPr>
            <xdr:cNvPr id="29719" name="check_resultado_irritcutanea6" hidden="1">
              <a:extLst>
                <a:ext uri="{63B3BB69-23CF-44E3-9099-C40C66FF867C}">
                  <a14:compatExt spid="_x0000_s29719"/>
                </a:ext>
                <a:ext uri="{FF2B5EF4-FFF2-40B4-BE49-F238E27FC236}">
                  <a16:creationId xmlns:a16="http://schemas.microsoft.com/office/drawing/2014/main" id="{00000000-0008-0000-0F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80</xdr:row>
          <xdr:rowOff>228600</xdr:rowOff>
        </xdr:from>
        <xdr:to>
          <xdr:col>17</xdr:col>
          <xdr:colOff>266700</xdr:colOff>
          <xdr:row>82</xdr:row>
          <xdr:rowOff>38100</xdr:rowOff>
        </xdr:to>
        <xdr:sp macro="" textlink="">
          <xdr:nvSpPr>
            <xdr:cNvPr id="29731" name="Optn_desvio_irritcutanea_1" hidden="1">
              <a:extLst>
                <a:ext uri="{63B3BB69-23CF-44E3-9099-C40C66FF867C}">
                  <a14:compatExt spid="_x0000_s29731"/>
                </a:ext>
                <a:ext uri="{FF2B5EF4-FFF2-40B4-BE49-F238E27FC236}">
                  <a16:creationId xmlns:a16="http://schemas.microsoft.com/office/drawing/2014/main" id="{00000000-0008-0000-0F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82</xdr:row>
          <xdr:rowOff>323850</xdr:rowOff>
        </xdr:from>
        <xdr:to>
          <xdr:col>17</xdr:col>
          <xdr:colOff>266700</xdr:colOff>
          <xdr:row>84</xdr:row>
          <xdr:rowOff>38100</xdr:rowOff>
        </xdr:to>
        <xdr:sp macro="" textlink="">
          <xdr:nvSpPr>
            <xdr:cNvPr id="29732" name="Optn_desvio_irritcutanea_2" hidden="1">
              <a:extLst>
                <a:ext uri="{63B3BB69-23CF-44E3-9099-C40C66FF867C}">
                  <a14:compatExt spid="_x0000_s29732"/>
                </a:ext>
                <a:ext uri="{FF2B5EF4-FFF2-40B4-BE49-F238E27FC236}">
                  <a16:creationId xmlns:a16="http://schemas.microsoft.com/office/drawing/2014/main" id="{00000000-0008-0000-0F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200025</xdr:colOff>
      <xdr:row>0</xdr:row>
      <xdr:rowOff>180975</xdr:rowOff>
    </xdr:from>
    <xdr:to>
      <xdr:col>39</xdr:col>
      <xdr:colOff>120975</xdr:colOff>
      <xdr:row>6</xdr:row>
      <xdr:rowOff>104776</xdr:rowOff>
    </xdr:to>
    <xdr:pic>
      <xdr:nvPicPr>
        <xdr:cNvPr id="27" name="Logo" descr="Resultado de imagem para logo anvisa">
          <a:extLst>
            <a:ext uri="{FF2B5EF4-FFF2-40B4-BE49-F238E27FC236}">
              <a16:creationId xmlns:a16="http://schemas.microsoft.com/office/drawing/2014/main" id="{00000000-0008-0000-1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9775" y="18097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85725</xdr:colOff>
          <xdr:row>69</xdr:row>
          <xdr:rowOff>152400</xdr:rowOff>
        </xdr:from>
        <xdr:to>
          <xdr:col>39</xdr:col>
          <xdr:colOff>123825</xdr:colOff>
          <xdr:row>70</xdr:row>
          <xdr:rowOff>619125</xdr:rowOff>
        </xdr:to>
        <xdr:sp macro="" textlink="">
          <xdr:nvSpPr>
            <xdr:cNvPr id="61441" name="check_resultado_irritcutanea1" hidden="1">
              <a:extLst>
                <a:ext uri="{63B3BB69-23CF-44E3-9099-C40C66FF867C}">
                  <a14:compatExt spid="_x0000_s61441"/>
                </a:ext>
                <a:ext uri="{FF2B5EF4-FFF2-40B4-BE49-F238E27FC236}">
                  <a16:creationId xmlns:a16="http://schemas.microsoft.com/office/drawing/2014/main" id="{00000000-0008-0000-1000-00000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71</xdr:row>
          <xdr:rowOff>9525</xdr:rowOff>
        </xdr:from>
        <xdr:to>
          <xdr:col>39</xdr:col>
          <xdr:colOff>123825</xdr:colOff>
          <xdr:row>71</xdr:row>
          <xdr:rowOff>619125</xdr:rowOff>
        </xdr:to>
        <xdr:sp macro="" textlink="">
          <xdr:nvSpPr>
            <xdr:cNvPr id="61442" name="check_resultado_irritcutanea2" hidden="1">
              <a:extLst>
                <a:ext uri="{63B3BB69-23CF-44E3-9099-C40C66FF867C}">
                  <a14:compatExt spid="_x0000_s61442"/>
                </a:ext>
                <a:ext uri="{FF2B5EF4-FFF2-40B4-BE49-F238E27FC236}">
                  <a16:creationId xmlns:a16="http://schemas.microsoft.com/office/drawing/2014/main" id="{00000000-0008-0000-1000-00000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72</xdr:row>
          <xdr:rowOff>19050</xdr:rowOff>
        </xdr:from>
        <xdr:to>
          <xdr:col>39</xdr:col>
          <xdr:colOff>123825</xdr:colOff>
          <xdr:row>73</xdr:row>
          <xdr:rowOff>0</xdr:rowOff>
        </xdr:to>
        <xdr:sp macro="" textlink="">
          <xdr:nvSpPr>
            <xdr:cNvPr id="61443" name="check_resultado_irritcutanea3" hidden="1">
              <a:extLst>
                <a:ext uri="{63B3BB69-23CF-44E3-9099-C40C66FF867C}">
                  <a14:compatExt spid="_x0000_s61443"/>
                </a:ext>
                <a:ext uri="{FF2B5EF4-FFF2-40B4-BE49-F238E27FC236}">
                  <a16:creationId xmlns:a16="http://schemas.microsoft.com/office/drawing/2014/main" id="{00000000-0008-0000-1000-00000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73</xdr:row>
          <xdr:rowOff>9525</xdr:rowOff>
        </xdr:from>
        <xdr:to>
          <xdr:col>39</xdr:col>
          <xdr:colOff>123825</xdr:colOff>
          <xdr:row>74</xdr:row>
          <xdr:rowOff>9525</xdr:rowOff>
        </xdr:to>
        <xdr:sp macro="" textlink="">
          <xdr:nvSpPr>
            <xdr:cNvPr id="61444" name="check_resultado_irritcutanea4" hidden="1">
              <a:extLst>
                <a:ext uri="{63B3BB69-23CF-44E3-9099-C40C66FF867C}">
                  <a14:compatExt spid="_x0000_s61444"/>
                </a:ext>
                <a:ext uri="{FF2B5EF4-FFF2-40B4-BE49-F238E27FC236}">
                  <a16:creationId xmlns:a16="http://schemas.microsoft.com/office/drawing/2014/main" id="{00000000-0008-0000-1000-00000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73</xdr:row>
          <xdr:rowOff>619125</xdr:rowOff>
        </xdr:from>
        <xdr:to>
          <xdr:col>39</xdr:col>
          <xdr:colOff>123825</xdr:colOff>
          <xdr:row>74</xdr:row>
          <xdr:rowOff>619125</xdr:rowOff>
        </xdr:to>
        <xdr:sp macro="" textlink="">
          <xdr:nvSpPr>
            <xdr:cNvPr id="61445" name="check_resultado_irritcutanea5" hidden="1">
              <a:extLst>
                <a:ext uri="{63B3BB69-23CF-44E3-9099-C40C66FF867C}">
                  <a14:compatExt spid="_x0000_s61445"/>
                </a:ext>
                <a:ext uri="{FF2B5EF4-FFF2-40B4-BE49-F238E27FC236}">
                  <a16:creationId xmlns:a16="http://schemas.microsoft.com/office/drawing/2014/main" id="{00000000-0008-0000-1000-00000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28</xdr:row>
          <xdr:rowOff>133350</xdr:rowOff>
        </xdr:from>
        <xdr:to>
          <xdr:col>14</xdr:col>
          <xdr:colOff>38100</xdr:colOff>
          <xdr:row>28</xdr:row>
          <xdr:rowOff>352425</xdr:rowOff>
        </xdr:to>
        <xdr:sp macro="" textlink="">
          <xdr:nvSpPr>
            <xdr:cNvPr id="61446" name="check_dispensa_irritcutanea1" hidden="1">
              <a:extLst>
                <a:ext uri="{63B3BB69-23CF-44E3-9099-C40C66FF867C}">
                  <a14:compatExt spid="_x0000_s61446"/>
                </a:ext>
                <a:ext uri="{FF2B5EF4-FFF2-40B4-BE49-F238E27FC236}">
                  <a16:creationId xmlns:a16="http://schemas.microsoft.com/office/drawing/2014/main" id="{00000000-0008-0000-1000-00000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29</xdr:row>
          <xdr:rowOff>104775</xdr:rowOff>
        </xdr:from>
        <xdr:to>
          <xdr:col>14</xdr:col>
          <xdr:colOff>38100</xdr:colOff>
          <xdr:row>29</xdr:row>
          <xdr:rowOff>323850</xdr:rowOff>
        </xdr:to>
        <xdr:sp macro="" textlink="">
          <xdr:nvSpPr>
            <xdr:cNvPr id="61447" name="check_dispensa_irritcutanea2" hidden="1">
              <a:extLst>
                <a:ext uri="{63B3BB69-23CF-44E3-9099-C40C66FF867C}">
                  <a14:compatExt spid="_x0000_s61447"/>
                </a:ext>
                <a:ext uri="{FF2B5EF4-FFF2-40B4-BE49-F238E27FC236}">
                  <a16:creationId xmlns:a16="http://schemas.microsoft.com/office/drawing/2014/main" id="{00000000-0008-0000-1000-00000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30</xdr:row>
          <xdr:rowOff>142875</xdr:rowOff>
        </xdr:from>
        <xdr:to>
          <xdr:col>14</xdr:col>
          <xdr:colOff>38100</xdr:colOff>
          <xdr:row>30</xdr:row>
          <xdr:rowOff>361950</xdr:rowOff>
        </xdr:to>
        <xdr:sp macro="" textlink="">
          <xdr:nvSpPr>
            <xdr:cNvPr id="61448" name="check_dispensa_irritcutanea1" hidden="1">
              <a:extLst>
                <a:ext uri="{63B3BB69-23CF-44E3-9099-C40C66FF867C}">
                  <a14:compatExt spid="_x0000_s61448"/>
                </a:ext>
                <a:ext uri="{FF2B5EF4-FFF2-40B4-BE49-F238E27FC236}">
                  <a16:creationId xmlns:a16="http://schemas.microsoft.com/office/drawing/2014/main" id="{00000000-0008-0000-1000-00000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75</xdr:row>
          <xdr:rowOff>19050</xdr:rowOff>
        </xdr:from>
        <xdr:to>
          <xdr:col>39</xdr:col>
          <xdr:colOff>123825</xdr:colOff>
          <xdr:row>75</xdr:row>
          <xdr:rowOff>590550</xdr:rowOff>
        </xdr:to>
        <xdr:sp macro="" textlink="">
          <xdr:nvSpPr>
            <xdr:cNvPr id="61449" name="check_resultado_irritcutanea6" hidden="1">
              <a:extLst>
                <a:ext uri="{63B3BB69-23CF-44E3-9099-C40C66FF867C}">
                  <a14:compatExt spid="_x0000_s61449"/>
                </a:ext>
                <a:ext uri="{FF2B5EF4-FFF2-40B4-BE49-F238E27FC236}">
                  <a16:creationId xmlns:a16="http://schemas.microsoft.com/office/drawing/2014/main" id="{00000000-0008-0000-1000-00000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80</xdr:row>
          <xdr:rowOff>228600</xdr:rowOff>
        </xdr:from>
        <xdr:to>
          <xdr:col>17</xdr:col>
          <xdr:colOff>266700</xdr:colOff>
          <xdr:row>82</xdr:row>
          <xdr:rowOff>38100</xdr:rowOff>
        </xdr:to>
        <xdr:sp macro="" textlink="">
          <xdr:nvSpPr>
            <xdr:cNvPr id="61450" name="Optn_desvio_irritcutanea_1" hidden="1">
              <a:extLst>
                <a:ext uri="{63B3BB69-23CF-44E3-9099-C40C66FF867C}">
                  <a14:compatExt spid="_x0000_s61450"/>
                </a:ext>
                <a:ext uri="{FF2B5EF4-FFF2-40B4-BE49-F238E27FC236}">
                  <a16:creationId xmlns:a16="http://schemas.microsoft.com/office/drawing/2014/main" id="{00000000-0008-0000-1000-00000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82</xdr:row>
          <xdr:rowOff>323850</xdr:rowOff>
        </xdr:from>
        <xdr:to>
          <xdr:col>17</xdr:col>
          <xdr:colOff>266700</xdr:colOff>
          <xdr:row>84</xdr:row>
          <xdr:rowOff>38100</xdr:rowOff>
        </xdr:to>
        <xdr:sp macro="" textlink="">
          <xdr:nvSpPr>
            <xdr:cNvPr id="61451" name="Optn_desvio_irritcutanea_2" hidden="1">
              <a:extLst>
                <a:ext uri="{63B3BB69-23CF-44E3-9099-C40C66FF867C}">
                  <a14:compatExt spid="_x0000_s61451"/>
                </a:ext>
                <a:ext uri="{FF2B5EF4-FFF2-40B4-BE49-F238E27FC236}">
                  <a16:creationId xmlns:a16="http://schemas.microsoft.com/office/drawing/2014/main" id="{00000000-0008-0000-1000-00000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200025</xdr:colOff>
      <xdr:row>0</xdr:row>
      <xdr:rowOff>180975</xdr:rowOff>
    </xdr:from>
    <xdr:to>
      <xdr:col>39</xdr:col>
      <xdr:colOff>120975</xdr:colOff>
      <xdr:row>6</xdr:row>
      <xdr:rowOff>104776</xdr:rowOff>
    </xdr:to>
    <xdr:pic>
      <xdr:nvPicPr>
        <xdr:cNvPr id="13" name="Logo" descr="Resultado de imagem para logo anvisa">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96450" y="18097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85725</xdr:colOff>
          <xdr:row>72</xdr:row>
          <xdr:rowOff>219075</xdr:rowOff>
        </xdr:from>
        <xdr:to>
          <xdr:col>18</xdr:col>
          <xdr:colOff>9525</xdr:colOff>
          <xdr:row>74</xdr:row>
          <xdr:rowOff>28575</xdr:rowOff>
        </xdr:to>
        <xdr:sp macro="" textlink="">
          <xdr:nvSpPr>
            <xdr:cNvPr id="36902" name="optn_desvios_llna1" hidden="1">
              <a:extLst>
                <a:ext uri="{63B3BB69-23CF-44E3-9099-C40C66FF867C}">
                  <a14:compatExt spid="_x0000_s36902"/>
                </a:ext>
                <a:ext uri="{FF2B5EF4-FFF2-40B4-BE49-F238E27FC236}">
                  <a16:creationId xmlns:a16="http://schemas.microsoft.com/office/drawing/2014/main" id="{00000000-0008-0000-1100-00002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74</xdr:row>
          <xdr:rowOff>323850</xdr:rowOff>
        </xdr:from>
        <xdr:to>
          <xdr:col>17</xdr:col>
          <xdr:colOff>371475</xdr:colOff>
          <xdr:row>76</xdr:row>
          <xdr:rowOff>38100</xdr:rowOff>
        </xdr:to>
        <xdr:sp macro="" textlink="">
          <xdr:nvSpPr>
            <xdr:cNvPr id="36901" name="optn_desvios_llna2" hidden="1">
              <a:extLst>
                <a:ext uri="{63B3BB69-23CF-44E3-9099-C40C66FF867C}">
                  <a14:compatExt spid="_x0000_s36901"/>
                </a:ext>
                <a:ext uri="{FF2B5EF4-FFF2-40B4-BE49-F238E27FC236}">
                  <a16:creationId xmlns:a16="http://schemas.microsoft.com/office/drawing/2014/main" id="{00000000-0008-0000-1100-00002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19050</xdr:colOff>
      <xdr:row>1</xdr:row>
      <xdr:rowOff>28575</xdr:rowOff>
    </xdr:from>
    <xdr:to>
      <xdr:col>38</xdr:col>
      <xdr:colOff>368625</xdr:colOff>
      <xdr:row>6</xdr:row>
      <xdr:rowOff>142876</xdr:rowOff>
    </xdr:to>
    <xdr:pic>
      <xdr:nvPicPr>
        <xdr:cNvPr id="15" name="Logo" descr="Resultado de imagem para logo anvisa">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63300" y="21907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85725</xdr:colOff>
          <xdr:row>72</xdr:row>
          <xdr:rowOff>219075</xdr:rowOff>
        </xdr:from>
        <xdr:to>
          <xdr:col>18</xdr:col>
          <xdr:colOff>9525</xdr:colOff>
          <xdr:row>74</xdr:row>
          <xdr:rowOff>28575</xdr:rowOff>
        </xdr:to>
        <xdr:sp macro="" textlink="">
          <xdr:nvSpPr>
            <xdr:cNvPr id="62465" name="optn_desvios_llna1" hidden="1">
              <a:extLst>
                <a:ext uri="{63B3BB69-23CF-44E3-9099-C40C66FF867C}">
                  <a14:compatExt spid="_x0000_s62465"/>
                </a:ext>
                <a:ext uri="{FF2B5EF4-FFF2-40B4-BE49-F238E27FC236}">
                  <a16:creationId xmlns:a16="http://schemas.microsoft.com/office/drawing/2014/main" id="{00000000-0008-0000-12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74</xdr:row>
          <xdr:rowOff>323850</xdr:rowOff>
        </xdr:from>
        <xdr:to>
          <xdr:col>17</xdr:col>
          <xdr:colOff>371475</xdr:colOff>
          <xdr:row>76</xdr:row>
          <xdr:rowOff>38100</xdr:rowOff>
        </xdr:to>
        <xdr:sp macro="" textlink="">
          <xdr:nvSpPr>
            <xdr:cNvPr id="62466" name="optn_desvios_llna2" hidden="1">
              <a:extLst>
                <a:ext uri="{63B3BB69-23CF-44E3-9099-C40C66FF867C}">
                  <a14:compatExt spid="_x0000_s62466"/>
                </a:ext>
                <a:ext uri="{FF2B5EF4-FFF2-40B4-BE49-F238E27FC236}">
                  <a16:creationId xmlns:a16="http://schemas.microsoft.com/office/drawing/2014/main" id="{00000000-0008-0000-12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19050</xdr:colOff>
      <xdr:row>1</xdr:row>
      <xdr:rowOff>28575</xdr:rowOff>
    </xdr:from>
    <xdr:to>
      <xdr:col>38</xdr:col>
      <xdr:colOff>368625</xdr:colOff>
      <xdr:row>6</xdr:row>
      <xdr:rowOff>142876</xdr:rowOff>
    </xdr:to>
    <xdr:pic>
      <xdr:nvPicPr>
        <xdr:cNvPr id="4" name="Logo" descr="Resultado de imagem para logo anvisa">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63300" y="21907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2105025</xdr:colOff>
          <xdr:row>8</xdr:row>
          <xdr:rowOff>28575</xdr:rowOff>
        </xdr:from>
        <xdr:to>
          <xdr:col>6</xdr:col>
          <xdr:colOff>342900</xdr:colOff>
          <xdr:row>9</xdr:row>
          <xdr:rowOff>0</xdr:rowOff>
        </xdr:to>
        <xdr:sp macro="" textlink="">
          <xdr:nvSpPr>
            <xdr:cNvPr id="7233" name="check_PT_IA_nao_aplicavel" hidden="1">
              <a:extLst>
                <a:ext uri="{63B3BB69-23CF-44E3-9099-C40C66FF867C}">
                  <a14:compatExt spid="_x0000_s7233"/>
                </a:ext>
                <a:ext uri="{FF2B5EF4-FFF2-40B4-BE49-F238E27FC236}">
                  <a16:creationId xmlns:a16="http://schemas.microsoft.com/office/drawing/2014/main" id="{00000000-0008-0000-01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142874</xdr:colOff>
      <xdr:row>0</xdr:row>
      <xdr:rowOff>190499</xdr:rowOff>
    </xdr:from>
    <xdr:to>
      <xdr:col>12</xdr:col>
      <xdr:colOff>149549</xdr:colOff>
      <xdr:row>6</xdr:row>
      <xdr:rowOff>57150</xdr:rowOff>
    </xdr:to>
    <xdr:pic>
      <xdr:nvPicPr>
        <xdr:cNvPr id="7" name="Logo" descr="Resultado de imagem para logo anvisa">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49" y="190499"/>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xdr:colOff>
          <xdr:row>93</xdr:row>
          <xdr:rowOff>228600</xdr:rowOff>
        </xdr:from>
        <xdr:to>
          <xdr:col>17</xdr:col>
          <xdr:colOff>247650</xdr:colOff>
          <xdr:row>95</xdr:row>
          <xdr:rowOff>38100</xdr:rowOff>
        </xdr:to>
        <xdr:sp macro="" textlink="">
          <xdr:nvSpPr>
            <xdr:cNvPr id="38942" name="optn_desvios_sensib1" hidden="1">
              <a:extLst>
                <a:ext uri="{63B3BB69-23CF-44E3-9099-C40C66FF867C}">
                  <a14:compatExt spid="_x0000_s38942"/>
                </a:ext>
                <a:ext uri="{FF2B5EF4-FFF2-40B4-BE49-F238E27FC236}">
                  <a16:creationId xmlns:a16="http://schemas.microsoft.com/office/drawing/2014/main" id="{00000000-0008-0000-13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95</xdr:row>
          <xdr:rowOff>314325</xdr:rowOff>
        </xdr:from>
        <xdr:to>
          <xdr:col>17</xdr:col>
          <xdr:colOff>247650</xdr:colOff>
          <xdr:row>97</xdr:row>
          <xdr:rowOff>28575</xdr:rowOff>
        </xdr:to>
        <xdr:sp macro="" textlink="">
          <xdr:nvSpPr>
            <xdr:cNvPr id="38943" name="optn_desvios_sensib2" hidden="1">
              <a:extLst>
                <a:ext uri="{63B3BB69-23CF-44E3-9099-C40C66FF867C}">
                  <a14:compatExt spid="_x0000_s38943"/>
                </a:ext>
                <a:ext uri="{FF2B5EF4-FFF2-40B4-BE49-F238E27FC236}">
                  <a16:creationId xmlns:a16="http://schemas.microsoft.com/office/drawing/2014/main" id="{00000000-0008-0000-13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200025</xdr:colOff>
      <xdr:row>0</xdr:row>
      <xdr:rowOff>180975</xdr:rowOff>
    </xdr:from>
    <xdr:to>
      <xdr:col>39</xdr:col>
      <xdr:colOff>120975</xdr:colOff>
      <xdr:row>6</xdr:row>
      <xdr:rowOff>104776</xdr:rowOff>
    </xdr:to>
    <xdr:pic>
      <xdr:nvPicPr>
        <xdr:cNvPr id="15" name="Logo" descr="Resultado de imagem para logo anvisa">
          <a:extLst>
            <a:ext uri="{FF2B5EF4-FFF2-40B4-BE49-F238E27FC236}">
              <a16:creationId xmlns:a16="http://schemas.microsoft.com/office/drawing/2014/main" id="{00000000-0008-0000-14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9775" y="18097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xdr:colOff>
          <xdr:row>93</xdr:row>
          <xdr:rowOff>228600</xdr:rowOff>
        </xdr:from>
        <xdr:to>
          <xdr:col>17</xdr:col>
          <xdr:colOff>247650</xdr:colOff>
          <xdr:row>95</xdr:row>
          <xdr:rowOff>38100</xdr:rowOff>
        </xdr:to>
        <xdr:sp macro="" textlink="">
          <xdr:nvSpPr>
            <xdr:cNvPr id="63489" name="optn_desvios_sensib1" hidden="1">
              <a:extLst>
                <a:ext uri="{63B3BB69-23CF-44E3-9099-C40C66FF867C}">
                  <a14:compatExt spid="_x0000_s63489"/>
                </a:ext>
                <a:ext uri="{FF2B5EF4-FFF2-40B4-BE49-F238E27FC236}">
                  <a16:creationId xmlns:a16="http://schemas.microsoft.com/office/drawing/2014/main" id="{00000000-0008-0000-1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95</xdr:row>
          <xdr:rowOff>314325</xdr:rowOff>
        </xdr:from>
        <xdr:to>
          <xdr:col>17</xdr:col>
          <xdr:colOff>247650</xdr:colOff>
          <xdr:row>97</xdr:row>
          <xdr:rowOff>28575</xdr:rowOff>
        </xdr:to>
        <xdr:sp macro="" textlink="">
          <xdr:nvSpPr>
            <xdr:cNvPr id="63490" name="optn_desvios_sensib2" hidden="1">
              <a:extLst>
                <a:ext uri="{63B3BB69-23CF-44E3-9099-C40C66FF867C}">
                  <a14:compatExt spid="_x0000_s63490"/>
                </a:ext>
                <a:ext uri="{FF2B5EF4-FFF2-40B4-BE49-F238E27FC236}">
                  <a16:creationId xmlns:a16="http://schemas.microsoft.com/office/drawing/2014/main" id="{00000000-0008-0000-1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200025</xdr:colOff>
      <xdr:row>0</xdr:row>
      <xdr:rowOff>180975</xdr:rowOff>
    </xdr:from>
    <xdr:to>
      <xdr:col>39</xdr:col>
      <xdr:colOff>120975</xdr:colOff>
      <xdr:row>6</xdr:row>
      <xdr:rowOff>104776</xdr:rowOff>
    </xdr:to>
    <xdr:pic>
      <xdr:nvPicPr>
        <xdr:cNvPr id="4" name="Logo" descr="Resultado de imagem para logo anvisa">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96450" y="18097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28575</xdr:colOff>
          <xdr:row>187</xdr:row>
          <xdr:rowOff>352425</xdr:rowOff>
        </xdr:from>
        <xdr:to>
          <xdr:col>17</xdr:col>
          <xdr:colOff>257175</xdr:colOff>
          <xdr:row>189</xdr:row>
          <xdr:rowOff>28575</xdr:rowOff>
        </xdr:to>
        <xdr:sp macro="" textlink="">
          <xdr:nvSpPr>
            <xdr:cNvPr id="41115" name="optn_desvios_ames1" hidden="1">
              <a:extLst>
                <a:ext uri="{63B3BB69-23CF-44E3-9099-C40C66FF867C}">
                  <a14:compatExt spid="_x0000_s41115"/>
                </a:ext>
                <a:ext uri="{FF2B5EF4-FFF2-40B4-BE49-F238E27FC236}">
                  <a16:creationId xmlns:a16="http://schemas.microsoft.com/office/drawing/2014/main" id="{00000000-0008-0000-1500-00009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189</xdr:row>
          <xdr:rowOff>314325</xdr:rowOff>
        </xdr:from>
        <xdr:to>
          <xdr:col>17</xdr:col>
          <xdr:colOff>257175</xdr:colOff>
          <xdr:row>191</xdr:row>
          <xdr:rowOff>28575</xdr:rowOff>
        </xdr:to>
        <xdr:sp macro="" textlink="">
          <xdr:nvSpPr>
            <xdr:cNvPr id="41114" name="optn_desvios_ames2" hidden="1">
              <a:extLst>
                <a:ext uri="{63B3BB69-23CF-44E3-9099-C40C66FF867C}">
                  <a14:compatExt spid="_x0000_s41114"/>
                </a:ext>
                <a:ext uri="{FF2B5EF4-FFF2-40B4-BE49-F238E27FC236}">
                  <a16:creationId xmlns:a16="http://schemas.microsoft.com/office/drawing/2014/main" id="{00000000-0008-0000-1500-00009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200025</xdr:colOff>
      <xdr:row>1</xdr:row>
      <xdr:rowOff>19050</xdr:rowOff>
    </xdr:from>
    <xdr:to>
      <xdr:col>39</xdr:col>
      <xdr:colOff>120975</xdr:colOff>
      <xdr:row>6</xdr:row>
      <xdr:rowOff>133351</xdr:rowOff>
    </xdr:to>
    <xdr:pic>
      <xdr:nvPicPr>
        <xdr:cNvPr id="22" name="Logo" descr="Resultado de imagem para logo anvisa">
          <a:extLst>
            <a:ext uri="{FF2B5EF4-FFF2-40B4-BE49-F238E27FC236}">
              <a16:creationId xmlns:a16="http://schemas.microsoft.com/office/drawing/2014/main" id="{00000000-0008-0000-16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9775" y="20955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3276</xdr:colOff>
      <xdr:row>185</xdr:row>
      <xdr:rowOff>9525</xdr:rowOff>
    </xdr:from>
    <xdr:to>
      <xdr:col>8</xdr:col>
      <xdr:colOff>9692</xdr:colOff>
      <xdr:row>186</xdr:row>
      <xdr:rowOff>123825</xdr:rowOff>
    </xdr:to>
    <xdr:sp macro="" textlink="">
      <xdr:nvSpPr>
        <xdr:cNvPr id="53" name="Fluxograma: Processo 52">
          <a:extLst>
            <a:ext uri="{FF2B5EF4-FFF2-40B4-BE49-F238E27FC236}">
              <a16:creationId xmlns:a16="http://schemas.microsoft.com/office/drawing/2014/main" id="{00000000-0008-0000-1600-000035000000}"/>
            </a:ext>
          </a:extLst>
        </xdr:cNvPr>
        <xdr:cNvSpPr/>
      </xdr:nvSpPr>
      <xdr:spPr>
        <a:xfrm>
          <a:off x="317601" y="25269825"/>
          <a:ext cx="949391" cy="361950"/>
        </a:xfrm>
        <a:prstGeom prst="flowChartProcess">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CONCLUSÃO</a:t>
          </a:r>
        </a:p>
      </xdr:txBody>
    </xdr:sp>
    <xdr:clientData/>
  </xdr:twoCellAnchor>
  <xdr:twoCellAnchor>
    <xdr:from>
      <xdr:col>5</xdr:col>
      <xdr:colOff>4292</xdr:colOff>
      <xdr:row>146</xdr:row>
      <xdr:rowOff>9525</xdr:rowOff>
    </xdr:from>
    <xdr:to>
      <xdr:col>8</xdr:col>
      <xdr:colOff>10736</xdr:colOff>
      <xdr:row>147</xdr:row>
      <xdr:rowOff>123825</xdr:rowOff>
    </xdr:to>
    <xdr:sp macro="" textlink="">
      <xdr:nvSpPr>
        <xdr:cNvPr id="44" name="Fluxograma: Processo 43">
          <a:extLst>
            <a:ext uri="{FF2B5EF4-FFF2-40B4-BE49-F238E27FC236}">
              <a16:creationId xmlns:a16="http://schemas.microsoft.com/office/drawing/2014/main" id="{00000000-0008-0000-1600-00002C000000}"/>
            </a:ext>
          </a:extLst>
        </xdr:cNvPr>
        <xdr:cNvSpPr/>
      </xdr:nvSpPr>
      <xdr:spPr>
        <a:xfrm>
          <a:off x="318617" y="21078825"/>
          <a:ext cx="949419" cy="361950"/>
        </a:xfrm>
        <a:prstGeom prst="flowChartProcess">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TESTE III</a:t>
          </a:r>
        </a:p>
      </xdr:txBody>
    </xdr:sp>
    <xdr:clientData/>
  </xdr:twoCellAnchor>
  <xdr:twoCellAnchor>
    <xdr:from>
      <xdr:col>5</xdr:col>
      <xdr:colOff>9959</xdr:colOff>
      <xdr:row>107</xdr:row>
      <xdr:rowOff>0</xdr:rowOff>
    </xdr:from>
    <xdr:to>
      <xdr:col>8</xdr:col>
      <xdr:colOff>16403</xdr:colOff>
      <xdr:row>108</xdr:row>
      <xdr:rowOff>114300</xdr:rowOff>
    </xdr:to>
    <xdr:sp macro="" textlink="">
      <xdr:nvSpPr>
        <xdr:cNvPr id="38" name="Fluxograma: Processo 37">
          <a:extLst>
            <a:ext uri="{FF2B5EF4-FFF2-40B4-BE49-F238E27FC236}">
              <a16:creationId xmlns:a16="http://schemas.microsoft.com/office/drawing/2014/main" id="{00000000-0008-0000-1600-000026000000}"/>
            </a:ext>
          </a:extLst>
        </xdr:cNvPr>
        <xdr:cNvSpPr/>
      </xdr:nvSpPr>
      <xdr:spPr>
        <a:xfrm>
          <a:off x="324284" y="17011650"/>
          <a:ext cx="949419" cy="361950"/>
        </a:xfrm>
        <a:prstGeom prst="flowChartProcess">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TESTE II</a:t>
          </a:r>
        </a:p>
      </xdr:txBody>
    </xdr:sp>
    <xdr:clientData/>
  </xdr:twoCellAnchor>
  <xdr:twoCellAnchor>
    <xdr:from>
      <xdr:col>4</xdr:col>
      <xdr:colOff>311038</xdr:colOff>
      <xdr:row>68</xdr:row>
      <xdr:rowOff>9525</xdr:rowOff>
    </xdr:from>
    <xdr:to>
      <xdr:col>8</xdr:col>
      <xdr:colOff>3157</xdr:colOff>
      <xdr:row>69</xdr:row>
      <xdr:rowOff>123825</xdr:rowOff>
    </xdr:to>
    <xdr:sp macro="" textlink="">
      <xdr:nvSpPr>
        <xdr:cNvPr id="28" name="Fluxograma: Processo 27">
          <a:extLst>
            <a:ext uri="{FF2B5EF4-FFF2-40B4-BE49-F238E27FC236}">
              <a16:creationId xmlns:a16="http://schemas.microsoft.com/office/drawing/2014/main" id="{00000000-0008-0000-1600-00001C000000}"/>
            </a:ext>
          </a:extLst>
        </xdr:cNvPr>
        <xdr:cNvSpPr/>
      </xdr:nvSpPr>
      <xdr:spPr>
        <a:xfrm>
          <a:off x="311038" y="12963525"/>
          <a:ext cx="949419" cy="361950"/>
        </a:xfrm>
        <a:prstGeom prst="flowChartProcess">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TESTE I</a:t>
          </a:r>
        </a:p>
      </xdr:txBody>
    </xdr:sp>
    <xdr:clientData/>
  </xdr:twoCellAnchor>
  <xdr:twoCellAnchor>
    <xdr:from>
      <xdr:col>15</xdr:col>
      <xdr:colOff>0</xdr:colOff>
      <xdr:row>83</xdr:row>
      <xdr:rowOff>0</xdr:rowOff>
    </xdr:from>
    <xdr:to>
      <xdr:col>19</xdr:col>
      <xdr:colOff>0</xdr:colOff>
      <xdr:row>87</xdr:row>
      <xdr:rowOff>266700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BE7D6E19-5FEF-4C37-ABD6-60743F08DEA5}"/>
            </a:ext>
          </a:extLst>
        </xdr:cNvPr>
        <xdr:cNvSpPr/>
      </xdr:nvSpPr>
      <xdr:spPr>
        <a:xfrm>
          <a:off x="3524250" y="15068550"/>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0</xdr:colOff>
      <xdr:row>83</xdr:row>
      <xdr:rowOff>9525</xdr:rowOff>
    </xdr:from>
    <xdr:to>
      <xdr:col>28</xdr:col>
      <xdr:colOff>0</xdr:colOff>
      <xdr:row>88</xdr:row>
      <xdr:rowOff>0</xdr:rowOff>
    </xdr:to>
    <xdr:sp macro="" textlink="">
      <xdr:nvSpPr>
        <xdr:cNvPr id="9" name="Retângulo 8">
          <a:hlinkClick xmlns:r="http://schemas.openxmlformats.org/officeDocument/2006/relationships" r:id="rId2"/>
          <a:extLst>
            <a:ext uri="{FF2B5EF4-FFF2-40B4-BE49-F238E27FC236}">
              <a16:creationId xmlns:a16="http://schemas.microsoft.com/office/drawing/2014/main" id="{66E87AFB-8F08-4091-A0EA-477C6D719297}"/>
            </a:ext>
          </a:extLst>
        </xdr:cNvPr>
        <xdr:cNvSpPr/>
      </xdr:nvSpPr>
      <xdr:spPr>
        <a:xfrm>
          <a:off x="6353175" y="15078075"/>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0</xdr:colOff>
      <xdr:row>122</xdr:row>
      <xdr:rowOff>0</xdr:rowOff>
    </xdr:from>
    <xdr:to>
      <xdr:col>19</xdr:col>
      <xdr:colOff>0</xdr:colOff>
      <xdr:row>126</xdr:row>
      <xdr:rowOff>266700</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0A99D6A1-7A64-40FB-9B42-2EA2A85AC78B}"/>
            </a:ext>
          </a:extLst>
        </xdr:cNvPr>
        <xdr:cNvSpPr/>
      </xdr:nvSpPr>
      <xdr:spPr>
        <a:xfrm>
          <a:off x="3524250" y="19126200"/>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0</xdr:colOff>
      <xdr:row>122</xdr:row>
      <xdr:rowOff>0</xdr:rowOff>
    </xdr:from>
    <xdr:to>
      <xdr:col>28</xdr:col>
      <xdr:colOff>0</xdr:colOff>
      <xdr:row>126</xdr:row>
      <xdr:rowOff>266700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303574F1-FACC-4739-BB6E-B254627C7F59}"/>
            </a:ext>
          </a:extLst>
        </xdr:cNvPr>
        <xdr:cNvSpPr/>
      </xdr:nvSpPr>
      <xdr:spPr>
        <a:xfrm>
          <a:off x="6353175" y="19126200"/>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0</xdr:colOff>
      <xdr:row>161</xdr:row>
      <xdr:rowOff>0</xdr:rowOff>
    </xdr:from>
    <xdr:to>
      <xdr:col>19</xdr:col>
      <xdr:colOff>0</xdr:colOff>
      <xdr:row>165</xdr:row>
      <xdr:rowOff>266700</xdr:rowOff>
    </xdr:to>
    <xdr:sp macro="" textlink="">
      <xdr:nvSpPr>
        <xdr:cNvPr id="12" name="Retângulo 11">
          <a:hlinkClick xmlns:r="http://schemas.openxmlformats.org/officeDocument/2006/relationships" r:id="rId4"/>
          <a:extLst>
            <a:ext uri="{FF2B5EF4-FFF2-40B4-BE49-F238E27FC236}">
              <a16:creationId xmlns:a16="http://schemas.microsoft.com/office/drawing/2014/main" id="{6E60CAF3-9696-4FA8-B1F4-E6EEC35B1C2A}"/>
            </a:ext>
          </a:extLst>
        </xdr:cNvPr>
        <xdr:cNvSpPr/>
      </xdr:nvSpPr>
      <xdr:spPr>
        <a:xfrm>
          <a:off x="3524250" y="23317200"/>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0</xdr:colOff>
      <xdr:row>161</xdr:row>
      <xdr:rowOff>0</xdr:rowOff>
    </xdr:from>
    <xdr:to>
      <xdr:col>28</xdr:col>
      <xdr:colOff>0</xdr:colOff>
      <xdr:row>165</xdr:row>
      <xdr:rowOff>266700</xdr:rowOff>
    </xdr:to>
    <xdr:sp macro="" textlink="">
      <xdr:nvSpPr>
        <xdr:cNvPr id="13" name="Retângulo 12">
          <a:hlinkClick xmlns:r="http://schemas.openxmlformats.org/officeDocument/2006/relationships" r:id="rId4"/>
          <a:extLst>
            <a:ext uri="{FF2B5EF4-FFF2-40B4-BE49-F238E27FC236}">
              <a16:creationId xmlns:a16="http://schemas.microsoft.com/office/drawing/2014/main" id="{9769F4B3-7725-4378-8A77-066733138DEB}"/>
            </a:ext>
          </a:extLst>
        </xdr:cNvPr>
        <xdr:cNvSpPr/>
      </xdr:nvSpPr>
      <xdr:spPr>
        <a:xfrm>
          <a:off x="6353175" y="23317200"/>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271096</xdr:colOff>
      <xdr:row>1</xdr:row>
      <xdr:rowOff>38100</xdr:rowOff>
    </xdr:from>
    <xdr:to>
      <xdr:col>20</xdr:col>
      <xdr:colOff>58113</xdr:colOff>
      <xdr:row>6</xdr:row>
      <xdr:rowOff>152401</xdr:rowOff>
    </xdr:to>
    <xdr:pic>
      <xdr:nvPicPr>
        <xdr:cNvPr id="45" name="Logo" descr="Resultado de imagem para logo anvisa">
          <a:extLst>
            <a:ext uri="{FF2B5EF4-FFF2-40B4-BE49-F238E27FC236}">
              <a16:creationId xmlns:a16="http://schemas.microsoft.com/office/drawing/2014/main" id="{00000000-0008-0000-17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7711" y="228600"/>
          <a:ext cx="1491198"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28575</xdr:colOff>
          <xdr:row>187</xdr:row>
          <xdr:rowOff>352425</xdr:rowOff>
        </xdr:from>
        <xdr:to>
          <xdr:col>17</xdr:col>
          <xdr:colOff>257175</xdr:colOff>
          <xdr:row>189</xdr:row>
          <xdr:rowOff>28575</xdr:rowOff>
        </xdr:to>
        <xdr:sp macro="" textlink="">
          <xdr:nvSpPr>
            <xdr:cNvPr id="64513" name="optn_desvios_ames1" hidden="1">
              <a:extLst>
                <a:ext uri="{63B3BB69-23CF-44E3-9099-C40C66FF867C}">
                  <a14:compatExt spid="_x0000_s64513"/>
                </a:ext>
                <a:ext uri="{FF2B5EF4-FFF2-40B4-BE49-F238E27FC236}">
                  <a16:creationId xmlns:a16="http://schemas.microsoft.com/office/drawing/2014/main" id="{00000000-0008-0000-17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189</xdr:row>
          <xdr:rowOff>314325</xdr:rowOff>
        </xdr:from>
        <xdr:to>
          <xdr:col>17</xdr:col>
          <xdr:colOff>257175</xdr:colOff>
          <xdr:row>191</xdr:row>
          <xdr:rowOff>28575</xdr:rowOff>
        </xdr:to>
        <xdr:sp macro="" textlink="">
          <xdr:nvSpPr>
            <xdr:cNvPr id="64514" name="optn_desvios_ames2" hidden="1">
              <a:extLst>
                <a:ext uri="{63B3BB69-23CF-44E3-9099-C40C66FF867C}">
                  <a14:compatExt spid="_x0000_s64514"/>
                </a:ext>
                <a:ext uri="{FF2B5EF4-FFF2-40B4-BE49-F238E27FC236}">
                  <a16:creationId xmlns:a16="http://schemas.microsoft.com/office/drawing/2014/main" id="{00000000-0008-0000-17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200025</xdr:colOff>
      <xdr:row>1</xdr:row>
      <xdr:rowOff>19050</xdr:rowOff>
    </xdr:from>
    <xdr:to>
      <xdr:col>39</xdr:col>
      <xdr:colOff>120975</xdr:colOff>
      <xdr:row>6</xdr:row>
      <xdr:rowOff>133351</xdr:rowOff>
    </xdr:to>
    <xdr:pic>
      <xdr:nvPicPr>
        <xdr:cNvPr id="4" name="Logo" descr="Resultado de imagem para logo anvisa">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96450" y="20955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308076</xdr:colOff>
      <xdr:row>185</xdr:row>
      <xdr:rowOff>0</xdr:rowOff>
    </xdr:from>
    <xdr:to>
      <xdr:col>8</xdr:col>
      <xdr:colOff>167</xdr:colOff>
      <xdr:row>186</xdr:row>
      <xdr:rowOff>114300</xdr:rowOff>
    </xdr:to>
    <xdr:sp macro="" textlink="">
      <xdr:nvSpPr>
        <xdr:cNvPr id="10" name="Fluxograma: Processo 9">
          <a:extLst>
            <a:ext uri="{FF2B5EF4-FFF2-40B4-BE49-F238E27FC236}">
              <a16:creationId xmlns:a16="http://schemas.microsoft.com/office/drawing/2014/main" id="{00000000-0008-0000-1800-00000A000000}"/>
            </a:ext>
          </a:extLst>
        </xdr:cNvPr>
        <xdr:cNvSpPr/>
      </xdr:nvSpPr>
      <xdr:spPr>
        <a:xfrm>
          <a:off x="308076" y="24879300"/>
          <a:ext cx="949391" cy="361950"/>
        </a:xfrm>
        <a:prstGeom prst="flowChartProcess">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CONCLUSÃO</a:t>
          </a:r>
        </a:p>
      </xdr:txBody>
    </xdr:sp>
    <xdr:clientData/>
  </xdr:twoCellAnchor>
  <xdr:twoCellAnchor>
    <xdr:from>
      <xdr:col>4</xdr:col>
      <xdr:colOff>311038</xdr:colOff>
      <xdr:row>68</xdr:row>
      <xdr:rowOff>0</xdr:rowOff>
    </xdr:from>
    <xdr:to>
      <xdr:col>8</xdr:col>
      <xdr:colOff>3157</xdr:colOff>
      <xdr:row>69</xdr:row>
      <xdr:rowOff>114300</xdr:rowOff>
    </xdr:to>
    <xdr:sp macro="" textlink="">
      <xdr:nvSpPr>
        <xdr:cNvPr id="27" name="Fluxograma: Processo 26">
          <a:extLst>
            <a:ext uri="{FF2B5EF4-FFF2-40B4-BE49-F238E27FC236}">
              <a16:creationId xmlns:a16="http://schemas.microsoft.com/office/drawing/2014/main" id="{00000000-0008-0000-1800-00001B000000}"/>
            </a:ext>
          </a:extLst>
        </xdr:cNvPr>
        <xdr:cNvSpPr/>
      </xdr:nvSpPr>
      <xdr:spPr>
        <a:xfrm>
          <a:off x="311038" y="12573000"/>
          <a:ext cx="949419" cy="361950"/>
        </a:xfrm>
        <a:prstGeom prst="flowChartProcess">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TESTE I</a:t>
          </a:r>
        </a:p>
      </xdr:txBody>
    </xdr:sp>
    <xdr:clientData/>
  </xdr:twoCellAnchor>
  <xdr:twoCellAnchor>
    <xdr:from>
      <xdr:col>15</xdr:col>
      <xdr:colOff>0</xdr:colOff>
      <xdr:row>83</xdr:row>
      <xdr:rowOff>0</xdr:rowOff>
    </xdr:from>
    <xdr:to>
      <xdr:col>19</xdr:col>
      <xdr:colOff>0</xdr:colOff>
      <xdr:row>87</xdr:row>
      <xdr:rowOff>266700</xdr:rowOff>
    </xdr:to>
    <xdr:sp macro="" textlink="">
      <xdr:nvSpPr>
        <xdr:cNvPr id="2" name="Retângulo 1">
          <a:hlinkClick xmlns:r="http://schemas.openxmlformats.org/officeDocument/2006/relationships" r:id="rId2"/>
          <a:extLst>
            <a:ext uri="{FF2B5EF4-FFF2-40B4-BE49-F238E27FC236}">
              <a16:creationId xmlns:a16="http://schemas.microsoft.com/office/drawing/2014/main" id="{91C48A07-9D94-4CA7-8EE5-49B0077E367D}"/>
            </a:ext>
          </a:extLst>
        </xdr:cNvPr>
        <xdr:cNvSpPr/>
      </xdr:nvSpPr>
      <xdr:spPr>
        <a:xfrm>
          <a:off x="3524250" y="15001875"/>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0</xdr:colOff>
      <xdr:row>83</xdr:row>
      <xdr:rowOff>9525</xdr:rowOff>
    </xdr:from>
    <xdr:to>
      <xdr:col>28</xdr:col>
      <xdr:colOff>0</xdr:colOff>
      <xdr:row>88</xdr:row>
      <xdr:rowOff>0</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24DF9C96-B4F5-490E-8D53-03DE8EA96879}"/>
            </a:ext>
          </a:extLst>
        </xdr:cNvPr>
        <xdr:cNvSpPr/>
      </xdr:nvSpPr>
      <xdr:spPr>
        <a:xfrm>
          <a:off x="6353175" y="15011400"/>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0</xdr:colOff>
      <xdr:row>122</xdr:row>
      <xdr:rowOff>0</xdr:rowOff>
    </xdr:from>
    <xdr:to>
      <xdr:col>19</xdr:col>
      <xdr:colOff>0</xdr:colOff>
      <xdr:row>126</xdr:row>
      <xdr:rowOff>266700</xdr:rowOff>
    </xdr:to>
    <xdr:sp macro="" textlink="">
      <xdr:nvSpPr>
        <xdr:cNvPr id="35" name="Retângulo 34">
          <a:hlinkClick xmlns:r="http://schemas.openxmlformats.org/officeDocument/2006/relationships" r:id="rId3"/>
          <a:extLst>
            <a:ext uri="{FF2B5EF4-FFF2-40B4-BE49-F238E27FC236}">
              <a16:creationId xmlns:a16="http://schemas.microsoft.com/office/drawing/2014/main" id="{E320210B-C02D-4229-8A19-9CBE01A8FD72}"/>
            </a:ext>
          </a:extLst>
        </xdr:cNvPr>
        <xdr:cNvSpPr/>
      </xdr:nvSpPr>
      <xdr:spPr>
        <a:xfrm>
          <a:off x="3524250" y="19059525"/>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0</xdr:colOff>
      <xdr:row>122</xdr:row>
      <xdr:rowOff>0</xdr:rowOff>
    </xdr:from>
    <xdr:to>
      <xdr:col>28</xdr:col>
      <xdr:colOff>0</xdr:colOff>
      <xdr:row>126</xdr:row>
      <xdr:rowOff>266700</xdr:rowOff>
    </xdr:to>
    <xdr:sp macro="" textlink="">
      <xdr:nvSpPr>
        <xdr:cNvPr id="36" name="Retângulo 35">
          <a:hlinkClick xmlns:r="http://schemas.openxmlformats.org/officeDocument/2006/relationships" r:id="rId3"/>
          <a:extLst>
            <a:ext uri="{FF2B5EF4-FFF2-40B4-BE49-F238E27FC236}">
              <a16:creationId xmlns:a16="http://schemas.microsoft.com/office/drawing/2014/main" id="{0D17AC7F-09EA-434E-9FBE-039E1A8A4999}"/>
            </a:ext>
          </a:extLst>
        </xdr:cNvPr>
        <xdr:cNvSpPr/>
      </xdr:nvSpPr>
      <xdr:spPr>
        <a:xfrm>
          <a:off x="6353175" y="19059525"/>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0</xdr:colOff>
      <xdr:row>161</xdr:row>
      <xdr:rowOff>0</xdr:rowOff>
    </xdr:from>
    <xdr:to>
      <xdr:col>19</xdr:col>
      <xdr:colOff>0</xdr:colOff>
      <xdr:row>165</xdr:row>
      <xdr:rowOff>266700</xdr:rowOff>
    </xdr:to>
    <xdr:sp macro="" textlink="">
      <xdr:nvSpPr>
        <xdr:cNvPr id="37" name="Retângulo 36">
          <a:hlinkClick xmlns:r="http://schemas.openxmlformats.org/officeDocument/2006/relationships" r:id="rId4"/>
          <a:extLst>
            <a:ext uri="{FF2B5EF4-FFF2-40B4-BE49-F238E27FC236}">
              <a16:creationId xmlns:a16="http://schemas.microsoft.com/office/drawing/2014/main" id="{09718491-D852-4027-9E95-CF261A480F7E}"/>
            </a:ext>
          </a:extLst>
        </xdr:cNvPr>
        <xdr:cNvSpPr/>
      </xdr:nvSpPr>
      <xdr:spPr>
        <a:xfrm>
          <a:off x="3524250" y="23250525"/>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24</xdr:col>
      <xdr:colOff>0</xdr:colOff>
      <xdr:row>161</xdr:row>
      <xdr:rowOff>0</xdr:rowOff>
    </xdr:from>
    <xdr:to>
      <xdr:col>28</xdr:col>
      <xdr:colOff>0</xdr:colOff>
      <xdr:row>165</xdr:row>
      <xdr:rowOff>266700</xdr:rowOff>
    </xdr:to>
    <xdr:sp macro="" textlink="">
      <xdr:nvSpPr>
        <xdr:cNvPr id="38" name="Retângulo 37">
          <a:hlinkClick xmlns:r="http://schemas.openxmlformats.org/officeDocument/2006/relationships" r:id="rId4"/>
          <a:extLst>
            <a:ext uri="{FF2B5EF4-FFF2-40B4-BE49-F238E27FC236}">
              <a16:creationId xmlns:a16="http://schemas.microsoft.com/office/drawing/2014/main" id="{A568D37C-A5BA-423A-B88B-B314D55B3F5F}"/>
            </a:ext>
          </a:extLst>
        </xdr:cNvPr>
        <xdr:cNvSpPr/>
      </xdr:nvSpPr>
      <xdr:spPr>
        <a:xfrm>
          <a:off x="6353175" y="23250525"/>
          <a:ext cx="1257300" cy="1371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0</xdr:colOff>
      <xdr:row>107</xdr:row>
      <xdr:rowOff>0</xdr:rowOff>
    </xdr:from>
    <xdr:to>
      <xdr:col>8</xdr:col>
      <xdr:colOff>6444</xdr:colOff>
      <xdr:row>108</xdr:row>
      <xdr:rowOff>114300</xdr:rowOff>
    </xdr:to>
    <xdr:sp macro="" textlink="">
      <xdr:nvSpPr>
        <xdr:cNvPr id="39" name="Fluxograma: Processo 38">
          <a:extLst>
            <a:ext uri="{FF2B5EF4-FFF2-40B4-BE49-F238E27FC236}">
              <a16:creationId xmlns:a16="http://schemas.microsoft.com/office/drawing/2014/main" id="{EA626E81-FF17-4823-9D8B-B1A304C9AEA2}"/>
            </a:ext>
          </a:extLst>
        </xdr:cNvPr>
        <xdr:cNvSpPr/>
      </xdr:nvSpPr>
      <xdr:spPr>
        <a:xfrm>
          <a:off x="314325" y="16630650"/>
          <a:ext cx="949419" cy="361950"/>
        </a:xfrm>
        <a:prstGeom prst="flowChartProcess">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TESTE II</a:t>
          </a:r>
        </a:p>
      </xdr:txBody>
    </xdr:sp>
    <xdr:clientData/>
  </xdr:twoCellAnchor>
  <xdr:twoCellAnchor>
    <xdr:from>
      <xdr:col>5</xdr:col>
      <xdr:colOff>0</xdr:colOff>
      <xdr:row>146</xdr:row>
      <xdr:rowOff>0</xdr:rowOff>
    </xdr:from>
    <xdr:to>
      <xdr:col>8</xdr:col>
      <xdr:colOff>6444</xdr:colOff>
      <xdr:row>147</xdr:row>
      <xdr:rowOff>114300</xdr:rowOff>
    </xdr:to>
    <xdr:sp macro="" textlink="">
      <xdr:nvSpPr>
        <xdr:cNvPr id="40" name="Fluxograma: Processo 39">
          <a:extLst>
            <a:ext uri="{FF2B5EF4-FFF2-40B4-BE49-F238E27FC236}">
              <a16:creationId xmlns:a16="http://schemas.microsoft.com/office/drawing/2014/main" id="{871975D3-6FBF-446D-87C2-E60B725598DB}"/>
            </a:ext>
          </a:extLst>
        </xdr:cNvPr>
        <xdr:cNvSpPr/>
      </xdr:nvSpPr>
      <xdr:spPr>
        <a:xfrm>
          <a:off x="314325" y="20688300"/>
          <a:ext cx="949419" cy="361950"/>
        </a:xfrm>
        <a:prstGeom prst="flowChartProcess">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TESTE III</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18</xdr:col>
      <xdr:colOff>271096</xdr:colOff>
      <xdr:row>1</xdr:row>
      <xdr:rowOff>38100</xdr:rowOff>
    </xdr:from>
    <xdr:to>
      <xdr:col>20</xdr:col>
      <xdr:colOff>63913</xdr:colOff>
      <xdr:row>6</xdr:row>
      <xdr:rowOff>152401</xdr:rowOff>
    </xdr:to>
    <xdr:pic>
      <xdr:nvPicPr>
        <xdr:cNvPr id="5" name="Logo" descr="Resultado de imagem para logo anvisa">
          <a:extLst>
            <a:ext uri="{FF2B5EF4-FFF2-40B4-BE49-F238E27FC236}">
              <a16:creationId xmlns:a16="http://schemas.microsoft.com/office/drawing/2014/main" id="{4DF9CFBC-9CBF-44B6-BAB9-33C9EB8783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77196" y="228600"/>
          <a:ext cx="1488267"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xdr:colOff>
          <xdr:row>127</xdr:row>
          <xdr:rowOff>228600</xdr:rowOff>
        </xdr:from>
        <xdr:to>
          <xdr:col>17</xdr:col>
          <xdr:colOff>247650</xdr:colOff>
          <xdr:row>129</xdr:row>
          <xdr:rowOff>38100</xdr:rowOff>
        </xdr:to>
        <xdr:sp macro="" textlink="">
          <xdr:nvSpPr>
            <xdr:cNvPr id="46125" name="optn_desvios_micro1" hidden="1">
              <a:extLst>
                <a:ext uri="{63B3BB69-23CF-44E3-9099-C40C66FF867C}">
                  <a14:compatExt spid="_x0000_s46125"/>
                </a:ext>
                <a:ext uri="{FF2B5EF4-FFF2-40B4-BE49-F238E27FC236}">
                  <a16:creationId xmlns:a16="http://schemas.microsoft.com/office/drawing/2014/main" id="{00000000-0008-0000-19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129</xdr:row>
          <xdr:rowOff>314325</xdr:rowOff>
        </xdr:from>
        <xdr:to>
          <xdr:col>17</xdr:col>
          <xdr:colOff>247650</xdr:colOff>
          <xdr:row>131</xdr:row>
          <xdr:rowOff>28575</xdr:rowOff>
        </xdr:to>
        <xdr:sp macro="" textlink="">
          <xdr:nvSpPr>
            <xdr:cNvPr id="46126" name="optn_desvios_micro2" hidden="1">
              <a:extLst>
                <a:ext uri="{63B3BB69-23CF-44E3-9099-C40C66FF867C}">
                  <a14:compatExt spid="_x0000_s46126"/>
                </a:ext>
                <a:ext uri="{FF2B5EF4-FFF2-40B4-BE49-F238E27FC236}">
                  <a16:creationId xmlns:a16="http://schemas.microsoft.com/office/drawing/2014/main" id="{00000000-0008-0000-19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75</xdr:row>
          <xdr:rowOff>28575</xdr:rowOff>
        </xdr:from>
        <xdr:to>
          <xdr:col>30</xdr:col>
          <xdr:colOff>66675</xdr:colOff>
          <xdr:row>76</xdr:row>
          <xdr:rowOff>0</xdr:rowOff>
        </xdr:to>
        <xdr:sp macro="" textlink="">
          <xdr:nvSpPr>
            <xdr:cNvPr id="46202" name="check_semDMT" hidden="1">
              <a:extLst>
                <a:ext uri="{63B3BB69-23CF-44E3-9099-C40C66FF867C}">
                  <a14:compatExt spid="_x0000_s46202"/>
                </a:ext>
                <a:ext uri="{FF2B5EF4-FFF2-40B4-BE49-F238E27FC236}">
                  <a16:creationId xmlns:a16="http://schemas.microsoft.com/office/drawing/2014/main" id="{00000000-0008-0000-1900-00007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200025</xdr:colOff>
      <xdr:row>1</xdr:row>
      <xdr:rowOff>9525</xdr:rowOff>
    </xdr:from>
    <xdr:to>
      <xdr:col>39</xdr:col>
      <xdr:colOff>120975</xdr:colOff>
      <xdr:row>6</xdr:row>
      <xdr:rowOff>123826</xdr:rowOff>
    </xdr:to>
    <xdr:pic>
      <xdr:nvPicPr>
        <xdr:cNvPr id="18" name="Logo" descr="Resultado de imagem para logo anvisa">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6925" y="20002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93</xdr:row>
      <xdr:rowOff>0</xdr:rowOff>
    </xdr:from>
    <xdr:to>
      <xdr:col>18</xdr:col>
      <xdr:colOff>304800</xdr:colOff>
      <xdr:row>94</xdr:row>
      <xdr:rowOff>9525</xdr:rowOff>
    </xdr:to>
    <xdr:sp macro="" textlink="">
      <xdr:nvSpPr>
        <xdr:cNvPr id="2" name="link_resultados" descr="Clique aqui">
          <a:hlinkClick xmlns:r="http://schemas.openxmlformats.org/officeDocument/2006/relationships" r:id="rId2"/>
          <a:extLst>
            <a:ext uri="{FF2B5EF4-FFF2-40B4-BE49-F238E27FC236}">
              <a16:creationId xmlns:a16="http://schemas.microsoft.com/office/drawing/2014/main" id="{00000000-0008-0000-1A00-000002000000}"/>
            </a:ext>
          </a:extLst>
        </xdr:cNvPr>
        <xdr:cNvSpPr/>
      </xdr:nvSpPr>
      <xdr:spPr>
        <a:xfrm>
          <a:off x="2828925" y="27451050"/>
          <a:ext cx="1876425" cy="514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a:solidFill>
                <a:sysClr val="windowText" lastClr="000000"/>
              </a:solidFill>
            </a:rPr>
            <a:t>Clique aqui</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23</xdr:col>
      <xdr:colOff>133350</xdr:colOff>
      <xdr:row>1</xdr:row>
      <xdr:rowOff>0</xdr:rowOff>
    </xdr:from>
    <xdr:to>
      <xdr:col>27</xdr:col>
      <xdr:colOff>101925</xdr:colOff>
      <xdr:row>6</xdr:row>
      <xdr:rowOff>114301</xdr:rowOff>
    </xdr:to>
    <xdr:pic>
      <xdr:nvPicPr>
        <xdr:cNvPr id="41" name="Logo" descr="Resultado de imagem para logo anvisa">
          <a:extLst>
            <a:ext uri="{FF2B5EF4-FFF2-40B4-BE49-F238E27FC236}">
              <a16:creationId xmlns:a16="http://schemas.microsoft.com/office/drawing/2014/main" id="{B0ECD9F7-133D-4CB5-9824-80B13D5DDF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19050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xdr:colOff>
          <xdr:row>127</xdr:row>
          <xdr:rowOff>228600</xdr:rowOff>
        </xdr:from>
        <xdr:to>
          <xdr:col>17</xdr:col>
          <xdr:colOff>247650</xdr:colOff>
          <xdr:row>129</xdr:row>
          <xdr:rowOff>38100</xdr:rowOff>
        </xdr:to>
        <xdr:sp macro="" textlink="">
          <xdr:nvSpPr>
            <xdr:cNvPr id="66561" name="optn_desvios_micro1" hidden="1">
              <a:extLst>
                <a:ext uri="{63B3BB69-23CF-44E3-9099-C40C66FF867C}">
                  <a14:compatExt spid="_x0000_s66561"/>
                </a:ext>
                <a:ext uri="{FF2B5EF4-FFF2-40B4-BE49-F238E27FC236}">
                  <a16:creationId xmlns:a16="http://schemas.microsoft.com/office/drawing/2014/main" id="{00000000-0008-0000-1B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129</xdr:row>
          <xdr:rowOff>314325</xdr:rowOff>
        </xdr:from>
        <xdr:to>
          <xdr:col>17</xdr:col>
          <xdr:colOff>247650</xdr:colOff>
          <xdr:row>131</xdr:row>
          <xdr:rowOff>28575</xdr:rowOff>
        </xdr:to>
        <xdr:sp macro="" textlink="">
          <xdr:nvSpPr>
            <xdr:cNvPr id="66562" name="optn_desvios_micro2" hidden="1">
              <a:extLst>
                <a:ext uri="{63B3BB69-23CF-44E3-9099-C40C66FF867C}">
                  <a14:compatExt spid="_x0000_s66562"/>
                </a:ext>
                <a:ext uri="{FF2B5EF4-FFF2-40B4-BE49-F238E27FC236}">
                  <a16:creationId xmlns:a16="http://schemas.microsoft.com/office/drawing/2014/main" id="{00000000-0008-0000-1B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75</xdr:row>
          <xdr:rowOff>28575</xdr:rowOff>
        </xdr:from>
        <xdr:to>
          <xdr:col>30</xdr:col>
          <xdr:colOff>66675</xdr:colOff>
          <xdr:row>76</xdr:row>
          <xdr:rowOff>0</xdr:rowOff>
        </xdr:to>
        <xdr:sp macro="" textlink="">
          <xdr:nvSpPr>
            <xdr:cNvPr id="66563" name="check_semDMT" hidden="1">
              <a:extLst>
                <a:ext uri="{63B3BB69-23CF-44E3-9099-C40C66FF867C}">
                  <a14:compatExt spid="_x0000_s66563"/>
                </a:ext>
                <a:ext uri="{FF2B5EF4-FFF2-40B4-BE49-F238E27FC236}">
                  <a16:creationId xmlns:a16="http://schemas.microsoft.com/office/drawing/2014/main" id="{00000000-0008-0000-1B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34</xdr:col>
      <xdr:colOff>200025</xdr:colOff>
      <xdr:row>1</xdr:row>
      <xdr:rowOff>9525</xdr:rowOff>
    </xdr:from>
    <xdr:to>
      <xdr:col>39</xdr:col>
      <xdr:colOff>120975</xdr:colOff>
      <xdr:row>6</xdr:row>
      <xdr:rowOff>123826</xdr:rowOff>
    </xdr:to>
    <xdr:pic>
      <xdr:nvPicPr>
        <xdr:cNvPr id="5" name="Logo" descr="Resultado de imagem para logo anvisa">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53600" y="20002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93</xdr:row>
      <xdr:rowOff>0</xdr:rowOff>
    </xdr:from>
    <xdr:to>
      <xdr:col>18</xdr:col>
      <xdr:colOff>304800</xdr:colOff>
      <xdr:row>94</xdr:row>
      <xdr:rowOff>9525</xdr:rowOff>
    </xdr:to>
    <xdr:sp macro="" textlink="">
      <xdr:nvSpPr>
        <xdr:cNvPr id="6" name="link_resultados" descr="Clique aqui">
          <a:hlinkClick xmlns:r="http://schemas.openxmlformats.org/officeDocument/2006/relationships" r:id="rId2"/>
          <a:extLst>
            <a:ext uri="{FF2B5EF4-FFF2-40B4-BE49-F238E27FC236}">
              <a16:creationId xmlns:a16="http://schemas.microsoft.com/office/drawing/2014/main" id="{00000000-0008-0000-1C00-000006000000}"/>
            </a:ext>
          </a:extLst>
        </xdr:cNvPr>
        <xdr:cNvSpPr/>
      </xdr:nvSpPr>
      <xdr:spPr>
        <a:xfrm>
          <a:off x="2828925" y="27451050"/>
          <a:ext cx="1943100" cy="514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a:solidFill>
                <a:sysClr val="windowText" lastClr="000000"/>
              </a:solidFill>
            </a:rPr>
            <a:t>Clique aqui</a:t>
          </a:r>
        </a:p>
      </xdr:txBody>
    </xdr:sp>
    <xdr:clientData/>
  </xdr:twoCellAnchor>
  <xdr:twoCellAnchor>
    <xdr:from>
      <xdr:col>13</xdr:col>
      <xdr:colOff>0</xdr:colOff>
      <xdr:row>93</xdr:row>
      <xdr:rowOff>0</xdr:rowOff>
    </xdr:from>
    <xdr:to>
      <xdr:col>18</xdr:col>
      <xdr:colOff>304800</xdr:colOff>
      <xdr:row>94</xdr:row>
      <xdr:rowOff>9525</xdr:rowOff>
    </xdr:to>
    <xdr:sp macro="" textlink="">
      <xdr:nvSpPr>
        <xdr:cNvPr id="2" name="link_resultados" descr="Clique aqui">
          <a:hlinkClick xmlns:r="http://schemas.openxmlformats.org/officeDocument/2006/relationships" r:id="rId2"/>
          <a:extLst>
            <a:ext uri="{FF2B5EF4-FFF2-40B4-BE49-F238E27FC236}">
              <a16:creationId xmlns:a16="http://schemas.microsoft.com/office/drawing/2014/main" id="{C12F58C0-8EAA-49F5-A134-33C4AAE6BD43}"/>
            </a:ext>
          </a:extLst>
        </xdr:cNvPr>
        <xdr:cNvSpPr/>
      </xdr:nvSpPr>
      <xdr:spPr>
        <a:xfrm>
          <a:off x="5305425" y="21526500"/>
          <a:ext cx="1943100" cy="514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a:solidFill>
                <a:sysClr val="windowText" lastClr="000000"/>
              </a:solidFill>
            </a:rPr>
            <a:t>Clique aqui</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24</xdr:col>
      <xdr:colOff>142875</xdr:colOff>
      <xdr:row>1</xdr:row>
      <xdr:rowOff>28575</xdr:rowOff>
    </xdr:from>
    <xdr:to>
      <xdr:col>28</xdr:col>
      <xdr:colOff>111450</xdr:colOff>
      <xdr:row>6</xdr:row>
      <xdr:rowOff>142876</xdr:rowOff>
    </xdr:to>
    <xdr:pic>
      <xdr:nvPicPr>
        <xdr:cNvPr id="2" name="Logo" descr="Resultado de imagem para logo anvisa">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5875" y="21907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790575</xdr:colOff>
      <xdr:row>1</xdr:row>
      <xdr:rowOff>38100</xdr:rowOff>
    </xdr:from>
    <xdr:to>
      <xdr:col>16</xdr:col>
      <xdr:colOff>54300</xdr:colOff>
      <xdr:row>6</xdr:row>
      <xdr:rowOff>152401</xdr:rowOff>
    </xdr:to>
    <xdr:pic>
      <xdr:nvPicPr>
        <xdr:cNvPr id="45" name="Logo" descr="Resultado de imagem para logo anvisa">
          <a:extLst>
            <a:ext uri="{FF2B5EF4-FFF2-40B4-BE49-F238E27FC236}">
              <a16:creationId xmlns:a16="http://schemas.microsoft.com/office/drawing/2014/main" id="{00000000-0008-0000-03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7150" y="22860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32</xdr:col>
      <xdr:colOff>19050</xdr:colOff>
      <xdr:row>1</xdr:row>
      <xdr:rowOff>38100</xdr:rowOff>
    </xdr:from>
    <xdr:to>
      <xdr:col>16384</xdr:col>
      <xdr:colOff>73350</xdr:colOff>
      <xdr:row>6</xdr:row>
      <xdr:rowOff>152401</xdr:rowOff>
    </xdr:to>
    <xdr:pic>
      <xdr:nvPicPr>
        <xdr:cNvPr id="18" name="Logo" descr="Resultado de imagem para logo anvisa">
          <a:extLst>
            <a:ext uri="{FF2B5EF4-FFF2-40B4-BE49-F238E27FC236}">
              <a16:creationId xmlns:a16="http://schemas.microsoft.com/office/drawing/2014/main" id="{00000000-0008-0000-1E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58550" y="22860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198</xdr:row>
          <xdr:rowOff>47625</xdr:rowOff>
        </xdr:from>
        <xdr:to>
          <xdr:col>41</xdr:col>
          <xdr:colOff>133350</xdr:colOff>
          <xdr:row>198</xdr:row>
          <xdr:rowOff>457200</xdr:rowOff>
        </xdr:to>
        <xdr:sp macro="" textlink="">
          <xdr:nvSpPr>
            <xdr:cNvPr id="13497" name="Check Box 185" hidden="1">
              <a:extLst>
                <a:ext uri="{63B3BB69-23CF-44E3-9099-C40C66FF867C}">
                  <a14:compatExt spid="_x0000_s13497"/>
                </a:ext>
                <a:ext uri="{FF2B5EF4-FFF2-40B4-BE49-F238E27FC236}">
                  <a16:creationId xmlns:a16="http://schemas.microsoft.com/office/drawing/2014/main" id="{00000000-0008-0000-1E00-0000B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199</xdr:row>
          <xdr:rowOff>47625</xdr:rowOff>
        </xdr:from>
        <xdr:to>
          <xdr:col>41</xdr:col>
          <xdr:colOff>133350</xdr:colOff>
          <xdr:row>199</xdr:row>
          <xdr:rowOff>457200</xdr:rowOff>
        </xdr:to>
        <xdr:sp macro="" textlink="">
          <xdr:nvSpPr>
            <xdr:cNvPr id="13499" name="Check Box 187" hidden="1">
              <a:extLst>
                <a:ext uri="{63B3BB69-23CF-44E3-9099-C40C66FF867C}">
                  <a14:compatExt spid="_x0000_s13499"/>
                </a:ext>
                <a:ext uri="{FF2B5EF4-FFF2-40B4-BE49-F238E27FC236}">
                  <a16:creationId xmlns:a16="http://schemas.microsoft.com/office/drawing/2014/main" id="{00000000-0008-0000-1E00-0000B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196</xdr:row>
          <xdr:rowOff>47625</xdr:rowOff>
        </xdr:from>
        <xdr:to>
          <xdr:col>41</xdr:col>
          <xdr:colOff>133350</xdr:colOff>
          <xdr:row>196</xdr:row>
          <xdr:rowOff>457200</xdr:rowOff>
        </xdr:to>
        <xdr:sp macro="" textlink="">
          <xdr:nvSpPr>
            <xdr:cNvPr id="13511" name="Check Box 199" hidden="1">
              <a:extLst>
                <a:ext uri="{63B3BB69-23CF-44E3-9099-C40C66FF867C}">
                  <a14:compatExt spid="_x0000_s13511"/>
                </a:ext>
                <a:ext uri="{FF2B5EF4-FFF2-40B4-BE49-F238E27FC236}">
                  <a16:creationId xmlns:a16="http://schemas.microsoft.com/office/drawing/2014/main" id="{00000000-0008-0000-1E00-0000C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221</xdr:row>
          <xdr:rowOff>142874</xdr:rowOff>
        </xdr:from>
        <xdr:to>
          <xdr:col>22</xdr:col>
          <xdr:colOff>47250</xdr:colOff>
          <xdr:row>225</xdr:row>
          <xdr:rowOff>21449</xdr:rowOff>
        </xdr:to>
        <xdr:pic>
          <xdr:nvPicPr>
            <xdr:cNvPr id="4" name="Imagem 3">
              <a:extLst>
                <a:ext uri="{FF2B5EF4-FFF2-40B4-BE49-F238E27FC236}">
                  <a16:creationId xmlns:a16="http://schemas.microsoft.com/office/drawing/2014/main" id="{00000000-0008-0000-2000-000004000000}"/>
                </a:ext>
              </a:extLst>
            </xdr:cNvPr>
            <xdr:cNvPicPr>
              <a:picLocks noChangeAspect="1" noChangeArrowheads="1"/>
              <a:extLst>
                <a:ext uri="{84589F7E-364E-4C9E-8A38-B11213B215E9}">
                  <a14:cameraTool cellRange="pictograma" spid="_x0000_s90193"/>
                </a:ext>
              </a:extLst>
            </xdr:cNvPicPr>
          </xdr:nvPicPr>
          <xdr:blipFill>
            <a:blip xmlns:r="http://schemas.openxmlformats.org/officeDocument/2006/relationships" r:embed="rId1"/>
            <a:srcRect/>
            <a:stretch>
              <a:fillRect/>
            </a:stretch>
          </xdr:blipFill>
          <xdr:spPr bwMode="auto">
            <a:xfrm>
              <a:off x="2476500" y="69075299"/>
              <a:ext cx="714000" cy="61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197</xdr:row>
          <xdr:rowOff>47625</xdr:rowOff>
        </xdr:from>
        <xdr:to>
          <xdr:col>41</xdr:col>
          <xdr:colOff>133350</xdr:colOff>
          <xdr:row>197</xdr:row>
          <xdr:rowOff>457200</xdr:rowOff>
        </xdr:to>
        <xdr:sp macro="" textlink="">
          <xdr:nvSpPr>
            <xdr:cNvPr id="14122" name="Check Box 810" hidden="1">
              <a:extLst>
                <a:ext uri="{63B3BB69-23CF-44E3-9099-C40C66FF867C}">
                  <a14:compatExt spid="_x0000_s14122"/>
                </a:ext>
                <a:ext uri="{FF2B5EF4-FFF2-40B4-BE49-F238E27FC236}">
                  <a16:creationId xmlns:a16="http://schemas.microsoft.com/office/drawing/2014/main" id="{00000000-0008-0000-1E00-00002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oneCellAnchor>
    <xdr:from>
      <xdr:col>0</xdr:col>
      <xdr:colOff>45552</xdr:colOff>
      <xdr:row>0</xdr:row>
      <xdr:rowOff>11203</xdr:rowOff>
    </xdr:from>
    <xdr:ext cx="918000" cy="918000"/>
    <xdr:pic>
      <xdr:nvPicPr>
        <xdr:cNvPr id="2" name="Imagem 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511452" y="211228"/>
          <a:ext cx="918000" cy="91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57370</xdr:colOff>
      <xdr:row>6</xdr:row>
      <xdr:rowOff>28296</xdr:rowOff>
    </xdr:from>
    <xdr:ext cx="828000" cy="828000"/>
    <xdr:pic>
      <xdr:nvPicPr>
        <xdr:cNvPr id="3" name="dispensa_pictograma">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523270" y="1371321"/>
          <a:ext cx="828000" cy="82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32217</xdr:colOff>
      <xdr:row>6</xdr:row>
      <xdr:rowOff>28296</xdr:rowOff>
    </xdr:from>
    <xdr:ext cx="918000" cy="918000"/>
    <xdr:pic>
      <xdr:nvPicPr>
        <xdr:cNvPr id="4" name="dispensa_pictograma">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498117" y="1371321"/>
          <a:ext cx="918000" cy="91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66675</xdr:colOff>
      <xdr:row>12</xdr:row>
      <xdr:rowOff>28575</xdr:rowOff>
    </xdr:from>
    <xdr:ext cx="918000" cy="918000"/>
    <xdr:pic>
      <xdr:nvPicPr>
        <xdr:cNvPr id="5" name="Imagem 4">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532575" y="2514600"/>
          <a:ext cx="918000" cy="91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11</xdr:col>
      <xdr:colOff>152400</xdr:colOff>
      <xdr:row>1</xdr:row>
      <xdr:rowOff>9525</xdr:rowOff>
    </xdr:from>
    <xdr:to>
      <xdr:col>12</xdr:col>
      <xdr:colOff>178125</xdr:colOff>
      <xdr:row>6</xdr:row>
      <xdr:rowOff>123826</xdr:rowOff>
    </xdr:to>
    <xdr:pic>
      <xdr:nvPicPr>
        <xdr:cNvPr id="16" name="Logo" descr="Resultado de imagem para logo anvisa">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53575" y="20002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790575</xdr:colOff>
      <xdr:row>1</xdr:row>
      <xdr:rowOff>0</xdr:rowOff>
    </xdr:from>
    <xdr:to>
      <xdr:col>8</xdr:col>
      <xdr:colOff>2283150</xdr:colOff>
      <xdr:row>6</xdr:row>
      <xdr:rowOff>114301</xdr:rowOff>
    </xdr:to>
    <xdr:pic>
      <xdr:nvPicPr>
        <xdr:cNvPr id="41" name="Logo" descr="Resultado de imagem para logo anvisa">
          <a:extLst>
            <a:ext uri="{FF2B5EF4-FFF2-40B4-BE49-F238E27FC236}">
              <a16:creationId xmlns:a16="http://schemas.microsoft.com/office/drawing/2014/main" id="{5DAB6536-E687-4191-A3AC-4C9D6726F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0" y="19050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34</xdr:col>
      <xdr:colOff>200025</xdr:colOff>
      <xdr:row>0</xdr:row>
      <xdr:rowOff>180975</xdr:rowOff>
    </xdr:from>
    <xdr:to>
      <xdr:col>39</xdr:col>
      <xdr:colOff>120975</xdr:colOff>
      <xdr:row>6</xdr:row>
      <xdr:rowOff>104776</xdr:rowOff>
    </xdr:to>
    <xdr:pic>
      <xdr:nvPicPr>
        <xdr:cNvPr id="16" name="Logo" descr="Resultado de imagem para logo anvisa">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29825" y="18097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19050</xdr:colOff>
          <xdr:row>59</xdr:row>
          <xdr:rowOff>9525</xdr:rowOff>
        </xdr:from>
        <xdr:to>
          <xdr:col>15</xdr:col>
          <xdr:colOff>304800</xdr:colOff>
          <xdr:row>59</xdr:row>
          <xdr:rowOff>238125</xdr:rowOff>
        </xdr:to>
        <xdr:sp macro="" textlink="">
          <xdr:nvSpPr>
            <xdr:cNvPr id="21529" name="check_updown1_maiorque" hidden="1">
              <a:extLst>
                <a:ext uri="{63B3BB69-23CF-44E3-9099-C40C66FF867C}">
                  <a14:compatExt spid="_x0000_s21529"/>
                </a:ext>
                <a:ext uri="{FF2B5EF4-FFF2-40B4-BE49-F238E27FC236}">
                  <a16:creationId xmlns:a16="http://schemas.microsoft.com/office/drawing/2014/main" id="{00000000-0008-0000-05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51</xdr:row>
          <xdr:rowOff>171450</xdr:rowOff>
        </xdr:from>
        <xdr:to>
          <xdr:col>17</xdr:col>
          <xdr:colOff>304800</xdr:colOff>
          <xdr:row>53</xdr:row>
          <xdr:rowOff>66675</xdr:rowOff>
        </xdr:to>
        <xdr:sp macro="" textlink="">
          <xdr:nvSpPr>
            <xdr:cNvPr id="21524" name="optn_updown1_desvios1" hidden="1">
              <a:extLst>
                <a:ext uri="{63B3BB69-23CF-44E3-9099-C40C66FF867C}">
                  <a14:compatExt spid="_x0000_s21524"/>
                </a:ext>
                <a:ext uri="{FF2B5EF4-FFF2-40B4-BE49-F238E27FC236}">
                  <a16:creationId xmlns:a16="http://schemas.microsoft.com/office/drawing/2014/main" id="{00000000-0008-0000-05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53</xdr:row>
          <xdr:rowOff>171450</xdr:rowOff>
        </xdr:from>
        <xdr:to>
          <xdr:col>17</xdr:col>
          <xdr:colOff>304800</xdr:colOff>
          <xdr:row>55</xdr:row>
          <xdr:rowOff>66675</xdr:rowOff>
        </xdr:to>
        <xdr:sp macro="" textlink="">
          <xdr:nvSpPr>
            <xdr:cNvPr id="21531" name="optn_updown1_desvios2" hidden="1">
              <a:extLst>
                <a:ext uri="{63B3BB69-23CF-44E3-9099-C40C66FF867C}">
                  <a14:compatExt spid="_x0000_s21531"/>
                </a:ext>
                <a:ext uri="{FF2B5EF4-FFF2-40B4-BE49-F238E27FC236}">
                  <a16:creationId xmlns:a16="http://schemas.microsoft.com/office/drawing/2014/main" id="{00000000-0008-0000-05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22</xdr:row>
          <xdr:rowOff>9525</xdr:rowOff>
        </xdr:from>
        <xdr:to>
          <xdr:col>22</xdr:col>
          <xdr:colOff>295275</xdr:colOff>
          <xdr:row>22</xdr:row>
          <xdr:rowOff>314325</xdr:rowOff>
        </xdr:to>
        <xdr:sp macro="" textlink="">
          <xdr:nvSpPr>
            <xdr:cNvPr id="21535" name="evid_tox_1" hidden="1">
              <a:extLst>
                <a:ext uri="{63B3BB69-23CF-44E3-9099-C40C66FF867C}">
                  <a14:compatExt spid="_x0000_s21535"/>
                </a:ext>
                <a:ext uri="{FF2B5EF4-FFF2-40B4-BE49-F238E27FC236}">
                  <a16:creationId xmlns:a16="http://schemas.microsoft.com/office/drawing/2014/main" id="{00000000-0008-0000-05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23</xdr:row>
          <xdr:rowOff>9525</xdr:rowOff>
        </xdr:from>
        <xdr:to>
          <xdr:col>22</xdr:col>
          <xdr:colOff>295275</xdr:colOff>
          <xdr:row>23</xdr:row>
          <xdr:rowOff>314325</xdr:rowOff>
        </xdr:to>
        <xdr:sp macro="" textlink="">
          <xdr:nvSpPr>
            <xdr:cNvPr id="21536" name="evid_tox_2" hidden="1">
              <a:extLst>
                <a:ext uri="{63B3BB69-23CF-44E3-9099-C40C66FF867C}">
                  <a14:compatExt spid="_x0000_s21536"/>
                </a:ext>
                <a:ext uri="{FF2B5EF4-FFF2-40B4-BE49-F238E27FC236}">
                  <a16:creationId xmlns:a16="http://schemas.microsoft.com/office/drawing/2014/main" id="{00000000-0008-0000-05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24</xdr:row>
          <xdr:rowOff>9525</xdr:rowOff>
        </xdr:from>
        <xdr:to>
          <xdr:col>22</xdr:col>
          <xdr:colOff>295275</xdr:colOff>
          <xdr:row>24</xdr:row>
          <xdr:rowOff>314325</xdr:rowOff>
        </xdr:to>
        <xdr:sp macro="" textlink="">
          <xdr:nvSpPr>
            <xdr:cNvPr id="21537" name="evid_tox_3" hidden="1">
              <a:extLst>
                <a:ext uri="{63B3BB69-23CF-44E3-9099-C40C66FF867C}">
                  <a14:compatExt spid="_x0000_s21537"/>
                </a:ext>
                <a:ext uri="{FF2B5EF4-FFF2-40B4-BE49-F238E27FC236}">
                  <a16:creationId xmlns:a16="http://schemas.microsoft.com/office/drawing/2014/main" id="{00000000-0008-0000-05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xdr:row>
          <xdr:rowOff>9525</xdr:rowOff>
        </xdr:from>
        <xdr:to>
          <xdr:col>22</xdr:col>
          <xdr:colOff>295275</xdr:colOff>
          <xdr:row>25</xdr:row>
          <xdr:rowOff>314325</xdr:rowOff>
        </xdr:to>
        <xdr:sp macro="" textlink="">
          <xdr:nvSpPr>
            <xdr:cNvPr id="21538" name="evid_tox_4" hidden="1">
              <a:extLst>
                <a:ext uri="{63B3BB69-23CF-44E3-9099-C40C66FF867C}">
                  <a14:compatExt spid="_x0000_s21538"/>
                </a:ext>
                <a:ext uri="{FF2B5EF4-FFF2-40B4-BE49-F238E27FC236}">
                  <a16:creationId xmlns:a16="http://schemas.microsoft.com/office/drawing/2014/main" id="{00000000-0008-0000-05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9525</xdr:rowOff>
        </xdr:from>
        <xdr:to>
          <xdr:col>22</xdr:col>
          <xdr:colOff>295275</xdr:colOff>
          <xdr:row>26</xdr:row>
          <xdr:rowOff>314325</xdr:rowOff>
        </xdr:to>
        <xdr:sp macro="" textlink="">
          <xdr:nvSpPr>
            <xdr:cNvPr id="21539" name="evid_tox_5" hidden="1">
              <a:extLst>
                <a:ext uri="{63B3BB69-23CF-44E3-9099-C40C66FF867C}">
                  <a14:compatExt spid="_x0000_s21539"/>
                </a:ext>
                <a:ext uri="{FF2B5EF4-FFF2-40B4-BE49-F238E27FC236}">
                  <a16:creationId xmlns:a16="http://schemas.microsoft.com/office/drawing/2014/main" id="{00000000-0008-0000-05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xdr:row>
          <xdr:rowOff>9525</xdr:rowOff>
        </xdr:from>
        <xdr:to>
          <xdr:col>22</xdr:col>
          <xdr:colOff>295275</xdr:colOff>
          <xdr:row>27</xdr:row>
          <xdr:rowOff>314325</xdr:rowOff>
        </xdr:to>
        <xdr:sp macro="" textlink="">
          <xdr:nvSpPr>
            <xdr:cNvPr id="21540" name="evid_tox_6" hidden="1">
              <a:extLst>
                <a:ext uri="{63B3BB69-23CF-44E3-9099-C40C66FF867C}">
                  <a14:compatExt spid="_x0000_s21540"/>
                </a:ext>
                <a:ext uri="{FF2B5EF4-FFF2-40B4-BE49-F238E27FC236}">
                  <a16:creationId xmlns:a16="http://schemas.microsoft.com/office/drawing/2014/main" id="{00000000-0008-0000-05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xdr:row>
          <xdr:rowOff>9525</xdr:rowOff>
        </xdr:from>
        <xdr:to>
          <xdr:col>22</xdr:col>
          <xdr:colOff>295275</xdr:colOff>
          <xdr:row>28</xdr:row>
          <xdr:rowOff>314325</xdr:rowOff>
        </xdr:to>
        <xdr:sp macro="" textlink="">
          <xdr:nvSpPr>
            <xdr:cNvPr id="21541" name="evid_tox_7" hidden="1">
              <a:extLst>
                <a:ext uri="{63B3BB69-23CF-44E3-9099-C40C66FF867C}">
                  <a14:compatExt spid="_x0000_s21541"/>
                </a:ext>
                <a:ext uri="{FF2B5EF4-FFF2-40B4-BE49-F238E27FC236}">
                  <a16:creationId xmlns:a16="http://schemas.microsoft.com/office/drawing/2014/main" id="{00000000-0008-0000-05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xdr:row>
          <xdr:rowOff>9525</xdr:rowOff>
        </xdr:from>
        <xdr:to>
          <xdr:col>22</xdr:col>
          <xdr:colOff>295275</xdr:colOff>
          <xdr:row>29</xdr:row>
          <xdr:rowOff>314325</xdr:rowOff>
        </xdr:to>
        <xdr:sp macro="" textlink="">
          <xdr:nvSpPr>
            <xdr:cNvPr id="21542" name="evid_tox_8" hidden="1">
              <a:extLst>
                <a:ext uri="{63B3BB69-23CF-44E3-9099-C40C66FF867C}">
                  <a14:compatExt spid="_x0000_s21542"/>
                </a:ext>
                <a:ext uri="{FF2B5EF4-FFF2-40B4-BE49-F238E27FC236}">
                  <a16:creationId xmlns:a16="http://schemas.microsoft.com/office/drawing/2014/main" id="{00000000-0008-0000-05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30</xdr:row>
          <xdr:rowOff>19050</xdr:rowOff>
        </xdr:from>
        <xdr:to>
          <xdr:col>22</xdr:col>
          <xdr:colOff>295275</xdr:colOff>
          <xdr:row>31</xdr:row>
          <xdr:rowOff>0</xdr:rowOff>
        </xdr:to>
        <xdr:sp macro="" textlink="">
          <xdr:nvSpPr>
            <xdr:cNvPr id="21543" name="evid_tox_9" hidden="1">
              <a:extLst>
                <a:ext uri="{63B3BB69-23CF-44E3-9099-C40C66FF867C}">
                  <a14:compatExt spid="_x0000_s21543"/>
                </a:ext>
                <a:ext uri="{FF2B5EF4-FFF2-40B4-BE49-F238E27FC236}">
                  <a16:creationId xmlns:a16="http://schemas.microsoft.com/office/drawing/2014/main" id="{00000000-0008-0000-05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31</xdr:row>
          <xdr:rowOff>19050</xdr:rowOff>
        </xdr:from>
        <xdr:to>
          <xdr:col>22</xdr:col>
          <xdr:colOff>295275</xdr:colOff>
          <xdr:row>32</xdr:row>
          <xdr:rowOff>0</xdr:rowOff>
        </xdr:to>
        <xdr:sp macro="" textlink="">
          <xdr:nvSpPr>
            <xdr:cNvPr id="21544" name="evid_tox_10" hidden="1">
              <a:extLst>
                <a:ext uri="{63B3BB69-23CF-44E3-9099-C40C66FF867C}">
                  <a14:compatExt spid="_x0000_s21544"/>
                </a:ext>
                <a:ext uri="{FF2B5EF4-FFF2-40B4-BE49-F238E27FC236}">
                  <a16:creationId xmlns:a16="http://schemas.microsoft.com/office/drawing/2014/main" id="{00000000-0008-0000-05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32</xdr:row>
          <xdr:rowOff>19050</xdr:rowOff>
        </xdr:from>
        <xdr:to>
          <xdr:col>22</xdr:col>
          <xdr:colOff>295275</xdr:colOff>
          <xdr:row>33</xdr:row>
          <xdr:rowOff>0</xdr:rowOff>
        </xdr:to>
        <xdr:sp macro="" textlink="">
          <xdr:nvSpPr>
            <xdr:cNvPr id="21545" name="evid_tox_11" hidden="1">
              <a:extLst>
                <a:ext uri="{63B3BB69-23CF-44E3-9099-C40C66FF867C}">
                  <a14:compatExt spid="_x0000_s21545"/>
                </a:ext>
                <a:ext uri="{FF2B5EF4-FFF2-40B4-BE49-F238E27FC236}">
                  <a16:creationId xmlns:a16="http://schemas.microsoft.com/office/drawing/2014/main" id="{00000000-0008-0000-05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33</xdr:row>
          <xdr:rowOff>19050</xdr:rowOff>
        </xdr:from>
        <xdr:to>
          <xdr:col>22</xdr:col>
          <xdr:colOff>295275</xdr:colOff>
          <xdr:row>34</xdr:row>
          <xdr:rowOff>0</xdr:rowOff>
        </xdr:to>
        <xdr:sp macro="" textlink="">
          <xdr:nvSpPr>
            <xdr:cNvPr id="21546" name="evid_tox_12" hidden="1">
              <a:extLst>
                <a:ext uri="{63B3BB69-23CF-44E3-9099-C40C66FF867C}">
                  <a14:compatExt spid="_x0000_s21546"/>
                </a:ext>
                <a:ext uri="{FF2B5EF4-FFF2-40B4-BE49-F238E27FC236}">
                  <a16:creationId xmlns:a16="http://schemas.microsoft.com/office/drawing/2014/main" id="{00000000-0008-0000-05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34</xdr:row>
          <xdr:rowOff>19050</xdr:rowOff>
        </xdr:from>
        <xdr:to>
          <xdr:col>22</xdr:col>
          <xdr:colOff>295275</xdr:colOff>
          <xdr:row>35</xdr:row>
          <xdr:rowOff>0</xdr:rowOff>
        </xdr:to>
        <xdr:sp macro="" textlink="">
          <xdr:nvSpPr>
            <xdr:cNvPr id="21547" name="evid_tox_13" hidden="1">
              <a:extLst>
                <a:ext uri="{63B3BB69-23CF-44E3-9099-C40C66FF867C}">
                  <a14:compatExt spid="_x0000_s21547"/>
                </a:ext>
                <a:ext uri="{FF2B5EF4-FFF2-40B4-BE49-F238E27FC236}">
                  <a16:creationId xmlns:a16="http://schemas.microsoft.com/office/drawing/2014/main" id="{00000000-0008-0000-05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35</xdr:row>
          <xdr:rowOff>19050</xdr:rowOff>
        </xdr:from>
        <xdr:to>
          <xdr:col>22</xdr:col>
          <xdr:colOff>295275</xdr:colOff>
          <xdr:row>36</xdr:row>
          <xdr:rowOff>0</xdr:rowOff>
        </xdr:to>
        <xdr:sp macro="" textlink="">
          <xdr:nvSpPr>
            <xdr:cNvPr id="21548" name="evid_tox_14" hidden="1">
              <a:extLst>
                <a:ext uri="{63B3BB69-23CF-44E3-9099-C40C66FF867C}">
                  <a14:compatExt spid="_x0000_s21548"/>
                </a:ext>
                <a:ext uri="{FF2B5EF4-FFF2-40B4-BE49-F238E27FC236}">
                  <a16:creationId xmlns:a16="http://schemas.microsoft.com/office/drawing/2014/main" id="{00000000-0008-0000-05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36</xdr:row>
          <xdr:rowOff>19050</xdr:rowOff>
        </xdr:from>
        <xdr:to>
          <xdr:col>22</xdr:col>
          <xdr:colOff>295275</xdr:colOff>
          <xdr:row>37</xdr:row>
          <xdr:rowOff>0</xdr:rowOff>
        </xdr:to>
        <xdr:sp macro="" textlink="">
          <xdr:nvSpPr>
            <xdr:cNvPr id="21549" name="evid_tox_15" hidden="1">
              <a:extLst>
                <a:ext uri="{63B3BB69-23CF-44E3-9099-C40C66FF867C}">
                  <a14:compatExt spid="_x0000_s21549"/>
                </a:ext>
                <a:ext uri="{FF2B5EF4-FFF2-40B4-BE49-F238E27FC236}">
                  <a16:creationId xmlns:a16="http://schemas.microsoft.com/office/drawing/2014/main" id="{00000000-0008-0000-05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34</xdr:col>
      <xdr:colOff>200025</xdr:colOff>
      <xdr:row>0</xdr:row>
      <xdr:rowOff>180975</xdr:rowOff>
    </xdr:from>
    <xdr:to>
      <xdr:col>39</xdr:col>
      <xdr:colOff>120975</xdr:colOff>
      <xdr:row>6</xdr:row>
      <xdr:rowOff>104776</xdr:rowOff>
    </xdr:to>
    <xdr:pic>
      <xdr:nvPicPr>
        <xdr:cNvPr id="2" name="Logo" descr="Resultado de imagem para logo anvis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96450" y="180975"/>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19050</xdr:colOff>
          <xdr:row>59</xdr:row>
          <xdr:rowOff>9525</xdr:rowOff>
        </xdr:from>
        <xdr:to>
          <xdr:col>15</xdr:col>
          <xdr:colOff>304800</xdr:colOff>
          <xdr:row>59</xdr:row>
          <xdr:rowOff>238125</xdr:rowOff>
        </xdr:to>
        <xdr:sp macro="" textlink="">
          <xdr:nvSpPr>
            <xdr:cNvPr id="56321" name="check_updown1_maiorque" hidden="1">
              <a:extLst>
                <a:ext uri="{63B3BB69-23CF-44E3-9099-C40C66FF867C}">
                  <a14:compatExt spid="_x0000_s56321"/>
                </a:ext>
                <a:ext uri="{FF2B5EF4-FFF2-40B4-BE49-F238E27FC236}">
                  <a16:creationId xmlns:a16="http://schemas.microsoft.com/office/drawing/2014/main" id="{00000000-0008-0000-06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51</xdr:row>
          <xdr:rowOff>171450</xdr:rowOff>
        </xdr:from>
        <xdr:to>
          <xdr:col>17</xdr:col>
          <xdr:colOff>304800</xdr:colOff>
          <xdr:row>53</xdr:row>
          <xdr:rowOff>66675</xdr:rowOff>
        </xdr:to>
        <xdr:sp macro="" textlink="">
          <xdr:nvSpPr>
            <xdr:cNvPr id="56322" name="optn_updown1_desvios1" hidden="1">
              <a:extLst>
                <a:ext uri="{63B3BB69-23CF-44E3-9099-C40C66FF867C}">
                  <a14:compatExt spid="_x0000_s56322"/>
                </a:ext>
                <a:ext uri="{FF2B5EF4-FFF2-40B4-BE49-F238E27FC236}">
                  <a16:creationId xmlns:a16="http://schemas.microsoft.com/office/drawing/2014/main" id="{00000000-0008-0000-0600-00000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53</xdr:row>
          <xdr:rowOff>171450</xdr:rowOff>
        </xdr:from>
        <xdr:to>
          <xdr:col>17</xdr:col>
          <xdr:colOff>304800</xdr:colOff>
          <xdr:row>55</xdr:row>
          <xdr:rowOff>66675</xdr:rowOff>
        </xdr:to>
        <xdr:sp macro="" textlink="">
          <xdr:nvSpPr>
            <xdr:cNvPr id="56323" name="optn_updown1_desvios2" hidden="1">
              <a:extLst>
                <a:ext uri="{63B3BB69-23CF-44E3-9099-C40C66FF867C}">
                  <a14:compatExt spid="_x0000_s56323"/>
                </a:ext>
                <a:ext uri="{FF2B5EF4-FFF2-40B4-BE49-F238E27FC236}">
                  <a16:creationId xmlns:a16="http://schemas.microsoft.com/office/drawing/2014/main" id="{00000000-0008-0000-0600-00000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22</xdr:row>
          <xdr:rowOff>9525</xdr:rowOff>
        </xdr:from>
        <xdr:to>
          <xdr:col>22</xdr:col>
          <xdr:colOff>295275</xdr:colOff>
          <xdr:row>22</xdr:row>
          <xdr:rowOff>314325</xdr:rowOff>
        </xdr:to>
        <xdr:sp macro="" textlink="">
          <xdr:nvSpPr>
            <xdr:cNvPr id="56324" name="evid_tox_1" hidden="1">
              <a:extLst>
                <a:ext uri="{63B3BB69-23CF-44E3-9099-C40C66FF867C}">
                  <a14:compatExt spid="_x0000_s56324"/>
                </a:ext>
                <a:ext uri="{FF2B5EF4-FFF2-40B4-BE49-F238E27FC236}">
                  <a16:creationId xmlns:a16="http://schemas.microsoft.com/office/drawing/2014/main" id="{00000000-0008-0000-0600-00000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24</xdr:row>
          <xdr:rowOff>9525</xdr:rowOff>
        </xdr:from>
        <xdr:to>
          <xdr:col>22</xdr:col>
          <xdr:colOff>295275</xdr:colOff>
          <xdr:row>24</xdr:row>
          <xdr:rowOff>314325</xdr:rowOff>
        </xdr:to>
        <xdr:sp macro="" textlink="">
          <xdr:nvSpPr>
            <xdr:cNvPr id="56326" name="evid_tox_3" hidden="1">
              <a:extLst>
                <a:ext uri="{63B3BB69-23CF-44E3-9099-C40C66FF867C}">
                  <a14:compatExt spid="_x0000_s56326"/>
                </a:ext>
                <a:ext uri="{FF2B5EF4-FFF2-40B4-BE49-F238E27FC236}">
                  <a16:creationId xmlns:a16="http://schemas.microsoft.com/office/drawing/2014/main" id="{00000000-0008-0000-0600-00000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xdr:row>
          <xdr:rowOff>9525</xdr:rowOff>
        </xdr:from>
        <xdr:to>
          <xdr:col>22</xdr:col>
          <xdr:colOff>295275</xdr:colOff>
          <xdr:row>25</xdr:row>
          <xdr:rowOff>314325</xdr:rowOff>
        </xdr:to>
        <xdr:sp macro="" textlink="">
          <xdr:nvSpPr>
            <xdr:cNvPr id="56327" name="evid_tox_4" hidden="1">
              <a:extLst>
                <a:ext uri="{63B3BB69-23CF-44E3-9099-C40C66FF867C}">
                  <a14:compatExt spid="_x0000_s56327"/>
                </a:ext>
                <a:ext uri="{FF2B5EF4-FFF2-40B4-BE49-F238E27FC236}">
                  <a16:creationId xmlns:a16="http://schemas.microsoft.com/office/drawing/2014/main" id="{00000000-0008-0000-0600-00000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xdr:row>
          <xdr:rowOff>9525</xdr:rowOff>
        </xdr:from>
        <xdr:to>
          <xdr:col>22</xdr:col>
          <xdr:colOff>295275</xdr:colOff>
          <xdr:row>26</xdr:row>
          <xdr:rowOff>314325</xdr:rowOff>
        </xdr:to>
        <xdr:sp macro="" textlink="">
          <xdr:nvSpPr>
            <xdr:cNvPr id="56328" name="evid_tox_5" hidden="1">
              <a:extLst>
                <a:ext uri="{63B3BB69-23CF-44E3-9099-C40C66FF867C}">
                  <a14:compatExt spid="_x0000_s56328"/>
                </a:ext>
                <a:ext uri="{FF2B5EF4-FFF2-40B4-BE49-F238E27FC236}">
                  <a16:creationId xmlns:a16="http://schemas.microsoft.com/office/drawing/2014/main" id="{00000000-0008-0000-0600-00000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xdr:row>
          <xdr:rowOff>9525</xdr:rowOff>
        </xdr:from>
        <xdr:to>
          <xdr:col>22</xdr:col>
          <xdr:colOff>295275</xdr:colOff>
          <xdr:row>27</xdr:row>
          <xdr:rowOff>314325</xdr:rowOff>
        </xdr:to>
        <xdr:sp macro="" textlink="">
          <xdr:nvSpPr>
            <xdr:cNvPr id="56329" name="evid_tox_6" hidden="1">
              <a:extLst>
                <a:ext uri="{63B3BB69-23CF-44E3-9099-C40C66FF867C}">
                  <a14:compatExt spid="_x0000_s56329"/>
                </a:ext>
                <a:ext uri="{FF2B5EF4-FFF2-40B4-BE49-F238E27FC236}">
                  <a16:creationId xmlns:a16="http://schemas.microsoft.com/office/drawing/2014/main" id="{00000000-0008-0000-0600-00000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xdr:row>
          <xdr:rowOff>9525</xdr:rowOff>
        </xdr:from>
        <xdr:to>
          <xdr:col>22</xdr:col>
          <xdr:colOff>295275</xdr:colOff>
          <xdr:row>28</xdr:row>
          <xdr:rowOff>314325</xdr:rowOff>
        </xdr:to>
        <xdr:sp macro="" textlink="">
          <xdr:nvSpPr>
            <xdr:cNvPr id="56330" name="evid_tox_7" hidden="1">
              <a:extLst>
                <a:ext uri="{63B3BB69-23CF-44E3-9099-C40C66FF867C}">
                  <a14:compatExt spid="_x0000_s56330"/>
                </a:ext>
                <a:ext uri="{FF2B5EF4-FFF2-40B4-BE49-F238E27FC236}">
                  <a16:creationId xmlns:a16="http://schemas.microsoft.com/office/drawing/2014/main" id="{00000000-0008-0000-0600-00000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xdr:row>
          <xdr:rowOff>9525</xdr:rowOff>
        </xdr:from>
        <xdr:to>
          <xdr:col>22</xdr:col>
          <xdr:colOff>295275</xdr:colOff>
          <xdr:row>29</xdr:row>
          <xdr:rowOff>314325</xdr:rowOff>
        </xdr:to>
        <xdr:sp macro="" textlink="">
          <xdr:nvSpPr>
            <xdr:cNvPr id="56331" name="evid_tox_8" hidden="1">
              <a:extLst>
                <a:ext uri="{63B3BB69-23CF-44E3-9099-C40C66FF867C}">
                  <a14:compatExt spid="_x0000_s56331"/>
                </a:ext>
                <a:ext uri="{FF2B5EF4-FFF2-40B4-BE49-F238E27FC236}">
                  <a16:creationId xmlns:a16="http://schemas.microsoft.com/office/drawing/2014/main" id="{00000000-0008-0000-0600-00000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30</xdr:row>
          <xdr:rowOff>19050</xdr:rowOff>
        </xdr:from>
        <xdr:to>
          <xdr:col>22</xdr:col>
          <xdr:colOff>295275</xdr:colOff>
          <xdr:row>31</xdr:row>
          <xdr:rowOff>0</xdr:rowOff>
        </xdr:to>
        <xdr:sp macro="" textlink="">
          <xdr:nvSpPr>
            <xdr:cNvPr id="56332" name="evid_tox_9" hidden="1">
              <a:extLst>
                <a:ext uri="{63B3BB69-23CF-44E3-9099-C40C66FF867C}">
                  <a14:compatExt spid="_x0000_s56332"/>
                </a:ext>
                <a:ext uri="{FF2B5EF4-FFF2-40B4-BE49-F238E27FC236}">
                  <a16:creationId xmlns:a16="http://schemas.microsoft.com/office/drawing/2014/main" id="{00000000-0008-0000-0600-00000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31</xdr:row>
          <xdr:rowOff>19050</xdr:rowOff>
        </xdr:from>
        <xdr:to>
          <xdr:col>22</xdr:col>
          <xdr:colOff>295275</xdr:colOff>
          <xdr:row>32</xdr:row>
          <xdr:rowOff>0</xdr:rowOff>
        </xdr:to>
        <xdr:sp macro="" textlink="">
          <xdr:nvSpPr>
            <xdr:cNvPr id="56333" name="evid_tox_10" hidden="1">
              <a:extLst>
                <a:ext uri="{63B3BB69-23CF-44E3-9099-C40C66FF867C}">
                  <a14:compatExt spid="_x0000_s56333"/>
                </a:ext>
                <a:ext uri="{FF2B5EF4-FFF2-40B4-BE49-F238E27FC236}">
                  <a16:creationId xmlns:a16="http://schemas.microsoft.com/office/drawing/2014/main" id="{00000000-0008-0000-0600-00000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32</xdr:row>
          <xdr:rowOff>19050</xdr:rowOff>
        </xdr:from>
        <xdr:to>
          <xdr:col>22</xdr:col>
          <xdr:colOff>295275</xdr:colOff>
          <xdr:row>33</xdr:row>
          <xdr:rowOff>0</xdr:rowOff>
        </xdr:to>
        <xdr:sp macro="" textlink="">
          <xdr:nvSpPr>
            <xdr:cNvPr id="56334" name="evid_tox_11" hidden="1">
              <a:extLst>
                <a:ext uri="{63B3BB69-23CF-44E3-9099-C40C66FF867C}">
                  <a14:compatExt spid="_x0000_s56334"/>
                </a:ext>
                <a:ext uri="{FF2B5EF4-FFF2-40B4-BE49-F238E27FC236}">
                  <a16:creationId xmlns:a16="http://schemas.microsoft.com/office/drawing/2014/main" id="{00000000-0008-0000-0600-00000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33</xdr:row>
          <xdr:rowOff>19050</xdr:rowOff>
        </xdr:from>
        <xdr:to>
          <xdr:col>22</xdr:col>
          <xdr:colOff>295275</xdr:colOff>
          <xdr:row>34</xdr:row>
          <xdr:rowOff>0</xdr:rowOff>
        </xdr:to>
        <xdr:sp macro="" textlink="">
          <xdr:nvSpPr>
            <xdr:cNvPr id="56335" name="evid_tox_12" hidden="1">
              <a:extLst>
                <a:ext uri="{63B3BB69-23CF-44E3-9099-C40C66FF867C}">
                  <a14:compatExt spid="_x0000_s56335"/>
                </a:ext>
                <a:ext uri="{FF2B5EF4-FFF2-40B4-BE49-F238E27FC236}">
                  <a16:creationId xmlns:a16="http://schemas.microsoft.com/office/drawing/2014/main" id="{00000000-0008-0000-0600-00000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34</xdr:row>
          <xdr:rowOff>19050</xdr:rowOff>
        </xdr:from>
        <xdr:to>
          <xdr:col>22</xdr:col>
          <xdr:colOff>295275</xdr:colOff>
          <xdr:row>35</xdr:row>
          <xdr:rowOff>0</xdr:rowOff>
        </xdr:to>
        <xdr:sp macro="" textlink="">
          <xdr:nvSpPr>
            <xdr:cNvPr id="56336" name="evid_tox_13" hidden="1">
              <a:extLst>
                <a:ext uri="{63B3BB69-23CF-44E3-9099-C40C66FF867C}">
                  <a14:compatExt spid="_x0000_s56336"/>
                </a:ext>
                <a:ext uri="{FF2B5EF4-FFF2-40B4-BE49-F238E27FC236}">
                  <a16:creationId xmlns:a16="http://schemas.microsoft.com/office/drawing/2014/main" id="{00000000-0008-0000-0600-00001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35</xdr:row>
          <xdr:rowOff>19050</xdr:rowOff>
        </xdr:from>
        <xdr:to>
          <xdr:col>22</xdr:col>
          <xdr:colOff>295275</xdr:colOff>
          <xdr:row>36</xdr:row>
          <xdr:rowOff>0</xdr:rowOff>
        </xdr:to>
        <xdr:sp macro="" textlink="">
          <xdr:nvSpPr>
            <xdr:cNvPr id="56337" name="evid_tox_14" hidden="1">
              <a:extLst>
                <a:ext uri="{63B3BB69-23CF-44E3-9099-C40C66FF867C}">
                  <a14:compatExt spid="_x0000_s56337"/>
                </a:ext>
                <a:ext uri="{FF2B5EF4-FFF2-40B4-BE49-F238E27FC236}">
                  <a16:creationId xmlns:a16="http://schemas.microsoft.com/office/drawing/2014/main" id="{00000000-0008-0000-0600-00001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36</xdr:row>
          <xdr:rowOff>19050</xdr:rowOff>
        </xdr:from>
        <xdr:to>
          <xdr:col>22</xdr:col>
          <xdr:colOff>295275</xdr:colOff>
          <xdr:row>37</xdr:row>
          <xdr:rowOff>0</xdr:rowOff>
        </xdr:to>
        <xdr:sp macro="" textlink="">
          <xdr:nvSpPr>
            <xdr:cNvPr id="56338" name="evid_tox_15" hidden="1">
              <a:extLst>
                <a:ext uri="{63B3BB69-23CF-44E3-9099-C40C66FF867C}">
                  <a14:compatExt spid="_x0000_s56338"/>
                </a:ext>
                <a:ext uri="{FF2B5EF4-FFF2-40B4-BE49-F238E27FC236}">
                  <a16:creationId xmlns:a16="http://schemas.microsoft.com/office/drawing/2014/main" id="{00000000-0008-0000-0600-00001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23</xdr:row>
          <xdr:rowOff>9525</xdr:rowOff>
        </xdr:from>
        <xdr:to>
          <xdr:col>22</xdr:col>
          <xdr:colOff>304800</xdr:colOff>
          <xdr:row>23</xdr:row>
          <xdr:rowOff>314325</xdr:rowOff>
        </xdr:to>
        <xdr:sp macro="" textlink="">
          <xdr:nvSpPr>
            <xdr:cNvPr id="56340" name="evid_tox_1" hidden="1">
              <a:extLst>
                <a:ext uri="{63B3BB69-23CF-44E3-9099-C40C66FF867C}">
                  <a14:compatExt spid="_x0000_s56340"/>
                </a:ext>
                <a:ext uri="{FF2B5EF4-FFF2-40B4-BE49-F238E27FC236}">
                  <a16:creationId xmlns:a16="http://schemas.microsoft.com/office/drawing/2014/main" id="{00000000-0008-0000-0600-00001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34</xdr:col>
      <xdr:colOff>219075</xdr:colOff>
      <xdr:row>1</xdr:row>
      <xdr:rowOff>0</xdr:rowOff>
    </xdr:from>
    <xdr:to>
      <xdr:col>39</xdr:col>
      <xdr:colOff>140025</xdr:colOff>
      <xdr:row>6</xdr:row>
      <xdr:rowOff>114301</xdr:rowOff>
    </xdr:to>
    <xdr:pic>
      <xdr:nvPicPr>
        <xdr:cNvPr id="16" name="Logo" descr="Resultado de imagem para logo anvisa">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6925" y="19050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19050</xdr:colOff>
          <xdr:row>54</xdr:row>
          <xdr:rowOff>9525</xdr:rowOff>
        </xdr:from>
        <xdr:to>
          <xdr:col>15</xdr:col>
          <xdr:colOff>266700</xdr:colOff>
          <xdr:row>54</xdr:row>
          <xdr:rowOff>238125</xdr:rowOff>
        </xdr:to>
        <xdr:sp macro="" textlink="">
          <xdr:nvSpPr>
            <xdr:cNvPr id="23577" name="check_dloral1_maiorque" hidden="1">
              <a:extLst>
                <a:ext uri="{63B3BB69-23CF-44E3-9099-C40C66FF867C}">
                  <a14:compatExt spid="_x0000_s23577"/>
                </a:ext>
                <a:ext uri="{FF2B5EF4-FFF2-40B4-BE49-F238E27FC236}">
                  <a16:creationId xmlns:a16="http://schemas.microsoft.com/office/drawing/2014/main" id="{00000000-0008-0000-07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46</xdr:row>
          <xdr:rowOff>171450</xdr:rowOff>
        </xdr:from>
        <xdr:to>
          <xdr:col>17</xdr:col>
          <xdr:colOff>266700</xdr:colOff>
          <xdr:row>48</xdr:row>
          <xdr:rowOff>66675</xdr:rowOff>
        </xdr:to>
        <xdr:sp macro="" textlink="">
          <xdr:nvSpPr>
            <xdr:cNvPr id="23578" name="optn_dloral1_desvios1" hidden="1">
              <a:extLst>
                <a:ext uri="{63B3BB69-23CF-44E3-9099-C40C66FF867C}">
                  <a14:compatExt spid="_x0000_s23578"/>
                </a:ext>
                <a:ext uri="{FF2B5EF4-FFF2-40B4-BE49-F238E27FC236}">
                  <a16:creationId xmlns:a16="http://schemas.microsoft.com/office/drawing/2014/main" id="{00000000-0008-0000-07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48</xdr:row>
          <xdr:rowOff>171450</xdr:rowOff>
        </xdr:from>
        <xdr:to>
          <xdr:col>17</xdr:col>
          <xdr:colOff>266700</xdr:colOff>
          <xdr:row>50</xdr:row>
          <xdr:rowOff>66675</xdr:rowOff>
        </xdr:to>
        <xdr:sp macro="" textlink="">
          <xdr:nvSpPr>
            <xdr:cNvPr id="23579" name="optn_dloral1_desvios2" hidden="1">
              <a:extLst>
                <a:ext uri="{63B3BB69-23CF-44E3-9099-C40C66FF867C}">
                  <a14:compatExt spid="_x0000_s23579"/>
                </a:ext>
                <a:ext uri="{FF2B5EF4-FFF2-40B4-BE49-F238E27FC236}">
                  <a16:creationId xmlns:a16="http://schemas.microsoft.com/office/drawing/2014/main" id="{00000000-0008-0000-07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xdr:row>
          <xdr:rowOff>9525</xdr:rowOff>
        </xdr:from>
        <xdr:to>
          <xdr:col>24</xdr:col>
          <xdr:colOff>295275</xdr:colOff>
          <xdr:row>21</xdr:row>
          <xdr:rowOff>314325</xdr:rowOff>
        </xdr:to>
        <xdr:sp macro="" textlink="">
          <xdr:nvSpPr>
            <xdr:cNvPr id="23580" name="evid_tox_1" hidden="1">
              <a:extLst>
                <a:ext uri="{63B3BB69-23CF-44E3-9099-C40C66FF867C}">
                  <a14:compatExt spid="_x0000_s23580"/>
                </a:ext>
                <a:ext uri="{FF2B5EF4-FFF2-40B4-BE49-F238E27FC236}">
                  <a16:creationId xmlns:a16="http://schemas.microsoft.com/office/drawing/2014/main" id="{00000000-0008-0000-07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xdr:row>
          <xdr:rowOff>9525</xdr:rowOff>
        </xdr:from>
        <xdr:to>
          <xdr:col>24</xdr:col>
          <xdr:colOff>295275</xdr:colOff>
          <xdr:row>23</xdr:row>
          <xdr:rowOff>314325</xdr:rowOff>
        </xdr:to>
        <xdr:sp macro="" textlink="">
          <xdr:nvSpPr>
            <xdr:cNvPr id="23581" name="evid_tox_3" hidden="1">
              <a:extLst>
                <a:ext uri="{63B3BB69-23CF-44E3-9099-C40C66FF867C}">
                  <a14:compatExt spid="_x0000_s23581"/>
                </a:ext>
                <a:ext uri="{FF2B5EF4-FFF2-40B4-BE49-F238E27FC236}">
                  <a16:creationId xmlns:a16="http://schemas.microsoft.com/office/drawing/2014/main" id="{00000000-0008-0000-07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xdr:row>
          <xdr:rowOff>9525</xdr:rowOff>
        </xdr:from>
        <xdr:to>
          <xdr:col>24</xdr:col>
          <xdr:colOff>295275</xdr:colOff>
          <xdr:row>24</xdr:row>
          <xdr:rowOff>314325</xdr:rowOff>
        </xdr:to>
        <xdr:sp macro="" textlink="">
          <xdr:nvSpPr>
            <xdr:cNvPr id="23582" name="evid_tox_4" hidden="1">
              <a:extLst>
                <a:ext uri="{63B3BB69-23CF-44E3-9099-C40C66FF867C}">
                  <a14:compatExt spid="_x0000_s23582"/>
                </a:ext>
                <a:ext uri="{FF2B5EF4-FFF2-40B4-BE49-F238E27FC236}">
                  <a16:creationId xmlns:a16="http://schemas.microsoft.com/office/drawing/2014/main" id="{00000000-0008-0000-07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25</xdr:row>
          <xdr:rowOff>9525</xdr:rowOff>
        </xdr:from>
        <xdr:to>
          <xdr:col>24</xdr:col>
          <xdr:colOff>295275</xdr:colOff>
          <xdr:row>25</xdr:row>
          <xdr:rowOff>314325</xdr:rowOff>
        </xdr:to>
        <xdr:sp macro="" textlink="">
          <xdr:nvSpPr>
            <xdr:cNvPr id="23583" name="evid_tox_5" hidden="1">
              <a:extLst>
                <a:ext uri="{63B3BB69-23CF-44E3-9099-C40C66FF867C}">
                  <a14:compatExt spid="_x0000_s23583"/>
                </a:ext>
                <a:ext uri="{FF2B5EF4-FFF2-40B4-BE49-F238E27FC236}">
                  <a16:creationId xmlns:a16="http://schemas.microsoft.com/office/drawing/2014/main" id="{00000000-0008-0000-07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xdr:row>
          <xdr:rowOff>9525</xdr:rowOff>
        </xdr:from>
        <xdr:to>
          <xdr:col>24</xdr:col>
          <xdr:colOff>295275</xdr:colOff>
          <xdr:row>26</xdr:row>
          <xdr:rowOff>314325</xdr:rowOff>
        </xdr:to>
        <xdr:sp macro="" textlink="">
          <xdr:nvSpPr>
            <xdr:cNvPr id="23584" name="evid_tox_6" hidden="1">
              <a:extLst>
                <a:ext uri="{63B3BB69-23CF-44E3-9099-C40C66FF867C}">
                  <a14:compatExt spid="_x0000_s23584"/>
                </a:ext>
                <a:ext uri="{FF2B5EF4-FFF2-40B4-BE49-F238E27FC236}">
                  <a16:creationId xmlns:a16="http://schemas.microsoft.com/office/drawing/2014/main" id="{00000000-0008-0000-07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xdr:row>
          <xdr:rowOff>9525</xdr:rowOff>
        </xdr:from>
        <xdr:to>
          <xdr:col>24</xdr:col>
          <xdr:colOff>295275</xdr:colOff>
          <xdr:row>27</xdr:row>
          <xdr:rowOff>314325</xdr:rowOff>
        </xdr:to>
        <xdr:sp macro="" textlink="">
          <xdr:nvSpPr>
            <xdr:cNvPr id="23585" name="evid_tox_7" hidden="1">
              <a:extLst>
                <a:ext uri="{63B3BB69-23CF-44E3-9099-C40C66FF867C}">
                  <a14:compatExt spid="_x0000_s23585"/>
                </a:ext>
                <a:ext uri="{FF2B5EF4-FFF2-40B4-BE49-F238E27FC236}">
                  <a16:creationId xmlns:a16="http://schemas.microsoft.com/office/drawing/2014/main" id="{00000000-0008-0000-07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28</xdr:row>
          <xdr:rowOff>9525</xdr:rowOff>
        </xdr:from>
        <xdr:to>
          <xdr:col>24</xdr:col>
          <xdr:colOff>295275</xdr:colOff>
          <xdr:row>28</xdr:row>
          <xdr:rowOff>314325</xdr:rowOff>
        </xdr:to>
        <xdr:sp macro="" textlink="">
          <xdr:nvSpPr>
            <xdr:cNvPr id="23586" name="evid_tox_8" hidden="1">
              <a:extLst>
                <a:ext uri="{63B3BB69-23CF-44E3-9099-C40C66FF867C}">
                  <a14:compatExt spid="_x0000_s23586"/>
                </a:ext>
                <a:ext uri="{FF2B5EF4-FFF2-40B4-BE49-F238E27FC236}">
                  <a16:creationId xmlns:a16="http://schemas.microsoft.com/office/drawing/2014/main" id="{00000000-0008-0000-07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xdr:row>
          <xdr:rowOff>19050</xdr:rowOff>
        </xdr:from>
        <xdr:to>
          <xdr:col>24</xdr:col>
          <xdr:colOff>295275</xdr:colOff>
          <xdr:row>30</xdr:row>
          <xdr:rowOff>0</xdr:rowOff>
        </xdr:to>
        <xdr:sp macro="" textlink="">
          <xdr:nvSpPr>
            <xdr:cNvPr id="23587" name="evid_tox_9" hidden="1">
              <a:extLst>
                <a:ext uri="{63B3BB69-23CF-44E3-9099-C40C66FF867C}">
                  <a14:compatExt spid="_x0000_s23587"/>
                </a:ext>
                <a:ext uri="{FF2B5EF4-FFF2-40B4-BE49-F238E27FC236}">
                  <a16:creationId xmlns:a16="http://schemas.microsoft.com/office/drawing/2014/main" id="{00000000-0008-0000-07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xdr:row>
          <xdr:rowOff>19050</xdr:rowOff>
        </xdr:from>
        <xdr:to>
          <xdr:col>24</xdr:col>
          <xdr:colOff>295275</xdr:colOff>
          <xdr:row>31</xdr:row>
          <xdr:rowOff>0</xdr:rowOff>
        </xdr:to>
        <xdr:sp macro="" textlink="">
          <xdr:nvSpPr>
            <xdr:cNvPr id="23588" name="evid_tox_10" hidden="1">
              <a:extLst>
                <a:ext uri="{63B3BB69-23CF-44E3-9099-C40C66FF867C}">
                  <a14:compatExt spid="_x0000_s23588"/>
                </a:ext>
                <a:ext uri="{FF2B5EF4-FFF2-40B4-BE49-F238E27FC236}">
                  <a16:creationId xmlns:a16="http://schemas.microsoft.com/office/drawing/2014/main" id="{00000000-0008-0000-07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xdr:row>
          <xdr:rowOff>19050</xdr:rowOff>
        </xdr:from>
        <xdr:to>
          <xdr:col>24</xdr:col>
          <xdr:colOff>295275</xdr:colOff>
          <xdr:row>32</xdr:row>
          <xdr:rowOff>0</xdr:rowOff>
        </xdr:to>
        <xdr:sp macro="" textlink="">
          <xdr:nvSpPr>
            <xdr:cNvPr id="23589" name="evid_tox_11" hidden="1">
              <a:extLst>
                <a:ext uri="{63B3BB69-23CF-44E3-9099-C40C66FF867C}">
                  <a14:compatExt spid="_x0000_s23589"/>
                </a:ext>
                <a:ext uri="{FF2B5EF4-FFF2-40B4-BE49-F238E27FC236}">
                  <a16:creationId xmlns:a16="http://schemas.microsoft.com/office/drawing/2014/main" id="{00000000-0008-0000-07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32</xdr:row>
          <xdr:rowOff>19050</xdr:rowOff>
        </xdr:from>
        <xdr:to>
          <xdr:col>24</xdr:col>
          <xdr:colOff>295275</xdr:colOff>
          <xdr:row>33</xdr:row>
          <xdr:rowOff>0</xdr:rowOff>
        </xdr:to>
        <xdr:sp macro="" textlink="">
          <xdr:nvSpPr>
            <xdr:cNvPr id="23590" name="evid_tox_12" hidden="1">
              <a:extLst>
                <a:ext uri="{63B3BB69-23CF-44E3-9099-C40C66FF867C}">
                  <a14:compatExt spid="_x0000_s23590"/>
                </a:ext>
                <a:ext uri="{FF2B5EF4-FFF2-40B4-BE49-F238E27FC236}">
                  <a16:creationId xmlns:a16="http://schemas.microsoft.com/office/drawing/2014/main" id="{00000000-0008-0000-07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33</xdr:row>
          <xdr:rowOff>19050</xdr:rowOff>
        </xdr:from>
        <xdr:to>
          <xdr:col>24</xdr:col>
          <xdr:colOff>295275</xdr:colOff>
          <xdr:row>34</xdr:row>
          <xdr:rowOff>0</xdr:rowOff>
        </xdr:to>
        <xdr:sp macro="" textlink="">
          <xdr:nvSpPr>
            <xdr:cNvPr id="23591" name="evid_tox_13" hidden="1">
              <a:extLst>
                <a:ext uri="{63B3BB69-23CF-44E3-9099-C40C66FF867C}">
                  <a14:compatExt spid="_x0000_s23591"/>
                </a:ext>
                <a:ext uri="{FF2B5EF4-FFF2-40B4-BE49-F238E27FC236}">
                  <a16:creationId xmlns:a16="http://schemas.microsoft.com/office/drawing/2014/main" id="{00000000-0008-0000-07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34</xdr:row>
          <xdr:rowOff>19050</xdr:rowOff>
        </xdr:from>
        <xdr:to>
          <xdr:col>24</xdr:col>
          <xdr:colOff>295275</xdr:colOff>
          <xdr:row>35</xdr:row>
          <xdr:rowOff>0</xdr:rowOff>
        </xdr:to>
        <xdr:sp macro="" textlink="">
          <xdr:nvSpPr>
            <xdr:cNvPr id="23592" name="evid_tox_14" hidden="1">
              <a:extLst>
                <a:ext uri="{63B3BB69-23CF-44E3-9099-C40C66FF867C}">
                  <a14:compatExt spid="_x0000_s23592"/>
                </a:ext>
                <a:ext uri="{FF2B5EF4-FFF2-40B4-BE49-F238E27FC236}">
                  <a16:creationId xmlns:a16="http://schemas.microsoft.com/office/drawing/2014/main" id="{00000000-0008-0000-07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35</xdr:row>
          <xdr:rowOff>19050</xdr:rowOff>
        </xdr:from>
        <xdr:to>
          <xdr:col>24</xdr:col>
          <xdr:colOff>295275</xdr:colOff>
          <xdr:row>36</xdr:row>
          <xdr:rowOff>0</xdr:rowOff>
        </xdr:to>
        <xdr:sp macro="" textlink="">
          <xdr:nvSpPr>
            <xdr:cNvPr id="23593" name="evid_tox_15" hidden="1">
              <a:extLst>
                <a:ext uri="{63B3BB69-23CF-44E3-9099-C40C66FF867C}">
                  <a14:compatExt spid="_x0000_s23593"/>
                </a:ext>
                <a:ext uri="{FF2B5EF4-FFF2-40B4-BE49-F238E27FC236}">
                  <a16:creationId xmlns:a16="http://schemas.microsoft.com/office/drawing/2014/main" id="{00000000-0008-0000-07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22</xdr:row>
          <xdr:rowOff>9525</xdr:rowOff>
        </xdr:from>
        <xdr:to>
          <xdr:col>24</xdr:col>
          <xdr:colOff>304800</xdr:colOff>
          <xdr:row>22</xdr:row>
          <xdr:rowOff>314325</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07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34</xdr:col>
      <xdr:colOff>219075</xdr:colOff>
      <xdr:row>1</xdr:row>
      <xdr:rowOff>0</xdr:rowOff>
    </xdr:from>
    <xdr:to>
      <xdr:col>39</xdr:col>
      <xdr:colOff>140025</xdr:colOff>
      <xdr:row>6</xdr:row>
      <xdr:rowOff>114301</xdr:rowOff>
    </xdr:to>
    <xdr:pic>
      <xdr:nvPicPr>
        <xdr:cNvPr id="2" name="Logo" descr="Resultado de imagem para logo anvis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53600" y="190500"/>
          <a:ext cx="1492575"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19050</xdr:colOff>
          <xdr:row>54</xdr:row>
          <xdr:rowOff>9525</xdr:rowOff>
        </xdr:from>
        <xdr:to>
          <xdr:col>15</xdr:col>
          <xdr:colOff>266700</xdr:colOff>
          <xdr:row>54</xdr:row>
          <xdr:rowOff>238125</xdr:rowOff>
        </xdr:to>
        <xdr:sp macro="" textlink="">
          <xdr:nvSpPr>
            <xdr:cNvPr id="57345" name="check_dloral1_maiorque"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46</xdr:row>
          <xdr:rowOff>171450</xdr:rowOff>
        </xdr:from>
        <xdr:to>
          <xdr:col>17</xdr:col>
          <xdr:colOff>266700</xdr:colOff>
          <xdr:row>48</xdr:row>
          <xdr:rowOff>66675</xdr:rowOff>
        </xdr:to>
        <xdr:sp macro="" textlink="">
          <xdr:nvSpPr>
            <xdr:cNvPr id="57346" name="optn_dloral1_desvios1"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48</xdr:row>
          <xdr:rowOff>180975</xdr:rowOff>
        </xdr:from>
        <xdr:to>
          <xdr:col>17</xdr:col>
          <xdr:colOff>266700</xdr:colOff>
          <xdr:row>50</xdr:row>
          <xdr:rowOff>76200</xdr:rowOff>
        </xdr:to>
        <xdr:sp macro="" textlink="">
          <xdr:nvSpPr>
            <xdr:cNvPr id="57347" name="optn_dloral1_desvios2"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xdr:row>
          <xdr:rowOff>9525</xdr:rowOff>
        </xdr:from>
        <xdr:to>
          <xdr:col>24</xdr:col>
          <xdr:colOff>295275</xdr:colOff>
          <xdr:row>21</xdr:row>
          <xdr:rowOff>314325</xdr:rowOff>
        </xdr:to>
        <xdr:sp macro="" textlink="">
          <xdr:nvSpPr>
            <xdr:cNvPr id="57348" name="evid_tox_1" hidden="1">
              <a:extLst>
                <a:ext uri="{63B3BB69-23CF-44E3-9099-C40C66FF867C}">
                  <a14:compatExt spid="_x0000_s57348"/>
                </a:ext>
                <a:ext uri="{FF2B5EF4-FFF2-40B4-BE49-F238E27FC236}">
                  <a16:creationId xmlns:a16="http://schemas.microsoft.com/office/drawing/2014/main" id="{00000000-0008-0000-08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xdr:row>
          <xdr:rowOff>9525</xdr:rowOff>
        </xdr:from>
        <xdr:to>
          <xdr:col>24</xdr:col>
          <xdr:colOff>295275</xdr:colOff>
          <xdr:row>23</xdr:row>
          <xdr:rowOff>314325</xdr:rowOff>
        </xdr:to>
        <xdr:sp macro="" textlink="">
          <xdr:nvSpPr>
            <xdr:cNvPr id="57349" name="evid_tox_3" hidden="1">
              <a:extLst>
                <a:ext uri="{63B3BB69-23CF-44E3-9099-C40C66FF867C}">
                  <a14:compatExt spid="_x0000_s57349"/>
                </a:ext>
                <a:ext uri="{FF2B5EF4-FFF2-40B4-BE49-F238E27FC236}">
                  <a16:creationId xmlns:a16="http://schemas.microsoft.com/office/drawing/2014/main" id="{00000000-0008-0000-08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xdr:row>
          <xdr:rowOff>9525</xdr:rowOff>
        </xdr:from>
        <xdr:to>
          <xdr:col>24</xdr:col>
          <xdr:colOff>295275</xdr:colOff>
          <xdr:row>24</xdr:row>
          <xdr:rowOff>314325</xdr:rowOff>
        </xdr:to>
        <xdr:sp macro="" textlink="">
          <xdr:nvSpPr>
            <xdr:cNvPr id="57350" name="evid_tox_4" hidden="1">
              <a:extLst>
                <a:ext uri="{63B3BB69-23CF-44E3-9099-C40C66FF867C}">
                  <a14:compatExt spid="_x0000_s57350"/>
                </a:ext>
                <a:ext uri="{FF2B5EF4-FFF2-40B4-BE49-F238E27FC236}">
                  <a16:creationId xmlns:a16="http://schemas.microsoft.com/office/drawing/2014/main" id="{00000000-0008-0000-08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25</xdr:row>
          <xdr:rowOff>9525</xdr:rowOff>
        </xdr:from>
        <xdr:to>
          <xdr:col>24</xdr:col>
          <xdr:colOff>295275</xdr:colOff>
          <xdr:row>25</xdr:row>
          <xdr:rowOff>314325</xdr:rowOff>
        </xdr:to>
        <xdr:sp macro="" textlink="">
          <xdr:nvSpPr>
            <xdr:cNvPr id="57351" name="evid_tox_5" hidden="1">
              <a:extLst>
                <a:ext uri="{63B3BB69-23CF-44E3-9099-C40C66FF867C}">
                  <a14:compatExt spid="_x0000_s57351"/>
                </a:ext>
                <a:ext uri="{FF2B5EF4-FFF2-40B4-BE49-F238E27FC236}">
                  <a16:creationId xmlns:a16="http://schemas.microsoft.com/office/drawing/2014/main" id="{00000000-0008-0000-08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xdr:row>
          <xdr:rowOff>9525</xdr:rowOff>
        </xdr:from>
        <xdr:to>
          <xdr:col>24</xdr:col>
          <xdr:colOff>295275</xdr:colOff>
          <xdr:row>26</xdr:row>
          <xdr:rowOff>314325</xdr:rowOff>
        </xdr:to>
        <xdr:sp macro="" textlink="">
          <xdr:nvSpPr>
            <xdr:cNvPr id="57352" name="evid_tox_6" hidden="1">
              <a:extLst>
                <a:ext uri="{63B3BB69-23CF-44E3-9099-C40C66FF867C}">
                  <a14:compatExt spid="_x0000_s57352"/>
                </a:ext>
                <a:ext uri="{FF2B5EF4-FFF2-40B4-BE49-F238E27FC236}">
                  <a16:creationId xmlns:a16="http://schemas.microsoft.com/office/drawing/2014/main" id="{00000000-0008-0000-08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xdr:row>
          <xdr:rowOff>9525</xdr:rowOff>
        </xdr:from>
        <xdr:to>
          <xdr:col>24</xdr:col>
          <xdr:colOff>295275</xdr:colOff>
          <xdr:row>27</xdr:row>
          <xdr:rowOff>314325</xdr:rowOff>
        </xdr:to>
        <xdr:sp macro="" textlink="">
          <xdr:nvSpPr>
            <xdr:cNvPr id="57353" name="evid_tox_7"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28</xdr:row>
          <xdr:rowOff>9525</xdr:rowOff>
        </xdr:from>
        <xdr:to>
          <xdr:col>24</xdr:col>
          <xdr:colOff>295275</xdr:colOff>
          <xdr:row>28</xdr:row>
          <xdr:rowOff>314325</xdr:rowOff>
        </xdr:to>
        <xdr:sp macro="" textlink="">
          <xdr:nvSpPr>
            <xdr:cNvPr id="57354" name="evid_tox_8" hidden="1">
              <a:extLst>
                <a:ext uri="{63B3BB69-23CF-44E3-9099-C40C66FF867C}">
                  <a14:compatExt spid="_x0000_s57354"/>
                </a:ext>
                <a:ext uri="{FF2B5EF4-FFF2-40B4-BE49-F238E27FC236}">
                  <a16:creationId xmlns:a16="http://schemas.microsoft.com/office/drawing/2014/main" id="{00000000-0008-0000-08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xdr:row>
          <xdr:rowOff>19050</xdr:rowOff>
        </xdr:from>
        <xdr:to>
          <xdr:col>24</xdr:col>
          <xdr:colOff>295275</xdr:colOff>
          <xdr:row>30</xdr:row>
          <xdr:rowOff>0</xdr:rowOff>
        </xdr:to>
        <xdr:sp macro="" textlink="">
          <xdr:nvSpPr>
            <xdr:cNvPr id="57355" name="evid_tox_9" hidden="1">
              <a:extLst>
                <a:ext uri="{63B3BB69-23CF-44E3-9099-C40C66FF867C}">
                  <a14:compatExt spid="_x0000_s57355"/>
                </a:ext>
                <a:ext uri="{FF2B5EF4-FFF2-40B4-BE49-F238E27FC236}">
                  <a16:creationId xmlns:a16="http://schemas.microsoft.com/office/drawing/2014/main" id="{00000000-0008-0000-08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xdr:row>
          <xdr:rowOff>19050</xdr:rowOff>
        </xdr:from>
        <xdr:to>
          <xdr:col>24</xdr:col>
          <xdr:colOff>295275</xdr:colOff>
          <xdr:row>31</xdr:row>
          <xdr:rowOff>0</xdr:rowOff>
        </xdr:to>
        <xdr:sp macro="" textlink="">
          <xdr:nvSpPr>
            <xdr:cNvPr id="57356" name="evid_tox_10" hidden="1">
              <a:extLst>
                <a:ext uri="{63B3BB69-23CF-44E3-9099-C40C66FF867C}">
                  <a14:compatExt spid="_x0000_s57356"/>
                </a:ext>
                <a:ext uri="{FF2B5EF4-FFF2-40B4-BE49-F238E27FC236}">
                  <a16:creationId xmlns:a16="http://schemas.microsoft.com/office/drawing/2014/main" id="{00000000-0008-0000-08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xdr:row>
          <xdr:rowOff>19050</xdr:rowOff>
        </xdr:from>
        <xdr:to>
          <xdr:col>24</xdr:col>
          <xdr:colOff>295275</xdr:colOff>
          <xdr:row>32</xdr:row>
          <xdr:rowOff>0</xdr:rowOff>
        </xdr:to>
        <xdr:sp macro="" textlink="">
          <xdr:nvSpPr>
            <xdr:cNvPr id="57357" name="evid_tox_11" hidden="1">
              <a:extLst>
                <a:ext uri="{63B3BB69-23CF-44E3-9099-C40C66FF867C}">
                  <a14:compatExt spid="_x0000_s57357"/>
                </a:ext>
                <a:ext uri="{FF2B5EF4-FFF2-40B4-BE49-F238E27FC236}">
                  <a16:creationId xmlns:a16="http://schemas.microsoft.com/office/drawing/2014/main" id="{00000000-0008-0000-08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32</xdr:row>
          <xdr:rowOff>19050</xdr:rowOff>
        </xdr:from>
        <xdr:to>
          <xdr:col>24</xdr:col>
          <xdr:colOff>295275</xdr:colOff>
          <xdr:row>33</xdr:row>
          <xdr:rowOff>0</xdr:rowOff>
        </xdr:to>
        <xdr:sp macro="" textlink="">
          <xdr:nvSpPr>
            <xdr:cNvPr id="57358" name="evid_tox_12"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33</xdr:row>
          <xdr:rowOff>19050</xdr:rowOff>
        </xdr:from>
        <xdr:to>
          <xdr:col>24</xdr:col>
          <xdr:colOff>295275</xdr:colOff>
          <xdr:row>34</xdr:row>
          <xdr:rowOff>0</xdr:rowOff>
        </xdr:to>
        <xdr:sp macro="" textlink="">
          <xdr:nvSpPr>
            <xdr:cNvPr id="57359" name="evid_tox_13"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34</xdr:row>
          <xdr:rowOff>19050</xdr:rowOff>
        </xdr:from>
        <xdr:to>
          <xdr:col>24</xdr:col>
          <xdr:colOff>295275</xdr:colOff>
          <xdr:row>35</xdr:row>
          <xdr:rowOff>0</xdr:rowOff>
        </xdr:to>
        <xdr:sp macro="" textlink="">
          <xdr:nvSpPr>
            <xdr:cNvPr id="57360" name="evid_tox_14" hidden="1">
              <a:extLst>
                <a:ext uri="{63B3BB69-23CF-44E3-9099-C40C66FF867C}">
                  <a14:compatExt spid="_x0000_s57360"/>
                </a:ext>
                <a:ext uri="{FF2B5EF4-FFF2-40B4-BE49-F238E27FC236}">
                  <a16:creationId xmlns:a16="http://schemas.microsoft.com/office/drawing/2014/main" id="{00000000-0008-0000-08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35</xdr:row>
          <xdr:rowOff>19050</xdr:rowOff>
        </xdr:from>
        <xdr:to>
          <xdr:col>24</xdr:col>
          <xdr:colOff>295275</xdr:colOff>
          <xdr:row>36</xdr:row>
          <xdr:rowOff>0</xdr:rowOff>
        </xdr:to>
        <xdr:sp macro="" textlink="">
          <xdr:nvSpPr>
            <xdr:cNvPr id="57361" name="evid_tox_15"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22</xdr:row>
          <xdr:rowOff>9525</xdr:rowOff>
        </xdr:from>
        <xdr:to>
          <xdr:col>24</xdr:col>
          <xdr:colOff>304800</xdr:colOff>
          <xdr:row>22</xdr:row>
          <xdr:rowOff>314325</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A0D93B1-D592-4F3A-9F1B-D88754D44540}" name="tb_codigos_GHS_ABNT" displayName="tb_codigos_GHS_ABNT" ref="HJ56:HO91" totalsRowShown="0" headerRowDxfId="895" dataDxfId="894">
  <autoFilter ref="HJ56:HO91" xr:uid="{6A0D93B1-D592-4F3A-9F1B-D88754D44540}"/>
  <tableColumns count="6">
    <tableColumn id="1" xr3:uid="{6F3AFF96-BFE7-4283-8633-EE4B975A0F46}" name="Código" dataDxfId="893"/>
    <tableColumn id="2" xr3:uid="{78ADB5A0-9A2B-4D59-B25F-96703C379256}" name="Frases de perigo" dataDxfId="892"/>
    <tableColumn id="3" xr3:uid="{6ED1E046-9BBC-4210-B764-3C4D6CDC3E75}" name="Classe de perigo" dataDxfId="891"/>
    <tableColumn id="4" xr3:uid="{F13B2B8B-093D-4C67-9F3A-C803743A0096}" name="Categoria" dataDxfId="890"/>
    <tableColumn id="5" xr3:uid="{5EE6E8A1-EFB2-4B59-AA4F-E6FA71FA323D}" name="Palavra de advertência" dataDxfId="889"/>
    <tableColumn id="6" xr3:uid="{36408C2C-EA8E-4464-AC90-152EAC345720}" name="Código: Frase" dataDxfId="888">
      <calculatedColumnFormula>tb_codigos_GHS_ABNT[[#This Row],[Código]]&amp;": "&amp;tb_codigos_GHS_ABNT[[#This Row],[Frases de perigo]]</calculatedColumnFormula>
    </tableColumn>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4BD16F2-CB0F-496E-B9DA-B1B23A8D6293}" name="tb_formulador" displayName="tb_formulador" ref="U1:U5" totalsRowShown="0" headerRowDxfId="851" dataDxfId="850">
  <autoFilter ref="U1:U5" xr:uid="{24BD16F2-CB0F-496E-B9DA-B1B23A8D6293}"/>
  <sortState xmlns:xlrd2="http://schemas.microsoft.com/office/spreadsheetml/2017/richdata2" ref="U2:U4">
    <sortCondition ref="U1:U4"/>
  </sortState>
  <tableColumns count="1">
    <tableColumn id="1" xr3:uid="{B54D4BF5-0819-4D08-AFE7-9D7D19587239}" name="Formulador_manipulador" dataDxfId="849"/>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E098AAA-B174-442A-BE17-32438E26EDD9}" name="tb_nao_se_aplica" displayName="tb_nao_se_aplica" ref="U7:U8" totalsRowShown="0" headerRowDxfId="848" dataDxfId="847">
  <autoFilter ref="U7:U8" xr:uid="{3E098AAA-B174-442A-BE17-32438E26EDD9}"/>
  <tableColumns count="1">
    <tableColumn id="1" xr3:uid="{D1A9DFA4-08D4-41AF-8612-833E083C4122}" name="não_se_aplica" dataDxfId="846"/>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6AC1DF4-6EF3-4BB1-8548-2732777F930E}" name="tb_updown_protocolos" displayName="tb_updown_protocolos" ref="AA1:AA4" totalsRowShown="0" headerRowDxfId="845" dataDxfId="844">
  <autoFilter ref="AA1:AA4" xr:uid="{46AC1DF4-6EF3-4BB1-8548-2732777F930E}"/>
  <tableColumns count="1">
    <tableColumn id="1" xr3:uid="{58E8162B-CF7E-4FDC-84DC-0B4C8CD93AAE}" name="Protocolos Up&amp;Down" dataDxfId="843"/>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AC1C2AA-03BA-4FF0-8BD1-BFB7723D6A72}" name="tb_sexo_individuo" displayName="tb_sexo_individuo" ref="W7:W9" totalsRowShown="0" headerRowDxfId="842" dataDxfId="841">
  <autoFilter ref="W7:W9" xr:uid="{BAC1C2AA-03BA-4FF0-8BD1-BFB7723D6A72}"/>
  <tableColumns count="1">
    <tableColumn id="1" xr3:uid="{2FCA4A3E-86D8-436D-B04A-31BFA3ABF503}" name="Sexo_individuo" dataDxfId="8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C2916B7-36E4-494A-9298-E6CE97129434}" name="tb_updown_criterios" displayName="tb_updown_criterios" ref="AA6:AA10" totalsRowShown="0" headerRowDxfId="839" dataDxfId="838">
  <autoFilter ref="AA6:AA10" xr:uid="{9C2916B7-36E4-494A-9298-E6CE97129434}"/>
  <tableColumns count="1">
    <tableColumn id="1" xr3:uid="{C6CA26CF-2964-4665-9D49-D417B23EB891}" name="Critérios de parada Up&amp;Down" dataDxfId="837"/>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D742062-1DA2-480A-B522-1EC91A51A069}" name="tb_dl50oral_protocolos" displayName="tb_dl50oral_protocolos" ref="AC1:AC7" totalsRowShown="0" headerRowDxfId="836" dataDxfId="835">
  <autoFilter ref="AC1:AC7" xr:uid="{3D742062-1DA2-480A-B522-1EC91A51A069}"/>
  <tableColumns count="1">
    <tableColumn id="1" xr3:uid="{A9DE907D-3F6B-4777-BAD0-44EC62D67E8F}" name="Protocolos DL50 Oral" dataDxfId="834"/>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BCE7B7A-1DF6-43E4-BB50-BDC77BC2DD98}" name="tb_dl50cut_protocolos" displayName="tb_dl50cut_protocolos" ref="AE1:AE4" totalsRowShown="0" headerRowDxfId="833" dataDxfId="832">
  <autoFilter ref="AE1:AE4" xr:uid="{6BCE7B7A-1DF6-43E4-BB50-BDC77BC2DD98}"/>
  <tableColumns count="1">
    <tableColumn id="1" xr3:uid="{15C6161D-C91C-46EA-ABA1-51F5D753DE5D}" name="Protocolos DL50 Cutânea" dataDxfId="83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8C8E86A-7FDF-4600-A130-5802C9970A52}" name="tb_cl50_protocolos" displayName="tb_cl50_protocolos" ref="AG1:AG7" totalsRowShown="0" headerRowDxfId="830" dataDxfId="829">
  <autoFilter ref="AG1:AG7" xr:uid="{C8C8E86A-7FDF-4600-A130-5802C9970A52}"/>
  <tableColumns count="1">
    <tableColumn id="1" xr3:uid="{2E54735B-D6DF-4C60-A81F-0954EF874607}" name="Protocolos CL50" dataDxfId="828"/>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81655F0-5CD3-4958-8819-57DC07B5D653}" name="tb_irritocular_protocolos" displayName="tb_irritocular_protocolos" ref="AI1:AI8" totalsRowShown="0" headerRowDxfId="827" dataDxfId="826">
  <autoFilter ref="AI1:AI8" xr:uid="{981655F0-5CD3-4958-8819-57DC07B5D653}"/>
  <tableColumns count="1">
    <tableColumn id="1" xr3:uid="{AED0F798-78D2-43E6-9163-2CE4FC12D8AA}" name="Protocolos Irritação ocular" dataDxfId="825"/>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4153F18-4ABC-4AC8-B795-FA6F6C0A4C0C}" name="tb_irritocular_dose" displayName="tb_irritocular_dose" ref="AI9:AI11" totalsRowShown="0" headerRowDxfId="824" dataDxfId="823">
  <autoFilter ref="AI9:AI11" xr:uid="{94153F18-4ABC-4AC8-B795-FA6F6C0A4C0C}"/>
  <tableColumns count="1">
    <tableColumn id="1" xr3:uid="{9411D2A5-D89B-4039-B324-74C6E7BDF562}" name="Dose irrit_ocular" dataDxfId="82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CF49DD0-FE53-4D1D-AA9F-04CF25DC006B}" name="tb_assuntos" displayName="tb_assuntos" ref="A1:B5" totalsRowShown="0" headerRowDxfId="887" dataDxfId="886">
  <autoFilter ref="A1:B5" xr:uid="{2CF49DD0-FE53-4D1D-AA9F-04CF25DC006B}"/>
  <tableColumns count="2">
    <tableColumn id="1" xr3:uid="{8962E405-F4F8-4F3E-A7C2-8CEAF970A77B}" name="descrição" dataDxfId="885"/>
    <tableColumn id="2" xr3:uid="{5A09F51B-4FD4-4EE8-8BBD-463E6FA7B3B6}" name="codigo" dataDxfId="884"/>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D67AF9D-A2EB-46A8-B476-D79D9EACFB18}" name="tb_irritacao_tempo" displayName="tb_irritacao_tempo" ref="AI14:AI35" totalsRowShown="0" headerRowDxfId="821" dataDxfId="820">
  <autoFilter ref="AI14:AI35" xr:uid="{9D67AF9D-A2EB-46A8-B476-D79D9EACFB18}"/>
  <tableColumns count="1">
    <tableColumn id="1" xr3:uid="{14D99639-985E-46A3-A86F-4D3BEE71B6D5}" name="Tempo de observação" dataDxfId="819"/>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B6BBAFE-7468-414A-B1D9-824CF539F8C6}" name="tb_irritocular_fluoresceina" displayName="tb_irritocular_fluoresceina" ref="AI38:AI41" totalsRowShown="0" headerRowDxfId="818" dataDxfId="817">
  <autoFilter ref="AI38:AI41" xr:uid="{CB6BBAFE-7468-414A-B1D9-824CF539F8C6}"/>
  <tableColumns count="1">
    <tableColumn id="1" xr3:uid="{C82D6E24-6EDE-4418-AF18-3374D869B806}" name="fluoresceina" dataDxfId="816"/>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99AB8CC-25B8-4793-8266-40B98061E8D1}" name="tb_irritcutanea_protocolos" displayName="tb_irritcutanea_protocolos" ref="AK1:AK6" totalsRowShown="0" headerRowDxfId="815" dataDxfId="814">
  <autoFilter ref="AK1:AK6" xr:uid="{F99AB8CC-25B8-4793-8266-40B98061E8D1}"/>
  <tableColumns count="1">
    <tableColumn id="1" xr3:uid="{2E02933D-CADD-4269-91B6-1FD994A4CD72}" name="Protocolos Irritação cutânea" dataDxfId="813"/>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A8E80B0-32CD-4068-87B7-B067F9B4BE24}" name="tb_llna_protocolos" displayName="tb_llna_protocolos" ref="AK9:AK14" totalsRowShown="0" headerRowDxfId="812" dataDxfId="811">
  <autoFilter ref="AK9:AK14" xr:uid="{FA8E80B0-32CD-4068-87B7-B067F9B4BE24}"/>
  <tableColumns count="1">
    <tableColumn id="1" xr3:uid="{0CD9302C-DE8B-48FF-8484-C44D7E8A905A}" name="Protocolos LLNA" dataDxfId="810"/>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559D29B-5239-4A20-82CD-1954BE75FC1E}" name="tb_llna_tipo" displayName="tb_llna_tipo" ref="AK16:AK20" totalsRowShown="0" headerRowDxfId="809" dataDxfId="808">
  <autoFilter ref="AK16:AK20" xr:uid="{9559D29B-5239-4A20-82CD-1954BE75FC1E}"/>
  <tableColumns count="1">
    <tableColumn id="1" xr3:uid="{7D2DBA95-C02C-49E1-B6A2-9CD0D090DF1E}" name="Tipo de estudo" dataDxfId="807"/>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F16CC43-3425-48F3-81D4-20EDBFF9A3B7}" name="tb_llna_abordagem" displayName="tb_llna_abordagem" ref="AK22:AK24" totalsRowShown="0" headerRowDxfId="806" dataDxfId="805">
  <autoFilter ref="AK22:AK24" xr:uid="{8F16CC43-3425-48F3-81D4-20EDBFF9A3B7}"/>
  <tableColumns count="1">
    <tableColumn id="1" xr3:uid="{BFFE12E5-A2FB-41E1-A4BC-BA24E78786B3}" name="Tipo de abordagem" dataDxfId="804"/>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5DF7A23-3864-438C-8AB5-59F4B996E93D}" name="tb_sexo_grupos" displayName="tb_sexo_grupos" ref="W11:W14" totalsRowShown="0" headerRowDxfId="803" dataDxfId="802">
  <autoFilter ref="W11:W14" xr:uid="{C5DF7A23-3864-438C-8AB5-59F4B996E93D}"/>
  <tableColumns count="1">
    <tableColumn id="1" xr3:uid="{3E6F0E36-C2FE-49FB-B0AE-A705C79ED0A3}" name="Sexo_grupos" dataDxfId="8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3038047-0FBD-4063-9BD5-2FFA888597B2}" name="tb_sensib_protocolos" displayName="tb_sensib_protocolos" ref="AM1:AM4" totalsRowShown="0" headerRowDxfId="800" dataDxfId="799">
  <autoFilter ref="AM1:AM4" xr:uid="{83038047-0FBD-4063-9BD5-2FFA888597B2}"/>
  <tableColumns count="1">
    <tableColumn id="1" xr3:uid="{0E1E8D7D-A9E4-4816-A4CE-D08939339FD1}" name="Protocolos sensibilização" dataDxfId="798"/>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D137B73-BB25-48B3-97EE-D219A9351459}" name="tb_sensib_metodo" displayName="tb_sensib_metodo" ref="AM9:AM11" totalsRowShown="0" headerRowDxfId="797" dataDxfId="796">
  <autoFilter ref="AM9:AM11" xr:uid="{1D137B73-BB25-48B3-97EE-D219A9351459}"/>
  <tableColumns count="1">
    <tableColumn id="1" xr3:uid="{9860A098-7294-42E0-8C00-2E53905A8159}" name="Método " dataDxfId="795"/>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8743FB3F-AF10-4287-9C47-CCA5BF9C37A3}" name="tb_sensib_subs_positivo" displayName="tb_sensib_subs_positivo" ref="AM14:AM17" totalsRowShown="0" headerRowDxfId="794" dataDxfId="793">
  <autoFilter ref="AM14:AM17" xr:uid="{8743FB3F-AF10-4287-9C47-CCA5BF9C37A3}"/>
  <tableColumns count="1">
    <tableColumn id="1" xr3:uid="{CF3DF44E-BF74-4D58-83CF-E7CD6EBCC295}" name="substancias_cp" dataDxfId="792"/>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27835C2-140B-43D2-9B97-CB4DEB768258}" name="tb_formulacao" displayName="tb_formulacao" ref="A14:C57" totalsRowShown="0" headerRowDxfId="883" dataDxfId="882">
  <autoFilter ref="A14:C57" xr:uid="{D27835C2-140B-43D2-9B97-CB4DEB768258}"/>
  <sortState xmlns:xlrd2="http://schemas.microsoft.com/office/spreadsheetml/2017/richdata2" ref="A15:B57">
    <sortCondition ref="A2:A45"/>
  </sortState>
  <tableColumns count="3">
    <tableColumn id="1" xr3:uid="{4A627451-59B0-4EEF-A863-383C0BBA0DB8}" name="tipo" dataDxfId="881"/>
    <tableColumn id="2" xr3:uid="{70BD3684-7720-487C-A32D-F236CF087020}" name="sigla" dataDxfId="880"/>
    <tableColumn id="3" xr3:uid="{25FAD7AA-E2FE-4ED2-82A4-243DAAE64DB5}" name="tipo_sigla" dataDxfId="879">
      <calculatedColumnFormula>A15&amp;" ("&amp;B15&amp;")"</calculatedColumnFormula>
    </tableColumn>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20B5519-39A1-44D0-AAF0-55DBA9031912}" name="tb_ames_protocolos" displayName="tb_ames_protocolos" ref="AO1:AO4" totalsRowShown="0" headerRowDxfId="791" dataDxfId="790">
  <autoFilter ref="AO1:AO4" xr:uid="{C20B5519-39A1-44D0-AAF0-55DBA9031912}"/>
  <tableColumns count="1">
    <tableColumn id="1" xr3:uid="{9142B205-95DE-47FA-BD33-DB49734C154B}" name="Protocolos Ames" dataDxfId="789"/>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75B05D-5271-4C93-9FF6-E92106D5B5D2}" name="tb_ames_especies" displayName="tb_ames_especies" ref="AO9:AO11" totalsRowShown="0" headerRowDxfId="788" dataDxfId="787">
  <autoFilter ref="AO9:AO11" xr:uid="{2675B05D-5271-4C93-9FF6-E92106D5B5D2}"/>
  <tableColumns count="1">
    <tableColumn id="1" xr3:uid="{D1671A3E-76DC-4A12-8A71-304D4F2D30F2}" name="Espécie" dataDxfId="786"/>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1D6F5C74-04B2-4426-8AD7-D0A10EB62388}" name="tb_ames_teste" displayName="tb_ames_teste" ref="AO14:AO17" totalsRowShown="0" headerRowDxfId="785" dataDxfId="784">
  <autoFilter ref="AO14:AO17" xr:uid="{1D6F5C74-04B2-4426-8AD7-D0A10EB62388}"/>
  <tableColumns count="1">
    <tableColumn id="1" xr3:uid="{9F8338C8-ABD7-4D89-8157-55C77700295B}" name="Tipo de teste" dataDxfId="783"/>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66EEE16-292E-4422-83DA-B6EFC4A920CA}" name="tb_ames_medida" displayName="tb_ames_medida" ref="AO20:AO22" totalsRowShown="0" headerRowDxfId="782" dataDxfId="781">
  <autoFilter ref="AO20:AO22" xr:uid="{C66EEE16-292E-4422-83DA-B6EFC4A920CA}"/>
  <tableColumns count="1">
    <tableColumn id="1" xr3:uid="{E274104B-D7C3-467E-A5CA-3A4FC94A114B}" name="Medida" dataDxfId="780"/>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E78933E-DCBC-411E-A62B-4974BA700B6F}" name="tb_ames_metodo_historico" displayName="tb_ames_metodo_historico" ref="AO24:AO27" totalsRowShown="0" headerRowDxfId="779" dataDxfId="778">
  <autoFilter ref="AO24:AO27" xr:uid="{5E78933E-DCBC-411E-A62B-4974BA700B6F}"/>
  <tableColumns count="1">
    <tableColumn id="1" xr3:uid="{4C9FECB8-7B24-4F8C-AFE4-2AF762EF483C}" name="Tipo de método - controle histórico" dataDxfId="777"/>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C8FEC3C-4A98-466F-B6C5-1DB0FD1D519B}" name="tb_ames_outros_mutagenos" displayName="tb_ames_outros_mutagenos" ref="AO33:AO34" totalsRowShown="0" headerRowDxfId="776" dataDxfId="775">
  <autoFilter ref="AO33:AO34" xr:uid="{AC8FEC3C-4A98-466F-B6C5-1DB0FD1D519B}"/>
  <tableColumns count="1">
    <tableColumn id="1" xr3:uid="{F71E72FF-D5EC-49F1-A077-0C5C560E621E}" name="outros_mutagenos" dataDxfId="77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0F9D9E-8188-4C5E-8E2A-0E08A2F35931}" name="tb_tipo_s9" displayName="tb_tipo_s9" ref="AO36:AO39" totalsRowShown="0" headerRowDxfId="773" dataDxfId="772">
  <autoFilter ref="AO36:AO39" xr:uid="{950F9D9E-8188-4C5E-8E2A-0E08A2F35931}"/>
  <tableColumns count="1">
    <tableColumn id="1" xr3:uid="{4FE1D0A9-598A-4133-9185-BC8BECC059AB}" name="Tipo de método para S9" dataDxfId="771"/>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232523-9AAB-4085-88CE-9F5214B4DF64}" name="tb_ames_replicatas" displayName="tb_ames_replicatas" ref="AO41:AO44" totalsRowShown="0" headerRowDxfId="770" dataDxfId="769">
  <autoFilter ref="AO41:AO44" xr:uid="{EC232523-9AAB-4085-88CE-9F5214B4DF64}"/>
  <tableColumns count="1">
    <tableColumn id="1" xr3:uid="{A58D2131-2A01-4457-B2C1-27633629597A}" name="Replicatas" dataDxfId="768"/>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AD04122-E0D6-42A7-9190-2D42E347C672}" name="tb_ames_ativador" displayName="tb_ames_ativador" ref="AO46:AO49" totalsRowShown="0" headerRowDxfId="767" dataDxfId="766">
  <autoFilter ref="AO46:AO49" xr:uid="{EAD04122-E0D6-42A7-9190-2D42E347C672}"/>
  <tableColumns count="1">
    <tableColumn id="1" xr3:uid="{3AD1FC9A-5B1E-4A4A-BFA0-3D7554366E62}" name="Ativador" dataDxfId="765"/>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15F5ED8-4773-414C-8465-5F3BA7D7E4A4}" name="tb_micron_protocolos" displayName="tb_micron_protocolos" ref="AQ1:AQ6" totalsRowShown="0" headerRowDxfId="764" dataDxfId="763">
  <autoFilter ref="AQ1:AQ6" xr:uid="{215F5ED8-4773-414C-8465-5F3BA7D7E4A4}"/>
  <tableColumns count="1">
    <tableColumn id="1" xr3:uid="{5BB16CFD-CAB3-49A0-90BF-EF994FAA0D66}" name="Protocolos Micronúcleo" dataDxfId="762"/>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60FE64-BD08-475D-9911-F4D86292BA9A}" name="tb_ingredientes" displayName="tb_ingredientes" ref="E1:I568" totalsRowShown="0" headerRowDxfId="878" dataDxfId="877">
  <autoFilter ref="E1:I568" xr:uid="{C660FE64-BD08-475D-9911-F4D86292BA9A}"/>
  <sortState xmlns:xlrd2="http://schemas.microsoft.com/office/spreadsheetml/2017/richdata2" ref="E2:I568">
    <sortCondition ref="H1:H568"/>
  </sortState>
  <tableColumns count="5">
    <tableColumn id="5" xr3:uid="{F0C8656D-6B4E-4D09-95A8-F89ED1E43D9D}" name="V" dataDxfId="876"/>
    <tableColumn id="6" xr3:uid="{68DDACE8-3DEF-44F3-92FB-151D2E357563}" name="n_cas_corrigido" dataDxfId="875"/>
    <tableColumn id="3" xr3:uid="{C54332EB-97B6-407F-BFC1-53B1BA64AD99}" name="ingrediente_ativo" dataDxfId="874"/>
    <tableColumn id="1" xr3:uid="{5676C3B7-315E-4F98-83F7-5FAADB4FB5B5}" name="cod_mono" dataDxfId="873"/>
    <tableColumn id="4" xr3:uid="{34DB153D-B9D6-4DA0-B770-59083A1A7B0C}" name="ingrediente_ativo_maiusculo" dataDxfId="872">
      <calculatedColumnFormula>TRIM(UPPER(tb_ingredientes[[#This Row],[ingrediente_ativo]]))</calculatedColumnFormula>
    </tableColumn>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21BC07F-74D5-4300-AE22-989BA1D034D2}" name="tb_micron_tipo_amostra" displayName="tb_micron_tipo_amostra" ref="AQ9:AQ11" totalsRowShown="0" headerRowDxfId="761" dataDxfId="760">
  <autoFilter ref="AQ9:AQ11" xr:uid="{B21BC07F-74D5-4300-AE22-989BA1D034D2}"/>
  <tableColumns count="1">
    <tableColumn id="1" xr3:uid="{499276BC-3F25-4788-9211-E6ABE9C1996D}" name="Tipo de de amostra" dataDxfId="75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C78DE2-488C-4528-91C2-9AE934C202A8}" name="tb_micron_via" displayName="tb_micron_via" ref="AQ14:AQ18" totalsRowShown="0" headerRowDxfId="758" dataDxfId="757">
  <autoFilter ref="AQ14:AQ18" xr:uid="{23C78DE2-488C-4528-91C2-9AE934C202A8}"/>
  <tableColumns count="1">
    <tableColumn id="1" xr3:uid="{7A5AEA1C-8D4E-42C3-9924-30BFE36D3D92}" name="Vias de administração" dataDxfId="756"/>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EBB541D-29D6-4F1D-9999-3B2A9428DA7D}" name="tb_micron_controle" displayName="tb_micron_controle" ref="AQ20:AQ22" totalsRowShown="0" headerRowDxfId="755" dataDxfId="754">
  <autoFilter ref="AQ20:AQ22" xr:uid="{DEBB541D-29D6-4F1D-9999-3B2A9428DA7D}"/>
  <tableColumns count="1">
    <tableColumn id="1" xr3:uid="{E034C4F4-421A-4F25-AACF-B255A8BB259B}" name="Controle hitórico" dataDxfId="753"/>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C8E703D-3D92-4F0E-90FF-A7D0F198BCF1}" name="tb_micron_tempo" displayName="tb_micron_tempo" ref="AQ24:AQ26" totalsRowShown="0" headerRowDxfId="752" dataDxfId="751">
  <autoFilter ref="AQ24:AQ26" xr:uid="{4C8E703D-3D92-4F0E-90FF-A7D0F198BCF1}"/>
  <tableColumns count="1">
    <tableColumn id="1" xr3:uid="{AD9FAE66-7150-4662-9D06-920EAF37CB32}" name="Tempo de coleta" dataDxfId="75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7BDB79C5-1F70-40CE-9D31-FDCC9324B6B2}" name="tb_micron_sistema" displayName="tb_micron_sistema" ref="AQ29:AQ31" totalsRowShown="0" headerRowDxfId="749" dataDxfId="748">
  <autoFilter ref="AQ29:AQ31" xr:uid="{7BDB79C5-1F70-40CE-9D31-FDCC9324B6B2}"/>
  <tableColumns count="1">
    <tableColumn id="1" xr3:uid="{FC4C27BE-A845-4A34-BE01-69879C65A614}" name="Sistema de análise " dataDxfId="747"/>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A597F5A-BAF2-4D28-93B8-C1C61A475ED8}" name="tb_ames_metodo" displayName="tb_ames_metodo" ref="AO29:AO31" totalsRowShown="0" headerRowDxfId="746" dataDxfId="745">
  <autoFilter ref="AO29:AO31" xr:uid="{2A597F5A-BAF2-4D28-93B8-C1C61A475ED8}"/>
  <tableColumns count="1">
    <tableColumn id="1" xr3:uid="{D690EB9A-D598-4B1B-9F66-7B97756958DA}" name="Tipo de método - controle histórico" dataDxfId="744"/>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018FE22-4AEF-419C-B498-A0F890297EC1}" name="tb_irritcutanea_resultados" displayName="tb_irritcutanea_resultados" ref="AT1:AU7" totalsRowShown="0" headerRowDxfId="743" dataDxfId="742">
  <autoFilter ref="AT1:AU7" xr:uid="{3018FE22-4AEF-419C-B498-A0F890297EC1}"/>
  <tableColumns count="2">
    <tableColumn id="1" xr3:uid="{9E58B243-2827-484D-B83B-B3208813B302}" name="codigo" dataDxfId="741"/>
    <tableColumn id="2" xr3:uid="{95658791-5EC1-403E-BDB5-3BA1D39207D8}" name="resultado_cutaneo" dataDxfId="740"/>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FE8CC33-3776-4882-A2E5-D54753568F27}" name="tb_irritocular_resultados" displayName="tb_irritocular_resultados" ref="AT11:AU15" totalsRowShown="0" headerRowDxfId="739" dataDxfId="738">
  <autoFilter ref="AT11:AU15" xr:uid="{BFE8CC33-3776-4882-A2E5-D54753568F27}"/>
  <tableColumns count="2">
    <tableColumn id="1" xr3:uid="{FB0C6C46-5188-4BF4-BFA8-20790395EFE5}" name="codigo" dataDxfId="737"/>
    <tableColumn id="2" xr3:uid="{1FC2D84C-7A89-4722-B0C5-679EC091DFD0}" name="resultado_ocular" dataDxfId="736"/>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2672933-7FEE-4B78-BB2E-B337D4FE37CB}" name="tb_ames_background" displayName="tb_ames_background" ref="AO52:AO54" totalsRowShown="0" headerRowDxfId="735" dataDxfId="734">
  <autoFilter ref="AO52:AO54" xr:uid="{52672933-7FEE-4B78-BB2E-B337D4FE37CB}"/>
  <tableColumns count="1">
    <tableColumn id="1" xr3:uid="{9C538C9C-EB0C-4C97-8A47-542773D8B7B9}" name="background" dataDxfId="733"/>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CE5890AD-6A79-4588-886D-CE9F8BD23FC7}" name="tb_ames_resp_estatistica" displayName="tb_ames_resp_estatistica" ref="AO57:AO60" totalsRowShown="0" headerRowDxfId="732" dataDxfId="731">
  <autoFilter ref="AO57:AO60" xr:uid="{CE5890AD-6A79-4588-886D-CE9F8BD23FC7}"/>
  <tableColumns count="1">
    <tableColumn id="1" xr3:uid="{B0EEE0E4-859A-4992-A13D-F352E60ACBAC}" name="Estatistica" dataDxfId="730"/>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4142D7E-71E5-49BD-B823-B2BCFDA5EE5C}" name="tb_unidade_medida" displayName="tb_unidade_medida" ref="W1:W3" totalsRowShown="0" headerRowDxfId="871" dataDxfId="870">
  <autoFilter ref="W1:W3" xr:uid="{B4142D7E-71E5-49BD-B823-B2BCFDA5EE5C}"/>
  <tableColumns count="1">
    <tableColumn id="1" xr3:uid="{002710F0-A46F-4200-BC35-A1984CF41068}" name="unidade_de_medida" dataDxfId="869"/>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9F1AFDF-23D9-448B-9674-34F0A8712749}" name="tb_sim_nao_na" displayName="tb_sim_nao_na" ref="U11:U14" totalsRowShown="0" headerRowDxfId="729" dataDxfId="728">
  <autoFilter ref="U11:U14" xr:uid="{C9F1AFDF-23D9-448B-9674-34F0A8712749}"/>
  <tableColumns count="1">
    <tableColumn id="1" xr3:uid="{8C64C37B-6F58-48D6-9F06-395CF666144F}" name="sim_nao_na" dataDxfId="727"/>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AA126C1-13BA-406B-BDA9-DA57ECDE808E}" name="tb_sim_nao_nr" displayName="tb_sim_nao_nr" ref="U18:U21" totalsRowShown="0" headerRowDxfId="726" dataDxfId="725">
  <autoFilter ref="U18:U21" xr:uid="{5AA126C1-13BA-406B-BDA9-DA57ECDE808E}"/>
  <tableColumns count="1">
    <tableColumn id="1" xr3:uid="{10CDA141-5DEE-4D7A-9BF6-0589AD53396E}" name="sim_nao_nr" dataDxfId="724"/>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400ACD4-B01E-4357-967D-D5A64B62C1E5}" name="tb_irritcutanea_ma_classificacao" displayName="tb_irritcutanea_ma_classificacao" ref="AK28:AK33" totalsRowShown="0" headerRowDxfId="723" dataDxfId="722">
  <autoFilter ref="AK28:AK33" xr:uid="{1400ACD4-B01E-4357-967D-D5A64B62C1E5}"/>
  <tableColumns count="1">
    <tableColumn id="1" xr3:uid="{AB4B2C57-D46E-4D7B-8D17-EB4B6EC1DE35}" name="Classificacao_MA_cutanea" dataDxfId="721"/>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8F9E445-0CDD-462E-96E2-5A245EC6BEB5}" name="tb_irritocular_ma_classificacao" displayName="tb_irritocular_ma_classificacao" ref="AI45:AI49" totalsRowShown="0" headerRowDxfId="720" dataDxfId="719">
  <autoFilter ref="AI45:AI49" xr:uid="{48F9E445-0CDD-462E-96E2-5A245EC6BEB5}"/>
  <tableColumns count="1">
    <tableColumn id="1" xr3:uid="{6F148C66-EEDF-41CA-AC3E-FCB274524BA0}" name="Classificacao_MA_ocular" dataDxfId="718"/>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E1A2F84F-1566-4008-B02A-132C790A2B8C}" name="tb_classificacoes" displayName="tb_classificacoes" ref="U26:U32" totalsRowShown="0" headerRowDxfId="717" dataDxfId="716" tableBorderDxfId="715">
  <autoFilter ref="U26:U32" xr:uid="{E1A2F84F-1566-4008-B02A-132C790A2B8C}"/>
  <tableColumns count="1">
    <tableColumn id="1" xr3:uid="{476C1360-37DE-4A8B-9CEA-5A13C556453E}" name="Classificações" dataDxfId="714"/>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13323074-DCD7-46C7-B0D8-E610AC21AC52}" name="tb_micron_sistema55" displayName="tb_micron_sistema55" ref="AQ40:AQ42" totalsRowShown="0" headerRowDxfId="713" dataDxfId="712">
  <autoFilter ref="AQ40:AQ42" xr:uid="{13323074-DCD7-46C7-B0D8-E610AC21AC52}"/>
  <tableColumns count="1">
    <tableColumn id="1" xr3:uid="{5EDD5326-26DC-470A-9B39-9591522807B4}" name="Coleta" dataDxfId="711"/>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FEA8CEC-B30F-4983-A547-A2F7656037FA}" name="tb_sim_nao_vazio" displayName="tb_sim_nao_vazio" ref="Y5:Y8" totalsRowShown="0" headerRowDxfId="710" dataDxfId="709">
  <autoFilter ref="Y5:Y8" xr:uid="{0FEA8CEC-B30F-4983-A547-A2F7656037FA}"/>
  <tableColumns count="1">
    <tableColumn id="1" xr3:uid="{E9839712-F2F5-4C99-914A-D141A2D51DD4}" name="sim_nao" dataDxfId="708"/>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FF9749-6B2F-4A45-9D0B-810B410BD7C9}" name="tb_sim_nao" displayName="tb_sim_nao" ref="Y1:Y3" totalsRowShown="0" headerRowDxfId="868" dataDxfId="867">
  <autoFilter ref="Y1:Y3" xr:uid="{B0FF9749-6B2F-4A45-9D0B-810B410BD7C9}"/>
  <tableColumns count="1">
    <tableColumn id="1" xr3:uid="{643B82BA-1303-4F3B-9941-64F9125CA963}" name="sim_nao" dataDxfId="866"/>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DD2CCFD-EF2F-4AC8-A938-96E3B5113C37}" name="tb_componentes_proibidos" displayName="tb_componentes_proibidos" ref="N1:Q10" totalsRowShown="0" headerRowDxfId="865" dataDxfId="864">
  <autoFilter ref="N1:Q10" xr:uid="{4DD2CCFD-EF2F-4AC8-A938-96E3B5113C37}"/>
  <sortState xmlns:xlrd2="http://schemas.microsoft.com/office/spreadsheetml/2017/richdata2" ref="N2:Q10">
    <sortCondition ref="P1:P10"/>
  </sortState>
  <tableColumns count="4">
    <tableColumn id="4" xr3:uid="{56534405-0ADB-45F2-BAAB-3C9115829FA5}" name="n_cas" dataDxfId="863"/>
    <tableColumn id="5" xr3:uid="{A9EBEBF3-CC93-475B-9332-A82120C45F49}" name="n_cas_corrigido" dataDxfId="862"/>
    <tableColumn id="1" xr3:uid="{2284376E-724F-48B8-8F0B-027E8E4EB87F}" name="Componente_proibido" dataDxfId="861"/>
    <tableColumn id="3" xr3:uid="{022E2D77-4B87-419C-8078-D19893FAE400}" name="especificacao" dataDxfId="860"/>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D69A612-0121-45B9-BC90-B9894785B5F3}" name="tb_componentes" displayName="tb_componentes" ref="J1:L1653" totalsRowShown="0" headerRowDxfId="859" dataDxfId="858">
  <autoFilter ref="J1:L1653" xr:uid="{3D69A612-0121-45B9-BC90-B9894785B5F3}"/>
  <sortState xmlns:xlrd2="http://schemas.microsoft.com/office/spreadsheetml/2017/richdata2" ref="J2:L1653">
    <sortCondition ref="L1:L1653"/>
  </sortState>
  <tableColumns count="3">
    <tableColumn id="3" xr3:uid="{9944819B-C4DF-4341-B8A1-BEDE82A954C6}" name="n_cas" dataDxfId="857"/>
    <tableColumn id="1" xr3:uid="{10B3F670-FE6E-402F-B62A-F2F9C6341C83}" name="n_cas_corrigido" dataDxfId="856"/>
    <tableColumn id="2" xr3:uid="{AAA1006B-C2C1-4059-BF28-CE56803B0E89}" name="Componente" dataDxfId="855"/>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9EFBDF4-E9B2-4D3F-982E-B78809C87294}" name="tb_funcoes" displayName="tb_funcoes" ref="S1:S52" totalsRowShown="0" headerRowDxfId="854" dataDxfId="853">
  <autoFilter ref="S1:S52" xr:uid="{B9EFBDF4-E9B2-4D3F-982E-B78809C87294}"/>
  <sortState xmlns:xlrd2="http://schemas.microsoft.com/office/spreadsheetml/2017/richdata2" ref="S2:S52">
    <sortCondition ref="S1:S52"/>
  </sortState>
  <tableColumns count="1">
    <tableColumn id="1" xr3:uid="{174662B0-FE8B-4930-8C2D-D37C12A274E3}" name="Função" dataDxfId="852"/>
  </tableColumns>
  <tableStyleInfo name="TableStyleLight2"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3" Type="http://schemas.openxmlformats.org/officeDocument/2006/relationships/vmlDrawing" Target="../drawings/vmlDrawing7.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 Type="http://schemas.openxmlformats.org/officeDocument/2006/relationships/drawing" Target="../drawings/drawing10.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10.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5" Type="http://schemas.openxmlformats.org/officeDocument/2006/relationships/ctrlProp" Target="../ctrlProps/ctrlProp88.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ctrlProp" Target="../ctrlProps/ctrlProp77.xml"/><Relationship Id="rId9" Type="http://schemas.openxmlformats.org/officeDocument/2006/relationships/ctrlProp" Target="../ctrlProps/ctrlProp82.xml"/><Relationship Id="rId14" Type="http://schemas.openxmlformats.org/officeDocument/2006/relationships/ctrlProp" Target="../ctrlProps/ctrlProp8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vmlDrawing" Target="../drawings/vmlDrawing8.v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 Type="http://schemas.openxmlformats.org/officeDocument/2006/relationships/drawing" Target="../drawings/drawing11.xml"/><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1.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7.xml"/><Relationship Id="rId13" Type="http://schemas.openxmlformats.org/officeDocument/2006/relationships/ctrlProp" Target="../ctrlProps/ctrlProp122.xml"/><Relationship Id="rId18" Type="http://schemas.openxmlformats.org/officeDocument/2006/relationships/ctrlProp" Target="../ctrlProps/ctrlProp127.xml"/><Relationship Id="rId3" Type="http://schemas.openxmlformats.org/officeDocument/2006/relationships/vmlDrawing" Target="../drawings/vmlDrawing9.vml"/><Relationship Id="rId7" Type="http://schemas.openxmlformats.org/officeDocument/2006/relationships/ctrlProp" Target="../ctrlProps/ctrlProp116.xml"/><Relationship Id="rId12" Type="http://schemas.openxmlformats.org/officeDocument/2006/relationships/ctrlProp" Target="../ctrlProps/ctrlProp121.xml"/><Relationship Id="rId17" Type="http://schemas.openxmlformats.org/officeDocument/2006/relationships/ctrlProp" Target="../ctrlProps/ctrlProp126.xml"/><Relationship Id="rId2" Type="http://schemas.openxmlformats.org/officeDocument/2006/relationships/drawing" Target="../drawings/drawing12.xml"/><Relationship Id="rId16" Type="http://schemas.openxmlformats.org/officeDocument/2006/relationships/ctrlProp" Target="../ctrlProps/ctrlProp125.xml"/><Relationship Id="rId1" Type="http://schemas.openxmlformats.org/officeDocument/2006/relationships/printerSettings" Target="../printerSettings/printerSettings12.bin"/><Relationship Id="rId6" Type="http://schemas.openxmlformats.org/officeDocument/2006/relationships/ctrlProp" Target="../ctrlProps/ctrlProp115.xml"/><Relationship Id="rId11" Type="http://schemas.openxmlformats.org/officeDocument/2006/relationships/ctrlProp" Target="../ctrlProps/ctrlProp120.xml"/><Relationship Id="rId5" Type="http://schemas.openxmlformats.org/officeDocument/2006/relationships/ctrlProp" Target="../ctrlProps/ctrlProp114.xml"/><Relationship Id="rId15" Type="http://schemas.openxmlformats.org/officeDocument/2006/relationships/ctrlProp" Target="../ctrlProps/ctrlProp124.xml"/><Relationship Id="rId10" Type="http://schemas.openxmlformats.org/officeDocument/2006/relationships/ctrlProp" Target="../ctrlProps/ctrlProp119.xml"/><Relationship Id="rId4" Type="http://schemas.openxmlformats.org/officeDocument/2006/relationships/ctrlProp" Target="../ctrlProps/ctrlProp113.xml"/><Relationship Id="rId9" Type="http://schemas.openxmlformats.org/officeDocument/2006/relationships/ctrlProp" Target="../ctrlProps/ctrlProp118.xml"/><Relationship Id="rId14" Type="http://schemas.openxmlformats.org/officeDocument/2006/relationships/ctrlProp" Target="../ctrlProps/ctrlProp12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2.xml"/><Relationship Id="rId13" Type="http://schemas.openxmlformats.org/officeDocument/2006/relationships/ctrlProp" Target="../ctrlProps/ctrlProp137.xml"/><Relationship Id="rId18" Type="http://schemas.openxmlformats.org/officeDocument/2006/relationships/ctrlProp" Target="../ctrlProps/ctrlProp142.xml"/><Relationship Id="rId3" Type="http://schemas.openxmlformats.org/officeDocument/2006/relationships/vmlDrawing" Target="../drawings/vmlDrawing10.vml"/><Relationship Id="rId7" Type="http://schemas.openxmlformats.org/officeDocument/2006/relationships/ctrlProp" Target="../ctrlProps/ctrlProp131.xml"/><Relationship Id="rId12" Type="http://schemas.openxmlformats.org/officeDocument/2006/relationships/ctrlProp" Target="../ctrlProps/ctrlProp136.xml"/><Relationship Id="rId17" Type="http://schemas.openxmlformats.org/officeDocument/2006/relationships/ctrlProp" Target="../ctrlProps/ctrlProp141.xml"/><Relationship Id="rId2" Type="http://schemas.openxmlformats.org/officeDocument/2006/relationships/drawing" Target="../drawings/drawing13.xml"/><Relationship Id="rId16" Type="http://schemas.openxmlformats.org/officeDocument/2006/relationships/ctrlProp" Target="../ctrlProps/ctrlProp140.xml"/><Relationship Id="rId1" Type="http://schemas.openxmlformats.org/officeDocument/2006/relationships/printerSettings" Target="../printerSettings/printerSettings13.bin"/><Relationship Id="rId6" Type="http://schemas.openxmlformats.org/officeDocument/2006/relationships/ctrlProp" Target="../ctrlProps/ctrlProp130.xml"/><Relationship Id="rId11" Type="http://schemas.openxmlformats.org/officeDocument/2006/relationships/ctrlProp" Target="../ctrlProps/ctrlProp135.xml"/><Relationship Id="rId5" Type="http://schemas.openxmlformats.org/officeDocument/2006/relationships/ctrlProp" Target="../ctrlProps/ctrlProp129.xml"/><Relationship Id="rId15" Type="http://schemas.openxmlformats.org/officeDocument/2006/relationships/ctrlProp" Target="../ctrlProps/ctrlProp139.xml"/><Relationship Id="rId10" Type="http://schemas.openxmlformats.org/officeDocument/2006/relationships/ctrlProp" Target="../ctrlProps/ctrlProp134.xml"/><Relationship Id="rId4" Type="http://schemas.openxmlformats.org/officeDocument/2006/relationships/ctrlProp" Target="../ctrlProps/ctrlProp128.xml"/><Relationship Id="rId9" Type="http://schemas.openxmlformats.org/officeDocument/2006/relationships/ctrlProp" Target="../ctrlProps/ctrlProp133.xml"/><Relationship Id="rId14" Type="http://schemas.openxmlformats.org/officeDocument/2006/relationships/ctrlProp" Target="../ctrlProps/ctrlProp13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47.xml"/><Relationship Id="rId3" Type="http://schemas.openxmlformats.org/officeDocument/2006/relationships/vmlDrawing" Target="../drawings/vmlDrawing11.vml"/><Relationship Id="rId7" Type="http://schemas.openxmlformats.org/officeDocument/2006/relationships/ctrlProp" Target="../ctrlProps/ctrlProp146.xml"/><Relationship Id="rId12" Type="http://schemas.openxmlformats.org/officeDocument/2006/relationships/ctrlProp" Target="../ctrlProps/ctrlProp151.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0" Type="http://schemas.openxmlformats.org/officeDocument/2006/relationships/ctrlProp" Target="../ctrlProps/ctrlProp149.xml"/><Relationship Id="rId4" Type="http://schemas.openxmlformats.org/officeDocument/2006/relationships/ctrlProp" Target="../ctrlProps/ctrlProp143.xml"/><Relationship Id="rId9" Type="http://schemas.openxmlformats.org/officeDocument/2006/relationships/ctrlProp" Target="../ctrlProps/ctrlProp14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56.xml"/><Relationship Id="rId3" Type="http://schemas.openxmlformats.org/officeDocument/2006/relationships/vmlDrawing" Target="../drawings/vmlDrawing12.vml"/><Relationship Id="rId7" Type="http://schemas.openxmlformats.org/officeDocument/2006/relationships/ctrlProp" Target="../ctrlProps/ctrlProp155.xml"/><Relationship Id="rId12" Type="http://schemas.openxmlformats.org/officeDocument/2006/relationships/ctrlProp" Target="../ctrlProps/ctrlProp160.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154.xml"/><Relationship Id="rId11" Type="http://schemas.openxmlformats.org/officeDocument/2006/relationships/ctrlProp" Target="../ctrlProps/ctrlProp159.xml"/><Relationship Id="rId5" Type="http://schemas.openxmlformats.org/officeDocument/2006/relationships/ctrlProp" Target="../ctrlProps/ctrlProp153.xml"/><Relationship Id="rId10" Type="http://schemas.openxmlformats.org/officeDocument/2006/relationships/ctrlProp" Target="../ctrlProps/ctrlProp158.xml"/><Relationship Id="rId4" Type="http://schemas.openxmlformats.org/officeDocument/2006/relationships/ctrlProp" Target="../ctrlProps/ctrlProp152.xml"/><Relationship Id="rId9" Type="http://schemas.openxmlformats.org/officeDocument/2006/relationships/ctrlProp" Target="../ctrlProps/ctrlProp15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65.xml"/><Relationship Id="rId13" Type="http://schemas.openxmlformats.org/officeDocument/2006/relationships/ctrlProp" Target="../ctrlProps/ctrlProp170.xml"/><Relationship Id="rId3" Type="http://schemas.openxmlformats.org/officeDocument/2006/relationships/vmlDrawing" Target="../drawings/vmlDrawing13.vml"/><Relationship Id="rId7" Type="http://schemas.openxmlformats.org/officeDocument/2006/relationships/ctrlProp" Target="../ctrlProps/ctrlProp164.xml"/><Relationship Id="rId12" Type="http://schemas.openxmlformats.org/officeDocument/2006/relationships/ctrlProp" Target="../ctrlProps/ctrlProp169.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163.xml"/><Relationship Id="rId11" Type="http://schemas.openxmlformats.org/officeDocument/2006/relationships/ctrlProp" Target="../ctrlProps/ctrlProp168.xml"/><Relationship Id="rId5" Type="http://schemas.openxmlformats.org/officeDocument/2006/relationships/ctrlProp" Target="../ctrlProps/ctrlProp162.xml"/><Relationship Id="rId10" Type="http://schemas.openxmlformats.org/officeDocument/2006/relationships/ctrlProp" Target="../ctrlProps/ctrlProp167.xml"/><Relationship Id="rId4" Type="http://schemas.openxmlformats.org/officeDocument/2006/relationships/ctrlProp" Target="../ctrlProps/ctrlProp161.xml"/><Relationship Id="rId9" Type="http://schemas.openxmlformats.org/officeDocument/2006/relationships/ctrlProp" Target="../ctrlProps/ctrlProp166.xml"/><Relationship Id="rId14" Type="http://schemas.openxmlformats.org/officeDocument/2006/relationships/ctrlProp" Target="../ctrlProps/ctrlProp17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6.xml"/><Relationship Id="rId13" Type="http://schemas.openxmlformats.org/officeDocument/2006/relationships/ctrlProp" Target="../ctrlProps/ctrlProp181.xml"/><Relationship Id="rId3" Type="http://schemas.openxmlformats.org/officeDocument/2006/relationships/vmlDrawing" Target="../drawings/vmlDrawing14.vml"/><Relationship Id="rId7" Type="http://schemas.openxmlformats.org/officeDocument/2006/relationships/ctrlProp" Target="../ctrlProps/ctrlProp175.xml"/><Relationship Id="rId12" Type="http://schemas.openxmlformats.org/officeDocument/2006/relationships/ctrlProp" Target="../ctrlProps/ctrlProp180.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174.xml"/><Relationship Id="rId11" Type="http://schemas.openxmlformats.org/officeDocument/2006/relationships/ctrlProp" Target="../ctrlProps/ctrlProp179.xml"/><Relationship Id="rId5" Type="http://schemas.openxmlformats.org/officeDocument/2006/relationships/ctrlProp" Target="../ctrlProps/ctrlProp173.xml"/><Relationship Id="rId10" Type="http://schemas.openxmlformats.org/officeDocument/2006/relationships/ctrlProp" Target="../ctrlProps/ctrlProp178.xml"/><Relationship Id="rId4" Type="http://schemas.openxmlformats.org/officeDocument/2006/relationships/ctrlProp" Target="../ctrlProps/ctrlProp172.xml"/><Relationship Id="rId9" Type="http://schemas.openxmlformats.org/officeDocument/2006/relationships/ctrlProp" Target="../ctrlProps/ctrlProp177.xml"/><Relationship Id="rId14" Type="http://schemas.openxmlformats.org/officeDocument/2006/relationships/ctrlProp" Target="../ctrlProps/ctrlProp18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184.xml"/><Relationship Id="rId4" Type="http://schemas.openxmlformats.org/officeDocument/2006/relationships/ctrlProp" Target="../ctrlProps/ctrlProp18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186.xml"/><Relationship Id="rId4" Type="http://schemas.openxmlformats.org/officeDocument/2006/relationships/ctrlProp" Target="../ctrlProps/ctrlProp18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188.xml"/><Relationship Id="rId4" Type="http://schemas.openxmlformats.org/officeDocument/2006/relationships/ctrlProp" Target="../ctrlProps/ctrlProp18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190.xml"/><Relationship Id="rId4" Type="http://schemas.openxmlformats.org/officeDocument/2006/relationships/ctrlProp" Target="../ctrlProps/ctrlProp18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192.xml"/><Relationship Id="rId4" Type="http://schemas.openxmlformats.org/officeDocument/2006/relationships/ctrlProp" Target="../ctrlProps/ctrlProp19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194.xml"/><Relationship Id="rId4" Type="http://schemas.openxmlformats.org/officeDocument/2006/relationships/ctrlProp" Target="../ctrlProps/ctrlProp19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6.bin"/><Relationship Id="rId6" Type="http://schemas.openxmlformats.org/officeDocument/2006/relationships/ctrlProp" Target="../ctrlProps/ctrlProp197.xml"/><Relationship Id="rId5" Type="http://schemas.openxmlformats.org/officeDocument/2006/relationships/ctrlProp" Target="../ctrlProps/ctrlProp196.xml"/><Relationship Id="rId4" Type="http://schemas.openxmlformats.org/officeDocument/2006/relationships/ctrlProp" Target="../ctrlProps/ctrlProp19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8.bin"/><Relationship Id="rId6" Type="http://schemas.openxmlformats.org/officeDocument/2006/relationships/ctrlProp" Target="../ctrlProps/ctrlProp200.xml"/><Relationship Id="rId5" Type="http://schemas.openxmlformats.org/officeDocument/2006/relationships/ctrlProp" Target="../ctrlProps/ctrlProp199.xml"/><Relationship Id="rId4" Type="http://schemas.openxmlformats.org/officeDocument/2006/relationships/ctrlProp" Target="../ctrlProps/ctrlProp19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204.xml"/><Relationship Id="rId3" Type="http://schemas.openxmlformats.org/officeDocument/2006/relationships/vmlDrawing" Target="../drawings/vmlDrawing23.vml"/><Relationship Id="rId7" Type="http://schemas.openxmlformats.org/officeDocument/2006/relationships/ctrlProp" Target="../ctrlProps/ctrlProp203.xml"/><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trlProp" Target="../ctrlProps/ctrlProp202.xml"/><Relationship Id="rId5" Type="http://schemas.openxmlformats.org/officeDocument/2006/relationships/ctrlProp" Target="../ctrlProps/ctrlProp201.xml"/><Relationship Id="rId4"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8.xml.rels><?xml version="1.0" encoding="UTF-8" standalone="yes"?>
<Relationships xmlns="http://schemas.openxmlformats.org/package/2006/relationships"><Relationship Id="rId13" Type="http://schemas.openxmlformats.org/officeDocument/2006/relationships/table" Target="../tables/table14.xml"/><Relationship Id="rId18" Type="http://schemas.openxmlformats.org/officeDocument/2006/relationships/table" Target="../tables/table19.xml"/><Relationship Id="rId26" Type="http://schemas.openxmlformats.org/officeDocument/2006/relationships/table" Target="../tables/table27.xml"/><Relationship Id="rId39" Type="http://schemas.openxmlformats.org/officeDocument/2006/relationships/table" Target="../tables/table40.xml"/><Relationship Id="rId21" Type="http://schemas.openxmlformats.org/officeDocument/2006/relationships/table" Target="../tables/table22.xml"/><Relationship Id="rId34" Type="http://schemas.openxmlformats.org/officeDocument/2006/relationships/table" Target="../tables/table35.xml"/><Relationship Id="rId42" Type="http://schemas.openxmlformats.org/officeDocument/2006/relationships/table" Target="../tables/table43.xml"/><Relationship Id="rId47" Type="http://schemas.openxmlformats.org/officeDocument/2006/relationships/table" Target="../tables/table48.xml"/><Relationship Id="rId50" Type="http://schemas.openxmlformats.org/officeDocument/2006/relationships/table" Target="../tables/table51.xml"/><Relationship Id="rId55" Type="http://schemas.openxmlformats.org/officeDocument/2006/relationships/table" Target="../tables/table56.xml"/><Relationship Id="rId7" Type="http://schemas.openxmlformats.org/officeDocument/2006/relationships/table" Target="../tables/table8.xml"/><Relationship Id="rId2" Type="http://schemas.openxmlformats.org/officeDocument/2006/relationships/table" Target="../tables/table3.xml"/><Relationship Id="rId16" Type="http://schemas.openxmlformats.org/officeDocument/2006/relationships/table" Target="../tables/table17.xml"/><Relationship Id="rId29" Type="http://schemas.openxmlformats.org/officeDocument/2006/relationships/table" Target="../tables/table30.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37" Type="http://schemas.openxmlformats.org/officeDocument/2006/relationships/table" Target="../tables/table38.xml"/><Relationship Id="rId40" Type="http://schemas.openxmlformats.org/officeDocument/2006/relationships/table" Target="../tables/table41.xml"/><Relationship Id="rId45" Type="http://schemas.openxmlformats.org/officeDocument/2006/relationships/table" Target="../tables/table46.xml"/><Relationship Id="rId53" Type="http://schemas.openxmlformats.org/officeDocument/2006/relationships/table" Target="../tables/table54.xml"/><Relationship Id="rId5" Type="http://schemas.openxmlformats.org/officeDocument/2006/relationships/table" Target="../tables/table6.xml"/><Relationship Id="rId10" Type="http://schemas.openxmlformats.org/officeDocument/2006/relationships/table" Target="../tables/table11.xml"/><Relationship Id="rId19" Type="http://schemas.openxmlformats.org/officeDocument/2006/relationships/table" Target="../tables/table20.xml"/><Relationship Id="rId31" Type="http://schemas.openxmlformats.org/officeDocument/2006/relationships/table" Target="../tables/table32.xml"/><Relationship Id="rId44" Type="http://schemas.openxmlformats.org/officeDocument/2006/relationships/table" Target="../tables/table45.xml"/><Relationship Id="rId52" Type="http://schemas.openxmlformats.org/officeDocument/2006/relationships/table" Target="../tables/table53.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35" Type="http://schemas.openxmlformats.org/officeDocument/2006/relationships/table" Target="../tables/table36.xml"/><Relationship Id="rId43" Type="http://schemas.openxmlformats.org/officeDocument/2006/relationships/table" Target="../tables/table44.xml"/><Relationship Id="rId48" Type="http://schemas.openxmlformats.org/officeDocument/2006/relationships/table" Target="../tables/table49.xml"/><Relationship Id="rId8" Type="http://schemas.openxmlformats.org/officeDocument/2006/relationships/table" Target="../tables/table9.xml"/><Relationship Id="rId51" Type="http://schemas.openxmlformats.org/officeDocument/2006/relationships/table" Target="../tables/table52.xml"/><Relationship Id="rId3" Type="http://schemas.openxmlformats.org/officeDocument/2006/relationships/table" Target="../tables/table4.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38" Type="http://schemas.openxmlformats.org/officeDocument/2006/relationships/table" Target="../tables/table39.xml"/><Relationship Id="rId46" Type="http://schemas.openxmlformats.org/officeDocument/2006/relationships/table" Target="../tables/table47.xml"/><Relationship Id="rId20" Type="http://schemas.openxmlformats.org/officeDocument/2006/relationships/table" Target="../tables/table21.xml"/><Relationship Id="rId41" Type="http://schemas.openxmlformats.org/officeDocument/2006/relationships/table" Target="../tables/table42.xml"/><Relationship Id="rId54" Type="http://schemas.openxmlformats.org/officeDocument/2006/relationships/table" Target="../tables/table55.xml"/><Relationship Id="rId1" Type="http://schemas.openxmlformats.org/officeDocument/2006/relationships/table" Target="../tables/table2.xml"/><Relationship Id="rId6" Type="http://schemas.openxmlformats.org/officeDocument/2006/relationships/table" Target="../tables/table7.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36" Type="http://schemas.openxmlformats.org/officeDocument/2006/relationships/table" Target="../tables/table37.xml"/><Relationship Id="rId49" Type="http://schemas.openxmlformats.org/officeDocument/2006/relationships/table" Target="../tables/table5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3.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6.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6.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4.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7.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7.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5.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8.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8.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18" Type="http://schemas.openxmlformats.org/officeDocument/2006/relationships/ctrlProp" Target="../ctrlProps/ctrlProp73.xml"/><Relationship Id="rId3" Type="http://schemas.openxmlformats.org/officeDocument/2006/relationships/vmlDrawing" Target="../drawings/vmlDrawing6.vml"/><Relationship Id="rId21" Type="http://schemas.openxmlformats.org/officeDocument/2006/relationships/ctrlProp" Target="../ctrlProps/ctrlProp76.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 Type="http://schemas.openxmlformats.org/officeDocument/2006/relationships/drawing" Target="../drawings/drawing9.xml"/><Relationship Id="rId16" Type="http://schemas.openxmlformats.org/officeDocument/2006/relationships/ctrlProp" Target="../ctrlProps/ctrlProp71.xml"/><Relationship Id="rId20" Type="http://schemas.openxmlformats.org/officeDocument/2006/relationships/ctrlProp" Target="../ctrlProps/ctrlProp75.xml"/><Relationship Id="rId1" Type="http://schemas.openxmlformats.org/officeDocument/2006/relationships/printerSettings" Target="../printerSettings/printerSettings9.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19" Type="http://schemas.openxmlformats.org/officeDocument/2006/relationships/ctrlProp" Target="../ctrlProps/ctrlProp74.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25CF-BFD3-4016-9730-7644FCDF2462}">
  <sheetPr codeName="Planilha2">
    <tabColor theme="8" tint="0.59999389629810485"/>
  </sheetPr>
  <dimension ref="A1:BY27"/>
  <sheetViews>
    <sheetView showGridLines="0" tabSelected="1" topLeftCell="D1" workbookViewId="0">
      <selection activeCell="D1" sqref="D1"/>
    </sheetView>
  </sheetViews>
  <sheetFormatPr defaultColWidth="0" defaultRowHeight="15" zeroHeight="1" x14ac:dyDescent="0.25"/>
  <cols>
    <col min="1" max="3" width="2.7109375" style="20" hidden="1" customWidth="1"/>
    <col min="4" max="4" width="2.7109375" style="20" customWidth="1"/>
    <col min="5" max="5" width="2.7109375" style="20" customWidth="1" collapsed="1"/>
    <col min="6" max="41" width="4.7109375" style="20" customWidth="1"/>
    <col min="42" max="43" width="2.7109375" style="20" customWidth="1"/>
    <col min="44" max="54" width="4.7109375" style="20" hidden="1" customWidth="1"/>
    <col min="55" max="55" width="3.7109375" style="20" hidden="1" customWidth="1"/>
    <col min="56" max="77" width="0" style="20" hidden="1" customWidth="1"/>
    <col min="78" max="16384" width="9.140625" style="20" hidden="1"/>
  </cols>
  <sheetData>
    <row r="1" spans="1:70" x14ac:dyDescent="0.25">
      <c r="A1" s="18"/>
      <c r="B1" s="18"/>
      <c r="C1" s="18"/>
      <c r="D1" s="1"/>
      <c r="E1" s="1"/>
      <c r="F1" s="7"/>
      <c r="G1" s="7"/>
      <c r="H1" s="7"/>
      <c r="I1" s="7"/>
      <c r="J1" s="1"/>
      <c r="K1" s="1"/>
      <c r="L1" s="1"/>
      <c r="M1" s="1"/>
      <c r="N1" s="1"/>
      <c r="O1" s="1"/>
      <c r="P1" s="1"/>
      <c r="Q1" s="1"/>
      <c r="R1" s="1"/>
      <c r="S1" s="1"/>
      <c r="T1" s="1"/>
      <c r="U1" s="1"/>
      <c r="V1" s="1"/>
      <c r="W1" s="1"/>
      <c r="X1" s="1"/>
      <c r="Y1" s="43"/>
      <c r="Z1" s="1"/>
      <c r="AA1" s="1"/>
      <c r="AB1" s="1"/>
      <c r="AC1" s="1"/>
      <c r="AD1" s="1"/>
      <c r="AE1" s="1"/>
      <c r="AF1" s="1"/>
      <c r="AG1" s="1"/>
      <c r="AH1" s="1"/>
      <c r="AI1" s="1"/>
      <c r="AJ1" s="1"/>
      <c r="AK1" s="1"/>
      <c r="AL1" s="1"/>
      <c r="AM1" s="1"/>
      <c r="AN1" s="1"/>
      <c r="AO1" s="1"/>
      <c r="AP1" s="1"/>
      <c r="AQ1" s="1"/>
      <c r="AS1" s="1"/>
      <c r="AT1" s="1"/>
      <c r="AU1" s="1"/>
      <c r="AV1" s="1"/>
      <c r="AW1" s="1"/>
      <c r="AX1" s="1"/>
      <c r="AY1" s="1"/>
      <c r="AZ1" s="1"/>
      <c r="BA1" s="1"/>
      <c r="BB1" s="1"/>
      <c r="BC1" s="1"/>
      <c r="BD1" s="1"/>
      <c r="BE1" s="1"/>
      <c r="BF1" s="2"/>
      <c r="BG1" s="2"/>
      <c r="BH1" s="2"/>
      <c r="BI1" s="2"/>
      <c r="BJ1" s="2"/>
      <c r="BK1" s="2"/>
      <c r="BL1" s="2"/>
      <c r="BM1" s="2"/>
      <c r="BN1" s="2"/>
      <c r="BO1" s="2"/>
      <c r="BP1" s="2"/>
      <c r="BQ1" s="2"/>
      <c r="BR1" s="2"/>
    </row>
    <row r="2" spans="1:70" x14ac:dyDescent="0.25">
      <c r="A2" s="18"/>
      <c r="B2" s="18"/>
      <c r="C2" s="18"/>
      <c r="D2" s="1"/>
      <c r="E2" s="2"/>
      <c r="F2" s="990" t="s">
        <v>254</v>
      </c>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1" t="s">
        <v>8444</v>
      </c>
      <c r="AK2" s="991"/>
      <c r="AL2" s="991"/>
      <c r="AM2" s="991"/>
      <c r="AN2" s="991"/>
      <c r="AO2" s="991"/>
      <c r="AP2" s="2"/>
      <c r="AQ2" s="1"/>
      <c r="AS2" s="1"/>
      <c r="AT2" s="1"/>
      <c r="AU2" s="1"/>
      <c r="AV2" s="1"/>
      <c r="AW2" s="1"/>
      <c r="AX2" s="1"/>
      <c r="AY2" s="1"/>
      <c r="AZ2" s="1"/>
      <c r="BA2" s="1"/>
      <c r="BB2" s="1"/>
      <c r="BC2" s="1"/>
      <c r="BD2" s="1"/>
      <c r="BE2" s="1"/>
      <c r="BF2" s="2"/>
      <c r="BG2" s="2"/>
      <c r="BH2" s="2"/>
      <c r="BI2" s="2"/>
      <c r="BJ2" s="2"/>
      <c r="BK2" s="2"/>
      <c r="BL2" s="2"/>
      <c r="BM2" s="2"/>
      <c r="BN2" s="2"/>
      <c r="BO2" s="2"/>
      <c r="BP2" s="2"/>
      <c r="BQ2" s="2"/>
      <c r="BR2" s="2"/>
    </row>
    <row r="3" spans="1:70" x14ac:dyDescent="0.25">
      <c r="A3" s="18"/>
      <c r="B3" s="18"/>
      <c r="C3" s="18"/>
      <c r="D3" s="1"/>
      <c r="E3" s="2"/>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90"/>
      <c r="AI3" s="990"/>
      <c r="AJ3" s="991"/>
      <c r="AK3" s="991"/>
      <c r="AL3" s="991"/>
      <c r="AM3" s="991"/>
      <c r="AN3" s="991"/>
      <c r="AO3" s="991"/>
      <c r="AP3" s="2"/>
      <c r="AQ3" s="1"/>
      <c r="AS3" s="1"/>
      <c r="AT3" s="1"/>
      <c r="AU3" s="1"/>
      <c r="AV3" s="1"/>
      <c r="AW3" s="1"/>
      <c r="AX3" s="1"/>
      <c r="AY3" s="1"/>
      <c r="AZ3" s="1"/>
      <c r="BA3" s="1"/>
      <c r="BB3" s="1"/>
      <c r="BC3" s="1"/>
      <c r="BD3" s="1"/>
      <c r="BE3" s="1"/>
      <c r="BF3" s="2"/>
      <c r="BG3" s="2"/>
      <c r="BH3" s="2"/>
      <c r="BI3" s="2"/>
      <c r="BJ3" s="2"/>
      <c r="BK3" s="2"/>
      <c r="BL3" s="2"/>
      <c r="BM3" s="2"/>
      <c r="BN3" s="2"/>
      <c r="BO3" s="2"/>
      <c r="BP3" s="2"/>
      <c r="BQ3" s="2"/>
      <c r="BR3" s="2"/>
    </row>
    <row r="4" spans="1:70" x14ac:dyDescent="0.25">
      <c r="A4" s="18"/>
      <c r="B4" s="18"/>
      <c r="C4" s="18"/>
      <c r="D4" s="1"/>
      <c r="E4" s="2"/>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90"/>
      <c r="AI4" s="990"/>
      <c r="AJ4" s="991"/>
      <c r="AK4" s="991"/>
      <c r="AL4" s="991"/>
      <c r="AM4" s="991"/>
      <c r="AN4" s="991"/>
      <c r="AO4" s="991"/>
      <c r="AP4" s="2"/>
      <c r="AQ4" s="1"/>
      <c r="AS4" s="1"/>
      <c r="AT4" s="1"/>
      <c r="AU4" s="1"/>
      <c r="AV4" s="1"/>
      <c r="AW4" s="1"/>
      <c r="AX4" s="1"/>
      <c r="AY4" s="1"/>
      <c r="AZ4" s="1"/>
      <c r="BA4" s="1"/>
      <c r="BB4" s="1"/>
      <c r="BC4" s="1"/>
      <c r="BD4" s="1"/>
      <c r="BE4" s="1"/>
      <c r="BF4" s="2"/>
      <c r="BG4" s="2"/>
      <c r="BH4" s="2"/>
      <c r="BI4" s="2"/>
      <c r="BJ4" s="2"/>
      <c r="BK4" s="2"/>
      <c r="BL4" s="2"/>
      <c r="BM4" s="2"/>
      <c r="BN4" s="2"/>
      <c r="BO4" s="2"/>
      <c r="BP4" s="2"/>
      <c r="BQ4" s="2"/>
      <c r="BR4" s="2"/>
    </row>
    <row r="5" spans="1:70" x14ac:dyDescent="0.25">
      <c r="A5" s="18"/>
      <c r="B5" s="18"/>
      <c r="C5" s="18"/>
      <c r="D5" s="1"/>
      <c r="E5" s="2"/>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1"/>
      <c r="AK5" s="991"/>
      <c r="AL5" s="991"/>
      <c r="AM5" s="991"/>
      <c r="AN5" s="991"/>
      <c r="AO5" s="991"/>
      <c r="AP5" s="2"/>
      <c r="AQ5" s="1"/>
      <c r="AS5" s="1"/>
      <c r="AT5" s="1"/>
      <c r="AU5" s="1"/>
      <c r="AV5" s="1"/>
      <c r="AW5" s="1"/>
      <c r="AX5" s="1"/>
      <c r="AY5" s="1"/>
      <c r="AZ5" s="1"/>
      <c r="BA5" s="1"/>
      <c r="BB5" s="1"/>
      <c r="BC5" s="1"/>
      <c r="BD5" s="1"/>
      <c r="BE5" s="1"/>
      <c r="BF5" s="2"/>
      <c r="BG5" s="2"/>
      <c r="BH5" s="2"/>
      <c r="BI5" s="2"/>
      <c r="BJ5" s="2"/>
      <c r="BK5" s="2"/>
      <c r="BL5" s="2"/>
      <c r="BM5" s="2"/>
      <c r="BN5" s="2"/>
      <c r="BO5" s="2"/>
      <c r="BP5" s="2"/>
      <c r="BQ5" s="2"/>
      <c r="BR5" s="2"/>
    </row>
    <row r="6" spans="1:70" ht="15.75" customHeight="1" x14ac:dyDescent="0.25">
      <c r="A6" s="18"/>
      <c r="B6" s="18"/>
      <c r="C6" s="18"/>
      <c r="D6" s="1"/>
      <c r="E6" s="2"/>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1"/>
      <c r="AK6" s="991"/>
      <c r="AL6" s="991"/>
      <c r="AM6" s="991"/>
      <c r="AN6" s="991"/>
      <c r="AO6" s="991"/>
      <c r="AP6" s="2"/>
      <c r="AQ6" s="1"/>
      <c r="AS6" s="1"/>
      <c r="AT6" s="1"/>
      <c r="AU6" s="1"/>
      <c r="AV6" s="1"/>
      <c r="AW6" s="1"/>
      <c r="AX6" s="1"/>
      <c r="AY6" s="1"/>
      <c r="AZ6" s="1"/>
      <c r="BA6" s="1"/>
      <c r="BB6" s="1"/>
      <c r="BC6" s="1"/>
      <c r="BD6" s="1"/>
      <c r="BE6" s="1"/>
      <c r="BF6" s="2"/>
      <c r="BG6" s="2"/>
      <c r="BH6" s="2"/>
      <c r="BI6" s="2"/>
      <c r="BJ6" s="2"/>
      <c r="BK6" s="2"/>
      <c r="BL6" s="2"/>
      <c r="BM6" s="2"/>
      <c r="BN6" s="2"/>
      <c r="BO6" s="2"/>
      <c r="BP6" s="2"/>
      <c r="BQ6" s="2"/>
      <c r="BR6" s="2"/>
    </row>
    <row r="7" spans="1:70" x14ac:dyDescent="0.25">
      <c r="A7" s="18"/>
      <c r="B7" s="18"/>
      <c r="C7" s="18"/>
      <c r="D7" s="1"/>
      <c r="E7" s="2"/>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c r="AF7" s="990"/>
      <c r="AG7" s="990"/>
      <c r="AH7" s="990"/>
      <c r="AI7" s="990"/>
      <c r="AJ7" s="991"/>
      <c r="AK7" s="991"/>
      <c r="AL7" s="991"/>
      <c r="AM7" s="991"/>
      <c r="AN7" s="991"/>
      <c r="AO7" s="991"/>
      <c r="AP7" s="2"/>
      <c r="AQ7" s="1"/>
      <c r="AS7" s="1"/>
      <c r="AT7" s="1"/>
      <c r="AU7" s="1"/>
      <c r="AV7" s="1"/>
      <c r="AW7" s="1"/>
      <c r="AX7" s="1"/>
      <c r="AY7" s="1"/>
      <c r="AZ7" s="1"/>
      <c r="BA7" s="1"/>
      <c r="BB7" s="1"/>
      <c r="BC7" s="1"/>
      <c r="BD7" s="1"/>
      <c r="BE7" s="1"/>
      <c r="BF7" s="2"/>
      <c r="BG7" s="2"/>
      <c r="BH7" s="2"/>
      <c r="BI7" s="2"/>
      <c r="BJ7" s="2"/>
      <c r="BK7" s="2"/>
      <c r="BL7" s="2"/>
      <c r="BM7" s="2"/>
      <c r="BN7" s="2"/>
      <c r="BO7" s="2"/>
      <c r="BP7" s="2"/>
      <c r="BQ7" s="2"/>
      <c r="BR7" s="2"/>
    </row>
    <row r="8" spans="1:70" hidden="1" x14ac:dyDescent="0.25">
      <c r="A8" s="18"/>
      <c r="B8" s="18"/>
      <c r="C8" s="18"/>
      <c r="D8" s="1"/>
      <c r="E8" s="1"/>
      <c r="F8" s="1"/>
      <c r="G8" s="1"/>
      <c r="H8" s="1"/>
      <c r="I8" s="1"/>
      <c r="J8" s="1"/>
      <c r="K8" s="1"/>
      <c r="L8" s="1"/>
      <c r="M8" s="1"/>
      <c r="N8" s="1"/>
      <c r="O8" s="1"/>
      <c r="P8" s="1"/>
      <c r="Q8" s="1"/>
      <c r="R8" s="1"/>
      <c r="S8" s="1"/>
      <c r="T8" s="1"/>
      <c r="U8" s="1"/>
      <c r="V8" s="1"/>
      <c r="W8" s="1"/>
      <c r="X8" s="1"/>
      <c r="Y8" s="43"/>
      <c r="Z8" s="1"/>
      <c r="AA8" s="1"/>
      <c r="AB8" s="1"/>
      <c r="AC8" s="1"/>
      <c r="AD8" s="1"/>
      <c r="AE8" s="1"/>
      <c r="AF8" s="1"/>
      <c r="AG8" s="1"/>
      <c r="AH8" s="43"/>
      <c r="AI8" s="1"/>
      <c r="AJ8" s="1"/>
      <c r="AK8" s="1"/>
      <c r="AL8" s="1"/>
      <c r="AM8" s="1"/>
      <c r="AN8" s="1"/>
      <c r="AO8" s="1"/>
      <c r="AP8" s="1"/>
      <c r="AQ8" s="1"/>
      <c r="AS8" s="1"/>
      <c r="AT8" s="1"/>
      <c r="AU8" s="1"/>
      <c r="AV8" s="1"/>
      <c r="AW8" s="1"/>
      <c r="AX8" s="1"/>
      <c r="AY8" s="1"/>
      <c r="AZ8" s="1"/>
      <c r="BA8" s="1"/>
      <c r="BB8" s="1"/>
      <c r="BC8" s="1"/>
      <c r="BD8" s="1"/>
      <c r="BE8" s="1"/>
      <c r="BF8" s="2"/>
      <c r="BG8" s="2"/>
      <c r="BH8" s="2"/>
      <c r="BI8" s="2"/>
      <c r="BJ8" s="2"/>
      <c r="BK8" s="2"/>
      <c r="BL8" s="2"/>
      <c r="BM8" s="2"/>
      <c r="BN8" s="2"/>
      <c r="BO8" s="2"/>
      <c r="BP8" s="2"/>
      <c r="BQ8" s="2"/>
      <c r="BR8" s="2"/>
    </row>
    <row r="9" spans="1:70" x14ac:dyDescent="0.25">
      <c r="A9" s="18"/>
      <c r="B9" s="18"/>
      <c r="C9" s="18"/>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S9" s="1"/>
      <c r="AT9" s="1"/>
      <c r="AU9" s="1"/>
      <c r="AV9" s="1"/>
      <c r="AW9" s="1"/>
      <c r="AX9" s="1"/>
      <c r="AY9" s="1"/>
      <c r="AZ9" s="1"/>
      <c r="BA9" s="1"/>
      <c r="BB9" s="1"/>
      <c r="BC9" s="1"/>
      <c r="BD9" s="1"/>
      <c r="BE9" s="1"/>
      <c r="BF9" s="2"/>
      <c r="BG9" s="2"/>
      <c r="BH9" s="2"/>
      <c r="BI9" s="2"/>
      <c r="BJ9" s="2"/>
      <c r="BK9" s="2"/>
      <c r="BL9" s="2"/>
      <c r="BM9" s="2"/>
      <c r="BN9" s="2"/>
      <c r="BO9" s="2"/>
      <c r="BP9" s="2"/>
      <c r="BQ9" s="2"/>
      <c r="BR9" s="2"/>
    </row>
    <row r="10" spans="1:70" s="2" customFormat="1" ht="20.100000000000001" customHeight="1" x14ac:dyDescent="0.25">
      <c r="A10" s="18"/>
      <c r="B10" s="18"/>
      <c r="C10" s="18"/>
      <c r="D10" s="1"/>
      <c r="F10" s="995" t="s">
        <v>7084</v>
      </c>
      <c r="G10" s="995"/>
      <c r="H10" s="995"/>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c r="AL10" s="995"/>
      <c r="AM10" s="995"/>
      <c r="AN10" s="995"/>
      <c r="AO10" s="995"/>
      <c r="AP10" s="44"/>
      <c r="AQ10" s="1"/>
      <c r="AR10" s="20"/>
      <c r="AS10" s="33"/>
      <c r="AT10" s="33"/>
      <c r="AU10" s="33"/>
      <c r="AV10" s="33"/>
      <c r="AW10" s="33"/>
      <c r="AX10" s="33"/>
      <c r="AY10" s="33"/>
      <c r="AZ10" s="33"/>
      <c r="BA10" s="33"/>
      <c r="BB10" s="33"/>
    </row>
    <row r="11" spans="1:70" s="2" customFormat="1" ht="20.100000000000001" customHeight="1" x14ac:dyDescent="0.25">
      <c r="A11" s="18"/>
      <c r="B11" s="18"/>
      <c r="C11" s="18"/>
      <c r="D11" s="1"/>
      <c r="AQ11" s="1"/>
      <c r="AR11" s="20"/>
    </row>
    <row r="12" spans="1:70" s="2" customFormat="1" ht="20.100000000000001" customHeight="1" x14ac:dyDescent="0.25">
      <c r="A12" s="18"/>
      <c r="B12" s="18"/>
      <c r="C12" s="18"/>
      <c r="D12" s="1"/>
      <c r="F12" s="964" t="s">
        <v>187</v>
      </c>
      <c r="G12" s="965"/>
      <c r="H12" s="965"/>
      <c r="I12" s="965"/>
      <c r="J12" s="965"/>
      <c r="K12" s="965"/>
      <c r="L12" s="965"/>
      <c r="M12" s="45" t="s">
        <v>186</v>
      </c>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34"/>
      <c r="AQ12" s="1"/>
      <c r="AR12" s="20"/>
      <c r="AS12" s="34"/>
      <c r="AT12" s="34"/>
      <c r="AU12" s="34"/>
      <c r="AV12" s="34"/>
      <c r="AW12" s="34"/>
      <c r="AX12" s="34"/>
      <c r="AY12" s="34"/>
      <c r="AZ12" s="34"/>
      <c r="BA12" s="34"/>
      <c r="BB12" s="34"/>
    </row>
    <row r="13" spans="1:70" s="2" customFormat="1" ht="20.100000000000001" customHeight="1" x14ac:dyDescent="0.25">
      <c r="A13" s="18"/>
      <c r="B13" s="18"/>
      <c r="C13" s="18"/>
      <c r="D13" s="1"/>
      <c r="F13" s="964" t="s">
        <v>7950</v>
      </c>
      <c r="G13" s="965"/>
      <c r="H13" s="965"/>
      <c r="I13" s="965"/>
      <c r="J13" s="965"/>
      <c r="K13" s="965"/>
      <c r="L13" s="965"/>
      <c r="M13" s="45" t="s">
        <v>186</v>
      </c>
      <c r="N13" s="997"/>
      <c r="O13" s="997"/>
      <c r="P13" s="997"/>
      <c r="Q13" s="997"/>
      <c r="R13" s="997"/>
      <c r="S13" s="997"/>
      <c r="T13" s="997"/>
      <c r="U13" s="997"/>
      <c r="V13" s="997"/>
      <c r="W13" s="997"/>
      <c r="X13" s="997"/>
      <c r="Y13" s="997"/>
      <c r="Z13" s="997"/>
      <c r="AA13" s="997"/>
      <c r="AB13" s="997"/>
      <c r="AC13" s="997"/>
      <c r="AD13" s="997"/>
      <c r="AE13" s="997"/>
      <c r="AF13" s="997"/>
      <c r="AG13" s="997"/>
      <c r="AH13" s="997"/>
      <c r="AI13" s="997"/>
      <c r="AJ13" s="997"/>
      <c r="AK13" s="997"/>
      <c r="AL13" s="997"/>
      <c r="AM13" s="997"/>
      <c r="AN13" s="997"/>
      <c r="AO13" s="997"/>
      <c r="AP13" s="35"/>
      <c r="AQ13" s="1"/>
      <c r="AR13" s="20"/>
      <c r="AS13" s="35"/>
      <c r="AT13" s="35"/>
      <c r="AU13" s="35"/>
      <c r="AV13" s="35"/>
      <c r="AW13" s="35"/>
      <c r="AX13" s="35"/>
      <c r="AY13" s="35"/>
      <c r="AZ13" s="35"/>
      <c r="BA13" s="35"/>
      <c r="BB13" s="35"/>
    </row>
    <row r="14" spans="1:70" s="2" customFormat="1" ht="20.100000000000001" customHeight="1" x14ac:dyDescent="0.25">
      <c r="A14" s="18"/>
      <c r="B14" s="18"/>
      <c r="C14" s="18"/>
      <c r="D14" s="1"/>
      <c r="F14" s="962" t="s">
        <v>198</v>
      </c>
      <c r="G14" s="963"/>
      <c r="H14" s="963"/>
      <c r="I14" s="963"/>
      <c r="J14" s="963"/>
      <c r="K14" s="963"/>
      <c r="L14" s="963"/>
      <c r="M14" s="45" t="s">
        <v>186</v>
      </c>
      <c r="N14" s="998"/>
      <c r="O14" s="998"/>
      <c r="P14" s="998"/>
      <c r="Q14" s="998"/>
      <c r="R14" s="998"/>
      <c r="S14" s="998"/>
      <c r="T14" s="998"/>
      <c r="U14" s="998"/>
      <c r="V14" s="998"/>
      <c r="W14" s="998"/>
      <c r="X14" s="998"/>
      <c r="Y14" s="998"/>
      <c r="Z14" s="998"/>
      <c r="AA14" s="998"/>
      <c r="AB14" s="998"/>
      <c r="AC14" s="998"/>
      <c r="AD14" s="998"/>
      <c r="AE14" s="998"/>
      <c r="AF14" s="998"/>
      <c r="AG14" s="998"/>
      <c r="AH14" s="998"/>
      <c r="AI14" s="998"/>
      <c r="AJ14" s="998"/>
      <c r="AK14" s="998"/>
      <c r="AL14" s="998"/>
      <c r="AM14" s="998"/>
      <c r="AN14" s="998"/>
      <c r="AO14" s="998"/>
      <c r="AP14" s="36"/>
      <c r="AQ14" s="1"/>
      <c r="AR14" s="20"/>
      <c r="AS14" s="36"/>
      <c r="AT14" s="36"/>
      <c r="AU14" s="36"/>
      <c r="AV14" s="36"/>
      <c r="AW14" s="36"/>
      <c r="AX14" s="36"/>
      <c r="AY14" s="36"/>
      <c r="AZ14" s="36"/>
      <c r="BA14" s="36"/>
      <c r="BB14" s="36"/>
    </row>
    <row r="15" spans="1:70" s="2" customFormat="1" ht="20.100000000000001" customHeight="1" x14ac:dyDescent="0.25">
      <c r="A15" s="18"/>
      <c r="B15" s="18"/>
      <c r="C15" s="18"/>
      <c r="D15" s="1"/>
      <c r="AQ15" s="1"/>
      <c r="AR15" s="20"/>
    </row>
    <row r="16" spans="1:70" ht="20.100000000000001" customHeight="1" x14ac:dyDescent="0.25">
      <c r="A16" s="18"/>
      <c r="B16" s="18"/>
      <c r="C16" s="18"/>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S16" s="37"/>
      <c r="AT16" s="37"/>
      <c r="AU16" s="37"/>
      <c r="AV16" s="37"/>
      <c r="AW16" s="37"/>
      <c r="AX16" s="37"/>
      <c r="AY16" s="37"/>
      <c r="AZ16" s="37"/>
      <c r="BA16" s="37"/>
      <c r="BB16" s="37"/>
      <c r="BC16" s="1"/>
      <c r="BD16" s="1"/>
      <c r="BE16" s="1"/>
      <c r="BF16" s="2"/>
      <c r="BG16" s="2"/>
      <c r="BH16" s="2"/>
      <c r="BI16" s="2"/>
      <c r="BJ16" s="2"/>
      <c r="BK16" s="2"/>
      <c r="BL16" s="2"/>
      <c r="BM16" s="2"/>
      <c r="BN16" s="2"/>
      <c r="BO16" s="2"/>
      <c r="BP16" s="2"/>
      <c r="BQ16" s="2"/>
      <c r="BR16" s="2"/>
    </row>
    <row r="17" spans="1:70" ht="20.100000000000001" customHeight="1" x14ac:dyDescent="0.25">
      <c r="A17" s="18"/>
      <c r="B17" s="18"/>
      <c r="C17" s="18"/>
      <c r="D17" s="1"/>
      <c r="E17" s="2"/>
      <c r="F17" s="995" t="s">
        <v>1</v>
      </c>
      <c r="G17" s="995"/>
      <c r="H17" s="995"/>
      <c r="I17" s="995"/>
      <c r="J17" s="995"/>
      <c r="K17" s="995"/>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44"/>
      <c r="AQ17" s="1"/>
      <c r="AS17" s="1"/>
      <c r="AT17" s="1"/>
      <c r="AU17" s="1"/>
      <c r="AV17" s="1"/>
      <c r="AW17" s="1"/>
      <c r="AX17" s="1"/>
      <c r="AY17" s="1"/>
      <c r="AZ17" s="1"/>
      <c r="BA17" s="1"/>
      <c r="BB17" s="1"/>
      <c r="BC17" s="1"/>
      <c r="BD17" s="1"/>
      <c r="BE17" s="1"/>
      <c r="BF17" s="2"/>
      <c r="BG17" s="2"/>
      <c r="BH17" s="2"/>
      <c r="BI17" s="2"/>
      <c r="BJ17" s="2"/>
      <c r="BK17" s="2"/>
      <c r="BL17" s="2"/>
      <c r="BM17" s="2"/>
      <c r="BN17" s="2"/>
      <c r="BO17" s="2"/>
      <c r="BP17" s="2"/>
      <c r="BQ17" s="2"/>
      <c r="BR17" s="2"/>
    </row>
    <row r="18" spans="1:70" ht="20.100000000000001" customHeight="1" x14ac:dyDescent="0.25">
      <c r="A18" s="18"/>
      <c r="B18" s="18"/>
      <c r="C18" s="18"/>
      <c r="D18" s="1"/>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1"/>
      <c r="AS18" s="1"/>
      <c r="AT18" s="1"/>
      <c r="AU18" s="1"/>
      <c r="AV18" s="1"/>
      <c r="AW18" s="1"/>
      <c r="AX18" s="1"/>
      <c r="AY18" s="1"/>
      <c r="AZ18" s="1"/>
      <c r="BA18" s="1"/>
      <c r="BB18" s="1"/>
      <c r="BC18" s="1"/>
      <c r="BD18" s="1"/>
      <c r="BE18" s="1"/>
      <c r="BF18" s="2"/>
      <c r="BG18" s="2"/>
      <c r="BH18" s="2"/>
      <c r="BI18" s="2"/>
      <c r="BJ18" s="2"/>
      <c r="BK18" s="2"/>
      <c r="BL18" s="2"/>
      <c r="BM18" s="2"/>
      <c r="BN18" s="2"/>
      <c r="BO18" s="2"/>
      <c r="BP18" s="2"/>
      <c r="BQ18" s="2"/>
      <c r="BR18" s="2"/>
    </row>
    <row r="19" spans="1:70" ht="20.100000000000001" customHeight="1" x14ac:dyDescent="0.25">
      <c r="A19" s="18"/>
      <c r="B19" s="18"/>
      <c r="C19" s="18"/>
      <c r="D19" s="1"/>
      <c r="E19" s="2"/>
      <c r="F19" s="964" t="s">
        <v>131</v>
      </c>
      <c r="G19" s="965"/>
      <c r="H19" s="965"/>
      <c r="I19" s="965"/>
      <c r="J19" s="965"/>
      <c r="K19" s="965"/>
      <c r="L19" s="965"/>
      <c r="M19" s="45" t="s">
        <v>186</v>
      </c>
      <c r="N19" s="970"/>
      <c r="O19" s="971"/>
      <c r="P19" s="971"/>
      <c r="Q19" s="971"/>
      <c r="R19" s="971"/>
      <c r="S19" s="971"/>
      <c r="T19" s="971"/>
      <c r="U19" s="972"/>
      <c r="V19" s="2"/>
      <c r="W19" s="2"/>
      <c r="X19" s="2"/>
      <c r="Y19" s="2"/>
      <c r="Z19" s="2"/>
      <c r="AA19" s="2"/>
      <c r="AB19" s="2"/>
      <c r="AC19" s="2"/>
      <c r="AD19" s="2"/>
      <c r="AE19" s="2"/>
      <c r="AF19" s="2"/>
      <c r="AG19" s="2"/>
      <c r="AH19" s="2"/>
      <c r="AI19" s="2"/>
      <c r="AJ19" s="2"/>
      <c r="AK19" s="2"/>
      <c r="AL19" s="2"/>
      <c r="AM19" s="2"/>
      <c r="AN19" s="2"/>
      <c r="AO19" s="2"/>
      <c r="AP19" s="2"/>
      <c r="AQ19" s="1"/>
      <c r="AS19" s="1"/>
      <c r="AT19" s="1"/>
      <c r="AU19" s="1"/>
      <c r="AV19" s="1"/>
      <c r="AW19" s="1"/>
      <c r="AX19" s="1"/>
      <c r="AY19" s="1"/>
      <c r="AZ19" s="1"/>
      <c r="BA19" s="1"/>
      <c r="BB19" s="1"/>
      <c r="BC19" s="1"/>
      <c r="BD19" s="1"/>
      <c r="BE19" s="1"/>
      <c r="BF19" s="2"/>
      <c r="BG19" s="2"/>
      <c r="BH19" s="2"/>
      <c r="BI19" s="2"/>
      <c r="BJ19" s="2"/>
      <c r="BK19" s="2"/>
      <c r="BL19" s="2"/>
      <c r="BM19" s="2"/>
      <c r="BN19" s="2"/>
      <c r="BO19" s="2"/>
      <c r="BP19" s="2"/>
      <c r="BQ19" s="2"/>
      <c r="BR19" s="2"/>
    </row>
    <row r="20" spans="1:70" ht="20.100000000000001" customHeight="1" x14ac:dyDescent="0.25">
      <c r="A20" s="18"/>
      <c r="B20" s="18"/>
      <c r="C20" s="18"/>
      <c r="D20" s="1"/>
      <c r="E20" s="2"/>
      <c r="F20" s="964" t="s">
        <v>2</v>
      </c>
      <c r="G20" s="965"/>
      <c r="H20" s="965"/>
      <c r="I20" s="965"/>
      <c r="J20" s="965"/>
      <c r="K20" s="965"/>
      <c r="L20" s="965"/>
      <c r="M20" s="45" t="s">
        <v>186</v>
      </c>
      <c r="N20" s="973"/>
      <c r="O20" s="974"/>
      <c r="P20" s="974"/>
      <c r="Q20" s="974"/>
      <c r="R20" s="974"/>
      <c r="S20" s="974"/>
      <c r="T20" s="974"/>
      <c r="U20" s="975"/>
      <c r="V20" s="979" t="s">
        <v>3</v>
      </c>
      <c r="W20" s="980"/>
      <c r="X20" s="980"/>
      <c r="Y20" s="980"/>
      <c r="Z20" s="45" t="s">
        <v>186</v>
      </c>
      <c r="AA20" s="999"/>
      <c r="AB20" s="1000"/>
      <c r="AC20" s="1000"/>
      <c r="AD20" s="1000"/>
      <c r="AE20" s="1001"/>
      <c r="AF20" s="2"/>
      <c r="AG20" s="2"/>
      <c r="AH20" s="47"/>
      <c r="AI20" s="47"/>
      <c r="AJ20" s="47"/>
      <c r="AK20" s="47"/>
      <c r="AL20" s="47"/>
      <c r="AM20" s="47"/>
      <c r="AN20" s="47"/>
      <c r="AO20" s="47"/>
      <c r="AP20" s="47"/>
      <c r="AQ20" s="1"/>
      <c r="AS20" s="38"/>
      <c r="AT20" s="38"/>
      <c r="AU20" s="38"/>
      <c r="AV20" s="38"/>
      <c r="AW20" s="38"/>
      <c r="AX20" s="38"/>
      <c r="AY20" s="38"/>
      <c r="AZ20" s="38"/>
      <c r="BA20" s="38"/>
      <c r="BB20" s="38"/>
      <c r="BC20" s="1"/>
      <c r="BD20" s="1"/>
      <c r="BE20" s="1"/>
      <c r="BF20" s="2"/>
      <c r="BG20" s="2"/>
      <c r="BH20" s="2"/>
      <c r="BI20" s="2"/>
      <c r="BJ20" s="2"/>
      <c r="BK20" s="2"/>
      <c r="BL20" s="2"/>
      <c r="BM20" s="2"/>
      <c r="BN20" s="2"/>
      <c r="BO20" s="2"/>
      <c r="BP20" s="2"/>
      <c r="BQ20" s="2"/>
      <c r="BR20" s="2"/>
    </row>
    <row r="21" spans="1:70" ht="20.100000000000001" customHeight="1" x14ac:dyDescent="0.25">
      <c r="A21" s="18"/>
      <c r="B21" s="18"/>
      <c r="C21" s="18"/>
      <c r="D21" s="1"/>
      <c r="E21" s="2"/>
      <c r="F21" s="962" t="s">
        <v>4</v>
      </c>
      <c r="G21" s="963"/>
      <c r="H21" s="963"/>
      <c r="I21" s="963"/>
      <c r="J21" s="963"/>
      <c r="K21" s="963"/>
      <c r="L21" s="963"/>
      <c r="M21" s="45" t="s">
        <v>186</v>
      </c>
      <c r="N21" s="992"/>
      <c r="O21" s="993"/>
      <c r="P21" s="993"/>
      <c r="Q21" s="993"/>
      <c r="R21" s="993"/>
      <c r="S21" s="993"/>
      <c r="T21" s="993"/>
      <c r="U21" s="993"/>
      <c r="V21" s="993"/>
      <c r="W21" s="993"/>
      <c r="X21" s="993"/>
      <c r="Y21" s="993"/>
      <c r="Z21" s="993"/>
      <c r="AA21" s="993"/>
      <c r="AB21" s="993"/>
      <c r="AC21" s="993"/>
      <c r="AD21" s="993"/>
      <c r="AE21" s="994"/>
      <c r="AF21" s="48"/>
      <c r="AG21" s="48"/>
      <c r="AH21" s="48"/>
      <c r="AI21" s="48"/>
      <c r="AJ21" s="48"/>
      <c r="AK21" s="48"/>
      <c r="AL21" s="48"/>
      <c r="AM21" s="48"/>
      <c r="AN21" s="48"/>
      <c r="AO21" s="48"/>
      <c r="AP21" s="48"/>
      <c r="AQ21" s="1"/>
      <c r="AS21" s="39"/>
      <c r="AT21" s="39"/>
      <c r="AU21" s="39"/>
      <c r="AV21" s="39"/>
      <c r="AW21" s="39"/>
      <c r="AX21" s="39"/>
      <c r="AY21" s="39"/>
      <c r="AZ21" s="39"/>
      <c r="BA21" s="39"/>
      <c r="BB21" s="39"/>
      <c r="BC21" s="1"/>
      <c r="BD21" s="1"/>
      <c r="BE21" s="1"/>
      <c r="BF21" s="2"/>
      <c r="BG21" s="2"/>
      <c r="BH21" s="2"/>
      <c r="BI21" s="2"/>
      <c r="BJ21" s="2"/>
      <c r="BK21" s="2"/>
      <c r="BL21" s="2"/>
      <c r="BM21" s="2"/>
      <c r="BN21" s="2"/>
      <c r="BO21" s="2"/>
      <c r="BP21" s="2"/>
      <c r="BQ21" s="2"/>
      <c r="BR21" s="2"/>
    </row>
    <row r="22" spans="1:70" ht="20.100000000000001" customHeight="1" x14ac:dyDescent="0.25">
      <c r="A22" s="18"/>
      <c r="B22" s="18"/>
      <c r="C22" s="18"/>
      <c r="D22" s="1"/>
      <c r="E22" s="2"/>
      <c r="F22" s="962" t="s">
        <v>5</v>
      </c>
      <c r="G22" s="963"/>
      <c r="H22" s="963"/>
      <c r="I22" s="963"/>
      <c r="J22" s="963"/>
      <c r="K22" s="963"/>
      <c r="L22" s="963"/>
      <c r="M22" s="45" t="s">
        <v>186</v>
      </c>
      <c r="N22" s="992"/>
      <c r="O22" s="993"/>
      <c r="P22" s="993"/>
      <c r="Q22" s="993"/>
      <c r="R22" s="993"/>
      <c r="S22" s="993"/>
      <c r="T22" s="993"/>
      <c r="U22" s="993"/>
      <c r="V22" s="993"/>
      <c r="W22" s="993"/>
      <c r="X22" s="993"/>
      <c r="Y22" s="993"/>
      <c r="Z22" s="993"/>
      <c r="AA22" s="993"/>
      <c r="AB22" s="993"/>
      <c r="AC22" s="993"/>
      <c r="AD22" s="993"/>
      <c r="AE22" s="994"/>
      <c r="AF22" s="979" t="s">
        <v>15</v>
      </c>
      <c r="AG22" s="980"/>
      <c r="AH22" s="45" t="s">
        <v>186</v>
      </c>
      <c r="AI22" s="987"/>
      <c r="AJ22" s="988"/>
      <c r="AK22" s="988"/>
      <c r="AL22" s="988"/>
      <c r="AM22" s="988"/>
      <c r="AN22" s="988"/>
      <c r="AO22" s="989"/>
      <c r="AP22" s="48"/>
      <c r="AQ22" s="1"/>
      <c r="AS22" s="1"/>
      <c r="AT22" s="39"/>
      <c r="AU22" s="39"/>
      <c r="AV22" s="39"/>
      <c r="AW22" s="39"/>
      <c r="AX22" s="39"/>
      <c r="AY22" s="39"/>
      <c r="AZ22" s="39"/>
      <c r="BA22" s="39"/>
      <c r="BB22" s="39"/>
      <c r="BC22" s="1"/>
      <c r="BD22" s="1"/>
      <c r="BE22" s="1"/>
      <c r="BF22" s="2"/>
      <c r="BG22" s="2"/>
      <c r="BH22" s="2"/>
      <c r="BI22" s="2"/>
      <c r="BJ22" s="2"/>
      <c r="BK22" s="2"/>
      <c r="BL22" s="2"/>
      <c r="BM22" s="2"/>
      <c r="BN22" s="2"/>
      <c r="BO22" s="2"/>
      <c r="BP22" s="2"/>
      <c r="BQ22" s="2"/>
      <c r="BR22" s="2"/>
    </row>
    <row r="23" spans="1:70" ht="20.100000000000001" customHeight="1" x14ac:dyDescent="0.25">
      <c r="A23" s="18"/>
      <c r="B23" s="18"/>
      <c r="C23" s="18"/>
      <c r="D23" s="1"/>
      <c r="E23" s="2"/>
      <c r="F23" s="962" t="s">
        <v>6</v>
      </c>
      <c r="G23" s="963"/>
      <c r="H23" s="963"/>
      <c r="I23" s="963"/>
      <c r="J23" s="963"/>
      <c r="K23" s="963"/>
      <c r="L23" s="963"/>
      <c r="M23" s="45" t="s">
        <v>186</v>
      </c>
      <c r="N23" s="976"/>
      <c r="O23" s="977"/>
      <c r="P23" s="977"/>
      <c r="Q23" s="977"/>
      <c r="R23" s="977"/>
      <c r="S23" s="977"/>
      <c r="T23" s="977"/>
      <c r="U23" s="977"/>
      <c r="V23" s="977"/>
      <c r="W23" s="977"/>
      <c r="X23" s="977"/>
      <c r="Y23" s="977"/>
      <c r="Z23" s="977"/>
      <c r="AA23" s="977"/>
      <c r="AB23" s="977"/>
      <c r="AC23" s="977"/>
      <c r="AD23" s="977"/>
      <c r="AE23" s="978"/>
      <c r="AF23" s="2"/>
      <c r="AG23" s="981" t="str">
        <f>IF(ISERROR(VLOOKUP(N23,tb_assuntos[],2,FALSE))," - ",VLOOKUP(N23,tb_assuntos[],2,FALSE))</f>
        <v xml:space="preserve"> - </v>
      </c>
      <c r="AH23" s="982"/>
      <c r="AI23" s="983"/>
      <c r="AJ23" s="2"/>
      <c r="AK23" s="49"/>
      <c r="AL23" s="49"/>
      <c r="AM23" s="49"/>
      <c r="AN23" s="49"/>
      <c r="AO23" s="49"/>
      <c r="AP23" s="49"/>
      <c r="AQ23" s="1"/>
      <c r="AS23" s="40"/>
      <c r="AT23" s="40"/>
      <c r="AU23" s="40"/>
      <c r="AV23" s="40"/>
      <c r="AW23" s="40"/>
      <c r="AX23" s="40"/>
      <c r="AY23" s="40"/>
      <c r="AZ23" s="40"/>
      <c r="BA23" s="40"/>
      <c r="BB23" s="40"/>
      <c r="BC23" s="1"/>
      <c r="BD23" s="1"/>
      <c r="BE23" s="1"/>
      <c r="BF23" s="2"/>
      <c r="BG23" s="2"/>
      <c r="BH23" s="2"/>
      <c r="BI23" s="2"/>
      <c r="BJ23" s="2"/>
      <c r="BK23" s="2"/>
      <c r="BL23" s="2"/>
      <c r="BM23" s="2"/>
      <c r="BN23" s="2"/>
      <c r="BO23" s="2"/>
      <c r="BP23" s="2"/>
      <c r="BQ23" s="2"/>
      <c r="BR23" s="2"/>
    </row>
    <row r="24" spans="1:70" ht="20.100000000000001" customHeight="1" x14ac:dyDescent="0.25">
      <c r="A24" s="18"/>
      <c r="B24" s="18"/>
      <c r="C24" s="18"/>
      <c r="D24" s="1"/>
      <c r="E24" s="2"/>
      <c r="F24" s="962" t="s">
        <v>6026</v>
      </c>
      <c r="G24" s="963"/>
      <c r="H24" s="963"/>
      <c r="I24" s="963"/>
      <c r="J24" s="963"/>
      <c r="K24" s="963"/>
      <c r="L24" s="963"/>
      <c r="M24" s="45" t="s">
        <v>186</v>
      </c>
      <c r="N24" s="967"/>
      <c r="O24" s="968"/>
      <c r="P24" s="968"/>
      <c r="Q24" s="968"/>
      <c r="R24" s="968"/>
      <c r="S24" s="968"/>
      <c r="T24" s="968"/>
      <c r="U24" s="968"/>
      <c r="V24" s="968"/>
      <c r="W24" s="968"/>
      <c r="X24" s="969"/>
      <c r="Y24" s="984" t="str">
        <f>IF(ISERROR(VLOOKUP(N24,tb_formulacao[],2,FALSE))," - ",VLOOKUP(N24,tb_formulacao[],2,FALSE))</f>
        <v xml:space="preserve"> - </v>
      </c>
      <c r="Z24" s="985"/>
      <c r="AA24" s="986"/>
      <c r="AB24" s="49"/>
      <c r="AC24" s="49"/>
      <c r="AD24" s="49"/>
      <c r="AE24" s="49"/>
      <c r="AF24" s="49"/>
      <c r="AG24" s="49"/>
      <c r="AH24" s="49"/>
      <c r="AI24" s="2"/>
      <c r="AJ24" s="2"/>
      <c r="AK24" s="2"/>
      <c r="AL24" s="2"/>
      <c r="AM24" s="2"/>
      <c r="AN24" s="2"/>
      <c r="AO24" s="2"/>
      <c r="AP24" s="2"/>
      <c r="AQ24" s="1"/>
      <c r="AS24" s="1"/>
      <c r="AT24" s="1"/>
      <c r="AU24" s="1"/>
      <c r="AV24" s="1"/>
      <c r="AW24" s="1"/>
      <c r="AX24" s="1"/>
      <c r="AY24" s="1"/>
      <c r="AZ24" s="1"/>
      <c r="BA24" s="1"/>
      <c r="BB24" s="1"/>
      <c r="BC24" s="1"/>
      <c r="BD24" s="1"/>
      <c r="BE24" s="1"/>
      <c r="BF24" s="2"/>
      <c r="BG24" s="2"/>
      <c r="BH24" s="2"/>
      <c r="BI24" s="2"/>
      <c r="BJ24" s="2"/>
      <c r="BK24" s="2"/>
      <c r="BL24" s="2"/>
      <c r="BM24" s="2"/>
      <c r="BN24" s="2"/>
      <c r="BO24" s="2"/>
      <c r="BP24" s="2"/>
      <c r="BQ24" s="2"/>
      <c r="BR24" s="2"/>
    </row>
    <row r="25" spans="1:70" ht="20.100000000000001" customHeight="1" x14ac:dyDescent="0.25">
      <c r="A25" s="18"/>
      <c r="B25" s="18"/>
      <c r="C25" s="18"/>
      <c r="D25" s="1"/>
      <c r="E25" s="2"/>
      <c r="F25" s="962" t="s">
        <v>132</v>
      </c>
      <c r="G25" s="963"/>
      <c r="H25" s="963"/>
      <c r="I25" s="963"/>
      <c r="J25" s="963"/>
      <c r="K25" s="963"/>
      <c r="L25" s="963"/>
      <c r="M25" s="45" t="s">
        <v>186</v>
      </c>
      <c r="N25" s="50"/>
      <c r="O25" s="41"/>
      <c r="P25" s="41"/>
      <c r="Q25" s="41"/>
      <c r="R25" s="41"/>
      <c r="S25" s="41"/>
      <c r="T25" s="41"/>
      <c r="U25" s="41"/>
      <c r="V25" s="41"/>
      <c r="W25" s="41"/>
      <c r="X25" s="41"/>
      <c r="Y25" s="42"/>
      <c r="Z25" s="966" t="s">
        <v>397</v>
      </c>
      <c r="AA25" s="966"/>
      <c r="AB25" s="973"/>
      <c r="AC25" s="974"/>
      <c r="AD25" s="974"/>
      <c r="AE25" s="974"/>
      <c r="AF25" s="974"/>
      <c r="AG25" s="974"/>
      <c r="AH25" s="974"/>
      <c r="AI25" s="974"/>
      <c r="AJ25" s="974"/>
      <c r="AK25" s="974"/>
      <c r="AL25" s="974"/>
      <c r="AM25" s="974"/>
      <c r="AN25" s="974"/>
      <c r="AO25" s="975"/>
      <c r="AP25" s="2"/>
      <c r="AQ25" s="1"/>
      <c r="AS25" s="40"/>
      <c r="AT25" s="40"/>
      <c r="AU25" s="40"/>
      <c r="AV25" s="40"/>
      <c r="AW25" s="40"/>
      <c r="AX25" s="40"/>
      <c r="AY25" s="40"/>
      <c r="AZ25" s="40"/>
      <c r="BA25" s="40"/>
      <c r="BB25" s="40"/>
      <c r="BC25" s="1"/>
      <c r="BD25" s="1"/>
      <c r="BE25" s="1"/>
      <c r="BF25" s="2"/>
      <c r="BG25" s="2"/>
      <c r="BH25" s="2"/>
      <c r="BI25" s="2"/>
      <c r="BJ25" s="2"/>
      <c r="BK25" s="2"/>
      <c r="BL25" s="2"/>
      <c r="BM25" s="2"/>
      <c r="BN25" s="2"/>
      <c r="BO25" s="2"/>
      <c r="BP25" s="2"/>
      <c r="BQ25" s="2"/>
      <c r="BR25" s="2"/>
    </row>
    <row r="26" spans="1:70" s="2" customFormat="1" ht="15.75" customHeight="1" x14ac:dyDescent="0.25">
      <c r="A26" s="18"/>
      <c r="B26" s="18"/>
      <c r="C26" s="18"/>
      <c r="D26" s="1"/>
      <c r="Z26" s="51"/>
      <c r="AA26" s="51"/>
      <c r="AQ26" s="1"/>
      <c r="AR26" s="20"/>
    </row>
    <row r="27" spans="1:70" ht="14.25" customHeight="1" x14ac:dyDescent="0.25">
      <c r="A27" s="18"/>
      <c r="B27" s="18"/>
      <c r="C27" s="18"/>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S27" s="1"/>
      <c r="AT27" s="1"/>
      <c r="AU27" s="1"/>
      <c r="AV27" s="1"/>
      <c r="AW27" s="1"/>
      <c r="AX27" s="1"/>
      <c r="AY27" s="1"/>
      <c r="AZ27" s="1"/>
      <c r="BA27" s="1"/>
      <c r="BB27" s="1"/>
      <c r="BC27" s="1"/>
      <c r="BD27" s="1"/>
      <c r="BE27" s="1"/>
      <c r="BF27" s="2"/>
      <c r="BG27" s="2"/>
      <c r="BH27" s="2"/>
      <c r="BI27" s="2"/>
      <c r="BJ27" s="2"/>
      <c r="BK27" s="2"/>
      <c r="BL27" s="2"/>
      <c r="BM27" s="2"/>
      <c r="BN27" s="2"/>
      <c r="BO27" s="2"/>
      <c r="BP27" s="2"/>
      <c r="BQ27" s="2"/>
      <c r="BR27" s="2"/>
    </row>
  </sheetData>
  <sheetProtection algorithmName="SHA-512" hashValue="Qy7JbtovnarBaJSpOY+f7hie2QPZOY0guqYZT0+D03cDRD83dSrCaQzePrGY9389quTrjtGNR86Cn1WsWrU3Ig==" saltValue="8i4OFqFW79RbmiSC4MglcQ==" spinCount="100000" sheet="1" objects="1" scenarios="1" formatColumns="0" formatRows="0"/>
  <mergeCells count="31">
    <mergeCell ref="AG23:AI23"/>
    <mergeCell ref="Y24:AA24"/>
    <mergeCell ref="AB25:AO25"/>
    <mergeCell ref="AI22:AO22"/>
    <mergeCell ref="F2:AI7"/>
    <mergeCell ref="AJ2:AO7"/>
    <mergeCell ref="AF22:AG22"/>
    <mergeCell ref="N21:AE21"/>
    <mergeCell ref="F10:AO10"/>
    <mergeCell ref="F17:AO17"/>
    <mergeCell ref="F22:L22"/>
    <mergeCell ref="N22:AE22"/>
    <mergeCell ref="N12:AO12"/>
    <mergeCell ref="N13:AO13"/>
    <mergeCell ref="N14:AO14"/>
    <mergeCell ref="AA20:AE20"/>
    <mergeCell ref="Z25:AA25"/>
    <mergeCell ref="N24:X24"/>
    <mergeCell ref="N19:U19"/>
    <mergeCell ref="N20:U20"/>
    <mergeCell ref="N23:AE23"/>
    <mergeCell ref="V20:Y20"/>
    <mergeCell ref="F23:L23"/>
    <mergeCell ref="F24:L24"/>
    <mergeCell ref="F12:L12"/>
    <mergeCell ref="F25:L25"/>
    <mergeCell ref="F13:L13"/>
    <mergeCell ref="F14:L14"/>
    <mergeCell ref="F19:L19"/>
    <mergeCell ref="F20:L20"/>
    <mergeCell ref="F21:L21"/>
  </mergeCells>
  <conditionalFormatting sqref="M12:M14">
    <cfRule type="expression" dxfId="707" priority="8">
      <formula>N12&lt;&gt;""</formula>
    </cfRule>
  </conditionalFormatting>
  <conditionalFormatting sqref="M19:M24">
    <cfRule type="expression" dxfId="706" priority="5">
      <formula>N19&lt;&gt;""</formula>
    </cfRule>
  </conditionalFormatting>
  <conditionalFormatting sqref="Z20">
    <cfRule type="expression" dxfId="704" priority="4">
      <formula>AA20&lt;&gt;""</formula>
    </cfRule>
  </conditionalFormatting>
  <conditionalFormatting sqref="AH22">
    <cfRule type="expression" dxfId="703" priority="3">
      <formula>AI22&lt;&gt;""</formula>
    </cfRule>
  </conditionalFormatting>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2" r:id="rId4" name="check_form_herbicida">
              <controlPr defaultSize="0" autoFill="0" autoLine="0" autoPict="0" altText="Produção">
                <anchor moveWithCells="1" sizeWithCells="1">
                  <from>
                    <xdr:col>13</xdr:col>
                    <xdr:colOff>95250</xdr:colOff>
                    <xdr:row>24</xdr:row>
                    <xdr:rowOff>9525</xdr:rowOff>
                  </from>
                  <to>
                    <xdr:col>17</xdr:col>
                    <xdr:colOff>0</xdr:colOff>
                    <xdr:row>25</xdr:row>
                    <xdr:rowOff>0</xdr:rowOff>
                  </to>
                </anchor>
              </controlPr>
            </control>
          </mc:Choice>
        </mc:AlternateContent>
        <mc:AlternateContent xmlns:mc="http://schemas.openxmlformats.org/markup-compatibility/2006">
          <mc:Choice Requires="x14">
            <control shapeId="2063" r:id="rId5" name="check_form_inseticida">
              <controlPr defaultSize="0" autoFill="0" autoLine="0" autoPict="0" altText="Produção">
                <anchor moveWithCells="1" sizeWithCells="1">
                  <from>
                    <xdr:col>17</xdr:col>
                    <xdr:colOff>66675</xdr:colOff>
                    <xdr:row>24</xdr:row>
                    <xdr:rowOff>9525</xdr:rowOff>
                  </from>
                  <to>
                    <xdr:col>21</xdr:col>
                    <xdr:colOff>0</xdr:colOff>
                    <xdr:row>24</xdr:row>
                    <xdr:rowOff>247650</xdr:rowOff>
                  </to>
                </anchor>
              </controlPr>
            </control>
          </mc:Choice>
        </mc:AlternateContent>
        <mc:AlternateContent xmlns:mc="http://schemas.openxmlformats.org/markup-compatibility/2006">
          <mc:Choice Requires="x14">
            <control shapeId="2064" r:id="rId6" name="check_form_fungicida">
              <controlPr defaultSize="0" autoFill="0" autoLine="0" autoPict="0" altText="Produção">
                <anchor moveWithCells="1" sizeWithCells="1">
                  <from>
                    <xdr:col>21</xdr:col>
                    <xdr:colOff>66675</xdr:colOff>
                    <xdr:row>24</xdr:row>
                    <xdr:rowOff>9525</xdr:rowOff>
                  </from>
                  <to>
                    <xdr:col>25</xdr:col>
                    <xdr:colOff>0</xdr:colOff>
                    <xdr:row>24</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557" id="{E97EF26D-41CD-48CE-B77C-BF69271D224D}">
            <xm:f>IF(OR(COUNTIF(Respostas_usuario!$E$2:$E$4,TRUE)&gt;0,Respostas_usuario!$D$5&lt;&gt;0),1,0)</xm:f>
            <x14:dxf>
              <font>
                <b/>
                <i val="0"/>
                <color rgb="FF00B050"/>
              </font>
            </x14:dxf>
          </x14:cfRule>
          <xm:sqref>M25</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Confirmar tipo de formulação" error="O tipo de formulação informado não consta na base de dados. Tem certeza que o preenchimento está correto?" xr:uid="{BF1F50D7-5F72-449F-8445-FC1BEF2F24B5}">
          <x14:formula1>
            <xm:f>Tabelas_fonte!$A$15:$A$57</xm:f>
          </x14:formula1>
          <xm:sqref>N24:X24</xm:sqref>
        </x14:dataValidation>
        <x14:dataValidation type="list" allowBlank="1" showInputMessage="1" showErrorMessage="1" errorTitle="Código inválido!" error="Por favor, informe o assunto correto. " xr:uid="{6F892B2B-F586-4246-8358-C384A0D727BD}">
          <x14:formula1>
            <xm:f>Tabelas_fonte!$A$2:$A$5</xm:f>
          </x14:formula1>
          <xm:sqref>N23:AE23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4AADA-74D2-4C2F-A910-FA0D9130CCCA}">
  <sheetPr codeName="Planilha16">
    <tabColor theme="8" tint="0.59999389629810485"/>
  </sheetPr>
  <dimension ref="A1:AN63"/>
  <sheetViews>
    <sheetView showGridLines="0" topLeftCell="D1" workbookViewId="0">
      <selection activeCell="Y10" sqref="Y10:AA12"/>
    </sheetView>
  </sheetViews>
  <sheetFormatPr defaultColWidth="0" defaultRowHeight="15" zeroHeight="1" x14ac:dyDescent="0.25"/>
  <cols>
    <col min="1" max="3" width="4.7109375" style="20" hidden="1" customWidth="1"/>
    <col min="4" max="5" width="2.7109375" style="20" customWidth="1"/>
    <col min="6" max="14" width="4.7109375" style="20" customWidth="1"/>
    <col min="15" max="15" width="6.5703125" style="20" customWidth="1"/>
    <col min="16" max="39" width="4.7109375" style="20" customWidth="1"/>
    <col min="40" max="40" width="8.7109375" style="20" customWidth="1"/>
    <col min="41" max="16384" width="9.140625" style="20" hidden="1"/>
  </cols>
  <sheetData>
    <row r="1" spans="1:40" x14ac:dyDescent="0.25">
      <c r="A1" s="18"/>
      <c r="B1" s="18"/>
      <c r="C1" s="18"/>
      <c r="D1" s="7"/>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5" customHeight="1" x14ac:dyDescent="0.25">
      <c r="A2" s="18"/>
      <c r="B2" s="18"/>
      <c r="C2" s="18"/>
      <c r="D2" s="7"/>
      <c r="E2" s="2"/>
      <c r="F2" s="1148" t="s">
        <v>288</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035" t="s">
        <v>0</v>
      </c>
      <c r="AJ2" s="1035"/>
      <c r="AK2" s="1035"/>
      <c r="AL2" s="1035"/>
      <c r="AM2" s="1035"/>
      <c r="AN2" s="1035"/>
    </row>
    <row r="3" spans="1:40"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035"/>
      <c r="AJ3" s="1035"/>
      <c r="AK3" s="1035"/>
      <c r="AL3" s="1035"/>
      <c r="AM3" s="1035"/>
      <c r="AN3" s="1035"/>
    </row>
    <row r="4" spans="1:40"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035"/>
      <c r="AJ4" s="1035"/>
      <c r="AK4" s="1035"/>
      <c r="AL4" s="1035"/>
      <c r="AM4" s="1035"/>
      <c r="AN4" s="1035"/>
    </row>
    <row r="5" spans="1:40"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148"/>
      <c r="AI5" s="1035"/>
      <c r="AJ5" s="1035"/>
      <c r="AK5" s="1035"/>
      <c r="AL5" s="1035"/>
      <c r="AM5" s="1035"/>
      <c r="AN5" s="1035"/>
    </row>
    <row r="6" spans="1:40"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148"/>
      <c r="AI6" s="1035"/>
      <c r="AJ6" s="1035"/>
      <c r="AK6" s="1035"/>
      <c r="AL6" s="1035"/>
      <c r="AM6" s="1035"/>
      <c r="AN6" s="1035"/>
    </row>
    <row r="7" spans="1:40" ht="20.100000000000001" customHeight="1" x14ac:dyDescent="0.25">
      <c r="A7" s="18"/>
      <c r="B7" s="18"/>
      <c r="C7" s="18"/>
      <c r="D7" s="7"/>
      <c r="E7" s="158"/>
      <c r="F7" s="1024" t="str">
        <f ca="1">Alertas!R11</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row>
    <row r="8" spans="1:40" ht="15" customHeight="1" x14ac:dyDescent="0.25">
      <c r="A8" s="18"/>
      <c r="B8" s="18"/>
      <c r="C8" s="18"/>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row>
    <row r="9" spans="1:40"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x14ac:dyDescent="0.25">
      <c r="A10" s="18"/>
      <c r="B10" s="18"/>
      <c r="C10" s="18"/>
      <c r="D10" s="7"/>
      <c r="E10" s="2"/>
      <c r="F10" s="1172" t="s">
        <v>7280</v>
      </c>
      <c r="G10" s="1173"/>
      <c r="H10" s="1173"/>
      <c r="I10" s="1173"/>
      <c r="J10" s="1173"/>
      <c r="K10" s="1173"/>
      <c r="L10" s="1173"/>
      <c r="M10" s="1173"/>
      <c r="N10" s="1173"/>
      <c r="O10" s="1173"/>
      <c r="P10" s="1173"/>
      <c r="Q10" s="1173"/>
      <c r="R10" s="1173"/>
      <c r="S10" s="1173"/>
      <c r="T10" s="1173"/>
      <c r="U10" s="1173"/>
      <c r="V10" s="1173"/>
      <c r="W10" s="1173"/>
      <c r="X10" s="1174"/>
      <c r="Y10" s="1163"/>
      <c r="Z10" s="1164"/>
      <c r="AA10" s="1165"/>
      <c r="AB10" s="2"/>
      <c r="AC10" s="2"/>
      <c r="AD10" s="2"/>
      <c r="AE10" s="2"/>
      <c r="AF10" s="2"/>
      <c r="AG10" s="2"/>
      <c r="AH10" s="2"/>
      <c r="AI10" s="2"/>
      <c r="AJ10" s="2"/>
      <c r="AK10" s="2"/>
      <c r="AL10" s="2"/>
      <c r="AM10" s="2"/>
      <c r="AN10" s="2"/>
    </row>
    <row r="11" spans="1:40" ht="15" customHeight="1" x14ac:dyDescent="0.25">
      <c r="A11" s="18"/>
      <c r="B11" s="18"/>
      <c r="C11" s="18"/>
      <c r="D11" s="7"/>
      <c r="E11" s="2"/>
      <c r="F11" s="1175"/>
      <c r="G11" s="1176"/>
      <c r="H11" s="1176"/>
      <c r="I11" s="1176"/>
      <c r="J11" s="1176"/>
      <c r="K11" s="1176"/>
      <c r="L11" s="1176"/>
      <c r="M11" s="1176"/>
      <c r="N11" s="1176"/>
      <c r="O11" s="1176"/>
      <c r="P11" s="1176"/>
      <c r="Q11" s="1176"/>
      <c r="R11" s="1176"/>
      <c r="S11" s="1176"/>
      <c r="T11" s="1176"/>
      <c r="U11" s="1176"/>
      <c r="V11" s="1176"/>
      <c r="W11" s="1176"/>
      <c r="X11" s="1177"/>
      <c r="Y11" s="1166"/>
      <c r="Z11" s="1167"/>
      <c r="AA11" s="1168"/>
      <c r="AB11" s="2"/>
      <c r="AC11" s="2"/>
      <c r="AD11" s="2"/>
      <c r="AE11" s="2"/>
      <c r="AF11" s="2"/>
      <c r="AG11" s="2"/>
      <c r="AH11" s="2"/>
      <c r="AI11" s="2"/>
      <c r="AJ11" s="2"/>
      <c r="AK11" s="2"/>
      <c r="AL11" s="2"/>
      <c r="AM11" s="2"/>
      <c r="AN11" s="2"/>
    </row>
    <row r="12" spans="1:40" ht="15" customHeight="1" x14ac:dyDescent="0.25">
      <c r="A12" s="18"/>
      <c r="B12" s="18"/>
      <c r="C12" s="18"/>
      <c r="D12" s="7"/>
      <c r="E12" s="2"/>
      <c r="F12" s="1178"/>
      <c r="G12" s="1179"/>
      <c r="H12" s="1179"/>
      <c r="I12" s="1179"/>
      <c r="J12" s="1179"/>
      <c r="K12" s="1179"/>
      <c r="L12" s="1179"/>
      <c r="M12" s="1179"/>
      <c r="N12" s="1179"/>
      <c r="O12" s="1179"/>
      <c r="P12" s="1179"/>
      <c r="Q12" s="1179"/>
      <c r="R12" s="1179"/>
      <c r="S12" s="1179"/>
      <c r="T12" s="1179"/>
      <c r="U12" s="1179"/>
      <c r="V12" s="1179"/>
      <c r="W12" s="1179"/>
      <c r="X12" s="1180"/>
      <c r="Y12" s="1169"/>
      <c r="Z12" s="1170"/>
      <c r="AA12" s="983"/>
      <c r="AB12" s="2"/>
      <c r="AC12" s="2"/>
      <c r="AD12" s="2"/>
      <c r="AE12" s="2"/>
      <c r="AF12" s="2"/>
      <c r="AG12" s="2"/>
      <c r="AH12" s="2"/>
      <c r="AI12" s="2"/>
      <c r="AJ12" s="2"/>
      <c r="AK12" s="2"/>
      <c r="AL12" s="2"/>
      <c r="AM12" s="2"/>
      <c r="AN12" s="2"/>
    </row>
    <row r="13" spans="1:40" ht="15" customHeight="1" x14ac:dyDescent="0.25">
      <c r="A13" s="18"/>
      <c r="B13" s="18"/>
      <c r="C13" s="18"/>
      <c r="D13" s="7"/>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20.100000000000001" customHeight="1" x14ac:dyDescent="0.25">
      <c r="A14" s="18"/>
      <c r="B14" s="18"/>
      <c r="C14" s="18"/>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row>
    <row r="15" spans="1:40" ht="15" customHeight="1" x14ac:dyDescent="0.25">
      <c r="A15" s="18"/>
      <c r="B15" s="18"/>
      <c r="C15" s="18"/>
      <c r="D15" s="7"/>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30" customHeight="1" x14ac:dyDescent="0.25">
      <c r="A16" s="18"/>
      <c r="B16" s="18"/>
      <c r="C16" s="18"/>
      <c r="D16" s="7"/>
      <c r="E16" s="2"/>
      <c r="F16" s="1149" t="s">
        <v>30</v>
      </c>
      <c r="G16" s="1094"/>
      <c r="H16" s="1094"/>
      <c r="I16" s="1094"/>
      <c r="J16" s="1094"/>
      <c r="K16" s="1094"/>
      <c r="L16" s="1104"/>
      <c r="M16" s="148" t="s">
        <v>186</v>
      </c>
      <c r="N16" s="1140"/>
      <c r="O16" s="1141"/>
      <c r="P16" s="1141"/>
      <c r="Q16" s="1141"/>
      <c r="R16" s="1141"/>
      <c r="S16" s="1141"/>
      <c r="T16" s="1141"/>
      <c r="U16" s="1141"/>
      <c r="V16" s="1141"/>
      <c r="W16" s="1141"/>
      <c r="X16" s="1141"/>
      <c r="Y16" s="1141"/>
      <c r="Z16" s="1142"/>
      <c r="AA16" s="1009" t="s">
        <v>294</v>
      </c>
      <c r="AB16" s="1009"/>
      <c r="AC16" s="1009"/>
      <c r="AD16" s="1041"/>
      <c r="AE16" s="148" t="s">
        <v>186</v>
      </c>
      <c r="AF16" s="1140"/>
      <c r="AG16" s="1141"/>
      <c r="AH16" s="1141"/>
      <c r="AI16" s="1141"/>
      <c r="AJ16" s="1142"/>
      <c r="AK16" s="27"/>
      <c r="AL16" s="27"/>
      <c r="AM16" s="27"/>
      <c r="AN16" s="2"/>
    </row>
    <row r="17" spans="1:40" ht="60" customHeight="1" x14ac:dyDescent="0.25">
      <c r="A17" s="18"/>
      <c r="B17" s="18"/>
      <c r="C17" s="18"/>
      <c r="D17" s="7"/>
      <c r="E17" s="2"/>
      <c r="F17" s="1008" t="s">
        <v>7300</v>
      </c>
      <c r="G17" s="1009"/>
      <c r="H17" s="1009"/>
      <c r="I17" s="1009"/>
      <c r="J17" s="1009"/>
      <c r="K17" s="1009"/>
      <c r="L17" s="1041"/>
      <c r="M17" s="148" t="s">
        <v>186</v>
      </c>
      <c r="N17" s="1140"/>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2"/>
      <c r="AK17" s="1158" t="s">
        <v>271</v>
      </c>
      <c r="AL17" s="1159"/>
      <c r="AM17" s="1159"/>
      <c r="AN17" s="1159"/>
    </row>
    <row r="18" spans="1:40" ht="20.100000000000001" customHeight="1" x14ac:dyDescent="0.25">
      <c r="A18" s="18"/>
      <c r="B18" s="18"/>
      <c r="C18" s="18"/>
      <c r="D18" s="7"/>
      <c r="E18" s="2"/>
      <c r="F18" s="1008" t="s">
        <v>6029</v>
      </c>
      <c r="G18" s="1009"/>
      <c r="H18" s="1009"/>
      <c r="I18" s="1009"/>
      <c r="J18" s="1009"/>
      <c r="K18" s="1009"/>
      <c r="L18" s="1041"/>
      <c r="M18" s="148" t="s">
        <v>186</v>
      </c>
      <c r="N18" s="1147"/>
      <c r="O18" s="1096"/>
      <c r="P18" s="1096"/>
      <c r="Q18" s="1096"/>
      <c r="R18" s="1096"/>
      <c r="S18" s="1097"/>
      <c r="T18" s="171"/>
      <c r="U18" s="172"/>
      <c r="V18" s="172"/>
      <c r="W18" s="172"/>
      <c r="X18" s="172"/>
      <c r="Y18" s="172"/>
      <c r="Z18" s="172"/>
      <c r="AA18" s="172"/>
      <c r="AB18" s="172"/>
      <c r="AC18" s="172"/>
      <c r="AD18" s="172"/>
      <c r="AE18" s="172"/>
      <c r="AF18" s="172"/>
      <c r="AG18" s="172"/>
      <c r="AH18" s="172"/>
      <c r="AI18" s="173"/>
      <c r="AJ18" s="174"/>
      <c r="AK18" s="175"/>
      <c r="AL18" s="175"/>
      <c r="AM18" s="175"/>
      <c r="AN18" s="161"/>
    </row>
    <row r="19" spans="1:40" ht="20.100000000000001" customHeight="1" x14ac:dyDescent="0.25">
      <c r="A19" s="18"/>
      <c r="B19" s="18"/>
      <c r="C19" s="18"/>
      <c r="D19" s="7"/>
      <c r="E19" s="2"/>
      <c r="F19" s="1149" t="s">
        <v>218</v>
      </c>
      <c r="G19" s="1094"/>
      <c r="H19" s="1094"/>
      <c r="I19" s="1094"/>
      <c r="J19" s="1094"/>
      <c r="K19" s="1094"/>
      <c r="L19" s="1104"/>
      <c r="M19" s="148" t="s">
        <v>186</v>
      </c>
      <c r="N19" s="1160"/>
      <c r="O19" s="1161"/>
      <c r="P19" s="1161"/>
      <c r="Q19" s="1161"/>
      <c r="R19" s="1161"/>
      <c r="S19" s="1161"/>
      <c r="T19" s="1161"/>
      <c r="U19" s="1161"/>
      <c r="V19" s="1161"/>
      <c r="W19" s="1161"/>
      <c r="X19" s="1161"/>
      <c r="Y19" s="1161"/>
      <c r="Z19" s="1161"/>
      <c r="AA19" s="1161"/>
      <c r="AB19" s="1161"/>
      <c r="AC19" s="1161"/>
      <c r="AD19" s="1161"/>
      <c r="AE19" s="1161"/>
      <c r="AF19" s="1161"/>
      <c r="AG19" s="1161"/>
      <c r="AH19" s="1161"/>
      <c r="AI19" s="1161"/>
      <c r="AJ19" s="1162"/>
      <c r="AK19" s="162"/>
      <c r="AL19" s="162"/>
      <c r="AM19" s="162"/>
      <c r="AN19" s="162"/>
    </row>
    <row r="20" spans="1:40" ht="20.100000000000001" customHeight="1" x14ac:dyDescent="0.25">
      <c r="A20" s="18"/>
      <c r="B20" s="18"/>
      <c r="C20" s="18"/>
      <c r="D20" s="7"/>
      <c r="E20" s="2"/>
      <c r="F20" s="1149" t="s">
        <v>311</v>
      </c>
      <c r="G20" s="1094"/>
      <c r="H20" s="1094"/>
      <c r="I20" s="1094"/>
      <c r="J20" s="1094"/>
      <c r="K20" s="1094"/>
      <c r="L20" s="1094"/>
      <c r="M20" s="1150"/>
      <c r="N20" s="1144"/>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9"/>
      <c r="AK20" s="163"/>
      <c r="AL20" s="163"/>
      <c r="AM20" s="163"/>
      <c r="AN20" s="163"/>
    </row>
    <row r="21" spans="1:40" ht="30" customHeight="1" x14ac:dyDescent="0.25">
      <c r="A21" s="18"/>
      <c r="B21" s="18"/>
      <c r="C21" s="18"/>
      <c r="D21" s="7"/>
      <c r="E21" s="2"/>
      <c r="F21" s="1008" t="s">
        <v>7301</v>
      </c>
      <c r="G21" s="1009"/>
      <c r="H21" s="1009"/>
      <c r="I21" s="1009"/>
      <c r="J21" s="1009"/>
      <c r="K21" s="1009"/>
      <c r="L21" s="1009"/>
      <c r="M21" s="1010"/>
      <c r="N21" s="1181" t="s">
        <v>6030</v>
      </c>
      <c r="O21" s="1182"/>
      <c r="P21" s="1183"/>
      <c r="Q21" s="148" t="s">
        <v>186</v>
      </c>
      <c r="R21" s="999"/>
      <c r="S21" s="1000"/>
      <c r="T21" s="1000"/>
      <c r="U21" s="1000"/>
      <c r="V21" s="1000"/>
      <c r="W21" s="1000"/>
      <c r="X21" s="1001"/>
      <c r="Y21" s="1073" t="s">
        <v>31</v>
      </c>
      <c r="Z21" s="1074"/>
      <c r="AA21" s="1074"/>
      <c r="AB21" s="1075"/>
      <c r="AC21" s="148" t="s">
        <v>186</v>
      </c>
      <c r="AD21" s="999"/>
      <c r="AE21" s="1000"/>
      <c r="AF21" s="1000"/>
      <c r="AG21" s="1000"/>
      <c r="AH21" s="1000"/>
      <c r="AI21" s="1000"/>
      <c r="AJ21" s="1001"/>
      <c r="AK21" s="164"/>
      <c r="AL21" s="164"/>
      <c r="AM21" s="164"/>
      <c r="AN21" s="164"/>
    </row>
    <row r="22" spans="1:40" ht="30" customHeight="1" x14ac:dyDescent="0.25">
      <c r="A22" s="18"/>
      <c r="B22" s="18"/>
      <c r="C22" s="18"/>
      <c r="D22" s="7"/>
      <c r="E22" s="2"/>
      <c r="F22" s="1008" t="s">
        <v>5720</v>
      </c>
      <c r="G22" s="1009"/>
      <c r="H22" s="1009"/>
      <c r="I22" s="1009"/>
      <c r="J22" s="1009"/>
      <c r="K22" s="1009"/>
      <c r="L22" s="1009"/>
      <c r="M22" s="148" t="s">
        <v>186</v>
      </c>
      <c r="N22" s="1136"/>
      <c r="O22" s="1090"/>
      <c r="P22" s="1090"/>
      <c r="Q22" s="1090"/>
      <c r="R22" s="1091"/>
      <c r="S22" s="1092"/>
      <c r="T22" s="2"/>
      <c r="U22" s="2"/>
      <c r="V22" s="2"/>
      <c r="W22" s="2"/>
      <c r="X22" s="2"/>
      <c r="Y22" s="2"/>
      <c r="Z22" s="2"/>
      <c r="AA22" s="2"/>
      <c r="AB22" s="2"/>
      <c r="AC22" s="2"/>
      <c r="AD22" s="2"/>
      <c r="AE22" s="2"/>
      <c r="AF22" s="2"/>
      <c r="AG22" s="2"/>
      <c r="AH22" s="2"/>
      <c r="AI22" s="2"/>
      <c r="AJ22" s="2"/>
      <c r="AK22" s="2"/>
      <c r="AL22" s="2"/>
      <c r="AM22" s="2"/>
      <c r="AN22" s="2"/>
    </row>
    <row r="23" spans="1:40" ht="20.100000000000001" customHeight="1" x14ac:dyDescent="0.25">
      <c r="A23" s="18"/>
      <c r="B23" s="18"/>
      <c r="C23" s="18"/>
      <c r="D23" s="7"/>
      <c r="E23" s="2"/>
      <c r="F23" s="1149" t="s">
        <v>85</v>
      </c>
      <c r="G23" s="1094"/>
      <c r="H23" s="1094"/>
      <c r="I23" s="1094"/>
      <c r="J23" s="1094"/>
      <c r="K23" s="1094"/>
      <c r="L23" s="1104"/>
      <c r="M23" s="148" t="s">
        <v>186</v>
      </c>
      <c r="N23" s="1171" t="s">
        <v>281</v>
      </c>
      <c r="O23" s="1138"/>
      <c r="P23" s="1138"/>
      <c r="Q23" s="1138"/>
      <c r="R23" s="1138"/>
      <c r="S23" s="1139"/>
      <c r="T23" s="1008" t="s">
        <v>235</v>
      </c>
      <c r="U23" s="1009"/>
      <c r="V23" s="1009"/>
      <c r="W23" s="1009"/>
      <c r="X23" s="1009"/>
      <c r="Y23" s="1009"/>
      <c r="Z23" s="1009"/>
      <c r="AA23" s="148" t="s">
        <v>186</v>
      </c>
      <c r="AB23" s="1130"/>
      <c r="AC23" s="1131"/>
      <c r="AD23" s="1131"/>
      <c r="AE23" s="1131"/>
      <c r="AF23" s="1131"/>
      <c r="AG23" s="1131"/>
      <c r="AH23" s="1131"/>
      <c r="AI23" s="1131"/>
      <c r="AJ23" s="1132"/>
      <c r="AK23" s="49"/>
      <c r="AL23" s="49"/>
      <c r="AM23" s="49"/>
      <c r="AN23" s="49"/>
    </row>
    <row r="24" spans="1:40" ht="15" customHeight="1" x14ac:dyDescent="0.25">
      <c r="A24" s="18"/>
      <c r="B24" s="18"/>
      <c r="C24" s="18"/>
      <c r="D24" s="7"/>
      <c r="E24" s="2"/>
      <c r="F24" s="2"/>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row>
    <row r="25" spans="1:40" ht="20.100000000000001" customHeight="1" x14ac:dyDescent="0.25">
      <c r="A25" s="18"/>
      <c r="B25" s="18"/>
      <c r="C25" s="18"/>
      <c r="D25" s="7"/>
      <c r="E25" s="7"/>
      <c r="F25" s="7"/>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row>
    <row r="26" spans="1:40" s="2" customFormat="1" ht="15" customHeight="1" x14ac:dyDescent="0.25">
      <c r="A26" s="18"/>
      <c r="B26" s="18"/>
      <c r="C26" s="18"/>
      <c r="D26" s="7"/>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row>
    <row r="27" spans="1:40" ht="30" customHeight="1" x14ac:dyDescent="0.25">
      <c r="A27" s="18"/>
      <c r="B27" s="18"/>
      <c r="C27" s="18"/>
      <c r="D27" s="7"/>
      <c r="E27" s="2"/>
      <c r="F27" s="166"/>
      <c r="G27" s="1152" t="s">
        <v>298</v>
      </c>
      <c r="H27" s="1152"/>
      <c r="I27" s="1155" t="s">
        <v>7092</v>
      </c>
      <c r="J27" s="1071"/>
      <c r="K27" s="1071"/>
      <c r="L27" s="1074" t="s">
        <v>7093</v>
      </c>
      <c r="M27" s="1075"/>
      <c r="N27" s="1157" t="s">
        <v>289</v>
      </c>
      <c r="O27" s="1152"/>
      <c r="P27" s="1152"/>
      <c r="Q27" s="1074" t="s">
        <v>7094</v>
      </c>
      <c r="R27" s="1075"/>
      <c r="S27" s="1157" t="s">
        <v>285</v>
      </c>
      <c r="T27" s="1152"/>
      <c r="U27" s="1152"/>
      <c r="V27" s="1120" t="s">
        <v>7997</v>
      </c>
      <c r="W27" s="1121"/>
      <c r="X27" s="1121"/>
      <c r="Y27" s="1121"/>
    </row>
    <row r="28" spans="1:40" ht="26.1" customHeight="1" x14ac:dyDescent="0.25">
      <c r="A28" s="18"/>
      <c r="B28" s="18"/>
      <c r="C28" s="18"/>
      <c r="D28" s="7"/>
      <c r="E28" s="2"/>
      <c r="F28" s="2"/>
      <c r="G28" s="1153">
        <v>1</v>
      </c>
      <c r="H28" s="1154"/>
      <c r="I28" s="1133"/>
      <c r="J28" s="1133"/>
      <c r="K28" s="1133"/>
      <c r="L28" s="1134"/>
      <c r="M28" s="1135"/>
      <c r="N28" s="1134"/>
      <c r="O28" s="1156"/>
      <c r="P28" s="1135"/>
      <c r="Q28" s="1134"/>
      <c r="R28" s="1135"/>
      <c r="S28" s="1134"/>
      <c r="T28" s="1156"/>
      <c r="U28" s="1135"/>
      <c r="V28" s="120"/>
      <c r="W28" s="121"/>
      <c r="X28" s="121"/>
      <c r="Y28" s="122"/>
    </row>
    <row r="29" spans="1:40" ht="26.1" customHeight="1" x14ac:dyDescent="0.25">
      <c r="A29" s="18"/>
      <c r="B29" s="18"/>
      <c r="C29" s="18"/>
      <c r="D29" s="7"/>
      <c r="E29" s="2"/>
      <c r="F29" s="2"/>
      <c r="G29" s="1153">
        <v>2</v>
      </c>
      <c r="H29" s="1154"/>
      <c r="I29" s="1133"/>
      <c r="J29" s="1133"/>
      <c r="K29" s="1133"/>
      <c r="L29" s="1134"/>
      <c r="M29" s="1135"/>
      <c r="N29" s="1134"/>
      <c r="O29" s="1156"/>
      <c r="P29" s="1135"/>
      <c r="Q29" s="1134"/>
      <c r="R29" s="1135"/>
      <c r="S29" s="1134"/>
      <c r="T29" s="1156"/>
      <c r="U29" s="1135"/>
      <c r="V29" s="120"/>
      <c r="W29" s="121"/>
      <c r="X29" s="121"/>
      <c r="Y29" s="122"/>
    </row>
    <row r="30" spans="1:40" ht="26.1" customHeight="1" x14ac:dyDescent="0.25">
      <c r="A30" s="18"/>
      <c r="B30" s="18"/>
      <c r="C30" s="18"/>
      <c r="D30" s="7"/>
      <c r="E30" s="2"/>
      <c r="F30" s="2"/>
      <c r="G30" s="1153">
        <v>3</v>
      </c>
      <c r="H30" s="1154"/>
      <c r="I30" s="1133"/>
      <c r="J30" s="1133"/>
      <c r="K30" s="1133"/>
      <c r="L30" s="1134"/>
      <c r="M30" s="1135"/>
      <c r="N30" s="1134"/>
      <c r="O30" s="1156"/>
      <c r="P30" s="1135"/>
      <c r="Q30" s="1134"/>
      <c r="R30" s="1135"/>
      <c r="S30" s="1134"/>
      <c r="T30" s="1156"/>
      <c r="U30" s="1135"/>
      <c r="V30" s="120"/>
      <c r="W30" s="121"/>
      <c r="X30" s="121"/>
      <c r="Y30" s="122"/>
    </row>
    <row r="31" spans="1:40" ht="26.1" customHeight="1" x14ac:dyDescent="0.25">
      <c r="A31" s="18"/>
      <c r="B31" s="18"/>
      <c r="C31" s="18"/>
      <c r="D31" s="7"/>
      <c r="E31" s="2"/>
      <c r="F31" s="176"/>
      <c r="G31" s="1153">
        <v>4</v>
      </c>
      <c r="H31" s="1154"/>
      <c r="I31" s="1133"/>
      <c r="J31" s="1133"/>
      <c r="K31" s="1133"/>
      <c r="L31" s="1134"/>
      <c r="M31" s="1135"/>
      <c r="N31" s="1134"/>
      <c r="O31" s="1156"/>
      <c r="P31" s="1135"/>
      <c r="Q31" s="1134"/>
      <c r="R31" s="1135"/>
      <c r="S31" s="1134"/>
      <c r="T31" s="1156"/>
      <c r="U31" s="1135"/>
      <c r="V31" s="120"/>
      <c r="W31" s="121"/>
      <c r="X31" s="121"/>
      <c r="Y31" s="122"/>
    </row>
    <row r="32" spans="1:40" ht="26.1" customHeight="1" x14ac:dyDescent="0.25">
      <c r="A32" s="18"/>
      <c r="B32" s="18"/>
      <c r="C32" s="18"/>
      <c r="D32" s="7"/>
      <c r="E32" s="2"/>
      <c r="F32" s="2"/>
      <c r="G32" s="1153">
        <v>5</v>
      </c>
      <c r="H32" s="1154"/>
      <c r="I32" s="1133"/>
      <c r="J32" s="1133"/>
      <c r="K32" s="1133"/>
      <c r="L32" s="1134"/>
      <c r="M32" s="1135"/>
      <c r="N32" s="1134"/>
      <c r="O32" s="1156"/>
      <c r="P32" s="1135"/>
      <c r="Q32" s="1134"/>
      <c r="R32" s="1135"/>
      <c r="S32" s="1134"/>
      <c r="T32" s="1156"/>
      <c r="U32" s="1135"/>
      <c r="V32" s="120"/>
      <c r="W32" s="121"/>
      <c r="X32" s="121"/>
      <c r="Y32" s="122"/>
    </row>
    <row r="33" spans="1:40" ht="26.1" customHeight="1" x14ac:dyDescent="0.25">
      <c r="A33" s="18"/>
      <c r="B33" s="18"/>
      <c r="C33" s="18"/>
      <c r="D33" s="7"/>
      <c r="E33" s="2"/>
      <c r="F33" s="2"/>
      <c r="G33" s="1153">
        <v>6</v>
      </c>
      <c r="H33" s="1154"/>
      <c r="I33" s="1133"/>
      <c r="J33" s="1133"/>
      <c r="K33" s="1133"/>
      <c r="L33" s="1134"/>
      <c r="M33" s="1135"/>
      <c r="N33" s="1134"/>
      <c r="O33" s="1156"/>
      <c r="P33" s="1135"/>
      <c r="Q33" s="1134"/>
      <c r="R33" s="1135"/>
      <c r="S33" s="1134"/>
      <c r="T33" s="1156"/>
      <c r="U33" s="1135"/>
      <c r="V33" s="120"/>
      <c r="W33" s="121"/>
      <c r="X33" s="121"/>
      <c r="Y33" s="122"/>
    </row>
    <row r="34" spans="1:40" ht="26.1" customHeight="1" x14ac:dyDescent="0.25">
      <c r="A34" s="18"/>
      <c r="B34" s="18"/>
      <c r="C34" s="18"/>
      <c r="D34" s="7"/>
      <c r="E34" s="2"/>
      <c r="F34" s="2"/>
      <c r="G34" s="1153">
        <v>7</v>
      </c>
      <c r="H34" s="1154"/>
      <c r="I34" s="1133"/>
      <c r="J34" s="1133"/>
      <c r="K34" s="1133"/>
      <c r="L34" s="1134"/>
      <c r="M34" s="1135"/>
      <c r="N34" s="1134"/>
      <c r="O34" s="1156"/>
      <c r="P34" s="1135"/>
      <c r="Q34" s="1134"/>
      <c r="R34" s="1135"/>
      <c r="S34" s="1134"/>
      <c r="T34" s="1156"/>
      <c r="U34" s="1135"/>
      <c r="V34" s="120"/>
      <c r="W34" s="121"/>
      <c r="X34" s="121"/>
      <c r="Y34" s="122"/>
    </row>
    <row r="35" spans="1:40" ht="26.1" customHeight="1" x14ac:dyDescent="0.25">
      <c r="A35" s="18"/>
      <c r="B35" s="18"/>
      <c r="C35" s="18"/>
      <c r="D35" s="7"/>
      <c r="E35" s="2"/>
      <c r="F35" s="2"/>
      <c r="G35" s="1153">
        <v>8</v>
      </c>
      <c r="H35" s="1154"/>
      <c r="I35" s="1133"/>
      <c r="J35" s="1133"/>
      <c r="K35" s="1133"/>
      <c r="L35" s="1134"/>
      <c r="M35" s="1135"/>
      <c r="N35" s="1134"/>
      <c r="O35" s="1156"/>
      <c r="P35" s="1135"/>
      <c r="Q35" s="1134"/>
      <c r="R35" s="1135"/>
      <c r="S35" s="1134"/>
      <c r="T35" s="1156"/>
      <c r="U35" s="1135"/>
      <c r="V35" s="120"/>
      <c r="W35" s="121"/>
      <c r="X35" s="121"/>
      <c r="Y35" s="122"/>
    </row>
    <row r="36" spans="1:40" ht="26.1" customHeight="1" x14ac:dyDescent="0.25">
      <c r="A36" s="18"/>
      <c r="B36" s="18"/>
      <c r="C36" s="18"/>
      <c r="D36" s="7"/>
      <c r="E36" s="2"/>
      <c r="F36" s="2"/>
      <c r="G36" s="1153">
        <v>9</v>
      </c>
      <c r="H36" s="1154"/>
      <c r="I36" s="1133"/>
      <c r="J36" s="1133"/>
      <c r="K36" s="1133"/>
      <c r="L36" s="1134"/>
      <c r="M36" s="1135"/>
      <c r="N36" s="1134"/>
      <c r="O36" s="1156"/>
      <c r="P36" s="1135"/>
      <c r="Q36" s="1134"/>
      <c r="R36" s="1135"/>
      <c r="S36" s="1134"/>
      <c r="T36" s="1156"/>
      <c r="U36" s="1135"/>
      <c r="V36" s="120"/>
      <c r="W36" s="121"/>
      <c r="X36" s="121"/>
      <c r="Y36" s="122"/>
    </row>
    <row r="37" spans="1:40" ht="26.1" customHeight="1" x14ac:dyDescent="0.25">
      <c r="A37" s="18"/>
      <c r="B37" s="18"/>
      <c r="C37" s="18"/>
      <c r="D37" s="7"/>
      <c r="E37" s="2"/>
      <c r="F37" s="2"/>
      <c r="G37" s="1153">
        <v>10</v>
      </c>
      <c r="H37" s="1154"/>
      <c r="I37" s="1133"/>
      <c r="J37" s="1133"/>
      <c r="K37" s="1133"/>
      <c r="L37" s="1134"/>
      <c r="M37" s="1135"/>
      <c r="N37" s="1134"/>
      <c r="O37" s="1156"/>
      <c r="P37" s="1135"/>
      <c r="Q37" s="1134"/>
      <c r="R37" s="1135"/>
      <c r="S37" s="1134"/>
      <c r="T37" s="1156"/>
      <c r="U37" s="1135"/>
      <c r="V37" s="120"/>
      <c r="W37" s="121"/>
      <c r="X37" s="121"/>
      <c r="Y37" s="122"/>
    </row>
    <row r="38" spans="1:40" ht="26.1" customHeight="1" x14ac:dyDescent="0.25">
      <c r="A38" s="18"/>
      <c r="B38" s="18"/>
      <c r="C38" s="18"/>
      <c r="D38" s="7"/>
      <c r="E38" s="2"/>
      <c r="F38" s="2"/>
      <c r="G38" s="1153">
        <v>11</v>
      </c>
      <c r="H38" s="1154"/>
      <c r="I38" s="1133"/>
      <c r="J38" s="1133"/>
      <c r="K38" s="1133"/>
      <c r="L38" s="1134"/>
      <c r="M38" s="1135"/>
      <c r="N38" s="1134"/>
      <c r="O38" s="1156"/>
      <c r="P38" s="1135"/>
      <c r="Q38" s="1134"/>
      <c r="R38" s="1135"/>
      <c r="S38" s="1134"/>
      <c r="T38" s="1156"/>
      <c r="U38" s="1135"/>
      <c r="V38" s="120"/>
      <c r="W38" s="121"/>
      <c r="X38" s="121"/>
      <c r="Y38" s="122"/>
    </row>
    <row r="39" spans="1:40" ht="26.1" customHeight="1" x14ac:dyDescent="0.25">
      <c r="A39" s="18"/>
      <c r="B39" s="18"/>
      <c r="C39" s="18"/>
      <c r="D39" s="7"/>
      <c r="E39" s="2"/>
      <c r="F39" s="2"/>
      <c r="G39" s="1153">
        <v>12</v>
      </c>
      <c r="H39" s="1154"/>
      <c r="I39" s="1133"/>
      <c r="J39" s="1133"/>
      <c r="K39" s="1133"/>
      <c r="L39" s="1134"/>
      <c r="M39" s="1135"/>
      <c r="N39" s="1134"/>
      <c r="O39" s="1156"/>
      <c r="P39" s="1135"/>
      <c r="Q39" s="1134"/>
      <c r="R39" s="1135"/>
      <c r="S39" s="1134"/>
      <c r="T39" s="1156"/>
      <c r="U39" s="1135"/>
      <c r="V39" s="120"/>
      <c r="W39" s="121"/>
      <c r="X39" s="121"/>
      <c r="Y39" s="122"/>
    </row>
    <row r="40" spans="1:40" ht="26.1" customHeight="1" x14ac:dyDescent="0.25">
      <c r="A40" s="18"/>
      <c r="B40" s="18"/>
      <c r="C40" s="18"/>
      <c r="D40" s="7"/>
      <c r="E40" s="2"/>
      <c r="F40" s="2"/>
      <c r="G40" s="1153">
        <v>13</v>
      </c>
      <c r="H40" s="1154"/>
      <c r="I40" s="1133"/>
      <c r="J40" s="1133"/>
      <c r="K40" s="1133"/>
      <c r="L40" s="1134"/>
      <c r="M40" s="1135"/>
      <c r="N40" s="1134"/>
      <c r="O40" s="1156"/>
      <c r="P40" s="1135"/>
      <c r="Q40" s="1134"/>
      <c r="R40" s="1135"/>
      <c r="S40" s="1134"/>
      <c r="T40" s="1156"/>
      <c r="U40" s="1135"/>
      <c r="V40" s="120"/>
      <c r="W40" s="121"/>
      <c r="X40" s="121"/>
      <c r="Y40" s="122"/>
    </row>
    <row r="41" spans="1:40" ht="26.1" customHeight="1" x14ac:dyDescent="0.25">
      <c r="A41" s="18"/>
      <c r="B41" s="18"/>
      <c r="C41" s="18"/>
      <c r="D41" s="7"/>
      <c r="E41" s="2"/>
      <c r="F41" s="2"/>
      <c r="G41" s="1153">
        <v>14</v>
      </c>
      <c r="H41" s="1154"/>
      <c r="I41" s="1133"/>
      <c r="J41" s="1133"/>
      <c r="K41" s="1133"/>
      <c r="L41" s="1134"/>
      <c r="M41" s="1135"/>
      <c r="N41" s="1134"/>
      <c r="O41" s="1156"/>
      <c r="P41" s="1135"/>
      <c r="Q41" s="1134"/>
      <c r="R41" s="1135"/>
      <c r="S41" s="1134"/>
      <c r="T41" s="1156"/>
      <c r="U41" s="1135"/>
      <c r="V41" s="120"/>
      <c r="W41" s="121"/>
      <c r="X41" s="121"/>
      <c r="Y41" s="122"/>
    </row>
    <row r="42" spans="1:40" ht="26.1" customHeight="1" x14ac:dyDescent="0.25">
      <c r="A42" s="18"/>
      <c r="B42" s="18"/>
      <c r="C42" s="18"/>
      <c r="D42" s="7"/>
      <c r="E42" s="2"/>
      <c r="F42" s="2"/>
      <c r="G42" s="1153">
        <v>15</v>
      </c>
      <c r="H42" s="1154"/>
      <c r="I42" s="1133"/>
      <c r="J42" s="1133"/>
      <c r="K42" s="1133"/>
      <c r="L42" s="1134"/>
      <c r="M42" s="1135"/>
      <c r="N42" s="1134"/>
      <c r="O42" s="1156"/>
      <c r="P42" s="1135"/>
      <c r="Q42" s="1134"/>
      <c r="R42" s="1135"/>
      <c r="S42" s="1134"/>
      <c r="T42" s="1156"/>
      <c r="U42" s="1135"/>
      <c r="V42" s="120"/>
      <c r="W42" s="121"/>
      <c r="X42" s="121"/>
      <c r="Y42" s="122"/>
    </row>
    <row r="43" spans="1:40" ht="20.100000000000001" hidden="1" customHeight="1" x14ac:dyDescent="0.25">
      <c r="A43" s="18"/>
      <c r="B43" s="18"/>
      <c r="C43" s="18"/>
      <c r="D43" s="7"/>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30" hidden="1" customHeight="1" x14ac:dyDescent="0.25">
      <c r="A44" s="18"/>
      <c r="B44" s="18"/>
      <c r="C44" s="18"/>
      <c r="D44" s="7"/>
      <c r="E44" s="2"/>
      <c r="AN44" s="2"/>
    </row>
    <row r="45" spans="1:40" ht="20.100000000000001" customHeight="1" x14ac:dyDescent="0.25">
      <c r="A45" s="18"/>
      <c r="B45" s="18"/>
      <c r="C45" s="18"/>
      <c r="D45" s="7"/>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20.100000000000001" customHeight="1" x14ac:dyDescent="0.25">
      <c r="A46" s="18"/>
      <c r="B46" s="18"/>
      <c r="C46" s="18"/>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row>
    <row r="47" spans="1:40" ht="20.100000000000001" customHeight="1" x14ac:dyDescent="0.25">
      <c r="A47" s="18"/>
      <c r="B47" s="18"/>
      <c r="C47" s="18"/>
      <c r="D47" s="7"/>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40" ht="99.95" customHeight="1" x14ac:dyDescent="0.25">
      <c r="A48" s="18"/>
      <c r="B48" s="18"/>
      <c r="C48" s="18"/>
      <c r="D48" s="7"/>
      <c r="E48" s="2"/>
      <c r="F48" s="1049" t="s">
        <v>7998</v>
      </c>
      <c r="G48" s="1050"/>
      <c r="H48" s="1050"/>
      <c r="I48" s="1050"/>
      <c r="J48" s="1050"/>
      <c r="K48" s="1050"/>
      <c r="L48" s="1050"/>
      <c r="M48" s="1051"/>
      <c r="N48" s="1032"/>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4"/>
      <c r="AN48" s="131" t="s">
        <v>8014</v>
      </c>
    </row>
    <row r="49" spans="1:40" ht="50.1" customHeight="1" x14ac:dyDescent="0.25">
      <c r="A49" s="18"/>
      <c r="B49" s="18"/>
      <c r="C49" s="18"/>
      <c r="D49" s="7"/>
      <c r="E49" s="2"/>
      <c r="F49" s="1008" t="s">
        <v>143</v>
      </c>
      <c r="G49" s="1009"/>
      <c r="H49" s="1009"/>
      <c r="I49" s="1009"/>
      <c r="J49" s="1009"/>
      <c r="K49" s="1009"/>
      <c r="L49" s="1009"/>
      <c r="M49" s="1010"/>
      <c r="N49" s="1032"/>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4"/>
      <c r="AN49" s="131" t="s">
        <v>8014</v>
      </c>
    </row>
    <row r="50" spans="1:40" ht="20.100000000000001" customHeight="1" x14ac:dyDescent="0.25">
      <c r="A50" s="18"/>
      <c r="B50" s="18"/>
      <c r="C50" s="18"/>
      <c r="D50" s="7"/>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7"/>
    </row>
    <row r="51" spans="1:40" ht="20.100000000000001" customHeight="1" x14ac:dyDescent="0.25">
      <c r="A51" s="18"/>
      <c r="B51" s="18"/>
      <c r="C51" s="18"/>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row>
    <row r="52" spans="1:40" ht="20.100000000000001" customHeight="1" x14ac:dyDescent="0.25">
      <c r="A52" s="18"/>
      <c r="B52" s="18"/>
      <c r="C52" s="18"/>
      <c r="D52" s="7"/>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ht="20.100000000000001" customHeight="1" x14ac:dyDescent="0.25">
      <c r="A53" s="18"/>
      <c r="B53" s="18"/>
      <c r="C53" s="18"/>
      <c r="D53" s="7"/>
      <c r="E53" s="2"/>
      <c r="F53" s="1067" t="s">
        <v>296</v>
      </c>
      <c r="G53" s="1068"/>
      <c r="H53" s="1068"/>
      <c r="I53" s="1068"/>
      <c r="J53" s="1068"/>
      <c r="K53" s="1068"/>
      <c r="L53" s="1069"/>
      <c r="M53" s="1076" t="s">
        <v>186</v>
      </c>
      <c r="N53" s="135"/>
      <c r="O53" s="136"/>
      <c r="P53" s="136"/>
      <c r="Q53" s="136"/>
      <c r="R53" s="137"/>
      <c r="S53" s="1079" t="s">
        <v>293</v>
      </c>
      <c r="T53" s="1064"/>
      <c r="U53" s="1064"/>
      <c r="V53" s="1064"/>
      <c r="W53" s="1064"/>
      <c r="X53" s="1064"/>
      <c r="Y53" s="1064"/>
      <c r="Z53" s="1064" t="s">
        <v>301</v>
      </c>
      <c r="AA53" s="1064"/>
      <c r="AB53" s="1064"/>
      <c r="AC53" s="1064"/>
      <c r="AD53" s="1064"/>
      <c r="AE53" s="1064"/>
      <c r="AF53" s="1064"/>
      <c r="AG53" s="1064"/>
      <c r="AH53" s="1064"/>
      <c r="AI53" s="1064" t="s">
        <v>302</v>
      </c>
      <c r="AJ53" s="1064"/>
      <c r="AK53" s="1064"/>
      <c r="AL53" s="1064"/>
      <c r="AM53" s="1065"/>
      <c r="AN53" s="27"/>
    </row>
    <row r="54" spans="1:40" ht="20.100000000000001" customHeight="1" x14ac:dyDescent="0.25">
      <c r="A54" s="18"/>
      <c r="B54" s="18"/>
      <c r="C54" s="18"/>
      <c r="D54" s="7"/>
      <c r="E54" s="2"/>
      <c r="F54" s="1070"/>
      <c r="G54" s="1071"/>
      <c r="H54" s="1071"/>
      <c r="I54" s="1071"/>
      <c r="J54" s="1071"/>
      <c r="K54" s="1071"/>
      <c r="L54" s="1072"/>
      <c r="M54" s="1077"/>
      <c r="N54" s="138"/>
      <c r="O54" s="1045" t="s">
        <v>219</v>
      </c>
      <c r="P54" s="1045"/>
      <c r="Q54" s="1045"/>
      <c r="R54" s="1046"/>
      <c r="S54" s="1042"/>
      <c r="T54" s="1043"/>
      <c r="U54" s="1043"/>
      <c r="V54" s="1043"/>
      <c r="W54" s="1043"/>
      <c r="X54" s="1043"/>
      <c r="Y54" s="1043"/>
      <c r="Z54" s="1044"/>
      <c r="AA54" s="1044"/>
      <c r="AB54" s="1044"/>
      <c r="AC54" s="1044"/>
      <c r="AD54" s="1044"/>
      <c r="AE54" s="1044"/>
      <c r="AF54" s="1044"/>
      <c r="AG54" s="1044"/>
      <c r="AH54" s="1044"/>
      <c r="AI54" s="1066"/>
      <c r="AJ54" s="1066"/>
      <c r="AK54" s="1066"/>
      <c r="AL54" s="1066"/>
      <c r="AM54" s="1066"/>
      <c r="AN54" s="130"/>
    </row>
    <row r="55" spans="1:40" ht="20.100000000000001" customHeight="1" x14ac:dyDescent="0.25">
      <c r="A55" s="18"/>
      <c r="B55" s="18"/>
      <c r="C55" s="18"/>
      <c r="D55" s="7"/>
      <c r="E55" s="2"/>
      <c r="F55" s="1070"/>
      <c r="G55" s="1071"/>
      <c r="H55" s="1071"/>
      <c r="I55" s="1071"/>
      <c r="J55" s="1071"/>
      <c r="K55" s="1071"/>
      <c r="L55" s="1072"/>
      <c r="M55" s="1077"/>
      <c r="N55" s="1"/>
      <c r="O55" s="138"/>
      <c r="P55" s="138"/>
      <c r="Q55" s="138"/>
      <c r="R55" s="139"/>
      <c r="S55" s="1042"/>
      <c r="T55" s="1043"/>
      <c r="U55" s="1043"/>
      <c r="V55" s="1043"/>
      <c r="W55" s="1043"/>
      <c r="X55" s="1043"/>
      <c r="Y55" s="1043"/>
      <c r="Z55" s="1044"/>
      <c r="AA55" s="1044"/>
      <c r="AB55" s="1044"/>
      <c r="AC55" s="1044"/>
      <c r="AD55" s="1044"/>
      <c r="AE55" s="1044"/>
      <c r="AF55" s="1044"/>
      <c r="AG55" s="1044"/>
      <c r="AH55" s="1044"/>
      <c r="AI55" s="1066"/>
      <c r="AJ55" s="1066"/>
      <c r="AK55" s="1066"/>
      <c r="AL55" s="1066"/>
      <c r="AM55" s="1066"/>
      <c r="AN55" s="130"/>
    </row>
    <row r="56" spans="1:40" ht="20.100000000000001" customHeight="1" x14ac:dyDescent="0.25">
      <c r="A56" s="18"/>
      <c r="B56" s="18"/>
      <c r="C56" s="18"/>
      <c r="D56" s="7"/>
      <c r="E56" s="2"/>
      <c r="F56" s="1070"/>
      <c r="G56" s="1071"/>
      <c r="H56" s="1071"/>
      <c r="I56" s="1071"/>
      <c r="J56" s="1071"/>
      <c r="K56" s="1071"/>
      <c r="L56" s="1072"/>
      <c r="M56" s="1077"/>
      <c r="N56" s="138"/>
      <c r="O56" s="1047" t="s">
        <v>280</v>
      </c>
      <c r="P56" s="1047"/>
      <c r="Q56" s="1047"/>
      <c r="R56" s="1048"/>
      <c r="S56" s="1042"/>
      <c r="T56" s="1043"/>
      <c r="U56" s="1043"/>
      <c r="V56" s="1043"/>
      <c r="W56" s="1043"/>
      <c r="X56" s="1043"/>
      <c r="Y56" s="1043"/>
      <c r="Z56" s="1044"/>
      <c r="AA56" s="1044"/>
      <c r="AB56" s="1044"/>
      <c r="AC56" s="1044"/>
      <c r="AD56" s="1044"/>
      <c r="AE56" s="1044"/>
      <c r="AF56" s="1044"/>
      <c r="AG56" s="1044"/>
      <c r="AH56" s="1044"/>
      <c r="AI56" s="1066"/>
      <c r="AJ56" s="1066"/>
      <c r="AK56" s="1066"/>
      <c r="AL56" s="1066"/>
      <c r="AM56" s="1066"/>
      <c r="AN56" s="156"/>
    </row>
    <row r="57" spans="1:40" ht="20.100000000000001" customHeight="1" x14ac:dyDescent="0.25">
      <c r="A57" s="18"/>
      <c r="B57" s="18"/>
      <c r="C57" s="18"/>
      <c r="D57" s="7"/>
      <c r="E57" s="2"/>
      <c r="F57" s="1073"/>
      <c r="G57" s="1074"/>
      <c r="H57" s="1074"/>
      <c r="I57" s="1074"/>
      <c r="J57" s="1074"/>
      <c r="K57" s="1074"/>
      <c r="L57" s="1075"/>
      <c r="M57" s="1078"/>
      <c r="N57" s="140"/>
      <c r="O57" s="140"/>
      <c r="P57" s="140"/>
      <c r="Q57" s="140"/>
      <c r="R57" s="141"/>
      <c r="S57" s="1042"/>
      <c r="T57" s="1043"/>
      <c r="U57" s="1043"/>
      <c r="V57" s="1043"/>
      <c r="W57" s="1043"/>
      <c r="X57" s="1043"/>
      <c r="Y57" s="1043"/>
      <c r="Z57" s="1044"/>
      <c r="AA57" s="1044"/>
      <c r="AB57" s="1044"/>
      <c r="AC57" s="1044"/>
      <c r="AD57" s="1044"/>
      <c r="AE57" s="1044"/>
      <c r="AF57" s="1044"/>
      <c r="AG57" s="1044"/>
      <c r="AH57" s="1044"/>
      <c r="AI57" s="1066"/>
      <c r="AJ57" s="1066"/>
      <c r="AK57" s="1066"/>
      <c r="AL57" s="1066"/>
      <c r="AM57" s="1066"/>
      <c r="AN57" s="130"/>
    </row>
    <row r="58" spans="1:40" ht="20.100000000000001" customHeight="1" x14ac:dyDescent="0.25">
      <c r="A58" s="18"/>
      <c r="B58" s="18"/>
      <c r="C58" s="18"/>
      <c r="D58" s="7"/>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130"/>
    </row>
    <row r="59" spans="1:40" ht="20.100000000000001" customHeight="1" x14ac:dyDescent="0.25">
      <c r="A59" s="18"/>
      <c r="B59" s="18"/>
      <c r="C59" s="18"/>
      <c r="D59" s="7"/>
      <c r="E59" s="7"/>
      <c r="F59" s="7"/>
      <c r="G59" s="7"/>
      <c r="H59" s="7"/>
      <c r="I59" s="7"/>
      <c r="J59" s="7"/>
      <c r="K59" s="7"/>
      <c r="L59" s="7"/>
      <c r="M59" s="7"/>
      <c r="N59" s="168"/>
      <c r="O59" s="168"/>
      <c r="P59" s="168"/>
      <c r="Q59" s="177"/>
      <c r="R59" s="177"/>
      <c r="S59" s="177"/>
      <c r="T59" s="177"/>
      <c r="U59" s="177"/>
      <c r="V59" s="177"/>
      <c r="W59" s="177"/>
      <c r="X59" s="177"/>
      <c r="Y59" s="177"/>
      <c r="Z59" s="177"/>
      <c r="AA59" s="177"/>
      <c r="AB59" s="177"/>
      <c r="AC59" s="168"/>
      <c r="AD59" s="168"/>
      <c r="AE59" s="168"/>
      <c r="AF59" s="168"/>
      <c r="AG59" s="177"/>
      <c r="AH59" s="177"/>
      <c r="AI59" s="177"/>
      <c r="AJ59" s="177"/>
      <c r="AK59" s="177"/>
      <c r="AL59" s="177"/>
      <c r="AM59" s="177"/>
      <c r="AN59" s="177"/>
    </row>
    <row r="60" spans="1:40" ht="15" customHeight="1" x14ac:dyDescent="0.25">
      <c r="A60" s="18"/>
      <c r="B60" s="18"/>
      <c r="C60" s="18"/>
      <c r="D60" s="7"/>
      <c r="E60" s="2"/>
      <c r="F60" s="2"/>
      <c r="G60" s="2"/>
      <c r="H60" s="2"/>
      <c r="I60" s="2"/>
      <c r="J60" s="2"/>
      <c r="K60" s="2"/>
      <c r="L60" s="2"/>
      <c r="M60" s="2"/>
      <c r="N60" s="145" t="str">
        <f ca="1">Calculos!$BA$116</f>
        <v/>
      </c>
      <c r="O60" s="169"/>
      <c r="P60" s="169"/>
      <c r="Q60" s="170"/>
      <c r="R60" s="170"/>
      <c r="S60" s="170"/>
      <c r="T60" s="170"/>
      <c r="U60" s="170"/>
      <c r="V60" s="170"/>
      <c r="W60" s="170"/>
      <c r="X60" s="170"/>
      <c r="Y60" s="170"/>
      <c r="Z60" s="170"/>
      <c r="AA60" s="170"/>
      <c r="AB60" s="170"/>
      <c r="AC60" s="169"/>
      <c r="AD60" s="169"/>
      <c r="AE60" s="169"/>
      <c r="AF60" s="169"/>
      <c r="AG60" s="170"/>
      <c r="AH60" s="170"/>
      <c r="AI60" s="170"/>
      <c r="AJ60" s="170"/>
      <c r="AK60" s="170"/>
      <c r="AL60" s="170"/>
      <c r="AM60" s="170"/>
      <c r="AN60" s="170"/>
    </row>
    <row r="61" spans="1:40" ht="20.100000000000001" customHeight="1" x14ac:dyDescent="0.25">
      <c r="A61" s="18"/>
      <c r="B61" s="18"/>
      <c r="C61" s="18"/>
      <c r="D61" s="7"/>
      <c r="E61" s="2"/>
      <c r="F61" s="1008" t="s">
        <v>300</v>
      </c>
      <c r="G61" s="1009"/>
      <c r="H61" s="1009"/>
      <c r="I61" s="1009"/>
      <c r="J61" s="1009"/>
      <c r="K61" s="1009"/>
      <c r="L61" s="1041"/>
      <c r="M61" s="148" t="s">
        <v>186</v>
      </c>
      <c r="N61" s="1055" t="s">
        <v>287</v>
      </c>
      <c r="O61" s="1056"/>
      <c r="P61" s="1056"/>
      <c r="Q61" s="1058"/>
      <c r="R61" s="1059"/>
      <c r="S61" s="1059"/>
      <c r="T61" s="1060"/>
      <c r="U61" s="1008" t="s">
        <v>34</v>
      </c>
      <c r="V61" s="1009"/>
      <c r="W61" s="1009"/>
      <c r="X61" s="1009"/>
      <c r="Y61" s="1010"/>
      <c r="Z61" s="1008" t="s">
        <v>278</v>
      </c>
      <c r="AA61" s="1009"/>
      <c r="AB61" s="1010"/>
      <c r="AC61" s="1061"/>
      <c r="AD61" s="1062"/>
      <c r="AE61" s="1063"/>
      <c r="AF61" s="1008" t="s">
        <v>279</v>
      </c>
      <c r="AG61" s="1009"/>
      <c r="AH61" s="1010"/>
      <c r="AI61" s="1061"/>
      <c r="AJ61" s="1062"/>
      <c r="AK61" s="1062"/>
      <c r="AL61" s="1062"/>
      <c r="AM61" s="1063"/>
      <c r="AN61" s="2"/>
    </row>
    <row r="62" spans="1:40" ht="99.95" customHeight="1" x14ac:dyDescent="0.25">
      <c r="A62" s="18"/>
      <c r="B62" s="18"/>
      <c r="C62" s="18"/>
      <c r="D62" s="7"/>
      <c r="E62" s="2"/>
      <c r="F62" s="1008" t="s">
        <v>393</v>
      </c>
      <c r="G62" s="1009"/>
      <c r="H62" s="1009"/>
      <c r="I62" s="1009"/>
      <c r="J62" s="1009"/>
      <c r="K62" s="1009"/>
      <c r="L62" s="1041"/>
      <c r="M62" s="148" t="s">
        <v>186</v>
      </c>
      <c r="N62" s="1032"/>
      <c r="O62" s="1033"/>
      <c r="P62" s="1033"/>
      <c r="Q62" s="1033"/>
      <c r="R62" s="1033"/>
      <c r="S62" s="1033"/>
      <c r="T62" s="1033"/>
      <c r="U62" s="1033"/>
      <c r="V62" s="1033"/>
      <c r="W62" s="1033"/>
      <c r="X62" s="1033"/>
      <c r="Y62" s="1033"/>
      <c r="Z62" s="1033"/>
      <c r="AA62" s="1033"/>
      <c r="AB62" s="1033"/>
      <c r="AC62" s="1033"/>
      <c r="AD62" s="1033"/>
      <c r="AE62" s="1033"/>
      <c r="AF62" s="1033"/>
      <c r="AG62" s="1033"/>
      <c r="AH62" s="1033"/>
      <c r="AI62" s="1033"/>
      <c r="AJ62" s="1033"/>
      <c r="AK62" s="1033"/>
      <c r="AL62" s="1033"/>
      <c r="AM62" s="1034"/>
      <c r="AN62" s="131" t="s">
        <v>8014</v>
      </c>
    </row>
    <row r="63" spans="1:40" x14ac:dyDescent="0.25">
      <c r="A63" s="18"/>
      <c r="B63" s="18"/>
      <c r="C63" s="18"/>
      <c r="D63" s="7"/>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sheetData>
  <sheetProtection algorithmName="SHA-512" hashValue="NjEejS+mBrMXrygnpMh2PwTT8f4oppdYzCEXeKDF1uI4d6mKEwdoYzBwxWAsxO6swoRpBkJyHAkq2sByPq/pZA==" saltValue="o68BuzwxT5+3TVCoYBBiZA==" spinCount="100000" sheet="1" objects="1" scenarios="1" formatColumns="0" formatRows="0"/>
  <mergeCells count="159">
    <mergeCell ref="AK17:AN17"/>
    <mergeCell ref="V27:Y27"/>
    <mergeCell ref="F48:M48"/>
    <mergeCell ref="N48:AM48"/>
    <mergeCell ref="G40:H40"/>
    <mergeCell ref="I40:K40"/>
    <mergeCell ref="S56:Y56"/>
    <mergeCell ref="Z56:AH56"/>
    <mergeCell ref="AI56:AM56"/>
    <mergeCell ref="S40:U40"/>
    <mergeCell ref="L40:M40"/>
    <mergeCell ref="G41:H41"/>
    <mergeCell ref="I41:K41"/>
    <mergeCell ref="L41:M41"/>
    <mergeCell ref="N41:P41"/>
    <mergeCell ref="Q41:R41"/>
    <mergeCell ref="S41:U41"/>
    <mergeCell ref="G42:H42"/>
    <mergeCell ref="I42:K42"/>
    <mergeCell ref="L42:M42"/>
    <mergeCell ref="N42:P42"/>
    <mergeCell ref="Q42:R42"/>
    <mergeCell ref="S42:U42"/>
    <mergeCell ref="M53:M57"/>
    <mergeCell ref="G38:H38"/>
    <mergeCell ref="I38:K38"/>
    <mergeCell ref="L38:M38"/>
    <mergeCell ref="N38:P38"/>
    <mergeCell ref="Q38:R38"/>
    <mergeCell ref="S38:U38"/>
    <mergeCell ref="G39:H39"/>
    <mergeCell ref="I39:K39"/>
    <mergeCell ref="L39:M39"/>
    <mergeCell ref="N39:P39"/>
    <mergeCell ref="Q39:R39"/>
    <mergeCell ref="S39:U39"/>
    <mergeCell ref="N35:P35"/>
    <mergeCell ref="Q35:R35"/>
    <mergeCell ref="S35:U35"/>
    <mergeCell ref="O56:R56"/>
    <mergeCell ref="AI55:AM55"/>
    <mergeCell ref="AI53:AM53"/>
    <mergeCell ref="S53:Y53"/>
    <mergeCell ref="Z53:AH53"/>
    <mergeCell ref="N40:P40"/>
    <mergeCell ref="Q40:R40"/>
    <mergeCell ref="O54:R54"/>
    <mergeCell ref="G32:H32"/>
    <mergeCell ref="I32:K32"/>
    <mergeCell ref="L32:M32"/>
    <mergeCell ref="N32:P32"/>
    <mergeCell ref="Q32:R32"/>
    <mergeCell ref="S32:U32"/>
    <mergeCell ref="G34:H34"/>
    <mergeCell ref="I34:K34"/>
    <mergeCell ref="L34:M34"/>
    <mergeCell ref="N34:P34"/>
    <mergeCell ref="Q34:R34"/>
    <mergeCell ref="S34:U34"/>
    <mergeCell ref="G33:H33"/>
    <mergeCell ref="I33:K33"/>
    <mergeCell ref="L33:M33"/>
    <mergeCell ref="N33:P33"/>
    <mergeCell ref="Q33:R33"/>
    <mergeCell ref="S33:U33"/>
    <mergeCell ref="S29:U29"/>
    <mergeCell ref="G30:H30"/>
    <mergeCell ref="I30:K30"/>
    <mergeCell ref="L30:M30"/>
    <mergeCell ref="N30:P30"/>
    <mergeCell ref="Q30:R30"/>
    <mergeCell ref="S30:U30"/>
    <mergeCell ref="G31:H31"/>
    <mergeCell ref="I31:K31"/>
    <mergeCell ref="L31:M31"/>
    <mergeCell ref="N31:P31"/>
    <mergeCell ref="Q31:R31"/>
    <mergeCell ref="S31:U31"/>
    <mergeCell ref="G36:H36"/>
    <mergeCell ref="I36:K36"/>
    <mergeCell ref="L36:M36"/>
    <mergeCell ref="N36:P36"/>
    <mergeCell ref="Q36:R36"/>
    <mergeCell ref="S36:U36"/>
    <mergeCell ref="G37:H37"/>
    <mergeCell ref="I37:K37"/>
    <mergeCell ref="L37:M37"/>
    <mergeCell ref="N37:P37"/>
    <mergeCell ref="Q37:R37"/>
    <mergeCell ref="S37:U37"/>
    <mergeCell ref="G35:H35"/>
    <mergeCell ref="I35:K35"/>
    <mergeCell ref="L35:M35"/>
    <mergeCell ref="N21:P21"/>
    <mergeCell ref="N22:S22"/>
    <mergeCell ref="F21:M21"/>
    <mergeCell ref="Y21:AB21"/>
    <mergeCell ref="G28:H28"/>
    <mergeCell ref="I28:K28"/>
    <mergeCell ref="L28:M28"/>
    <mergeCell ref="N28:P28"/>
    <mergeCell ref="Q28:R28"/>
    <mergeCell ref="S28:U28"/>
    <mergeCell ref="G29:H29"/>
    <mergeCell ref="I29:K29"/>
    <mergeCell ref="G27:H27"/>
    <mergeCell ref="I27:K27"/>
    <mergeCell ref="L27:M27"/>
    <mergeCell ref="N27:P27"/>
    <mergeCell ref="Q27:R27"/>
    <mergeCell ref="S27:U27"/>
    <mergeCell ref="L29:M29"/>
    <mergeCell ref="N29:P29"/>
    <mergeCell ref="Q29:R29"/>
    <mergeCell ref="AI2:AN7"/>
    <mergeCell ref="F16:L16"/>
    <mergeCell ref="F17:L17"/>
    <mergeCell ref="F18:L18"/>
    <mergeCell ref="F19:L19"/>
    <mergeCell ref="F22:L22"/>
    <mergeCell ref="F23:L23"/>
    <mergeCell ref="N16:Z16"/>
    <mergeCell ref="AA16:AD16"/>
    <mergeCell ref="AF16:AJ16"/>
    <mergeCell ref="N17:AJ17"/>
    <mergeCell ref="N19:AJ19"/>
    <mergeCell ref="N20:AJ20"/>
    <mergeCell ref="R21:X21"/>
    <mergeCell ref="N18:S18"/>
    <mergeCell ref="F20:M20"/>
    <mergeCell ref="Y10:AA12"/>
    <mergeCell ref="AD21:AJ21"/>
    <mergeCell ref="N23:S23"/>
    <mergeCell ref="T23:Z23"/>
    <mergeCell ref="AB23:AJ23"/>
    <mergeCell ref="F10:X12"/>
    <mergeCell ref="F2:AH6"/>
    <mergeCell ref="F7:J7"/>
    <mergeCell ref="AI61:AM61"/>
    <mergeCell ref="S57:Y57"/>
    <mergeCell ref="Z57:AH57"/>
    <mergeCell ref="AI54:AM54"/>
    <mergeCell ref="N62:AM62"/>
    <mergeCell ref="F62:L62"/>
    <mergeCell ref="N49:AM49"/>
    <mergeCell ref="AI57:AM57"/>
    <mergeCell ref="F61:L61"/>
    <mergeCell ref="U61:Y61"/>
    <mergeCell ref="Z61:AB61"/>
    <mergeCell ref="AC61:AE61"/>
    <mergeCell ref="AF61:AH61"/>
    <mergeCell ref="F49:M49"/>
    <mergeCell ref="N61:P61"/>
    <mergeCell ref="Q61:T61"/>
    <mergeCell ref="S54:Y54"/>
    <mergeCell ref="Z54:AH54"/>
    <mergeCell ref="S55:Y55"/>
    <mergeCell ref="Z55:AH55"/>
    <mergeCell ref="F53:L57"/>
  </mergeCells>
  <conditionalFormatting sqref="D1:D63">
    <cfRule type="expression" dxfId="622" priority="1">
      <formula>$Y$10&lt;&gt;"Não"</formula>
    </cfRule>
  </conditionalFormatting>
  <conditionalFormatting sqref="E15:AN63">
    <cfRule type="expression" dxfId="621" priority="3">
      <formula>$Y$10&lt;&gt;"Não"</formula>
    </cfRule>
  </conditionalFormatting>
  <conditionalFormatting sqref="F7">
    <cfRule type="notContainsBlanks" dxfId="620" priority="2">
      <formula>LEN(TRIM(F7))&gt;0</formula>
    </cfRule>
  </conditionalFormatting>
  <conditionalFormatting sqref="M16:M19">
    <cfRule type="expression" dxfId="619" priority="14">
      <formula>N16&lt;&gt;""</formula>
    </cfRule>
  </conditionalFormatting>
  <conditionalFormatting sqref="M22:M23">
    <cfRule type="expression" dxfId="618" priority="11">
      <formula>N22&lt;&gt;""</formula>
    </cfRule>
  </conditionalFormatting>
  <conditionalFormatting sqref="M61">
    <cfRule type="expression" dxfId="616" priority="19">
      <formula>OR($Q$61&lt;&gt;"",$AC$61&lt;&gt;"")</formula>
    </cfRule>
  </conditionalFormatting>
  <conditionalFormatting sqref="M62">
    <cfRule type="expression" dxfId="615" priority="8">
      <formula>N62&lt;&gt;""</formula>
    </cfRule>
  </conditionalFormatting>
  <conditionalFormatting sqref="N27:P42">
    <cfRule type="expression" dxfId="614" priority="4">
      <formula>COUNTIF($L$28:$M$42,"&gt;0")=0</formula>
    </cfRule>
  </conditionalFormatting>
  <conditionalFormatting sqref="Q21">
    <cfRule type="expression" dxfId="613" priority="13">
      <formula>R21&lt;&gt;""</formula>
    </cfRule>
  </conditionalFormatting>
  <conditionalFormatting sqref="S27:U42">
    <cfRule type="expression" dxfId="612" priority="7">
      <formula>COUNTIF($Q$28:$R$42,"&gt;0")=0</formula>
    </cfRule>
  </conditionalFormatting>
  <conditionalFormatting sqref="AA23">
    <cfRule type="expression" dxfId="610" priority="10">
      <formula>AB23&lt;&gt;""</formula>
    </cfRule>
  </conditionalFormatting>
  <conditionalFormatting sqref="AC21">
    <cfRule type="expression" dxfId="609" priority="12">
      <formula>AD21&lt;&gt;""</formula>
    </cfRule>
  </conditionalFormatting>
  <conditionalFormatting sqref="AE16">
    <cfRule type="expression" dxfId="608" priority="16">
      <formula>AF16&lt;&gt;""</formula>
    </cfRule>
  </conditionalFormatting>
  <dataValidations count="16">
    <dataValidation type="custom" allowBlank="1" showInputMessage="1" showErrorMessage="1" errorTitle="Data inválida" error="A data de conclusão não pode ser anterior a data de início." sqref="AD21:AJ21" xr:uid="{20F19A52-58F0-4E42-9B2F-EBDF2CAB9762}">
      <formula1>R21&lt;=AD21</formula1>
    </dataValidation>
    <dataValidation type="list" allowBlank="1" showInputMessage="1" showErrorMessage="1" errorTitle="Código inválido" error="Preencher os dados do certificado na guia &quot;Certificados&quot; antes de atribuí-lo a algum estudo" sqref="N22:S22" xr:uid="{84324D42-9976-449C-9081-73467A0FF8C8}">
      <formula1>src_certificados</formula1>
    </dataValidation>
    <dataValidation type="custom" allowBlank="1" showInputMessage="1" showErrorMessage="1" errorTitle="Valor inválido" error="O número de animais mortos não pode ser superior a quantidade de animais avaliados." sqref="S28:U42 N28:P42" xr:uid="{3528DFFD-52FD-4015-BFA5-503ED69197FB}">
      <formula1>L28&gt;=N28</formula1>
    </dataValidation>
    <dataValidation type="decimal" operator="greaterThanOrEqual" allowBlank="1" showInputMessage="1" showErrorMessage="1" errorTitle="Valor inválido" error="O valor da dose deve ser um número decimal" sqref="Q61:T61" xr:uid="{3B860D20-A989-4816-ADCD-DE3FB8F74FDF}">
      <formula1>0</formula1>
    </dataValidation>
    <dataValidation allowBlank="1" showInputMessage="1" showErrorMessage="1" promptTitle="Ajuda" prompt="Todas as informações desse formulário devem refletir o que foi protocolado na Anvisa, portanto a opção de dispensa de estudo só deverá ser marcada como &quot;sim&quot; se ela também tiver sido realizada no pleito do produto. " sqref="F10:X12" xr:uid="{78B18767-C7D4-4F46-8D30-A2CC63EC7FB4}"/>
    <dataValidation allowBlank="1" showInputMessage="1" showErrorMessage="1" promptTitle="Ajuda" prompt="Código gerado pelo laboratório executor" sqref="AA16:AD16" xr:uid="{43AB6DD8-7DB5-46BF-BC71-B7AFBC321047}"/>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20:M20" xr:uid="{1B3592BB-851B-4BA7-8603-42A02589F912}"/>
    <dataValidation allowBlank="1" showInputMessage="1" showErrorMessage="1" promptTitle="Ajuda" prompt="São considerados desvios os procedimentos que tenham sido conduzidos em desacordo com o protocolo. _x000a__x000a_Alterações no corpo técnico, retificações no texto do relatório ou similiares não são considerados desvios ao protocolo." sqref="F53:L57" xr:uid="{6DC80B88-A0C3-4154-968E-199F7D3B07FC}"/>
    <dataValidation allowBlank="1" showInputMessage="1" showErrorMessage="1" promptTitle="Ajuda" prompt="Descrição sucinta do desvio ocorrido._x000a__x000a_Caso tenha ocorrido mais do que quatro desvios, os demais deverão estar descritos na última linha e separados por ponto e vírgula" sqref="S53:Y53" xr:uid="{D955BF93-070F-4047-AD15-1D86DECF469F}"/>
    <dataValidation allowBlank="1" showInputMessage="1" showErrorMessage="1" promptTitle="Ajuda" prompt="Incluir a justificativa do porquê ocorreu desvio e qual é interpretação dos seus impactos frente aos resultados do estudos." sqref="Z53:AH53" xr:uid="{B6100A98-9AAC-45A0-8F0C-CC0A9359D448}"/>
    <dataValidation allowBlank="1" showInputMessage="1" showErrorMessage="1" promptTitle="Ajuda" prompt="Informar apenas se o(s) desvio(s) afetam de algum modo a interpretação dos resultados" sqref="AI53:AM53" xr:uid="{8C6DF5E3-EA83-48F1-9EB0-BC4BDA67D4B4}"/>
    <dataValidation allowBlank="1" showInputMessage="1" showErrorMessage="1" promptTitle="Ajuda" prompt="Informar o resultado a partir da dose testada nos animais. Não adotar o valor de referência no protocolo OECD (Cut-off)." sqref="F61:L61" xr:uid="{4B451CC3-FB8C-42FB-8CB0-21C8C5E5D357}"/>
    <dataValidation allowBlank="1" showInputMessage="1" showErrorMessage="1" promptTitle="Ajuda" prompt="A conclusão deverá ser conforme está escrito no relatório do estudo._x000a_" sqref="F62:L62" xr:uid="{0E8FAE1E-1AF9-4A6C-AE8E-B070E2AE1EE8}"/>
    <dataValidation allowBlank="1" showInputMessage="1" showErrorMessage="1" promptTitle="Ajuda" prompt="Informar nome e estado/país do laboratório executor" sqref="F17:L17" xr:uid="{3054062C-DF83-4F8D-994A-DB0D86849B03}"/>
    <dataValidation allowBlank="1" showInputMessage="1" showErrorMessage="1" promptTitle="Ajuda" prompt="Data de início da exposição dos animais à substância teste" sqref="N21:P21" xr:uid="{0A5061B0-5694-48CD-8A7E-AACA79F3D277}"/>
    <dataValidation allowBlank="1" showInputMessage="1" showErrorMessage="1" prompt="Consideram-se evidências de toxicidade as alterações observadas nos animais decorrentes da exposição à substância teste até os valores da categoria 4, exceto para diarreia, piloereção e aparência descuidada._x000a__x000a_*RDC 294/19, ANEXO IV, item 1.5, alínea d" sqref="V27:Y27" xr:uid="{4F7A8A58-CE31-4B32-ABB0-DB4FAB66FD8E}"/>
  </dataValidations>
  <hyperlinks>
    <hyperlink ref="F7" location="Alertas!G2" display="Alertas!G2" xr:uid="{936F2678-B507-453F-8EEB-50F652C1C072}"/>
  </hyperlinks>
  <pageMargins left="0.511811024" right="0.511811024" top="0.78740157499999996" bottom="0.78740157499999996" header="0.31496062000000002" footer="0.31496062000000002"/>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25" r:id="rId4" name="check_dlcutanea_maiorque">
              <controlPr defaultSize="0" autoFill="0" autoLine="0" autoPict="0">
                <anchor moveWithCells="1">
                  <from>
                    <xdr:col>13</xdr:col>
                    <xdr:colOff>28575</xdr:colOff>
                    <xdr:row>59</xdr:row>
                    <xdr:rowOff>180975</xdr:rowOff>
                  </from>
                  <to>
                    <xdr:col>16</xdr:col>
                    <xdr:colOff>0</xdr:colOff>
                    <xdr:row>61</xdr:row>
                    <xdr:rowOff>9525</xdr:rowOff>
                  </to>
                </anchor>
              </controlPr>
            </control>
          </mc:Choice>
        </mc:AlternateContent>
        <mc:AlternateContent xmlns:mc="http://schemas.openxmlformats.org/markup-compatibility/2006">
          <mc:Choice Requires="x14">
            <control shapeId="25624" r:id="rId5" name="optn_dlcuanea_desvios1">
              <controlPr defaultSize="0" autoFill="0" autoLine="0" autoPict="0">
                <anchor moveWithCells="1">
                  <from>
                    <xdr:col>13</xdr:col>
                    <xdr:colOff>66675</xdr:colOff>
                    <xdr:row>52</xdr:row>
                    <xdr:rowOff>180975</xdr:rowOff>
                  </from>
                  <to>
                    <xdr:col>18</xdr:col>
                    <xdr:colOff>0</xdr:colOff>
                    <xdr:row>54</xdr:row>
                    <xdr:rowOff>66675</xdr:rowOff>
                  </to>
                </anchor>
              </controlPr>
            </control>
          </mc:Choice>
        </mc:AlternateContent>
        <mc:AlternateContent xmlns:mc="http://schemas.openxmlformats.org/markup-compatibility/2006">
          <mc:Choice Requires="x14">
            <control shapeId="25623" r:id="rId6" name="optn_dlcuanea_desvios2">
              <controlPr defaultSize="0" autoFill="0" autoLine="0" autoPict="0">
                <anchor moveWithCells="1">
                  <from>
                    <xdr:col>13</xdr:col>
                    <xdr:colOff>66675</xdr:colOff>
                    <xdr:row>54</xdr:row>
                    <xdr:rowOff>180975</xdr:rowOff>
                  </from>
                  <to>
                    <xdr:col>18</xdr:col>
                    <xdr:colOff>0</xdr:colOff>
                    <xdr:row>56</xdr:row>
                    <xdr:rowOff>66675</xdr:rowOff>
                  </to>
                </anchor>
              </controlPr>
            </control>
          </mc:Choice>
        </mc:AlternateContent>
        <mc:AlternateContent xmlns:mc="http://schemas.openxmlformats.org/markup-compatibility/2006">
          <mc:Choice Requires="x14">
            <control shapeId="25627" r:id="rId7" name="evid_tox_1">
              <controlPr defaultSize="0" autoFill="0" autoLine="0" autoPict="0">
                <anchor moveWithCells="1">
                  <from>
                    <xdr:col>22</xdr:col>
                    <xdr:colOff>142875</xdr:colOff>
                    <xdr:row>27</xdr:row>
                    <xdr:rowOff>9525</xdr:rowOff>
                  </from>
                  <to>
                    <xdr:col>24</xdr:col>
                    <xdr:colOff>295275</xdr:colOff>
                    <xdr:row>27</xdr:row>
                    <xdr:rowOff>314325</xdr:rowOff>
                  </to>
                </anchor>
              </controlPr>
            </control>
          </mc:Choice>
        </mc:AlternateContent>
        <mc:AlternateContent xmlns:mc="http://schemas.openxmlformats.org/markup-compatibility/2006">
          <mc:Choice Requires="x14">
            <control shapeId="25628" r:id="rId8" name="evid_tox_3">
              <controlPr defaultSize="0" autoFill="0" autoLine="0" autoPict="0">
                <anchor moveWithCells="1">
                  <from>
                    <xdr:col>22</xdr:col>
                    <xdr:colOff>142875</xdr:colOff>
                    <xdr:row>29</xdr:row>
                    <xdr:rowOff>9525</xdr:rowOff>
                  </from>
                  <to>
                    <xdr:col>24</xdr:col>
                    <xdr:colOff>295275</xdr:colOff>
                    <xdr:row>29</xdr:row>
                    <xdr:rowOff>314325</xdr:rowOff>
                  </to>
                </anchor>
              </controlPr>
            </control>
          </mc:Choice>
        </mc:AlternateContent>
        <mc:AlternateContent xmlns:mc="http://schemas.openxmlformats.org/markup-compatibility/2006">
          <mc:Choice Requires="x14">
            <control shapeId="25629" r:id="rId9" name="evid_tox_4">
              <controlPr defaultSize="0" autoFill="0" autoLine="0" autoPict="0">
                <anchor moveWithCells="1">
                  <from>
                    <xdr:col>22</xdr:col>
                    <xdr:colOff>142875</xdr:colOff>
                    <xdr:row>30</xdr:row>
                    <xdr:rowOff>9525</xdr:rowOff>
                  </from>
                  <to>
                    <xdr:col>24</xdr:col>
                    <xdr:colOff>295275</xdr:colOff>
                    <xdr:row>30</xdr:row>
                    <xdr:rowOff>314325</xdr:rowOff>
                  </to>
                </anchor>
              </controlPr>
            </control>
          </mc:Choice>
        </mc:AlternateContent>
        <mc:AlternateContent xmlns:mc="http://schemas.openxmlformats.org/markup-compatibility/2006">
          <mc:Choice Requires="x14">
            <control shapeId="25630" r:id="rId10" name="evid_tox_5">
              <controlPr defaultSize="0" autoFill="0" autoLine="0" autoPict="0">
                <anchor moveWithCells="1">
                  <from>
                    <xdr:col>22</xdr:col>
                    <xdr:colOff>142875</xdr:colOff>
                    <xdr:row>31</xdr:row>
                    <xdr:rowOff>9525</xdr:rowOff>
                  </from>
                  <to>
                    <xdr:col>24</xdr:col>
                    <xdr:colOff>295275</xdr:colOff>
                    <xdr:row>31</xdr:row>
                    <xdr:rowOff>314325</xdr:rowOff>
                  </to>
                </anchor>
              </controlPr>
            </control>
          </mc:Choice>
        </mc:AlternateContent>
        <mc:AlternateContent xmlns:mc="http://schemas.openxmlformats.org/markup-compatibility/2006">
          <mc:Choice Requires="x14">
            <control shapeId="25631" r:id="rId11" name="evid_tox_6">
              <controlPr defaultSize="0" autoFill="0" autoLine="0" autoPict="0">
                <anchor moveWithCells="1">
                  <from>
                    <xdr:col>22</xdr:col>
                    <xdr:colOff>142875</xdr:colOff>
                    <xdr:row>32</xdr:row>
                    <xdr:rowOff>9525</xdr:rowOff>
                  </from>
                  <to>
                    <xdr:col>24</xdr:col>
                    <xdr:colOff>295275</xdr:colOff>
                    <xdr:row>32</xdr:row>
                    <xdr:rowOff>314325</xdr:rowOff>
                  </to>
                </anchor>
              </controlPr>
            </control>
          </mc:Choice>
        </mc:AlternateContent>
        <mc:AlternateContent xmlns:mc="http://schemas.openxmlformats.org/markup-compatibility/2006">
          <mc:Choice Requires="x14">
            <control shapeId="25632" r:id="rId12" name="evid_tox_7">
              <controlPr defaultSize="0" autoFill="0" autoLine="0" autoPict="0">
                <anchor moveWithCells="1">
                  <from>
                    <xdr:col>22</xdr:col>
                    <xdr:colOff>142875</xdr:colOff>
                    <xdr:row>33</xdr:row>
                    <xdr:rowOff>9525</xdr:rowOff>
                  </from>
                  <to>
                    <xdr:col>24</xdr:col>
                    <xdr:colOff>295275</xdr:colOff>
                    <xdr:row>33</xdr:row>
                    <xdr:rowOff>314325</xdr:rowOff>
                  </to>
                </anchor>
              </controlPr>
            </control>
          </mc:Choice>
        </mc:AlternateContent>
        <mc:AlternateContent xmlns:mc="http://schemas.openxmlformats.org/markup-compatibility/2006">
          <mc:Choice Requires="x14">
            <control shapeId="25633" r:id="rId13" name="evid_tox_8">
              <controlPr defaultSize="0" autoFill="0" autoLine="0" autoPict="0">
                <anchor moveWithCells="1">
                  <from>
                    <xdr:col>22</xdr:col>
                    <xdr:colOff>142875</xdr:colOff>
                    <xdr:row>34</xdr:row>
                    <xdr:rowOff>9525</xdr:rowOff>
                  </from>
                  <to>
                    <xdr:col>24</xdr:col>
                    <xdr:colOff>295275</xdr:colOff>
                    <xdr:row>34</xdr:row>
                    <xdr:rowOff>314325</xdr:rowOff>
                  </to>
                </anchor>
              </controlPr>
            </control>
          </mc:Choice>
        </mc:AlternateContent>
        <mc:AlternateContent xmlns:mc="http://schemas.openxmlformats.org/markup-compatibility/2006">
          <mc:Choice Requires="x14">
            <control shapeId="25634" r:id="rId14" name="evid_tox_9">
              <controlPr defaultSize="0" autoFill="0" autoLine="0" autoPict="0">
                <anchor moveWithCells="1">
                  <from>
                    <xdr:col>22</xdr:col>
                    <xdr:colOff>142875</xdr:colOff>
                    <xdr:row>35</xdr:row>
                    <xdr:rowOff>19050</xdr:rowOff>
                  </from>
                  <to>
                    <xdr:col>24</xdr:col>
                    <xdr:colOff>295275</xdr:colOff>
                    <xdr:row>36</xdr:row>
                    <xdr:rowOff>0</xdr:rowOff>
                  </to>
                </anchor>
              </controlPr>
            </control>
          </mc:Choice>
        </mc:AlternateContent>
        <mc:AlternateContent xmlns:mc="http://schemas.openxmlformats.org/markup-compatibility/2006">
          <mc:Choice Requires="x14">
            <control shapeId="25635" r:id="rId15" name="evid_tox_10">
              <controlPr defaultSize="0" autoFill="0" autoLine="0" autoPict="0">
                <anchor moveWithCells="1">
                  <from>
                    <xdr:col>22</xdr:col>
                    <xdr:colOff>142875</xdr:colOff>
                    <xdr:row>36</xdr:row>
                    <xdr:rowOff>19050</xdr:rowOff>
                  </from>
                  <to>
                    <xdr:col>24</xdr:col>
                    <xdr:colOff>295275</xdr:colOff>
                    <xdr:row>37</xdr:row>
                    <xdr:rowOff>0</xdr:rowOff>
                  </to>
                </anchor>
              </controlPr>
            </control>
          </mc:Choice>
        </mc:AlternateContent>
        <mc:AlternateContent xmlns:mc="http://schemas.openxmlformats.org/markup-compatibility/2006">
          <mc:Choice Requires="x14">
            <control shapeId="25636" r:id="rId16" name="evid_tox_11">
              <controlPr defaultSize="0" autoFill="0" autoLine="0" autoPict="0">
                <anchor moveWithCells="1">
                  <from>
                    <xdr:col>22</xdr:col>
                    <xdr:colOff>142875</xdr:colOff>
                    <xdr:row>37</xdr:row>
                    <xdr:rowOff>19050</xdr:rowOff>
                  </from>
                  <to>
                    <xdr:col>24</xdr:col>
                    <xdr:colOff>295275</xdr:colOff>
                    <xdr:row>38</xdr:row>
                    <xdr:rowOff>0</xdr:rowOff>
                  </to>
                </anchor>
              </controlPr>
            </control>
          </mc:Choice>
        </mc:AlternateContent>
        <mc:AlternateContent xmlns:mc="http://schemas.openxmlformats.org/markup-compatibility/2006">
          <mc:Choice Requires="x14">
            <control shapeId="25637" r:id="rId17" name="evid_tox_12">
              <controlPr defaultSize="0" autoFill="0" autoLine="0" autoPict="0">
                <anchor moveWithCells="1">
                  <from>
                    <xdr:col>22</xdr:col>
                    <xdr:colOff>142875</xdr:colOff>
                    <xdr:row>38</xdr:row>
                    <xdr:rowOff>19050</xdr:rowOff>
                  </from>
                  <to>
                    <xdr:col>24</xdr:col>
                    <xdr:colOff>295275</xdr:colOff>
                    <xdr:row>39</xdr:row>
                    <xdr:rowOff>0</xdr:rowOff>
                  </to>
                </anchor>
              </controlPr>
            </control>
          </mc:Choice>
        </mc:AlternateContent>
        <mc:AlternateContent xmlns:mc="http://schemas.openxmlformats.org/markup-compatibility/2006">
          <mc:Choice Requires="x14">
            <control shapeId="25638" r:id="rId18" name="evid_tox_13">
              <controlPr defaultSize="0" autoFill="0" autoLine="0" autoPict="0">
                <anchor moveWithCells="1">
                  <from>
                    <xdr:col>22</xdr:col>
                    <xdr:colOff>142875</xdr:colOff>
                    <xdr:row>39</xdr:row>
                    <xdr:rowOff>19050</xdr:rowOff>
                  </from>
                  <to>
                    <xdr:col>24</xdr:col>
                    <xdr:colOff>295275</xdr:colOff>
                    <xdr:row>40</xdr:row>
                    <xdr:rowOff>0</xdr:rowOff>
                  </to>
                </anchor>
              </controlPr>
            </control>
          </mc:Choice>
        </mc:AlternateContent>
        <mc:AlternateContent xmlns:mc="http://schemas.openxmlformats.org/markup-compatibility/2006">
          <mc:Choice Requires="x14">
            <control shapeId="25639" r:id="rId19" name="evid_tox_14">
              <controlPr defaultSize="0" autoFill="0" autoLine="0" autoPict="0">
                <anchor moveWithCells="1">
                  <from>
                    <xdr:col>22</xdr:col>
                    <xdr:colOff>142875</xdr:colOff>
                    <xdr:row>40</xdr:row>
                    <xdr:rowOff>19050</xdr:rowOff>
                  </from>
                  <to>
                    <xdr:col>24</xdr:col>
                    <xdr:colOff>295275</xdr:colOff>
                    <xdr:row>41</xdr:row>
                    <xdr:rowOff>0</xdr:rowOff>
                  </to>
                </anchor>
              </controlPr>
            </control>
          </mc:Choice>
        </mc:AlternateContent>
        <mc:AlternateContent xmlns:mc="http://schemas.openxmlformats.org/markup-compatibility/2006">
          <mc:Choice Requires="x14">
            <control shapeId="25640" r:id="rId20" name="evid_tox_15">
              <controlPr defaultSize="0" autoFill="0" autoLine="0" autoPict="0">
                <anchor moveWithCells="1">
                  <from>
                    <xdr:col>22</xdr:col>
                    <xdr:colOff>142875</xdr:colOff>
                    <xdr:row>41</xdr:row>
                    <xdr:rowOff>19050</xdr:rowOff>
                  </from>
                  <to>
                    <xdr:col>24</xdr:col>
                    <xdr:colOff>295275</xdr:colOff>
                    <xdr:row>42</xdr:row>
                    <xdr:rowOff>0</xdr:rowOff>
                  </to>
                </anchor>
              </controlPr>
            </control>
          </mc:Choice>
        </mc:AlternateContent>
        <mc:AlternateContent xmlns:mc="http://schemas.openxmlformats.org/markup-compatibility/2006">
          <mc:Choice Requires="x14">
            <control shapeId="25641" r:id="rId21" name="Check Box 41">
              <controlPr defaultSize="0" autoFill="0" autoLine="0" autoPict="0">
                <anchor moveWithCells="1">
                  <from>
                    <xdr:col>22</xdr:col>
                    <xdr:colOff>152400</xdr:colOff>
                    <xdr:row>28</xdr:row>
                    <xdr:rowOff>9525</xdr:rowOff>
                  </from>
                  <to>
                    <xdr:col>24</xdr:col>
                    <xdr:colOff>304800</xdr:colOff>
                    <xdr:row>28</xdr:row>
                    <xdr:rowOff>314325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0C580149-87D0-40C2-AFF4-B0CAE3D4D701}">
            <xm:f>Respostas_usuario!$K$6&lt;&gt;0</xm:f>
            <x14:dxf>
              <font>
                <b/>
                <i val="0"/>
                <color rgb="FF00B050"/>
              </font>
              <fill>
                <patternFill>
                  <bgColor theme="0"/>
                </patternFill>
              </fill>
            </x14:dxf>
          </x14:cfRule>
          <xm:sqref>M53:M57</xm:sqref>
        </x14:conditionalFormatting>
        <x14:conditionalFormatting xmlns:xm="http://schemas.microsoft.com/office/excel/2006/main">
          <x14:cfRule type="expression" priority="20" id="{E05388A2-056C-40FF-833A-C0B2990A4EDF}">
            <xm:f>Respostas_usuario!$K$6&lt;&gt;2</xm:f>
            <x14:dxf>
              <font>
                <color theme="0"/>
              </font>
              <fill>
                <patternFill>
                  <bgColor theme="0"/>
                </patternFill>
              </fill>
              <border>
                <right/>
                <top/>
                <bottom/>
                <vertical/>
                <horizontal/>
              </border>
            </x14:dxf>
          </x14:cfRule>
          <xm:sqref>S53:AM57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Resposta inválida" error="A resposta deve ser Sim ou Não" xr:uid="{15A02F2C-3FB5-41D1-89C3-6152E8457179}">
          <x14:formula1>
            <xm:f>Tabelas_fonte!$Y$2:$Y$3</xm:f>
          </x14:formula1>
          <xm:sqref>Y10:AA12</xm:sqref>
        </x14:dataValidation>
        <x14:dataValidation type="list" allowBlank="1" showInputMessage="1" showErrorMessage="1" errorTitle="Resposta inválida" error="A resposta de ser Sim ou Não." xr:uid="{736D6505-3D4D-47B8-BDC3-BC9DFF3041D6}">
          <x14:formula1>
            <xm:f>Tabelas_fonte!$Y$2:$Y$3</xm:f>
          </x14:formula1>
          <xm:sqref>N18:S18</xm:sqref>
        </x14:dataValidation>
        <x14:dataValidation type="list" allowBlank="1" showInputMessage="1" xr:uid="{67B3A230-FF47-4523-B4C2-DE77EE04BF59}">
          <x14:formula1>
            <xm:f>Tabelas_fonte!$AE$2:$AE$4</xm:f>
          </x14:formula1>
          <xm:sqref>N19:AJ19</xm:sqref>
        </x14:dataValidation>
        <x14:dataValidation type="list" allowBlank="1" showInputMessage="1" showErrorMessage="1" errorTitle="Valor inválido" error="A resposta deve ser Sim ou Não" xr:uid="{325785C2-D34E-4207-9C76-E413AAAD83A1}">
          <x14:formula1>
            <xm:f>Tabelas_fonte!$Y$2:$Y$3</xm:f>
          </x14:formula1>
          <xm:sqref>AI54:AM57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E4D7-F8DC-49B1-B397-4D7F7BCF38E3}">
  <sheetPr codeName="Planilha19">
    <tabColor theme="8" tint="0.59999389629810485"/>
  </sheetPr>
  <dimension ref="A1:AN63"/>
  <sheetViews>
    <sheetView showGridLines="0" topLeftCell="D2" workbookViewId="0">
      <selection activeCell="D1" sqref="D1"/>
    </sheetView>
  </sheetViews>
  <sheetFormatPr defaultColWidth="0" defaultRowHeight="15" customHeight="1" zeroHeight="1" x14ac:dyDescent="0.25"/>
  <cols>
    <col min="1" max="3" width="4.7109375" style="20" hidden="1" customWidth="1"/>
    <col min="4" max="5" width="2.7109375" style="20" customWidth="1"/>
    <col min="6" max="14" width="4.7109375" style="20" customWidth="1"/>
    <col min="15" max="15" width="6.5703125" style="20" customWidth="1"/>
    <col min="16" max="39" width="4.7109375" style="20" customWidth="1"/>
    <col min="40" max="40" width="8.7109375" style="20" customWidth="1"/>
    <col min="41" max="16384" width="9.140625" style="20" hidden="1"/>
  </cols>
  <sheetData>
    <row r="1" spans="1:40" x14ac:dyDescent="0.25">
      <c r="A1" s="18"/>
      <c r="B1" s="18"/>
      <c r="C1" s="18"/>
      <c r="D1" s="7"/>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5" customHeight="1" x14ac:dyDescent="0.25">
      <c r="A2" s="18"/>
      <c r="B2" s="18"/>
      <c r="C2" s="18"/>
      <c r="D2" s="7"/>
      <c r="E2" s="2"/>
      <c r="F2" s="1148" t="s">
        <v>6050</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035" t="s">
        <v>0</v>
      </c>
      <c r="AJ2" s="1035"/>
      <c r="AK2" s="1035"/>
      <c r="AL2" s="1035"/>
      <c r="AM2" s="1035"/>
      <c r="AN2" s="1035"/>
    </row>
    <row r="3" spans="1:40"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035"/>
      <c r="AJ3" s="1035"/>
      <c r="AK3" s="1035"/>
      <c r="AL3" s="1035"/>
      <c r="AM3" s="1035"/>
      <c r="AN3" s="1035"/>
    </row>
    <row r="4" spans="1:40"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035"/>
      <c r="AJ4" s="1035"/>
      <c r="AK4" s="1035"/>
      <c r="AL4" s="1035"/>
      <c r="AM4" s="1035"/>
      <c r="AN4" s="1035"/>
    </row>
    <row r="5" spans="1:40"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148"/>
      <c r="AI5" s="1035"/>
      <c r="AJ5" s="1035"/>
      <c r="AK5" s="1035"/>
      <c r="AL5" s="1035"/>
      <c r="AM5" s="1035"/>
      <c r="AN5" s="1035"/>
    </row>
    <row r="6" spans="1:40"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148"/>
      <c r="AI6" s="1035"/>
      <c r="AJ6" s="1035"/>
      <c r="AK6" s="1035"/>
      <c r="AL6" s="1035"/>
      <c r="AM6" s="1035"/>
      <c r="AN6" s="1035"/>
    </row>
    <row r="7" spans="1:40" ht="20.100000000000001" customHeight="1" x14ac:dyDescent="0.25">
      <c r="A7" s="18"/>
      <c r="B7" s="18"/>
      <c r="C7" s="18"/>
      <c r="D7" s="7"/>
      <c r="E7" s="158"/>
      <c r="F7" s="1024" t="str">
        <f ca="1">Alertas!S11</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row>
    <row r="8" spans="1:40" ht="15" customHeight="1" x14ac:dyDescent="0.25">
      <c r="A8" s="18"/>
      <c r="B8" s="18"/>
      <c r="C8" s="18"/>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row>
    <row r="9" spans="1:40"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x14ac:dyDescent="0.25">
      <c r="A10" s="18"/>
      <c r="B10" s="18"/>
      <c r="C10" s="18"/>
      <c r="D10" s="7"/>
      <c r="E10" s="2"/>
      <c r="F10" s="1172" t="s">
        <v>7281</v>
      </c>
      <c r="G10" s="1173"/>
      <c r="H10" s="1173"/>
      <c r="I10" s="1173"/>
      <c r="J10" s="1173"/>
      <c r="K10" s="1173"/>
      <c r="L10" s="1173"/>
      <c r="M10" s="1173"/>
      <c r="N10" s="1173"/>
      <c r="O10" s="1173"/>
      <c r="P10" s="1173"/>
      <c r="Q10" s="1173"/>
      <c r="R10" s="1173"/>
      <c r="S10" s="1173"/>
      <c r="T10" s="1173"/>
      <c r="U10" s="1173"/>
      <c r="V10" s="1173"/>
      <c r="W10" s="1173"/>
      <c r="X10" s="1174"/>
      <c r="Y10" s="1163"/>
      <c r="Z10" s="1164"/>
      <c r="AA10" s="1165"/>
      <c r="AB10" s="2"/>
      <c r="AC10" s="2"/>
      <c r="AD10" s="2"/>
      <c r="AE10" s="2"/>
      <c r="AF10" s="2"/>
      <c r="AG10" s="2"/>
      <c r="AH10" s="2"/>
      <c r="AI10" s="2"/>
      <c r="AJ10" s="2"/>
      <c r="AK10" s="2"/>
      <c r="AL10" s="2"/>
      <c r="AM10" s="2"/>
      <c r="AN10" s="2"/>
    </row>
    <row r="11" spans="1:40" ht="15" customHeight="1" x14ac:dyDescent="0.25">
      <c r="A11" s="18"/>
      <c r="B11" s="18"/>
      <c r="C11" s="18"/>
      <c r="D11" s="7"/>
      <c r="E11" s="2"/>
      <c r="F11" s="1175"/>
      <c r="G11" s="1176"/>
      <c r="H11" s="1176"/>
      <c r="I11" s="1176"/>
      <c r="J11" s="1176"/>
      <c r="K11" s="1176"/>
      <c r="L11" s="1176"/>
      <c r="M11" s="1176"/>
      <c r="N11" s="1176"/>
      <c r="O11" s="1176"/>
      <c r="P11" s="1176"/>
      <c r="Q11" s="1176"/>
      <c r="R11" s="1176"/>
      <c r="S11" s="1176"/>
      <c r="T11" s="1176"/>
      <c r="U11" s="1176"/>
      <c r="V11" s="1176"/>
      <c r="W11" s="1176"/>
      <c r="X11" s="1177"/>
      <c r="Y11" s="1166"/>
      <c r="Z11" s="1167"/>
      <c r="AA11" s="1168"/>
      <c r="AB11" s="2"/>
      <c r="AC11" s="2"/>
      <c r="AD11" s="2"/>
      <c r="AE11" s="2"/>
      <c r="AF11" s="2"/>
      <c r="AG11" s="2"/>
      <c r="AH11" s="2"/>
      <c r="AI11" s="2"/>
      <c r="AJ11" s="2"/>
      <c r="AK11" s="2"/>
      <c r="AL11" s="2"/>
      <c r="AM11" s="2"/>
      <c r="AN11" s="2"/>
    </row>
    <row r="12" spans="1:40" ht="15" customHeight="1" x14ac:dyDescent="0.25">
      <c r="A12" s="18"/>
      <c r="B12" s="18"/>
      <c r="C12" s="18"/>
      <c r="D12" s="7"/>
      <c r="E12" s="2"/>
      <c r="F12" s="1178"/>
      <c r="G12" s="1179"/>
      <c r="H12" s="1179"/>
      <c r="I12" s="1179"/>
      <c r="J12" s="1179"/>
      <c r="K12" s="1179"/>
      <c r="L12" s="1179"/>
      <c r="M12" s="1179"/>
      <c r="N12" s="1179"/>
      <c r="O12" s="1179"/>
      <c r="P12" s="1179"/>
      <c r="Q12" s="1179"/>
      <c r="R12" s="1179"/>
      <c r="S12" s="1179"/>
      <c r="T12" s="1179"/>
      <c r="U12" s="1179"/>
      <c r="V12" s="1179"/>
      <c r="W12" s="1179"/>
      <c r="X12" s="1180"/>
      <c r="Y12" s="1169"/>
      <c r="Z12" s="1170"/>
      <c r="AA12" s="983"/>
      <c r="AB12" s="2"/>
      <c r="AC12" s="2"/>
      <c r="AD12" s="2"/>
      <c r="AE12" s="2"/>
      <c r="AF12" s="2"/>
      <c r="AG12" s="2"/>
      <c r="AH12" s="2"/>
      <c r="AI12" s="2"/>
      <c r="AJ12" s="2"/>
      <c r="AK12" s="2"/>
      <c r="AL12" s="2"/>
      <c r="AM12" s="2"/>
      <c r="AN12" s="2"/>
    </row>
    <row r="13" spans="1:40" ht="15" customHeight="1" x14ac:dyDescent="0.25">
      <c r="A13" s="18"/>
      <c r="B13" s="18"/>
      <c r="C13" s="18"/>
      <c r="D13" s="7"/>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20.100000000000001" customHeight="1" x14ac:dyDescent="0.25">
      <c r="A14" s="18"/>
      <c r="B14" s="18"/>
      <c r="C14" s="18"/>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row>
    <row r="15" spans="1:40" ht="15" customHeight="1" x14ac:dyDescent="0.25">
      <c r="A15" s="18"/>
      <c r="B15" s="18"/>
      <c r="C15" s="18"/>
      <c r="D15" s="7"/>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30" customHeight="1" x14ac:dyDescent="0.25">
      <c r="A16" s="18"/>
      <c r="B16" s="18"/>
      <c r="C16" s="18"/>
      <c r="D16" s="7"/>
      <c r="E16" s="2"/>
      <c r="F16" s="1149" t="s">
        <v>30</v>
      </c>
      <c r="G16" s="1094"/>
      <c r="H16" s="1094"/>
      <c r="I16" s="1094"/>
      <c r="J16" s="1094"/>
      <c r="K16" s="1094"/>
      <c r="L16" s="1104"/>
      <c r="M16" s="148" t="s">
        <v>186</v>
      </c>
      <c r="N16" s="1140"/>
      <c r="O16" s="1141"/>
      <c r="P16" s="1141"/>
      <c r="Q16" s="1141"/>
      <c r="R16" s="1141"/>
      <c r="S16" s="1141"/>
      <c r="T16" s="1141"/>
      <c r="U16" s="1141"/>
      <c r="V16" s="1141"/>
      <c r="W16" s="1141"/>
      <c r="X16" s="1141"/>
      <c r="Y16" s="1141"/>
      <c r="Z16" s="1142"/>
      <c r="AA16" s="1009" t="s">
        <v>294</v>
      </c>
      <c r="AB16" s="1009"/>
      <c r="AC16" s="1009"/>
      <c r="AD16" s="1041"/>
      <c r="AE16" s="148" t="s">
        <v>186</v>
      </c>
      <c r="AF16" s="1140"/>
      <c r="AG16" s="1141"/>
      <c r="AH16" s="1141"/>
      <c r="AI16" s="1141"/>
      <c r="AJ16" s="1142"/>
      <c r="AK16" s="27"/>
      <c r="AL16" s="27"/>
      <c r="AM16" s="27"/>
      <c r="AN16" s="2"/>
    </row>
    <row r="17" spans="1:40" ht="60" customHeight="1" x14ac:dyDescent="0.25">
      <c r="A17" s="18"/>
      <c r="B17" s="18"/>
      <c r="C17" s="18"/>
      <c r="D17" s="7"/>
      <c r="E17" s="2"/>
      <c r="F17" s="1008" t="s">
        <v>7300</v>
      </c>
      <c r="G17" s="1009"/>
      <c r="H17" s="1009"/>
      <c r="I17" s="1009"/>
      <c r="J17" s="1009"/>
      <c r="K17" s="1009"/>
      <c r="L17" s="1041"/>
      <c r="M17" s="148" t="s">
        <v>186</v>
      </c>
      <c r="N17" s="1140"/>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2"/>
      <c r="AK17" s="1158" t="s">
        <v>271</v>
      </c>
      <c r="AL17" s="1159"/>
      <c r="AM17" s="1159"/>
      <c r="AN17" s="1159"/>
    </row>
    <row r="18" spans="1:40" ht="20.100000000000001" customHeight="1" x14ac:dyDescent="0.25">
      <c r="A18" s="18"/>
      <c r="B18" s="18"/>
      <c r="C18" s="18"/>
      <c r="D18" s="7"/>
      <c r="E18" s="2"/>
      <c r="F18" s="1008" t="s">
        <v>6029</v>
      </c>
      <c r="G18" s="1009"/>
      <c r="H18" s="1009"/>
      <c r="I18" s="1009"/>
      <c r="J18" s="1009"/>
      <c r="K18" s="1009"/>
      <c r="L18" s="1041"/>
      <c r="M18" s="148" t="s">
        <v>186</v>
      </c>
      <c r="N18" s="1147"/>
      <c r="O18" s="1096"/>
      <c r="P18" s="1096"/>
      <c r="Q18" s="1096"/>
      <c r="R18" s="1096"/>
      <c r="S18" s="1097"/>
      <c r="T18" s="171"/>
      <c r="U18" s="172"/>
      <c r="V18" s="172"/>
      <c r="W18" s="172"/>
      <c r="X18" s="172"/>
      <c r="Y18" s="172"/>
      <c r="Z18" s="172"/>
      <c r="AA18" s="172"/>
      <c r="AB18" s="172"/>
      <c r="AC18" s="172"/>
      <c r="AD18" s="172"/>
      <c r="AE18" s="172"/>
      <c r="AF18" s="172"/>
      <c r="AG18" s="172"/>
      <c r="AH18" s="172"/>
      <c r="AI18" s="173"/>
      <c r="AJ18" s="174"/>
      <c r="AK18" s="175"/>
      <c r="AL18" s="175"/>
      <c r="AM18" s="175"/>
      <c r="AN18" s="161"/>
    </row>
    <row r="19" spans="1:40" ht="20.100000000000001" customHeight="1" x14ac:dyDescent="0.25">
      <c r="A19" s="18"/>
      <c r="B19" s="18"/>
      <c r="C19" s="18"/>
      <c r="D19" s="7"/>
      <c r="E19" s="2"/>
      <c r="F19" s="1149" t="s">
        <v>218</v>
      </c>
      <c r="G19" s="1094"/>
      <c r="H19" s="1094"/>
      <c r="I19" s="1094"/>
      <c r="J19" s="1094"/>
      <c r="K19" s="1094"/>
      <c r="L19" s="1104"/>
      <c r="M19" s="148" t="s">
        <v>186</v>
      </c>
      <c r="N19" s="1160"/>
      <c r="O19" s="1161"/>
      <c r="P19" s="1161"/>
      <c r="Q19" s="1161"/>
      <c r="R19" s="1161"/>
      <c r="S19" s="1161"/>
      <c r="T19" s="1161"/>
      <c r="U19" s="1161"/>
      <c r="V19" s="1161"/>
      <c r="W19" s="1161"/>
      <c r="X19" s="1161"/>
      <c r="Y19" s="1161"/>
      <c r="Z19" s="1161"/>
      <c r="AA19" s="1161"/>
      <c r="AB19" s="1161"/>
      <c r="AC19" s="1161"/>
      <c r="AD19" s="1161"/>
      <c r="AE19" s="1161"/>
      <c r="AF19" s="1161"/>
      <c r="AG19" s="1161"/>
      <c r="AH19" s="1161"/>
      <c r="AI19" s="1161"/>
      <c r="AJ19" s="1162"/>
      <c r="AK19" s="162"/>
      <c r="AL19" s="162"/>
      <c r="AM19" s="162"/>
      <c r="AN19" s="162"/>
    </row>
    <row r="20" spans="1:40" ht="20.100000000000001" customHeight="1" x14ac:dyDescent="0.25">
      <c r="A20" s="18"/>
      <c r="B20" s="18"/>
      <c r="C20" s="18"/>
      <c r="D20" s="7"/>
      <c r="E20" s="2"/>
      <c r="F20" s="1149" t="s">
        <v>311</v>
      </c>
      <c r="G20" s="1094"/>
      <c r="H20" s="1094"/>
      <c r="I20" s="1094"/>
      <c r="J20" s="1094"/>
      <c r="K20" s="1094"/>
      <c r="L20" s="1094"/>
      <c r="M20" s="1150"/>
      <c r="N20" s="1144"/>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9"/>
      <c r="AK20" s="163"/>
      <c r="AL20" s="163"/>
      <c r="AM20" s="163"/>
      <c r="AN20" s="163"/>
    </row>
    <row r="21" spans="1:40" ht="30" customHeight="1" x14ac:dyDescent="0.25">
      <c r="A21" s="18"/>
      <c r="B21" s="18"/>
      <c r="C21" s="18"/>
      <c r="D21" s="7"/>
      <c r="E21" s="2"/>
      <c r="F21" s="1008" t="s">
        <v>7301</v>
      </c>
      <c r="G21" s="1009"/>
      <c r="H21" s="1009"/>
      <c r="I21" s="1009"/>
      <c r="J21" s="1009"/>
      <c r="K21" s="1009"/>
      <c r="L21" s="1009"/>
      <c r="M21" s="1010"/>
      <c r="N21" s="1181" t="s">
        <v>6030</v>
      </c>
      <c r="O21" s="1182"/>
      <c r="P21" s="1183"/>
      <c r="Q21" s="148" t="s">
        <v>186</v>
      </c>
      <c r="R21" s="999"/>
      <c r="S21" s="1000"/>
      <c r="T21" s="1000"/>
      <c r="U21" s="1000"/>
      <c r="V21" s="1000"/>
      <c r="W21" s="1000"/>
      <c r="X21" s="1001"/>
      <c r="Y21" s="1073" t="s">
        <v>31</v>
      </c>
      <c r="Z21" s="1074"/>
      <c r="AA21" s="1074"/>
      <c r="AB21" s="1075"/>
      <c r="AC21" s="148" t="s">
        <v>186</v>
      </c>
      <c r="AD21" s="999"/>
      <c r="AE21" s="1000"/>
      <c r="AF21" s="1000"/>
      <c r="AG21" s="1000"/>
      <c r="AH21" s="1000"/>
      <c r="AI21" s="1000"/>
      <c r="AJ21" s="1001"/>
      <c r="AK21" s="164"/>
      <c r="AL21" s="164"/>
      <c r="AM21" s="164"/>
      <c r="AN21" s="164"/>
    </row>
    <row r="22" spans="1:40" ht="30" customHeight="1" x14ac:dyDescent="0.25">
      <c r="A22" s="18"/>
      <c r="B22" s="18"/>
      <c r="C22" s="18"/>
      <c r="D22" s="7"/>
      <c r="E22" s="2"/>
      <c r="F22" s="1008" t="s">
        <v>5720</v>
      </c>
      <c r="G22" s="1009"/>
      <c r="H22" s="1009"/>
      <c r="I22" s="1009"/>
      <c r="J22" s="1009"/>
      <c r="K22" s="1009"/>
      <c r="L22" s="1009"/>
      <c r="M22" s="148" t="s">
        <v>186</v>
      </c>
      <c r="N22" s="1136"/>
      <c r="O22" s="1090"/>
      <c r="P22" s="1090"/>
      <c r="Q22" s="1090"/>
      <c r="R22" s="1091"/>
      <c r="S22" s="1092"/>
      <c r="T22" s="2"/>
      <c r="U22" s="2"/>
      <c r="V22" s="2"/>
      <c r="W22" s="2"/>
      <c r="X22" s="2"/>
      <c r="Y22" s="2"/>
      <c r="Z22" s="2"/>
      <c r="AA22" s="2"/>
      <c r="AB22" s="2"/>
      <c r="AC22" s="2"/>
      <c r="AD22" s="2"/>
      <c r="AE22" s="2"/>
      <c r="AF22" s="2"/>
      <c r="AG22" s="2"/>
      <c r="AH22" s="2"/>
      <c r="AI22" s="2"/>
      <c r="AJ22" s="2"/>
      <c r="AK22" s="2"/>
      <c r="AL22" s="2"/>
      <c r="AM22" s="2"/>
      <c r="AN22" s="2"/>
    </row>
    <row r="23" spans="1:40" ht="20.100000000000001" customHeight="1" x14ac:dyDescent="0.25">
      <c r="A23" s="18"/>
      <c r="B23" s="18"/>
      <c r="C23" s="18"/>
      <c r="D23" s="7"/>
      <c r="E23" s="2"/>
      <c r="F23" s="1149" t="s">
        <v>85</v>
      </c>
      <c r="G23" s="1094"/>
      <c r="H23" s="1094"/>
      <c r="I23" s="1094"/>
      <c r="J23" s="1094"/>
      <c r="K23" s="1094"/>
      <c r="L23" s="1104"/>
      <c r="M23" s="148" t="s">
        <v>186</v>
      </c>
      <c r="N23" s="1171" t="s">
        <v>281</v>
      </c>
      <c r="O23" s="1138"/>
      <c r="P23" s="1138"/>
      <c r="Q23" s="1138"/>
      <c r="R23" s="1138"/>
      <c r="S23" s="1139"/>
      <c r="T23" s="1008" t="s">
        <v>235</v>
      </c>
      <c r="U23" s="1009"/>
      <c r="V23" s="1009"/>
      <c r="W23" s="1009"/>
      <c r="X23" s="1009"/>
      <c r="Y23" s="1009"/>
      <c r="Z23" s="1009"/>
      <c r="AA23" s="148" t="s">
        <v>186</v>
      </c>
      <c r="AB23" s="1130"/>
      <c r="AC23" s="1131"/>
      <c r="AD23" s="1131"/>
      <c r="AE23" s="1131"/>
      <c r="AF23" s="1131"/>
      <c r="AG23" s="1131"/>
      <c r="AH23" s="1131"/>
      <c r="AI23" s="1131"/>
      <c r="AJ23" s="1132"/>
      <c r="AK23" s="49"/>
      <c r="AL23" s="49"/>
      <c r="AM23" s="49"/>
      <c r="AN23" s="49"/>
    </row>
    <row r="24" spans="1:40" ht="15" customHeight="1" x14ac:dyDescent="0.25">
      <c r="A24" s="18"/>
      <c r="B24" s="18"/>
      <c r="C24" s="18"/>
      <c r="D24" s="7"/>
      <c r="E24" s="2"/>
      <c r="F24" s="2"/>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row>
    <row r="25" spans="1:40" ht="20.100000000000001" customHeight="1" x14ac:dyDescent="0.25">
      <c r="A25" s="18"/>
      <c r="B25" s="18"/>
      <c r="C25" s="18"/>
      <c r="D25" s="7"/>
      <c r="E25" s="7"/>
      <c r="F25" s="7"/>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row>
    <row r="26" spans="1:40" s="2" customFormat="1" ht="15" customHeight="1" x14ac:dyDescent="0.25">
      <c r="A26" s="18"/>
      <c r="B26" s="18"/>
      <c r="C26" s="18"/>
      <c r="D26" s="7"/>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row>
    <row r="27" spans="1:40" ht="30" customHeight="1" x14ac:dyDescent="0.25">
      <c r="A27" s="18"/>
      <c r="B27" s="18"/>
      <c r="C27" s="18"/>
      <c r="D27" s="7"/>
      <c r="E27" s="2"/>
      <c r="F27" s="166"/>
      <c r="G27" s="1152" t="s">
        <v>298</v>
      </c>
      <c r="H27" s="1152"/>
      <c r="I27" s="1155" t="s">
        <v>7092</v>
      </c>
      <c r="J27" s="1071"/>
      <c r="K27" s="1071"/>
      <c r="L27" s="1074" t="s">
        <v>7093</v>
      </c>
      <c r="M27" s="1075"/>
      <c r="N27" s="1157" t="s">
        <v>289</v>
      </c>
      <c r="O27" s="1152"/>
      <c r="P27" s="1152"/>
      <c r="Q27" s="1074" t="s">
        <v>7094</v>
      </c>
      <c r="R27" s="1075"/>
      <c r="S27" s="1157" t="s">
        <v>285</v>
      </c>
      <c r="T27" s="1152"/>
      <c r="U27" s="1152"/>
      <c r="V27" s="1120" t="s">
        <v>7997</v>
      </c>
      <c r="W27" s="1121"/>
      <c r="X27" s="1121"/>
      <c r="Y27" s="1121"/>
    </row>
    <row r="28" spans="1:40" ht="26.1" customHeight="1" x14ac:dyDescent="0.25">
      <c r="A28" s="18"/>
      <c r="B28" s="18"/>
      <c r="C28" s="18"/>
      <c r="D28" s="7"/>
      <c r="E28" s="2"/>
      <c r="F28" s="2"/>
      <c r="G28" s="1153">
        <v>1</v>
      </c>
      <c r="H28" s="1154"/>
      <c r="I28" s="1133"/>
      <c r="J28" s="1133"/>
      <c r="K28" s="1133"/>
      <c r="L28" s="1134"/>
      <c r="M28" s="1135"/>
      <c r="N28" s="1134"/>
      <c r="O28" s="1156"/>
      <c r="P28" s="1135"/>
      <c r="Q28" s="1134"/>
      <c r="R28" s="1135"/>
      <c r="S28" s="1134"/>
      <c r="T28" s="1156"/>
      <c r="U28" s="1135"/>
      <c r="V28" s="120"/>
      <c r="W28" s="121"/>
      <c r="X28" s="121"/>
      <c r="Y28" s="122"/>
    </row>
    <row r="29" spans="1:40" ht="26.1" customHeight="1" x14ac:dyDescent="0.25">
      <c r="A29" s="18"/>
      <c r="B29" s="18"/>
      <c r="C29" s="18"/>
      <c r="D29" s="7"/>
      <c r="E29" s="2"/>
      <c r="F29" s="2"/>
      <c r="G29" s="1153">
        <v>2</v>
      </c>
      <c r="H29" s="1154"/>
      <c r="I29" s="1133"/>
      <c r="J29" s="1133"/>
      <c r="K29" s="1133"/>
      <c r="L29" s="1134"/>
      <c r="M29" s="1135"/>
      <c r="N29" s="1134"/>
      <c r="O29" s="1156"/>
      <c r="P29" s="1135"/>
      <c r="Q29" s="1134"/>
      <c r="R29" s="1135"/>
      <c r="S29" s="1134"/>
      <c r="T29" s="1156"/>
      <c r="U29" s="1135"/>
      <c r="V29" s="120"/>
      <c r="W29" s="121"/>
      <c r="X29" s="121"/>
      <c r="Y29" s="122"/>
    </row>
    <row r="30" spans="1:40" ht="26.1" customHeight="1" x14ac:dyDescent="0.25">
      <c r="A30" s="18"/>
      <c r="B30" s="18"/>
      <c r="C30" s="18"/>
      <c r="D30" s="7"/>
      <c r="E30" s="2"/>
      <c r="F30" s="2"/>
      <c r="G30" s="1153">
        <v>3</v>
      </c>
      <c r="H30" s="1154"/>
      <c r="I30" s="1133"/>
      <c r="J30" s="1133"/>
      <c r="K30" s="1133"/>
      <c r="L30" s="1134"/>
      <c r="M30" s="1135"/>
      <c r="N30" s="1134"/>
      <c r="O30" s="1156"/>
      <c r="P30" s="1135"/>
      <c r="Q30" s="1134"/>
      <c r="R30" s="1135"/>
      <c r="S30" s="1134"/>
      <c r="T30" s="1156"/>
      <c r="U30" s="1135"/>
      <c r="V30" s="120"/>
      <c r="W30" s="121"/>
      <c r="X30" s="121"/>
      <c r="Y30" s="122"/>
    </row>
    <row r="31" spans="1:40" ht="26.1" customHeight="1" x14ac:dyDescent="0.25">
      <c r="A31" s="18"/>
      <c r="B31" s="18"/>
      <c r="C31" s="18"/>
      <c r="D31" s="7"/>
      <c r="E31" s="2"/>
      <c r="F31" s="176"/>
      <c r="G31" s="1153">
        <v>4</v>
      </c>
      <c r="H31" s="1154"/>
      <c r="I31" s="1133"/>
      <c r="J31" s="1133"/>
      <c r="K31" s="1133"/>
      <c r="L31" s="1134"/>
      <c r="M31" s="1135"/>
      <c r="N31" s="1134"/>
      <c r="O31" s="1156"/>
      <c r="P31" s="1135"/>
      <c r="Q31" s="1134"/>
      <c r="R31" s="1135"/>
      <c r="S31" s="1134"/>
      <c r="T31" s="1156"/>
      <c r="U31" s="1135"/>
      <c r="V31" s="120"/>
      <c r="W31" s="121"/>
      <c r="X31" s="121"/>
      <c r="Y31" s="122"/>
      <c r="AM31" s="2"/>
      <c r="AN31" s="2"/>
    </row>
    <row r="32" spans="1:40" ht="26.1" customHeight="1" x14ac:dyDescent="0.25">
      <c r="A32" s="18"/>
      <c r="B32" s="18"/>
      <c r="C32" s="18"/>
      <c r="D32" s="7"/>
      <c r="E32" s="2"/>
      <c r="F32" s="2"/>
      <c r="G32" s="1153">
        <v>5</v>
      </c>
      <c r="H32" s="1154"/>
      <c r="I32" s="1133"/>
      <c r="J32" s="1133"/>
      <c r="K32" s="1133"/>
      <c r="L32" s="1134"/>
      <c r="M32" s="1135"/>
      <c r="N32" s="1134"/>
      <c r="O32" s="1156"/>
      <c r="P32" s="1135"/>
      <c r="Q32" s="1134"/>
      <c r="R32" s="1135"/>
      <c r="S32" s="1134"/>
      <c r="T32" s="1156"/>
      <c r="U32" s="1135"/>
      <c r="V32" s="120"/>
      <c r="W32" s="121"/>
      <c r="X32" s="121"/>
      <c r="Y32" s="122"/>
      <c r="AM32" s="2"/>
      <c r="AN32" s="2"/>
    </row>
    <row r="33" spans="1:40" ht="26.1" customHeight="1" x14ac:dyDescent="0.25">
      <c r="A33" s="18"/>
      <c r="B33" s="18"/>
      <c r="C33" s="18"/>
      <c r="D33" s="7"/>
      <c r="E33" s="2"/>
      <c r="F33" s="2"/>
      <c r="G33" s="1153">
        <v>6</v>
      </c>
      <c r="H33" s="1154"/>
      <c r="I33" s="1133"/>
      <c r="J33" s="1133"/>
      <c r="K33" s="1133"/>
      <c r="L33" s="1134"/>
      <c r="M33" s="1135"/>
      <c r="N33" s="1134"/>
      <c r="O33" s="1156"/>
      <c r="P33" s="1135"/>
      <c r="Q33" s="1134"/>
      <c r="R33" s="1135"/>
      <c r="S33" s="1134"/>
      <c r="T33" s="1156"/>
      <c r="U33" s="1135"/>
      <c r="V33" s="120"/>
      <c r="W33" s="121"/>
      <c r="X33" s="121"/>
      <c r="Y33" s="122"/>
      <c r="AM33" s="2"/>
      <c r="AN33" s="2"/>
    </row>
    <row r="34" spans="1:40" ht="26.1" customHeight="1" x14ac:dyDescent="0.25">
      <c r="A34" s="18"/>
      <c r="B34" s="18"/>
      <c r="C34" s="18"/>
      <c r="D34" s="7"/>
      <c r="E34" s="2"/>
      <c r="F34" s="2"/>
      <c r="G34" s="1153">
        <v>7</v>
      </c>
      <c r="H34" s="1154"/>
      <c r="I34" s="1133"/>
      <c r="J34" s="1133"/>
      <c r="K34" s="1133"/>
      <c r="L34" s="1134"/>
      <c r="M34" s="1135"/>
      <c r="N34" s="1134"/>
      <c r="O34" s="1156"/>
      <c r="P34" s="1135"/>
      <c r="Q34" s="1134"/>
      <c r="R34" s="1135"/>
      <c r="S34" s="1134"/>
      <c r="T34" s="1156"/>
      <c r="U34" s="1135"/>
      <c r="V34" s="120"/>
      <c r="W34" s="121"/>
      <c r="X34" s="121"/>
      <c r="Y34" s="122"/>
      <c r="AM34" s="2"/>
      <c r="AN34" s="2"/>
    </row>
    <row r="35" spans="1:40" ht="26.1" customHeight="1" x14ac:dyDescent="0.25">
      <c r="A35" s="18"/>
      <c r="B35" s="18"/>
      <c r="C35" s="18"/>
      <c r="D35" s="7"/>
      <c r="E35" s="2"/>
      <c r="F35" s="2"/>
      <c r="G35" s="1153">
        <v>8</v>
      </c>
      <c r="H35" s="1154"/>
      <c r="I35" s="1133"/>
      <c r="J35" s="1133"/>
      <c r="K35" s="1133"/>
      <c r="L35" s="1134"/>
      <c r="M35" s="1135"/>
      <c r="N35" s="1134"/>
      <c r="O35" s="1156"/>
      <c r="P35" s="1135"/>
      <c r="Q35" s="1134"/>
      <c r="R35" s="1135"/>
      <c r="S35" s="1134"/>
      <c r="T35" s="1156"/>
      <c r="U35" s="1135"/>
      <c r="V35" s="120"/>
      <c r="W35" s="121"/>
      <c r="X35" s="121"/>
      <c r="Y35" s="122"/>
      <c r="AM35" s="2"/>
      <c r="AN35" s="2"/>
    </row>
    <row r="36" spans="1:40" ht="26.1" customHeight="1" x14ac:dyDescent="0.25">
      <c r="A36" s="18"/>
      <c r="B36" s="18"/>
      <c r="C36" s="18"/>
      <c r="D36" s="7"/>
      <c r="E36" s="2"/>
      <c r="F36" s="2"/>
      <c r="G36" s="1153">
        <v>9</v>
      </c>
      <c r="H36" s="1154"/>
      <c r="I36" s="1133"/>
      <c r="J36" s="1133"/>
      <c r="K36" s="1133"/>
      <c r="L36" s="1134"/>
      <c r="M36" s="1135"/>
      <c r="N36" s="1134"/>
      <c r="O36" s="1156"/>
      <c r="P36" s="1135"/>
      <c r="Q36" s="1134"/>
      <c r="R36" s="1135"/>
      <c r="S36" s="1134"/>
      <c r="T36" s="1156"/>
      <c r="U36" s="1135"/>
      <c r="V36" s="120"/>
      <c r="W36" s="121"/>
      <c r="X36" s="121"/>
      <c r="Y36" s="122"/>
      <c r="AM36" s="2"/>
      <c r="AN36" s="2"/>
    </row>
    <row r="37" spans="1:40" ht="26.1" customHeight="1" x14ac:dyDescent="0.25">
      <c r="A37" s="18"/>
      <c r="B37" s="18"/>
      <c r="C37" s="18"/>
      <c r="D37" s="7"/>
      <c r="E37" s="2"/>
      <c r="F37" s="2"/>
      <c r="G37" s="1153">
        <v>10</v>
      </c>
      <c r="H37" s="1154"/>
      <c r="I37" s="1133"/>
      <c r="J37" s="1133"/>
      <c r="K37" s="1133"/>
      <c r="L37" s="1134"/>
      <c r="M37" s="1135"/>
      <c r="N37" s="1134"/>
      <c r="O37" s="1156"/>
      <c r="P37" s="1135"/>
      <c r="Q37" s="1134"/>
      <c r="R37" s="1135"/>
      <c r="S37" s="1134"/>
      <c r="T37" s="1156"/>
      <c r="U37" s="1135"/>
      <c r="V37" s="120"/>
      <c r="W37" s="121"/>
      <c r="X37" s="121"/>
      <c r="Y37" s="122"/>
      <c r="AM37" s="2"/>
      <c r="AN37" s="2"/>
    </row>
    <row r="38" spans="1:40" ht="26.1" customHeight="1" x14ac:dyDescent="0.25">
      <c r="A38" s="18"/>
      <c r="B38" s="18"/>
      <c r="C38" s="18"/>
      <c r="D38" s="7"/>
      <c r="E38" s="2"/>
      <c r="F38" s="2"/>
      <c r="G38" s="1153">
        <v>11</v>
      </c>
      <c r="H38" s="1154"/>
      <c r="I38" s="1133"/>
      <c r="J38" s="1133"/>
      <c r="K38" s="1133"/>
      <c r="L38" s="1134"/>
      <c r="M38" s="1135"/>
      <c r="N38" s="1134"/>
      <c r="O38" s="1156"/>
      <c r="P38" s="1135"/>
      <c r="Q38" s="1134"/>
      <c r="R38" s="1135"/>
      <c r="S38" s="1134"/>
      <c r="T38" s="1156"/>
      <c r="U38" s="1135"/>
      <c r="V38" s="120"/>
      <c r="W38" s="121"/>
      <c r="X38" s="121"/>
      <c r="Y38" s="122"/>
      <c r="AM38" s="2"/>
      <c r="AN38" s="2"/>
    </row>
    <row r="39" spans="1:40" ht="26.1" customHeight="1" x14ac:dyDescent="0.25">
      <c r="A39" s="18"/>
      <c r="B39" s="18"/>
      <c r="C39" s="18"/>
      <c r="D39" s="7"/>
      <c r="E39" s="2"/>
      <c r="F39" s="2"/>
      <c r="G39" s="1153">
        <v>12</v>
      </c>
      <c r="H39" s="1154"/>
      <c r="I39" s="1133"/>
      <c r="J39" s="1133"/>
      <c r="K39" s="1133"/>
      <c r="L39" s="1134"/>
      <c r="M39" s="1135"/>
      <c r="N39" s="1134"/>
      <c r="O39" s="1156"/>
      <c r="P39" s="1135"/>
      <c r="Q39" s="1134"/>
      <c r="R39" s="1135"/>
      <c r="S39" s="1134"/>
      <c r="T39" s="1156"/>
      <c r="U39" s="1135"/>
      <c r="V39" s="120"/>
      <c r="W39" s="121"/>
      <c r="X39" s="121"/>
      <c r="Y39" s="122"/>
      <c r="AM39" s="2"/>
      <c r="AN39" s="2"/>
    </row>
    <row r="40" spans="1:40" ht="26.1" customHeight="1" x14ac:dyDescent="0.25">
      <c r="A40" s="18"/>
      <c r="B40" s="18"/>
      <c r="C40" s="18"/>
      <c r="D40" s="7"/>
      <c r="E40" s="2"/>
      <c r="F40" s="2"/>
      <c r="G40" s="1153">
        <v>13</v>
      </c>
      <c r="H40" s="1154"/>
      <c r="I40" s="1133"/>
      <c r="J40" s="1133"/>
      <c r="K40" s="1133"/>
      <c r="L40" s="1134"/>
      <c r="M40" s="1135"/>
      <c r="N40" s="1134"/>
      <c r="O40" s="1156"/>
      <c r="P40" s="1135"/>
      <c r="Q40" s="1134"/>
      <c r="R40" s="1135"/>
      <c r="S40" s="1134"/>
      <c r="T40" s="1156"/>
      <c r="U40" s="1135"/>
      <c r="V40" s="120"/>
      <c r="W40" s="121"/>
      <c r="X40" s="121"/>
      <c r="Y40" s="122"/>
      <c r="AM40" s="2"/>
      <c r="AN40" s="2"/>
    </row>
    <row r="41" spans="1:40" ht="26.1" customHeight="1" x14ac:dyDescent="0.25">
      <c r="A41" s="18"/>
      <c r="B41" s="18"/>
      <c r="C41" s="18"/>
      <c r="D41" s="7"/>
      <c r="E41" s="2"/>
      <c r="F41" s="2"/>
      <c r="G41" s="1153">
        <v>14</v>
      </c>
      <c r="H41" s="1154"/>
      <c r="I41" s="1133"/>
      <c r="J41" s="1133"/>
      <c r="K41" s="1133"/>
      <c r="L41" s="1134"/>
      <c r="M41" s="1135"/>
      <c r="N41" s="1134"/>
      <c r="O41" s="1156"/>
      <c r="P41" s="1135"/>
      <c r="Q41" s="1134"/>
      <c r="R41" s="1135"/>
      <c r="S41" s="1134"/>
      <c r="T41" s="1156"/>
      <c r="U41" s="1135"/>
      <c r="V41" s="120"/>
      <c r="W41" s="121"/>
      <c r="X41" s="121"/>
      <c r="Y41" s="122"/>
      <c r="AM41" s="2"/>
      <c r="AN41" s="2"/>
    </row>
    <row r="42" spans="1:40" ht="26.1" customHeight="1" x14ac:dyDescent="0.25">
      <c r="A42" s="18"/>
      <c r="B42" s="18"/>
      <c r="C42" s="18"/>
      <c r="D42" s="7"/>
      <c r="E42" s="2"/>
      <c r="F42" s="2"/>
      <c r="G42" s="1153">
        <v>15</v>
      </c>
      <c r="H42" s="1154"/>
      <c r="I42" s="1133"/>
      <c r="J42" s="1133"/>
      <c r="K42" s="1133"/>
      <c r="L42" s="1134"/>
      <c r="M42" s="1135"/>
      <c r="N42" s="1134"/>
      <c r="O42" s="1156"/>
      <c r="P42" s="1135"/>
      <c r="Q42" s="1134"/>
      <c r="R42" s="1135"/>
      <c r="S42" s="1134"/>
      <c r="T42" s="1156"/>
      <c r="U42" s="1135"/>
      <c r="V42" s="120"/>
      <c r="W42" s="121"/>
      <c r="X42" s="121"/>
      <c r="Y42" s="122"/>
      <c r="AM42" s="2"/>
      <c r="AN42" s="2"/>
    </row>
    <row r="43" spans="1:40" ht="20.100000000000001" hidden="1" customHeight="1" x14ac:dyDescent="0.25">
      <c r="A43" s="18"/>
      <c r="B43" s="18"/>
      <c r="C43" s="18"/>
      <c r="D43" s="7"/>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30" hidden="1" customHeight="1" x14ac:dyDescent="0.25">
      <c r="A44" s="18"/>
      <c r="B44" s="18"/>
      <c r="C44" s="18"/>
      <c r="D44" s="7"/>
      <c r="E44" s="2"/>
    </row>
    <row r="45" spans="1:40" ht="20.100000000000001" customHeight="1" x14ac:dyDescent="0.25">
      <c r="A45" s="18"/>
      <c r="B45" s="18"/>
      <c r="C45" s="18"/>
      <c r="D45" s="7"/>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20.100000000000001" customHeight="1" x14ac:dyDescent="0.25">
      <c r="A46" s="18"/>
      <c r="B46" s="18"/>
      <c r="C46" s="18"/>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row>
    <row r="47" spans="1:40" ht="20.100000000000001" customHeight="1" x14ac:dyDescent="0.25">
      <c r="A47" s="18"/>
      <c r="B47" s="18"/>
      <c r="C47" s="18"/>
      <c r="D47" s="7"/>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40" ht="99.95" customHeight="1" x14ac:dyDescent="0.25">
      <c r="A48" s="18"/>
      <c r="B48" s="18"/>
      <c r="C48" s="18"/>
      <c r="D48" s="7"/>
      <c r="E48" s="2"/>
      <c r="F48" s="1049" t="s">
        <v>7998</v>
      </c>
      <c r="G48" s="1050"/>
      <c r="H48" s="1050"/>
      <c r="I48" s="1050"/>
      <c r="J48" s="1050"/>
      <c r="K48" s="1050"/>
      <c r="L48" s="1050"/>
      <c r="M48" s="1051"/>
      <c r="N48" s="1032"/>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4"/>
      <c r="AN48" s="131" t="s">
        <v>8014</v>
      </c>
    </row>
    <row r="49" spans="1:40" ht="50.1" customHeight="1" x14ac:dyDescent="0.25">
      <c r="A49" s="18"/>
      <c r="B49" s="18"/>
      <c r="C49" s="18"/>
      <c r="D49" s="7"/>
      <c r="E49" s="2"/>
      <c r="F49" s="1008" t="s">
        <v>143</v>
      </c>
      <c r="G49" s="1009"/>
      <c r="H49" s="1009"/>
      <c r="I49" s="1009"/>
      <c r="J49" s="1009"/>
      <c r="K49" s="1009"/>
      <c r="L49" s="1009"/>
      <c r="M49" s="1010"/>
      <c r="N49" s="1032"/>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4"/>
      <c r="AN49" s="131" t="s">
        <v>8014</v>
      </c>
    </row>
    <row r="50" spans="1:40" ht="20.100000000000001" customHeight="1" x14ac:dyDescent="0.25">
      <c r="A50" s="18"/>
      <c r="B50" s="18"/>
      <c r="C50" s="18"/>
      <c r="D50" s="7"/>
      <c r="E50" s="2"/>
    </row>
    <row r="51" spans="1:40" ht="20.100000000000001" customHeight="1" x14ac:dyDescent="0.25">
      <c r="A51" s="18"/>
      <c r="B51" s="18"/>
      <c r="C51" s="18"/>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row>
    <row r="52" spans="1:40" ht="20.100000000000001" customHeight="1" x14ac:dyDescent="0.25">
      <c r="A52" s="18"/>
      <c r="B52" s="18"/>
      <c r="C52" s="18"/>
      <c r="D52" s="7"/>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ht="20.100000000000001" customHeight="1" x14ac:dyDescent="0.25">
      <c r="A53" s="18"/>
      <c r="B53" s="18"/>
      <c r="C53" s="18"/>
      <c r="D53" s="7"/>
      <c r="E53" s="2"/>
      <c r="F53" s="1067" t="s">
        <v>296</v>
      </c>
      <c r="G53" s="1068"/>
      <c r="H53" s="1068"/>
      <c r="I53" s="1068"/>
      <c r="J53" s="1068"/>
      <c r="K53" s="1068"/>
      <c r="L53" s="1069"/>
      <c r="M53" s="1076" t="s">
        <v>186</v>
      </c>
      <c r="N53" s="135"/>
      <c r="O53" s="136"/>
      <c r="P53" s="136"/>
      <c r="Q53" s="136"/>
      <c r="R53" s="137"/>
      <c r="S53" s="1079" t="s">
        <v>293</v>
      </c>
      <c r="T53" s="1064"/>
      <c r="U53" s="1064"/>
      <c r="V53" s="1064"/>
      <c r="W53" s="1064"/>
      <c r="X53" s="1064"/>
      <c r="Y53" s="1064"/>
      <c r="Z53" s="1064" t="s">
        <v>301</v>
      </c>
      <c r="AA53" s="1064"/>
      <c r="AB53" s="1064"/>
      <c r="AC53" s="1064"/>
      <c r="AD53" s="1064"/>
      <c r="AE53" s="1064"/>
      <c r="AF53" s="1064"/>
      <c r="AG53" s="1064"/>
      <c r="AH53" s="1064"/>
      <c r="AI53" s="1064" t="s">
        <v>302</v>
      </c>
      <c r="AJ53" s="1064"/>
      <c r="AK53" s="1064"/>
      <c r="AL53" s="1064"/>
      <c r="AM53" s="1065"/>
      <c r="AN53" s="27"/>
    </row>
    <row r="54" spans="1:40" ht="20.100000000000001" customHeight="1" x14ac:dyDescent="0.25">
      <c r="A54" s="18"/>
      <c r="B54" s="18"/>
      <c r="C54" s="18"/>
      <c r="D54" s="7"/>
      <c r="E54" s="2"/>
      <c r="F54" s="1070"/>
      <c r="G54" s="1071"/>
      <c r="H54" s="1071"/>
      <c r="I54" s="1071"/>
      <c r="J54" s="1071"/>
      <c r="K54" s="1071"/>
      <c r="L54" s="1072"/>
      <c r="M54" s="1077"/>
      <c r="N54" s="138"/>
      <c r="O54" s="1045" t="s">
        <v>219</v>
      </c>
      <c r="P54" s="1045"/>
      <c r="Q54" s="1045"/>
      <c r="R54" s="1046"/>
      <c r="S54" s="1042"/>
      <c r="T54" s="1043"/>
      <c r="U54" s="1043"/>
      <c r="V54" s="1043"/>
      <c r="W54" s="1043"/>
      <c r="X54" s="1043"/>
      <c r="Y54" s="1043"/>
      <c r="Z54" s="1044"/>
      <c r="AA54" s="1044"/>
      <c r="AB54" s="1044"/>
      <c r="AC54" s="1044"/>
      <c r="AD54" s="1044"/>
      <c r="AE54" s="1044"/>
      <c r="AF54" s="1044"/>
      <c r="AG54" s="1044"/>
      <c r="AH54" s="1044"/>
      <c r="AI54" s="1066"/>
      <c r="AJ54" s="1066"/>
      <c r="AK54" s="1066"/>
      <c r="AL54" s="1066"/>
      <c r="AM54" s="1066"/>
      <c r="AN54" s="130"/>
    </row>
    <row r="55" spans="1:40" ht="20.100000000000001" customHeight="1" x14ac:dyDescent="0.25">
      <c r="A55" s="18"/>
      <c r="B55" s="18"/>
      <c r="C55" s="18"/>
      <c r="D55" s="7"/>
      <c r="E55" s="2"/>
      <c r="F55" s="1070"/>
      <c r="G55" s="1071"/>
      <c r="H55" s="1071"/>
      <c r="I55" s="1071"/>
      <c r="J55" s="1071"/>
      <c r="K55" s="1071"/>
      <c r="L55" s="1072"/>
      <c r="M55" s="1077"/>
      <c r="N55" s="1"/>
      <c r="O55" s="138"/>
      <c r="P55" s="138"/>
      <c r="Q55" s="138"/>
      <c r="R55" s="139"/>
      <c r="S55" s="1042"/>
      <c r="T55" s="1043"/>
      <c r="U55" s="1043"/>
      <c r="V55" s="1043"/>
      <c r="W55" s="1043"/>
      <c r="X55" s="1043"/>
      <c r="Y55" s="1043"/>
      <c r="Z55" s="1044"/>
      <c r="AA55" s="1044"/>
      <c r="AB55" s="1044"/>
      <c r="AC55" s="1044"/>
      <c r="AD55" s="1044"/>
      <c r="AE55" s="1044"/>
      <c r="AF55" s="1044"/>
      <c r="AG55" s="1044"/>
      <c r="AH55" s="1044"/>
      <c r="AI55" s="1066"/>
      <c r="AJ55" s="1066"/>
      <c r="AK55" s="1066"/>
      <c r="AL55" s="1066"/>
      <c r="AM55" s="1066"/>
      <c r="AN55" s="130"/>
    </row>
    <row r="56" spans="1:40" ht="20.100000000000001" customHeight="1" x14ac:dyDescent="0.25">
      <c r="A56" s="18"/>
      <c r="B56" s="18"/>
      <c r="C56" s="18"/>
      <c r="D56" s="7"/>
      <c r="E56" s="2"/>
      <c r="F56" s="1070"/>
      <c r="G56" s="1071"/>
      <c r="H56" s="1071"/>
      <c r="I56" s="1071"/>
      <c r="J56" s="1071"/>
      <c r="K56" s="1071"/>
      <c r="L56" s="1072"/>
      <c r="M56" s="1077"/>
      <c r="N56" s="138"/>
      <c r="O56" s="1047" t="s">
        <v>280</v>
      </c>
      <c r="P56" s="1047"/>
      <c r="Q56" s="1047"/>
      <c r="R56" s="1048"/>
      <c r="S56" s="1042"/>
      <c r="T56" s="1043"/>
      <c r="U56" s="1043"/>
      <c r="V56" s="1043"/>
      <c r="W56" s="1043"/>
      <c r="X56" s="1043"/>
      <c r="Y56" s="1043"/>
      <c r="Z56" s="1044"/>
      <c r="AA56" s="1044"/>
      <c r="AB56" s="1044"/>
      <c r="AC56" s="1044"/>
      <c r="AD56" s="1044"/>
      <c r="AE56" s="1044"/>
      <c r="AF56" s="1044"/>
      <c r="AG56" s="1044"/>
      <c r="AH56" s="1044"/>
      <c r="AI56" s="1066"/>
      <c r="AJ56" s="1066"/>
      <c r="AK56" s="1066"/>
      <c r="AL56" s="1066"/>
      <c r="AM56" s="1066"/>
      <c r="AN56" s="156"/>
    </row>
    <row r="57" spans="1:40" ht="20.100000000000001" customHeight="1" x14ac:dyDescent="0.25">
      <c r="A57" s="18"/>
      <c r="B57" s="18"/>
      <c r="C57" s="18"/>
      <c r="D57" s="7"/>
      <c r="E57" s="2"/>
      <c r="F57" s="1073"/>
      <c r="G57" s="1074"/>
      <c r="H57" s="1074"/>
      <c r="I57" s="1074"/>
      <c r="J57" s="1074"/>
      <c r="K57" s="1074"/>
      <c r="L57" s="1075"/>
      <c r="M57" s="1078"/>
      <c r="N57" s="140"/>
      <c r="O57" s="140"/>
      <c r="P57" s="140"/>
      <c r="Q57" s="140"/>
      <c r="R57" s="141"/>
      <c r="S57" s="1042"/>
      <c r="T57" s="1043"/>
      <c r="U57" s="1043"/>
      <c r="V57" s="1043"/>
      <c r="W57" s="1043"/>
      <c r="X57" s="1043"/>
      <c r="Y57" s="1043"/>
      <c r="Z57" s="1044"/>
      <c r="AA57" s="1044"/>
      <c r="AB57" s="1044"/>
      <c r="AC57" s="1044"/>
      <c r="AD57" s="1044"/>
      <c r="AE57" s="1044"/>
      <c r="AF57" s="1044"/>
      <c r="AG57" s="1044"/>
      <c r="AH57" s="1044"/>
      <c r="AI57" s="1066"/>
      <c r="AJ57" s="1066"/>
      <c r="AK57" s="1066"/>
      <c r="AL57" s="1066"/>
      <c r="AM57" s="1066"/>
      <c r="AN57" s="130"/>
    </row>
    <row r="58" spans="1:40" ht="20.100000000000001" customHeight="1" x14ac:dyDescent="0.25">
      <c r="A58" s="18"/>
      <c r="B58" s="18"/>
      <c r="C58" s="18"/>
      <c r="D58" s="7"/>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130"/>
    </row>
    <row r="59" spans="1:40" ht="20.100000000000001" customHeight="1" x14ac:dyDescent="0.25">
      <c r="A59" s="18"/>
      <c r="B59" s="18"/>
      <c r="C59" s="18"/>
      <c r="D59" s="7"/>
      <c r="E59" s="7"/>
      <c r="F59" s="7"/>
      <c r="G59" s="7"/>
      <c r="H59" s="7"/>
      <c r="I59" s="7"/>
      <c r="J59" s="7"/>
      <c r="K59" s="7"/>
      <c r="L59" s="7"/>
      <c r="M59" s="7"/>
      <c r="N59" s="168"/>
      <c r="O59" s="168"/>
      <c r="P59" s="168"/>
      <c r="Q59" s="177"/>
      <c r="R59" s="177"/>
      <c r="S59" s="177"/>
      <c r="T59" s="177"/>
      <c r="U59" s="177"/>
      <c r="V59" s="177"/>
      <c r="W59" s="177"/>
      <c r="X59" s="177"/>
      <c r="Y59" s="177"/>
      <c r="Z59" s="177"/>
      <c r="AA59" s="177"/>
      <c r="AB59" s="177"/>
      <c r="AC59" s="168"/>
      <c r="AD59" s="168"/>
      <c r="AE59" s="168"/>
      <c r="AF59" s="168"/>
      <c r="AG59" s="177"/>
      <c r="AH59" s="177"/>
      <c r="AI59" s="177"/>
      <c r="AJ59" s="177"/>
      <c r="AK59" s="177"/>
      <c r="AL59" s="177"/>
      <c r="AM59" s="177"/>
      <c r="AN59" s="177"/>
    </row>
    <row r="60" spans="1:40" ht="15" customHeight="1" x14ac:dyDescent="0.25">
      <c r="A60" s="18"/>
      <c r="B60" s="18"/>
      <c r="C60" s="18"/>
      <c r="D60" s="7"/>
      <c r="E60" s="2"/>
      <c r="F60" s="2"/>
      <c r="G60" s="2"/>
      <c r="H60" s="2"/>
      <c r="I60" s="2"/>
      <c r="J60" s="2"/>
      <c r="K60" s="2"/>
      <c r="L60" s="2"/>
      <c r="M60" s="2"/>
      <c r="N60" s="145" t="str">
        <f ca="1">Calculos!$BA$117</f>
        <v/>
      </c>
      <c r="O60" s="169"/>
      <c r="P60" s="169"/>
      <c r="Q60" s="170"/>
      <c r="R60" s="170"/>
      <c r="S60" s="170"/>
      <c r="T60" s="170"/>
      <c r="U60" s="170"/>
      <c r="V60" s="170"/>
      <c r="W60" s="170"/>
      <c r="X60" s="170"/>
      <c r="Y60" s="170"/>
      <c r="Z60" s="170"/>
      <c r="AA60" s="170"/>
      <c r="AB60" s="170"/>
      <c r="AC60" s="169"/>
      <c r="AD60" s="169"/>
      <c r="AE60" s="169"/>
      <c r="AF60" s="169"/>
      <c r="AG60" s="170"/>
      <c r="AH60" s="170"/>
      <c r="AI60" s="170"/>
      <c r="AJ60" s="170"/>
      <c r="AK60" s="170"/>
      <c r="AL60" s="170"/>
      <c r="AM60" s="170"/>
      <c r="AN60" s="170"/>
    </row>
    <row r="61" spans="1:40" ht="20.100000000000001" customHeight="1" x14ac:dyDescent="0.25">
      <c r="A61" s="18"/>
      <c r="B61" s="18"/>
      <c r="C61" s="18"/>
      <c r="D61" s="7"/>
      <c r="E61" s="2"/>
      <c r="F61" s="1008" t="s">
        <v>300</v>
      </c>
      <c r="G61" s="1009"/>
      <c r="H61" s="1009"/>
      <c r="I61" s="1009"/>
      <c r="J61" s="1009"/>
      <c r="K61" s="1009"/>
      <c r="L61" s="1041"/>
      <c r="M61" s="148" t="s">
        <v>186</v>
      </c>
      <c r="N61" s="1055" t="s">
        <v>287</v>
      </c>
      <c r="O61" s="1056"/>
      <c r="P61" s="1056"/>
      <c r="Q61" s="1058"/>
      <c r="R61" s="1059"/>
      <c r="S61" s="1059"/>
      <c r="T61" s="1060"/>
      <c r="U61" s="1008" t="s">
        <v>34</v>
      </c>
      <c r="V61" s="1009"/>
      <c r="W61" s="1009"/>
      <c r="X61" s="1009"/>
      <c r="Y61" s="1010"/>
      <c r="Z61" s="1008" t="s">
        <v>278</v>
      </c>
      <c r="AA61" s="1009"/>
      <c r="AB61" s="1010"/>
      <c r="AC61" s="1061"/>
      <c r="AD61" s="1062"/>
      <c r="AE61" s="1063"/>
      <c r="AF61" s="1008" t="s">
        <v>279</v>
      </c>
      <c r="AG61" s="1009"/>
      <c r="AH61" s="1010"/>
      <c r="AI61" s="1061"/>
      <c r="AJ61" s="1062"/>
      <c r="AK61" s="1062"/>
      <c r="AL61" s="1062"/>
      <c r="AM61" s="1063"/>
      <c r="AN61" s="2"/>
    </row>
    <row r="62" spans="1:40" ht="99.95" customHeight="1" x14ac:dyDescent="0.25">
      <c r="A62" s="18"/>
      <c r="B62" s="18"/>
      <c r="C62" s="18"/>
      <c r="D62" s="7"/>
      <c r="E62" s="2"/>
      <c r="F62" s="1008" t="s">
        <v>393</v>
      </c>
      <c r="G62" s="1009"/>
      <c r="H62" s="1009"/>
      <c r="I62" s="1009"/>
      <c r="J62" s="1009"/>
      <c r="K62" s="1009"/>
      <c r="L62" s="1041"/>
      <c r="M62" s="148" t="s">
        <v>186</v>
      </c>
      <c r="N62" s="1032"/>
      <c r="O62" s="1033"/>
      <c r="P62" s="1033"/>
      <c r="Q62" s="1033"/>
      <c r="R62" s="1033"/>
      <c r="S62" s="1033"/>
      <c r="T62" s="1033"/>
      <c r="U62" s="1033"/>
      <c r="V62" s="1033"/>
      <c r="W62" s="1033"/>
      <c r="X62" s="1033"/>
      <c r="Y62" s="1033"/>
      <c r="Z62" s="1033"/>
      <c r="AA62" s="1033"/>
      <c r="AB62" s="1033"/>
      <c r="AC62" s="1033"/>
      <c r="AD62" s="1033"/>
      <c r="AE62" s="1033"/>
      <c r="AF62" s="1033"/>
      <c r="AG62" s="1033"/>
      <c r="AH62" s="1033"/>
      <c r="AI62" s="1033"/>
      <c r="AJ62" s="1033"/>
      <c r="AK62" s="1033"/>
      <c r="AL62" s="1033"/>
      <c r="AM62" s="1034"/>
      <c r="AN62" s="131" t="s">
        <v>8014</v>
      </c>
    </row>
    <row r="63" spans="1:40" x14ac:dyDescent="0.25">
      <c r="A63" s="18"/>
      <c r="B63" s="18"/>
      <c r="C63" s="18"/>
      <c r="D63" s="7"/>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sheetData>
  <sheetProtection algorithmName="SHA-512" hashValue="JFvJWyf74DQLdenrfkudIR/q4l+KnPnRcJ9sUwh5CQo5ojNslTZUbHucRWeWwZTmZZLwjISTE7UvZmxk7Iku8g==" saltValue="cr0bCmb8DOq696wO4pMxuA==" spinCount="100000" sheet="1" objects="1" scenarios="1" formatColumns="0" formatRows="0"/>
  <mergeCells count="159">
    <mergeCell ref="AI2:AN7"/>
    <mergeCell ref="F10:X12"/>
    <mergeCell ref="Y10:AA12"/>
    <mergeCell ref="F16:L16"/>
    <mergeCell ref="N16:Z16"/>
    <mergeCell ref="AA16:AD16"/>
    <mergeCell ref="AF16:AJ16"/>
    <mergeCell ref="AB23:AJ23"/>
    <mergeCell ref="F20:M20"/>
    <mergeCell ref="N20:AJ20"/>
    <mergeCell ref="F21:M21"/>
    <mergeCell ref="N21:P21"/>
    <mergeCell ref="R21:X21"/>
    <mergeCell ref="Y21:AB21"/>
    <mergeCell ref="AD21:AJ21"/>
    <mergeCell ref="F17:L17"/>
    <mergeCell ref="N17:AJ17"/>
    <mergeCell ref="F18:L18"/>
    <mergeCell ref="N18:S18"/>
    <mergeCell ref="F19:L19"/>
    <mergeCell ref="N19:AJ19"/>
    <mergeCell ref="F2:AH6"/>
    <mergeCell ref="F7:J7"/>
    <mergeCell ref="AK17:AN17"/>
    <mergeCell ref="S28:U28"/>
    <mergeCell ref="G27:H27"/>
    <mergeCell ref="I27:K27"/>
    <mergeCell ref="L27:M27"/>
    <mergeCell ref="N27:P27"/>
    <mergeCell ref="Q27:R27"/>
    <mergeCell ref="S27:U27"/>
    <mergeCell ref="F22:L22"/>
    <mergeCell ref="N22:S22"/>
    <mergeCell ref="F23:L23"/>
    <mergeCell ref="N23:S23"/>
    <mergeCell ref="T23:Z23"/>
    <mergeCell ref="V27:Y27"/>
    <mergeCell ref="G28:H28"/>
    <mergeCell ref="I28:K28"/>
    <mergeCell ref="L28:M28"/>
    <mergeCell ref="N28:P28"/>
    <mergeCell ref="Q28:R28"/>
    <mergeCell ref="G29:H29"/>
    <mergeCell ref="I29:K29"/>
    <mergeCell ref="L29:M29"/>
    <mergeCell ref="N29:P29"/>
    <mergeCell ref="Q29:R29"/>
    <mergeCell ref="S29:U29"/>
    <mergeCell ref="G31:H31"/>
    <mergeCell ref="I31:K31"/>
    <mergeCell ref="L31:M31"/>
    <mergeCell ref="N31:P31"/>
    <mergeCell ref="Q31:R31"/>
    <mergeCell ref="S31:U31"/>
    <mergeCell ref="G30:H30"/>
    <mergeCell ref="I30:K30"/>
    <mergeCell ref="L30:M30"/>
    <mergeCell ref="N30:P30"/>
    <mergeCell ref="Q30:R30"/>
    <mergeCell ref="S30:U30"/>
    <mergeCell ref="G33:H33"/>
    <mergeCell ref="I33:K33"/>
    <mergeCell ref="L33:M33"/>
    <mergeCell ref="N33:P33"/>
    <mergeCell ref="Q33:R33"/>
    <mergeCell ref="S33:U33"/>
    <mergeCell ref="G32:H32"/>
    <mergeCell ref="I32:K32"/>
    <mergeCell ref="L32:M32"/>
    <mergeCell ref="N32:P32"/>
    <mergeCell ref="Q32:R32"/>
    <mergeCell ref="S32:U32"/>
    <mergeCell ref="G35:H35"/>
    <mergeCell ref="I35:K35"/>
    <mergeCell ref="L35:M35"/>
    <mergeCell ref="N35:P35"/>
    <mergeCell ref="Q35:R35"/>
    <mergeCell ref="S35:U35"/>
    <mergeCell ref="G34:H34"/>
    <mergeCell ref="I34:K34"/>
    <mergeCell ref="L34:M34"/>
    <mergeCell ref="N34:P34"/>
    <mergeCell ref="Q34:R34"/>
    <mergeCell ref="S34:U34"/>
    <mergeCell ref="G37:H37"/>
    <mergeCell ref="I37:K37"/>
    <mergeCell ref="L37:M37"/>
    <mergeCell ref="N37:P37"/>
    <mergeCell ref="Q37:R37"/>
    <mergeCell ref="S37:U37"/>
    <mergeCell ref="G36:H36"/>
    <mergeCell ref="I36:K36"/>
    <mergeCell ref="L36:M36"/>
    <mergeCell ref="N36:P36"/>
    <mergeCell ref="Q36:R36"/>
    <mergeCell ref="S36:U36"/>
    <mergeCell ref="G39:H39"/>
    <mergeCell ref="I39:K39"/>
    <mergeCell ref="L39:M39"/>
    <mergeCell ref="N39:P39"/>
    <mergeCell ref="Q39:R39"/>
    <mergeCell ref="S39:U39"/>
    <mergeCell ref="G38:H38"/>
    <mergeCell ref="I38:K38"/>
    <mergeCell ref="L38:M38"/>
    <mergeCell ref="N38:P38"/>
    <mergeCell ref="Q38:R38"/>
    <mergeCell ref="S38:U38"/>
    <mergeCell ref="G41:H41"/>
    <mergeCell ref="I41:K41"/>
    <mergeCell ref="L41:M41"/>
    <mergeCell ref="N41:P41"/>
    <mergeCell ref="Q41:R41"/>
    <mergeCell ref="S41:U41"/>
    <mergeCell ref="G40:H40"/>
    <mergeCell ref="I40:K40"/>
    <mergeCell ref="L40:M40"/>
    <mergeCell ref="N40:P40"/>
    <mergeCell ref="Q40:R40"/>
    <mergeCell ref="S40:U40"/>
    <mergeCell ref="G42:H42"/>
    <mergeCell ref="I42:K42"/>
    <mergeCell ref="L42:M42"/>
    <mergeCell ref="N42:P42"/>
    <mergeCell ref="Q42:R42"/>
    <mergeCell ref="S42:U42"/>
    <mergeCell ref="S57:Y57"/>
    <mergeCell ref="Z57:AH57"/>
    <mergeCell ref="AI57:AM57"/>
    <mergeCell ref="F49:M49"/>
    <mergeCell ref="N49:AM49"/>
    <mergeCell ref="AI54:AM54"/>
    <mergeCell ref="S55:Y55"/>
    <mergeCell ref="Z55:AH55"/>
    <mergeCell ref="AI55:AM55"/>
    <mergeCell ref="O56:R56"/>
    <mergeCell ref="S56:Y56"/>
    <mergeCell ref="Z56:AH56"/>
    <mergeCell ref="AI56:AM56"/>
    <mergeCell ref="F48:M48"/>
    <mergeCell ref="N48:AM48"/>
    <mergeCell ref="F53:L57"/>
    <mergeCell ref="M53:M57"/>
    <mergeCell ref="S53:Y53"/>
    <mergeCell ref="Z53:AH53"/>
    <mergeCell ref="AI53:AM53"/>
    <mergeCell ref="O54:R54"/>
    <mergeCell ref="S54:Y54"/>
    <mergeCell ref="Z54:AH54"/>
    <mergeCell ref="AF61:AH61"/>
    <mergeCell ref="AI61:AM61"/>
    <mergeCell ref="F62:L62"/>
    <mergeCell ref="N62:AM62"/>
    <mergeCell ref="F61:L61"/>
    <mergeCell ref="N61:P61"/>
    <mergeCell ref="Q61:T61"/>
    <mergeCell ref="U61:Y61"/>
    <mergeCell ref="Z61:AB61"/>
    <mergeCell ref="AC61:AE61"/>
  </mergeCells>
  <conditionalFormatting sqref="D1:D63">
    <cfRule type="expression" dxfId="607" priority="1">
      <formula>$Y$10&lt;&gt;"Não"</formula>
    </cfRule>
  </conditionalFormatting>
  <conditionalFormatting sqref="E15:AN63">
    <cfRule type="expression" dxfId="606" priority="3">
      <formula>$Y$10&lt;&gt;"Não"</formula>
    </cfRule>
  </conditionalFormatting>
  <conditionalFormatting sqref="F7">
    <cfRule type="notContainsBlanks" dxfId="605" priority="2">
      <formula>LEN(TRIM(F7))&gt;0</formula>
    </cfRule>
  </conditionalFormatting>
  <conditionalFormatting sqref="M16:M19">
    <cfRule type="expression" dxfId="604" priority="14">
      <formula>N16&lt;&gt;""</formula>
    </cfRule>
  </conditionalFormatting>
  <conditionalFormatting sqref="M22:M23">
    <cfRule type="expression" dxfId="603" priority="11">
      <formula>N22&lt;&gt;""</formula>
    </cfRule>
  </conditionalFormatting>
  <conditionalFormatting sqref="M61">
    <cfRule type="expression" dxfId="601" priority="18">
      <formula>OR($Q$61&lt;&gt;"",$AC$61&lt;&gt;"")</formula>
    </cfRule>
  </conditionalFormatting>
  <conditionalFormatting sqref="M62">
    <cfRule type="expression" dxfId="600" priority="8">
      <formula>N62&lt;&gt;""</formula>
    </cfRule>
  </conditionalFormatting>
  <conditionalFormatting sqref="N27:P42">
    <cfRule type="expression" dxfId="599" priority="4">
      <formula>COUNTIF($L$28:$M$42,"&gt;0")=0</formula>
    </cfRule>
  </conditionalFormatting>
  <conditionalFormatting sqref="Q21">
    <cfRule type="expression" dxfId="598" priority="13">
      <formula>R21&lt;&gt;""</formula>
    </cfRule>
  </conditionalFormatting>
  <conditionalFormatting sqref="S27:U42">
    <cfRule type="expression" dxfId="597" priority="7">
      <formula>COUNTIF($Q$28:$R$42,"&gt;0")=0</formula>
    </cfRule>
  </conditionalFormatting>
  <conditionalFormatting sqref="AA23">
    <cfRule type="expression" dxfId="595" priority="10">
      <formula>AB23&lt;&gt;""</formula>
    </cfRule>
  </conditionalFormatting>
  <conditionalFormatting sqref="AC21">
    <cfRule type="expression" dxfId="594" priority="12">
      <formula>AD21&lt;&gt;""</formula>
    </cfRule>
  </conditionalFormatting>
  <conditionalFormatting sqref="AE16">
    <cfRule type="expression" dxfId="593" priority="15">
      <formula>AF16&lt;&gt;""</formula>
    </cfRule>
  </conditionalFormatting>
  <dataValidations count="16">
    <dataValidation allowBlank="1" showInputMessage="1" showErrorMessage="1" promptTitle="Ajuda" prompt="Data de início da exposição dos animais à substância teste" sqref="N21:P21" xr:uid="{8F930A90-9C8C-44DA-ACFB-9E9057BC1BFF}"/>
    <dataValidation allowBlank="1" showInputMessage="1" showErrorMessage="1" promptTitle="Ajuda" prompt="Informar nome e estado/país do laboratório executor" sqref="F17:L17" xr:uid="{CE2E25C2-81C3-4412-B440-5FA4420780DB}"/>
    <dataValidation allowBlank="1" showInputMessage="1" showErrorMessage="1" promptTitle="Ajuda" prompt="A conclusão deverá ser conforme está escrito no relatório do estudo._x000a_" sqref="F62:L62" xr:uid="{539B04AE-645D-4E2C-8C0B-B56360AD2EAF}"/>
    <dataValidation allowBlank="1" showInputMessage="1" showErrorMessage="1" promptTitle="Ajuda" prompt="Informar o resultado a partir da dose testada nos animais. Não adotar o valor de referência no protocolo OECD (Cut-off)." sqref="F61:L61" xr:uid="{A503E0C2-01F5-4D7E-A67A-D2B52CC927BF}"/>
    <dataValidation allowBlank="1" showInputMessage="1" showErrorMessage="1" promptTitle="Ajuda" prompt="Informar apenas se o(s) desvio(s) afetam de algum modo a interpretação dos resultados" sqref="AI53:AM53" xr:uid="{38FB15EF-704D-43E3-9DF6-BFCA7C5F6B5D}"/>
    <dataValidation allowBlank="1" showInputMessage="1" showErrorMessage="1" promptTitle="Ajuda" prompt="Incluir a justificativa do porquê ocorreu desvio e qual é interpretação dos seus impactos frente aos resultados do estudos." sqref="Z53:AH53" xr:uid="{E40364C7-804E-41AA-9679-50F0D94BBAD0}"/>
    <dataValidation allowBlank="1" showInputMessage="1" showErrorMessage="1" promptTitle="Ajuda" prompt="Descrição sucinta do desvio ocorrido._x000a__x000a_Caso tenha ocorrido mais do que quatro desvios, os demais deverão estar descritos na última linha e separados por ponto e vírgula" sqref="S53:Y53" xr:uid="{F07C3B29-549C-4426-BB08-890D4B277AAE}"/>
    <dataValidation allowBlank="1" showInputMessage="1" showErrorMessage="1" promptTitle="Ajuda" prompt="São considerados desvios os procedimentos que tenham sido conduzidos em desacordo com o protocolo. _x000a__x000a_Alterações no corpo técnico, retificações no texto do relatório ou similiares não são considerados desvios ao protocolo." sqref="F53:L57" xr:uid="{CFBA2D9A-8A21-4CE4-80EA-5F57C36823C9}"/>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20:M20" xr:uid="{FB85A656-F10E-4A75-A095-6CE226A9FDF3}"/>
    <dataValidation allowBlank="1" showInputMessage="1" showErrorMessage="1" promptTitle="Ajuda" prompt="Código gerado pelo laboratório executor" sqref="AA16:AD16" xr:uid="{620C9122-C406-4BB0-9968-A3097DD7B6CC}"/>
    <dataValidation allowBlank="1" showInputMessage="1" showErrorMessage="1" promptTitle="Ajuda" prompt="Todas as informações desse formulário devem refletir o que foi protocolado na Anvisa, portanto a opção de dispensa de estudo só deverá ser marcada como &quot;sim&quot; se ela também tiver sido realizada no pleito do produto. " sqref="F10:X12" xr:uid="{5752B4C7-99F5-47E7-912A-7012777A1AFE}"/>
    <dataValidation type="decimal" operator="greaterThanOrEqual" allowBlank="1" showInputMessage="1" showErrorMessage="1" errorTitle="Valor inválido" error="O valor da dose deve ser um número decimal" sqref="Q61:T61" xr:uid="{96583999-8BBD-49C1-8E6B-0AFEACFE7F1C}">
      <formula1>0</formula1>
    </dataValidation>
    <dataValidation type="custom" allowBlank="1" showInputMessage="1" showErrorMessage="1" errorTitle="Valor inválido" error="O número de animais mortos não pode ser superior a quantidade de animais avaliados." sqref="S28:U42 N28:P42" xr:uid="{8F0C6716-0B1E-405B-A143-C6A657A6FF3F}">
      <formula1>L28&gt;=N28</formula1>
    </dataValidation>
    <dataValidation type="list" allowBlank="1" showInputMessage="1" showErrorMessage="1" errorTitle="Código inválido" error="Preencher os dados do certificado na guia &quot;Certificados&quot; antes de atribuí-lo a algum estudo" sqref="N22:S22" xr:uid="{AA70565F-C0F5-4843-83A8-7BDE0C496544}">
      <formula1>src_certificados</formula1>
    </dataValidation>
    <dataValidation type="custom" allowBlank="1" showInputMessage="1" showErrorMessage="1" errorTitle="Data inválida" error="A data de conclusão não pode ser anterior a data de início." sqref="AD21:AJ21" xr:uid="{D1E93467-1DD2-464E-AA7A-6F7F0D38D05F}">
      <formula1>R21&lt;=AD21</formula1>
    </dataValidation>
    <dataValidation allowBlank="1" showInputMessage="1" showErrorMessage="1" prompt="Consideram-se evidências de toxicidade as alterações observadas nos animais decorrentes da exposição à substância teste até os valores da categoria 4, exceto para diarreia, piloereção e aparência descuidada._x000a__x000a_*RDC 294/19, ANEXO IV, item 1.5, alínea d" sqref="V27:Y27" xr:uid="{8A6E26B0-EA7D-4C05-B40A-ACCFA02659A8}"/>
  </dataValidations>
  <hyperlinks>
    <hyperlink ref="F7" location="Alertas!G2" display="Alertas!G2" xr:uid="{D17C6B06-4346-4CE5-B49D-C7792708E26E}"/>
  </hyperlinks>
  <pageMargins left="0.511811024" right="0.511811024" top="0.78740157499999996" bottom="0.78740157499999996" header="0.31496062000000002" footer="0.31496062000000002"/>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_dlcutanea_maiorque">
              <controlPr defaultSize="0" autoFill="0" autoLine="0" autoPict="0">
                <anchor moveWithCells="1">
                  <from>
                    <xdr:col>13</xdr:col>
                    <xdr:colOff>28575</xdr:colOff>
                    <xdr:row>59</xdr:row>
                    <xdr:rowOff>180975</xdr:rowOff>
                  </from>
                  <to>
                    <xdr:col>16</xdr:col>
                    <xdr:colOff>0</xdr:colOff>
                    <xdr:row>61</xdr:row>
                    <xdr:rowOff>9525</xdr:rowOff>
                  </to>
                </anchor>
              </controlPr>
            </control>
          </mc:Choice>
        </mc:AlternateContent>
        <mc:AlternateContent xmlns:mc="http://schemas.openxmlformats.org/markup-compatibility/2006">
          <mc:Choice Requires="x14">
            <control shapeId="58370" r:id="rId5" name="optn_dlcuanea_desvios1">
              <controlPr defaultSize="0" autoFill="0" autoLine="0" autoPict="0">
                <anchor moveWithCells="1">
                  <from>
                    <xdr:col>13</xdr:col>
                    <xdr:colOff>66675</xdr:colOff>
                    <xdr:row>52</xdr:row>
                    <xdr:rowOff>190500</xdr:rowOff>
                  </from>
                  <to>
                    <xdr:col>18</xdr:col>
                    <xdr:colOff>0</xdr:colOff>
                    <xdr:row>54</xdr:row>
                    <xdr:rowOff>76200</xdr:rowOff>
                  </to>
                </anchor>
              </controlPr>
            </control>
          </mc:Choice>
        </mc:AlternateContent>
        <mc:AlternateContent xmlns:mc="http://schemas.openxmlformats.org/markup-compatibility/2006">
          <mc:Choice Requires="x14">
            <control shapeId="58371" r:id="rId6" name="optn_dlcuanea_desvios2">
              <controlPr defaultSize="0" autoFill="0" autoLine="0" autoPict="0">
                <anchor moveWithCells="1">
                  <from>
                    <xdr:col>13</xdr:col>
                    <xdr:colOff>66675</xdr:colOff>
                    <xdr:row>54</xdr:row>
                    <xdr:rowOff>190500</xdr:rowOff>
                  </from>
                  <to>
                    <xdr:col>18</xdr:col>
                    <xdr:colOff>0</xdr:colOff>
                    <xdr:row>56</xdr:row>
                    <xdr:rowOff>76200</xdr:rowOff>
                  </to>
                </anchor>
              </controlPr>
            </control>
          </mc:Choice>
        </mc:AlternateContent>
        <mc:AlternateContent xmlns:mc="http://schemas.openxmlformats.org/markup-compatibility/2006">
          <mc:Choice Requires="x14">
            <control shapeId="58373" r:id="rId7" name="evid_tox_1">
              <controlPr defaultSize="0" autoFill="0" autoLine="0" autoPict="0">
                <anchor moveWithCells="1">
                  <from>
                    <xdr:col>22</xdr:col>
                    <xdr:colOff>142875</xdr:colOff>
                    <xdr:row>27</xdr:row>
                    <xdr:rowOff>9525</xdr:rowOff>
                  </from>
                  <to>
                    <xdr:col>24</xdr:col>
                    <xdr:colOff>295275</xdr:colOff>
                    <xdr:row>27</xdr:row>
                    <xdr:rowOff>314325</xdr:rowOff>
                  </to>
                </anchor>
              </controlPr>
            </control>
          </mc:Choice>
        </mc:AlternateContent>
        <mc:AlternateContent xmlns:mc="http://schemas.openxmlformats.org/markup-compatibility/2006">
          <mc:Choice Requires="x14">
            <control shapeId="58374" r:id="rId8" name="evid_tox_3">
              <controlPr defaultSize="0" autoFill="0" autoLine="0" autoPict="0">
                <anchor moveWithCells="1">
                  <from>
                    <xdr:col>22</xdr:col>
                    <xdr:colOff>142875</xdr:colOff>
                    <xdr:row>29</xdr:row>
                    <xdr:rowOff>9525</xdr:rowOff>
                  </from>
                  <to>
                    <xdr:col>24</xdr:col>
                    <xdr:colOff>295275</xdr:colOff>
                    <xdr:row>29</xdr:row>
                    <xdr:rowOff>314325</xdr:rowOff>
                  </to>
                </anchor>
              </controlPr>
            </control>
          </mc:Choice>
        </mc:AlternateContent>
        <mc:AlternateContent xmlns:mc="http://schemas.openxmlformats.org/markup-compatibility/2006">
          <mc:Choice Requires="x14">
            <control shapeId="58375" r:id="rId9" name="evid_tox_4">
              <controlPr defaultSize="0" autoFill="0" autoLine="0" autoPict="0">
                <anchor moveWithCells="1">
                  <from>
                    <xdr:col>22</xdr:col>
                    <xdr:colOff>142875</xdr:colOff>
                    <xdr:row>30</xdr:row>
                    <xdr:rowOff>9525</xdr:rowOff>
                  </from>
                  <to>
                    <xdr:col>24</xdr:col>
                    <xdr:colOff>295275</xdr:colOff>
                    <xdr:row>30</xdr:row>
                    <xdr:rowOff>314325</xdr:rowOff>
                  </to>
                </anchor>
              </controlPr>
            </control>
          </mc:Choice>
        </mc:AlternateContent>
        <mc:AlternateContent xmlns:mc="http://schemas.openxmlformats.org/markup-compatibility/2006">
          <mc:Choice Requires="x14">
            <control shapeId="58376" r:id="rId10" name="evid_tox_5">
              <controlPr defaultSize="0" autoFill="0" autoLine="0" autoPict="0">
                <anchor moveWithCells="1">
                  <from>
                    <xdr:col>22</xdr:col>
                    <xdr:colOff>142875</xdr:colOff>
                    <xdr:row>31</xdr:row>
                    <xdr:rowOff>9525</xdr:rowOff>
                  </from>
                  <to>
                    <xdr:col>24</xdr:col>
                    <xdr:colOff>295275</xdr:colOff>
                    <xdr:row>31</xdr:row>
                    <xdr:rowOff>314325</xdr:rowOff>
                  </to>
                </anchor>
              </controlPr>
            </control>
          </mc:Choice>
        </mc:AlternateContent>
        <mc:AlternateContent xmlns:mc="http://schemas.openxmlformats.org/markup-compatibility/2006">
          <mc:Choice Requires="x14">
            <control shapeId="58377" r:id="rId11" name="evid_tox_6">
              <controlPr defaultSize="0" autoFill="0" autoLine="0" autoPict="0">
                <anchor moveWithCells="1">
                  <from>
                    <xdr:col>22</xdr:col>
                    <xdr:colOff>142875</xdr:colOff>
                    <xdr:row>32</xdr:row>
                    <xdr:rowOff>9525</xdr:rowOff>
                  </from>
                  <to>
                    <xdr:col>24</xdr:col>
                    <xdr:colOff>295275</xdr:colOff>
                    <xdr:row>32</xdr:row>
                    <xdr:rowOff>314325</xdr:rowOff>
                  </to>
                </anchor>
              </controlPr>
            </control>
          </mc:Choice>
        </mc:AlternateContent>
        <mc:AlternateContent xmlns:mc="http://schemas.openxmlformats.org/markup-compatibility/2006">
          <mc:Choice Requires="x14">
            <control shapeId="58378" r:id="rId12" name="evid_tox_7">
              <controlPr defaultSize="0" autoFill="0" autoLine="0" autoPict="0">
                <anchor moveWithCells="1">
                  <from>
                    <xdr:col>22</xdr:col>
                    <xdr:colOff>142875</xdr:colOff>
                    <xdr:row>33</xdr:row>
                    <xdr:rowOff>9525</xdr:rowOff>
                  </from>
                  <to>
                    <xdr:col>24</xdr:col>
                    <xdr:colOff>295275</xdr:colOff>
                    <xdr:row>33</xdr:row>
                    <xdr:rowOff>314325</xdr:rowOff>
                  </to>
                </anchor>
              </controlPr>
            </control>
          </mc:Choice>
        </mc:AlternateContent>
        <mc:AlternateContent xmlns:mc="http://schemas.openxmlformats.org/markup-compatibility/2006">
          <mc:Choice Requires="x14">
            <control shapeId="58379" r:id="rId13" name="evid_tox_8">
              <controlPr defaultSize="0" autoFill="0" autoLine="0" autoPict="0">
                <anchor moveWithCells="1">
                  <from>
                    <xdr:col>22</xdr:col>
                    <xdr:colOff>142875</xdr:colOff>
                    <xdr:row>34</xdr:row>
                    <xdr:rowOff>9525</xdr:rowOff>
                  </from>
                  <to>
                    <xdr:col>24</xdr:col>
                    <xdr:colOff>295275</xdr:colOff>
                    <xdr:row>34</xdr:row>
                    <xdr:rowOff>314325</xdr:rowOff>
                  </to>
                </anchor>
              </controlPr>
            </control>
          </mc:Choice>
        </mc:AlternateContent>
        <mc:AlternateContent xmlns:mc="http://schemas.openxmlformats.org/markup-compatibility/2006">
          <mc:Choice Requires="x14">
            <control shapeId="58380" r:id="rId14" name="evid_tox_9">
              <controlPr defaultSize="0" autoFill="0" autoLine="0" autoPict="0">
                <anchor moveWithCells="1">
                  <from>
                    <xdr:col>22</xdr:col>
                    <xdr:colOff>142875</xdr:colOff>
                    <xdr:row>35</xdr:row>
                    <xdr:rowOff>19050</xdr:rowOff>
                  </from>
                  <to>
                    <xdr:col>24</xdr:col>
                    <xdr:colOff>295275</xdr:colOff>
                    <xdr:row>36</xdr:row>
                    <xdr:rowOff>0</xdr:rowOff>
                  </to>
                </anchor>
              </controlPr>
            </control>
          </mc:Choice>
        </mc:AlternateContent>
        <mc:AlternateContent xmlns:mc="http://schemas.openxmlformats.org/markup-compatibility/2006">
          <mc:Choice Requires="x14">
            <control shapeId="58381" r:id="rId15" name="evid_tox_10">
              <controlPr defaultSize="0" autoFill="0" autoLine="0" autoPict="0">
                <anchor moveWithCells="1">
                  <from>
                    <xdr:col>22</xdr:col>
                    <xdr:colOff>142875</xdr:colOff>
                    <xdr:row>36</xdr:row>
                    <xdr:rowOff>19050</xdr:rowOff>
                  </from>
                  <to>
                    <xdr:col>24</xdr:col>
                    <xdr:colOff>295275</xdr:colOff>
                    <xdr:row>37</xdr:row>
                    <xdr:rowOff>0</xdr:rowOff>
                  </to>
                </anchor>
              </controlPr>
            </control>
          </mc:Choice>
        </mc:AlternateContent>
        <mc:AlternateContent xmlns:mc="http://schemas.openxmlformats.org/markup-compatibility/2006">
          <mc:Choice Requires="x14">
            <control shapeId="58382" r:id="rId16" name="evid_tox_11">
              <controlPr defaultSize="0" autoFill="0" autoLine="0" autoPict="0">
                <anchor moveWithCells="1">
                  <from>
                    <xdr:col>22</xdr:col>
                    <xdr:colOff>142875</xdr:colOff>
                    <xdr:row>37</xdr:row>
                    <xdr:rowOff>19050</xdr:rowOff>
                  </from>
                  <to>
                    <xdr:col>24</xdr:col>
                    <xdr:colOff>295275</xdr:colOff>
                    <xdr:row>38</xdr:row>
                    <xdr:rowOff>0</xdr:rowOff>
                  </to>
                </anchor>
              </controlPr>
            </control>
          </mc:Choice>
        </mc:AlternateContent>
        <mc:AlternateContent xmlns:mc="http://schemas.openxmlformats.org/markup-compatibility/2006">
          <mc:Choice Requires="x14">
            <control shapeId="58383" r:id="rId17" name="evid_tox_12">
              <controlPr defaultSize="0" autoFill="0" autoLine="0" autoPict="0">
                <anchor moveWithCells="1">
                  <from>
                    <xdr:col>22</xdr:col>
                    <xdr:colOff>142875</xdr:colOff>
                    <xdr:row>38</xdr:row>
                    <xdr:rowOff>19050</xdr:rowOff>
                  </from>
                  <to>
                    <xdr:col>24</xdr:col>
                    <xdr:colOff>295275</xdr:colOff>
                    <xdr:row>39</xdr:row>
                    <xdr:rowOff>0</xdr:rowOff>
                  </to>
                </anchor>
              </controlPr>
            </control>
          </mc:Choice>
        </mc:AlternateContent>
        <mc:AlternateContent xmlns:mc="http://schemas.openxmlformats.org/markup-compatibility/2006">
          <mc:Choice Requires="x14">
            <control shapeId="58384" r:id="rId18" name="evid_tox_13">
              <controlPr defaultSize="0" autoFill="0" autoLine="0" autoPict="0">
                <anchor moveWithCells="1">
                  <from>
                    <xdr:col>22</xdr:col>
                    <xdr:colOff>142875</xdr:colOff>
                    <xdr:row>39</xdr:row>
                    <xdr:rowOff>19050</xdr:rowOff>
                  </from>
                  <to>
                    <xdr:col>24</xdr:col>
                    <xdr:colOff>295275</xdr:colOff>
                    <xdr:row>40</xdr:row>
                    <xdr:rowOff>0</xdr:rowOff>
                  </to>
                </anchor>
              </controlPr>
            </control>
          </mc:Choice>
        </mc:AlternateContent>
        <mc:AlternateContent xmlns:mc="http://schemas.openxmlformats.org/markup-compatibility/2006">
          <mc:Choice Requires="x14">
            <control shapeId="58385" r:id="rId19" name="evid_tox_14">
              <controlPr defaultSize="0" autoFill="0" autoLine="0" autoPict="0">
                <anchor moveWithCells="1">
                  <from>
                    <xdr:col>22</xdr:col>
                    <xdr:colOff>142875</xdr:colOff>
                    <xdr:row>40</xdr:row>
                    <xdr:rowOff>19050</xdr:rowOff>
                  </from>
                  <to>
                    <xdr:col>24</xdr:col>
                    <xdr:colOff>295275</xdr:colOff>
                    <xdr:row>41</xdr:row>
                    <xdr:rowOff>0</xdr:rowOff>
                  </to>
                </anchor>
              </controlPr>
            </control>
          </mc:Choice>
        </mc:AlternateContent>
        <mc:AlternateContent xmlns:mc="http://schemas.openxmlformats.org/markup-compatibility/2006">
          <mc:Choice Requires="x14">
            <control shapeId="58386" r:id="rId20" name="evid_tox_15">
              <controlPr defaultSize="0" autoFill="0" autoLine="0" autoPict="0">
                <anchor moveWithCells="1">
                  <from>
                    <xdr:col>22</xdr:col>
                    <xdr:colOff>142875</xdr:colOff>
                    <xdr:row>41</xdr:row>
                    <xdr:rowOff>19050</xdr:rowOff>
                  </from>
                  <to>
                    <xdr:col>24</xdr:col>
                    <xdr:colOff>295275</xdr:colOff>
                    <xdr:row>42</xdr:row>
                    <xdr:rowOff>0</xdr:rowOff>
                  </to>
                </anchor>
              </controlPr>
            </control>
          </mc:Choice>
        </mc:AlternateContent>
        <mc:AlternateContent xmlns:mc="http://schemas.openxmlformats.org/markup-compatibility/2006">
          <mc:Choice Requires="x14">
            <control shapeId="58387" r:id="rId21" name="Check Box 19">
              <controlPr defaultSize="0" autoFill="0" autoLine="0" autoPict="0">
                <anchor moveWithCells="1">
                  <from>
                    <xdr:col>22</xdr:col>
                    <xdr:colOff>152400</xdr:colOff>
                    <xdr:row>28</xdr:row>
                    <xdr:rowOff>9525</xdr:rowOff>
                  </from>
                  <to>
                    <xdr:col>24</xdr:col>
                    <xdr:colOff>304800</xdr:colOff>
                    <xdr:row>28</xdr:row>
                    <xdr:rowOff>314325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 id="{E02335C2-30C4-48FB-9367-0089E9DF1366}">
            <xm:f>Respostas_usuario!$K$7&lt;&gt;0</xm:f>
            <x14:dxf>
              <font>
                <b/>
                <i val="0"/>
                <color rgb="FF00B050"/>
              </font>
              <fill>
                <patternFill>
                  <bgColor theme="0"/>
                </patternFill>
              </fill>
            </x14:dxf>
          </x14:cfRule>
          <xm:sqref>M53:M57</xm:sqref>
        </x14:conditionalFormatting>
        <x14:conditionalFormatting xmlns:xm="http://schemas.microsoft.com/office/excel/2006/main">
          <x14:cfRule type="expression" priority="19" id="{F61551AE-FD2C-4A5B-B4FB-5B07A47C6D8E}">
            <xm:f>Respostas_usuario!$K$7&lt;&gt;2</xm:f>
            <x14:dxf>
              <font>
                <color theme="0"/>
              </font>
              <fill>
                <patternFill>
                  <bgColor theme="0"/>
                </patternFill>
              </fill>
              <border>
                <right/>
                <top/>
                <bottom/>
                <vertical/>
                <horizontal/>
              </border>
            </x14:dxf>
          </x14:cfRule>
          <xm:sqref>S53:AM57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Valor inválido" error="A resposta deve ser Sim ou Não" xr:uid="{B0350755-B18D-4E68-BF3E-7519B3C6EA51}">
          <x14:formula1>
            <xm:f>Tabelas_fonte!$Y$2:$Y$3</xm:f>
          </x14:formula1>
          <xm:sqref>AI54:AM57</xm:sqref>
        </x14:dataValidation>
        <x14:dataValidation type="list" allowBlank="1" showInputMessage="1" xr:uid="{4BFC7696-4387-4263-96CC-EAF4F0992694}">
          <x14:formula1>
            <xm:f>Tabelas_fonte!$AE$2:$AE$4</xm:f>
          </x14:formula1>
          <xm:sqref>N19:AJ19</xm:sqref>
        </x14:dataValidation>
        <x14:dataValidation type="list" allowBlank="1" showInputMessage="1" showErrorMessage="1" errorTitle="Resposta inválida" error="A resposta de ser Sim ou Não." xr:uid="{12307695-F694-4AE0-85A8-1764FD832AD2}">
          <x14:formula1>
            <xm:f>Tabelas_fonte!$Y$2:$Y$3</xm:f>
          </x14:formula1>
          <xm:sqref>N18:S18</xm:sqref>
        </x14:dataValidation>
        <x14:dataValidation type="list" allowBlank="1" showInputMessage="1" showErrorMessage="1" errorTitle="Resposta inválida" error="A resposta deve ser Sim ou Não" xr:uid="{DCE5AA45-B098-48FB-9822-88B1D2EC53AA}">
          <x14:formula1>
            <xm:f>Tabelas_fonte!$Y$2:$Y$3</xm:f>
          </x14:formula1>
          <xm:sqref>Y10:AA12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94BB6-92C5-47C6-8554-C133D7348904}">
  <sheetPr codeName="Planilha18">
    <tabColor theme="8" tint="0.59999389629810485"/>
  </sheetPr>
  <dimension ref="A1:AO72"/>
  <sheetViews>
    <sheetView showGridLines="0" topLeftCell="D1" workbookViewId="0">
      <selection activeCell="D1" sqref="D1"/>
    </sheetView>
  </sheetViews>
  <sheetFormatPr defaultColWidth="0" defaultRowHeight="15" zeroHeight="1" x14ac:dyDescent="0.25"/>
  <cols>
    <col min="1" max="3" width="4.7109375" style="20" hidden="1" customWidth="1"/>
    <col min="4" max="4" width="2.7109375" style="20" customWidth="1"/>
    <col min="5" max="5" width="2.7109375" style="1" customWidth="1"/>
    <col min="6" max="13" width="4.7109375" style="1" customWidth="1"/>
    <col min="14" max="14" width="5.7109375" style="1" customWidth="1"/>
    <col min="15" max="15" width="5.28515625" style="1" customWidth="1"/>
    <col min="16" max="40" width="4.7109375" style="1" customWidth="1"/>
    <col min="41" max="41" width="4.7109375" style="2" customWidth="1"/>
    <col min="42" max="16384" width="9.140625" style="20" hidden="1"/>
  </cols>
  <sheetData>
    <row r="1" spans="1:41" x14ac:dyDescent="0.25">
      <c r="A1" s="18"/>
      <c r="B1" s="18"/>
      <c r="C1" s="18"/>
      <c r="D1" s="7"/>
      <c r="E1" s="7"/>
      <c r="AO1" s="1"/>
    </row>
    <row r="2" spans="1:41" ht="15" customHeight="1" x14ac:dyDescent="0.25">
      <c r="A2" s="18"/>
      <c r="B2" s="18"/>
      <c r="C2" s="18"/>
      <c r="D2" s="7"/>
      <c r="E2" s="2"/>
      <c r="F2" s="1148" t="s">
        <v>291</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row>
    <row r="3" spans="1:41"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row>
    <row r="4" spans="1:41"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row>
    <row r="5" spans="1:41"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row>
    <row r="6" spans="1:41"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row>
    <row r="7" spans="1:41" ht="20.100000000000001" customHeight="1" x14ac:dyDescent="0.25">
      <c r="A7" s="18"/>
      <c r="B7" s="18"/>
      <c r="C7" s="18"/>
      <c r="D7" s="7"/>
      <c r="E7" s="158"/>
      <c r="F7" s="1024" t="str">
        <f ca="1">Alertas!R12</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row>
    <row r="8" spans="1:41" x14ac:dyDescent="0.25">
      <c r="A8" s="18"/>
      <c r="B8" s="18"/>
      <c r="C8" s="18"/>
      <c r="D8" s="7"/>
      <c r="E8" s="7"/>
      <c r="AO8" s="1"/>
    </row>
    <row r="9" spans="1:41"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1" ht="30" customHeight="1" x14ac:dyDescent="0.25">
      <c r="A10" s="18"/>
      <c r="B10" s="18"/>
      <c r="C10" s="18"/>
      <c r="D10" s="7"/>
      <c r="E10" s="2"/>
      <c r="F10" s="1208" t="s">
        <v>303</v>
      </c>
      <c r="G10" s="1208"/>
      <c r="H10" s="1208"/>
      <c r="I10" s="1208"/>
      <c r="J10" s="1208"/>
      <c r="K10" s="1208"/>
      <c r="L10" s="1208"/>
      <c r="M10" s="1208"/>
      <c r="N10" s="1209"/>
      <c r="O10" s="1209"/>
      <c r="P10" s="1209"/>
      <c r="Q10" s="1209"/>
      <c r="R10" s="1209"/>
      <c r="S10" s="1209"/>
      <c r="T10" s="2"/>
      <c r="U10" s="2"/>
      <c r="V10" s="2"/>
      <c r="W10" s="2"/>
      <c r="X10" s="2"/>
      <c r="Y10" s="2"/>
      <c r="Z10" s="2"/>
      <c r="AA10" s="2"/>
      <c r="AB10" s="2"/>
      <c r="AC10" s="2"/>
      <c r="AD10" s="2"/>
      <c r="AE10" s="2"/>
      <c r="AF10" s="2"/>
      <c r="AG10" s="2"/>
      <c r="AH10" s="2"/>
      <c r="AI10" s="2"/>
      <c r="AJ10" s="2"/>
      <c r="AK10" s="2"/>
      <c r="AL10" s="2"/>
      <c r="AM10" s="2"/>
      <c r="AN10" s="2"/>
    </row>
    <row r="11" spans="1:41" ht="30" customHeight="1" x14ac:dyDescent="0.25">
      <c r="A11" s="18"/>
      <c r="B11" s="18"/>
      <c r="C11" s="18"/>
      <c r="D11" s="7"/>
      <c r="E11" s="161"/>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161"/>
    </row>
    <row r="12" spans="1:41" ht="20.100000000000001" customHeight="1" x14ac:dyDescent="0.25">
      <c r="A12" s="18"/>
      <c r="B12" s="18"/>
      <c r="C12" s="18"/>
      <c r="D12" s="7"/>
      <c r="E12" s="161"/>
      <c r="F12" s="2"/>
      <c r="G12" s="2"/>
      <c r="H12" s="2"/>
      <c r="I12" s="2"/>
      <c r="J12" s="2"/>
      <c r="K12" s="2"/>
      <c r="L12" s="2"/>
      <c r="M12" s="2"/>
      <c r="N12" s="1188" t="s">
        <v>236</v>
      </c>
      <c r="O12" s="1188"/>
      <c r="P12" s="1188"/>
      <c r="Q12" s="1188"/>
      <c r="R12" s="1188"/>
      <c r="S12" s="1188"/>
      <c r="T12" s="1188"/>
      <c r="U12" s="1188"/>
      <c r="V12" s="1188"/>
      <c r="W12" s="1188"/>
      <c r="X12" s="1188"/>
      <c r="Y12" s="1188"/>
      <c r="Z12" s="2"/>
      <c r="AA12" s="2"/>
      <c r="AB12" s="2"/>
      <c r="AC12" s="2"/>
      <c r="AD12" s="2"/>
      <c r="AE12" s="2"/>
      <c r="AF12" s="2"/>
      <c r="AG12" s="2"/>
      <c r="AH12" s="2"/>
      <c r="AI12" s="2"/>
      <c r="AJ12" s="2"/>
      <c r="AK12" s="2"/>
      <c r="AL12" s="2"/>
      <c r="AM12" s="2"/>
      <c r="AN12" s="116"/>
    </row>
    <row r="13" spans="1:41" ht="39.950000000000003" customHeight="1" x14ac:dyDescent="0.25">
      <c r="A13" s="18"/>
      <c r="B13" s="18"/>
      <c r="C13" s="18"/>
      <c r="D13" s="7"/>
      <c r="E13" s="161"/>
      <c r="F13" s="1067" t="s">
        <v>40</v>
      </c>
      <c r="G13" s="1068"/>
      <c r="H13" s="1068"/>
      <c r="I13" s="1068"/>
      <c r="J13" s="1068"/>
      <c r="K13" s="1068"/>
      <c r="L13" s="1068"/>
      <c r="M13" s="1186" t="s">
        <v>186</v>
      </c>
      <c r="N13" s="178"/>
      <c r="O13" s="1050" t="s">
        <v>7957</v>
      </c>
      <c r="P13" s="1050"/>
      <c r="Q13" s="1050"/>
      <c r="R13" s="1050"/>
      <c r="S13" s="1050"/>
      <c r="T13" s="1050"/>
      <c r="U13" s="1050"/>
      <c r="V13" s="1050"/>
      <c r="W13" s="1050"/>
      <c r="X13" s="1050"/>
      <c r="Y13" s="1050"/>
      <c r="Z13" s="1050"/>
      <c r="AA13" s="1050"/>
      <c r="AB13" s="1050"/>
      <c r="AC13" s="1050"/>
      <c r="AD13" s="1050"/>
      <c r="AE13" s="1050"/>
      <c r="AF13" s="1050"/>
      <c r="AG13" s="1050"/>
      <c r="AH13" s="1050"/>
      <c r="AI13" s="1050"/>
      <c r="AJ13" s="1050"/>
      <c r="AK13" s="1050"/>
      <c r="AL13" s="1050"/>
      <c r="AM13" s="1051"/>
      <c r="AN13" s="116"/>
    </row>
    <row r="14" spans="1:41" ht="39.950000000000003" customHeight="1" x14ac:dyDescent="0.25">
      <c r="A14" s="18"/>
      <c r="B14" s="18"/>
      <c r="C14" s="18"/>
      <c r="D14" s="7"/>
      <c r="E14" s="161"/>
      <c r="F14" s="1073"/>
      <c r="G14" s="1074"/>
      <c r="H14" s="1074"/>
      <c r="I14" s="1074"/>
      <c r="J14" s="1074"/>
      <c r="K14" s="1074"/>
      <c r="L14" s="1074"/>
      <c r="M14" s="1187"/>
      <c r="N14" s="179"/>
      <c r="O14" s="1210" t="s">
        <v>8</v>
      </c>
      <c r="P14" s="1210"/>
      <c r="Q14" s="1012" t="s">
        <v>41</v>
      </c>
      <c r="R14" s="1012"/>
      <c r="S14" s="1012"/>
      <c r="T14" s="1200"/>
      <c r="U14" s="1200"/>
      <c r="V14" s="1200"/>
      <c r="W14" s="1200"/>
      <c r="X14" s="1200"/>
      <c r="Y14" s="1200"/>
      <c r="Z14" s="1200"/>
      <c r="AA14" s="1200"/>
      <c r="AB14" s="1200"/>
      <c r="AC14" s="1200"/>
      <c r="AD14" s="1200"/>
      <c r="AE14" s="1200"/>
      <c r="AF14" s="1200"/>
      <c r="AG14" s="1200"/>
      <c r="AH14" s="1200"/>
      <c r="AI14" s="1200"/>
      <c r="AJ14" s="1200"/>
      <c r="AK14" s="1200"/>
      <c r="AL14" s="1200"/>
      <c r="AM14" s="1200"/>
      <c r="AN14" s="4"/>
    </row>
    <row r="15" spans="1:41" ht="15" customHeight="1" x14ac:dyDescent="0.25">
      <c r="A15" s="18"/>
      <c r="B15" s="18"/>
      <c r="C15" s="18"/>
      <c r="D15" s="7"/>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row>
    <row r="16" spans="1:41" ht="20.100000000000001" customHeight="1" x14ac:dyDescent="0.25">
      <c r="A16" s="18"/>
      <c r="B16" s="18"/>
      <c r="C16" s="18"/>
      <c r="D16" s="7"/>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row>
    <row r="17" spans="1:41" ht="15" customHeight="1" x14ac:dyDescent="0.25">
      <c r="A17" s="18"/>
      <c r="B17" s="18"/>
      <c r="C17" s="18"/>
      <c r="D17" s="7"/>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row>
    <row r="18" spans="1:41" ht="30" customHeight="1" x14ac:dyDescent="0.25">
      <c r="A18" s="18"/>
      <c r="B18" s="18"/>
      <c r="C18" s="18"/>
      <c r="D18" s="7"/>
      <c r="E18" s="2"/>
      <c r="F18" s="1149" t="s">
        <v>30</v>
      </c>
      <c r="G18" s="1094"/>
      <c r="H18" s="1094"/>
      <c r="I18" s="1094"/>
      <c r="J18" s="1094"/>
      <c r="K18" s="1094"/>
      <c r="L18" s="1104"/>
      <c r="M18" s="181" t="s">
        <v>186</v>
      </c>
      <c r="N18" s="1140"/>
      <c r="O18" s="1141"/>
      <c r="P18" s="1141"/>
      <c r="Q18" s="1141"/>
      <c r="R18" s="1141"/>
      <c r="S18" s="1141"/>
      <c r="T18" s="1141"/>
      <c r="U18" s="1141"/>
      <c r="V18" s="1141"/>
      <c r="W18" s="1141"/>
      <c r="X18" s="1141"/>
      <c r="Y18" s="1141"/>
      <c r="Z18" s="1142"/>
      <c r="AA18" s="1009" t="s">
        <v>294</v>
      </c>
      <c r="AB18" s="1009"/>
      <c r="AC18" s="1009"/>
      <c r="AD18" s="1041"/>
      <c r="AE18" s="181" t="s">
        <v>186</v>
      </c>
      <c r="AF18" s="1140"/>
      <c r="AG18" s="1141"/>
      <c r="AH18" s="1141"/>
      <c r="AI18" s="1141"/>
      <c r="AJ18" s="1142"/>
      <c r="AK18" s="2"/>
      <c r="AL18" s="2"/>
      <c r="AM18" s="2"/>
      <c r="AN18" s="2"/>
    </row>
    <row r="19" spans="1:41" ht="60" customHeight="1" x14ac:dyDescent="0.25">
      <c r="A19" s="18"/>
      <c r="B19" s="18"/>
      <c r="C19" s="18"/>
      <c r="D19" s="7"/>
      <c r="E19" s="2"/>
      <c r="F19" s="1008" t="s">
        <v>7300</v>
      </c>
      <c r="G19" s="1009"/>
      <c r="H19" s="1009"/>
      <c r="I19" s="1009"/>
      <c r="J19" s="1009"/>
      <c r="K19" s="1009"/>
      <c r="L19" s="1041"/>
      <c r="M19" s="181" t="s">
        <v>186</v>
      </c>
      <c r="N19" s="1140"/>
      <c r="O19" s="1141"/>
      <c r="P19" s="1141"/>
      <c r="Q19" s="1141"/>
      <c r="R19" s="1141"/>
      <c r="S19" s="1141"/>
      <c r="T19" s="1141"/>
      <c r="U19" s="1141"/>
      <c r="V19" s="1141"/>
      <c r="W19" s="1141"/>
      <c r="X19" s="1141"/>
      <c r="Y19" s="1141"/>
      <c r="Z19" s="1141"/>
      <c r="AA19" s="1141"/>
      <c r="AB19" s="1141"/>
      <c r="AC19" s="1141"/>
      <c r="AD19" s="1141"/>
      <c r="AE19" s="1141"/>
      <c r="AF19" s="1141"/>
      <c r="AG19" s="1141"/>
      <c r="AH19" s="1141"/>
      <c r="AI19" s="1141"/>
      <c r="AJ19" s="1142"/>
      <c r="AK19" s="1158" t="s">
        <v>271</v>
      </c>
      <c r="AL19" s="1159"/>
      <c r="AM19" s="1159"/>
      <c r="AN19" s="1159"/>
    </row>
    <row r="20" spans="1:41" ht="20.100000000000001" customHeight="1" x14ac:dyDescent="0.25">
      <c r="A20" s="18"/>
      <c r="B20" s="18"/>
      <c r="C20" s="18"/>
      <c r="D20" s="7"/>
      <c r="E20" s="2"/>
      <c r="F20" s="1008" t="s">
        <v>6029</v>
      </c>
      <c r="G20" s="1009"/>
      <c r="H20" s="1009"/>
      <c r="I20" s="1009"/>
      <c r="J20" s="1009"/>
      <c r="K20" s="1009"/>
      <c r="L20" s="1041"/>
      <c r="M20" s="181" t="s">
        <v>186</v>
      </c>
      <c r="N20" s="1147"/>
      <c r="O20" s="1096"/>
      <c r="P20" s="1096"/>
      <c r="Q20" s="1096"/>
      <c r="R20" s="1096"/>
      <c r="S20" s="1097"/>
      <c r="T20" s="171"/>
      <c r="U20" s="172"/>
      <c r="V20" s="172"/>
      <c r="W20" s="172"/>
      <c r="X20" s="172"/>
      <c r="Y20" s="172"/>
      <c r="Z20" s="172"/>
      <c r="AA20" s="172"/>
      <c r="AB20" s="172"/>
      <c r="AC20" s="172"/>
      <c r="AD20" s="172"/>
      <c r="AE20" s="172"/>
      <c r="AF20" s="172"/>
      <c r="AG20" s="172"/>
      <c r="AH20" s="172"/>
      <c r="AI20" s="173"/>
      <c r="AJ20" s="173"/>
      <c r="AK20" s="2"/>
      <c r="AL20" s="2"/>
      <c r="AM20" s="2"/>
      <c r="AN20" s="2"/>
    </row>
    <row r="21" spans="1:41" ht="20.100000000000001" customHeight="1" x14ac:dyDescent="0.25">
      <c r="A21" s="18"/>
      <c r="B21" s="18"/>
      <c r="C21" s="18"/>
      <c r="D21" s="7"/>
      <c r="E21" s="2"/>
      <c r="F21" s="1149" t="s">
        <v>218</v>
      </c>
      <c r="G21" s="1094"/>
      <c r="H21" s="1094"/>
      <c r="I21" s="1094"/>
      <c r="J21" s="1094"/>
      <c r="K21" s="1094"/>
      <c r="L21" s="1104"/>
      <c r="M21" s="181" t="s">
        <v>186</v>
      </c>
      <c r="N21" s="1143"/>
      <c r="O21" s="1106"/>
      <c r="P21" s="1106"/>
      <c r="Q21" s="1106"/>
      <c r="R21" s="1106"/>
      <c r="S21" s="1106"/>
      <c r="T21" s="1106"/>
      <c r="U21" s="1106"/>
      <c r="V21" s="1106"/>
      <c r="W21" s="1106"/>
      <c r="X21" s="1106"/>
      <c r="Y21" s="1106"/>
      <c r="Z21" s="1106"/>
      <c r="AA21" s="1106"/>
      <c r="AB21" s="1106"/>
      <c r="AC21" s="1106"/>
      <c r="AD21" s="1106"/>
      <c r="AE21" s="1106"/>
      <c r="AF21" s="1106"/>
      <c r="AG21" s="1106"/>
      <c r="AH21" s="1106"/>
      <c r="AI21" s="1106"/>
      <c r="AJ21" s="1107"/>
      <c r="AK21" s="2"/>
      <c r="AL21" s="2"/>
      <c r="AM21" s="2"/>
      <c r="AN21" s="2"/>
    </row>
    <row r="22" spans="1:41" ht="20.100000000000001" customHeight="1" x14ac:dyDescent="0.25">
      <c r="A22" s="18"/>
      <c r="B22" s="18"/>
      <c r="C22" s="18"/>
      <c r="D22" s="7"/>
      <c r="E22" s="2"/>
      <c r="F22" s="1149" t="s">
        <v>311</v>
      </c>
      <c r="G22" s="1094"/>
      <c r="H22" s="1094"/>
      <c r="I22" s="1094"/>
      <c r="J22" s="1094"/>
      <c r="K22" s="1094"/>
      <c r="L22" s="1094"/>
      <c r="M22" s="1150"/>
      <c r="N22" s="1144"/>
      <c r="O22" s="1108"/>
      <c r="P22" s="1108"/>
      <c r="Q22" s="1108"/>
      <c r="R22" s="1108"/>
      <c r="S22" s="1108"/>
      <c r="T22" s="1108"/>
      <c r="U22" s="1108"/>
      <c r="V22" s="1108"/>
      <c r="W22" s="1108"/>
      <c r="X22" s="1108"/>
      <c r="Y22" s="1108"/>
      <c r="Z22" s="1108"/>
      <c r="AA22" s="1108"/>
      <c r="AB22" s="1108"/>
      <c r="AC22" s="1108"/>
      <c r="AD22" s="1108"/>
      <c r="AE22" s="1108"/>
      <c r="AF22" s="1108"/>
      <c r="AG22" s="1108"/>
      <c r="AH22" s="1108"/>
      <c r="AI22" s="1108"/>
      <c r="AJ22" s="1109"/>
      <c r="AK22" s="2"/>
      <c r="AL22" s="2"/>
      <c r="AM22" s="2"/>
      <c r="AN22" s="2"/>
    </row>
    <row r="23" spans="1:41" ht="30" customHeight="1" x14ac:dyDescent="0.25">
      <c r="A23" s="18"/>
      <c r="B23" s="18"/>
      <c r="C23" s="18"/>
      <c r="D23" s="7"/>
      <c r="E23" s="2"/>
      <c r="F23" s="1008" t="s">
        <v>7301</v>
      </c>
      <c r="G23" s="1009"/>
      <c r="H23" s="1009"/>
      <c r="I23" s="1009"/>
      <c r="J23" s="1009"/>
      <c r="K23" s="1009"/>
      <c r="L23" s="1009"/>
      <c r="M23" s="1010"/>
      <c r="N23" s="1151" t="s">
        <v>6030</v>
      </c>
      <c r="O23" s="1088"/>
      <c r="P23" s="1089"/>
      <c r="Q23" s="181" t="s">
        <v>186</v>
      </c>
      <c r="R23" s="999"/>
      <c r="S23" s="1000"/>
      <c r="T23" s="1000"/>
      <c r="U23" s="1000"/>
      <c r="V23" s="1000"/>
      <c r="W23" s="1000"/>
      <c r="X23" s="1001"/>
      <c r="Y23" s="1073" t="s">
        <v>31</v>
      </c>
      <c r="Z23" s="1074"/>
      <c r="AA23" s="1074"/>
      <c r="AB23" s="1075"/>
      <c r="AC23" s="181" t="s">
        <v>186</v>
      </c>
      <c r="AD23" s="999"/>
      <c r="AE23" s="1000"/>
      <c r="AF23" s="1000"/>
      <c r="AG23" s="1000"/>
      <c r="AH23" s="1000"/>
      <c r="AI23" s="1000"/>
      <c r="AJ23" s="1001"/>
      <c r="AK23" s="2"/>
      <c r="AL23" s="2"/>
      <c r="AM23" s="2"/>
      <c r="AN23" s="2"/>
    </row>
    <row r="24" spans="1:41" ht="30" customHeight="1" x14ac:dyDescent="0.25">
      <c r="A24" s="18"/>
      <c r="B24" s="18"/>
      <c r="C24" s="18"/>
      <c r="D24" s="7"/>
      <c r="E24" s="2"/>
      <c r="F24" s="1008" t="s">
        <v>5720</v>
      </c>
      <c r="G24" s="1009"/>
      <c r="H24" s="1009"/>
      <c r="I24" s="1009"/>
      <c r="J24" s="1009"/>
      <c r="K24" s="1009"/>
      <c r="L24" s="1009"/>
      <c r="M24" s="181" t="s">
        <v>186</v>
      </c>
      <c r="N24" s="1136"/>
      <c r="O24" s="1090"/>
      <c r="P24" s="1090"/>
      <c r="Q24" s="1090"/>
      <c r="R24" s="1091"/>
      <c r="S24" s="1092"/>
      <c r="T24" s="2"/>
      <c r="U24" s="2"/>
      <c r="V24" s="2"/>
      <c r="W24" s="2"/>
      <c r="X24" s="2"/>
      <c r="Y24" s="2"/>
      <c r="Z24" s="2"/>
      <c r="AA24" s="2"/>
      <c r="AB24" s="2"/>
      <c r="AC24" s="2"/>
      <c r="AD24" s="2"/>
      <c r="AE24" s="2"/>
      <c r="AF24" s="2"/>
      <c r="AG24" s="2"/>
      <c r="AH24" s="2"/>
      <c r="AI24" s="2"/>
      <c r="AJ24" s="2"/>
      <c r="AK24" s="2"/>
      <c r="AL24" s="2"/>
      <c r="AM24" s="2"/>
      <c r="AN24" s="2"/>
    </row>
    <row r="25" spans="1:41" ht="20.100000000000001" customHeight="1" x14ac:dyDescent="0.25">
      <c r="A25" s="18"/>
      <c r="B25" s="18"/>
      <c r="C25" s="18"/>
      <c r="D25" s="7"/>
      <c r="E25" s="2"/>
      <c r="F25" s="1149" t="s">
        <v>85</v>
      </c>
      <c r="G25" s="1094"/>
      <c r="H25" s="1094"/>
      <c r="I25" s="1094"/>
      <c r="J25" s="1094"/>
      <c r="K25" s="1094"/>
      <c r="L25" s="1094"/>
      <c r="M25" s="181" t="s">
        <v>186</v>
      </c>
      <c r="N25" s="1139" t="s">
        <v>281</v>
      </c>
      <c r="O25" s="1191"/>
      <c r="P25" s="1191"/>
      <c r="Q25" s="1191"/>
      <c r="R25" s="1191"/>
      <c r="S25" s="1191"/>
      <c r="T25" s="1008" t="s">
        <v>235</v>
      </c>
      <c r="U25" s="1009"/>
      <c r="V25" s="1009"/>
      <c r="W25" s="1009"/>
      <c r="X25" s="1009"/>
      <c r="Y25" s="1009"/>
      <c r="Z25" s="1009"/>
      <c r="AA25" s="181" t="s">
        <v>186</v>
      </c>
      <c r="AB25" s="1130"/>
      <c r="AC25" s="1131"/>
      <c r="AD25" s="1131"/>
      <c r="AE25" s="1131"/>
      <c r="AF25" s="1131"/>
      <c r="AG25" s="1131"/>
      <c r="AH25" s="1131"/>
      <c r="AI25" s="1131"/>
      <c r="AJ25" s="1132"/>
      <c r="AK25" s="2"/>
      <c r="AL25" s="2"/>
      <c r="AM25" s="2"/>
      <c r="AN25" s="2"/>
    </row>
    <row r="26" spans="1:41" ht="30" customHeight="1" x14ac:dyDescent="0.25">
      <c r="A26" s="18"/>
      <c r="B26" s="18"/>
      <c r="C26" s="18"/>
      <c r="D26" s="7"/>
      <c r="E26" s="2"/>
      <c r="F26" s="1149" t="s">
        <v>42</v>
      </c>
      <c r="G26" s="1094"/>
      <c r="H26" s="1094"/>
      <c r="I26" s="1094"/>
      <c r="J26" s="1094"/>
      <c r="K26" s="1094"/>
      <c r="L26" s="1094"/>
      <c r="M26" s="181" t="s">
        <v>186</v>
      </c>
      <c r="N26" s="1190"/>
      <c r="O26" s="1189"/>
      <c r="P26" s="1189"/>
      <c r="Q26" s="1189"/>
      <c r="R26" s="1189"/>
      <c r="S26" s="1189"/>
      <c r="T26" s="2"/>
      <c r="U26" s="2"/>
      <c r="V26" s="2"/>
      <c r="W26" s="2"/>
      <c r="X26" s="2"/>
      <c r="Y26" s="2"/>
      <c r="Z26" s="2"/>
      <c r="AA26" s="2"/>
      <c r="AB26" s="2"/>
      <c r="AC26" s="2"/>
      <c r="AD26" s="2"/>
      <c r="AE26" s="2"/>
      <c r="AF26" s="2"/>
      <c r="AG26" s="2"/>
      <c r="AH26" s="2"/>
      <c r="AI26" s="2"/>
      <c r="AJ26" s="2"/>
      <c r="AK26" s="2"/>
      <c r="AL26" s="2"/>
      <c r="AM26" s="2"/>
      <c r="AN26" s="2"/>
    </row>
    <row r="27" spans="1:41" ht="20.100000000000001" customHeight="1" x14ac:dyDescent="0.25">
      <c r="A27" s="18"/>
      <c r="B27" s="18"/>
      <c r="C27" s="18"/>
      <c r="D27" s="7"/>
      <c r="E27" s="2"/>
      <c r="F27" s="182"/>
      <c r="G27" s="2"/>
      <c r="H27" s="2"/>
      <c r="I27" s="2"/>
      <c r="J27" s="2"/>
      <c r="K27" s="2"/>
      <c r="L27" s="2"/>
      <c r="M27" s="2"/>
      <c r="N27" s="2"/>
      <c r="O27" s="2"/>
      <c r="P27" s="2"/>
      <c r="Q27" s="2"/>
      <c r="R27" s="2"/>
      <c r="S27" s="2"/>
      <c r="T27" s="2"/>
      <c r="U27" s="2"/>
      <c r="V27" s="2"/>
      <c r="W27" s="2"/>
      <c r="X27" s="2"/>
      <c r="Y27" s="2"/>
      <c r="Z27" s="2"/>
      <c r="AA27" s="2"/>
      <c r="AB27" s="2"/>
      <c r="AC27" s="2"/>
      <c r="AD27" s="2"/>
      <c r="AE27" s="2"/>
      <c r="AF27" s="1201"/>
      <c r="AG27" s="1201"/>
      <c r="AH27" s="1201"/>
      <c r="AI27" s="1201"/>
      <c r="AJ27" s="1201"/>
      <c r="AK27" s="1201"/>
      <c r="AL27" s="1201"/>
      <c r="AM27" s="1201"/>
      <c r="AN27" s="2"/>
    </row>
    <row r="28" spans="1:41" ht="20.100000000000001" customHeight="1" x14ac:dyDescent="0.25">
      <c r="A28" s="18"/>
      <c r="B28" s="18"/>
      <c r="C28" s="18"/>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183"/>
      <c r="AG28" s="183"/>
      <c r="AH28" s="183"/>
      <c r="AI28" s="183"/>
      <c r="AJ28" s="183"/>
      <c r="AK28" s="183"/>
      <c r="AL28" s="183"/>
      <c r="AM28" s="183"/>
      <c r="AN28" s="7"/>
      <c r="AO28" s="7"/>
    </row>
    <row r="29" spans="1:41" ht="20.100000000000001" customHeight="1" x14ac:dyDescent="0.25">
      <c r="A29" s="18"/>
      <c r="B29" s="18"/>
      <c r="C29" s="18"/>
      <c r="D29" s="7"/>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1" ht="39.950000000000003" customHeight="1" x14ac:dyDescent="0.25">
      <c r="A30" s="18"/>
      <c r="B30" s="18"/>
      <c r="C30" s="18"/>
      <c r="D30" s="7"/>
      <c r="E30" s="2"/>
      <c r="F30" s="184"/>
      <c r="G30" s="184"/>
      <c r="H30" s="184"/>
      <c r="I30" s="184"/>
      <c r="J30" s="184"/>
      <c r="K30" s="184"/>
      <c r="L30" s="184"/>
      <c r="M30" s="185"/>
      <c r="N30" s="1211" t="s">
        <v>321</v>
      </c>
      <c r="O30" s="1211"/>
      <c r="P30" s="1211"/>
      <c r="Q30" s="1211"/>
      <c r="R30" s="1204" t="s">
        <v>7095</v>
      </c>
      <c r="S30" s="1204"/>
      <c r="T30" s="1204"/>
      <c r="U30" s="1074" t="s">
        <v>7093</v>
      </c>
      <c r="V30" s="1074"/>
      <c r="W30" s="1074"/>
      <c r="X30" s="1157" t="s">
        <v>289</v>
      </c>
      <c r="Y30" s="1152"/>
      <c r="Z30" s="1152"/>
      <c r="AA30" s="1074" t="s">
        <v>7094</v>
      </c>
      <c r="AB30" s="1074"/>
      <c r="AC30" s="1074"/>
      <c r="AD30" s="1157" t="s">
        <v>285</v>
      </c>
      <c r="AE30" s="1152"/>
      <c r="AF30" s="1152"/>
      <c r="AG30" s="1202" t="s">
        <v>7309</v>
      </c>
      <c r="AH30" s="1203"/>
      <c r="AI30" s="1202" t="s">
        <v>7310</v>
      </c>
      <c r="AJ30" s="1203"/>
      <c r="AK30" s="1204" t="s">
        <v>7307</v>
      </c>
      <c r="AL30" s="1204"/>
      <c r="AM30" s="1204" t="s">
        <v>7308</v>
      </c>
      <c r="AN30" s="1204"/>
    </row>
    <row r="31" spans="1:41" ht="20.100000000000001" customHeight="1" x14ac:dyDescent="0.25">
      <c r="A31" s="18"/>
      <c r="B31" s="18"/>
      <c r="C31" s="18"/>
      <c r="D31" s="7"/>
      <c r="E31" s="2"/>
      <c r="F31" s="1193" t="s">
        <v>292</v>
      </c>
      <c r="G31" s="1194"/>
      <c r="H31" s="1194"/>
      <c r="I31" s="1194"/>
      <c r="J31" s="1194"/>
      <c r="K31" s="1194"/>
      <c r="L31" s="1194"/>
      <c r="M31" s="186"/>
      <c r="N31" s="1197" t="s">
        <v>200</v>
      </c>
      <c r="O31" s="1198"/>
      <c r="P31" s="1198"/>
      <c r="Q31" s="1199"/>
      <c r="R31" s="1133"/>
      <c r="S31" s="1133"/>
      <c r="T31" s="1133"/>
      <c r="U31" s="1205"/>
      <c r="V31" s="1205"/>
      <c r="W31" s="1205"/>
      <c r="X31" s="1134"/>
      <c r="Y31" s="1156"/>
      <c r="Z31" s="1135"/>
      <c r="AA31" s="1206"/>
      <c r="AB31" s="1206"/>
      <c r="AC31" s="1206"/>
      <c r="AD31" s="1134"/>
      <c r="AE31" s="1156"/>
      <c r="AF31" s="1135"/>
      <c r="AG31" s="1207"/>
      <c r="AH31" s="1207"/>
      <c r="AI31" s="1207"/>
      <c r="AJ31" s="1207"/>
      <c r="AK31" s="1207"/>
      <c r="AL31" s="1207"/>
      <c r="AM31" s="1207"/>
      <c r="AN31" s="1207"/>
    </row>
    <row r="32" spans="1:41" ht="20.100000000000001" customHeight="1" x14ac:dyDescent="0.25">
      <c r="A32" s="18"/>
      <c r="B32" s="18"/>
      <c r="C32" s="18"/>
      <c r="D32" s="7"/>
      <c r="E32" s="2"/>
      <c r="F32" s="1195"/>
      <c r="G32" s="1084"/>
      <c r="H32" s="1084"/>
      <c r="I32" s="1084"/>
      <c r="J32" s="1084"/>
      <c r="K32" s="1084"/>
      <c r="L32" s="1084"/>
      <c r="M32" s="190"/>
      <c r="N32" s="1197" t="s">
        <v>200</v>
      </c>
      <c r="O32" s="1198"/>
      <c r="P32" s="1198"/>
      <c r="Q32" s="1199"/>
      <c r="R32" s="1133"/>
      <c r="S32" s="1133"/>
      <c r="T32" s="1133"/>
      <c r="U32" s="1205"/>
      <c r="V32" s="1205"/>
      <c r="W32" s="1205"/>
      <c r="X32" s="1134"/>
      <c r="Y32" s="1156"/>
      <c r="Z32" s="1135"/>
      <c r="AA32" s="1206"/>
      <c r="AB32" s="1206"/>
      <c r="AC32" s="1206"/>
      <c r="AD32" s="1134"/>
      <c r="AE32" s="1156"/>
      <c r="AF32" s="1135"/>
      <c r="AG32" s="1207"/>
      <c r="AH32" s="1207"/>
      <c r="AI32" s="1207"/>
      <c r="AJ32" s="1207"/>
      <c r="AK32" s="1207"/>
      <c r="AL32" s="1207"/>
      <c r="AM32" s="1207"/>
      <c r="AN32" s="1207"/>
    </row>
    <row r="33" spans="1:40" ht="20.100000000000001" customHeight="1" x14ac:dyDescent="0.25">
      <c r="A33" s="18"/>
      <c r="B33" s="18"/>
      <c r="C33" s="18"/>
      <c r="D33" s="7"/>
      <c r="E33" s="2"/>
      <c r="F33" s="1195"/>
      <c r="G33" s="1084"/>
      <c r="H33" s="1084"/>
      <c r="I33" s="1084"/>
      <c r="J33" s="1084"/>
      <c r="K33" s="1084"/>
      <c r="L33" s="1084"/>
      <c r="M33" s="190"/>
      <c r="N33" s="1197" t="s">
        <v>200</v>
      </c>
      <c r="O33" s="1198"/>
      <c r="P33" s="1198"/>
      <c r="Q33" s="1199"/>
      <c r="R33" s="1133"/>
      <c r="S33" s="1133"/>
      <c r="T33" s="1133"/>
      <c r="U33" s="1205"/>
      <c r="V33" s="1205"/>
      <c r="W33" s="1205"/>
      <c r="X33" s="1134"/>
      <c r="Y33" s="1156"/>
      <c r="Z33" s="1135"/>
      <c r="AA33" s="1206"/>
      <c r="AB33" s="1206"/>
      <c r="AC33" s="1206"/>
      <c r="AD33" s="1134"/>
      <c r="AE33" s="1156"/>
      <c r="AF33" s="1135"/>
      <c r="AG33" s="1207"/>
      <c r="AH33" s="1207"/>
      <c r="AI33" s="1207"/>
      <c r="AJ33" s="1207"/>
      <c r="AK33" s="1207"/>
      <c r="AL33" s="1207"/>
      <c r="AM33" s="1207"/>
      <c r="AN33" s="1207"/>
    </row>
    <row r="34" spans="1:40" ht="20.100000000000001" customHeight="1" x14ac:dyDescent="0.25">
      <c r="A34" s="18"/>
      <c r="B34" s="18"/>
      <c r="C34" s="18"/>
      <c r="D34" s="7"/>
      <c r="E34" s="2"/>
      <c r="F34" s="1195"/>
      <c r="G34" s="1084"/>
      <c r="H34" s="1084"/>
      <c r="I34" s="1084"/>
      <c r="J34" s="1084"/>
      <c r="K34" s="1084"/>
      <c r="L34" s="1084"/>
      <c r="M34" s="190"/>
      <c r="N34" s="1197" t="s">
        <v>200</v>
      </c>
      <c r="O34" s="1198"/>
      <c r="P34" s="1198"/>
      <c r="Q34" s="1199"/>
      <c r="R34" s="1133"/>
      <c r="S34" s="1133"/>
      <c r="T34" s="1133"/>
      <c r="U34" s="1205"/>
      <c r="V34" s="1205"/>
      <c r="W34" s="1205"/>
      <c r="X34" s="1134"/>
      <c r="Y34" s="1156"/>
      <c r="Z34" s="1135"/>
      <c r="AA34" s="1206"/>
      <c r="AB34" s="1206"/>
      <c r="AC34" s="1206"/>
      <c r="AD34" s="1134"/>
      <c r="AE34" s="1156"/>
      <c r="AF34" s="1135"/>
      <c r="AG34" s="1207"/>
      <c r="AH34" s="1207"/>
      <c r="AI34" s="1207"/>
      <c r="AJ34" s="1207"/>
      <c r="AK34" s="1207"/>
      <c r="AL34" s="1207"/>
      <c r="AM34" s="1207"/>
      <c r="AN34" s="1207"/>
    </row>
    <row r="35" spans="1:40" ht="20.100000000000001" customHeight="1" x14ac:dyDescent="0.25">
      <c r="A35" s="18"/>
      <c r="B35" s="18"/>
      <c r="C35" s="18"/>
      <c r="D35" s="7"/>
      <c r="E35" s="2"/>
      <c r="F35" s="1195"/>
      <c r="G35" s="1084"/>
      <c r="H35" s="1084"/>
      <c r="I35" s="1084"/>
      <c r="J35" s="1084"/>
      <c r="K35" s="1084"/>
      <c r="L35" s="1084"/>
      <c r="M35" s="191" t="s">
        <v>186</v>
      </c>
      <c r="N35" s="1197" t="s">
        <v>200</v>
      </c>
      <c r="O35" s="1198"/>
      <c r="P35" s="1198"/>
      <c r="Q35" s="1199"/>
      <c r="R35" s="1133"/>
      <c r="S35" s="1133"/>
      <c r="T35" s="1133"/>
      <c r="U35" s="1205"/>
      <c r="V35" s="1205"/>
      <c r="W35" s="1205"/>
      <c r="X35" s="1134"/>
      <c r="Y35" s="1156"/>
      <c r="Z35" s="1135"/>
      <c r="AA35" s="1206"/>
      <c r="AB35" s="1206"/>
      <c r="AC35" s="1206"/>
      <c r="AD35" s="1134"/>
      <c r="AE35" s="1156"/>
      <c r="AF35" s="1135"/>
      <c r="AG35" s="1207"/>
      <c r="AH35" s="1207"/>
      <c r="AI35" s="1207"/>
      <c r="AJ35" s="1207"/>
      <c r="AK35" s="1207"/>
      <c r="AL35" s="1207"/>
      <c r="AM35" s="1207"/>
      <c r="AN35" s="1207"/>
    </row>
    <row r="36" spans="1:40" ht="20.100000000000001" customHeight="1" x14ac:dyDescent="0.25">
      <c r="A36" s="18"/>
      <c r="B36" s="18"/>
      <c r="C36" s="18"/>
      <c r="D36" s="7"/>
      <c r="E36" s="2"/>
      <c r="F36" s="1195"/>
      <c r="G36" s="1084"/>
      <c r="H36" s="1084"/>
      <c r="I36" s="1084"/>
      <c r="J36" s="1084"/>
      <c r="K36" s="1084"/>
      <c r="L36" s="1084"/>
      <c r="M36" s="190"/>
      <c r="N36" s="1197" t="s">
        <v>200</v>
      </c>
      <c r="O36" s="1198"/>
      <c r="P36" s="1198"/>
      <c r="Q36" s="1199"/>
      <c r="R36" s="1133"/>
      <c r="S36" s="1133"/>
      <c r="T36" s="1133"/>
      <c r="U36" s="1205"/>
      <c r="V36" s="1205"/>
      <c r="W36" s="1205"/>
      <c r="X36" s="1134"/>
      <c r="Y36" s="1156"/>
      <c r="Z36" s="1135"/>
      <c r="AA36" s="1206"/>
      <c r="AB36" s="1206"/>
      <c r="AC36" s="1206"/>
      <c r="AD36" s="1134"/>
      <c r="AE36" s="1156"/>
      <c r="AF36" s="1135"/>
      <c r="AG36" s="1207"/>
      <c r="AH36" s="1207"/>
      <c r="AI36" s="1207"/>
      <c r="AJ36" s="1207"/>
      <c r="AK36" s="1207"/>
      <c r="AL36" s="1207"/>
      <c r="AM36" s="1207"/>
      <c r="AN36" s="1207"/>
    </row>
    <row r="37" spans="1:40" ht="20.100000000000001" customHeight="1" x14ac:dyDescent="0.25">
      <c r="A37" s="18"/>
      <c r="B37" s="18"/>
      <c r="C37" s="18"/>
      <c r="D37" s="7"/>
      <c r="E37" s="2"/>
      <c r="F37" s="1195"/>
      <c r="G37" s="1084"/>
      <c r="H37" s="1084"/>
      <c r="I37" s="1084"/>
      <c r="J37" s="1084"/>
      <c r="K37" s="1084"/>
      <c r="L37" s="1084"/>
      <c r="M37" s="190"/>
      <c r="N37" s="1197" t="s">
        <v>200</v>
      </c>
      <c r="O37" s="1198"/>
      <c r="P37" s="1198"/>
      <c r="Q37" s="1199"/>
      <c r="R37" s="1133"/>
      <c r="S37" s="1133"/>
      <c r="T37" s="1133"/>
      <c r="U37" s="1205"/>
      <c r="V37" s="1205"/>
      <c r="W37" s="1205"/>
      <c r="X37" s="1134"/>
      <c r="Y37" s="1156"/>
      <c r="Z37" s="1135"/>
      <c r="AA37" s="1206"/>
      <c r="AB37" s="1206"/>
      <c r="AC37" s="1206"/>
      <c r="AD37" s="1134"/>
      <c r="AE37" s="1156"/>
      <c r="AF37" s="1135"/>
      <c r="AG37" s="1207"/>
      <c r="AH37" s="1207"/>
      <c r="AI37" s="1207"/>
      <c r="AJ37" s="1207"/>
      <c r="AK37" s="1207"/>
      <c r="AL37" s="1207"/>
      <c r="AM37" s="1207"/>
      <c r="AN37" s="1207"/>
    </row>
    <row r="38" spans="1:40" ht="20.100000000000001" customHeight="1" x14ac:dyDescent="0.25">
      <c r="A38" s="18"/>
      <c r="B38" s="18"/>
      <c r="C38" s="18"/>
      <c r="D38" s="7"/>
      <c r="E38" s="2"/>
      <c r="F38" s="1195"/>
      <c r="G38" s="1084"/>
      <c r="H38" s="1084"/>
      <c r="I38" s="1084"/>
      <c r="J38" s="1084"/>
      <c r="K38" s="1084"/>
      <c r="L38" s="1084"/>
      <c r="M38" s="190"/>
      <c r="N38" s="1197" t="s">
        <v>200</v>
      </c>
      <c r="O38" s="1198"/>
      <c r="P38" s="1198"/>
      <c r="Q38" s="1199"/>
      <c r="R38" s="1133"/>
      <c r="S38" s="1133"/>
      <c r="T38" s="1133"/>
      <c r="U38" s="1205"/>
      <c r="V38" s="1205"/>
      <c r="W38" s="1205"/>
      <c r="X38" s="1134"/>
      <c r="Y38" s="1156"/>
      <c r="Z38" s="1135"/>
      <c r="AA38" s="1206"/>
      <c r="AB38" s="1206"/>
      <c r="AC38" s="1206"/>
      <c r="AD38" s="1134"/>
      <c r="AE38" s="1156"/>
      <c r="AF38" s="1135"/>
      <c r="AG38" s="1207"/>
      <c r="AH38" s="1207"/>
      <c r="AI38" s="1207"/>
      <c r="AJ38" s="1207"/>
      <c r="AK38" s="1207"/>
      <c r="AL38" s="1207"/>
      <c r="AM38" s="1207"/>
      <c r="AN38" s="1207"/>
    </row>
    <row r="39" spans="1:40" ht="20.100000000000001" customHeight="1" x14ac:dyDescent="0.25">
      <c r="A39" s="18"/>
      <c r="B39" s="18"/>
      <c r="C39" s="18"/>
      <c r="D39" s="7"/>
      <c r="E39" s="2"/>
      <c r="F39" s="1195"/>
      <c r="G39" s="1084"/>
      <c r="H39" s="1084"/>
      <c r="I39" s="1084"/>
      <c r="J39" s="1084"/>
      <c r="K39" s="1084"/>
      <c r="L39" s="1084"/>
      <c r="M39" s="190"/>
      <c r="N39" s="1197" t="s">
        <v>200</v>
      </c>
      <c r="O39" s="1198"/>
      <c r="P39" s="1198"/>
      <c r="Q39" s="1199"/>
      <c r="R39" s="1133"/>
      <c r="S39" s="1133"/>
      <c r="T39" s="1133"/>
      <c r="U39" s="1205"/>
      <c r="V39" s="1205"/>
      <c r="W39" s="1205"/>
      <c r="X39" s="1134"/>
      <c r="Y39" s="1156"/>
      <c r="Z39" s="1135"/>
      <c r="AA39" s="1206"/>
      <c r="AB39" s="1206"/>
      <c r="AC39" s="1206"/>
      <c r="AD39" s="1134"/>
      <c r="AE39" s="1156"/>
      <c r="AF39" s="1135"/>
      <c r="AG39" s="1207"/>
      <c r="AH39" s="1207"/>
      <c r="AI39" s="1207"/>
      <c r="AJ39" s="1207"/>
      <c r="AK39" s="1207"/>
      <c r="AL39" s="1207"/>
      <c r="AM39" s="1207"/>
      <c r="AN39" s="1207"/>
    </row>
    <row r="40" spans="1:40" ht="20.100000000000001" customHeight="1" x14ac:dyDescent="0.25">
      <c r="A40" s="18"/>
      <c r="B40" s="18"/>
      <c r="C40" s="18"/>
      <c r="D40" s="7"/>
      <c r="E40" s="2"/>
      <c r="F40" s="1196"/>
      <c r="G40" s="1121"/>
      <c r="H40" s="1121"/>
      <c r="I40" s="1121"/>
      <c r="J40" s="1121"/>
      <c r="K40" s="1121"/>
      <c r="L40" s="1121"/>
      <c r="M40" s="192"/>
      <c r="N40" s="1197" t="s">
        <v>200</v>
      </c>
      <c r="O40" s="1198"/>
      <c r="P40" s="1198"/>
      <c r="Q40" s="1199"/>
      <c r="R40" s="1133"/>
      <c r="S40" s="1133"/>
      <c r="T40" s="1133"/>
      <c r="U40" s="1205"/>
      <c r="V40" s="1205"/>
      <c r="W40" s="1205"/>
      <c r="X40" s="1134"/>
      <c r="Y40" s="1156"/>
      <c r="Z40" s="1135"/>
      <c r="AA40" s="1206"/>
      <c r="AB40" s="1206"/>
      <c r="AC40" s="1206"/>
      <c r="AD40" s="1134"/>
      <c r="AE40" s="1156"/>
      <c r="AF40" s="1135"/>
      <c r="AG40" s="1207"/>
      <c r="AH40" s="1207"/>
      <c r="AI40" s="1207"/>
      <c r="AJ40" s="1207"/>
      <c r="AK40" s="1207"/>
      <c r="AL40" s="1207"/>
      <c r="AM40" s="1207"/>
      <c r="AN40" s="1207"/>
    </row>
    <row r="41" spans="1:40" ht="20.100000000000001" customHeight="1" x14ac:dyDescent="0.25">
      <c r="A41" s="18"/>
      <c r="B41" s="18"/>
      <c r="C41" s="18"/>
      <c r="D41" s="7"/>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20.100000000000001" customHeight="1" x14ac:dyDescent="0.25">
      <c r="A42" s="18"/>
      <c r="B42" s="18"/>
      <c r="C42" s="18"/>
      <c r="D42" s="7"/>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39.950000000000003" customHeight="1" x14ac:dyDescent="0.25">
      <c r="A43" s="18"/>
      <c r="B43" s="18"/>
      <c r="C43" s="18"/>
      <c r="D43" s="7"/>
      <c r="E43" s="2"/>
      <c r="F43" s="2"/>
      <c r="G43" s="2"/>
      <c r="H43" s="2"/>
      <c r="I43" s="2"/>
      <c r="J43" s="2"/>
      <c r="K43" s="2"/>
      <c r="L43" s="2"/>
      <c r="M43" s="2"/>
      <c r="N43" s="1211" t="s">
        <v>321</v>
      </c>
      <c r="O43" s="1211"/>
      <c r="P43" s="1211"/>
      <c r="Q43" s="1211"/>
      <c r="R43" s="1204" t="s">
        <v>265</v>
      </c>
      <c r="S43" s="1204"/>
      <c r="T43" s="1204"/>
      <c r="U43" s="1120" t="s">
        <v>7997</v>
      </c>
      <c r="V43" s="1121"/>
      <c r="W43" s="1121"/>
      <c r="X43" s="1121"/>
      <c r="Y43" s="20"/>
      <c r="Z43" s="20"/>
      <c r="AA43" s="20"/>
      <c r="AB43" s="20"/>
      <c r="AC43" s="20"/>
      <c r="AD43" s="20"/>
      <c r="AE43" s="20"/>
      <c r="AF43" s="20"/>
      <c r="AG43" s="20"/>
      <c r="AH43" s="20"/>
      <c r="AI43" s="20"/>
      <c r="AJ43" s="20"/>
      <c r="AK43" s="2"/>
      <c r="AL43" s="2"/>
      <c r="AM43" s="2"/>
      <c r="AN43" s="2"/>
    </row>
    <row r="44" spans="1:40" ht="26.1" customHeight="1" x14ac:dyDescent="0.25">
      <c r="A44" s="18"/>
      <c r="B44" s="18"/>
      <c r="C44" s="18"/>
      <c r="D44" s="7"/>
      <c r="E44" s="2"/>
      <c r="F44" s="2"/>
      <c r="G44" s="2"/>
      <c r="H44" s="2"/>
      <c r="I44" s="2"/>
      <c r="J44" s="2"/>
      <c r="K44" s="2"/>
      <c r="L44" s="2"/>
      <c r="M44" s="2"/>
      <c r="N44" s="1197" t="s">
        <v>200</v>
      </c>
      <c r="O44" s="1198"/>
      <c r="P44" s="1198"/>
      <c r="Q44" s="1199"/>
      <c r="R44" s="1192" t="str">
        <f ca="1">Calculos!$BD$3</f>
        <v/>
      </c>
      <c r="S44" s="1192"/>
      <c r="T44" s="1192"/>
      <c r="U44" s="120"/>
      <c r="V44" s="121"/>
      <c r="W44" s="121"/>
      <c r="X44" s="122"/>
      <c r="Y44" s="20"/>
      <c r="Z44" s="20"/>
      <c r="AA44" s="20"/>
      <c r="AB44" s="20"/>
      <c r="AC44" s="20"/>
      <c r="AD44" s="20"/>
      <c r="AE44" s="20"/>
      <c r="AF44" s="20"/>
      <c r="AG44" s="20"/>
      <c r="AH44" s="20"/>
      <c r="AI44" s="20"/>
      <c r="AJ44" s="20"/>
      <c r="AK44" s="2"/>
      <c r="AL44" s="2"/>
      <c r="AM44" s="2"/>
      <c r="AN44" s="2"/>
    </row>
    <row r="45" spans="1:40" ht="26.1" customHeight="1" x14ac:dyDescent="0.25">
      <c r="A45" s="18"/>
      <c r="B45" s="18"/>
      <c r="C45" s="18"/>
      <c r="D45" s="7"/>
      <c r="E45" s="2"/>
      <c r="F45" s="2"/>
      <c r="G45" s="2"/>
      <c r="H45" s="2"/>
      <c r="I45" s="2"/>
      <c r="J45" s="2"/>
      <c r="K45" s="2"/>
      <c r="L45" s="2"/>
      <c r="M45" s="2"/>
      <c r="N45" s="1197" t="s">
        <v>200</v>
      </c>
      <c r="O45" s="1198"/>
      <c r="P45" s="1198"/>
      <c r="Q45" s="1199"/>
      <c r="R45" s="1192" t="str">
        <f ca="1">Calculos!$BD$4</f>
        <v/>
      </c>
      <c r="S45" s="1192"/>
      <c r="T45" s="1192"/>
      <c r="U45" s="120"/>
      <c r="V45" s="121"/>
      <c r="W45" s="121"/>
      <c r="X45" s="122"/>
      <c r="Y45" s="20"/>
      <c r="Z45" s="20"/>
      <c r="AA45" s="20"/>
      <c r="AB45" s="20"/>
      <c r="AC45" s="20"/>
      <c r="AD45" s="20"/>
      <c r="AE45" s="20"/>
      <c r="AF45" s="20"/>
      <c r="AG45" s="20"/>
      <c r="AH45" s="20"/>
      <c r="AI45" s="20"/>
      <c r="AJ45" s="20"/>
      <c r="AK45" s="2"/>
      <c r="AL45" s="2"/>
      <c r="AM45" s="2"/>
      <c r="AN45" s="2"/>
    </row>
    <row r="46" spans="1:40" ht="26.1" customHeight="1" x14ac:dyDescent="0.25">
      <c r="A46" s="18"/>
      <c r="B46" s="18"/>
      <c r="C46" s="18"/>
      <c r="D46" s="7"/>
      <c r="E46" s="2"/>
      <c r="F46" s="2"/>
      <c r="G46" s="2"/>
      <c r="H46" s="2"/>
      <c r="I46" s="2"/>
      <c r="J46" s="2"/>
      <c r="K46" s="2"/>
      <c r="L46" s="2"/>
      <c r="M46" s="2"/>
      <c r="N46" s="1197" t="s">
        <v>200</v>
      </c>
      <c r="O46" s="1198"/>
      <c r="P46" s="1198"/>
      <c r="Q46" s="1199"/>
      <c r="R46" s="1192" t="str">
        <f ca="1">Calculos!$BD$5</f>
        <v/>
      </c>
      <c r="S46" s="1192"/>
      <c r="T46" s="1192"/>
      <c r="U46" s="120"/>
      <c r="V46" s="121"/>
      <c r="W46" s="121"/>
      <c r="X46" s="122"/>
      <c r="Y46" s="20"/>
      <c r="Z46" s="20"/>
      <c r="AA46" s="20"/>
      <c r="AB46" s="20"/>
      <c r="AC46" s="20"/>
      <c r="AD46" s="20"/>
      <c r="AE46" s="20"/>
      <c r="AF46" s="20"/>
      <c r="AG46" s="20"/>
      <c r="AH46" s="20"/>
      <c r="AI46" s="20"/>
      <c r="AJ46" s="20"/>
      <c r="AK46" s="2"/>
      <c r="AL46" s="2"/>
      <c r="AM46" s="2"/>
      <c r="AN46" s="2"/>
    </row>
    <row r="47" spans="1:40" ht="26.1" customHeight="1" x14ac:dyDescent="0.25">
      <c r="A47" s="18"/>
      <c r="B47" s="18"/>
      <c r="C47" s="18"/>
      <c r="D47" s="7"/>
      <c r="E47" s="2"/>
      <c r="F47" s="2"/>
      <c r="G47" s="2"/>
      <c r="H47" s="2"/>
      <c r="I47" s="2"/>
      <c r="J47" s="2"/>
      <c r="K47" s="2"/>
      <c r="L47" s="2"/>
      <c r="M47" s="2"/>
      <c r="N47" s="1197" t="s">
        <v>200</v>
      </c>
      <c r="O47" s="1198"/>
      <c r="P47" s="1198"/>
      <c r="Q47" s="1199"/>
      <c r="R47" s="1192" t="str">
        <f ca="1">Calculos!$BD$6</f>
        <v/>
      </c>
      <c r="S47" s="1192"/>
      <c r="T47" s="1192"/>
      <c r="U47" s="120"/>
      <c r="V47" s="121"/>
      <c r="W47" s="121"/>
      <c r="X47" s="122"/>
      <c r="Y47" s="20"/>
      <c r="Z47" s="20"/>
      <c r="AA47" s="20"/>
      <c r="AB47" s="20"/>
      <c r="AC47" s="20"/>
      <c r="AD47" s="20"/>
      <c r="AE47" s="20"/>
      <c r="AF47" s="20"/>
      <c r="AG47" s="20"/>
      <c r="AH47" s="20"/>
      <c r="AI47" s="20"/>
      <c r="AJ47" s="20"/>
      <c r="AK47" s="2"/>
      <c r="AL47" s="2"/>
      <c r="AM47" s="2"/>
      <c r="AN47" s="2"/>
    </row>
    <row r="48" spans="1:40" ht="26.1" customHeight="1" x14ac:dyDescent="0.25">
      <c r="A48" s="18"/>
      <c r="B48" s="18"/>
      <c r="C48" s="18"/>
      <c r="D48" s="7"/>
      <c r="E48" s="2"/>
      <c r="F48" s="2"/>
      <c r="G48" s="2"/>
      <c r="H48" s="2"/>
      <c r="I48" s="2"/>
      <c r="J48" s="2"/>
      <c r="K48" s="2"/>
      <c r="L48" s="2"/>
      <c r="M48" s="2"/>
      <c r="N48" s="1197" t="s">
        <v>200</v>
      </c>
      <c r="O48" s="1198"/>
      <c r="P48" s="1198"/>
      <c r="Q48" s="1199"/>
      <c r="R48" s="1192" t="str">
        <f ca="1">Calculos!$BD$7</f>
        <v/>
      </c>
      <c r="S48" s="1192"/>
      <c r="T48" s="1192"/>
      <c r="U48" s="120"/>
      <c r="V48" s="121"/>
      <c r="W48" s="121"/>
      <c r="X48" s="122"/>
      <c r="Y48" s="20"/>
      <c r="Z48" s="20"/>
      <c r="AA48" s="20"/>
      <c r="AB48" s="20"/>
      <c r="AC48" s="20"/>
      <c r="AD48" s="20"/>
      <c r="AE48" s="20"/>
      <c r="AF48" s="20"/>
      <c r="AG48" s="20"/>
      <c r="AH48" s="20"/>
      <c r="AI48" s="20"/>
      <c r="AJ48" s="20"/>
      <c r="AK48" s="2"/>
      <c r="AL48" s="2"/>
      <c r="AM48" s="2"/>
      <c r="AN48" s="2"/>
    </row>
    <row r="49" spans="1:41" ht="26.1" customHeight="1" x14ac:dyDescent="0.25">
      <c r="A49" s="18"/>
      <c r="B49" s="18"/>
      <c r="C49" s="18"/>
      <c r="D49" s="7"/>
      <c r="E49" s="2"/>
      <c r="F49" s="2"/>
      <c r="G49" s="2"/>
      <c r="H49" s="2"/>
      <c r="I49" s="2"/>
      <c r="J49" s="2"/>
      <c r="K49" s="2"/>
      <c r="L49" s="2"/>
      <c r="M49" s="2"/>
      <c r="N49" s="1197" t="s">
        <v>200</v>
      </c>
      <c r="O49" s="1198"/>
      <c r="P49" s="1198"/>
      <c r="Q49" s="1199"/>
      <c r="R49" s="1192" t="str">
        <f ca="1">Calculos!$BD$8</f>
        <v/>
      </c>
      <c r="S49" s="1192"/>
      <c r="T49" s="1192"/>
      <c r="U49" s="120"/>
      <c r="V49" s="121"/>
      <c r="W49" s="121"/>
      <c r="X49" s="122"/>
      <c r="Y49" s="20"/>
      <c r="Z49" s="20"/>
      <c r="AA49" s="20"/>
      <c r="AB49" s="20"/>
      <c r="AC49" s="20"/>
      <c r="AD49" s="20"/>
      <c r="AE49" s="20"/>
      <c r="AF49" s="20"/>
      <c r="AG49" s="20"/>
      <c r="AH49" s="20"/>
      <c r="AI49" s="20"/>
      <c r="AJ49" s="20"/>
      <c r="AK49" s="2"/>
      <c r="AL49" s="2"/>
      <c r="AM49" s="2"/>
      <c r="AN49" s="2"/>
    </row>
    <row r="50" spans="1:41" ht="26.1" customHeight="1" x14ac:dyDescent="0.25">
      <c r="A50" s="18"/>
      <c r="B50" s="18"/>
      <c r="C50" s="18"/>
      <c r="D50" s="7"/>
      <c r="E50" s="2"/>
      <c r="F50" s="2"/>
      <c r="G50" s="2"/>
      <c r="H50" s="2"/>
      <c r="I50" s="2"/>
      <c r="J50" s="2"/>
      <c r="K50" s="2"/>
      <c r="L50" s="2"/>
      <c r="M50" s="2"/>
      <c r="N50" s="1197" t="s">
        <v>200</v>
      </c>
      <c r="O50" s="1198"/>
      <c r="P50" s="1198"/>
      <c r="Q50" s="1199"/>
      <c r="R50" s="1192" t="str">
        <f ca="1">Calculos!$BD$9</f>
        <v/>
      </c>
      <c r="S50" s="1192"/>
      <c r="T50" s="1192"/>
      <c r="U50" s="120"/>
      <c r="V50" s="121"/>
      <c r="W50" s="121"/>
      <c r="X50" s="122"/>
      <c r="Y50" s="20"/>
      <c r="Z50" s="20"/>
      <c r="AA50" s="20"/>
      <c r="AB50" s="20"/>
      <c r="AC50" s="20"/>
      <c r="AD50" s="20"/>
      <c r="AE50" s="20"/>
      <c r="AF50" s="20"/>
      <c r="AG50" s="20"/>
      <c r="AH50" s="20"/>
      <c r="AI50" s="20"/>
      <c r="AJ50" s="20"/>
      <c r="AK50" s="2"/>
      <c r="AL50" s="2"/>
      <c r="AM50" s="2"/>
      <c r="AN50" s="2"/>
    </row>
    <row r="51" spans="1:41" ht="26.1" customHeight="1" x14ac:dyDescent="0.25">
      <c r="A51" s="18"/>
      <c r="B51" s="18"/>
      <c r="C51" s="18"/>
      <c r="D51" s="7"/>
      <c r="E51" s="2"/>
      <c r="F51" s="2"/>
      <c r="G51" s="2"/>
      <c r="H51" s="2"/>
      <c r="I51" s="2"/>
      <c r="J51" s="2"/>
      <c r="K51" s="2"/>
      <c r="L51" s="2"/>
      <c r="M51" s="2"/>
      <c r="N51" s="1197" t="s">
        <v>200</v>
      </c>
      <c r="O51" s="1198"/>
      <c r="P51" s="1198"/>
      <c r="Q51" s="1199"/>
      <c r="R51" s="1192" t="str">
        <f ca="1">Calculos!$BD$10</f>
        <v/>
      </c>
      <c r="S51" s="1192"/>
      <c r="T51" s="1192"/>
      <c r="U51" s="120"/>
      <c r="V51" s="121"/>
      <c r="W51" s="121"/>
      <c r="X51" s="122"/>
      <c r="Y51" s="20"/>
      <c r="Z51" s="20"/>
      <c r="AA51" s="20"/>
      <c r="AB51" s="20"/>
      <c r="AC51" s="20"/>
      <c r="AD51" s="20"/>
      <c r="AE51" s="20"/>
      <c r="AF51" s="20"/>
      <c r="AG51" s="20"/>
      <c r="AH51" s="20"/>
      <c r="AI51" s="20"/>
      <c r="AJ51" s="20"/>
      <c r="AK51" s="2"/>
      <c r="AL51" s="2"/>
      <c r="AM51" s="2"/>
      <c r="AN51" s="2"/>
    </row>
    <row r="52" spans="1:41" ht="26.1" customHeight="1" x14ac:dyDescent="0.25">
      <c r="A52" s="18"/>
      <c r="B52" s="18"/>
      <c r="C52" s="18"/>
      <c r="D52" s="7"/>
      <c r="E52" s="2"/>
      <c r="F52" s="2"/>
      <c r="G52" s="2"/>
      <c r="H52" s="2"/>
      <c r="I52" s="2"/>
      <c r="J52" s="2"/>
      <c r="K52" s="2"/>
      <c r="L52" s="2"/>
      <c r="M52" s="2"/>
      <c r="N52" s="1197" t="s">
        <v>200</v>
      </c>
      <c r="O52" s="1198"/>
      <c r="P52" s="1198"/>
      <c r="Q52" s="1199"/>
      <c r="R52" s="1192" t="str">
        <f ca="1">Calculos!$BD$11</f>
        <v/>
      </c>
      <c r="S52" s="1192"/>
      <c r="T52" s="1192"/>
      <c r="U52" s="120"/>
      <c r="V52" s="121"/>
      <c r="W52" s="121"/>
      <c r="X52" s="122"/>
      <c r="Y52" s="20"/>
      <c r="Z52" s="20"/>
      <c r="AA52" s="20"/>
      <c r="AB52" s="20"/>
      <c r="AC52" s="20"/>
      <c r="AD52" s="20"/>
      <c r="AE52" s="20"/>
      <c r="AF52" s="20"/>
      <c r="AG52" s="20"/>
      <c r="AH52" s="20"/>
      <c r="AI52" s="20"/>
      <c r="AJ52" s="20"/>
      <c r="AK52" s="2"/>
      <c r="AL52" s="2"/>
      <c r="AM52" s="2"/>
      <c r="AN52" s="2"/>
    </row>
    <row r="53" spans="1:41" ht="26.1" customHeight="1" x14ac:dyDescent="0.25">
      <c r="A53" s="18"/>
      <c r="B53" s="18"/>
      <c r="C53" s="18"/>
      <c r="D53" s="7"/>
      <c r="E53" s="2"/>
      <c r="F53" s="2"/>
      <c r="G53" s="2"/>
      <c r="H53" s="2"/>
      <c r="I53" s="2"/>
      <c r="J53" s="2"/>
      <c r="K53" s="2"/>
      <c r="L53" s="2"/>
      <c r="M53" s="2"/>
      <c r="N53" s="1197" t="s">
        <v>200</v>
      </c>
      <c r="O53" s="1198"/>
      <c r="P53" s="1198"/>
      <c r="Q53" s="1199"/>
      <c r="R53" s="1192" t="str">
        <f ca="1">Calculos!$BD$12</f>
        <v/>
      </c>
      <c r="S53" s="1192"/>
      <c r="T53" s="1192"/>
      <c r="U53" s="120"/>
      <c r="V53" s="121"/>
      <c r="W53" s="121"/>
      <c r="X53" s="122"/>
      <c r="Y53" s="20"/>
      <c r="Z53" s="20"/>
      <c r="AA53" s="20"/>
      <c r="AB53" s="20"/>
      <c r="AC53" s="20"/>
      <c r="AD53" s="20"/>
      <c r="AE53" s="20"/>
      <c r="AF53" s="20"/>
      <c r="AG53" s="20"/>
      <c r="AH53" s="20"/>
      <c r="AI53" s="20"/>
      <c r="AJ53" s="20"/>
      <c r="AK53" s="2"/>
      <c r="AL53" s="2"/>
      <c r="AM53" s="2"/>
      <c r="AN53" s="2"/>
    </row>
    <row r="54" spans="1:41" ht="20.100000000000001" hidden="1" customHeight="1" x14ac:dyDescent="0.25">
      <c r="A54" s="18"/>
      <c r="B54" s="18"/>
      <c r="C54" s="18"/>
      <c r="D54" s="7"/>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row>
    <row r="55" spans="1:41" ht="30" hidden="1" customHeight="1" x14ac:dyDescent="0.25">
      <c r="A55" s="18"/>
      <c r="B55" s="18"/>
      <c r="C55" s="18"/>
      <c r="D55" s="7"/>
      <c r="E55" s="2"/>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row>
    <row r="56" spans="1:41" ht="20.100000000000001" customHeight="1" x14ac:dyDescent="0.25">
      <c r="A56" s="18"/>
      <c r="B56" s="18"/>
      <c r="C56" s="18"/>
      <c r="D56" s="7"/>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1" ht="20.100000000000001" customHeight="1" x14ac:dyDescent="0.25">
      <c r="A57" s="18"/>
      <c r="B57" s="18"/>
      <c r="C57" s="18"/>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row>
    <row r="58" spans="1:41" ht="20.100000000000001" customHeight="1" x14ac:dyDescent="0.25">
      <c r="A58" s="18"/>
      <c r="B58" s="18"/>
      <c r="C58" s="18"/>
      <c r="D58" s="7"/>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1" ht="99.95" customHeight="1" x14ac:dyDescent="0.25">
      <c r="A59" s="18"/>
      <c r="B59" s="18"/>
      <c r="C59" s="18"/>
      <c r="D59" s="7"/>
      <c r="E59" s="2"/>
      <c r="F59" s="1049" t="s">
        <v>7998</v>
      </c>
      <c r="G59" s="1050"/>
      <c r="H59" s="1050"/>
      <c r="I59" s="1050"/>
      <c r="J59" s="1050"/>
      <c r="K59" s="1050"/>
      <c r="L59" s="1050"/>
      <c r="M59" s="1051"/>
      <c r="N59" s="1032"/>
      <c r="O59" s="1033"/>
      <c r="P59" s="1033"/>
      <c r="Q59" s="1033"/>
      <c r="R59" s="1033"/>
      <c r="S59" s="1033"/>
      <c r="T59" s="1033"/>
      <c r="U59" s="1033"/>
      <c r="V59" s="1033"/>
      <c r="W59" s="1033"/>
      <c r="X59" s="1033"/>
      <c r="Y59" s="1033"/>
      <c r="Z59" s="1033"/>
      <c r="AA59" s="1033"/>
      <c r="AB59" s="1033"/>
      <c r="AC59" s="1033"/>
      <c r="AD59" s="1033"/>
      <c r="AE59" s="1033"/>
      <c r="AF59" s="1033"/>
      <c r="AG59" s="1033"/>
      <c r="AH59" s="1033"/>
      <c r="AI59" s="1033"/>
      <c r="AJ59" s="1033"/>
      <c r="AK59" s="1033"/>
      <c r="AL59" s="1033"/>
      <c r="AM59" s="1034"/>
      <c r="AN59" s="1184" t="s">
        <v>8014</v>
      </c>
      <c r="AO59" s="1185"/>
    </row>
    <row r="60" spans="1:41" ht="50.1" customHeight="1" x14ac:dyDescent="0.25">
      <c r="A60" s="18"/>
      <c r="B60" s="18"/>
      <c r="C60" s="18"/>
      <c r="D60" s="7"/>
      <c r="E60" s="2"/>
      <c r="F60" s="1008" t="s">
        <v>143</v>
      </c>
      <c r="G60" s="1009"/>
      <c r="H60" s="1009"/>
      <c r="I60" s="1009"/>
      <c r="J60" s="1009"/>
      <c r="K60" s="1009"/>
      <c r="L60" s="1009"/>
      <c r="M60" s="1010"/>
      <c r="N60" s="1032"/>
      <c r="O60" s="1033"/>
      <c r="P60" s="1033"/>
      <c r="Q60" s="1033"/>
      <c r="R60" s="1033"/>
      <c r="S60" s="1033"/>
      <c r="T60" s="1033"/>
      <c r="U60" s="1033"/>
      <c r="V60" s="1033"/>
      <c r="W60" s="1033"/>
      <c r="X60" s="1033"/>
      <c r="Y60" s="1033"/>
      <c r="Z60" s="1033"/>
      <c r="AA60" s="1033"/>
      <c r="AB60" s="1033"/>
      <c r="AC60" s="1033"/>
      <c r="AD60" s="1033"/>
      <c r="AE60" s="1033"/>
      <c r="AF60" s="1033"/>
      <c r="AG60" s="1033"/>
      <c r="AH60" s="1033"/>
      <c r="AI60" s="1033"/>
      <c r="AJ60" s="1033"/>
      <c r="AK60" s="1033"/>
      <c r="AL60" s="1033"/>
      <c r="AM60" s="1034"/>
      <c r="AN60" s="1184" t="s">
        <v>8014</v>
      </c>
      <c r="AO60" s="1185"/>
    </row>
    <row r="61" spans="1:41" ht="20.100000000000001" customHeight="1" x14ac:dyDescent="0.25">
      <c r="A61" s="18"/>
      <c r="B61" s="18"/>
      <c r="C61" s="18"/>
      <c r="D61" s="7"/>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1" ht="20.100000000000001" customHeight="1" x14ac:dyDescent="0.25">
      <c r="A62" s="18"/>
      <c r="B62" s="18"/>
      <c r="C62" s="18"/>
      <c r="D62" s="7"/>
      <c r="E62" s="2"/>
      <c r="F62" s="1067" t="s">
        <v>394</v>
      </c>
      <c r="G62" s="1068"/>
      <c r="H62" s="1068"/>
      <c r="I62" s="1068"/>
      <c r="J62" s="1068"/>
      <c r="K62" s="1068"/>
      <c r="L62" s="1069"/>
      <c r="M62" s="1076" t="s">
        <v>186</v>
      </c>
      <c r="N62" s="135"/>
      <c r="O62" s="136"/>
      <c r="P62" s="136"/>
      <c r="Q62" s="136"/>
      <c r="R62" s="137"/>
      <c r="S62" s="1079" t="s">
        <v>293</v>
      </c>
      <c r="T62" s="1064"/>
      <c r="U62" s="1064"/>
      <c r="V62" s="1064"/>
      <c r="W62" s="1064"/>
      <c r="X62" s="1064"/>
      <c r="Y62" s="1064"/>
      <c r="Z62" s="1064" t="s">
        <v>301</v>
      </c>
      <c r="AA62" s="1064"/>
      <c r="AB62" s="1064"/>
      <c r="AC62" s="1064"/>
      <c r="AD62" s="1064"/>
      <c r="AE62" s="1064"/>
      <c r="AF62" s="1064"/>
      <c r="AG62" s="1064"/>
      <c r="AH62" s="1064"/>
      <c r="AI62" s="1064" t="s">
        <v>302</v>
      </c>
      <c r="AJ62" s="1064"/>
      <c r="AK62" s="1064"/>
      <c r="AL62" s="1064"/>
      <c r="AM62" s="1065"/>
      <c r="AN62" s="2"/>
    </row>
    <row r="63" spans="1:41" ht="20.100000000000001" customHeight="1" x14ac:dyDescent="0.25">
      <c r="A63" s="18"/>
      <c r="B63" s="18"/>
      <c r="C63" s="18"/>
      <c r="D63" s="7"/>
      <c r="E63" s="2"/>
      <c r="F63" s="1070"/>
      <c r="G63" s="1071"/>
      <c r="H63" s="1071"/>
      <c r="I63" s="1071"/>
      <c r="J63" s="1071"/>
      <c r="K63" s="1071"/>
      <c r="L63" s="1072"/>
      <c r="M63" s="1077"/>
      <c r="N63" s="138"/>
      <c r="O63" s="1045" t="s">
        <v>219</v>
      </c>
      <c r="P63" s="1045"/>
      <c r="Q63" s="1045"/>
      <c r="R63" s="1046"/>
      <c r="S63" s="1042"/>
      <c r="T63" s="1043"/>
      <c r="U63" s="1043"/>
      <c r="V63" s="1043"/>
      <c r="W63" s="1043"/>
      <c r="X63" s="1043"/>
      <c r="Y63" s="1043"/>
      <c r="Z63" s="1044"/>
      <c r="AA63" s="1044"/>
      <c r="AB63" s="1044"/>
      <c r="AC63" s="1044"/>
      <c r="AD63" s="1044"/>
      <c r="AE63" s="1044"/>
      <c r="AF63" s="1044"/>
      <c r="AG63" s="1044"/>
      <c r="AH63" s="1044"/>
      <c r="AI63" s="1066"/>
      <c r="AJ63" s="1066"/>
      <c r="AK63" s="1066"/>
      <c r="AL63" s="1066"/>
      <c r="AM63" s="1066"/>
      <c r="AN63" s="2"/>
    </row>
    <row r="64" spans="1:41" ht="20.100000000000001" customHeight="1" x14ac:dyDescent="0.25">
      <c r="A64" s="18"/>
      <c r="B64" s="18"/>
      <c r="C64" s="18"/>
      <c r="D64" s="7"/>
      <c r="E64" s="2"/>
      <c r="F64" s="1070"/>
      <c r="G64" s="1071"/>
      <c r="H64" s="1071"/>
      <c r="I64" s="1071"/>
      <c r="J64" s="1071"/>
      <c r="K64" s="1071"/>
      <c r="L64" s="1072"/>
      <c r="M64" s="1077"/>
      <c r="O64" s="138"/>
      <c r="P64" s="138"/>
      <c r="Q64" s="138"/>
      <c r="R64" s="139"/>
      <c r="S64" s="1042"/>
      <c r="T64" s="1043"/>
      <c r="U64" s="1043"/>
      <c r="V64" s="1043"/>
      <c r="W64" s="1043"/>
      <c r="X64" s="1043"/>
      <c r="Y64" s="1043"/>
      <c r="Z64" s="1044"/>
      <c r="AA64" s="1044"/>
      <c r="AB64" s="1044"/>
      <c r="AC64" s="1044"/>
      <c r="AD64" s="1044"/>
      <c r="AE64" s="1044"/>
      <c r="AF64" s="1044"/>
      <c r="AG64" s="1044"/>
      <c r="AH64" s="1044"/>
      <c r="AI64" s="1066"/>
      <c r="AJ64" s="1066"/>
      <c r="AK64" s="1066"/>
      <c r="AL64" s="1066"/>
      <c r="AM64" s="1066"/>
      <c r="AN64" s="2"/>
    </row>
    <row r="65" spans="1:41" ht="20.100000000000001" customHeight="1" x14ac:dyDescent="0.25">
      <c r="A65" s="18"/>
      <c r="B65" s="18"/>
      <c r="C65" s="18"/>
      <c r="D65" s="7"/>
      <c r="E65" s="2"/>
      <c r="F65" s="1070"/>
      <c r="G65" s="1071"/>
      <c r="H65" s="1071"/>
      <c r="I65" s="1071"/>
      <c r="J65" s="1071"/>
      <c r="K65" s="1071"/>
      <c r="L65" s="1072"/>
      <c r="M65" s="1077"/>
      <c r="N65" s="138"/>
      <c r="O65" s="1047" t="s">
        <v>280</v>
      </c>
      <c r="P65" s="1047"/>
      <c r="Q65" s="1047"/>
      <c r="R65" s="1048"/>
      <c r="S65" s="1042"/>
      <c r="T65" s="1043"/>
      <c r="U65" s="1043"/>
      <c r="V65" s="1043"/>
      <c r="W65" s="1043"/>
      <c r="X65" s="1043"/>
      <c r="Y65" s="1043"/>
      <c r="Z65" s="1044"/>
      <c r="AA65" s="1044"/>
      <c r="AB65" s="1044"/>
      <c r="AC65" s="1044"/>
      <c r="AD65" s="1044"/>
      <c r="AE65" s="1044"/>
      <c r="AF65" s="1044"/>
      <c r="AG65" s="1044"/>
      <c r="AH65" s="1044"/>
      <c r="AI65" s="1066"/>
      <c r="AJ65" s="1066"/>
      <c r="AK65" s="1066"/>
      <c r="AL65" s="1066"/>
      <c r="AM65" s="1066"/>
      <c r="AN65" s="2"/>
    </row>
    <row r="66" spans="1:41" ht="20.100000000000001" customHeight="1" x14ac:dyDescent="0.25">
      <c r="A66" s="18"/>
      <c r="B66" s="18"/>
      <c r="C66" s="18"/>
      <c r="D66" s="7"/>
      <c r="E66" s="2"/>
      <c r="F66" s="1073"/>
      <c r="G66" s="1074"/>
      <c r="H66" s="1074"/>
      <c r="I66" s="1074"/>
      <c r="J66" s="1074"/>
      <c r="K66" s="1074"/>
      <c r="L66" s="1075"/>
      <c r="M66" s="1078"/>
      <c r="N66" s="140"/>
      <c r="O66" s="140"/>
      <c r="P66" s="140"/>
      <c r="Q66" s="140"/>
      <c r="R66" s="141"/>
      <c r="S66" s="1042"/>
      <c r="T66" s="1043"/>
      <c r="U66" s="1043"/>
      <c r="V66" s="1043"/>
      <c r="W66" s="1043"/>
      <c r="X66" s="1043"/>
      <c r="Y66" s="1043"/>
      <c r="Z66" s="1044"/>
      <c r="AA66" s="1044"/>
      <c r="AB66" s="1044"/>
      <c r="AC66" s="1044"/>
      <c r="AD66" s="1044"/>
      <c r="AE66" s="1044"/>
      <c r="AF66" s="1044"/>
      <c r="AG66" s="1044"/>
      <c r="AH66" s="1044"/>
      <c r="AI66" s="1066"/>
      <c r="AJ66" s="1066"/>
      <c r="AK66" s="1066"/>
      <c r="AL66" s="1066"/>
      <c r="AM66" s="1066"/>
      <c r="AN66" s="2"/>
    </row>
    <row r="67" spans="1:41" ht="20.100000000000001" customHeight="1" x14ac:dyDescent="0.25">
      <c r="A67" s="18"/>
      <c r="B67" s="18"/>
      <c r="C67" s="18"/>
      <c r="D67" s="7"/>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1" ht="20.100000000000001" customHeight="1" x14ac:dyDescent="0.25">
      <c r="A68" s="18"/>
      <c r="B68" s="18"/>
      <c r="C68" s="18"/>
      <c r="D68" s="7"/>
      <c r="E68" s="7"/>
      <c r="F68" s="7"/>
      <c r="G68" s="7"/>
      <c r="H68" s="7"/>
      <c r="I68" s="7"/>
      <c r="J68" s="7"/>
      <c r="K68" s="7"/>
      <c r="L68" s="7"/>
      <c r="M68" s="7"/>
      <c r="N68" s="7"/>
      <c r="O68" s="7"/>
      <c r="P68" s="7"/>
      <c r="Q68" s="7"/>
      <c r="R68" s="7"/>
      <c r="S68" s="7"/>
      <c r="T68" s="7"/>
      <c r="U68" s="7"/>
      <c r="V68" s="7"/>
      <c r="W68" s="7"/>
      <c r="X68" s="7"/>
      <c r="Y68" s="7"/>
      <c r="Z68" s="7"/>
      <c r="AA68" s="7"/>
      <c r="AB68" s="7"/>
      <c r="AC68" s="177"/>
      <c r="AD68" s="177"/>
      <c r="AE68" s="177"/>
      <c r="AF68" s="177"/>
      <c r="AG68" s="177"/>
      <c r="AH68" s="177"/>
      <c r="AI68" s="177"/>
      <c r="AJ68" s="177"/>
      <c r="AK68" s="177"/>
      <c r="AL68" s="177"/>
      <c r="AM68" s="177"/>
      <c r="AN68" s="177"/>
      <c r="AO68" s="177"/>
    </row>
    <row r="69" spans="1:41" x14ac:dyDescent="0.25">
      <c r="A69" s="18"/>
      <c r="B69" s="18"/>
      <c r="C69" s="18"/>
      <c r="D69" s="7"/>
      <c r="E69" s="2"/>
      <c r="F69" s="2"/>
      <c r="G69" s="2"/>
      <c r="H69" s="2"/>
      <c r="I69" s="2"/>
      <c r="J69" s="2"/>
      <c r="K69" s="2"/>
      <c r="L69" s="2"/>
      <c r="M69" s="2"/>
      <c r="N69" s="145"/>
      <c r="O69" s="2"/>
      <c r="P69" s="2"/>
      <c r="Q69" s="2"/>
      <c r="R69" s="2"/>
      <c r="S69" s="2"/>
      <c r="T69" s="2"/>
      <c r="U69" s="2"/>
      <c r="V69" s="2"/>
      <c r="W69" s="2"/>
      <c r="X69" s="2"/>
      <c r="Y69" s="2"/>
      <c r="Z69" s="2"/>
      <c r="AA69" s="2"/>
      <c r="AB69" s="2"/>
      <c r="AC69" s="170"/>
      <c r="AD69" s="170"/>
      <c r="AE69" s="170"/>
      <c r="AF69" s="170"/>
      <c r="AG69" s="170"/>
      <c r="AH69" s="170"/>
      <c r="AI69" s="170"/>
      <c r="AJ69" s="170"/>
      <c r="AK69" s="170"/>
      <c r="AL69" s="170"/>
      <c r="AM69" s="170"/>
      <c r="AN69" s="170"/>
    </row>
    <row r="70" spans="1:41" ht="20.100000000000001" customHeight="1" x14ac:dyDescent="0.25">
      <c r="A70" s="18"/>
      <c r="B70" s="18"/>
      <c r="C70" s="18"/>
      <c r="D70" s="7"/>
      <c r="E70" s="2"/>
      <c r="F70" s="1008" t="s">
        <v>304</v>
      </c>
      <c r="G70" s="1009"/>
      <c r="H70" s="1009"/>
      <c r="I70" s="1009"/>
      <c r="J70" s="1009"/>
      <c r="K70" s="1009"/>
      <c r="L70" s="1009"/>
      <c r="M70" s="148" t="s">
        <v>186</v>
      </c>
      <c r="N70" s="981" t="s">
        <v>290</v>
      </c>
      <c r="O70" s="982"/>
      <c r="P70" s="982"/>
      <c r="Q70" s="1058"/>
      <c r="R70" s="1059"/>
      <c r="S70" s="1059"/>
      <c r="T70" s="1060"/>
      <c r="U70" s="1012" t="s">
        <v>34</v>
      </c>
      <c r="V70" s="1012"/>
      <c r="W70" s="1012"/>
      <c r="X70" s="1012"/>
      <c r="Y70" s="1012"/>
      <c r="Z70" s="1012" t="s">
        <v>117</v>
      </c>
      <c r="AA70" s="1012"/>
      <c r="AB70" s="1012"/>
      <c r="AC70" s="1189"/>
      <c r="AD70" s="1189"/>
      <c r="AE70" s="1189"/>
      <c r="AF70" s="1012" t="s">
        <v>118</v>
      </c>
      <c r="AG70" s="1012"/>
      <c r="AH70" s="1012"/>
      <c r="AI70" s="1061"/>
      <c r="AJ70" s="1062"/>
      <c r="AK70" s="1062"/>
      <c r="AL70" s="1062"/>
      <c r="AM70" s="1063"/>
      <c r="AN70" s="2"/>
    </row>
    <row r="71" spans="1:41" ht="99.95" customHeight="1" x14ac:dyDescent="0.25">
      <c r="A71" s="18"/>
      <c r="B71" s="18"/>
      <c r="C71" s="18"/>
      <c r="D71" s="7"/>
      <c r="E71" s="2"/>
      <c r="F71" s="1008" t="s">
        <v>297</v>
      </c>
      <c r="G71" s="1009"/>
      <c r="H71" s="1009"/>
      <c r="I71" s="1009"/>
      <c r="J71" s="1009"/>
      <c r="K71" s="1009"/>
      <c r="L71" s="1041"/>
      <c r="M71" s="181" t="s">
        <v>186</v>
      </c>
      <c r="N71" s="1032"/>
      <c r="O71" s="1033"/>
      <c r="P71" s="1033"/>
      <c r="Q71" s="1033"/>
      <c r="R71" s="1033"/>
      <c r="S71" s="1033"/>
      <c r="T71" s="1033"/>
      <c r="U71" s="1033"/>
      <c r="V71" s="1033"/>
      <c r="W71" s="1033"/>
      <c r="X71" s="1033"/>
      <c r="Y71" s="1033"/>
      <c r="Z71" s="1033"/>
      <c r="AA71" s="1033"/>
      <c r="AB71" s="1033"/>
      <c r="AC71" s="1033"/>
      <c r="AD71" s="1033"/>
      <c r="AE71" s="1033"/>
      <c r="AF71" s="1033"/>
      <c r="AG71" s="1033"/>
      <c r="AH71" s="1033"/>
      <c r="AI71" s="1033"/>
      <c r="AJ71" s="1033"/>
      <c r="AK71" s="1033"/>
      <c r="AL71" s="1033"/>
      <c r="AM71" s="1034"/>
      <c r="AN71" s="1184" t="s">
        <v>8014</v>
      </c>
      <c r="AO71" s="1185"/>
    </row>
    <row r="72" spans="1:41" x14ac:dyDescent="0.25">
      <c r="A72" s="18"/>
      <c r="B72" s="18"/>
      <c r="C72" s="18"/>
      <c r="D72" s="7"/>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sheetData>
  <sheetProtection algorithmName="SHA-512" hashValue="iyDp0zGv9pM7eSjajmkAQKSgIziL49LoFz/EwEEgk/iGE5/bTZ/ymPkpIYNncRbOmjcg6hntB3OqtjiLaOgEZA==" saltValue="Tk+bjNhaHztY7DY23Y3wqg==" spinCount="100000" sheet="1" objects="1" scenarios="1" formatColumns="0" formatRows="0"/>
  <mergeCells count="210">
    <mergeCell ref="AK19:AN19"/>
    <mergeCell ref="F2:AG6"/>
    <mergeCell ref="F7:J7"/>
    <mergeCell ref="F59:M59"/>
    <mergeCell ref="N59:AM59"/>
    <mergeCell ref="AI40:AJ40"/>
    <mergeCell ref="AM30:AN30"/>
    <mergeCell ref="AM31:AN31"/>
    <mergeCell ref="AM32:AN32"/>
    <mergeCell ref="AM33:AN33"/>
    <mergeCell ref="AM34:AN34"/>
    <mergeCell ref="AM35:AN35"/>
    <mergeCell ref="AM36:AN36"/>
    <mergeCell ref="AM37:AN37"/>
    <mergeCell ref="AM38:AN38"/>
    <mergeCell ref="AM39:AN39"/>
    <mergeCell ref="AM40:AN40"/>
    <mergeCell ref="N30:Q30"/>
    <mergeCell ref="N43:Q43"/>
    <mergeCell ref="R38:T38"/>
    <mergeCell ref="U38:W38"/>
    <mergeCell ref="AA38:AC38"/>
    <mergeCell ref="AD38:AF38"/>
    <mergeCell ref="AG38:AH38"/>
    <mergeCell ref="AK38:AL38"/>
    <mergeCell ref="O63:R63"/>
    <mergeCell ref="O65:R65"/>
    <mergeCell ref="AI63:AM63"/>
    <mergeCell ref="S62:Y62"/>
    <mergeCell ref="Z62:AH62"/>
    <mergeCell ref="AI62:AM62"/>
    <mergeCell ref="R40:T40"/>
    <mergeCell ref="U40:W40"/>
    <mergeCell ref="X40:Z40"/>
    <mergeCell ref="AA40:AC40"/>
    <mergeCell ref="AD40:AF40"/>
    <mergeCell ref="AG40:AH40"/>
    <mergeCell ref="AK40:AL40"/>
    <mergeCell ref="R43:T43"/>
    <mergeCell ref="R44:T44"/>
    <mergeCell ref="R45:T45"/>
    <mergeCell ref="U43:X43"/>
    <mergeCell ref="AI64:AM64"/>
    <mergeCell ref="AI65:AM65"/>
    <mergeCell ref="R48:T48"/>
    <mergeCell ref="R49:T49"/>
    <mergeCell ref="R50:T50"/>
    <mergeCell ref="N45:Q45"/>
    <mergeCell ref="AG36:AH36"/>
    <mergeCell ref="AK36:AL36"/>
    <mergeCell ref="R37:T37"/>
    <mergeCell ref="U37:W37"/>
    <mergeCell ref="AA37:AC37"/>
    <mergeCell ref="AD37:AF37"/>
    <mergeCell ref="AG37:AH37"/>
    <mergeCell ref="AK37:AL37"/>
    <mergeCell ref="AI36:AJ36"/>
    <mergeCell ref="AI37:AJ37"/>
    <mergeCell ref="AI30:AJ30"/>
    <mergeCell ref="AI31:AJ31"/>
    <mergeCell ref="AI32:AJ32"/>
    <mergeCell ref="AI33:AJ33"/>
    <mergeCell ref="R34:T34"/>
    <mergeCell ref="U34:W34"/>
    <mergeCell ref="X34:Z34"/>
    <mergeCell ref="AA34:AC34"/>
    <mergeCell ref="AD34:AF34"/>
    <mergeCell ref="AG34:AH34"/>
    <mergeCell ref="AG32:AH32"/>
    <mergeCell ref="AI34:AJ34"/>
    <mergeCell ref="AK32:AL32"/>
    <mergeCell ref="R33:T33"/>
    <mergeCell ref="U33:W33"/>
    <mergeCell ref="X33:Z33"/>
    <mergeCell ref="AA33:AC33"/>
    <mergeCell ref="AD33:AF33"/>
    <mergeCell ref="AG33:AH33"/>
    <mergeCell ref="AK33:AL33"/>
    <mergeCell ref="N44:Q44"/>
    <mergeCell ref="AK34:AL34"/>
    <mergeCell ref="R35:T35"/>
    <mergeCell ref="U35:W35"/>
    <mergeCell ref="X35:Z35"/>
    <mergeCell ref="AA35:AC35"/>
    <mergeCell ref="AD35:AF35"/>
    <mergeCell ref="AG35:AH35"/>
    <mergeCell ref="AK35:AL35"/>
    <mergeCell ref="AI35:AJ35"/>
    <mergeCell ref="AG39:AH39"/>
    <mergeCell ref="AK39:AL39"/>
    <mergeCell ref="AI38:AJ38"/>
    <mergeCell ref="AI39:AJ39"/>
    <mergeCell ref="R36:T36"/>
    <mergeCell ref="U36:W36"/>
    <mergeCell ref="N49:Q49"/>
    <mergeCell ref="N50:Q50"/>
    <mergeCell ref="N51:Q51"/>
    <mergeCell ref="N52:Q52"/>
    <mergeCell ref="N53:Q53"/>
    <mergeCell ref="AD30:AF30"/>
    <mergeCell ref="R32:T32"/>
    <mergeCell ref="U32:W32"/>
    <mergeCell ref="AA32:AC32"/>
    <mergeCell ref="AD32:AF32"/>
    <mergeCell ref="R51:T51"/>
    <mergeCell ref="R52:T52"/>
    <mergeCell ref="AA39:AC39"/>
    <mergeCell ref="AD39:AF39"/>
    <mergeCell ref="X36:Z36"/>
    <mergeCell ref="AA36:AC36"/>
    <mergeCell ref="AD36:AF36"/>
    <mergeCell ref="R39:T39"/>
    <mergeCell ref="U39:W39"/>
    <mergeCell ref="N48:Q48"/>
    <mergeCell ref="F10:M10"/>
    <mergeCell ref="N10:S10"/>
    <mergeCell ref="O14:P14"/>
    <mergeCell ref="Q14:S14"/>
    <mergeCell ref="F70:L70"/>
    <mergeCell ref="N70:P70"/>
    <mergeCell ref="Q70:T70"/>
    <mergeCell ref="F60:M60"/>
    <mergeCell ref="F26:L26"/>
    <mergeCell ref="S66:Y66"/>
    <mergeCell ref="X31:Z31"/>
    <mergeCell ref="X32:Z32"/>
    <mergeCell ref="X37:Z37"/>
    <mergeCell ref="X38:Z38"/>
    <mergeCell ref="X39:Z39"/>
    <mergeCell ref="S64:Y64"/>
    <mergeCell ref="Z64:AH64"/>
    <mergeCell ref="S65:Y65"/>
    <mergeCell ref="Z65:AH65"/>
    <mergeCell ref="N46:Q46"/>
    <mergeCell ref="Z66:AH66"/>
    <mergeCell ref="AF18:AJ18"/>
    <mergeCell ref="F62:L66"/>
    <mergeCell ref="N19:AJ19"/>
    <mergeCell ref="AB25:AJ25"/>
    <mergeCell ref="Y23:AB23"/>
    <mergeCell ref="AI2:AN7"/>
    <mergeCell ref="O13:AM13"/>
    <mergeCell ref="T14:AM14"/>
    <mergeCell ref="N18:Z18"/>
    <mergeCell ref="N47:Q47"/>
    <mergeCell ref="R46:T46"/>
    <mergeCell ref="R47:T47"/>
    <mergeCell ref="AJ27:AM27"/>
    <mergeCell ref="AF27:AI27"/>
    <mergeCell ref="AG30:AH30"/>
    <mergeCell ref="AK30:AL30"/>
    <mergeCell ref="R31:T31"/>
    <mergeCell ref="U31:W31"/>
    <mergeCell ref="U30:W30"/>
    <mergeCell ref="AA30:AC30"/>
    <mergeCell ref="AA31:AC31"/>
    <mergeCell ref="AD31:AF31"/>
    <mergeCell ref="AA18:AD18"/>
    <mergeCell ref="AG31:AH31"/>
    <mergeCell ref="AK31:AL31"/>
    <mergeCell ref="R30:T30"/>
    <mergeCell ref="N40:Q40"/>
    <mergeCell ref="Z63:AH63"/>
    <mergeCell ref="N20:S20"/>
    <mergeCell ref="N26:S26"/>
    <mergeCell ref="F22:M22"/>
    <mergeCell ref="F23:M23"/>
    <mergeCell ref="N23:P23"/>
    <mergeCell ref="N24:S24"/>
    <mergeCell ref="N25:S25"/>
    <mergeCell ref="AD23:AJ23"/>
    <mergeCell ref="N22:AJ22"/>
    <mergeCell ref="N21:AJ21"/>
    <mergeCell ref="X30:Z30"/>
    <mergeCell ref="R53:T53"/>
    <mergeCell ref="M62:M66"/>
    <mergeCell ref="F31:L40"/>
    <mergeCell ref="N31:Q31"/>
    <mergeCell ref="N32:Q32"/>
    <mergeCell ref="N33:Q33"/>
    <mergeCell ref="N34:Q34"/>
    <mergeCell ref="N35:Q35"/>
    <mergeCell ref="N36:Q36"/>
    <mergeCell ref="N37:Q37"/>
    <mergeCell ref="N38:Q38"/>
    <mergeCell ref="N39:Q39"/>
    <mergeCell ref="AN71:AO71"/>
    <mergeCell ref="AN60:AO60"/>
    <mergeCell ref="AN59:AO59"/>
    <mergeCell ref="F13:L14"/>
    <mergeCell ref="M13:M14"/>
    <mergeCell ref="N12:Y12"/>
    <mergeCell ref="F18:L18"/>
    <mergeCell ref="F71:L71"/>
    <mergeCell ref="N60:AM60"/>
    <mergeCell ref="U70:Y70"/>
    <mergeCell ref="Z70:AB70"/>
    <mergeCell ref="AC70:AE70"/>
    <mergeCell ref="AF70:AH70"/>
    <mergeCell ref="AI70:AM70"/>
    <mergeCell ref="N71:AM71"/>
    <mergeCell ref="AI66:AM66"/>
    <mergeCell ref="F19:L19"/>
    <mergeCell ref="F20:L20"/>
    <mergeCell ref="F21:L21"/>
    <mergeCell ref="F24:L24"/>
    <mergeCell ref="F25:L25"/>
    <mergeCell ref="T25:Z25"/>
    <mergeCell ref="R23:X23"/>
    <mergeCell ref="S63:Y63"/>
  </mergeCells>
  <conditionalFormatting sqref="E17:AO72">
    <cfRule type="expression" dxfId="592" priority="5">
      <formula>$N$10&lt;&gt;"Não"</formula>
    </cfRule>
  </conditionalFormatting>
  <conditionalFormatting sqref="F7">
    <cfRule type="notContainsBlanks" dxfId="591" priority="1">
      <formula>LEN(TRIM(F7))&gt;0</formula>
    </cfRule>
  </conditionalFormatting>
  <conditionalFormatting sqref="F43:T53 AK43:AN53 F54:AN54 F69:M69 O69:AN69">
    <cfRule type="expression" dxfId="590" priority="13">
      <formula>$N$10&lt;&gt;"Não"</formula>
    </cfRule>
  </conditionalFormatting>
  <conditionalFormatting sqref="F11:AN15">
    <cfRule type="expression" dxfId="589" priority="12">
      <formula>$N$10&lt;&gt;"Sim"</formula>
    </cfRule>
  </conditionalFormatting>
  <conditionalFormatting sqref="M18:M21">
    <cfRule type="expression" dxfId="587" priority="28">
      <formula>N18&lt;&gt;""</formula>
    </cfRule>
  </conditionalFormatting>
  <conditionalFormatting sqref="M24:M26">
    <cfRule type="expression" dxfId="586" priority="24">
      <formula>N24&lt;&gt;""</formula>
    </cfRule>
  </conditionalFormatting>
  <conditionalFormatting sqref="M35">
    <cfRule type="expression" dxfId="585" priority="15">
      <formula>IF(COUNTA($R$31:$T$40)&gt;0,1,0)</formula>
    </cfRule>
  </conditionalFormatting>
  <conditionalFormatting sqref="M70">
    <cfRule type="expression" dxfId="583" priority="18">
      <formula>OR($Q$70&lt;&gt;"",$AC$70&lt;&gt;"")</formula>
    </cfRule>
  </conditionalFormatting>
  <conditionalFormatting sqref="M71">
    <cfRule type="expression" dxfId="582" priority="22">
      <formula>N71&lt;&gt;""</formula>
    </cfRule>
  </conditionalFormatting>
  <conditionalFormatting sqref="Q23">
    <cfRule type="expression" dxfId="581" priority="27">
      <formula>R23&lt;&gt;""</formula>
    </cfRule>
  </conditionalFormatting>
  <conditionalFormatting sqref="X30:Z40">
    <cfRule type="expression" dxfId="579" priority="7">
      <formula>COUNTIF($U$31:$W$40,"&gt;0")=0</formula>
    </cfRule>
  </conditionalFormatting>
  <conditionalFormatting sqref="AA25">
    <cfRule type="expression" dxfId="578" priority="25">
      <formula>AB25&lt;&gt;""</formula>
    </cfRule>
  </conditionalFormatting>
  <conditionalFormatting sqref="AC23">
    <cfRule type="expression" dxfId="577" priority="26">
      <formula>AD23&lt;&gt;""</formula>
    </cfRule>
  </conditionalFormatting>
  <conditionalFormatting sqref="AD30:AF40">
    <cfRule type="expression" dxfId="576" priority="6">
      <formula>COUNTIF($AA$31:$AC$40,"&gt;0")=0</formula>
    </cfRule>
  </conditionalFormatting>
  <conditionalFormatting sqref="AE18">
    <cfRule type="expression" dxfId="575" priority="31">
      <formula>AF18&lt;&gt;""</formula>
    </cfRule>
  </conditionalFormatting>
  <conditionalFormatting sqref="AO28">
    <cfRule type="expression" dxfId="574" priority="2">
      <formula>$N$10&lt;&gt;"Não"</formula>
    </cfRule>
  </conditionalFormatting>
  <conditionalFormatting sqref="AO57">
    <cfRule type="expression" dxfId="573" priority="3">
      <formula>$N$10&lt;&gt;"Não"</formula>
    </cfRule>
  </conditionalFormatting>
  <conditionalFormatting sqref="AO68">
    <cfRule type="expression" dxfId="572" priority="4">
      <formula>$N$10&lt;&gt;"Não"</formula>
    </cfRule>
  </conditionalFormatting>
  <dataValidations count="19">
    <dataValidation type="custom" allowBlank="1" showInputMessage="1" showErrorMessage="1" errorTitle="Data inválida" error="A data de conclusão não pode ser anterior a data de início." sqref="AD23:AJ23" xr:uid="{7B9E1D7C-42A3-4E4A-B48B-1B9B698B03A7}">
      <formula1>R23&lt;=AD23</formula1>
    </dataValidation>
    <dataValidation type="list" allowBlank="1" showInputMessage="1" showErrorMessage="1" errorTitle="Código inválido" error="Preencher os dados do certificado na guia &quot;Certificados&quot; antes de atribuí-lo a algum estudo" sqref="N24:S24" xr:uid="{77E2078E-CF19-43DB-A285-CED34D2EA52F}">
      <formula1>src_certificados</formula1>
    </dataValidation>
    <dataValidation type="decimal" operator="greaterThanOrEqual" allowBlank="1" showInputMessage="1" showErrorMessage="1" errorTitle="Valor inválido" error="O valor da dose deve ser um número decimal" sqref="Q70:T70" xr:uid="{A3485AC0-67E9-48EA-A238-8C3E503EAAD2}">
      <formula1>0</formula1>
    </dataValidation>
    <dataValidation type="decimal" operator="greaterThanOrEqual" allowBlank="1" showInputMessage="1" showErrorMessage="1" errorTitle="Valor inválido" error="A concentração deve ser um número decimal" sqref="R31:T40" xr:uid="{412DA13E-0A59-4CD4-B28B-D2FC6456C74A}">
      <formula1>0</formula1>
    </dataValidation>
    <dataValidation type="whole" operator="greaterThanOrEqual" allowBlank="1" showInputMessage="1" showErrorMessage="1" errorTitle="Valor inválido" error="A quantidade de animais deve ser um número inteiro" sqref="U31:AF40" xr:uid="{6213B256-6D6B-4DDE-A81C-A39DED650CAE}">
      <formula1>0</formula1>
    </dataValidation>
    <dataValidation allowBlank="1" showInputMessage="1" showErrorMessage="1" promptTitle="Ajuda" prompt="Todas as informações desse formulário devem refletir ao que foi protocolado na Anvisa, portanto a opção de dispensa de estudo só deverá ser marcada como &quot;sim&quot; se ela também tiver sido realizada no pleito do produto. " sqref="F10:M10" xr:uid="{54DF5B64-5521-4CEF-9B0C-E77755732A3A}"/>
    <dataValidation allowBlank="1" showInputMessage="1" showErrorMessage="1" promptTitle="Ajuda" prompt="Código gerado pelo laboratório executor" sqref="AA18:AD18" xr:uid="{DE1A46EF-C644-426A-AB5C-67001AF5CDB5}"/>
    <dataValidation allowBlank="1" showInputMessage="1" showErrorMessage="1" promptTitle="Ajuda" prompt="Informar nome e estado/país do laboratório executor" sqref="F19:L19" xr:uid="{8A54C5CC-61F9-4588-8CA2-E0AEB3A4AAE3}"/>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22:M22" xr:uid="{A7888B01-BEA8-4447-8F49-702469789691}"/>
    <dataValidation allowBlank="1" showInputMessage="1" showErrorMessage="1" promptTitle="Ajuda" prompt="Data de início da exposição dos animais à substância teste" sqref="N23:P23" xr:uid="{C045AEF7-DA20-41C7-AE42-74048893025A}"/>
    <dataValidation allowBlank="1" showInputMessage="1" showErrorMessage="1" promptTitle="Ajuda" prompt="O resultado deverá ser expresso pela concentração do produto formulado, conforme §24 do protocolo OECD nº403 de 07/09/2009._x000a__x000a_Somente para produtos que são gases/vapores ou aerossóis: o resultado poderá ser expresso pela concentração do ingrediente ativo." sqref="N30:Q30 N43:Q43" xr:uid="{02108939-3195-4711-A4D6-5E04D020E7B5}"/>
    <dataValidation allowBlank="1" showInputMessage="1" showErrorMessage="1" promptTitle="Ajuda" prompt="São considerados desvios os procedimentos que tenham sido conduzidos em desacordo com o protocolo. _x000a__x000a_Alterações no corpo técnico, retificações no texto do relatório ou similiares não são considerados desvios ao protocolo." sqref="F62:L66" xr:uid="{AFDE2098-00CF-43B1-8151-ACE995B1FDFC}"/>
    <dataValidation allowBlank="1" showInputMessage="1" showErrorMessage="1" promptTitle="Ajuda" prompt="Descrição sucinta do desvio ocorrido._x000a__x000a_Caso tenha ocorrido mais do que quatro desvios, os demais deverão estar descritos na última linha e separados por ponto e vírgula" sqref="S62:Y62" xr:uid="{0C67F587-067C-4313-AAE7-8DCA5D6C60E2}"/>
    <dataValidation allowBlank="1" showInputMessage="1" showErrorMessage="1" promptTitle="Ajuda" prompt="Incluir a justificativa do porquê ocorreu desvio e qual é interpretação dos seus impactos frente aos resultados do estudos." sqref="Z62:AH62" xr:uid="{7F1A987E-A88F-4EC7-8728-A7B51E3BE69C}"/>
    <dataValidation allowBlank="1" showInputMessage="1" showErrorMessage="1" promptTitle="Ajuda" prompt="Informar apenas se o(s) desvio(s) afetam de algum modo a interpretação dos resultados" sqref="AI62:AM62" xr:uid="{CDEB7D6F-EA33-40B7-9601-C989B4D9E7F8}"/>
    <dataValidation allowBlank="1" showInputMessage="1" showErrorMessage="1" promptTitle="Ajuda" prompt="Se os resultados estiverem separados por IA's deverá ser informado o menor o valor estimado. _x000a__x000a_P.ex. IA1= 0,75 mg/L de ar em 4h e IA2= 0,3 mg/L de ar em 4h, deve ser informado o valor de 0,3 mg/L de ar para a CL50 inalatória.  " sqref="F70:L70" xr:uid="{75A62A1E-293F-47F8-B849-8101AE6EEC84}"/>
    <dataValidation allowBlank="1" showInputMessage="1" showErrorMessage="1" promptTitle="Ajuda" prompt="A conclusão deverá ser conforme está escrito no relatório do estudo._x000a_" sqref="F71:L71" xr:uid="{0C24A8BE-8DEA-4724-BD5B-DED5B2BBA030}"/>
    <dataValidation type="decimal" operator="greaterThanOrEqual" allowBlank="1" showInputMessage="1" showErrorMessage="1" errorTitle="Valor inválido" error="Esse resultado deve ser um número decimal" sqref="AG31:AN40" xr:uid="{46159BC0-9373-460B-B461-D30F7A9EF9D3}">
      <formula1>0</formula1>
    </dataValidation>
    <dataValidation allowBlank="1" showInputMessage="1" showErrorMessage="1" prompt="Consideram-se evidências de toxicidade as alterações observadas nos animais decorrentes da exposição à substância teste até os valores da categoria 4, exceto para diarreia, piloereção e aparência descuidada._x000a__x000a_*RDC 294/19, ANEXO IV, item 1.5, alínea d" sqref="U43:X43" xr:uid="{FA325DE6-977D-4A13-AB01-21D199F27089}"/>
  </dataValidations>
  <hyperlinks>
    <hyperlink ref="F7" location="Alertas!G2" display="Alertas!G2" xr:uid="{8FABABF5-18F8-4340-9B7A-F09331A4AC6A}"/>
  </hyperlinks>
  <pageMargins left="0.511811024" right="0.511811024" top="0.78740157499999996" bottom="0.78740157499999996" header="0.31496062000000002" footer="0.31496062000000002"/>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80" r:id="rId4" name="check_cl50_maiorque">
              <controlPr defaultSize="0" autoFill="0" autoLine="0" autoPict="0">
                <anchor moveWithCells="1">
                  <from>
                    <xdr:col>13</xdr:col>
                    <xdr:colOff>9525</xdr:colOff>
                    <xdr:row>69</xdr:row>
                    <xdr:rowOff>19050</xdr:rowOff>
                  </from>
                  <to>
                    <xdr:col>15</xdr:col>
                    <xdr:colOff>257175</xdr:colOff>
                    <xdr:row>70</xdr:row>
                    <xdr:rowOff>0</xdr:rowOff>
                  </to>
                </anchor>
              </controlPr>
            </control>
          </mc:Choice>
        </mc:AlternateContent>
        <mc:AlternateContent xmlns:mc="http://schemas.openxmlformats.org/markup-compatibility/2006">
          <mc:Choice Requires="x14">
            <control shapeId="27675" r:id="rId5" name="optn_cl50_desvios1">
              <controlPr defaultSize="0" autoFill="0" autoLine="0" autoPict="0">
                <anchor moveWithCells="1">
                  <from>
                    <xdr:col>13</xdr:col>
                    <xdr:colOff>57150</xdr:colOff>
                    <xdr:row>61</xdr:row>
                    <xdr:rowOff>161925</xdr:rowOff>
                  </from>
                  <to>
                    <xdr:col>17</xdr:col>
                    <xdr:colOff>238125</xdr:colOff>
                    <xdr:row>63</xdr:row>
                    <xdr:rowOff>66675</xdr:rowOff>
                  </to>
                </anchor>
              </controlPr>
            </control>
          </mc:Choice>
        </mc:AlternateContent>
        <mc:AlternateContent xmlns:mc="http://schemas.openxmlformats.org/markup-compatibility/2006">
          <mc:Choice Requires="x14">
            <control shapeId="27676" r:id="rId6" name="optn_cl50_desvios2">
              <controlPr defaultSize="0" autoFill="0" autoLine="0" autoPict="0">
                <anchor moveWithCells="1">
                  <from>
                    <xdr:col>13</xdr:col>
                    <xdr:colOff>57150</xdr:colOff>
                    <xdr:row>63</xdr:row>
                    <xdr:rowOff>171450</xdr:rowOff>
                  </from>
                  <to>
                    <xdr:col>17</xdr:col>
                    <xdr:colOff>238125</xdr:colOff>
                    <xdr:row>65</xdr:row>
                    <xdr:rowOff>76200</xdr:rowOff>
                  </to>
                </anchor>
              </controlPr>
            </control>
          </mc:Choice>
        </mc:AlternateContent>
        <mc:AlternateContent xmlns:mc="http://schemas.openxmlformats.org/markup-compatibility/2006">
          <mc:Choice Requires="x14">
            <control shapeId="27699" r:id="rId7" name="Check Box 51">
              <controlPr defaultSize="0" autoFill="0" autoLine="0" autoPict="0">
                <anchor moveWithCells="1">
                  <from>
                    <xdr:col>13</xdr:col>
                    <xdr:colOff>47625</xdr:colOff>
                    <xdr:row>12</xdr:row>
                    <xdr:rowOff>19050</xdr:rowOff>
                  </from>
                  <to>
                    <xdr:col>38</xdr:col>
                    <xdr:colOff>304800</xdr:colOff>
                    <xdr:row>13</xdr:row>
                    <xdr:rowOff>0</xdr:rowOff>
                  </to>
                </anchor>
              </controlPr>
            </control>
          </mc:Choice>
        </mc:AlternateContent>
        <mc:AlternateContent xmlns:mc="http://schemas.openxmlformats.org/markup-compatibility/2006">
          <mc:Choice Requires="x14">
            <control shapeId="27701" r:id="rId8" name="Check Box 53">
              <controlPr defaultSize="0" autoFill="0" autoLine="0" autoPict="0">
                <anchor moveWithCells="1">
                  <from>
                    <xdr:col>13</xdr:col>
                    <xdr:colOff>57150</xdr:colOff>
                    <xdr:row>13</xdr:row>
                    <xdr:rowOff>9525</xdr:rowOff>
                  </from>
                  <to>
                    <xdr:col>15</xdr:col>
                    <xdr:colOff>304800</xdr:colOff>
                    <xdr:row>13</xdr:row>
                    <xdr:rowOff>495300</xdr:rowOff>
                  </to>
                </anchor>
              </controlPr>
            </control>
          </mc:Choice>
        </mc:AlternateContent>
        <mc:AlternateContent xmlns:mc="http://schemas.openxmlformats.org/markup-compatibility/2006">
          <mc:Choice Requires="x14">
            <control shapeId="27703" r:id="rId9" name="evid_tox_1">
              <controlPr defaultSize="0" autoFill="0" autoLine="0" autoPict="0">
                <anchor moveWithCells="1">
                  <from>
                    <xdr:col>21</xdr:col>
                    <xdr:colOff>142875</xdr:colOff>
                    <xdr:row>43</xdr:row>
                    <xdr:rowOff>9525</xdr:rowOff>
                  </from>
                  <to>
                    <xdr:col>23</xdr:col>
                    <xdr:colOff>295275</xdr:colOff>
                    <xdr:row>43</xdr:row>
                    <xdr:rowOff>314325</xdr:rowOff>
                  </to>
                </anchor>
              </controlPr>
            </control>
          </mc:Choice>
        </mc:AlternateContent>
        <mc:AlternateContent xmlns:mc="http://schemas.openxmlformats.org/markup-compatibility/2006">
          <mc:Choice Requires="x14">
            <control shapeId="27704" r:id="rId10" name="evid_tox_3">
              <controlPr defaultSize="0" autoFill="0" autoLine="0" autoPict="0">
                <anchor moveWithCells="1">
                  <from>
                    <xdr:col>21</xdr:col>
                    <xdr:colOff>142875</xdr:colOff>
                    <xdr:row>45</xdr:row>
                    <xdr:rowOff>9525</xdr:rowOff>
                  </from>
                  <to>
                    <xdr:col>23</xdr:col>
                    <xdr:colOff>295275</xdr:colOff>
                    <xdr:row>45</xdr:row>
                    <xdr:rowOff>314325</xdr:rowOff>
                  </to>
                </anchor>
              </controlPr>
            </control>
          </mc:Choice>
        </mc:AlternateContent>
        <mc:AlternateContent xmlns:mc="http://schemas.openxmlformats.org/markup-compatibility/2006">
          <mc:Choice Requires="x14">
            <control shapeId="27705" r:id="rId11" name="evid_tox_4">
              <controlPr defaultSize="0" autoFill="0" autoLine="0" autoPict="0">
                <anchor moveWithCells="1">
                  <from>
                    <xdr:col>21</xdr:col>
                    <xdr:colOff>142875</xdr:colOff>
                    <xdr:row>46</xdr:row>
                    <xdr:rowOff>9525</xdr:rowOff>
                  </from>
                  <to>
                    <xdr:col>23</xdr:col>
                    <xdr:colOff>295275</xdr:colOff>
                    <xdr:row>46</xdr:row>
                    <xdr:rowOff>314325</xdr:rowOff>
                  </to>
                </anchor>
              </controlPr>
            </control>
          </mc:Choice>
        </mc:AlternateContent>
        <mc:AlternateContent xmlns:mc="http://schemas.openxmlformats.org/markup-compatibility/2006">
          <mc:Choice Requires="x14">
            <control shapeId="27706" r:id="rId12" name="evid_tox_5">
              <controlPr defaultSize="0" autoFill="0" autoLine="0" autoPict="0">
                <anchor moveWithCells="1">
                  <from>
                    <xdr:col>21</xdr:col>
                    <xdr:colOff>142875</xdr:colOff>
                    <xdr:row>47</xdr:row>
                    <xdr:rowOff>9525</xdr:rowOff>
                  </from>
                  <to>
                    <xdr:col>23</xdr:col>
                    <xdr:colOff>295275</xdr:colOff>
                    <xdr:row>47</xdr:row>
                    <xdr:rowOff>314325</xdr:rowOff>
                  </to>
                </anchor>
              </controlPr>
            </control>
          </mc:Choice>
        </mc:AlternateContent>
        <mc:AlternateContent xmlns:mc="http://schemas.openxmlformats.org/markup-compatibility/2006">
          <mc:Choice Requires="x14">
            <control shapeId="27707" r:id="rId13" name="evid_tox_6">
              <controlPr defaultSize="0" autoFill="0" autoLine="0" autoPict="0">
                <anchor moveWithCells="1">
                  <from>
                    <xdr:col>21</xdr:col>
                    <xdr:colOff>142875</xdr:colOff>
                    <xdr:row>48</xdr:row>
                    <xdr:rowOff>9525</xdr:rowOff>
                  </from>
                  <to>
                    <xdr:col>23</xdr:col>
                    <xdr:colOff>295275</xdr:colOff>
                    <xdr:row>48</xdr:row>
                    <xdr:rowOff>314325</xdr:rowOff>
                  </to>
                </anchor>
              </controlPr>
            </control>
          </mc:Choice>
        </mc:AlternateContent>
        <mc:AlternateContent xmlns:mc="http://schemas.openxmlformats.org/markup-compatibility/2006">
          <mc:Choice Requires="x14">
            <control shapeId="27708" r:id="rId14" name="evid_tox_7">
              <controlPr defaultSize="0" autoFill="0" autoLine="0" autoPict="0">
                <anchor moveWithCells="1">
                  <from>
                    <xdr:col>21</xdr:col>
                    <xdr:colOff>142875</xdr:colOff>
                    <xdr:row>49</xdr:row>
                    <xdr:rowOff>9525</xdr:rowOff>
                  </from>
                  <to>
                    <xdr:col>23</xdr:col>
                    <xdr:colOff>295275</xdr:colOff>
                    <xdr:row>49</xdr:row>
                    <xdr:rowOff>314325</xdr:rowOff>
                  </to>
                </anchor>
              </controlPr>
            </control>
          </mc:Choice>
        </mc:AlternateContent>
        <mc:AlternateContent xmlns:mc="http://schemas.openxmlformats.org/markup-compatibility/2006">
          <mc:Choice Requires="x14">
            <control shapeId="27709" r:id="rId15" name="evid_tox_8">
              <controlPr defaultSize="0" autoFill="0" autoLine="0" autoPict="0">
                <anchor moveWithCells="1">
                  <from>
                    <xdr:col>21</xdr:col>
                    <xdr:colOff>142875</xdr:colOff>
                    <xdr:row>50</xdr:row>
                    <xdr:rowOff>9525</xdr:rowOff>
                  </from>
                  <to>
                    <xdr:col>23</xdr:col>
                    <xdr:colOff>295275</xdr:colOff>
                    <xdr:row>50</xdr:row>
                    <xdr:rowOff>314325</xdr:rowOff>
                  </to>
                </anchor>
              </controlPr>
            </control>
          </mc:Choice>
        </mc:AlternateContent>
        <mc:AlternateContent xmlns:mc="http://schemas.openxmlformats.org/markup-compatibility/2006">
          <mc:Choice Requires="x14">
            <control shapeId="27710" r:id="rId16" name="evid_tox_9">
              <controlPr defaultSize="0" autoFill="0" autoLine="0" autoPict="0">
                <anchor moveWithCells="1">
                  <from>
                    <xdr:col>21</xdr:col>
                    <xdr:colOff>142875</xdr:colOff>
                    <xdr:row>51</xdr:row>
                    <xdr:rowOff>19050</xdr:rowOff>
                  </from>
                  <to>
                    <xdr:col>23</xdr:col>
                    <xdr:colOff>295275</xdr:colOff>
                    <xdr:row>52</xdr:row>
                    <xdr:rowOff>0</xdr:rowOff>
                  </to>
                </anchor>
              </controlPr>
            </control>
          </mc:Choice>
        </mc:AlternateContent>
        <mc:AlternateContent xmlns:mc="http://schemas.openxmlformats.org/markup-compatibility/2006">
          <mc:Choice Requires="x14">
            <control shapeId="27711" r:id="rId17" name="evid_tox_10">
              <controlPr defaultSize="0" autoFill="0" autoLine="0" autoPict="0">
                <anchor moveWithCells="1">
                  <from>
                    <xdr:col>21</xdr:col>
                    <xdr:colOff>142875</xdr:colOff>
                    <xdr:row>52</xdr:row>
                    <xdr:rowOff>19050</xdr:rowOff>
                  </from>
                  <to>
                    <xdr:col>23</xdr:col>
                    <xdr:colOff>295275</xdr:colOff>
                    <xdr:row>53</xdr:row>
                    <xdr:rowOff>0</xdr:rowOff>
                  </to>
                </anchor>
              </controlPr>
            </control>
          </mc:Choice>
        </mc:AlternateContent>
        <mc:AlternateContent xmlns:mc="http://schemas.openxmlformats.org/markup-compatibility/2006">
          <mc:Choice Requires="x14">
            <control shapeId="27712" r:id="rId18" name="Check Box 64">
              <controlPr defaultSize="0" autoFill="0" autoLine="0" autoPict="0">
                <anchor moveWithCells="1">
                  <from>
                    <xdr:col>21</xdr:col>
                    <xdr:colOff>152400</xdr:colOff>
                    <xdr:row>44</xdr:row>
                    <xdr:rowOff>9525</xdr:rowOff>
                  </from>
                  <to>
                    <xdr:col>23</xdr:col>
                    <xdr:colOff>304800</xdr:colOff>
                    <xdr:row>44</xdr:row>
                    <xdr:rowOff>314325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473" id="{17559FA3-B3A1-4C08-9292-C607714DC08B}">
            <xm:f>IF(Respostas_usuario!#REF!&lt;&gt;0,1,0)</xm:f>
            <x14:dxf>
              <font>
                <b/>
                <i val="0"/>
                <color rgb="FF00B050"/>
              </font>
            </x14:dxf>
          </x14:cfRule>
          <xm:sqref>M13</xm:sqref>
        </x14:conditionalFormatting>
        <x14:conditionalFormatting xmlns:xm="http://schemas.microsoft.com/office/excel/2006/main">
          <x14:cfRule type="expression" priority="21" id="{25192C62-1721-4B20-B1AC-0D8082D7B2C1}">
            <xm:f>Respostas_usuario!$K$8&lt;&gt;0</xm:f>
            <x14:dxf>
              <font>
                <b/>
                <i val="0"/>
                <color rgb="FF00B050"/>
              </font>
              <fill>
                <patternFill>
                  <bgColor theme="0"/>
                </patternFill>
              </fill>
            </x14:dxf>
          </x14:cfRule>
          <xm:sqref>M62:M66</xm:sqref>
        </x14:conditionalFormatting>
        <x14:conditionalFormatting xmlns:xm="http://schemas.microsoft.com/office/excel/2006/main">
          <x14:cfRule type="expression" priority="19" id="{38944E38-DCFF-485D-8425-6B0F97337FF8}">
            <xm:f>Respostas_usuario!$K$8&lt;&gt;2</xm:f>
            <x14:dxf>
              <font>
                <color theme="0"/>
              </font>
              <fill>
                <patternFill>
                  <bgColor theme="0"/>
                </patternFill>
              </fill>
              <border>
                <right/>
                <top/>
                <bottom/>
              </border>
            </x14:dxf>
          </x14:cfRule>
          <xm:sqref>S62:AM66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Resposta inválida" error="A resposta deve ser Sim ou Não" xr:uid="{ED2B9EB7-BD9C-40C5-A104-E9B4EF79E620}">
          <x14:formula1>
            <xm:f>Tabelas_fonte!$Y$2:$Y$3</xm:f>
          </x14:formula1>
          <xm:sqref>N10:S10</xm:sqref>
        </x14:dataValidation>
        <x14:dataValidation type="list" allowBlank="1" showInputMessage="1" showErrorMessage="1" errorTitle="Resposta inválida" error="A resposta de ser Sim ou Não." xr:uid="{D8D2C013-E0F5-441B-B933-8B1BD56B8F7F}">
          <x14:formula1>
            <xm:f>Tabelas_fonte!$Y$2:$Y$3</xm:f>
          </x14:formula1>
          <xm:sqref>N20:S20 N26:S26</xm:sqref>
        </x14:dataValidation>
        <x14:dataValidation type="list" allowBlank="1" showInputMessage="1" xr:uid="{ACD91FA8-5AAD-4A5F-B46F-E670C9E39442}">
          <x14:formula1>
            <xm:f>Tabelas_fonte!$AG$2:$AG$7</xm:f>
          </x14:formula1>
          <xm:sqref>N21:AJ21</xm:sqref>
        </x14:dataValidation>
        <x14:dataValidation type="list" allowBlank="1" showInputMessage="1" showErrorMessage="1" errorTitle="Valor inválido" error="A resposta deve ser Sim ou Não" xr:uid="{17DE52B6-03CC-4C1B-B14D-5DB067CBAA39}">
          <x14:formula1>
            <xm:f>Tabelas_fonte!$Y$2:$Y$3</xm:f>
          </x14:formula1>
          <xm:sqref>AI63:AM66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D432-0128-4BF9-8936-E4AD692E141F}">
  <sheetPr codeName="Planilha21">
    <tabColor theme="8" tint="0.59999389629810485"/>
  </sheetPr>
  <dimension ref="A1:AO72"/>
  <sheetViews>
    <sheetView showGridLines="0" topLeftCell="D4" workbookViewId="0">
      <selection activeCell="D1" sqref="D1"/>
    </sheetView>
  </sheetViews>
  <sheetFormatPr defaultColWidth="0" defaultRowHeight="15" customHeight="1" zeroHeight="1" x14ac:dyDescent="0.25"/>
  <cols>
    <col min="1" max="3" width="2.7109375" style="20" hidden="1" customWidth="1"/>
    <col min="4" max="4" width="2.7109375" style="20" customWidth="1"/>
    <col min="5" max="5" width="2.7109375" style="1" customWidth="1"/>
    <col min="6" max="13" width="4.7109375" style="1" customWidth="1"/>
    <col min="14" max="14" width="5.7109375" style="1" customWidth="1"/>
    <col min="15" max="15" width="5.28515625" style="1" customWidth="1"/>
    <col min="16" max="40" width="4.7109375" style="1" customWidth="1"/>
    <col min="41" max="41" width="4.7109375" style="2" customWidth="1"/>
    <col min="42" max="16384" width="9.140625" style="20" hidden="1"/>
  </cols>
  <sheetData>
    <row r="1" spans="1:40" x14ac:dyDescent="0.25">
      <c r="A1" s="18"/>
      <c r="B1" s="18"/>
      <c r="C1" s="18"/>
      <c r="D1" s="7"/>
      <c r="E1" s="7"/>
    </row>
    <row r="2" spans="1:40" ht="15" customHeight="1" x14ac:dyDescent="0.25">
      <c r="A2" s="18"/>
      <c r="B2" s="18"/>
      <c r="C2" s="18"/>
      <c r="D2" s="7"/>
      <c r="E2" s="2"/>
      <c r="F2" s="1148" t="s">
        <v>6051</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row>
    <row r="3" spans="1:40"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row>
    <row r="4" spans="1:40"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row>
    <row r="5" spans="1:40"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row>
    <row r="6" spans="1:40"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row>
    <row r="7" spans="1:40" ht="20.100000000000001" customHeight="1" x14ac:dyDescent="0.25">
      <c r="A7" s="18"/>
      <c r="B7" s="18"/>
      <c r="C7" s="18"/>
      <c r="D7" s="7"/>
      <c r="E7" s="158"/>
      <c r="F7" s="1024" t="str">
        <f ca="1">Alertas!S12</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row>
    <row r="8" spans="1:40" x14ac:dyDescent="0.25">
      <c r="A8" s="18"/>
      <c r="B8" s="18"/>
      <c r="C8" s="18"/>
      <c r="D8" s="7"/>
      <c r="E8" s="7"/>
    </row>
    <row r="9" spans="1:40"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30" customHeight="1" x14ac:dyDescent="0.25">
      <c r="A10" s="18"/>
      <c r="B10" s="18"/>
      <c r="C10" s="18"/>
      <c r="D10" s="7"/>
      <c r="E10" s="2"/>
      <c r="F10" s="1208" t="s">
        <v>303</v>
      </c>
      <c r="G10" s="1208"/>
      <c r="H10" s="1208"/>
      <c r="I10" s="1208"/>
      <c r="J10" s="1208"/>
      <c r="K10" s="1208"/>
      <c r="L10" s="1208"/>
      <c r="M10" s="1208"/>
      <c r="N10" s="1209"/>
      <c r="O10" s="1209"/>
      <c r="P10" s="1209"/>
      <c r="Q10" s="1209"/>
      <c r="R10" s="1209"/>
      <c r="S10" s="1209"/>
      <c r="T10" s="2"/>
      <c r="U10" s="2"/>
      <c r="V10" s="2"/>
      <c r="W10" s="2"/>
      <c r="X10" s="2"/>
      <c r="Y10" s="2"/>
      <c r="Z10" s="2"/>
      <c r="AA10" s="2"/>
      <c r="AB10" s="2"/>
      <c r="AC10" s="2"/>
      <c r="AD10" s="2"/>
      <c r="AE10" s="2"/>
      <c r="AF10" s="2"/>
      <c r="AG10" s="2"/>
      <c r="AH10" s="2"/>
      <c r="AI10" s="2"/>
      <c r="AJ10" s="2"/>
      <c r="AK10" s="2"/>
      <c r="AL10" s="2"/>
      <c r="AM10" s="2"/>
      <c r="AN10" s="2"/>
    </row>
    <row r="11" spans="1:40" ht="30" customHeight="1" x14ac:dyDescent="0.25">
      <c r="A11" s="18"/>
      <c r="B11" s="18"/>
      <c r="C11" s="18"/>
      <c r="D11" s="7"/>
      <c r="E11" s="161"/>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161"/>
    </row>
    <row r="12" spans="1:40" ht="20.100000000000001" customHeight="1" x14ac:dyDescent="0.25">
      <c r="A12" s="18"/>
      <c r="B12" s="18"/>
      <c r="C12" s="18"/>
      <c r="D12" s="7"/>
      <c r="E12" s="161"/>
      <c r="F12" s="2"/>
      <c r="G12" s="2"/>
      <c r="H12" s="2"/>
      <c r="I12" s="2"/>
      <c r="J12" s="2"/>
      <c r="K12" s="2"/>
      <c r="L12" s="2"/>
      <c r="M12" s="2"/>
      <c r="N12" s="1215" t="s">
        <v>236</v>
      </c>
      <c r="O12" s="1215"/>
      <c r="P12" s="1215"/>
      <c r="Q12" s="1215"/>
      <c r="R12" s="1215"/>
      <c r="S12" s="1215"/>
      <c r="T12" s="1215"/>
      <c r="U12" s="1215"/>
      <c r="V12" s="1215"/>
      <c r="W12" s="1215"/>
      <c r="X12" s="1215"/>
      <c r="Y12" s="1215"/>
      <c r="Z12" s="2"/>
      <c r="AA12" s="2"/>
      <c r="AB12" s="2"/>
      <c r="AC12" s="2"/>
      <c r="AD12" s="2"/>
      <c r="AE12" s="2"/>
      <c r="AF12" s="2"/>
      <c r="AG12" s="2"/>
      <c r="AH12" s="2"/>
      <c r="AI12" s="2"/>
      <c r="AJ12" s="2"/>
      <c r="AK12" s="2"/>
      <c r="AL12" s="2"/>
      <c r="AM12" s="2"/>
      <c r="AN12" s="116"/>
    </row>
    <row r="13" spans="1:40" ht="39.950000000000003" customHeight="1" x14ac:dyDescent="0.25">
      <c r="A13" s="18"/>
      <c r="B13" s="18"/>
      <c r="C13" s="18"/>
      <c r="D13" s="7"/>
      <c r="E13" s="161"/>
      <c r="F13" s="1067" t="s">
        <v>40</v>
      </c>
      <c r="G13" s="1068"/>
      <c r="H13" s="1068"/>
      <c r="I13" s="1068"/>
      <c r="J13" s="1068"/>
      <c r="K13" s="1068"/>
      <c r="L13" s="1068"/>
      <c r="M13" s="1186" t="s">
        <v>186</v>
      </c>
      <c r="N13" s="178"/>
      <c r="O13" s="1050" t="s">
        <v>7957</v>
      </c>
      <c r="P13" s="1050"/>
      <c r="Q13" s="1050"/>
      <c r="R13" s="1050"/>
      <c r="S13" s="1050"/>
      <c r="T13" s="1050"/>
      <c r="U13" s="1050"/>
      <c r="V13" s="1050"/>
      <c r="W13" s="1050"/>
      <c r="X13" s="1050"/>
      <c r="Y13" s="1050"/>
      <c r="Z13" s="1050"/>
      <c r="AA13" s="1050"/>
      <c r="AB13" s="1050"/>
      <c r="AC13" s="1050"/>
      <c r="AD13" s="1050"/>
      <c r="AE13" s="1050"/>
      <c r="AF13" s="1050"/>
      <c r="AG13" s="1050"/>
      <c r="AH13" s="1050"/>
      <c r="AI13" s="1050"/>
      <c r="AJ13" s="1050"/>
      <c r="AK13" s="1050"/>
      <c r="AL13" s="1050"/>
      <c r="AM13" s="1051"/>
      <c r="AN13" s="116"/>
    </row>
    <row r="14" spans="1:40" ht="39.950000000000003" customHeight="1" x14ac:dyDescent="0.25">
      <c r="A14" s="18"/>
      <c r="B14" s="18"/>
      <c r="C14" s="18"/>
      <c r="D14" s="7"/>
      <c r="E14" s="161"/>
      <c r="F14" s="1073"/>
      <c r="G14" s="1074"/>
      <c r="H14" s="1074"/>
      <c r="I14" s="1074"/>
      <c r="J14" s="1074"/>
      <c r="K14" s="1074"/>
      <c r="L14" s="1074"/>
      <c r="M14" s="1187"/>
      <c r="N14" s="179"/>
      <c r="O14" s="1210" t="s">
        <v>8</v>
      </c>
      <c r="P14" s="1210"/>
      <c r="Q14" s="1012" t="s">
        <v>41</v>
      </c>
      <c r="R14" s="1012"/>
      <c r="S14" s="1012"/>
      <c r="T14" s="1200"/>
      <c r="U14" s="1200"/>
      <c r="V14" s="1200"/>
      <c r="W14" s="1200"/>
      <c r="X14" s="1200"/>
      <c r="Y14" s="1200"/>
      <c r="Z14" s="1200"/>
      <c r="AA14" s="1200"/>
      <c r="AB14" s="1200"/>
      <c r="AC14" s="1200"/>
      <c r="AD14" s="1200"/>
      <c r="AE14" s="1200"/>
      <c r="AF14" s="1200"/>
      <c r="AG14" s="1200"/>
      <c r="AH14" s="1200"/>
      <c r="AI14" s="1200"/>
      <c r="AJ14" s="1200"/>
      <c r="AK14" s="1200"/>
      <c r="AL14" s="1200"/>
      <c r="AM14" s="1200"/>
      <c r="AN14" s="4"/>
    </row>
    <row r="15" spans="1:40" ht="15" customHeight="1" x14ac:dyDescent="0.25">
      <c r="A15" s="18"/>
      <c r="B15" s="18"/>
      <c r="C15" s="18"/>
      <c r="D15" s="7"/>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row>
    <row r="16" spans="1:40" ht="20.100000000000001" customHeight="1" x14ac:dyDescent="0.25">
      <c r="A16" s="18"/>
      <c r="B16" s="18"/>
      <c r="C16" s="18"/>
      <c r="D16" s="7"/>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row>
    <row r="17" spans="1:40" ht="15" customHeight="1" x14ac:dyDescent="0.25">
      <c r="A17" s="18"/>
      <c r="B17" s="18"/>
      <c r="C17" s="18"/>
      <c r="D17" s="7"/>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row>
    <row r="18" spans="1:40" ht="30" customHeight="1" x14ac:dyDescent="0.25">
      <c r="A18" s="18"/>
      <c r="B18" s="18"/>
      <c r="C18" s="18"/>
      <c r="D18" s="7"/>
      <c r="E18" s="2"/>
      <c r="F18" s="1149" t="s">
        <v>30</v>
      </c>
      <c r="G18" s="1094"/>
      <c r="H18" s="1094"/>
      <c r="I18" s="1094"/>
      <c r="J18" s="1094"/>
      <c r="K18" s="1094"/>
      <c r="L18" s="1104"/>
      <c r="M18" s="181" t="s">
        <v>186</v>
      </c>
      <c r="N18" s="1140"/>
      <c r="O18" s="1141"/>
      <c r="P18" s="1141"/>
      <c r="Q18" s="1141"/>
      <c r="R18" s="1141"/>
      <c r="S18" s="1141"/>
      <c r="T18" s="1141"/>
      <c r="U18" s="1141"/>
      <c r="V18" s="1141"/>
      <c r="W18" s="1141"/>
      <c r="X18" s="1141"/>
      <c r="Y18" s="1141"/>
      <c r="Z18" s="1142"/>
      <c r="AA18" s="1009" t="s">
        <v>294</v>
      </c>
      <c r="AB18" s="1009"/>
      <c r="AC18" s="1009"/>
      <c r="AD18" s="1041"/>
      <c r="AE18" s="181" t="s">
        <v>186</v>
      </c>
      <c r="AF18" s="1140"/>
      <c r="AG18" s="1141"/>
      <c r="AH18" s="1141"/>
      <c r="AI18" s="1141"/>
      <c r="AJ18" s="1142"/>
      <c r="AK18" s="2"/>
      <c r="AL18" s="2"/>
      <c r="AM18" s="2"/>
      <c r="AN18" s="2"/>
    </row>
    <row r="19" spans="1:40" ht="60" customHeight="1" x14ac:dyDescent="0.25">
      <c r="A19" s="18"/>
      <c r="B19" s="18"/>
      <c r="C19" s="18"/>
      <c r="D19" s="7"/>
      <c r="E19" s="2"/>
      <c r="F19" s="1008" t="s">
        <v>7300</v>
      </c>
      <c r="G19" s="1009"/>
      <c r="H19" s="1009"/>
      <c r="I19" s="1009"/>
      <c r="J19" s="1009"/>
      <c r="K19" s="1009"/>
      <c r="L19" s="1041"/>
      <c r="M19" s="181" t="s">
        <v>186</v>
      </c>
      <c r="N19" s="1140"/>
      <c r="O19" s="1141"/>
      <c r="P19" s="1141"/>
      <c r="Q19" s="1141"/>
      <c r="R19" s="1141"/>
      <c r="S19" s="1141"/>
      <c r="T19" s="1141"/>
      <c r="U19" s="1141"/>
      <c r="V19" s="1141"/>
      <c r="W19" s="1141"/>
      <c r="X19" s="1141"/>
      <c r="Y19" s="1141"/>
      <c r="Z19" s="1141"/>
      <c r="AA19" s="1141"/>
      <c r="AB19" s="1141"/>
      <c r="AC19" s="1141"/>
      <c r="AD19" s="1141"/>
      <c r="AE19" s="1141"/>
      <c r="AF19" s="1141"/>
      <c r="AG19" s="1141"/>
      <c r="AH19" s="1141"/>
      <c r="AI19" s="1141"/>
      <c r="AJ19" s="1142"/>
      <c r="AK19" s="1158" t="s">
        <v>271</v>
      </c>
      <c r="AL19" s="1159"/>
      <c r="AM19" s="1159"/>
      <c r="AN19" s="1159"/>
    </row>
    <row r="20" spans="1:40" ht="20.100000000000001" customHeight="1" x14ac:dyDescent="0.25">
      <c r="A20" s="18"/>
      <c r="B20" s="18"/>
      <c r="C20" s="18"/>
      <c r="D20" s="7"/>
      <c r="E20" s="2"/>
      <c r="F20" s="1008" t="s">
        <v>6029</v>
      </c>
      <c r="G20" s="1009"/>
      <c r="H20" s="1009"/>
      <c r="I20" s="1009"/>
      <c r="J20" s="1009"/>
      <c r="K20" s="1009"/>
      <c r="L20" s="1041"/>
      <c r="M20" s="181" t="s">
        <v>186</v>
      </c>
      <c r="N20" s="1147"/>
      <c r="O20" s="1096"/>
      <c r="P20" s="1096"/>
      <c r="Q20" s="1096"/>
      <c r="R20" s="1096"/>
      <c r="S20" s="1097"/>
      <c r="T20" s="171"/>
      <c r="U20" s="172"/>
      <c r="V20" s="172"/>
      <c r="W20" s="172"/>
      <c r="X20" s="172"/>
      <c r="Y20" s="172"/>
      <c r="Z20" s="172"/>
      <c r="AA20" s="172"/>
      <c r="AB20" s="172"/>
      <c r="AC20" s="172"/>
      <c r="AD20" s="172"/>
      <c r="AE20" s="172"/>
      <c r="AF20" s="172"/>
      <c r="AG20" s="172"/>
      <c r="AH20" s="172"/>
      <c r="AI20" s="173"/>
      <c r="AJ20" s="173"/>
      <c r="AK20" s="2"/>
      <c r="AL20" s="2"/>
      <c r="AM20" s="2"/>
      <c r="AN20" s="2"/>
    </row>
    <row r="21" spans="1:40" ht="20.100000000000001" customHeight="1" x14ac:dyDescent="0.25">
      <c r="A21" s="18"/>
      <c r="B21" s="18"/>
      <c r="C21" s="18"/>
      <c r="D21" s="7"/>
      <c r="E21" s="2"/>
      <c r="F21" s="1149" t="s">
        <v>218</v>
      </c>
      <c r="G21" s="1094"/>
      <c r="H21" s="1094"/>
      <c r="I21" s="1094"/>
      <c r="J21" s="1094"/>
      <c r="K21" s="1094"/>
      <c r="L21" s="1104"/>
      <c r="M21" s="181" t="s">
        <v>186</v>
      </c>
      <c r="N21" s="1143"/>
      <c r="O21" s="1106"/>
      <c r="P21" s="1106"/>
      <c r="Q21" s="1106"/>
      <c r="R21" s="1106"/>
      <c r="S21" s="1106"/>
      <c r="T21" s="1106"/>
      <c r="U21" s="1106"/>
      <c r="V21" s="1106"/>
      <c r="W21" s="1106"/>
      <c r="X21" s="1106"/>
      <c r="Y21" s="1106"/>
      <c r="Z21" s="1106"/>
      <c r="AA21" s="1106"/>
      <c r="AB21" s="1106"/>
      <c r="AC21" s="1106"/>
      <c r="AD21" s="1106"/>
      <c r="AE21" s="1106"/>
      <c r="AF21" s="1106"/>
      <c r="AG21" s="1106"/>
      <c r="AH21" s="1106"/>
      <c r="AI21" s="1106"/>
      <c r="AJ21" s="1107"/>
      <c r="AK21" s="2"/>
      <c r="AL21" s="2"/>
      <c r="AM21" s="2"/>
      <c r="AN21" s="2"/>
    </row>
    <row r="22" spans="1:40" ht="20.100000000000001" customHeight="1" x14ac:dyDescent="0.25">
      <c r="A22" s="18"/>
      <c r="B22" s="18"/>
      <c r="C22" s="18"/>
      <c r="D22" s="7"/>
      <c r="E22" s="2"/>
      <c r="F22" s="1149" t="s">
        <v>311</v>
      </c>
      <c r="G22" s="1094"/>
      <c r="H22" s="1094"/>
      <c r="I22" s="1094"/>
      <c r="J22" s="1094"/>
      <c r="K22" s="1094"/>
      <c r="L22" s="1094"/>
      <c r="M22" s="1150"/>
      <c r="N22" s="1144"/>
      <c r="O22" s="1108"/>
      <c r="P22" s="1108"/>
      <c r="Q22" s="1108"/>
      <c r="R22" s="1108"/>
      <c r="S22" s="1108"/>
      <c r="T22" s="1108"/>
      <c r="U22" s="1108"/>
      <c r="V22" s="1108"/>
      <c r="W22" s="1108"/>
      <c r="X22" s="1108"/>
      <c r="Y22" s="1108"/>
      <c r="Z22" s="1108"/>
      <c r="AA22" s="1108"/>
      <c r="AB22" s="1108"/>
      <c r="AC22" s="1108"/>
      <c r="AD22" s="1108"/>
      <c r="AE22" s="1108"/>
      <c r="AF22" s="1108"/>
      <c r="AG22" s="1108"/>
      <c r="AH22" s="1108"/>
      <c r="AI22" s="1108"/>
      <c r="AJ22" s="1109"/>
      <c r="AK22" s="2"/>
      <c r="AL22" s="2"/>
      <c r="AM22" s="2"/>
      <c r="AN22" s="2"/>
    </row>
    <row r="23" spans="1:40" ht="30" customHeight="1" x14ac:dyDescent="0.25">
      <c r="A23" s="18"/>
      <c r="B23" s="18"/>
      <c r="C23" s="18"/>
      <c r="D23" s="7"/>
      <c r="E23" s="2"/>
      <c r="F23" s="1008" t="s">
        <v>7301</v>
      </c>
      <c r="G23" s="1009"/>
      <c r="H23" s="1009"/>
      <c r="I23" s="1009"/>
      <c r="J23" s="1009"/>
      <c r="K23" s="1009"/>
      <c r="L23" s="1009"/>
      <c r="M23" s="1010"/>
      <c r="N23" s="1151" t="s">
        <v>6030</v>
      </c>
      <c r="O23" s="1088"/>
      <c r="P23" s="1089"/>
      <c r="Q23" s="181" t="s">
        <v>186</v>
      </c>
      <c r="R23" s="999"/>
      <c r="S23" s="1000"/>
      <c r="T23" s="1000"/>
      <c r="U23" s="1000"/>
      <c r="V23" s="1000"/>
      <c r="W23" s="1000"/>
      <c r="X23" s="1001"/>
      <c r="Y23" s="1073" t="s">
        <v>31</v>
      </c>
      <c r="Z23" s="1074"/>
      <c r="AA23" s="1074"/>
      <c r="AB23" s="1075"/>
      <c r="AC23" s="181" t="s">
        <v>186</v>
      </c>
      <c r="AD23" s="999"/>
      <c r="AE23" s="1000"/>
      <c r="AF23" s="1000"/>
      <c r="AG23" s="1000"/>
      <c r="AH23" s="1000"/>
      <c r="AI23" s="1000"/>
      <c r="AJ23" s="1001"/>
      <c r="AK23" s="2"/>
      <c r="AL23" s="2"/>
      <c r="AM23" s="2"/>
      <c r="AN23" s="2"/>
    </row>
    <row r="24" spans="1:40" ht="30" customHeight="1" x14ac:dyDescent="0.25">
      <c r="A24" s="18"/>
      <c r="B24" s="18"/>
      <c r="C24" s="18"/>
      <c r="D24" s="7"/>
      <c r="E24" s="2"/>
      <c r="F24" s="1008" t="s">
        <v>5720</v>
      </c>
      <c r="G24" s="1009"/>
      <c r="H24" s="1009"/>
      <c r="I24" s="1009"/>
      <c r="J24" s="1009"/>
      <c r="K24" s="1009"/>
      <c r="L24" s="1009"/>
      <c r="M24" s="181" t="s">
        <v>186</v>
      </c>
      <c r="N24" s="1136"/>
      <c r="O24" s="1090"/>
      <c r="P24" s="1090"/>
      <c r="Q24" s="1090"/>
      <c r="R24" s="1091"/>
      <c r="S24" s="1092"/>
      <c r="T24" s="2"/>
      <c r="U24" s="2"/>
      <c r="V24" s="2"/>
      <c r="W24" s="2"/>
      <c r="X24" s="2"/>
      <c r="Y24" s="2"/>
      <c r="Z24" s="2"/>
      <c r="AA24" s="2"/>
      <c r="AB24" s="2"/>
      <c r="AC24" s="2"/>
      <c r="AD24" s="2"/>
      <c r="AE24" s="2"/>
      <c r="AF24" s="2"/>
      <c r="AG24" s="2"/>
      <c r="AH24" s="2"/>
      <c r="AI24" s="2"/>
      <c r="AJ24" s="2"/>
      <c r="AK24" s="2"/>
      <c r="AL24" s="2"/>
      <c r="AM24" s="2"/>
      <c r="AN24" s="2"/>
    </row>
    <row r="25" spans="1:40" ht="20.100000000000001" customHeight="1" x14ac:dyDescent="0.25">
      <c r="A25" s="18"/>
      <c r="B25" s="18"/>
      <c r="C25" s="18"/>
      <c r="D25" s="7"/>
      <c r="E25" s="2"/>
      <c r="F25" s="1149" t="s">
        <v>85</v>
      </c>
      <c r="G25" s="1094"/>
      <c r="H25" s="1094"/>
      <c r="I25" s="1094"/>
      <c r="J25" s="1094"/>
      <c r="K25" s="1094"/>
      <c r="L25" s="1094"/>
      <c r="M25" s="181" t="s">
        <v>186</v>
      </c>
      <c r="N25" s="1139" t="s">
        <v>281</v>
      </c>
      <c r="O25" s="1191"/>
      <c r="P25" s="1191"/>
      <c r="Q25" s="1191"/>
      <c r="R25" s="1191"/>
      <c r="S25" s="1191"/>
      <c r="T25" s="1008" t="s">
        <v>235</v>
      </c>
      <c r="U25" s="1009"/>
      <c r="V25" s="1009"/>
      <c r="W25" s="1009"/>
      <c r="X25" s="1009"/>
      <c r="Y25" s="1009"/>
      <c r="Z25" s="1009"/>
      <c r="AA25" s="181" t="s">
        <v>186</v>
      </c>
      <c r="AB25" s="1130"/>
      <c r="AC25" s="1131"/>
      <c r="AD25" s="1131"/>
      <c r="AE25" s="1131"/>
      <c r="AF25" s="1131"/>
      <c r="AG25" s="1131"/>
      <c r="AH25" s="1131"/>
      <c r="AI25" s="1131"/>
      <c r="AJ25" s="1132"/>
      <c r="AK25" s="2"/>
      <c r="AL25" s="2"/>
      <c r="AM25" s="2"/>
      <c r="AN25" s="2"/>
    </row>
    <row r="26" spans="1:40" ht="30" customHeight="1" x14ac:dyDescent="0.25">
      <c r="A26" s="18"/>
      <c r="B26" s="18"/>
      <c r="C26" s="18"/>
      <c r="D26" s="7"/>
      <c r="E26" s="2"/>
      <c r="F26" s="1149" t="s">
        <v>42</v>
      </c>
      <c r="G26" s="1094"/>
      <c r="H26" s="1094"/>
      <c r="I26" s="1094"/>
      <c r="J26" s="1094"/>
      <c r="K26" s="1094"/>
      <c r="L26" s="1094"/>
      <c r="M26" s="181" t="s">
        <v>186</v>
      </c>
      <c r="N26" s="1190"/>
      <c r="O26" s="1189"/>
      <c r="P26" s="1189"/>
      <c r="Q26" s="1189"/>
      <c r="R26" s="1189"/>
      <c r="S26" s="1189"/>
      <c r="T26" s="2"/>
      <c r="U26" s="2"/>
      <c r="V26" s="2"/>
      <c r="W26" s="2"/>
      <c r="X26" s="2"/>
      <c r="Y26" s="2"/>
      <c r="Z26" s="2"/>
      <c r="AA26" s="2"/>
      <c r="AB26" s="2"/>
      <c r="AC26" s="2"/>
      <c r="AD26" s="2"/>
      <c r="AE26" s="2"/>
      <c r="AF26" s="2"/>
      <c r="AG26" s="2"/>
      <c r="AH26" s="2"/>
      <c r="AI26" s="2"/>
      <c r="AJ26" s="2"/>
      <c r="AK26" s="2"/>
      <c r="AL26" s="2"/>
      <c r="AM26" s="2"/>
      <c r="AN26" s="2"/>
    </row>
    <row r="27" spans="1:40" ht="20.100000000000001" customHeight="1" x14ac:dyDescent="0.25">
      <c r="A27" s="18"/>
      <c r="B27" s="18"/>
      <c r="C27" s="18"/>
      <c r="D27" s="7"/>
      <c r="E27" s="2"/>
      <c r="F27" s="182"/>
      <c r="G27" s="2"/>
      <c r="H27" s="2"/>
      <c r="I27" s="2"/>
      <c r="J27" s="2"/>
      <c r="K27" s="2"/>
      <c r="L27" s="2"/>
      <c r="M27" s="2"/>
      <c r="N27" s="2"/>
      <c r="O27" s="2"/>
      <c r="P27" s="2"/>
      <c r="Q27" s="2"/>
      <c r="R27" s="2"/>
      <c r="S27" s="2"/>
      <c r="T27" s="2"/>
      <c r="U27" s="2"/>
      <c r="V27" s="2"/>
      <c r="W27" s="2"/>
      <c r="X27" s="2"/>
      <c r="Y27" s="2"/>
      <c r="Z27" s="2"/>
      <c r="AA27" s="2"/>
      <c r="AB27" s="2"/>
      <c r="AC27" s="2"/>
      <c r="AD27" s="2"/>
      <c r="AE27" s="2"/>
      <c r="AF27" s="1201"/>
      <c r="AG27" s="1201"/>
      <c r="AH27" s="1201"/>
      <c r="AI27" s="1201"/>
      <c r="AJ27" s="1201"/>
      <c r="AK27" s="1201"/>
      <c r="AL27" s="1201"/>
      <c r="AM27" s="1201"/>
      <c r="AN27" s="2"/>
    </row>
    <row r="28" spans="1:40" ht="20.100000000000001" customHeight="1" x14ac:dyDescent="0.25">
      <c r="A28" s="18"/>
      <c r="B28" s="18"/>
      <c r="C28" s="18"/>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183"/>
      <c r="AG28" s="183"/>
      <c r="AH28" s="183"/>
      <c r="AI28" s="183"/>
      <c r="AJ28" s="183"/>
      <c r="AK28" s="183"/>
      <c r="AL28" s="183"/>
      <c r="AM28" s="183"/>
      <c r="AN28" s="7"/>
    </row>
    <row r="29" spans="1:40" ht="20.100000000000001" customHeight="1" x14ac:dyDescent="0.25">
      <c r="A29" s="18"/>
      <c r="B29" s="18"/>
      <c r="C29" s="18"/>
      <c r="D29" s="7"/>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39.950000000000003" customHeight="1" x14ac:dyDescent="0.25">
      <c r="A30" s="18"/>
      <c r="B30" s="18"/>
      <c r="C30" s="18"/>
      <c r="D30" s="7"/>
      <c r="E30" s="2"/>
      <c r="F30" s="184"/>
      <c r="G30" s="184"/>
      <c r="H30" s="184"/>
      <c r="I30" s="184"/>
      <c r="J30" s="184"/>
      <c r="K30" s="184"/>
      <c r="L30" s="184"/>
      <c r="M30" s="185"/>
      <c r="N30" s="1211" t="s">
        <v>321</v>
      </c>
      <c r="O30" s="1211"/>
      <c r="P30" s="1211"/>
      <c r="Q30" s="1211"/>
      <c r="R30" s="1204" t="s">
        <v>7095</v>
      </c>
      <c r="S30" s="1204"/>
      <c r="T30" s="1204"/>
      <c r="U30" s="1074" t="s">
        <v>7093</v>
      </c>
      <c r="V30" s="1074"/>
      <c r="W30" s="1074"/>
      <c r="X30" s="1157" t="s">
        <v>289</v>
      </c>
      <c r="Y30" s="1152"/>
      <c r="Z30" s="1152"/>
      <c r="AA30" s="1074" t="s">
        <v>7094</v>
      </c>
      <c r="AB30" s="1074"/>
      <c r="AC30" s="1074"/>
      <c r="AD30" s="1157" t="s">
        <v>285</v>
      </c>
      <c r="AE30" s="1152"/>
      <c r="AF30" s="1152"/>
      <c r="AG30" s="1202" t="s">
        <v>7309</v>
      </c>
      <c r="AH30" s="1203"/>
      <c r="AI30" s="1204" t="s">
        <v>7310</v>
      </c>
      <c r="AJ30" s="1204"/>
      <c r="AK30" s="1204" t="s">
        <v>7307</v>
      </c>
      <c r="AL30" s="1204"/>
      <c r="AM30" s="1204" t="s">
        <v>7308</v>
      </c>
      <c r="AN30" s="1204"/>
    </row>
    <row r="31" spans="1:40" ht="20.100000000000001" customHeight="1" x14ac:dyDescent="0.25">
      <c r="A31" s="18"/>
      <c r="B31" s="18"/>
      <c r="C31" s="18"/>
      <c r="D31" s="7"/>
      <c r="E31" s="2"/>
      <c r="F31" s="1193" t="s">
        <v>292</v>
      </c>
      <c r="G31" s="1194"/>
      <c r="H31" s="1194"/>
      <c r="I31" s="1194"/>
      <c r="J31" s="1194"/>
      <c r="K31" s="1194"/>
      <c r="L31" s="1194"/>
      <c r="M31" s="186"/>
      <c r="N31" s="1197" t="s">
        <v>200</v>
      </c>
      <c r="O31" s="1198"/>
      <c r="P31" s="1198"/>
      <c r="Q31" s="1199"/>
      <c r="R31" s="1133"/>
      <c r="S31" s="1133"/>
      <c r="T31" s="1133"/>
      <c r="U31" s="1205"/>
      <c r="V31" s="1205"/>
      <c r="W31" s="1205"/>
      <c r="X31" s="1134"/>
      <c r="Y31" s="1156"/>
      <c r="Z31" s="1135"/>
      <c r="AA31" s="1206"/>
      <c r="AB31" s="1206"/>
      <c r="AC31" s="1206"/>
      <c r="AD31" s="1134"/>
      <c r="AE31" s="1156"/>
      <c r="AF31" s="1135"/>
      <c r="AG31" s="1207"/>
      <c r="AH31" s="1207"/>
      <c r="AI31" s="1207"/>
      <c r="AJ31" s="1207"/>
      <c r="AK31" s="1207"/>
      <c r="AL31" s="1207"/>
      <c r="AM31" s="1207"/>
      <c r="AN31" s="1207"/>
    </row>
    <row r="32" spans="1:40" ht="20.100000000000001" customHeight="1" x14ac:dyDescent="0.25">
      <c r="A32" s="18"/>
      <c r="B32" s="18"/>
      <c r="C32" s="18"/>
      <c r="D32" s="7"/>
      <c r="E32" s="2"/>
      <c r="F32" s="1195"/>
      <c r="G32" s="1084"/>
      <c r="H32" s="1084"/>
      <c r="I32" s="1084"/>
      <c r="J32" s="1084"/>
      <c r="K32" s="1084"/>
      <c r="L32" s="1084"/>
      <c r="M32" s="190"/>
      <c r="N32" s="1197" t="s">
        <v>200</v>
      </c>
      <c r="O32" s="1198"/>
      <c r="P32" s="1198"/>
      <c r="Q32" s="1199"/>
      <c r="R32" s="1133"/>
      <c r="S32" s="1133"/>
      <c r="T32" s="1133"/>
      <c r="U32" s="1205"/>
      <c r="V32" s="1205"/>
      <c r="W32" s="1205"/>
      <c r="X32" s="1134"/>
      <c r="Y32" s="1156"/>
      <c r="Z32" s="1135"/>
      <c r="AA32" s="1206"/>
      <c r="AB32" s="1206"/>
      <c r="AC32" s="1206"/>
      <c r="AD32" s="1134"/>
      <c r="AE32" s="1156"/>
      <c r="AF32" s="1135"/>
      <c r="AG32" s="1207"/>
      <c r="AH32" s="1207"/>
      <c r="AI32" s="1207"/>
      <c r="AJ32" s="1207"/>
      <c r="AK32" s="1207"/>
      <c r="AL32" s="1207"/>
      <c r="AM32" s="1207"/>
      <c r="AN32" s="1207"/>
    </row>
    <row r="33" spans="1:40" ht="20.100000000000001" customHeight="1" x14ac:dyDescent="0.25">
      <c r="A33" s="18"/>
      <c r="B33" s="18"/>
      <c r="C33" s="18"/>
      <c r="D33" s="7"/>
      <c r="E33" s="2"/>
      <c r="F33" s="1195"/>
      <c r="G33" s="1084"/>
      <c r="H33" s="1084"/>
      <c r="I33" s="1084"/>
      <c r="J33" s="1084"/>
      <c r="K33" s="1084"/>
      <c r="L33" s="1084"/>
      <c r="M33" s="190"/>
      <c r="N33" s="1197" t="s">
        <v>200</v>
      </c>
      <c r="O33" s="1198"/>
      <c r="P33" s="1198"/>
      <c r="Q33" s="1199"/>
      <c r="R33" s="1133"/>
      <c r="S33" s="1133"/>
      <c r="T33" s="1133"/>
      <c r="U33" s="1205"/>
      <c r="V33" s="1205"/>
      <c r="W33" s="1205"/>
      <c r="X33" s="1134"/>
      <c r="Y33" s="1156"/>
      <c r="Z33" s="1135"/>
      <c r="AA33" s="1206"/>
      <c r="AB33" s="1206"/>
      <c r="AC33" s="1206"/>
      <c r="AD33" s="1134"/>
      <c r="AE33" s="1156"/>
      <c r="AF33" s="1135"/>
      <c r="AG33" s="1207"/>
      <c r="AH33" s="1207"/>
      <c r="AI33" s="1207"/>
      <c r="AJ33" s="1207"/>
      <c r="AK33" s="1207"/>
      <c r="AL33" s="1207"/>
      <c r="AM33" s="1207"/>
      <c r="AN33" s="1207"/>
    </row>
    <row r="34" spans="1:40" ht="20.100000000000001" customHeight="1" x14ac:dyDescent="0.25">
      <c r="A34" s="18"/>
      <c r="B34" s="18"/>
      <c r="C34" s="18"/>
      <c r="D34" s="7"/>
      <c r="E34" s="2"/>
      <c r="F34" s="1195"/>
      <c r="G34" s="1084"/>
      <c r="H34" s="1084"/>
      <c r="I34" s="1084"/>
      <c r="J34" s="1084"/>
      <c r="K34" s="1084"/>
      <c r="L34" s="1084"/>
      <c r="M34" s="190"/>
      <c r="N34" s="1197" t="s">
        <v>200</v>
      </c>
      <c r="O34" s="1198"/>
      <c r="P34" s="1198"/>
      <c r="Q34" s="1199"/>
      <c r="R34" s="1133"/>
      <c r="S34" s="1133"/>
      <c r="T34" s="1133"/>
      <c r="U34" s="1205"/>
      <c r="V34" s="1205"/>
      <c r="W34" s="1205"/>
      <c r="X34" s="1134"/>
      <c r="Y34" s="1156"/>
      <c r="Z34" s="1135"/>
      <c r="AA34" s="1206"/>
      <c r="AB34" s="1206"/>
      <c r="AC34" s="1206"/>
      <c r="AD34" s="1134"/>
      <c r="AE34" s="1156"/>
      <c r="AF34" s="1135"/>
      <c r="AG34" s="1207"/>
      <c r="AH34" s="1207"/>
      <c r="AI34" s="1207"/>
      <c r="AJ34" s="1207"/>
      <c r="AK34" s="1207"/>
      <c r="AL34" s="1207"/>
      <c r="AM34" s="1207"/>
      <c r="AN34" s="1207"/>
    </row>
    <row r="35" spans="1:40" ht="20.100000000000001" customHeight="1" x14ac:dyDescent="0.25">
      <c r="A35" s="18"/>
      <c r="B35" s="18"/>
      <c r="C35" s="18"/>
      <c r="D35" s="7"/>
      <c r="E35" s="2"/>
      <c r="F35" s="1195"/>
      <c r="G35" s="1084"/>
      <c r="H35" s="1084"/>
      <c r="I35" s="1084"/>
      <c r="J35" s="1084"/>
      <c r="K35" s="1084"/>
      <c r="L35" s="1084"/>
      <c r="M35" s="191" t="s">
        <v>186</v>
      </c>
      <c r="N35" s="1197" t="s">
        <v>200</v>
      </c>
      <c r="O35" s="1198"/>
      <c r="P35" s="1198"/>
      <c r="Q35" s="1199"/>
      <c r="R35" s="1133"/>
      <c r="S35" s="1133"/>
      <c r="T35" s="1133"/>
      <c r="U35" s="1205"/>
      <c r="V35" s="1205"/>
      <c r="W35" s="1205"/>
      <c r="X35" s="1134"/>
      <c r="Y35" s="1156"/>
      <c r="Z35" s="1135"/>
      <c r="AA35" s="1206"/>
      <c r="AB35" s="1206"/>
      <c r="AC35" s="1206"/>
      <c r="AD35" s="1134"/>
      <c r="AE35" s="1156"/>
      <c r="AF35" s="1135"/>
      <c r="AG35" s="1207"/>
      <c r="AH35" s="1207"/>
      <c r="AI35" s="1207"/>
      <c r="AJ35" s="1207"/>
      <c r="AK35" s="1207"/>
      <c r="AL35" s="1207"/>
      <c r="AM35" s="1207"/>
      <c r="AN35" s="1207"/>
    </row>
    <row r="36" spans="1:40" ht="20.100000000000001" customHeight="1" x14ac:dyDescent="0.25">
      <c r="A36" s="18"/>
      <c r="B36" s="18"/>
      <c r="C36" s="18"/>
      <c r="D36" s="7"/>
      <c r="E36" s="2"/>
      <c r="F36" s="1195"/>
      <c r="G36" s="1084"/>
      <c r="H36" s="1084"/>
      <c r="I36" s="1084"/>
      <c r="J36" s="1084"/>
      <c r="K36" s="1084"/>
      <c r="L36" s="1084"/>
      <c r="M36" s="190"/>
      <c r="N36" s="1197" t="s">
        <v>200</v>
      </c>
      <c r="O36" s="1198"/>
      <c r="P36" s="1198"/>
      <c r="Q36" s="1199"/>
      <c r="R36" s="1133"/>
      <c r="S36" s="1133"/>
      <c r="T36" s="1133"/>
      <c r="U36" s="1205"/>
      <c r="V36" s="1205"/>
      <c r="W36" s="1205"/>
      <c r="X36" s="1134"/>
      <c r="Y36" s="1156"/>
      <c r="Z36" s="1135"/>
      <c r="AA36" s="1206"/>
      <c r="AB36" s="1206"/>
      <c r="AC36" s="1206"/>
      <c r="AD36" s="1134"/>
      <c r="AE36" s="1156"/>
      <c r="AF36" s="1135"/>
      <c r="AG36" s="1207"/>
      <c r="AH36" s="1207"/>
      <c r="AI36" s="1207"/>
      <c r="AJ36" s="1207"/>
      <c r="AK36" s="1207"/>
      <c r="AL36" s="1207"/>
      <c r="AM36" s="1207"/>
      <c r="AN36" s="1207"/>
    </row>
    <row r="37" spans="1:40" ht="20.100000000000001" customHeight="1" x14ac:dyDescent="0.25">
      <c r="A37" s="18"/>
      <c r="B37" s="18"/>
      <c r="C37" s="18"/>
      <c r="D37" s="7"/>
      <c r="E37" s="2"/>
      <c r="F37" s="1195"/>
      <c r="G37" s="1084"/>
      <c r="H37" s="1084"/>
      <c r="I37" s="1084"/>
      <c r="J37" s="1084"/>
      <c r="K37" s="1084"/>
      <c r="L37" s="1084"/>
      <c r="M37" s="190"/>
      <c r="N37" s="1197" t="s">
        <v>200</v>
      </c>
      <c r="O37" s="1198"/>
      <c r="P37" s="1198"/>
      <c r="Q37" s="1199"/>
      <c r="R37" s="1133"/>
      <c r="S37" s="1133"/>
      <c r="T37" s="1133"/>
      <c r="U37" s="1205"/>
      <c r="V37" s="1205"/>
      <c r="W37" s="1205"/>
      <c r="X37" s="1134"/>
      <c r="Y37" s="1156"/>
      <c r="Z37" s="1135"/>
      <c r="AA37" s="1206"/>
      <c r="AB37" s="1206"/>
      <c r="AC37" s="1206"/>
      <c r="AD37" s="1134"/>
      <c r="AE37" s="1156"/>
      <c r="AF37" s="1135"/>
      <c r="AG37" s="1207"/>
      <c r="AH37" s="1207"/>
      <c r="AI37" s="1207"/>
      <c r="AJ37" s="1207"/>
      <c r="AK37" s="1207"/>
      <c r="AL37" s="1207"/>
      <c r="AM37" s="1207"/>
      <c r="AN37" s="1207"/>
    </row>
    <row r="38" spans="1:40" ht="20.100000000000001" customHeight="1" x14ac:dyDescent="0.25">
      <c r="A38" s="18"/>
      <c r="B38" s="18"/>
      <c r="C38" s="18"/>
      <c r="D38" s="7"/>
      <c r="E38" s="2"/>
      <c r="F38" s="1195"/>
      <c r="G38" s="1084"/>
      <c r="H38" s="1084"/>
      <c r="I38" s="1084"/>
      <c r="J38" s="1084"/>
      <c r="K38" s="1084"/>
      <c r="L38" s="1084"/>
      <c r="M38" s="190"/>
      <c r="N38" s="1197" t="s">
        <v>200</v>
      </c>
      <c r="O38" s="1198"/>
      <c r="P38" s="1198"/>
      <c r="Q38" s="1199"/>
      <c r="R38" s="1133"/>
      <c r="S38" s="1133"/>
      <c r="T38" s="1133"/>
      <c r="U38" s="1205"/>
      <c r="V38" s="1205"/>
      <c r="W38" s="1205"/>
      <c r="X38" s="1134"/>
      <c r="Y38" s="1156"/>
      <c r="Z38" s="1135"/>
      <c r="AA38" s="1206"/>
      <c r="AB38" s="1206"/>
      <c r="AC38" s="1206"/>
      <c r="AD38" s="1134"/>
      <c r="AE38" s="1156"/>
      <c r="AF38" s="1135"/>
      <c r="AG38" s="1207"/>
      <c r="AH38" s="1207"/>
      <c r="AI38" s="1207"/>
      <c r="AJ38" s="1207"/>
      <c r="AK38" s="1207"/>
      <c r="AL38" s="1207"/>
      <c r="AM38" s="1207"/>
      <c r="AN38" s="1207"/>
    </row>
    <row r="39" spans="1:40" ht="20.100000000000001" customHeight="1" x14ac:dyDescent="0.25">
      <c r="A39" s="18"/>
      <c r="B39" s="18"/>
      <c r="C39" s="18"/>
      <c r="D39" s="7"/>
      <c r="E39" s="2"/>
      <c r="F39" s="1195"/>
      <c r="G39" s="1084"/>
      <c r="H39" s="1084"/>
      <c r="I39" s="1084"/>
      <c r="J39" s="1084"/>
      <c r="K39" s="1084"/>
      <c r="L39" s="1084"/>
      <c r="M39" s="190"/>
      <c r="N39" s="1197" t="s">
        <v>200</v>
      </c>
      <c r="O39" s="1198"/>
      <c r="P39" s="1198"/>
      <c r="Q39" s="1199"/>
      <c r="R39" s="1133"/>
      <c r="S39" s="1133"/>
      <c r="T39" s="1133"/>
      <c r="U39" s="1205"/>
      <c r="V39" s="1205"/>
      <c r="W39" s="1205"/>
      <c r="X39" s="1134"/>
      <c r="Y39" s="1156"/>
      <c r="Z39" s="1135"/>
      <c r="AA39" s="1206"/>
      <c r="AB39" s="1206"/>
      <c r="AC39" s="1206"/>
      <c r="AD39" s="1134"/>
      <c r="AE39" s="1156"/>
      <c r="AF39" s="1135"/>
      <c r="AG39" s="1207"/>
      <c r="AH39" s="1207"/>
      <c r="AI39" s="1207"/>
      <c r="AJ39" s="1207"/>
      <c r="AK39" s="1207"/>
      <c r="AL39" s="1207"/>
      <c r="AM39" s="1207"/>
      <c r="AN39" s="1207"/>
    </row>
    <row r="40" spans="1:40" ht="20.100000000000001" customHeight="1" x14ac:dyDescent="0.25">
      <c r="A40" s="18"/>
      <c r="B40" s="18"/>
      <c r="C40" s="18"/>
      <c r="D40" s="7"/>
      <c r="E40" s="2"/>
      <c r="F40" s="1196"/>
      <c r="G40" s="1121"/>
      <c r="H40" s="1121"/>
      <c r="I40" s="1121"/>
      <c r="J40" s="1121"/>
      <c r="K40" s="1121"/>
      <c r="L40" s="1121"/>
      <c r="M40" s="192"/>
      <c r="N40" s="1197" t="s">
        <v>200</v>
      </c>
      <c r="O40" s="1198"/>
      <c r="P40" s="1198"/>
      <c r="Q40" s="1199"/>
      <c r="R40" s="1133"/>
      <c r="S40" s="1133"/>
      <c r="T40" s="1133"/>
      <c r="U40" s="1205"/>
      <c r="V40" s="1205"/>
      <c r="W40" s="1205"/>
      <c r="X40" s="1134"/>
      <c r="Y40" s="1156"/>
      <c r="Z40" s="1135"/>
      <c r="AA40" s="1206"/>
      <c r="AB40" s="1206"/>
      <c r="AC40" s="1206"/>
      <c r="AD40" s="1134"/>
      <c r="AE40" s="1156"/>
      <c r="AF40" s="1135"/>
      <c r="AG40" s="1207"/>
      <c r="AH40" s="1207"/>
      <c r="AI40" s="1207"/>
      <c r="AJ40" s="1207"/>
      <c r="AK40" s="1207"/>
      <c r="AL40" s="1207"/>
      <c r="AM40" s="1207"/>
      <c r="AN40" s="1207"/>
    </row>
    <row r="41" spans="1:40" ht="20.100000000000001" customHeight="1" x14ac:dyDescent="0.25">
      <c r="A41" s="18"/>
      <c r="B41" s="18"/>
      <c r="C41" s="18"/>
      <c r="D41" s="7"/>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20.100000000000001" customHeight="1" x14ac:dyDescent="0.25">
      <c r="A42" s="18"/>
      <c r="B42" s="18"/>
      <c r="C42" s="18"/>
      <c r="D42" s="7"/>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39.950000000000003" customHeight="1" x14ac:dyDescent="0.25">
      <c r="A43" s="18"/>
      <c r="B43" s="18"/>
      <c r="C43" s="18"/>
      <c r="D43" s="7"/>
      <c r="E43" s="2"/>
      <c r="F43" s="2"/>
      <c r="G43" s="2"/>
      <c r="H43" s="2"/>
      <c r="I43" s="2"/>
      <c r="J43" s="2"/>
      <c r="K43" s="2"/>
      <c r="L43" s="2"/>
      <c r="M43" s="2"/>
      <c r="N43" s="1211" t="s">
        <v>321</v>
      </c>
      <c r="O43" s="1211"/>
      <c r="P43" s="1211"/>
      <c r="Q43" s="1211"/>
      <c r="R43" s="1204" t="s">
        <v>265</v>
      </c>
      <c r="S43" s="1204"/>
      <c r="T43" s="1204"/>
      <c r="U43" s="1120" t="s">
        <v>7997</v>
      </c>
      <c r="V43" s="1121"/>
      <c r="W43" s="1121"/>
      <c r="X43" s="1121"/>
      <c r="Y43" s="20"/>
      <c r="Z43" s="20"/>
      <c r="AA43" s="20"/>
      <c r="AB43" s="20"/>
      <c r="AC43" s="20"/>
      <c r="AD43" s="20"/>
      <c r="AE43" s="20"/>
      <c r="AF43" s="20"/>
      <c r="AG43" s="20"/>
      <c r="AH43" s="20"/>
      <c r="AI43" s="20"/>
      <c r="AJ43" s="20"/>
      <c r="AK43" s="2"/>
      <c r="AL43" s="2"/>
      <c r="AM43" s="2"/>
      <c r="AN43" s="2"/>
    </row>
    <row r="44" spans="1:40" ht="26.1" customHeight="1" x14ac:dyDescent="0.25">
      <c r="A44" s="18"/>
      <c r="B44" s="18"/>
      <c r="C44" s="18"/>
      <c r="D44" s="7"/>
      <c r="E44" s="2"/>
      <c r="F44" s="2"/>
      <c r="G44" s="2"/>
      <c r="H44" s="2"/>
      <c r="I44" s="2"/>
      <c r="J44" s="2"/>
      <c r="K44" s="2"/>
      <c r="L44" s="2"/>
      <c r="M44" s="2"/>
      <c r="N44" s="1197" t="s">
        <v>200</v>
      </c>
      <c r="O44" s="1198"/>
      <c r="P44" s="1198"/>
      <c r="Q44" s="1199"/>
      <c r="R44" s="1192" t="str">
        <f ca="1">'Calculos(2)'!$BD$3</f>
        <v/>
      </c>
      <c r="S44" s="1192"/>
      <c r="T44" s="1192"/>
      <c r="U44" s="120"/>
      <c r="V44" s="121"/>
      <c r="W44" s="121"/>
      <c r="X44" s="122"/>
      <c r="Y44" s="20"/>
      <c r="Z44" s="20"/>
      <c r="AA44" s="20"/>
      <c r="AB44" s="20"/>
      <c r="AC44" s="20"/>
      <c r="AD44" s="20"/>
      <c r="AE44" s="20"/>
      <c r="AF44" s="20"/>
      <c r="AG44" s="20"/>
      <c r="AH44" s="20"/>
      <c r="AI44" s="20"/>
      <c r="AJ44" s="20"/>
      <c r="AK44" s="2"/>
      <c r="AL44" s="2"/>
      <c r="AM44" s="2"/>
      <c r="AN44" s="2"/>
    </row>
    <row r="45" spans="1:40" ht="26.1" customHeight="1" x14ac:dyDescent="0.25">
      <c r="A45" s="18"/>
      <c r="B45" s="18"/>
      <c r="C45" s="18"/>
      <c r="D45" s="7"/>
      <c r="E45" s="2"/>
      <c r="F45" s="2"/>
      <c r="G45" s="2"/>
      <c r="H45" s="2"/>
      <c r="I45" s="2"/>
      <c r="J45" s="2"/>
      <c r="K45" s="2"/>
      <c r="L45" s="2"/>
      <c r="M45" s="2"/>
      <c r="N45" s="1197" t="s">
        <v>200</v>
      </c>
      <c r="O45" s="1198"/>
      <c r="P45" s="1198"/>
      <c r="Q45" s="1199"/>
      <c r="R45" s="1192" t="str">
        <f ca="1">'Calculos(2)'!$BD$4</f>
        <v/>
      </c>
      <c r="S45" s="1192"/>
      <c r="T45" s="1192"/>
      <c r="U45" s="120"/>
      <c r="V45" s="121"/>
      <c r="W45" s="121"/>
      <c r="X45" s="122"/>
      <c r="Y45" s="20"/>
      <c r="Z45" s="20"/>
      <c r="AA45" s="20"/>
      <c r="AB45" s="20"/>
      <c r="AC45" s="20"/>
      <c r="AD45" s="20"/>
      <c r="AE45" s="20"/>
      <c r="AF45" s="20"/>
      <c r="AG45" s="20"/>
      <c r="AH45" s="20"/>
      <c r="AI45" s="20"/>
      <c r="AJ45" s="20"/>
      <c r="AK45" s="2"/>
      <c r="AL45" s="2"/>
      <c r="AM45" s="2"/>
      <c r="AN45" s="2"/>
    </row>
    <row r="46" spans="1:40" ht="26.1" customHeight="1" x14ac:dyDescent="0.25">
      <c r="A46" s="18"/>
      <c r="B46" s="18"/>
      <c r="C46" s="18"/>
      <c r="D46" s="7"/>
      <c r="E46" s="2"/>
      <c r="F46" s="2"/>
      <c r="G46" s="2"/>
      <c r="H46" s="2"/>
      <c r="I46" s="2"/>
      <c r="J46" s="2"/>
      <c r="K46" s="2"/>
      <c r="L46" s="2"/>
      <c r="M46" s="2"/>
      <c r="N46" s="1197" t="s">
        <v>200</v>
      </c>
      <c r="O46" s="1198"/>
      <c r="P46" s="1198"/>
      <c r="Q46" s="1199"/>
      <c r="R46" s="1192" t="str">
        <f ca="1">'Calculos(2)'!$BD$5</f>
        <v/>
      </c>
      <c r="S46" s="1192"/>
      <c r="T46" s="1192"/>
      <c r="U46" s="120"/>
      <c r="V46" s="121"/>
      <c r="W46" s="121"/>
      <c r="X46" s="122"/>
      <c r="Y46" s="20"/>
      <c r="Z46" s="20"/>
      <c r="AA46" s="20"/>
      <c r="AB46" s="20"/>
      <c r="AC46" s="20"/>
      <c r="AD46" s="20"/>
      <c r="AE46" s="20"/>
      <c r="AF46" s="20"/>
      <c r="AG46" s="20"/>
      <c r="AH46" s="20"/>
      <c r="AI46" s="20"/>
      <c r="AJ46" s="20"/>
      <c r="AK46" s="2"/>
      <c r="AL46" s="2"/>
      <c r="AM46" s="2"/>
      <c r="AN46" s="2"/>
    </row>
    <row r="47" spans="1:40" ht="26.1" customHeight="1" x14ac:dyDescent="0.25">
      <c r="A47" s="18"/>
      <c r="B47" s="18"/>
      <c r="C47" s="18"/>
      <c r="D47" s="7"/>
      <c r="E47" s="2"/>
      <c r="F47" s="2"/>
      <c r="G47" s="2"/>
      <c r="H47" s="2"/>
      <c r="I47" s="2"/>
      <c r="J47" s="2"/>
      <c r="K47" s="2"/>
      <c r="L47" s="2"/>
      <c r="M47" s="2"/>
      <c r="N47" s="1197" t="s">
        <v>200</v>
      </c>
      <c r="O47" s="1198"/>
      <c r="P47" s="1198"/>
      <c r="Q47" s="1199"/>
      <c r="R47" s="1192" t="str">
        <f ca="1">'Calculos(2)'!$BD$6</f>
        <v/>
      </c>
      <c r="S47" s="1192"/>
      <c r="T47" s="1192"/>
      <c r="U47" s="120"/>
      <c r="V47" s="121"/>
      <c r="W47" s="121"/>
      <c r="X47" s="122"/>
      <c r="Y47" s="20"/>
      <c r="Z47" s="20"/>
      <c r="AA47" s="20"/>
      <c r="AB47" s="20"/>
      <c r="AC47" s="20"/>
      <c r="AD47" s="20"/>
      <c r="AE47" s="20"/>
      <c r="AF47" s="20"/>
      <c r="AG47" s="20"/>
      <c r="AH47" s="20"/>
      <c r="AI47" s="20"/>
      <c r="AJ47" s="20"/>
      <c r="AK47" s="2"/>
      <c r="AL47" s="2"/>
      <c r="AM47" s="2"/>
      <c r="AN47" s="2"/>
    </row>
    <row r="48" spans="1:40" ht="26.1" customHeight="1" x14ac:dyDescent="0.25">
      <c r="A48" s="18"/>
      <c r="B48" s="18"/>
      <c r="C48" s="18"/>
      <c r="D48" s="7"/>
      <c r="E48" s="2"/>
      <c r="F48" s="2"/>
      <c r="G48" s="2"/>
      <c r="H48" s="2"/>
      <c r="I48" s="2"/>
      <c r="J48" s="2"/>
      <c r="K48" s="2"/>
      <c r="L48" s="2"/>
      <c r="M48" s="2"/>
      <c r="N48" s="1197" t="s">
        <v>200</v>
      </c>
      <c r="O48" s="1198"/>
      <c r="P48" s="1198"/>
      <c r="Q48" s="1199"/>
      <c r="R48" s="1192" t="str">
        <f ca="1">'Calculos(2)'!$BD$7</f>
        <v/>
      </c>
      <c r="S48" s="1192"/>
      <c r="T48" s="1192"/>
      <c r="U48" s="120"/>
      <c r="V48" s="121"/>
      <c r="W48" s="121"/>
      <c r="X48" s="122"/>
      <c r="Y48" s="20"/>
      <c r="Z48" s="20"/>
      <c r="AA48" s="20"/>
      <c r="AB48" s="20"/>
      <c r="AC48" s="20"/>
      <c r="AD48" s="20"/>
      <c r="AE48" s="20"/>
      <c r="AF48" s="20"/>
      <c r="AG48" s="20"/>
      <c r="AH48" s="20"/>
      <c r="AI48" s="20"/>
      <c r="AJ48" s="20"/>
      <c r="AK48" s="2"/>
      <c r="AL48" s="2"/>
      <c r="AM48" s="2"/>
      <c r="AN48" s="2"/>
    </row>
    <row r="49" spans="1:41" ht="26.1" customHeight="1" x14ac:dyDescent="0.25">
      <c r="A49" s="18"/>
      <c r="B49" s="18"/>
      <c r="C49" s="18"/>
      <c r="D49" s="7"/>
      <c r="E49" s="2"/>
      <c r="F49" s="2"/>
      <c r="G49" s="2"/>
      <c r="H49" s="2"/>
      <c r="I49" s="2"/>
      <c r="J49" s="2"/>
      <c r="K49" s="2"/>
      <c r="L49" s="2"/>
      <c r="M49" s="2"/>
      <c r="N49" s="1197" t="s">
        <v>200</v>
      </c>
      <c r="O49" s="1198"/>
      <c r="P49" s="1198"/>
      <c r="Q49" s="1199"/>
      <c r="R49" s="1192" t="str">
        <f ca="1">'Calculos(2)'!$BD$8</f>
        <v/>
      </c>
      <c r="S49" s="1192"/>
      <c r="T49" s="1192"/>
      <c r="U49" s="120"/>
      <c r="V49" s="121"/>
      <c r="W49" s="121"/>
      <c r="X49" s="122"/>
      <c r="Y49" s="20"/>
      <c r="Z49" s="20"/>
      <c r="AA49" s="20"/>
      <c r="AB49" s="20"/>
      <c r="AC49" s="20"/>
      <c r="AD49" s="20"/>
      <c r="AE49" s="20"/>
      <c r="AF49" s="20"/>
      <c r="AG49" s="20"/>
      <c r="AH49" s="20"/>
      <c r="AI49" s="20"/>
      <c r="AJ49" s="20"/>
      <c r="AK49" s="2"/>
      <c r="AL49" s="2"/>
      <c r="AM49" s="2"/>
      <c r="AN49" s="2"/>
    </row>
    <row r="50" spans="1:41" ht="26.1" customHeight="1" x14ac:dyDescent="0.25">
      <c r="A50" s="18"/>
      <c r="B50" s="18"/>
      <c r="C50" s="18"/>
      <c r="D50" s="7"/>
      <c r="E50" s="2"/>
      <c r="F50" s="2"/>
      <c r="G50" s="2"/>
      <c r="H50" s="2"/>
      <c r="I50" s="2"/>
      <c r="J50" s="2"/>
      <c r="K50" s="2"/>
      <c r="L50" s="2"/>
      <c r="M50" s="2"/>
      <c r="N50" s="1197" t="s">
        <v>200</v>
      </c>
      <c r="O50" s="1198"/>
      <c r="P50" s="1198"/>
      <c r="Q50" s="1199"/>
      <c r="R50" s="1192" t="str">
        <f ca="1">'Calculos(2)'!$BD$9</f>
        <v/>
      </c>
      <c r="S50" s="1192"/>
      <c r="T50" s="1192"/>
      <c r="U50" s="120"/>
      <c r="V50" s="121"/>
      <c r="W50" s="121"/>
      <c r="X50" s="122"/>
      <c r="Y50" s="20"/>
      <c r="Z50" s="20"/>
      <c r="AA50" s="20"/>
      <c r="AB50" s="20"/>
      <c r="AC50" s="20"/>
      <c r="AD50" s="20"/>
      <c r="AE50" s="20"/>
      <c r="AF50" s="20"/>
      <c r="AG50" s="20"/>
      <c r="AH50" s="20"/>
      <c r="AI50" s="20"/>
      <c r="AJ50" s="20"/>
      <c r="AK50" s="2"/>
      <c r="AL50" s="2"/>
      <c r="AM50" s="2"/>
      <c r="AN50" s="2"/>
    </row>
    <row r="51" spans="1:41" ht="26.1" customHeight="1" x14ac:dyDescent="0.25">
      <c r="A51" s="18"/>
      <c r="B51" s="18"/>
      <c r="C51" s="18"/>
      <c r="D51" s="7"/>
      <c r="E51" s="2"/>
      <c r="F51" s="2"/>
      <c r="G51" s="2"/>
      <c r="H51" s="2"/>
      <c r="I51" s="2"/>
      <c r="J51" s="2"/>
      <c r="K51" s="2"/>
      <c r="L51" s="2"/>
      <c r="M51" s="2"/>
      <c r="N51" s="1197" t="s">
        <v>200</v>
      </c>
      <c r="O51" s="1198"/>
      <c r="P51" s="1198"/>
      <c r="Q51" s="1199"/>
      <c r="R51" s="1192" t="str">
        <f ca="1">'Calculos(2)'!$BD$10</f>
        <v/>
      </c>
      <c r="S51" s="1192"/>
      <c r="T51" s="1192"/>
      <c r="U51" s="120"/>
      <c r="V51" s="121"/>
      <c r="W51" s="121"/>
      <c r="X51" s="122"/>
      <c r="Y51" s="20"/>
      <c r="Z51" s="20"/>
      <c r="AA51" s="20"/>
      <c r="AB51" s="20"/>
      <c r="AC51" s="20"/>
      <c r="AD51" s="20"/>
      <c r="AE51" s="20"/>
      <c r="AF51" s="20"/>
      <c r="AG51" s="20"/>
      <c r="AH51" s="20"/>
      <c r="AI51" s="20"/>
      <c r="AJ51" s="20"/>
      <c r="AK51" s="2"/>
      <c r="AL51" s="2"/>
      <c r="AM51" s="2"/>
      <c r="AN51" s="2"/>
    </row>
    <row r="52" spans="1:41" ht="26.1" customHeight="1" x14ac:dyDescent="0.25">
      <c r="A52" s="18"/>
      <c r="B52" s="18"/>
      <c r="C52" s="18"/>
      <c r="D52" s="7"/>
      <c r="E52" s="2"/>
      <c r="F52" s="2"/>
      <c r="G52" s="2"/>
      <c r="H52" s="2"/>
      <c r="I52" s="2"/>
      <c r="J52" s="2"/>
      <c r="K52" s="2"/>
      <c r="L52" s="2"/>
      <c r="M52" s="2"/>
      <c r="N52" s="1197" t="s">
        <v>200</v>
      </c>
      <c r="O52" s="1198"/>
      <c r="P52" s="1198"/>
      <c r="Q52" s="1199"/>
      <c r="R52" s="1192" t="str">
        <f ca="1">'Calculos(2)'!$BD$11</f>
        <v/>
      </c>
      <c r="S52" s="1192"/>
      <c r="T52" s="1192"/>
      <c r="U52" s="120"/>
      <c r="V52" s="121"/>
      <c r="W52" s="121"/>
      <c r="X52" s="122"/>
      <c r="Y52" s="20"/>
      <c r="Z52" s="20"/>
      <c r="AA52" s="20"/>
      <c r="AB52" s="20"/>
      <c r="AC52" s="20"/>
      <c r="AD52" s="20"/>
      <c r="AE52" s="20"/>
      <c r="AF52" s="20"/>
      <c r="AG52" s="20"/>
      <c r="AH52" s="20"/>
      <c r="AI52" s="20"/>
      <c r="AJ52" s="20"/>
      <c r="AK52" s="2"/>
      <c r="AL52" s="2"/>
      <c r="AM52" s="2"/>
      <c r="AN52" s="2"/>
    </row>
    <row r="53" spans="1:41" ht="26.1" customHeight="1" x14ac:dyDescent="0.25">
      <c r="A53" s="18"/>
      <c r="B53" s="18"/>
      <c r="C53" s="18"/>
      <c r="D53" s="7"/>
      <c r="E53" s="2"/>
      <c r="F53" s="2"/>
      <c r="G53" s="2"/>
      <c r="H53" s="2"/>
      <c r="I53" s="2"/>
      <c r="J53" s="2"/>
      <c r="K53" s="2"/>
      <c r="L53" s="2"/>
      <c r="M53" s="2"/>
      <c r="N53" s="1197" t="s">
        <v>200</v>
      </c>
      <c r="O53" s="1198"/>
      <c r="P53" s="1198"/>
      <c r="Q53" s="1199"/>
      <c r="R53" s="1192" t="str">
        <f ca="1">'Calculos(2)'!$BD$12</f>
        <v/>
      </c>
      <c r="S53" s="1192"/>
      <c r="T53" s="1192"/>
      <c r="U53" s="120"/>
      <c r="V53" s="121"/>
      <c r="W53" s="121"/>
      <c r="X53" s="122"/>
      <c r="Y53" s="20"/>
      <c r="Z53" s="20"/>
      <c r="AA53" s="20"/>
      <c r="AB53" s="20"/>
      <c r="AC53" s="20"/>
      <c r="AD53" s="20"/>
      <c r="AE53" s="20"/>
      <c r="AF53" s="20"/>
      <c r="AG53" s="20"/>
      <c r="AH53" s="20"/>
      <c r="AI53" s="20"/>
      <c r="AJ53" s="20"/>
      <c r="AK53" s="2"/>
      <c r="AL53" s="2"/>
      <c r="AM53" s="2"/>
      <c r="AN53" s="2"/>
    </row>
    <row r="54" spans="1:41" ht="20.100000000000001" hidden="1" customHeight="1" x14ac:dyDescent="0.25">
      <c r="A54" s="18"/>
      <c r="B54" s="18"/>
      <c r="C54" s="18"/>
      <c r="D54" s="7"/>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row>
    <row r="55" spans="1:41" ht="30" hidden="1" customHeight="1" x14ac:dyDescent="0.25">
      <c r="A55" s="18"/>
      <c r="B55" s="18"/>
      <c r="C55" s="18"/>
      <c r="D55" s="7"/>
      <c r="E55" s="2"/>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row>
    <row r="56" spans="1:41" ht="20.100000000000001" customHeight="1" x14ac:dyDescent="0.25">
      <c r="A56" s="18"/>
      <c r="B56" s="18"/>
      <c r="C56" s="18"/>
      <c r="D56" s="7"/>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1" ht="20.100000000000001" customHeight="1" x14ac:dyDescent="0.25">
      <c r="A57" s="18"/>
      <c r="B57" s="18"/>
      <c r="C57" s="18"/>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row>
    <row r="58" spans="1:41" s="2" customFormat="1" ht="20.100000000000001" customHeight="1" x14ac:dyDescent="0.25">
      <c r="A58" s="18"/>
      <c r="B58" s="18"/>
      <c r="C58" s="18"/>
      <c r="D58" s="7"/>
    </row>
    <row r="59" spans="1:41" ht="99.95" customHeight="1" x14ac:dyDescent="0.25">
      <c r="A59" s="18"/>
      <c r="B59" s="18"/>
      <c r="C59" s="18"/>
      <c r="D59" s="7"/>
      <c r="E59" s="2"/>
      <c r="F59" s="1049" t="s">
        <v>7998</v>
      </c>
      <c r="G59" s="1050"/>
      <c r="H59" s="1050"/>
      <c r="I59" s="1050"/>
      <c r="J59" s="1050"/>
      <c r="K59" s="1050"/>
      <c r="L59" s="1050"/>
      <c r="M59" s="1051"/>
      <c r="N59" s="1032"/>
      <c r="O59" s="1033"/>
      <c r="P59" s="1033"/>
      <c r="Q59" s="1033"/>
      <c r="R59" s="1033"/>
      <c r="S59" s="1033"/>
      <c r="T59" s="1033"/>
      <c r="U59" s="1033"/>
      <c r="V59" s="1033"/>
      <c r="W59" s="1033"/>
      <c r="X59" s="1033"/>
      <c r="Y59" s="1033"/>
      <c r="Z59" s="1033"/>
      <c r="AA59" s="1033"/>
      <c r="AB59" s="1033"/>
      <c r="AC59" s="1033"/>
      <c r="AD59" s="1033"/>
      <c r="AE59" s="1033"/>
      <c r="AF59" s="1033"/>
      <c r="AG59" s="1033"/>
      <c r="AH59" s="1033"/>
      <c r="AI59" s="1033"/>
      <c r="AJ59" s="1033"/>
      <c r="AK59" s="1033"/>
      <c r="AL59" s="1033"/>
      <c r="AM59" s="1034"/>
      <c r="AN59" s="1184" t="s">
        <v>8014</v>
      </c>
      <c r="AO59" s="1185"/>
    </row>
    <row r="60" spans="1:41" ht="50.1" customHeight="1" x14ac:dyDescent="0.25">
      <c r="A60" s="18"/>
      <c r="B60" s="18"/>
      <c r="C60" s="18"/>
      <c r="D60" s="7"/>
      <c r="E60" s="2"/>
      <c r="F60" s="1008" t="s">
        <v>143</v>
      </c>
      <c r="G60" s="1009"/>
      <c r="H60" s="1009"/>
      <c r="I60" s="1009"/>
      <c r="J60" s="1009"/>
      <c r="K60" s="1009"/>
      <c r="L60" s="1009"/>
      <c r="M60" s="1010"/>
      <c r="N60" s="1032"/>
      <c r="O60" s="1033"/>
      <c r="P60" s="1033"/>
      <c r="Q60" s="1033"/>
      <c r="R60" s="1033"/>
      <c r="S60" s="1033"/>
      <c r="T60" s="1033"/>
      <c r="U60" s="1033"/>
      <c r="V60" s="1033"/>
      <c r="W60" s="1033"/>
      <c r="X60" s="1033"/>
      <c r="Y60" s="1033"/>
      <c r="Z60" s="1033"/>
      <c r="AA60" s="1033"/>
      <c r="AB60" s="1033"/>
      <c r="AC60" s="1033"/>
      <c r="AD60" s="1033"/>
      <c r="AE60" s="1033"/>
      <c r="AF60" s="1033"/>
      <c r="AG60" s="1033"/>
      <c r="AH60" s="1033"/>
      <c r="AI60" s="1033"/>
      <c r="AJ60" s="1033"/>
      <c r="AK60" s="1033"/>
      <c r="AL60" s="1033"/>
      <c r="AM60" s="1034"/>
      <c r="AN60" s="1184" t="s">
        <v>8014</v>
      </c>
      <c r="AO60" s="1185"/>
    </row>
    <row r="61" spans="1:41" ht="20.100000000000001" customHeight="1" x14ac:dyDescent="0.25">
      <c r="A61" s="18"/>
      <c r="B61" s="18"/>
      <c r="C61" s="18"/>
      <c r="D61" s="7"/>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1" ht="20.100000000000001" customHeight="1" x14ac:dyDescent="0.25">
      <c r="A62" s="18"/>
      <c r="B62" s="18"/>
      <c r="C62" s="18"/>
      <c r="D62" s="7"/>
      <c r="E62" s="2"/>
      <c r="F62" s="1067" t="s">
        <v>394</v>
      </c>
      <c r="G62" s="1068"/>
      <c r="H62" s="1068"/>
      <c r="I62" s="1068"/>
      <c r="J62" s="1068"/>
      <c r="K62" s="1068"/>
      <c r="L62" s="1069"/>
      <c r="M62" s="1076" t="s">
        <v>186</v>
      </c>
      <c r="N62" s="135"/>
      <c r="O62" s="136"/>
      <c r="P62" s="136"/>
      <c r="Q62" s="136"/>
      <c r="R62" s="137"/>
      <c r="S62" s="1079" t="s">
        <v>293</v>
      </c>
      <c r="T62" s="1064"/>
      <c r="U62" s="1064"/>
      <c r="V62" s="1064"/>
      <c r="W62" s="1064"/>
      <c r="X62" s="1064"/>
      <c r="Y62" s="1064"/>
      <c r="Z62" s="1064" t="s">
        <v>301</v>
      </c>
      <c r="AA62" s="1064"/>
      <c r="AB62" s="1064"/>
      <c r="AC62" s="1064"/>
      <c r="AD62" s="1064"/>
      <c r="AE62" s="1064"/>
      <c r="AF62" s="1064"/>
      <c r="AG62" s="1064"/>
      <c r="AH62" s="1064"/>
      <c r="AI62" s="1064" t="s">
        <v>302</v>
      </c>
      <c r="AJ62" s="1064"/>
      <c r="AK62" s="1064"/>
      <c r="AL62" s="1064"/>
      <c r="AM62" s="1065"/>
      <c r="AN62" s="2"/>
    </row>
    <row r="63" spans="1:41" ht="20.100000000000001" customHeight="1" x14ac:dyDescent="0.25">
      <c r="A63" s="18"/>
      <c r="B63" s="18"/>
      <c r="C63" s="18"/>
      <c r="D63" s="7"/>
      <c r="E63" s="2"/>
      <c r="F63" s="1070"/>
      <c r="G63" s="1071"/>
      <c r="H63" s="1071"/>
      <c r="I63" s="1071"/>
      <c r="J63" s="1071"/>
      <c r="K63" s="1071"/>
      <c r="L63" s="1072"/>
      <c r="M63" s="1077"/>
      <c r="N63" s="138"/>
      <c r="O63" s="1045" t="s">
        <v>219</v>
      </c>
      <c r="P63" s="1045"/>
      <c r="Q63" s="1045"/>
      <c r="R63" s="1046"/>
      <c r="S63" s="1042"/>
      <c r="T63" s="1043"/>
      <c r="U63" s="1043"/>
      <c r="V63" s="1043"/>
      <c r="W63" s="1043"/>
      <c r="X63" s="1043"/>
      <c r="Y63" s="1043"/>
      <c r="Z63" s="1044"/>
      <c r="AA63" s="1044"/>
      <c r="AB63" s="1044"/>
      <c r="AC63" s="1044"/>
      <c r="AD63" s="1044"/>
      <c r="AE63" s="1044"/>
      <c r="AF63" s="1044"/>
      <c r="AG63" s="1044"/>
      <c r="AH63" s="1044"/>
      <c r="AI63" s="1066"/>
      <c r="AJ63" s="1066"/>
      <c r="AK63" s="1066"/>
      <c r="AL63" s="1066"/>
      <c r="AM63" s="1066"/>
      <c r="AN63" s="2"/>
    </row>
    <row r="64" spans="1:41" ht="20.100000000000001" customHeight="1" x14ac:dyDescent="0.25">
      <c r="A64" s="18"/>
      <c r="B64" s="18"/>
      <c r="C64" s="18"/>
      <c r="D64" s="7"/>
      <c r="E64" s="2"/>
      <c r="F64" s="1070"/>
      <c r="G64" s="1071"/>
      <c r="H64" s="1071"/>
      <c r="I64" s="1071"/>
      <c r="J64" s="1071"/>
      <c r="K64" s="1071"/>
      <c r="L64" s="1072"/>
      <c r="M64" s="1077"/>
      <c r="O64" s="138"/>
      <c r="P64" s="138"/>
      <c r="Q64" s="138"/>
      <c r="R64" s="139"/>
      <c r="S64" s="1042"/>
      <c r="T64" s="1043"/>
      <c r="U64" s="1043"/>
      <c r="V64" s="1043"/>
      <c r="W64" s="1043"/>
      <c r="X64" s="1043"/>
      <c r="Y64" s="1043"/>
      <c r="Z64" s="1044"/>
      <c r="AA64" s="1044"/>
      <c r="AB64" s="1044"/>
      <c r="AC64" s="1044"/>
      <c r="AD64" s="1044"/>
      <c r="AE64" s="1044"/>
      <c r="AF64" s="1044"/>
      <c r="AG64" s="1044"/>
      <c r="AH64" s="1044"/>
      <c r="AI64" s="1066"/>
      <c r="AJ64" s="1066"/>
      <c r="AK64" s="1066"/>
      <c r="AL64" s="1066"/>
      <c r="AM64" s="1066"/>
      <c r="AN64" s="2"/>
    </row>
    <row r="65" spans="1:41" ht="20.100000000000001" customHeight="1" x14ac:dyDescent="0.25">
      <c r="A65" s="18"/>
      <c r="B65" s="18"/>
      <c r="C65" s="18"/>
      <c r="D65" s="7"/>
      <c r="E65" s="2"/>
      <c r="F65" s="1070"/>
      <c r="G65" s="1071"/>
      <c r="H65" s="1071"/>
      <c r="I65" s="1071"/>
      <c r="J65" s="1071"/>
      <c r="K65" s="1071"/>
      <c r="L65" s="1072"/>
      <c r="M65" s="1077"/>
      <c r="N65" s="138"/>
      <c r="O65" s="1047" t="s">
        <v>280</v>
      </c>
      <c r="P65" s="1047"/>
      <c r="Q65" s="1047"/>
      <c r="R65" s="1048"/>
      <c r="S65" s="1042"/>
      <c r="T65" s="1043"/>
      <c r="U65" s="1043"/>
      <c r="V65" s="1043"/>
      <c r="W65" s="1043"/>
      <c r="X65" s="1043"/>
      <c r="Y65" s="1043"/>
      <c r="Z65" s="1044"/>
      <c r="AA65" s="1044"/>
      <c r="AB65" s="1044"/>
      <c r="AC65" s="1044"/>
      <c r="AD65" s="1044"/>
      <c r="AE65" s="1044"/>
      <c r="AF65" s="1044"/>
      <c r="AG65" s="1044"/>
      <c r="AH65" s="1044"/>
      <c r="AI65" s="1066"/>
      <c r="AJ65" s="1066"/>
      <c r="AK65" s="1066"/>
      <c r="AL65" s="1066"/>
      <c r="AM65" s="1066"/>
      <c r="AN65" s="2"/>
    </row>
    <row r="66" spans="1:41" ht="20.100000000000001" customHeight="1" x14ac:dyDescent="0.25">
      <c r="A66" s="18"/>
      <c r="B66" s="18"/>
      <c r="C66" s="18"/>
      <c r="D66" s="7"/>
      <c r="E66" s="2"/>
      <c r="F66" s="1073"/>
      <c r="G66" s="1074"/>
      <c r="H66" s="1074"/>
      <c r="I66" s="1074"/>
      <c r="J66" s="1074"/>
      <c r="K66" s="1074"/>
      <c r="L66" s="1075"/>
      <c r="M66" s="1078"/>
      <c r="N66" s="140"/>
      <c r="O66" s="140"/>
      <c r="P66" s="140"/>
      <c r="Q66" s="140"/>
      <c r="R66" s="141"/>
      <c r="S66" s="1042"/>
      <c r="T66" s="1043"/>
      <c r="U66" s="1043"/>
      <c r="V66" s="1043"/>
      <c r="W66" s="1043"/>
      <c r="X66" s="1043"/>
      <c r="Y66" s="1043"/>
      <c r="Z66" s="1044"/>
      <c r="AA66" s="1044"/>
      <c r="AB66" s="1044"/>
      <c r="AC66" s="1044"/>
      <c r="AD66" s="1044"/>
      <c r="AE66" s="1044"/>
      <c r="AF66" s="1044"/>
      <c r="AG66" s="1044"/>
      <c r="AH66" s="1044"/>
      <c r="AI66" s="1066"/>
      <c r="AJ66" s="1066"/>
      <c r="AK66" s="1066"/>
      <c r="AL66" s="1066"/>
      <c r="AM66" s="1066"/>
      <c r="AN66" s="2"/>
    </row>
    <row r="67" spans="1:41" ht="20.100000000000001" customHeight="1" x14ac:dyDescent="0.25">
      <c r="A67" s="18"/>
      <c r="B67" s="18"/>
      <c r="C67" s="18"/>
      <c r="D67" s="7"/>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1" ht="20.100000000000001" customHeight="1" x14ac:dyDescent="0.25">
      <c r="A68" s="18"/>
      <c r="B68" s="18"/>
      <c r="C68" s="18"/>
      <c r="D68" s="7"/>
      <c r="E68" s="7"/>
      <c r="F68" s="7"/>
      <c r="G68" s="7"/>
      <c r="H68" s="7"/>
      <c r="I68" s="7"/>
      <c r="J68" s="7"/>
      <c r="K68" s="7"/>
      <c r="L68" s="7"/>
      <c r="M68" s="7"/>
      <c r="N68" s="7"/>
      <c r="O68" s="7"/>
      <c r="P68" s="7"/>
      <c r="Q68" s="7"/>
      <c r="R68" s="7"/>
      <c r="S68" s="7"/>
      <c r="T68" s="7"/>
      <c r="U68" s="7"/>
      <c r="V68" s="7"/>
      <c r="W68" s="7"/>
      <c r="X68" s="7"/>
      <c r="Y68" s="7"/>
      <c r="Z68" s="7"/>
      <c r="AA68" s="7"/>
      <c r="AB68" s="7"/>
      <c r="AC68" s="177"/>
      <c r="AD68" s="177"/>
      <c r="AE68" s="177"/>
      <c r="AF68" s="177"/>
      <c r="AG68" s="177"/>
      <c r="AH68" s="177"/>
      <c r="AI68" s="177"/>
      <c r="AJ68" s="177"/>
      <c r="AK68" s="177"/>
      <c r="AL68" s="177"/>
      <c r="AM68" s="177"/>
      <c r="AN68" s="177"/>
    </row>
    <row r="69" spans="1:41" x14ac:dyDescent="0.25">
      <c r="A69" s="18"/>
      <c r="B69" s="18"/>
      <c r="C69" s="18"/>
      <c r="D69" s="7"/>
      <c r="E69" s="2"/>
      <c r="F69" s="2"/>
      <c r="G69" s="2"/>
      <c r="H69" s="2"/>
      <c r="I69" s="2"/>
      <c r="J69" s="2"/>
      <c r="K69" s="2"/>
      <c r="L69" s="2"/>
      <c r="M69" s="2"/>
      <c r="N69" s="2"/>
      <c r="O69" s="2"/>
      <c r="P69" s="2"/>
      <c r="Q69" s="2"/>
      <c r="R69" s="2"/>
      <c r="S69" s="2"/>
      <c r="T69" s="2"/>
      <c r="U69" s="2"/>
      <c r="V69" s="2"/>
      <c r="W69" s="2"/>
      <c r="X69" s="2"/>
      <c r="Y69" s="2"/>
      <c r="Z69" s="2"/>
      <c r="AA69" s="2"/>
      <c r="AB69" s="2"/>
      <c r="AC69" s="170"/>
      <c r="AD69" s="170"/>
      <c r="AE69" s="170"/>
      <c r="AF69" s="170"/>
      <c r="AG69" s="170"/>
      <c r="AH69" s="170"/>
      <c r="AI69" s="170"/>
      <c r="AJ69" s="170"/>
      <c r="AK69" s="170"/>
      <c r="AL69" s="170"/>
      <c r="AM69" s="170"/>
      <c r="AN69" s="170"/>
    </row>
    <row r="70" spans="1:41" ht="20.100000000000001" customHeight="1" x14ac:dyDescent="0.25">
      <c r="A70" s="18"/>
      <c r="B70" s="18"/>
      <c r="C70" s="18"/>
      <c r="D70" s="7"/>
      <c r="E70" s="2"/>
      <c r="F70" s="1008" t="s">
        <v>304</v>
      </c>
      <c r="G70" s="1009"/>
      <c r="H70" s="1009"/>
      <c r="I70" s="1009"/>
      <c r="J70" s="1009"/>
      <c r="K70" s="1009"/>
      <c r="L70" s="1009"/>
      <c r="M70" s="148" t="s">
        <v>186</v>
      </c>
      <c r="N70" s="981" t="s">
        <v>290</v>
      </c>
      <c r="O70" s="982"/>
      <c r="P70" s="1212"/>
      <c r="Q70" s="1058"/>
      <c r="R70" s="1059"/>
      <c r="S70" s="1059"/>
      <c r="T70" s="1060"/>
      <c r="U70" s="1008" t="s">
        <v>34</v>
      </c>
      <c r="V70" s="1009"/>
      <c r="W70" s="1009"/>
      <c r="X70" s="1009"/>
      <c r="Y70" s="1010"/>
      <c r="Z70" s="1008" t="s">
        <v>117</v>
      </c>
      <c r="AA70" s="1009"/>
      <c r="AB70" s="1010"/>
      <c r="AC70" s="1213"/>
      <c r="AD70" s="1214"/>
      <c r="AE70" s="1190"/>
      <c r="AF70" s="1008" t="s">
        <v>118</v>
      </c>
      <c r="AG70" s="1009"/>
      <c r="AH70" s="1010"/>
      <c r="AI70" s="1061"/>
      <c r="AJ70" s="1062"/>
      <c r="AK70" s="1062"/>
      <c r="AL70" s="1062"/>
      <c r="AM70" s="1063"/>
      <c r="AN70" s="2"/>
    </row>
    <row r="71" spans="1:41" ht="99.95" customHeight="1" x14ac:dyDescent="0.25">
      <c r="A71" s="18"/>
      <c r="B71" s="18"/>
      <c r="C71" s="18"/>
      <c r="D71" s="7"/>
      <c r="E71" s="2"/>
      <c r="F71" s="1008" t="s">
        <v>297</v>
      </c>
      <c r="G71" s="1009"/>
      <c r="H71" s="1009"/>
      <c r="I71" s="1009"/>
      <c r="J71" s="1009"/>
      <c r="K71" s="1009"/>
      <c r="L71" s="1041"/>
      <c r="M71" s="181" t="s">
        <v>186</v>
      </c>
      <c r="N71" s="1032"/>
      <c r="O71" s="1033"/>
      <c r="P71" s="1033"/>
      <c r="Q71" s="1033"/>
      <c r="R71" s="1033"/>
      <c r="S71" s="1033"/>
      <c r="T71" s="1033"/>
      <c r="U71" s="1033"/>
      <c r="V71" s="1033"/>
      <c r="W71" s="1033"/>
      <c r="X71" s="1033"/>
      <c r="Y71" s="1033"/>
      <c r="Z71" s="1033"/>
      <c r="AA71" s="1033"/>
      <c r="AB71" s="1033"/>
      <c r="AC71" s="1033"/>
      <c r="AD71" s="1033"/>
      <c r="AE71" s="1033"/>
      <c r="AF71" s="1033"/>
      <c r="AG71" s="1033"/>
      <c r="AH71" s="1033"/>
      <c r="AI71" s="1033"/>
      <c r="AJ71" s="1033"/>
      <c r="AK71" s="1033"/>
      <c r="AL71" s="1033"/>
      <c r="AM71" s="1034"/>
      <c r="AN71" s="1184" t="s">
        <v>8014</v>
      </c>
      <c r="AO71" s="1185"/>
    </row>
    <row r="72" spans="1:41" x14ac:dyDescent="0.25">
      <c r="A72" s="18"/>
      <c r="B72" s="18"/>
      <c r="C72" s="18"/>
      <c r="D72" s="7"/>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sheetData>
  <sheetProtection algorithmName="SHA-512" hashValue="v/JKgv7R/2kqSyVH6vNkAhrOL0c21jv4ekIqISgn9KIJ683r0HwZ89XyyZaT3aMBDX1eNEUQwtl3tlqwm4AHyg==" saltValue="lgFk3U7NzPPYYliMSWHZ3A==" spinCount="100000" sheet="1" objects="1" scenarios="1" formatColumns="0" formatRows="0"/>
  <mergeCells count="210">
    <mergeCell ref="F31:L40"/>
    <mergeCell ref="AK40:AL40"/>
    <mergeCell ref="AM31:AN31"/>
    <mergeCell ref="AM32:AN32"/>
    <mergeCell ref="AM33:AN33"/>
    <mergeCell ref="AM34:AN34"/>
    <mergeCell ref="AM35:AN35"/>
    <mergeCell ref="AM36:AN36"/>
    <mergeCell ref="AM37:AN37"/>
    <mergeCell ref="AM38:AN38"/>
    <mergeCell ref="AM39:AN39"/>
    <mergeCell ref="AM40:AN40"/>
    <mergeCell ref="AK31:AL31"/>
    <mergeCell ref="AK32:AL32"/>
    <mergeCell ref="AK33:AL33"/>
    <mergeCell ref="AK34:AL34"/>
    <mergeCell ref="AK35:AL35"/>
    <mergeCell ref="AK36:AL36"/>
    <mergeCell ref="AK37:AL37"/>
    <mergeCell ref="AK38:AL38"/>
    <mergeCell ref="AK39:AL39"/>
    <mergeCell ref="N31:Q31"/>
    <mergeCell ref="R31:T31"/>
    <mergeCell ref="U31:W31"/>
    <mergeCell ref="AI2:AN7"/>
    <mergeCell ref="F10:M10"/>
    <mergeCell ref="N10:S10"/>
    <mergeCell ref="N12:Y12"/>
    <mergeCell ref="O13:AM13"/>
    <mergeCell ref="O14:P14"/>
    <mergeCell ref="Q14:S14"/>
    <mergeCell ref="F20:L20"/>
    <mergeCell ref="N20:S20"/>
    <mergeCell ref="F2:AG6"/>
    <mergeCell ref="F7:J7"/>
    <mergeCell ref="AK19:AN19"/>
    <mergeCell ref="F21:L21"/>
    <mergeCell ref="N21:AJ21"/>
    <mergeCell ref="F22:M22"/>
    <mergeCell ref="N22:AJ22"/>
    <mergeCell ref="T14:AM14"/>
    <mergeCell ref="F18:L18"/>
    <mergeCell ref="N18:Z18"/>
    <mergeCell ref="AA18:AD18"/>
    <mergeCell ref="AF18:AJ18"/>
    <mergeCell ref="F19:L19"/>
    <mergeCell ref="N19:AJ19"/>
    <mergeCell ref="F13:L14"/>
    <mergeCell ref="M13:M14"/>
    <mergeCell ref="F25:L25"/>
    <mergeCell ref="N25:S25"/>
    <mergeCell ref="T25:Z25"/>
    <mergeCell ref="AB25:AJ25"/>
    <mergeCell ref="F26:L26"/>
    <mergeCell ref="N26:S26"/>
    <mergeCell ref="F23:M23"/>
    <mergeCell ref="N23:P23"/>
    <mergeCell ref="R23:X23"/>
    <mergeCell ref="Y23:AB23"/>
    <mergeCell ref="AD23:AJ23"/>
    <mergeCell ref="F24:L24"/>
    <mergeCell ref="N24:S24"/>
    <mergeCell ref="AF27:AI27"/>
    <mergeCell ref="AJ27:AM27"/>
    <mergeCell ref="N30:Q30"/>
    <mergeCell ref="R30:T30"/>
    <mergeCell ref="U30:W30"/>
    <mergeCell ref="X30:Z30"/>
    <mergeCell ref="AA30:AC30"/>
    <mergeCell ref="AD30:AF30"/>
    <mergeCell ref="AG30:AH30"/>
    <mergeCell ref="AI30:AJ30"/>
    <mergeCell ref="AK30:AL30"/>
    <mergeCell ref="AM30:AN30"/>
    <mergeCell ref="X31:Z31"/>
    <mergeCell ref="AA31:AC31"/>
    <mergeCell ref="N34:Q34"/>
    <mergeCell ref="R34:T34"/>
    <mergeCell ref="U34:W34"/>
    <mergeCell ref="X34:Z34"/>
    <mergeCell ref="N33:Q33"/>
    <mergeCell ref="R33:T33"/>
    <mergeCell ref="U33:W33"/>
    <mergeCell ref="X33:Z33"/>
    <mergeCell ref="AA33:AC33"/>
    <mergeCell ref="N36:Q36"/>
    <mergeCell ref="R36:T36"/>
    <mergeCell ref="U36:W36"/>
    <mergeCell ref="X36:Z36"/>
    <mergeCell ref="AA36:AC36"/>
    <mergeCell ref="AD31:AF31"/>
    <mergeCell ref="AG31:AH31"/>
    <mergeCell ref="AI31:AJ31"/>
    <mergeCell ref="N32:Q32"/>
    <mergeCell ref="R32:T32"/>
    <mergeCell ref="U32:W32"/>
    <mergeCell ref="X32:Z32"/>
    <mergeCell ref="AA32:AC32"/>
    <mergeCell ref="AD32:AF32"/>
    <mergeCell ref="AG32:AH32"/>
    <mergeCell ref="AI32:AJ32"/>
    <mergeCell ref="AD33:AF33"/>
    <mergeCell ref="AG33:AH33"/>
    <mergeCell ref="AI33:AJ33"/>
    <mergeCell ref="AA34:AC34"/>
    <mergeCell ref="AD34:AF34"/>
    <mergeCell ref="AG34:AH34"/>
    <mergeCell ref="AI34:AJ34"/>
    <mergeCell ref="N35:Q35"/>
    <mergeCell ref="R35:T35"/>
    <mergeCell ref="U35:W35"/>
    <mergeCell ref="X35:Z35"/>
    <mergeCell ref="AA35:AC35"/>
    <mergeCell ref="AD35:AF35"/>
    <mergeCell ref="AG35:AH35"/>
    <mergeCell ref="AI35:AJ35"/>
    <mergeCell ref="AD36:AF36"/>
    <mergeCell ref="AG36:AH36"/>
    <mergeCell ref="AI36:AJ36"/>
    <mergeCell ref="AG37:AH37"/>
    <mergeCell ref="AI37:AJ37"/>
    <mergeCell ref="N38:Q38"/>
    <mergeCell ref="R38:T38"/>
    <mergeCell ref="U38:W38"/>
    <mergeCell ref="X38:Z38"/>
    <mergeCell ref="AA38:AC38"/>
    <mergeCell ref="AD38:AF38"/>
    <mergeCell ref="AG38:AH38"/>
    <mergeCell ref="AI38:AJ38"/>
    <mergeCell ref="N37:Q37"/>
    <mergeCell ref="R37:T37"/>
    <mergeCell ref="U37:W37"/>
    <mergeCell ref="X37:Z37"/>
    <mergeCell ref="AA37:AC37"/>
    <mergeCell ref="AD37:AF37"/>
    <mergeCell ref="N43:Q43"/>
    <mergeCell ref="R43:T43"/>
    <mergeCell ref="N44:Q44"/>
    <mergeCell ref="R44:T44"/>
    <mergeCell ref="AG39:AH39"/>
    <mergeCell ref="AI39:AJ39"/>
    <mergeCell ref="N40:Q40"/>
    <mergeCell ref="R40:T40"/>
    <mergeCell ref="U40:W40"/>
    <mergeCell ref="X40:Z40"/>
    <mergeCell ref="AA40:AC40"/>
    <mergeCell ref="AD40:AF40"/>
    <mergeCell ref="AG40:AH40"/>
    <mergeCell ref="AI40:AJ40"/>
    <mergeCell ref="N39:Q39"/>
    <mergeCell ref="R39:T39"/>
    <mergeCell ref="U39:W39"/>
    <mergeCell ref="X39:Z39"/>
    <mergeCell ref="AA39:AC39"/>
    <mergeCell ref="AD39:AF39"/>
    <mergeCell ref="U43:X43"/>
    <mergeCell ref="N47:Q47"/>
    <mergeCell ref="R47:T47"/>
    <mergeCell ref="N48:Q48"/>
    <mergeCell ref="R48:T48"/>
    <mergeCell ref="N45:Q45"/>
    <mergeCell ref="R45:T45"/>
    <mergeCell ref="N46:Q46"/>
    <mergeCell ref="R46:T46"/>
    <mergeCell ref="N51:Q51"/>
    <mergeCell ref="R51:T51"/>
    <mergeCell ref="N49:Q49"/>
    <mergeCell ref="R49:T49"/>
    <mergeCell ref="N50:Q50"/>
    <mergeCell ref="R50:T50"/>
    <mergeCell ref="N53:Q53"/>
    <mergeCell ref="R53:T53"/>
    <mergeCell ref="F62:L66"/>
    <mergeCell ref="M62:M66"/>
    <mergeCell ref="S62:Y62"/>
    <mergeCell ref="F59:M59"/>
    <mergeCell ref="N59:AM59"/>
    <mergeCell ref="AI66:AM66"/>
    <mergeCell ref="S63:Y63"/>
    <mergeCell ref="Z63:AH63"/>
    <mergeCell ref="AI63:AM63"/>
    <mergeCell ref="S64:Y64"/>
    <mergeCell ref="Z64:AH64"/>
    <mergeCell ref="AI64:AM64"/>
    <mergeCell ref="S66:Y66"/>
    <mergeCell ref="Z66:AH66"/>
    <mergeCell ref="N52:Q52"/>
    <mergeCell ref="R52:T52"/>
    <mergeCell ref="AN71:AO71"/>
    <mergeCell ref="AN60:AO60"/>
    <mergeCell ref="AN59:AO59"/>
    <mergeCell ref="AF70:AH70"/>
    <mergeCell ref="AI70:AM70"/>
    <mergeCell ref="F71:L71"/>
    <mergeCell ref="N71:AM71"/>
    <mergeCell ref="F60:M60"/>
    <mergeCell ref="N60:AM60"/>
    <mergeCell ref="F70:L70"/>
    <mergeCell ref="N70:P70"/>
    <mergeCell ref="Q70:T70"/>
    <mergeCell ref="U70:Y70"/>
    <mergeCell ref="Z70:AB70"/>
    <mergeCell ref="AC70:AE70"/>
    <mergeCell ref="Z62:AH62"/>
    <mergeCell ref="AI62:AM62"/>
    <mergeCell ref="O63:R63"/>
    <mergeCell ref="O65:R65"/>
    <mergeCell ref="S65:Y65"/>
    <mergeCell ref="Z65:AH65"/>
    <mergeCell ref="AI65:AM65"/>
  </mergeCells>
  <conditionalFormatting sqref="E17:AO72">
    <cfRule type="expression" dxfId="571" priority="3">
      <formula>$N$10&lt;&gt;"Não"</formula>
    </cfRule>
  </conditionalFormatting>
  <conditionalFormatting sqref="F7">
    <cfRule type="notContainsBlanks" dxfId="570" priority="1">
      <formula>LEN(TRIM(F7))&gt;0</formula>
    </cfRule>
  </conditionalFormatting>
  <conditionalFormatting sqref="F12:AN15">
    <cfRule type="expression" dxfId="569" priority="8">
      <formula>$N$10&lt;&gt;"Sim"</formula>
    </cfRule>
  </conditionalFormatting>
  <conditionalFormatting sqref="M18:M21">
    <cfRule type="expression" dxfId="567" priority="21">
      <formula>N18&lt;&gt;""</formula>
    </cfRule>
  </conditionalFormatting>
  <conditionalFormatting sqref="M24:M26">
    <cfRule type="expression" dxfId="566" priority="17">
      <formula>N24&lt;&gt;""</formula>
    </cfRule>
  </conditionalFormatting>
  <conditionalFormatting sqref="M35">
    <cfRule type="expression" dxfId="565" priority="10">
      <formula>IF(COUNTA($R$31:$T$40)&gt;0,1,0)</formula>
    </cfRule>
  </conditionalFormatting>
  <conditionalFormatting sqref="M70">
    <cfRule type="expression" dxfId="563" priority="12">
      <formula>OR($Q$70&lt;&gt;"",$AC$70&lt;&gt;"")</formula>
    </cfRule>
  </conditionalFormatting>
  <conditionalFormatting sqref="M71">
    <cfRule type="expression" dxfId="562" priority="15">
      <formula>N71&lt;&gt;""</formula>
    </cfRule>
  </conditionalFormatting>
  <conditionalFormatting sqref="Q23">
    <cfRule type="expression" dxfId="561" priority="20">
      <formula>R23&lt;&gt;""</formula>
    </cfRule>
  </conditionalFormatting>
  <conditionalFormatting sqref="U54:AN54 F56:AN56">
    <cfRule type="expression" dxfId="559" priority="2">
      <formula>$N$10&lt;&gt;"Não"</formula>
    </cfRule>
  </conditionalFormatting>
  <conditionalFormatting sqref="X30:Z40">
    <cfRule type="expression" dxfId="558" priority="5">
      <formula>COUNTIF($U$31:$W$40,"&gt;0")=0</formula>
    </cfRule>
  </conditionalFormatting>
  <conditionalFormatting sqref="AA25">
    <cfRule type="expression" dxfId="557" priority="18">
      <formula>AB25&lt;&gt;""</formula>
    </cfRule>
  </conditionalFormatting>
  <conditionalFormatting sqref="AC23">
    <cfRule type="expression" dxfId="556" priority="19">
      <formula>AD23&lt;&gt;""</formula>
    </cfRule>
  </conditionalFormatting>
  <conditionalFormatting sqref="AD30:AF40">
    <cfRule type="expression" dxfId="555" priority="4">
      <formula>COUNTIF($AA$31:$AC$40,"&gt;0")=0</formula>
    </cfRule>
  </conditionalFormatting>
  <conditionalFormatting sqref="AE18">
    <cfRule type="expression" dxfId="554" priority="24">
      <formula>AF18&lt;&gt;""</formula>
    </cfRule>
  </conditionalFormatting>
  <conditionalFormatting sqref="AK43:AN53 F43:T54">
    <cfRule type="expression" dxfId="553" priority="9">
      <formula>$N$10&lt;&gt;"Não"</formula>
    </cfRule>
  </conditionalFormatting>
  <dataValidations count="21">
    <dataValidation allowBlank="1" showInputMessage="1" showErrorMessage="1" promptTitle="Ajuda" prompt="A conclusão deverá ser conforme está escrito no relatório do estudo._x000a_" sqref="F71:L71" xr:uid="{A9D0D763-8F9F-412E-B0D7-C8FA842EB953}"/>
    <dataValidation allowBlank="1" showInputMessage="1" showErrorMessage="1" promptTitle="Ajuda" prompt="Se os resultados estiverem separados por IA's deverá ser informado o menor o valor estimado. _x000a__x000a_P.ex. IA1= 0,75 mg/L de ar em 4h e IA2= 0,3 mg/L de ar em 4h, deve ser informado o valor de 0,3 mg/L de ar para a CL50 inalatória.  " sqref="F70:L70" xr:uid="{E2CFB012-2A8D-4D2A-B015-8C1D25B3F49F}"/>
    <dataValidation allowBlank="1" showInputMessage="1" showErrorMessage="1" promptTitle="Ajuda" prompt="Informar apenas se o(s) desvio(s) afetam de algum modo a interpretação dos resultados" sqref="AI62:AM62" xr:uid="{87D03B4A-D488-4A27-8F64-BD46E1C6DB5E}"/>
    <dataValidation allowBlank="1" showInputMessage="1" showErrorMessage="1" promptTitle="Ajuda" prompt="Incluir a justificativa do porquê ocorreu desvio e qual é interpretação dos seus impactos frente aos resultados do estudos." sqref="Z62:AH62" xr:uid="{94B87A41-71D2-4ED8-8803-524DBD2BBF58}"/>
    <dataValidation allowBlank="1" showInputMessage="1" showErrorMessage="1" promptTitle="Ajuda" prompt="Descrição sucinta do desvio ocorrido._x000a__x000a_Caso tenha ocorrido mais do que quatro desvios, os demais deverão estar descritos na última linha e separados por ponto e vírgula" sqref="S62:Y62" xr:uid="{308904A4-3A7F-4610-B546-5B608F20BF53}"/>
    <dataValidation allowBlank="1" showInputMessage="1" showErrorMessage="1" promptTitle="Ajuda" prompt="São considerados desvios os procedimentos que tenham sido conduzidos em desacordo com o protocolo. _x000a__x000a_Alterações no corpo técnico, retificações no texto do relatório ou similiares não são considerados desvios ao protocolo." sqref="F62:L66" xr:uid="{D6BEE892-2E44-4676-9077-01BD20680944}"/>
    <dataValidation allowBlank="1" showInputMessage="1" showErrorMessage="1" promptTitle="Ajuda" prompt="Informar somente o resultado médio do GSD." sqref="AI30:AJ30" xr:uid="{B5DDE809-7C6B-4FB1-8979-23BE26826E1B}"/>
    <dataValidation allowBlank="1" showInputMessage="1" showErrorMessage="1" promptTitle="Ajuda" prompt="Informar somente o resultado médio do MMAD." sqref="AG30:AH30" xr:uid="{5DCC577F-B1B6-4235-91CC-CCD7D545EDF6}"/>
    <dataValidation allowBlank="1" showInputMessage="1" showErrorMessage="1" promptTitle="Ajuda" prompt="O resultado deverá ser expresso pela concentração do produto formulado, conforme §24 do protocolo OECD nº403 de 07/09/2009._x000a__x000a_Somente para produtos que são gases/vapores ou aerossóis: o resultado poderá ser expresso pela concentração do ingrediente ativo." sqref="N30:Q30 N43:Q43" xr:uid="{1CBB969C-DFE9-4003-A096-0B72CAF31AEF}"/>
    <dataValidation allowBlank="1" showInputMessage="1" showErrorMessage="1" promptTitle="Ajuda" prompt="Data de início da exposição dos animais à substância teste" sqref="N23:P23" xr:uid="{3F3293E5-AB5E-4F88-A814-0BE4C46F5668}"/>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22:M22" xr:uid="{E92A26C1-2F20-4B20-A380-785F223B97F8}"/>
    <dataValidation allowBlank="1" showInputMessage="1" showErrorMessage="1" promptTitle="Ajuda" prompt="Informar nome e estado/país do laboratório executor" sqref="F19:L19" xr:uid="{60FAE603-E6AD-4458-A4FE-B594A5302632}"/>
    <dataValidation allowBlank="1" showInputMessage="1" showErrorMessage="1" promptTitle="Ajuda" prompt="Código gerado pelo laboratório executor" sqref="AA18:AD18" xr:uid="{B9C05A38-7F97-481B-ADDB-76CD063D92C7}"/>
    <dataValidation allowBlank="1" showInputMessage="1" showErrorMessage="1" promptTitle="Ajuda" prompt="Todas as informações desse formulário devem refletir ao que foi protocolado na Anvisa, portanto a opção de dispensa de estudo só deverá ser marcada como &quot;sim&quot; se ela também tiver sido realizada no pleito do produto. " sqref="F10:M10" xr:uid="{ADE35794-673F-4FE8-B986-79414C454659}"/>
    <dataValidation type="decimal" operator="greaterThanOrEqual" allowBlank="1" showInputMessage="1" showErrorMessage="1" errorTitle="Valor inválido" error="Esse resultado deve ser um número decimal" sqref="AG31:AJ40" xr:uid="{26E19F98-7C0A-4EEC-A435-31119EFBF7BF}">
      <formula1>0</formula1>
    </dataValidation>
    <dataValidation type="whole" operator="greaterThanOrEqual" allowBlank="1" showInputMessage="1" showErrorMessage="1" errorTitle="Valor inválido" error="A quantidade de animais deve ser um número inteiro" sqref="U31:AF40" xr:uid="{79F14D7C-3654-459B-9469-3CEDEBC685A8}">
      <formula1>0</formula1>
    </dataValidation>
    <dataValidation type="decimal" operator="greaterThanOrEqual" allowBlank="1" showInputMessage="1" showErrorMessage="1" errorTitle="Valor inválido" error="A concentração deve ser um número decimal" sqref="R31:T40" xr:uid="{F916CE9C-0068-4687-99D2-40E68A605A8F}">
      <formula1>0</formula1>
    </dataValidation>
    <dataValidation type="decimal" operator="greaterThanOrEqual" allowBlank="1" showInputMessage="1" showErrorMessage="1" errorTitle="Valor inválido" error="O valor da dose deve ser um número decimal" sqref="Q70:T70" xr:uid="{FF0AC315-9624-44B8-AB69-744E5526BAE7}">
      <formula1>0</formula1>
    </dataValidation>
    <dataValidation type="list" allowBlank="1" showInputMessage="1" showErrorMessage="1" errorTitle="Código inválido" error="Preencher os dados do certificado na guia &quot;Certificados&quot; antes de atribuí-lo a algum estudo" sqref="N24:S24" xr:uid="{F86E7CC3-0D85-46EF-BBF5-ECC85A1EF512}">
      <formula1>src_certificados</formula1>
    </dataValidation>
    <dataValidation type="custom" allowBlank="1" showInputMessage="1" showErrorMessage="1" errorTitle="Data inválida" error="A data de conclusão não pode ser anterior a data de início." sqref="AD23:AJ23" xr:uid="{499BA5EE-6D4A-4165-92A8-9FC30563275D}">
      <formula1>R23&lt;=AD23</formula1>
    </dataValidation>
    <dataValidation allowBlank="1" showInputMessage="1" showErrorMessage="1" prompt="Consideram-se evidências de toxicidade as alterações observadas nos animais decorrentes da exposição à substância teste até os valores da categoria 4, exceto para diarreia, piloereção e aparência descuidada._x000a__x000a_*RDC 294/19, ANEXO IV, item 1.5, alínea d" sqref="U43:X43" xr:uid="{C3BB9707-33D3-4B96-9B4D-63CCCB079395}"/>
  </dataValidations>
  <hyperlinks>
    <hyperlink ref="F7" location="Alertas!G2" display="Alertas!G2" xr:uid="{BBE35DD3-60D2-48F7-A514-740065F4C350}"/>
  </hyperlinks>
  <pageMargins left="0.511811024" right="0.511811024" top="0.78740157499999996" bottom="0.78740157499999996" header="0.31496062000000002" footer="0.31496062000000002"/>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_cl50_maiorque">
              <controlPr defaultSize="0" autoFill="0" autoLine="0" autoPict="0">
                <anchor moveWithCells="1">
                  <from>
                    <xdr:col>13</xdr:col>
                    <xdr:colOff>9525</xdr:colOff>
                    <xdr:row>69</xdr:row>
                    <xdr:rowOff>19050</xdr:rowOff>
                  </from>
                  <to>
                    <xdr:col>15</xdr:col>
                    <xdr:colOff>257175</xdr:colOff>
                    <xdr:row>70</xdr:row>
                    <xdr:rowOff>0</xdr:rowOff>
                  </to>
                </anchor>
              </controlPr>
            </control>
          </mc:Choice>
        </mc:AlternateContent>
        <mc:AlternateContent xmlns:mc="http://schemas.openxmlformats.org/markup-compatibility/2006">
          <mc:Choice Requires="x14">
            <control shapeId="59394" r:id="rId5" name="optn_cl50_desvios1">
              <controlPr defaultSize="0" autoFill="0" autoLine="0" autoPict="0">
                <anchor moveWithCells="1">
                  <from>
                    <xdr:col>13</xdr:col>
                    <xdr:colOff>57150</xdr:colOff>
                    <xdr:row>61</xdr:row>
                    <xdr:rowOff>171450</xdr:rowOff>
                  </from>
                  <to>
                    <xdr:col>17</xdr:col>
                    <xdr:colOff>238125</xdr:colOff>
                    <xdr:row>63</xdr:row>
                    <xdr:rowOff>76200</xdr:rowOff>
                  </to>
                </anchor>
              </controlPr>
            </control>
          </mc:Choice>
        </mc:AlternateContent>
        <mc:AlternateContent xmlns:mc="http://schemas.openxmlformats.org/markup-compatibility/2006">
          <mc:Choice Requires="x14">
            <control shapeId="59395" r:id="rId6" name="optn_cl50_desvios2">
              <controlPr defaultSize="0" autoFill="0" autoLine="0" autoPict="0">
                <anchor moveWithCells="1">
                  <from>
                    <xdr:col>13</xdr:col>
                    <xdr:colOff>57150</xdr:colOff>
                    <xdr:row>63</xdr:row>
                    <xdr:rowOff>180975</xdr:rowOff>
                  </from>
                  <to>
                    <xdr:col>17</xdr:col>
                    <xdr:colOff>238125</xdr:colOff>
                    <xdr:row>65</xdr:row>
                    <xdr:rowOff>85725</xdr:rowOff>
                  </to>
                </anchor>
              </controlPr>
            </control>
          </mc:Choice>
        </mc:AlternateContent>
        <mc:AlternateContent xmlns:mc="http://schemas.openxmlformats.org/markup-compatibility/2006">
          <mc:Choice Requires="x14">
            <control shapeId="59396" r:id="rId7" name="Check Box 51">
              <controlPr defaultSize="0" autoFill="0" autoLine="0" autoPict="0">
                <anchor moveWithCells="1">
                  <from>
                    <xdr:col>13</xdr:col>
                    <xdr:colOff>38100</xdr:colOff>
                    <xdr:row>12</xdr:row>
                    <xdr:rowOff>9525</xdr:rowOff>
                  </from>
                  <to>
                    <xdr:col>39</xdr:col>
                    <xdr:colOff>0</xdr:colOff>
                    <xdr:row>13</xdr:row>
                    <xdr:rowOff>0</xdr:rowOff>
                  </to>
                </anchor>
              </controlPr>
            </control>
          </mc:Choice>
        </mc:AlternateContent>
        <mc:AlternateContent xmlns:mc="http://schemas.openxmlformats.org/markup-compatibility/2006">
          <mc:Choice Requires="x14">
            <control shapeId="59398" r:id="rId8" name="Check Box 53">
              <controlPr defaultSize="0" autoFill="0" autoLine="0" autoPict="0">
                <anchor moveWithCells="1">
                  <from>
                    <xdr:col>13</xdr:col>
                    <xdr:colOff>38100</xdr:colOff>
                    <xdr:row>13</xdr:row>
                    <xdr:rowOff>9525</xdr:rowOff>
                  </from>
                  <to>
                    <xdr:col>16</xdr:col>
                    <xdr:colOff>0</xdr:colOff>
                    <xdr:row>14</xdr:row>
                    <xdr:rowOff>9525</xdr:rowOff>
                  </to>
                </anchor>
              </controlPr>
            </control>
          </mc:Choice>
        </mc:AlternateContent>
        <mc:AlternateContent xmlns:mc="http://schemas.openxmlformats.org/markup-compatibility/2006">
          <mc:Choice Requires="x14">
            <control shapeId="59400" r:id="rId9" name="evid_tox_1">
              <controlPr defaultSize="0" autoFill="0" autoLine="0" autoPict="0">
                <anchor moveWithCells="1">
                  <from>
                    <xdr:col>21</xdr:col>
                    <xdr:colOff>142875</xdr:colOff>
                    <xdr:row>43</xdr:row>
                    <xdr:rowOff>9525</xdr:rowOff>
                  </from>
                  <to>
                    <xdr:col>23</xdr:col>
                    <xdr:colOff>295275</xdr:colOff>
                    <xdr:row>43</xdr:row>
                    <xdr:rowOff>314325</xdr:rowOff>
                  </to>
                </anchor>
              </controlPr>
            </control>
          </mc:Choice>
        </mc:AlternateContent>
        <mc:AlternateContent xmlns:mc="http://schemas.openxmlformats.org/markup-compatibility/2006">
          <mc:Choice Requires="x14">
            <control shapeId="59401" r:id="rId10" name="evid_tox_3">
              <controlPr defaultSize="0" autoFill="0" autoLine="0" autoPict="0">
                <anchor moveWithCells="1">
                  <from>
                    <xdr:col>21</xdr:col>
                    <xdr:colOff>142875</xdr:colOff>
                    <xdr:row>45</xdr:row>
                    <xdr:rowOff>9525</xdr:rowOff>
                  </from>
                  <to>
                    <xdr:col>23</xdr:col>
                    <xdr:colOff>295275</xdr:colOff>
                    <xdr:row>45</xdr:row>
                    <xdr:rowOff>314325</xdr:rowOff>
                  </to>
                </anchor>
              </controlPr>
            </control>
          </mc:Choice>
        </mc:AlternateContent>
        <mc:AlternateContent xmlns:mc="http://schemas.openxmlformats.org/markup-compatibility/2006">
          <mc:Choice Requires="x14">
            <control shapeId="59402" r:id="rId11" name="evid_tox_4">
              <controlPr defaultSize="0" autoFill="0" autoLine="0" autoPict="0">
                <anchor moveWithCells="1">
                  <from>
                    <xdr:col>21</xdr:col>
                    <xdr:colOff>142875</xdr:colOff>
                    <xdr:row>46</xdr:row>
                    <xdr:rowOff>9525</xdr:rowOff>
                  </from>
                  <to>
                    <xdr:col>23</xdr:col>
                    <xdr:colOff>295275</xdr:colOff>
                    <xdr:row>46</xdr:row>
                    <xdr:rowOff>314325</xdr:rowOff>
                  </to>
                </anchor>
              </controlPr>
            </control>
          </mc:Choice>
        </mc:AlternateContent>
        <mc:AlternateContent xmlns:mc="http://schemas.openxmlformats.org/markup-compatibility/2006">
          <mc:Choice Requires="x14">
            <control shapeId="59403" r:id="rId12" name="evid_tox_5">
              <controlPr defaultSize="0" autoFill="0" autoLine="0" autoPict="0">
                <anchor moveWithCells="1">
                  <from>
                    <xdr:col>21</xdr:col>
                    <xdr:colOff>142875</xdr:colOff>
                    <xdr:row>47</xdr:row>
                    <xdr:rowOff>9525</xdr:rowOff>
                  </from>
                  <to>
                    <xdr:col>23</xdr:col>
                    <xdr:colOff>295275</xdr:colOff>
                    <xdr:row>47</xdr:row>
                    <xdr:rowOff>314325</xdr:rowOff>
                  </to>
                </anchor>
              </controlPr>
            </control>
          </mc:Choice>
        </mc:AlternateContent>
        <mc:AlternateContent xmlns:mc="http://schemas.openxmlformats.org/markup-compatibility/2006">
          <mc:Choice Requires="x14">
            <control shapeId="59404" r:id="rId13" name="evid_tox_6">
              <controlPr defaultSize="0" autoFill="0" autoLine="0" autoPict="0">
                <anchor moveWithCells="1">
                  <from>
                    <xdr:col>21</xdr:col>
                    <xdr:colOff>142875</xdr:colOff>
                    <xdr:row>48</xdr:row>
                    <xdr:rowOff>9525</xdr:rowOff>
                  </from>
                  <to>
                    <xdr:col>23</xdr:col>
                    <xdr:colOff>295275</xdr:colOff>
                    <xdr:row>48</xdr:row>
                    <xdr:rowOff>314325</xdr:rowOff>
                  </to>
                </anchor>
              </controlPr>
            </control>
          </mc:Choice>
        </mc:AlternateContent>
        <mc:AlternateContent xmlns:mc="http://schemas.openxmlformats.org/markup-compatibility/2006">
          <mc:Choice Requires="x14">
            <control shapeId="59405" r:id="rId14" name="evid_tox_7">
              <controlPr defaultSize="0" autoFill="0" autoLine="0" autoPict="0">
                <anchor moveWithCells="1">
                  <from>
                    <xdr:col>21</xdr:col>
                    <xdr:colOff>142875</xdr:colOff>
                    <xdr:row>49</xdr:row>
                    <xdr:rowOff>9525</xdr:rowOff>
                  </from>
                  <to>
                    <xdr:col>23</xdr:col>
                    <xdr:colOff>295275</xdr:colOff>
                    <xdr:row>49</xdr:row>
                    <xdr:rowOff>314325</xdr:rowOff>
                  </to>
                </anchor>
              </controlPr>
            </control>
          </mc:Choice>
        </mc:AlternateContent>
        <mc:AlternateContent xmlns:mc="http://schemas.openxmlformats.org/markup-compatibility/2006">
          <mc:Choice Requires="x14">
            <control shapeId="59406" r:id="rId15" name="evid_tox_8">
              <controlPr defaultSize="0" autoFill="0" autoLine="0" autoPict="0">
                <anchor moveWithCells="1">
                  <from>
                    <xdr:col>21</xdr:col>
                    <xdr:colOff>142875</xdr:colOff>
                    <xdr:row>50</xdr:row>
                    <xdr:rowOff>9525</xdr:rowOff>
                  </from>
                  <to>
                    <xdr:col>23</xdr:col>
                    <xdr:colOff>295275</xdr:colOff>
                    <xdr:row>50</xdr:row>
                    <xdr:rowOff>314325</xdr:rowOff>
                  </to>
                </anchor>
              </controlPr>
            </control>
          </mc:Choice>
        </mc:AlternateContent>
        <mc:AlternateContent xmlns:mc="http://schemas.openxmlformats.org/markup-compatibility/2006">
          <mc:Choice Requires="x14">
            <control shapeId="59407" r:id="rId16" name="evid_tox_9">
              <controlPr defaultSize="0" autoFill="0" autoLine="0" autoPict="0">
                <anchor moveWithCells="1">
                  <from>
                    <xdr:col>21</xdr:col>
                    <xdr:colOff>142875</xdr:colOff>
                    <xdr:row>51</xdr:row>
                    <xdr:rowOff>19050</xdr:rowOff>
                  </from>
                  <to>
                    <xdr:col>23</xdr:col>
                    <xdr:colOff>295275</xdr:colOff>
                    <xdr:row>52</xdr:row>
                    <xdr:rowOff>0</xdr:rowOff>
                  </to>
                </anchor>
              </controlPr>
            </control>
          </mc:Choice>
        </mc:AlternateContent>
        <mc:AlternateContent xmlns:mc="http://schemas.openxmlformats.org/markup-compatibility/2006">
          <mc:Choice Requires="x14">
            <control shapeId="59408" r:id="rId17" name="evid_tox_10">
              <controlPr defaultSize="0" autoFill="0" autoLine="0" autoPict="0">
                <anchor moveWithCells="1">
                  <from>
                    <xdr:col>21</xdr:col>
                    <xdr:colOff>142875</xdr:colOff>
                    <xdr:row>52</xdr:row>
                    <xdr:rowOff>19050</xdr:rowOff>
                  </from>
                  <to>
                    <xdr:col>23</xdr:col>
                    <xdr:colOff>295275</xdr:colOff>
                    <xdr:row>53</xdr:row>
                    <xdr:rowOff>0</xdr:rowOff>
                  </to>
                </anchor>
              </controlPr>
            </control>
          </mc:Choice>
        </mc:AlternateContent>
        <mc:AlternateContent xmlns:mc="http://schemas.openxmlformats.org/markup-compatibility/2006">
          <mc:Choice Requires="x14">
            <control shapeId="59409" r:id="rId18" name="Check Box 17">
              <controlPr defaultSize="0" autoFill="0" autoLine="0" autoPict="0">
                <anchor moveWithCells="1">
                  <from>
                    <xdr:col>21</xdr:col>
                    <xdr:colOff>152400</xdr:colOff>
                    <xdr:row>44</xdr:row>
                    <xdr:rowOff>9525</xdr:rowOff>
                  </from>
                  <to>
                    <xdr:col>23</xdr:col>
                    <xdr:colOff>304800</xdr:colOff>
                    <xdr:row>44</xdr:row>
                    <xdr:rowOff>314325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474" id="{E7D72052-4523-46A5-9E7A-1D1189FC346E}">
            <xm:f>IF(Respostas_usuario!#REF!&lt;&gt;0,1,0)</xm:f>
            <x14:dxf>
              <font>
                <b/>
                <i val="0"/>
                <color rgb="FF00B050"/>
              </font>
            </x14:dxf>
          </x14:cfRule>
          <xm:sqref>M13</xm:sqref>
        </x14:conditionalFormatting>
        <x14:conditionalFormatting xmlns:xm="http://schemas.microsoft.com/office/excel/2006/main">
          <x14:cfRule type="expression" priority="14" id="{DC4E8804-3531-4421-B302-5714188416A9}">
            <xm:f>Respostas_usuario!$K$9&lt;&gt;0</xm:f>
            <x14:dxf>
              <font>
                <b/>
                <i val="0"/>
                <color rgb="FF00B050"/>
              </font>
              <fill>
                <patternFill>
                  <bgColor theme="0"/>
                </patternFill>
              </fill>
            </x14:dxf>
          </x14:cfRule>
          <xm:sqref>M62:M66</xm:sqref>
        </x14:conditionalFormatting>
        <x14:conditionalFormatting xmlns:xm="http://schemas.microsoft.com/office/excel/2006/main">
          <x14:cfRule type="expression" priority="13" id="{E050952D-1EC2-4799-A548-88A0987CF187}">
            <xm:f>Respostas_usuario!$K$9&lt;&gt;2</xm:f>
            <x14:dxf>
              <font>
                <color theme="0"/>
              </font>
              <fill>
                <patternFill>
                  <bgColor theme="0"/>
                </patternFill>
              </fill>
              <border>
                <right/>
                <top/>
                <bottom/>
              </border>
            </x14:dxf>
          </x14:cfRule>
          <xm:sqref>S62:AM66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Valor inválido" error="A resposta deve ser Sim ou Não" xr:uid="{D2524B32-0B40-49A7-9344-7557B7BAB3DC}">
          <x14:formula1>
            <xm:f>Tabelas_fonte!$Y$2:$Y$3</xm:f>
          </x14:formula1>
          <xm:sqref>AI63:AM66</xm:sqref>
        </x14:dataValidation>
        <x14:dataValidation type="list" allowBlank="1" showInputMessage="1" xr:uid="{E31F6830-DF8F-44CB-98B9-D39DE2C9C16D}">
          <x14:formula1>
            <xm:f>Tabelas_fonte!$AG$2:$AG$7</xm:f>
          </x14:formula1>
          <xm:sqref>N21:AJ21</xm:sqref>
        </x14:dataValidation>
        <x14:dataValidation type="list" allowBlank="1" showInputMessage="1" showErrorMessage="1" errorTitle="Resposta inválida" error="A resposta de ser Sim ou Não." xr:uid="{430B4917-7EF7-45EF-A14C-1126564C4546}">
          <x14:formula1>
            <xm:f>Tabelas_fonte!$Y$2:$Y$3</xm:f>
          </x14:formula1>
          <xm:sqref>N20:S20 N26:S26</xm:sqref>
        </x14:dataValidation>
        <x14:dataValidation type="list" allowBlank="1" showInputMessage="1" showErrorMessage="1" errorTitle="Resposta inválida" error="A resposta deve ser Sim ou Não" xr:uid="{935A23B2-374E-4962-BA8B-FA0FAE970C52}">
          <x14:formula1>
            <xm:f>Tabelas_fonte!$Y$2:$Y$3</xm:f>
          </x14:formula1>
          <xm:sqref>N10:S10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2889E-8B67-4122-B46C-0A608A55C440}">
  <sheetPr codeName="Planilha61">
    <tabColor theme="8" tint="0.59999389629810485"/>
  </sheetPr>
  <dimension ref="A1:AR97"/>
  <sheetViews>
    <sheetView showGridLines="0" topLeftCell="D88" workbookViewId="0">
      <selection activeCell="D1" sqref="D1"/>
    </sheetView>
  </sheetViews>
  <sheetFormatPr defaultColWidth="0" defaultRowHeight="15" zeroHeight="1" x14ac:dyDescent="0.25"/>
  <cols>
    <col min="1" max="3" width="2.7109375" style="20" hidden="1" customWidth="1"/>
    <col min="4" max="4" width="2.7109375" style="20" customWidth="1"/>
    <col min="5" max="5" width="2.7109375" style="2" customWidth="1"/>
    <col min="6" max="13" width="4.7109375" style="20" customWidth="1"/>
    <col min="14" max="14" width="5.7109375" style="20" customWidth="1"/>
    <col min="15" max="36" width="4.7109375" style="20" customWidth="1"/>
    <col min="37" max="44" width="5.28515625" style="20" customWidth="1"/>
    <col min="45" max="16384" width="9.140625" style="20" hidden="1"/>
  </cols>
  <sheetData>
    <row r="1" spans="1:44" x14ac:dyDescent="0.25">
      <c r="A1" s="18"/>
      <c r="B1" s="18"/>
      <c r="C1" s="18"/>
      <c r="D1" s="7"/>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5" customHeight="1" x14ac:dyDescent="0.25">
      <c r="A2" s="18"/>
      <c r="B2" s="18"/>
      <c r="C2" s="18"/>
      <c r="D2" s="7"/>
      <c r="F2" s="1148" t="s">
        <v>314</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c r="AO2" s="2"/>
      <c r="AP2" s="2"/>
      <c r="AQ2" s="2"/>
      <c r="AR2" s="2"/>
    </row>
    <row r="3" spans="1:44"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c r="AO3" s="2"/>
      <c r="AP3" s="2"/>
      <c r="AQ3" s="2"/>
      <c r="AR3" s="2"/>
    </row>
    <row r="4" spans="1:44"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c r="AO4" s="2"/>
      <c r="AP4" s="2"/>
      <c r="AQ4" s="2"/>
      <c r="AR4" s="2"/>
    </row>
    <row r="5" spans="1:44"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c r="AO5" s="2"/>
      <c r="AP5" s="2"/>
      <c r="AQ5" s="2"/>
      <c r="AR5" s="2"/>
    </row>
    <row r="6" spans="1:44"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c r="AO6" s="2"/>
      <c r="AP6" s="2"/>
      <c r="AQ6" s="2"/>
      <c r="AR6" s="73"/>
    </row>
    <row r="7" spans="1:44" ht="20.100000000000001" customHeight="1" x14ac:dyDescent="0.25">
      <c r="A7" s="18"/>
      <c r="B7" s="18"/>
      <c r="C7" s="18"/>
      <c r="D7" s="7"/>
      <c r="E7" s="158"/>
      <c r="F7" s="1024" t="str">
        <f ca="1">Alertas!R13</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row>
    <row r="8" spans="1:44" ht="15" customHeight="1" x14ac:dyDescent="0.25">
      <c r="A8" s="18"/>
      <c r="B8" s="18"/>
      <c r="C8" s="18"/>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row>
    <row r="9" spans="1:44" ht="15" customHeight="1" x14ac:dyDescent="0.25">
      <c r="A9" s="18"/>
      <c r="B9" s="18"/>
      <c r="C9" s="18"/>
      <c r="D9" s="7"/>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39.950000000000003" customHeight="1" x14ac:dyDescent="0.25">
      <c r="A10" s="18"/>
      <c r="B10" s="18"/>
      <c r="C10" s="18"/>
      <c r="D10" s="7"/>
      <c r="F10" s="1049" t="s">
        <v>6535</v>
      </c>
      <c r="G10" s="1050"/>
      <c r="H10" s="1050"/>
      <c r="I10" s="1050"/>
      <c r="J10" s="1050"/>
      <c r="K10" s="1050"/>
      <c r="L10" s="1050"/>
      <c r="M10" s="1051"/>
      <c r="N10" s="1218"/>
      <c r="O10" s="1219"/>
      <c r="P10" s="1219"/>
      <c r="Q10" s="1219"/>
      <c r="R10" s="1219"/>
      <c r="S10" s="1220"/>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4" ht="15" customHeight="1" x14ac:dyDescent="0.25">
      <c r="A11" s="18"/>
      <c r="B11" s="18"/>
      <c r="C11" s="18"/>
      <c r="D11" s="7"/>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4" ht="15" customHeight="1" x14ac:dyDescent="0.25">
      <c r="A12" s="18"/>
      <c r="B12" s="18"/>
      <c r="C12" s="18"/>
      <c r="D12" s="7"/>
      <c r="F12" s="166" t="s">
        <v>6536</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4" ht="15" customHeight="1" x14ac:dyDescent="0.25">
      <c r="A13" s="18"/>
      <c r="B13" s="18"/>
      <c r="C13" s="18"/>
      <c r="D13" s="7"/>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4" ht="15" customHeight="1" x14ac:dyDescent="0.25">
      <c r="A14" s="18"/>
      <c r="B14" s="18"/>
      <c r="C14" s="18"/>
      <c r="D14" s="7"/>
      <c r="F14" s="2"/>
      <c r="G14" s="1221" t="s">
        <v>6519</v>
      </c>
      <c r="H14" s="1221"/>
      <c r="I14" s="1221"/>
      <c r="J14" s="1221"/>
      <c r="K14" s="1221"/>
      <c r="L14" s="1221"/>
      <c r="M14" s="1221"/>
      <c r="N14" s="1221"/>
      <c r="O14" s="1221"/>
      <c r="P14" s="1221"/>
      <c r="Q14" s="1221"/>
      <c r="R14" s="1221" t="s">
        <v>7797</v>
      </c>
      <c r="S14" s="1221"/>
      <c r="T14" s="1221"/>
      <c r="U14" s="1221"/>
      <c r="V14" s="1221"/>
      <c r="W14" s="1221"/>
      <c r="X14" s="1221"/>
      <c r="Y14" s="1221"/>
      <c r="Z14" s="1221"/>
      <c r="AA14" s="1221"/>
      <c r="AB14" s="1221"/>
      <c r="AC14" s="1221"/>
      <c r="AD14" s="1221"/>
      <c r="AE14" s="1221"/>
      <c r="AF14" s="1221"/>
      <c r="AG14" s="1221"/>
      <c r="AH14" s="1221"/>
      <c r="AI14" s="1221"/>
      <c r="AJ14" s="1221" t="s">
        <v>6538</v>
      </c>
      <c r="AK14" s="1221"/>
      <c r="AL14" s="1221"/>
      <c r="AM14" s="1221"/>
      <c r="AN14" s="2"/>
      <c r="AO14" s="2"/>
      <c r="AP14" s="2"/>
      <c r="AQ14" s="2"/>
      <c r="AR14" s="2"/>
    </row>
    <row r="15" spans="1:44" ht="60" customHeight="1" x14ac:dyDescent="0.25">
      <c r="A15" s="18"/>
      <c r="B15" s="18"/>
      <c r="C15" s="18"/>
      <c r="D15" s="7"/>
      <c r="F15" s="193" t="s">
        <v>152</v>
      </c>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6"/>
      <c r="AK15" s="1216"/>
      <c r="AL15" s="1216"/>
      <c r="AM15" s="1216"/>
      <c r="AN15" s="2"/>
      <c r="AO15" s="2"/>
      <c r="AP15" s="2"/>
      <c r="AQ15" s="2"/>
      <c r="AR15" s="2"/>
    </row>
    <row r="16" spans="1:44" ht="60" customHeight="1" x14ac:dyDescent="0.25">
      <c r="A16" s="18"/>
      <c r="B16" s="18"/>
      <c r="C16" s="18"/>
      <c r="D16" s="7"/>
      <c r="F16" s="193" t="s">
        <v>153</v>
      </c>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6"/>
      <c r="AK16" s="1216"/>
      <c r="AL16" s="1216"/>
      <c r="AM16" s="1216"/>
      <c r="AN16" s="2"/>
      <c r="AO16" s="2"/>
      <c r="AP16" s="2"/>
      <c r="AQ16" s="2"/>
      <c r="AR16" s="2"/>
    </row>
    <row r="17" spans="1:44" ht="60" customHeight="1" x14ac:dyDescent="0.25">
      <c r="A17" s="18"/>
      <c r="B17" s="18"/>
      <c r="C17" s="18"/>
      <c r="D17" s="7"/>
      <c r="F17" s="193" t="s">
        <v>154</v>
      </c>
      <c r="G17" s="1217"/>
      <c r="H17" s="1217"/>
      <c r="I17" s="1217"/>
      <c r="J17" s="1217"/>
      <c r="K17" s="1217"/>
      <c r="L17" s="1217"/>
      <c r="M17" s="1217"/>
      <c r="N17" s="1217"/>
      <c r="O17" s="1217"/>
      <c r="P17" s="1217"/>
      <c r="Q17" s="1217"/>
      <c r="R17" s="1217"/>
      <c r="S17" s="1217"/>
      <c r="T17" s="1217"/>
      <c r="U17" s="1217"/>
      <c r="V17" s="1217"/>
      <c r="W17" s="1217"/>
      <c r="X17" s="1217"/>
      <c r="Y17" s="1217"/>
      <c r="Z17" s="1217"/>
      <c r="AA17" s="1217"/>
      <c r="AB17" s="1217"/>
      <c r="AC17" s="1217"/>
      <c r="AD17" s="1217"/>
      <c r="AE17" s="1217"/>
      <c r="AF17" s="1217"/>
      <c r="AG17" s="1217"/>
      <c r="AH17" s="1217"/>
      <c r="AI17" s="1217"/>
      <c r="AJ17" s="1216"/>
      <c r="AK17" s="1216"/>
      <c r="AL17" s="1216"/>
      <c r="AM17" s="1216"/>
      <c r="AN17" s="2"/>
      <c r="AO17" s="2"/>
      <c r="AP17" s="2"/>
      <c r="AQ17" s="2"/>
      <c r="AR17" s="2"/>
    </row>
    <row r="18" spans="1:44" ht="39.950000000000003" hidden="1" customHeight="1" x14ac:dyDescent="0.25">
      <c r="A18" s="18"/>
      <c r="B18" s="18"/>
      <c r="C18" s="18"/>
      <c r="D18" s="7"/>
      <c r="AN18" s="2"/>
      <c r="AO18" s="2"/>
      <c r="AP18" s="2"/>
      <c r="AQ18" s="2"/>
      <c r="AR18" s="2"/>
    </row>
    <row r="19" spans="1:44" ht="39.950000000000003" hidden="1" customHeight="1" x14ac:dyDescent="0.25">
      <c r="A19" s="18"/>
      <c r="B19" s="18"/>
      <c r="C19" s="18"/>
      <c r="D19" s="7"/>
      <c r="AN19" s="2"/>
      <c r="AO19" s="2"/>
      <c r="AP19" s="2"/>
      <c r="AQ19" s="2"/>
      <c r="AR19" s="2"/>
    </row>
    <row r="20" spans="1:44" ht="15" hidden="1" customHeight="1" x14ac:dyDescent="0.25">
      <c r="A20" s="18"/>
      <c r="B20" s="18"/>
      <c r="C20" s="18"/>
      <c r="D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15" customHeight="1" x14ac:dyDescent="0.25">
      <c r="A21" s="18"/>
      <c r="B21" s="18"/>
      <c r="C21" s="18"/>
      <c r="D21" s="7"/>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15" customHeight="1" x14ac:dyDescent="0.25">
      <c r="A22" s="18"/>
      <c r="B22" s="18"/>
      <c r="C22" s="18"/>
      <c r="D22" s="7"/>
      <c r="F22" s="194" t="s">
        <v>143</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50.1" customHeight="1" x14ac:dyDescent="0.25">
      <c r="A23" s="18"/>
      <c r="B23" s="18"/>
      <c r="C23" s="18"/>
      <c r="D23" s="7"/>
      <c r="F23" s="1222"/>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4"/>
      <c r="AN23" s="2"/>
      <c r="AO23" s="2"/>
      <c r="AP23" s="2"/>
      <c r="AQ23" s="2"/>
      <c r="AR23" s="2"/>
    </row>
    <row r="24" spans="1:44" ht="15" customHeight="1" x14ac:dyDescent="0.25">
      <c r="A24" s="18"/>
      <c r="B24" s="18"/>
      <c r="C24" s="18"/>
      <c r="D24" s="7"/>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5" customHeight="1" x14ac:dyDescent="0.25">
      <c r="A25" s="18"/>
      <c r="B25" s="18"/>
      <c r="C25" s="18"/>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row>
    <row r="26" spans="1:44" ht="15" customHeight="1" x14ac:dyDescent="0.25">
      <c r="A26" s="18"/>
      <c r="B26" s="18"/>
      <c r="C26" s="18"/>
      <c r="D26" s="7"/>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30" customHeight="1" x14ac:dyDescent="0.25">
      <c r="A27" s="18"/>
      <c r="B27" s="18"/>
      <c r="C27" s="18"/>
      <c r="D27" s="7"/>
      <c r="F27" s="1208" t="s">
        <v>6031</v>
      </c>
      <c r="G27" s="1208"/>
      <c r="H27" s="1208"/>
      <c r="I27" s="1208"/>
      <c r="J27" s="1208"/>
      <c r="K27" s="1208"/>
      <c r="L27" s="1208"/>
      <c r="M27" s="1208"/>
      <c r="N27" s="1209"/>
      <c r="O27" s="1209"/>
      <c r="P27" s="1209"/>
      <c r="Q27" s="1209"/>
      <c r="R27" s="1209"/>
      <c r="S27" s="1209"/>
      <c r="T27" s="2"/>
      <c r="U27" s="2"/>
      <c r="V27" s="2"/>
      <c r="W27" s="2"/>
      <c r="X27" s="2"/>
      <c r="Y27" s="2"/>
      <c r="Z27" s="2"/>
      <c r="AA27" s="2"/>
      <c r="AB27" s="2"/>
      <c r="AC27" s="2"/>
      <c r="AD27" s="2"/>
      <c r="AE27" s="2"/>
      <c r="AF27" s="2"/>
      <c r="AG27" s="2"/>
      <c r="AH27" s="2"/>
      <c r="AI27" s="2"/>
      <c r="AJ27" s="2"/>
      <c r="AK27" s="2"/>
      <c r="AL27" s="2"/>
      <c r="AM27" s="2"/>
      <c r="AN27" s="195"/>
      <c r="AO27" s="195"/>
      <c r="AP27" s="195"/>
      <c r="AQ27" s="195"/>
      <c r="AR27" s="195"/>
    </row>
    <row r="28" spans="1:44" ht="30" customHeight="1" x14ac:dyDescent="0.25">
      <c r="A28" s="18"/>
      <c r="B28" s="18"/>
      <c r="C28" s="18"/>
      <c r="D28" s="7"/>
      <c r="G28" s="195"/>
      <c r="H28" s="195"/>
      <c r="I28" s="195"/>
      <c r="J28" s="195"/>
      <c r="K28" s="195"/>
      <c r="L28" s="195"/>
      <c r="M28" s="196"/>
      <c r="N28" s="197" t="s">
        <v>236</v>
      </c>
      <c r="O28" s="197"/>
      <c r="P28" s="197"/>
      <c r="Q28" s="197"/>
      <c r="R28" s="197"/>
      <c r="S28" s="197"/>
      <c r="T28" s="197"/>
      <c r="U28" s="197"/>
      <c r="V28" s="197"/>
      <c r="W28" s="197"/>
      <c r="X28" s="197"/>
      <c r="Y28" s="197"/>
      <c r="Z28" s="198"/>
      <c r="AA28" s="198"/>
      <c r="AB28" s="198"/>
      <c r="AC28" s="198"/>
      <c r="AD28" s="198"/>
      <c r="AE28" s="198"/>
      <c r="AF28" s="198"/>
      <c r="AG28" s="198"/>
      <c r="AH28" s="198"/>
      <c r="AI28" s="198"/>
      <c r="AJ28" s="198"/>
      <c r="AK28" s="198"/>
      <c r="AL28" s="198"/>
      <c r="AM28" s="198"/>
      <c r="AN28" s="195"/>
      <c r="AO28" s="195"/>
      <c r="AP28" s="195"/>
      <c r="AQ28" s="195"/>
      <c r="AR28" s="195"/>
    </row>
    <row r="29" spans="1:44" ht="39.950000000000003" customHeight="1" x14ac:dyDescent="0.25">
      <c r="A29" s="18"/>
      <c r="B29" s="18"/>
      <c r="C29" s="18"/>
      <c r="D29" s="7"/>
      <c r="F29" s="1067" t="s">
        <v>40</v>
      </c>
      <c r="G29" s="1068"/>
      <c r="H29" s="1068"/>
      <c r="I29" s="1068"/>
      <c r="J29" s="1068"/>
      <c r="K29" s="1068"/>
      <c r="L29" s="1068"/>
      <c r="M29" s="199"/>
      <c r="N29" s="200"/>
      <c r="O29" s="1050" t="s">
        <v>227</v>
      </c>
      <c r="P29" s="1050"/>
      <c r="Q29" s="1050"/>
      <c r="R29" s="1050"/>
      <c r="S29" s="1050"/>
      <c r="T29" s="1050"/>
      <c r="U29" s="1050"/>
      <c r="V29" s="1050"/>
      <c r="W29" s="1050"/>
      <c r="X29" s="1050"/>
      <c r="Y29" s="1050"/>
      <c r="Z29" s="1050"/>
      <c r="AA29" s="1050"/>
      <c r="AB29" s="1050"/>
      <c r="AC29" s="1050"/>
      <c r="AD29" s="1050"/>
      <c r="AE29" s="1050"/>
      <c r="AF29" s="1050"/>
      <c r="AG29" s="1050"/>
      <c r="AH29" s="1050"/>
      <c r="AI29" s="1050"/>
      <c r="AJ29" s="1050"/>
      <c r="AK29" s="1050"/>
      <c r="AL29" s="1050"/>
      <c r="AM29" s="1051"/>
      <c r="AN29" s="195"/>
      <c r="AO29" s="195"/>
      <c r="AP29" s="195"/>
      <c r="AQ29" s="195"/>
      <c r="AR29" s="195"/>
    </row>
    <row r="30" spans="1:44" ht="39.950000000000003" customHeight="1" x14ac:dyDescent="0.25">
      <c r="A30" s="18"/>
      <c r="B30" s="18"/>
      <c r="C30" s="18"/>
      <c r="D30" s="7"/>
      <c r="F30" s="1070"/>
      <c r="G30" s="1071"/>
      <c r="H30" s="1071"/>
      <c r="I30" s="1071"/>
      <c r="J30" s="1071"/>
      <c r="K30" s="1071"/>
      <c r="L30" s="1071"/>
      <c r="M30" s="191" t="s">
        <v>186</v>
      </c>
      <c r="N30" s="201"/>
      <c r="O30" s="1225" t="s">
        <v>5956</v>
      </c>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6"/>
      <c r="AN30" s="195"/>
      <c r="AO30" s="195"/>
      <c r="AP30" s="195"/>
      <c r="AQ30" s="195"/>
      <c r="AR30" s="195"/>
    </row>
    <row r="31" spans="1:44" ht="39.950000000000003" customHeight="1" x14ac:dyDescent="0.25">
      <c r="A31" s="18"/>
      <c r="B31" s="18"/>
      <c r="C31" s="18"/>
      <c r="D31" s="7"/>
      <c r="F31" s="1073"/>
      <c r="G31" s="1074"/>
      <c r="H31" s="1074"/>
      <c r="I31" s="1074"/>
      <c r="J31" s="1074"/>
      <c r="K31" s="1074"/>
      <c r="L31" s="1074"/>
      <c r="M31" s="202"/>
      <c r="N31" s="179"/>
      <c r="O31" s="1210" t="s">
        <v>8</v>
      </c>
      <c r="P31" s="1210"/>
      <c r="Q31" s="1012" t="s">
        <v>41</v>
      </c>
      <c r="R31" s="1012"/>
      <c r="S31" s="1012"/>
      <c r="T31" s="1044"/>
      <c r="U31" s="1044"/>
      <c r="V31" s="1044"/>
      <c r="W31" s="1044"/>
      <c r="X31" s="1044"/>
      <c r="Y31" s="1044"/>
      <c r="Z31" s="1044"/>
      <c r="AA31" s="1044"/>
      <c r="AB31" s="1044"/>
      <c r="AC31" s="1044"/>
      <c r="AD31" s="1044"/>
      <c r="AE31" s="1044"/>
      <c r="AF31" s="1044"/>
      <c r="AG31" s="1044"/>
      <c r="AH31" s="1044"/>
      <c r="AI31" s="1044"/>
      <c r="AJ31" s="1044"/>
      <c r="AK31" s="1044"/>
      <c r="AL31" s="1044"/>
      <c r="AM31" s="1044"/>
      <c r="AN31" s="195"/>
      <c r="AO31" s="195"/>
      <c r="AP31" s="195"/>
      <c r="AQ31" s="195"/>
      <c r="AR31" s="195"/>
    </row>
    <row r="32" spans="1:44" ht="15" customHeight="1" x14ac:dyDescent="0.25">
      <c r="A32" s="18"/>
      <c r="B32" s="18"/>
      <c r="C32" s="18"/>
      <c r="D32" s="7"/>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15" customHeight="1" x14ac:dyDescent="0.25">
      <c r="A33" s="18"/>
      <c r="B33" s="18"/>
      <c r="C33" s="18"/>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row>
    <row r="34" spans="1:44" ht="15" customHeight="1" x14ac:dyDescent="0.25">
      <c r="A34" s="18"/>
      <c r="B34" s="18"/>
      <c r="C34" s="18"/>
      <c r="D34" s="7"/>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30" customHeight="1" x14ac:dyDescent="0.25">
      <c r="A35" s="18"/>
      <c r="B35" s="18"/>
      <c r="C35" s="18"/>
      <c r="D35" s="7"/>
      <c r="F35" s="1149" t="s">
        <v>30</v>
      </c>
      <c r="G35" s="1094"/>
      <c r="H35" s="1094"/>
      <c r="I35" s="1094"/>
      <c r="J35" s="1094"/>
      <c r="K35" s="1094"/>
      <c r="L35" s="1104"/>
      <c r="M35" s="148" t="s">
        <v>186</v>
      </c>
      <c r="N35" s="1032"/>
      <c r="O35" s="1033"/>
      <c r="P35" s="1033"/>
      <c r="Q35" s="1033"/>
      <c r="R35" s="1033"/>
      <c r="S35" s="1033"/>
      <c r="T35" s="1033"/>
      <c r="U35" s="1033"/>
      <c r="V35" s="1033"/>
      <c r="W35" s="1033"/>
      <c r="X35" s="1033"/>
      <c r="Y35" s="1033"/>
      <c r="Z35" s="1034"/>
      <c r="AA35" s="1009" t="s">
        <v>294</v>
      </c>
      <c r="AB35" s="1009"/>
      <c r="AC35" s="1009"/>
      <c r="AD35" s="1041"/>
      <c r="AE35" s="148" t="s">
        <v>186</v>
      </c>
      <c r="AF35" s="1032"/>
      <c r="AG35" s="1033"/>
      <c r="AH35" s="1033"/>
      <c r="AI35" s="1033"/>
      <c r="AJ35" s="1034"/>
      <c r="AK35" s="2"/>
      <c r="AL35" s="2"/>
      <c r="AM35" s="2"/>
      <c r="AN35" s="2"/>
      <c r="AO35" s="49"/>
      <c r="AP35" s="49"/>
      <c r="AQ35" s="49"/>
      <c r="AR35" s="49"/>
    </row>
    <row r="36" spans="1:44" ht="60" customHeight="1" x14ac:dyDescent="0.25">
      <c r="A36" s="18"/>
      <c r="B36" s="18"/>
      <c r="C36" s="18"/>
      <c r="D36" s="7"/>
      <c r="F36" s="1008" t="s">
        <v>7300</v>
      </c>
      <c r="G36" s="1009"/>
      <c r="H36" s="1009"/>
      <c r="I36" s="1009"/>
      <c r="J36" s="1009"/>
      <c r="K36" s="1009"/>
      <c r="L36" s="1041"/>
      <c r="M36" s="148" t="s">
        <v>186</v>
      </c>
      <c r="N36" s="1032"/>
      <c r="O36" s="1033"/>
      <c r="P36" s="1033"/>
      <c r="Q36" s="1033"/>
      <c r="R36" s="1033"/>
      <c r="S36" s="1033"/>
      <c r="T36" s="1033"/>
      <c r="U36" s="1033"/>
      <c r="V36" s="1033"/>
      <c r="W36" s="1033"/>
      <c r="X36" s="1033"/>
      <c r="Y36" s="1033"/>
      <c r="Z36" s="1033"/>
      <c r="AA36" s="1033"/>
      <c r="AB36" s="1033"/>
      <c r="AC36" s="1033"/>
      <c r="AD36" s="1033"/>
      <c r="AE36" s="1033"/>
      <c r="AF36" s="1033"/>
      <c r="AG36" s="1033"/>
      <c r="AH36" s="1033"/>
      <c r="AI36" s="1033"/>
      <c r="AJ36" s="1034"/>
      <c r="AK36" s="1158" t="s">
        <v>271</v>
      </c>
      <c r="AL36" s="1159"/>
      <c r="AM36" s="1159"/>
      <c r="AN36" s="1159"/>
      <c r="AO36" s="49"/>
      <c r="AP36" s="49"/>
      <c r="AQ36" s="49"/>
      <c r="AR36" s="49"/>
    </row>
    <row r="37" spans="1:44" ht="20.100000000000001" customHeight="1" x14ac:dyDescent="0.25">
      <c r="A37" s="18"/>
      <c r="B37" s="18"/>
      <c r="C37" s="18"/>
      <c r="D37" s="7"/>
      <c r="F37" s="1008" t="s">
        <v>6029</v>
      </c>
      <c r="G37" s="1009"/>
      <c r="H37" s="1009"/>
      <c r="I37" s="1009"/>
      <c r="J37" s="1009"/>
      <c r="K37" s="1009"/>
      <c r="L37" s="1041"/>
      <c r="M37" s="148" t="s">
        <v>186</v>
      </c>
      <c r="N37" s="1213"/>
      <c r="O37" s="1214"/>
      <c r="P37" s="1214"/>
      <c r="Q37" s="1214"/>
      <c r="R37" s="1214"/>
      <c r="S37" s="1190"/>
      <c r="T37" s="203"/>
      <c r="U37" s="203"/>
      <c r="V37" s="203"/>
      <c r="W37" s="203"/>
      <c r="X37" s="203"/>
      <c r="Y37" s="203"/>
      <c r="Z37" s="203"/>
      <c r="AA37" s="203"/>
      <c r="AB37" s="203"/>
      <c r="AC37" s="203"/>
      <c r="AD37" s="203"/>
      <c r="AE37" s="203"/>
      <c r="AF37" s="203"/>
      <c r="AG37" s="203"/>
      <c r="AH37" s="203"/>
      <c r="AI37" s="175"/>
      <c r="AJ37" s="175"/>
      <c r="AK37" s="175"/>
      <c r="AL37" s="175"/>
      <c r="AM37" s="175"/>
      <c r="AN37" s="161"/>
      <c r="AO37" s="161"/>
      <c r="AP37" s="161"/>
      <c r="AQ37" s="161"/>
      <c r="AR37" s="161"/>
    </row>
    <row r="38" spans="1:44" ht="20.100000000000001" customHeight="1" x14ac:dyDescent="0.25">
      <c r="A38" s="18"/>
      <c r="B38" s="18"/>
      <c r="C38" s="18"/>
      <c r="D38" s="7"/>
      <c r="F38" s="1149" t="s">
        <v>218</v>
      </c>
      <c r="G38" s="1094"/>
      <c r="H38" s="1094"/>
      <c r="I38" s="1094"/>
      <c r="J38" s="1094"/>
      <c r="K38" s="1094"/>
      <c r="L38" s="1104"/>
      <c r="M38" s="148" t="s">
        <v>186</v>
      </c>
      <c r="N38" s="1243"/>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5"/>
      <c r="AK38" s="2"/>
      <c r="AL38" s="2"/>
      <c r="AM38" s="2"/>
      <c r="AN38" s="2"/>
      <c r="AO38" s="2"/>
      <c r="AP38" s="2"/>
      <c r="AQ38" s="2"/>
      <c r="AR38" s="2"/>
    </row>
    <row r="39" spans="1:44" ht="20.100000000000001" customHeight="1" x14ac:dyDescent="0.25">
      <c r="A39" s="18"/>
      <c r="B39" s="18"/>
      <c r="C39" s="18"/>
      <c r="D39" s="7"/>
      <c r="F39" s="1149" t="s">
        <v>311</v>
      </c>
      <c r="G39" s="1094"/>
      <c r="H39" s="1094"/>
      <c r="I39" s="1094"/>
      <c r="J39" s="1094"/>
      <c r="K39" s="1094"/>
      <c r="L39" s="1094"/>
      <c r="M39" s="1150"/>
      <c r="N39" s="1243"/>
      <c r="O39" s="1244"/>
      <c r="P39" s="1244"/>
      <c r="Q39" s="1244"/>
      <c r="R39" s="1244"/>
      <c r="S39" s="1244"/>
      <c r="T39" s="1244"/>
      <c r="U39" s="1244"/>
      <c r="V39" s="1244"/>
      <c r="W39" s="1244"/>
      <c r="X39" s="1244"/>
      <c r="Y39" s="1244"/>
      <c r="Z39" s="1244"/>
      <c r="AA39" s="1244"/>
      <c r="AB39" s="1244"/>
      <c r="AC39" s="1244"/>
      <c r="AD39" s="1244"/>
      <c r="AE39" s="1244"/>
      <c r="AF39" s="1244"/>
      <c r="AG39" s="1244"/>
      <c r="AH39" s="1244"/>
      <c r="AI39" s="1244"/>
      <c r="AJ39" s="1245"/>
      <c r="AK39" s="163"/>
      <c r="AL39" s="163"/>
      <c r="AM39" s="163"/>
      <c r="AN39" s="163"/>
      <c r="AO39" s="163"/>
      <c r="AP39" s="163"/>
      <c r="AQ39" s="163"/>
      <c r="AR39" s="163"/>
    </row>
    <row r="40" spans="1:44" ht="20.100000000000001" customHeight="1" x14ac:dyDescent="0.25">
      <c r="A40" s="18"/>
      <c r="B40" s="18"/>
      <c r="C40" s="18"/>
      <c r="D40" s="7"/>
      <c r="F40" s="1008" t="s">
        <v>7301</v>
      </c>
      <c r="G40" s="1009"/>
      <c r="H40" s="1009"/>
      <c r="I40" s="1009"/>
      <c r="J40" s="1009"/>
      <c r="K40" s="1009"/>
      <c r="L40" s="1009"/>
      <c r="M40" s="1010"/>
      <c r="N40" s="1181" t="s">
        <v>6030</v>
      </c>
      <c r="O40" s="1182"/>
      <c r="P40" s="1183"/>
      <c r="Q40" s="148" t="s">
        <v>186</v>
      </c>
      <c r="R40" s="999"/>
      <c r="S40" s="1000"/>
      <c r="T40" s="1000"/>
      <c r="U40" s="1000"/>
      <c r="V40" s="1000"/>
      <c r="W40" s="1000"/>
      <c r="X40" s="1001"/>
      <c r="Y40" s="1073" t="s">
        <v>31</v>
      </c>
      <c r="Z40" s="1074"/>
      <c r="AA40" s="1074"/>
      <c r="AB40" s="1075"/>
      <c r="AC40" s="148" t="s">
        <v>186</v>
      </c>
      <c r="AD40" s="999"/>
      <c r="AE40" s="1000"/>
      <c r="AF40" s="1000"/>
      <c r="AG40" s="1000"/>
      <c r="AH40" s="1000"/>
      <c r="AI40" s="1000"/>
      <c r="AJ40" s="1001"/>
      <c r="AK40" s="164"/>
      <c r="AL40" s="164"/>
      <c r="AM40" s="164"/>
      <c r="AN40" s="164"/>
      <c r="AO40" s="164"/>
      <c r="AP40" s="164"/>
      <c r="AQ40" s="164"/>
      <c r="AR40" s="164"/>
    </row>
    <row r="41" spans="1:44" ht="20.100000000000001" customHeight="1" x14ac:dyDescent="0.25">
      <c r="A41" s="18"/>
      <c r="B41" s="18"/>
      <c r="C41" s="18"/>
      <c r="D41" s="7"/>
      <c r="F41" s="1008" t="s">
        <v>5720</v>
      </c>
      <c r="G41" s="1009"/>
      <c r="H41" s="1009"/>
      <c r="I41" s="1009"/>
      <c r="J41" s="1009"/>
      <c r="K41" s="1009"/>
      <c r="L41" s="1009"/>
      <c r="M41" s="148" t="s">
        <v>186</v>
      </c>
      <c r="N41" s="1136"/>
      <c r="O41" s="1090"/>
      <c r="P41" s="1090"/>
      <c r="Q41" s="1090"/>
      <c r="R41" s="1091"/>
      <c r="S41" s="109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20.100000000000001" customHeight="1" x14ac:dyDescent="0.25">
      <c r="A42" s="18"/>
      <c r="B42" s="18"/>
      <c r="C42" s="18"/>
      <c r="D42" s="7"/>
      <c r="F42" s="1149" t="s">
        <v>85</v>
      </c>
      <c r="G42" s="1094"/>
      <c r="H42" s="1094"/>
      <c r="I42" s="1094"/>
      <c r="J42" s="1094"/>
      <c r="K42" s="1094"/>
      <c r="L42" s="1104"/>
      <c r="M42" s="148" t="s">
        <v>186</v>
      </c>
      <c r="N42" s="1246" t="s">
        <v>310</v>
      </c>
      <c r="O42" s="1247"/>
      <c r="P42" s="1247"/>
      <c r="Q42" s="1247"/>
      <c r="R42" s="1247"/>
      <c r="S42" s="1248"/>
      <c r="T42" s="1008" t="s">
        <v>235</v>
      </c>
      <c r="U42" s="1009"/>
      <c r="V42" s="1009"/>
      <c r="W42" s="1009"/>
      <c r="X42" s="1009"/>
      <c r="Y42" s="1009"/>
      <c r="Z42" s="1009"/>
      <c r="AA42" s="148" t="s">
        <v>186</v>
      </c>
      <c r="AB42" s="1130"/>
      <c r="AC42" s="1131"/>
      <c r="AD42" s="1131"/>
      <c r="AE42" s="1131"/>
      <c r="AF42" s="1131"/>
      <c r="AG42" s="1131"/>
      <c r="AH42" s="1131"/>
      <c r="AI42" s="1131"/>
      <c r="AJ42" s="1132"/>
      <c r="AK42" s="49"/>
      <c r="AL42" s="49"/>
      <c r="AM42" s="49"/>
      <c r="AN42" s="49"/>
      <c r="AO42" s="49"/>
      <c r="AP42" s="49"/>
      <c r="AQ42" s="49"/>
      <c r="AR42" s="49"/>
    </row>
    <row r="43" spans="1:44" ht="20.100000000000001" customHeight="1" x14ac:dyDescent="0.25">
      <c r="A43" s="18"/>
      <c r="B43" s="18"/>
      <c r="C43" s="18"/>
      <c r="D43" s="7"/>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49"/>
      <c r="AL43" s="49"/>
      <c r="AM43" s="49"/>
      <c r="AN43" s="49"/>
      <c r="AO43" s="49"/>
      <c r="AP43" s="49"/>
      <c r="AQ43" s="49"/>
      <c r="AR43" s="49"/>
    </row>
    <row r="44" spans="1:44" ht="20.100000000000001" customHeight="1" x14ac:dyDescent="0.25">
      <c r="A44" s="18"/>
      <c r="B44" s="18"/>
      <c r="C44" s="18"/>
      <c r="D44" s="7"/>
      <c r="F44" s="1193" t="s">
        <v>312</v>
      </c>
      <c r="G44" s="1194"/>
      <c r="H44" s="1194"/>
      <c r="I44" s="1194"/>
      <c r="J44" s="1194"/>
      <c r="K44" s="1194"/>
      <c r="L44" s="1264"/>
      <c r="M44" s="204" t="s">
        <v>313</v>
      </c>
      <c r="N44" s="1058"/>
      <c r="O44" s="1059"/>
      <c r="P44" s="1059"/>
      <c r="Q44" s="1059"/>
      <c r="R44" s="1059"/>
      <c r="S44" s="1060"/>
      <c r="T44" s="1259"/>
      <c r="U44" s="1260"/>
      <c r="V44" s="1261"/>
      <c r="W44" s="2"/>
      <c r="X44" s="2"/>
      <c r="Y44" s="2"/>
      <c r="Z44" s="2"/>
      <c r="AA44" s="2"/>
      <c r="AB44" s="2"/>
      <c r="AC44" s="2"/>
      <c r="AD44" s="2"/>
      <c r="AE44" s="2"/>
      <c r="AF44" s="2"/>
      <c r="AG44" s="2"/>
      <c r="AH44" s="2"/>
      <c r="AI44" s="2"/>
      <c r="AJ44" s="2"/>
      <c r="AK44" s="2"/>
      <c r="AL44" s="2"/>
      <c r="AM44" s="2"/>
      <c r="AN44" s="2"/>
      <c r="AO44" s="2"/>
      <c r="AP44" s="2"/>
      <c r="AQ44" s="2"/>
      <c r="AR44" s="2"/>
    </row>
    <row r="45" spans="1:44" ht="20.100000000000001" customHeight="1" x14ac:dyDescent="0.25">
      <c r="A45" s="18"/>
      <c r="B45" s="18"/>
      <c r="C45" s="18"/>
      <c r="D45" s="7"/>
      <c r="F45" s="1149" t="s">
        <v>60</v>
      </c>
      <c r="G45" s="1094"/>
      <c r="H45" s="1094"/>
      <c r="I45" s="1094"/>
      <c r="J45" s="1094"/>
      <c r="K45" s="1094"/>
      <c r="L45" s="1104"/>
      <c r="M45" s="148" t="s">
        <v>186</v>
      </c>
      <c r="N45" s="1213"/>
      <c r="O45" s="1214"/>
      <c r="P45" s="1214"/>
      <c r="Q45" s="1214"/>
      <c r="R45" s="1214"/>
      <c r="S45" s="1190"/>
      <c r="T45" s="205"/>
      <c r="U45" s="206" t="s">
        <v>322</v>
      </c>
      <c r="V45" s="207"/>
      <c r="W45" s="207"/>
      <c r="X45" s="207"/>
      <c r="Y45" s="208"/>
      <c r="Z45" s="1058"/>
      <c r="AA45" s="1059"/>
      <c r="AB45" s="1060"/>
      <c r="AC45" s="2"/>
      <c r="AD45" s="2"/>
      <c r="AE45" s="2"/>
      <c r="AF45" s="2"/>
      <c r="AG45" s="2"/>
      <c r="AH45" s="2"/>
      <c r="AI45" s="2"/>
      <c r="AJ45" s="2"/>
      <c r="AK45" s="2"/>
      <c r="AL45" s="2"/>
      <c r="AM45" s="2"/>
      <c r="AN45" s="2"/>
      <c r="AO45" s="2"/>
      <c r="AP45" s="2"/>
      <c r="AQ45" s="2"/>
      <c r="AR45" s="2"/>
    </row>
    <row r="46" spans="1:44" ht="20.100000000000001" hidden="1" customHeight="1" x14ac:dyDescent="0.25">
      <c r="A46" s="18"/>
      <c r="B46" s="18"/>
      <c r="C46" s="18"/>
      <c r="D46" s="7"/>
      <c r="T46" s="2"/>
      <c r="U46" s="2"/>
      <c r="V46" s="2"/>
      <c r="W46" s="2"/>
      <c r="X46" s="2"/>
      <c r="Y46" s="2"/>
      <c r="Z46" s="2"/>
      <c r="AA46" s="2"/>
      <c r="AB46" s="2"/>
      <c r="AC46" s="2"/>
      <c r="AD46" s="2"/>
      <c r="AE46" s="2"/>
      <c r="AF46" s="2"/>
      <c r="AG46" s="2"/>
      <c r="AH46" s="2"/>
      <c r="AI46" s="2"/>
      <c r="AJ46" s="2"/>
      <c r="AK46" s="2"/>
      <c r="AL46" s="2"/>
      <c r="AM46" s="2"/>
      <c r="AN46" s="2"/>
      <c r="AO46" s="2"/>
      <c r="AP46" s="2"/>
      <c r="AQ46" s="2"/>
      <c r="AR46" s="2"/>
    </row>
    <row r="47" spans="1:44" ht="15" customHeight="1" x14ac:dyDescent="0.25">
      <c r="A47" s="18"/>
      <c r="B47" s="18"/>
      <c r="C47" s="18"/>
      <c r="D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ht="15" customHeight="1" x14ac:dyDescent="0.25">
      <c r="A48" s="18"/>
      <c r="B48" s="18"/>
      <c r="C48" s="18"/>
      <c r="D48" s="7"/>
      <c r="E48" s="7"/>
      <c r="F48" s="71"/>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1"/>
    </row>
    <row r="49" spans="1:44" ht="15" customHeight="1" x14ac:dyDescent="0.25">
      <c r="A49" s="18"/>
      <c r="B49" s="18"/>
      <c r="C49" s="18"/>
      <c r="D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ht="20.100000000000001" customHeight="1" x14ac:dyDescent="0.25">
      <c r="A50" s="18"/>
      <c r="B50" s="18"/>
      <c r="C50" s="18"/>
      <c r="D50" s="7"/>
      <c r="F50" s="209"/>
      <c r="G50" s="209"/>
      <c r="H50" s="209"/>
      <c r="I50" s="209"/>
      <c r="J50" s="210"/>
      <c r="K50" s="210"/>
      <c r="L50" s="210"/>
      <c r="M50" s="210"/>
      <c r="N50" s="210"/>
      <c r="O50" s="210"/>
      <c r="P50" s="210"/>
      <c r="Q50" s="210"/>
      <c r="R50" s="210"/>
      <c r="S50" s="210"/>
      <c r="T50" s="210"/>
      <c r="U50" s="210"/>
      <c r="V50" s="211" t="s">
        <v>61</v>
      </c>
      <c r="W50" s="209"/>
      <c r="X50" s="210"/>
      <c r="Y50" s="210"/>
      <c r="Z50" s="210"/>
      <c r="AA50" s="210"/>
      <c r="AB50" s="210"/>
      <c r="AC50" s="210"/>
      <c r="AD50" s="210"/>
      <c r="AE50" s="210"/>
      <c r="AF50" s="210"/>
      <c r="AG50" s="210"/>
      <c r="AH50" s="210"/>
      <c r="AI50" s="210"/>
      <c r="AJ50" s="210"/>
      <c r="AK50" s="210"/>
      <c r="AL50" s="210"/>
      <c r="AM50" s="210"/>
      <c r="AN50" s="210"/>
      <c r="AO50" s="210"/>
      <c r="AP50" s="210"/>
      <c r="AQ50" s="212"/>
      <c r="AR50" s="162"/>
    </row>
    <row r="51" spans="1:44" ht="20.100000000000001" customHeight="1" x14ac:dyDescent="0.25">
      <c r="A51" s="18"/>
      <c r="B51" s="18"/>
      <c r="C51" s="18"/>
      <c r="D51" s="7"/>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ht="30" customHeight="1" x14ac:dyDescent="0.25">
      <c r="A52" s="18"/>
      <c r="B52" s="18"/>
      <c r="C52" s="18"/>
      <c r="D52" s="7"/>
      <c r="F52" s="1149" t="s">
        <v>305</v>
      </c>
      <c r="G52" s="1094"/>
      <c r="H52" s="1094"/>
      <c r="I52" s="1094"/>
      <c r="J52" s="1094"/>
      <c r="K52" s="1094"/>
      <c r="L52" s="1104"/>
      <c r="M52" s="148" t="s">
        <v>186</v>
      </c>
      <c r="N52" s="1058"/>
      <c r="O52" s="1059"/>
      <c r="P52" s="1060"/>
      <c r="Q52" s="213"/>
      <c r="R52" s="213"/>
      <c r="S52" s="213"/>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20.100000000000001" customHeight="1" x14ac:dyDescent="0.25">
      <c r="A53" s="18"/>
      <c r="B53" s="18"/>
      <c r="C53" s="18"/>
      <c r="D53" s="7"/>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ht="20.100000000000001" customHeight="1" x14ac:dyDescent="0.25">
      <c r="A54" s="18"/>
      <c r="B54" s="18"/>
      <c r="C54" s="18"/>
      <c r="D54" s="7"/>
      <c r="F54" s="2"/>
      <c r="G54" s="2"/>
      <c r="H54" s="2"/>
      <c r="I54" s="2"/>
      <c r="J54" s="2"/>
      <c r="K54" s="2"/>
      <c r="L54" s="2"/>
      <c r="M54" s="2"/>
      <c r="N54" s="1262" t="s">
        <v>50</v>
      </c>
      <c r="O54" s="1262"/>
      <c r="P54" s="1262"/>
      <c r="Q54" s="1238"/>
      <c r="R54" s="1238"/>
      <c r="S54" s="1238"/>
      <c r="T54" s="1262"/>
      <c r="U54" s="1262"/>
      <c r="V54" s="1262" t="s">
        <v>51</v>
      </c>
      <c r="W54" s="1262"/>
      <c r="X54" s="1262"/>
      <c r="Y54" s="1238"/>
      <c r="Z54" s="1238"/>
      <c r="AA54" s="1238"/>
      <c r="AB54" s="1238"/>
      <c r="AC54" s="1238"/>
      <c r="AD54" s="1262" t="s">
        <v>52</v>
      </c>
      <c r="AE54" s="1262"/>
      <c r="AF54" s="1262"/>
      <c r="AG54" s="1238"/>
      <c r="AH54" s="1238"/>
      <c r="AI54" s="1238"/>
      <c r="AJ54" s="1238"/>
      <c r="AK54" s="1238"/>
      <c r="AL54" s="195"/>
      <c r="AM54" s="195"/>
      <c r="AN54" s="195"/>
      <c r="AO54" s="195"/>
      <c r="AP54" s="195"/>
      <c r="AQ54" s="2"/>
      <c r="AR54" s="2"/>
    </row>
    <row r="55" spans="1:44" ht="20.100000000000001" customHeight="1" x14ac:dyDescent="0.25">
      <c r="A55" s="18"/>
      <c r="B55" s="18"/>
      <c r="C55" s="18"/>
      <c r="D55" s="7"/>
      <c r="F55" s="2"/>
      <c r="G55" s="2"/>
      <c r="H55" s="2"/>
      <c r="I55" s="2"/>
      <c r="J55" s="2"/>
      <c r="K55" s="2"/>
      <c r="L55" s="2"/>
      <c r="M55" s="2"/>
      <c r="N55" s="1236" t="s">
        <v>222</v>
      </c>
      <c r="O55" s="1235"/>
      <c r="P55" s="148" t="s">
        <v>186</v>
      </c>
      <c r="Q55" s="1256"/>
      <c r="R55" s="1257"/>
      <c r="S55" s="1257"/>
      <c r="T55" s="1257"/>
      <c r="U55" s="214"/>
      <c r="V55" s="1235" t="s">
        <v>222</v>
      </c>
      <c r="W55" s="1235"/>
      <c r="X55" s="148" t="s">
        <v>186</v>
      </c>
      <c r="Y55" s="1256"/>
      <c r="Z55" s="1257"/>
      <c r="AA55" s="1257"/>
      <c r="AB55" s="1257"/>
      <c r="AC55" s="214"/>
      <c r="AD55" s="1236" t="s">
        <v>222</v>
      </c>
      <c r="AE55" s="1235"/>
      <c r="AF55" s="148" t="s">
        <v>186</v>
      </c>
      <c r="AG55" s="1256"/>
      <c r="AH55" s="1257"/>
      <c r="AI55" s="1257"/>
      <c r="AJ55" s="1257"/>
      <c r="AK55" s="214"/>
      <c r="AL55" s="195"/>
      <c r="AM55" s="195"/>
      <c r="AN55" s="195"/>
      <c r="AO55" s="195"/>
      <c r="AP55" s="195"/>
      <c r="AQ55" s="2"/>
      <c r="AR55" s="2"/>
    </row>
    <row r="56" spans="1:44" ht="20.100000000000001" customHeight="1" x14ac:dyDescent="0.25">
      <c r="A56" s="18"/>
      <c r="B56" s="18"/>
      <c r="C56" s="18"/>
      <c r="D56" s="7"/>
      <c r="F56" s="2"/>
      <c r="G56" s="2"/>
      <c r="H56" s="2"/>
      <c r="I56" s="2"/>
      <c r="J56" s="2"/>
      <c r="K56" s="2"/>
      <c r="M56" s="2"/>
      <c r="O56" s="2"/>
      <c r="P56" s="2"/>
      <c r="Q56" s="2"/>
      <c r="R56" s="2"/>
      <c r="S56" s="2"/>
      <c r="T56" s="2"/>
      <c r="U56" s="2"/>
      <c r="V56" s="2"/>
      <c r="W56" s="2"/>
      <c r="X56" s="2"/>
      <c r="Y56" s="2"/>
      <c r="Z56" s="2"/>
      <c r="AA56" s="2"/>
      <c r="AB56" s="2"/>
      <c r="AC56" s="2"/>
      <c r="AD56" s="2"/>
      <c r="AE56" s="2"/>
      <c r="AF56" s="2"/>
      <c r="AG56" s="2"/>
      <c r="AH56" s="2"/>
      <c r="AI56" s="2"/>
      <c r="AJ56" s="2"/>
      <c r="AK56" s="195"/>
      <c r="AL56" s="195"/>
      <c r="AM56" s="195"/>
      <c r="AN56" s="195"/>
      <c r="AO56" s="195"/>
      <c r="AP56" s="195"/>
      <c r="AQ56" s="2"/>
      <c r="AR56" s="2"/>
    </row>
    <row r="57" spans="1:44" ht="30" customHeight="1" x14ac:dyDescent="0.25">
      <c r="A57" s="18"/>
      <c r="B57" s="18"/>
      <c r="C57" s="18"/>
      <c r="D57" s="7"/>
      <c r="F57" s="215"/>
      <c r="G57" s="2"/>
      <c r="H57" s="2"/>
      <c r="I57" s="2"/>
      <c r="J57" s="2"/>
      <c r="K57" s="2"/>
      <c r="L57" s="2"/>
      <c r="M57" s="2"/>
      <c r="N57" s="1229" t="s">
        <v>307</v>
      </c>
      <c r="O57" s="1230"/>
      <c r="P57" s="1230"/>
      <c r="Q57" s="1230"/>
      <c r="R57" s="1230"/>
      <c r="S57" s="1231"/>
      <c r="T57" s="1231" t="s">
        <v>306</v>
      </c>
      <c r="U57" s="1229"/>
      <c r="V57" s="1229" t="s">
        <v>307</v>
      </c>
      <c r="W57" s="1230"/>
      <c r="X57" s="1230"/>
      <c r="Y57" s="1230"/>
      <c r="Z57" s="1230"/>
      <c r="AA57" s="1231"/>
      <c r="AB57" s="1230" t="s">
        <v>306</v>
      </c>
      <c r="AC57" s="1231"/>
      <c r="AD57" s="1229" t="s">
        <v>307</v>
      </c>
      <c r="AE57" s="1230"/>
      <c r="AF57" s="1230"/>
      <c r="AG57" s="1230"/>
      <c r="AH57" s="1230"/>
      <c r="AI57" s="1231"/>
      <c r="AJ57" s="1230" t="s">
        <v>306</v>
      </c>
      <c r="AK57" s="1231"/>
      <c r="AL57" s="1253" t="s">
        <v>231</v>
      </c>
      <c r="AM57" s="1254"/>
      <c r="AN57" s="1254"/>
      <c r="AO57" s="1254"/>
      <c r="AP57" s="1254"/>
      <c r="AQ57" s="1255"/>
      <c r="AR57" s="2"/>
    </row>
    <row r="58" spans="1:44" ht="24.95" customHeight="1" x14ac:dyDescent="0.25">
      <c r="A58" s="18"/>
      <c r="B58" s="18"/>
      <c r="C58" s="18"/>
      <c r="D58" s="7"/>
      <c r="F58" s="1241"/>
      <c r="G58" s="1241"/>
      <c r="H58" s="1241"/>
      <c r="I58" s="216"/>
      <c r="J58" s="216"/>
      <c r="K58" s="216"/>
      <c r="L58" s="216"/>
      <c r="M58" s="216"/>
      <c r="N58" s="1234">
        <v>24</v>
      </c>
      <c r="O58" s="1234"/>
      <c r="P58" s="1234">
        <v>48</v>
      </c>
      <c r="Q58" s="1234"/>
      <c r="R58" s="1234">
        <v>72</v>
      </c>
      <c r="S58" s="1234"/>
      <c r="T58" s="1237" t="s">
        <v>308</v>
      </c>
      <c r="U58" s="1237"/>
      <c r="V58" s="1234">
        <v>24</v>
      </c>
      <c r="W58" s="1234"/>
      <c r="X58" s="1234">
        <v>48</v>
      </c>
      <c r="Y58" s="1234"/>
      <c r="Z58" s="1234">
        <v>72</v>
      </c>
      <c r="AA58" s="1234"/>
      <c r="AB58" s="1242">
        <v>21</v>
      </c>
      <c r="AC58" s="1242"/>
      <c r="AD58" s="1234">
        <v>24</v>
      </c>
      <c r="AE58" s="1234"/>
      <c r="AF58" s="1234">
        <v>48</v>
      </c>
      <c r="AG58" s="1234"/>
      <c r="AH58" s="1234">
        <v>72</v>
      </c>
      <c r="AI58" s="1234"/>
      <c r="AJ58" s="1242">
        <v>21</v>
      </c>
      <c r="AK58" s="1242"/>
      <c r="AL58" s="1262" t="s">
        <v>50</v>
      </c>
      <c r="AM58" s="1262"/>
      <c r="AN58" s="1262" t="s">
        <v>51</v>
      </c>
      <c r="AO58" s="1262"/>
      <c r="AP58" s="1262" t="s">
        <v>52</v>
      </c>
      <c r="AQ58" s="1262"/>
      <c r="AR58" s="2"/>
    </row>
    <row r="59" spans="1:44" ht="24.95" customHeight="1" x14ac:dyDescent="0.25">
      <c r="A59" s="18"/>
      <c r="B59" s="18"/>
      <c r="C59" s="18"/>
      <c r="D59" s="7"/>
      <c r="F59" s="1238" t="s">
        <v>62</v>
      </c>
      <c r="G59" s="1238"/>
      <c r="H59" s="1238"/>
      <c r="I59" s="1238" t="s">
        <v>63</v>
      </c>
      <c r="J59" s="1238"/>
      <c r="K59" s="1238"/>
      <c r="L59" s="1238"/>
      <c r="M59" s="1238"/>
      <c r="N59" s="1227"/>
      <c r="O59" s="1228"/>
      <c r="P59" s="1227"/>
      <c r="Q59" s="1228"/>
      <c r="R59" s="1227"/>
      <c r="S59" s="1228"/>
      <c r="T59" s="1232"/>
      <c r="U59" s="1233"/>
      <c r="V59" s="1227"/>
      <c r="W59" s="1228"/>
      <c r="X59" s="1227"/>
      <c r="Y59" s="1228"/>
      <c r="Z59" s="1227"/>
      <c r="AA59" s="1228"/>
      <c r="AB59" s="1232"/>
      <c r="AC59" s="1233"/>
      <c r="AD59" s="1227"/>
      <c r="AE59" s="1228"/>
      <c r="AF59" s="1227"/>
      <c r="AG59" s="1228"/>
      <c r="AH59" s="1227"/>
      <c r="AI59" s="1228"/>
      <c r="AJ59" s="1232"/>
      <c r="AK59" s="1233"/>
      <c r="AL59" s="1258">
        <f ca="1">Calculos!Q159</f>
        <v>0</v>
      </c>
      <c r="AM59" s="1258"/>
      <c r="AN59" s="1258">
        <f ca="1">Calculos!R159</f>
        <v>0</v>
      </c>
      <c r="AO59" s="1258"/>
      <c r="AP59" s="1258">
        <f ca="1">Calculos!S159</f>
        <v>0</v>
      </c>
      <c r="AQ59" s="1258"/>
      <c r="AR59" s="2"/>
    </row>
    <row r="60" spans="1:44" ht="24.95" customHeight="1" x14ac:dyDescent="0.25">
      <c r="A60" s="18"/>
      <c r="B60" s="18"/>
      <c r="C60" s="18"/>
      <c r="D60" s="7"/>
      <c r="F60" s="1238"/>
      <c r="G60" s="1238"/>
      <c r="H60" s="1238"/>
      <c r="I60" s="1238" t="s">
        <v>64</v>
      </c>
      <c r="J60" s="1238"/>
      <c r="K60" s="1238"/>
      <c r="L60" s="1238"/>
      <c r="M60" s="1238"/>
      <c r="N60" s="1227"/>
      <c r="O60" s="1228"/>
      <c r="P60" s="1227"/>
      <c r="Q60" s="1228"/>
      <c r="R60" s="1227"/>
      <c r="S60" s="1228"/>
      <c r="T60" s="1232"/>
      <c r="U60" s="1233"/>
      <c r="V60" s="1227"/>
      <c r="W60" s="1228"/>
      <c r="X60" s="1227"/>
      <c r="Y60" s="1228"/>
      <c r="Z60" s="1227"/>
      <c r="AA60" s="1228"/>
      <c r="AB60" s="1232"/>
      <c r="AC60" s="1233"/>
      <c r="AD60" s="1227"/>
      <c r="AE60" s="1228"/>
      <c r="AF60" s="1227"/>
      <c r="AG60" s="1228"/>
      <c r="AH60" s="1227"/>
      <c r="AI60" s="1228"/>
      <c r="AJ60" s="1232"/>
      <c r="AK60" s="1233"/>
      <c r="AL60" s="1263"/>
      <c r="AM60" s="1263"/>
      <c r="AN60" s="1263"/>
      <c r="AO60" s="1263"/>
      <c r="AP60" s="1263"/>
      <c r="AQ60" s="1263"/>
      <c r="AR60" s="2"/>
    </row>
    <row r="61" spans="1:44" ht="24.95" customHeight="1" x14ac:dyDescent="0.25">
      <c r="A61" s="18"/>
      <c r="B61" s="18"/>
      <c r="C61" s="18"/>
      <c r="D61" s="7"/>
      <c r="F61" s="1238" t="s">
        <v>66</v>
      </c>
      <c r="G61" s="1238"/>
      <c r="H61" s="1238"/>
      <c r="I61" s="1238" t="s">
        <v>65</v>
      </c>
      <c r="J61" s="1238"/>
      <c r="K61" s="1238"/>
      <c r="L61" s="1238"/>
      <c r="M61" s="1238"/>
      <c r="N61" s="1227"/>
      <c r="O61" s="1228"/>
      <c r="P61" s="1227"/>
      <c r="Q61" s="1228"/>
      <c r="R61" s="1227"/>
      <c r="S61" s="1228"/>
      <c r="T61" s="1232"/>
      <c r="U61" s="1233"/>
      <c r="V61" s="1227"/>
      <c r="W61" s="1228"/>
      <c r="X61" s="1227"/>
      <c r="Y61" s="1228"/>
      <c r="Z61" s="1227"/>
      <c r="AA61" s="1228"/>
      <c r="AB61" s="1232"/>
      <c r="AC61" s="1233"/>
      <c r="AD61" s="1227"/>
      <c r="AE61" s="1228"/>
      <c r="AF61" s="1227"/>
      <c r="AG61" s="1228"/>
      <c r="AH61" s="1227"/>
      <c r="AI61" s="1228"/>
      <c r="AJ61" s="1232"/>
      <c r="AK61" s="1233"/>
      <c r="AL61" s="1258">
        <f ca="1">Calculos!Q161</f>
        <v>0</v>
      </c>
      <c r="AM61" s="1258"/>
      <c r="AN61" s="1258">
        <f ca="1">Calculos!R161</f>
        <v>0</v>
      </c>
      <c r="AO61" s="1258"/>
      <c r="AP61" s="1258">
        <f ca="1">Calculos!S161</f>
        <v>0</v>
      </c>
      <c r="AQ61" s="1258"/>
      <c r="AR61" s="2"/>
    </row>
    <row r="62" spans="1:44" ht="24.95" customHeight="1" x14ac:dyDescent="0.25">
      <c r="A62" s="18"/>
      <c r="B62" s="18"/>
      <c r="C62" s="18"/>
      <c r="D62" s="7"/>
      <c r="F62" s="1238" t="s">
        <v>69</v>
      </c>
      <c r="G62" s="1238"/>
      <c r="H62" s="1238"/>
      <c r="I62" s="1238" t="s">
        <v>67</v>
      </c>
      <c r="J62" s="1238"/>
      <c r="K62" s="1238"/>
      <c r="L62" s="1238"/>
      <c r="M62" s="1238"/>
      <c r="N62" s="1227"/>
      <c r="O62" s="1228"/>
      <c r="P62" s="1227"/>
      <c r="Q62" s="1228"/>
      <c r="R62" s="1227"/>
      <c r="S62" s="1228"/>
      <c r="T62" s="1232"/>
      <c r="U62" s="1233"/>
      <c r="V62" s="1227"/>
      <c r="W62" s="1228"/>
      <c r="X62" s="1227"/>
      <c r="Y62" s="1228"/>
      <c r="Z62" s="1227"/>
      <c r="AA62" s="1228"/>
      <c r="AB62" s="1232"/>
      <c r="AC62" s="1233"/>
      <c r="AD62" s="1227"/>
      <c r="AE62" s="1228"/>
      <c r="AF62" s="1227"/>
      <c r="AG62" s="1228"/>
      <c r="AH62" s="1227"/>
      <c r="AI62" s="1228"/>
      <c r="AJ62" s="1232"/>
      <c r="AK62" s="1233"/>
      <c r="AL62" s="1258">
        <f ca="1">Calculos!Q162</f>
        <v>0</v>
      </c>
      <c r="AM62" s="1258"/>
      <c r="AN62" s="1258">
        <f ca="1">Calculos!R162</f>
        <v>0</v>
      </c>
      <c r="AO62" s="1258"/>
      <c r="AP62" s="1258">
        <f ca="1">Calculos!S162</f>
        <v>0</v>
      </c>
      <c r="AQ62" s="1258"/>
      <c r="AR62" s="2"/>
    </row>
    <row r="63" spans="1:44" ht="24.95" customHeight="1" x14ac:dyDescent="0.25">
      <c r="A63" s="18"/>
      <c r="B63" s="18"/>
      <c r="C63" s="18"/>
      <c r="D63" s="7"/>
      <c r="F63" s="1238"/>
      <c r="G63" s="1238"/>
      <c r="H63" s="1238"/>
      <c r="I63" s="1238" t="s">
        <v>68</v>
      </c>
      <c r="J63" s="1238"/>
      <c r="K63" s="1238"/>
      <c r="L63" s="1238"/>
      <c r="M63" s="1238"/>
      <c r="N63" s="1227"/>
      <c r="O63" s="1228"/>
      <c r="P63" s="1227"/>
      <c r="Q63" s="1228"/>
      <c r="R63" s="1227"/>
      <c r="S63" s="1228"/>
      <c r="T63" s="1232"/>
      <c r="U63" s="1233"/>
      <c r="V63" s="1227"/>
      <c r="W63" s="1228"/>
      <c r="X63" s="1227"/>
      <c r="Y63" s="1228"/>
      <c r="Z63" s="1227"/>
      <c r="AA63" s="1228"/>
      <c r="AB63" s="1232"/>
      <c r="AC63" s="1233"/>
      <c r="AD63" s="1227"/>
      <c r="AE63" s="1228"/>
      <c r="AF63" s="1227"/>
      <c r="AG63" s="1228"/>
      <c r="AH63" s="1227"/>
      <c r="AI63" s="1228"/>
      <c r="AJ63" s="1232"/>
      <c r="AK63" s="1233"/>
      <c r="AL63" s="1258">
        <f ca="1">Calculos!Q163</f>
        <v>0</v>
      </c>
      <c r="AM63" s="1258"/>
      <c r="AN63" s="1258">
        <f ca="1">Calculos!R163</f>
        <v>0</v>
      </c>
      <c r="AO63" s="1258"/>
      <c r="AP63" s="1258">
        <f ca="1">Calculos!S163</f>
        <v>0</v>
      </c>
      <c r="AQ63" s="1258"/>
      <c r="AR63" s="2"/>
    </row>
    <row r="64" spans="1:44" ht="24.95" customHeight="1" x14ac:dyDescent="0.25">
      <c r="A64" s="18"/>
      <c r="B64" s="18"/>
      <c r="C64" s="18"/>
      <c r="D64" s="7"/>
      <c r="F64" s="1238" t="s">
        <v>71</v>
      </c>
      <c r="G64" s="1238"/>
      <c r="H64" s="1238"/>
      <c r="I64" s="1238" t="s">
        <v>70</v>
      </c>
      <c r="J64" s="1238"/>
      <c r="K64" s="1238"/>
      <c r="L64" s="1238"/>
      <c r="M64" s="1238"/>
      <c r="N64" s="1227"/>
      <c r="O64" s="1228"/>
      <c r="P64" s="1227"/>
      <c r="Q64" s="1228"/>
      <c r="R64" s="1227"/>
      <c r="S64" s="1228"/>
      <c r="T64" s="1232"/>
      <c r="U64" s="1233"/>
      <c r="V64" s="1227"/>
      <c r="W64" s="1228"/>
      <c r="X64" s="1227"/>
      <c r="Y64" s="1228"/>
      <c r="Z64" s="1227"/>
      <c r="AA64" s="1228"/>
      <c r="AB64" s="1232"/>
      <c r="AC64" s="1233"/>
      <c r="AD64" s="1227"/>
      <c r="AE64" s="1228"/>
      <c r="AF64" s="1227"/>
      <c r="AG64" s="1228"/>
      <c r="AH64" s="1227"/>
      <c r="AI64" s="1228"/>
      <c r="AJ64" s="1232"/>
      <c r="AK64" s="1233"/>
      <c r="AL64" s="1249" t="s">
        <v>7459</v>
      </c>
      <c r="AM64" s="1249"/>
      <c r="AN64" s="1249"/>
      <c r="AO64" s="1249"/>
      <c r="AP64" s="1249"/>
      <c r="AQ64" s="1249"/>
      <c r="AR64" s="2"/>
    </row>
    <row r="65" spans="1:44" ht="30" customHeight="1" x14ac:dyDescent="0.25">
      <c r="A65" s="18"/>
      <c r="B65" s="18"/>
      <c r="C65" s="18"/>
      <c r="D65" s="7"/>
      <c r="F65" s="1238"/>
      <c r="G65" s="1238"/>
      <c r="H65" s="1238"/>
      <c r="I65" s="1238" t="s">
        <v>7460</v>
      </c>
      <c r="J65" s="1238"/>
      <c r="K65" s="1238"/>
      <c r="L65" s="1238"/>
      <c r="M65" s="1238"/>
      <c r="N65" s="1227"/>
      <c r="O65" s="1228"/>
      <c r="P65" s="1227"/>
      <c r="Q65" s="1228"/>
      <c r="R65" s="1227"/>
      <c r="S65" s="1228"/>
      <c r="T65" s="1232"/>
      <c r="U65" s="1233"/>
      <c r="V65" s="1227"/>
      <c r="W65" s="1228"/>
      <c r="X65" s="1227"/>
      <c r="Y65" s="1228"/>
      <c r="Z65" s="1227"/>
      <c r="AA65" s="1228"/>
      <c r="AB65" s="1232"/>
      <c r="AC65" s="1233"/>
      <c r="AD65" s="1227"/>
      <c r="AE65" s="1228"/>
      <c r="AF65" s="1227"/>
      <c r="AG65" s="1228"/>
      <c r="AH65" s="1227"/>
      <c r="AI65" s="1228"/>
      <c r="AJ65" s="1232"/>
      <c r="AK65" s="1233"/>
      <c r="AL65" s="1250"/>
      <c r="AM65" s="1250"/>
      <c r="AN65" s="1250"/>
      <c r="AO65" s="1250"/>
      <c r="AP65" s="1250"/>
      <c r="AQ65" s="1250"/>
      <c r="AR65" s="2"/>
    </row>
    <row r="66" spans="1:44" ht="20.100000000000001" customHeight="1" x14ac:dyDescent="0.25">
      <c r="A66" s="18"/>
      <c r="B66" s="18"/>
      <c r="C66" s="18"/>
      <c r="D66" s="7"/>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99.95" customHeight="1" x14ac:dyDescent="0.25">
      <c r="A67" s="18"/>
      <c r="B67" s="18"/>
      <c r="C67" s="18"/>
      <c r="D67" s="7"/>
      <c r="F67" s="1049" t="s">
        <v>316</v>
      </c>
      <c r="G67" s="1050"/>
      <c r="H67" s="1050"/>
      <c r="I67" s="1050"/>
      <c r="J67" s="1050"/>
      <c r="K67" s="1050"/>
      <c r="L67" s="1239"/>
      <c r="M67" s="148" t="s">
        <v>186</v>
      </c>
      <c r="N67" s="1032"/>
      <c r="O67" s="1033"/>
      <c r="P67" s="1033"/>
      <c r="Q67" s="1033"/>
      <c r="R67" s="1033"/>
      <c r="S67" s="1033"/>
      <c r="T67" s="1033"/>
      <c r="U67" s="1033"/>
      <c r="V67" s="1033"/>
      <c r="W67" s="1033"/>
      <c r="X67" s="1033"/>
      <c r="Y67" s="1033"/>
      <c r="Z67" s="1033"/>
      <c r="AA67" s="1033"/>
      <c r="AB67" s="1033"/>
      <c r="AC67" s="1033"/>
      <c r="AD67" s="1033"/>
      <c r="AE67" s="1033"/>
      <c r="AF67" s="1033"/>
      <c r="AG67" s="1033"/>
      <c r="AH67" s="1033"/>
      <c r="AI67" s="1033"/>
      <c r="AJ67" s="1033"/>
      <c r="AK67" s="1033"/>
      <c r="AL67" s="1033"/>
      <c r="AM67" s="1034"/>
      <c r="AN67" s="1251" t="s">
        <v>271</v>
      </c>
      <c r="AO67" s="1252"/>
      <c r="AP67" s="1252"/>
      <c r="AQ67" s="1252"/>
      <c r="AR67" s="4"/>
    </row>
    <row r="68" spans="1:44" s="7" customFormat="1" ht="20.100000000000001" customHeight="1" x14ac:dyDescent="0.25">
      <c r="A68" s="18"/>
      <c r="B68" s="18"/>
      <c r="C68" s="18"/>
    </row>
    <row r="69" spans="1:44" s="2" customFormat="1" ht="20.100000000000001" customHeight="1" x14ac:dyDescent="0.25">
      <c r="A69" s="18"/>
      <c r="B69" s="18"/>
      <c r="C69" s="18"/>
      <c r="D69" s="7"/>
    </row>
    <row r="70" spans="1:44" ht="39.950000000000003" customHeight="1" x14ac:dyDescent="0.25">
      <c r="A70" s="18"/>
      <c r="B70" s="18"/>
      <c r="C70" s="18"/>
      <c r="D70" s="7"/>
      <c r="F70" s="217"/>
      <c r="G70" s="51"/>
      <c r="H70" s="51"/>
      <c r="I70" s="51"/>
      <c r="J70" s="51"/>
      <c r="K70" s="51"/>
      <c r="L70" s="218"/>
      <c r="M70" s="219"/>
      <c r="N70" s="220"/>
      <c r="O70" s="1240" t="s">
        <v>203</v>
      </c>
      <c r="P70" s="1240"/>
      <c r="Q70" s="1240"/>
      <c r="R70" s="1240"/>
      <c r="S70" s="1240"/>
      <c r="T70" s="1240"/>
      <c r="U70" s="1240"/>
      <c r="V70" s="1240"/>
      <c r="W70" s="1240"/>
      <c r="X70" s="1240"/>
      <c r="Y70" s="1240"/>
      <c r="Z70" s="1240"/>
      <c r="AA70" s="1240"/>
      <c r="AB70" s="1240"/>
      <c r="AC70" s="1240"/>
      <c r="AD70" s="1240"/>
      <c r="AE70" s="1240"/>
      <c r="AF70" s="1240"/>
      <c r="AG70" s="1240"/>
      <c r="AH70" s="1240"/>
      <c r="AI70" s="1240"/>
      <c r="AJ70" s="1240"/>
      <c r="AK70" s="1240"/>
      <c r="AL70" s="1240"/>
      <c r="AM70" s="1240"/>
      <c r="AN70" s="221" t="s">
        <v>5923</v>
      </c>
      <c r="AO70" s="116"/>
      <c r="AP70" s="116"/>
      <c r="AQ70" s="116"/>
    </row>
    <row r="71" spans="1:44" ht="39.950000000000003" customHeight="1" x14ac:dyDescent="0.25">
      <c r="A71" s="18"/>
      <c r="B71" s="18"/>
      <c r="C71" s="18"/>
      <c r="D71" s="7"/>
      <c r="F71" s="1195" t="s">
        <v>324</v>
      </c>
      <c r="G71" s="1084"/>
      <c r="H71" s="1084"/>
      <c r="I71" s="1084"/>
      <c r="J71" s="1084"/>
      <c r="K71" s="1084"/>
      <c r="L71" s="1084"/>
      <c r="M71" s="191" t="s">
        <v>186</v>
      </c>
      <c r="N71" s="220"/>
      <c r="O71" s="1240" t="s">
        <v>204</v>
      </c>
      <c r="P71" s="1240"/>
      <c r="Q71" s="1240"/>
      <c r="R71" s="1240"/>
      <c r="S71" s="1240"/>
      <c r="T71" s="1240"/>
      <c r="U71" s="1240"/>
      <c r="V71" s="1240"/>
      <c r="W71" s="1240"/>
      <c r="X71" s="1240"/>
      <c r="Y71" s="1240"/>
      <c r="Z71" s="1240"/>
      <c r="AA71" s="1240"/>
      <c r="AB71" s="1240"/>
      <c r="AC71" s="1240"/>
      <c r="AD71" s="1240"/>
      <c r="AE71" s="1240"/>
      <c r="AF71" s="1240"/>
      <c r="AG71" s="1240"/>
      <c r="AH71" s="1240"/>
      <c r="AI71" s="1240"/>
      <c r="AJ71" s="1240"/>
      <c r="AK71" s="1240"/>
      <c r="AL71" s="1240"/>
      <c r="AM71" s="1240"/>
      <c r="AN71" s="221" t="s">
        <v>5923</v>
      </c>
      <c r="AO71" s="116"/>
      <c r="AP71" s="116"/>
      <c r="AQ71" s="116"/>
    </row>
    <row r="72" spans="1:44" ht="50.1" customHeight="1" x14ac:dyDescent="0.25">
      <c r="A72" s="18"/>
      <c r="B72" s="18"/>
      <c r="C72" s="18"/>
      <c r="D72" s="7"/>
      <c r="F72" s="222"/>
      <c r="G72" s="2"/>
      <c r="H72" s="2"/>
      <c r="I72" s="2"/>
      <c r="J72" s="2"/>
      <c r="K72" s="2"/>
      <c r="L72" s="2"/>
      <c r="M72" s="223"/>
      <c r="N72" s="220"/>
      <c r="O72" s="1240" t="s">
        <v>205</v>
      </c>
      <c r="P72" s="1240"/>
      <c r="Q72" s="1240"/>
      <c r="R72" s="1240"/>
      <c r="S72" s="1240"/>
      <c r="T72" s="1240"/>
      <c r="U72" s="1240"/>
      <c r="V72" s="1240"/>
      <c r="W72" s="1240"/>
      <c r="X72" s="1240"/>
      <c r="Y72" s="1240"/>
      <c r="Z72" s="1240"/>
      <c r="AA72" s="1240"/>
      <c r="AB72" s="1240"/>
      <c r="AC72" s="1240"/>
      <c r="AD72" s="1240"/>
      <c r="AE72" s="1240"/>
      <c r="AF72" s="1240"/>
      <c r="AG72" s="1240"/>
      <c r="AH72" s="1240"/>
      <c r="AI72" s="1240"/>
      <c r="AJ72" s="1240"/>
      <c r="AK72" s="1240"/>
      <c r="AL72" s="1240"/>
      <c r="AM72" s="1240"/>
      <c r="AN72" s="221" t="s">
        <v>5924</v>
      </c>
      <c r="AO72" s="116"/>
      <c r="AP72" s="116"/>
      <c r="AQ72" s="116"/>
      <c r="AR72" s="2"/>
    </row>
    <row r="73" spans="1:44" ht="39.950000000000003" customHeight="1" x14ac:dyDescent="0.25">
      <c r="A73" s="18"/>
      <c r="B73" s="18"/>
      <c r="C73" s="18"/>
      <c r="D73" s="7"/>
      <c r="F73" s="224"/>
      <c r="G73" s="209"/>
      <c r="H73" s="209"/>
      <c r="I73" s="209"/>
      <c r="J73" s="209"/>
      <c r="K73" s="209"/>
      <c r="L73" s="209"/>
      <c r="M73" s="42"/>
      <c r="N73" s="220"/>
      <c r="O73" s="1240" t="s">
        <v>193</v>
      </c>
      <c r="P73" s="1240"/>
      <c r="Q73" s="1240"/>
      <c r="R73" s="1240"/>
      <c r="S73" s="1240"/>
      <c r="T73" s="1240"/>
      <c r="U73" s="1240"/>
      <c r="V73" s="1240"/>
      <c r="W73" s="1240"/>
      <c r="X73" s="1240"/>
      <c r="Y73" s="1240"/>
      <c r="Z73" s="1240"/>
      <c r="AA73" s="1240"/>
      <c r="AB73" s="1240"/>
      <c r="AC73" s="1240"/>
      <c r="AD73" s="1240"/>
      <c r="AE73" s="1240"/>
      <c r="AF73" s="1240"/>
      <c r="AG73" s="1240"/>
      <c r="AH73" s="1240"/>
      <c r="AI73" s="1240"/>
      <c r="AJ73" s="1240"/>
      <c r="AK73" s="1240"/>
      <c r="AL73" s="1240"/>
      <c r="AM73" s="1240"/>
      <c r="AN73" s="221" t="s">
        <v>5925</v>
      </c>
      <c r="AO73" s="116"/>
      <c r="AP73" s="116"/>
      <c r="AQ73" s="116"/>
      <c r="AR73" s="2"/>
    </row>
    <row r="74" spans="1:44" ht="20.100000000000001" customHeight="1" x14ac:dyDescent="0.25">
      <c r="A74" s="18"/>
      <c r="B74" s="18"/>
      <c r="C74" s="18"/>
      <c r="D74" s="7"/>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s="7" customFormat="1" ht="20.100000000000001" customHeight="1" x14ac:dyDescent="0.25">
      <c r="A75" s="18"/>
      <c r="B75" s="18"/>
      <c r="C75" s="18"/>
    </row>
    <row r="76" spans="1:44" ht="20.100000000000001" customHeight="1" x14ac:dyDescent="0.25">
      <c r="A76" s="18"/>
      <c r="B76" s="18"/>
      <c r="C76" s="18"/>
      <c r="D76" s="7"/>
      <c r="AR76" s="4"/>
    </row>
    <row r="77" spans="1:44" ht="20.100000000000001" customHeight="1" x14ac:dyDescent="0.25">
      <c r="A77" s="18"/>
      <c r="B77" s="18"/>
      <c r="C77" s="18"/>
      <c r="D77" s="7"/>
      <c r="F77" s="1067" t="s">
        <v>296</v>
      </c>
      <c r="G77" s="1068"/>
      <c r="H77" s="1068"/>
      <c r="I77" s="1068"/>
      <c r="J77" s="1068"/>
      <c r="K77" s="1068"/>
      <c r="L77" s="1069"/>
      <c r="M77" s="1076" t="s">
        <v>186</v>
      </c>
      <c r="N77" s="135"/>
      <c r="O77" s="136"/>
      <c r="P77" s="136"/>
      <c r="Q77" s="136"/>
      <c r="R77" s="137"/>
      <c r="S77" s="1079" t="s">
        <v>293</v>
      </c>
      <c r="T77" s="1064"/>
      <c r="U77" s="1064"/>
      <c r="V77" s="1064"/>
      <c r="W77" s="1064"/>
      <c r="X77" s="1064"/>
      <c r="Y77" s="1064"/>
      <c r="Z77" s="1064" t="s">
        <v>301</v>
      </c>
      <c r="AA77" s="1064"/>
      <c r="AB77" s="1064"/>
      <c r="AC77" s="1064"/>
      <c r="AD77" s="1064"/>
      <c r="AE77" s="1064"/>
      <c r="AF77" s="1064"/>
      <c r="AG77" s="1064"/>
      <c r="AH77" s="1064"/>
      <c r="AI77" s="1064" t="s">
        <v>302</v>
      </c>
      <c r="AJ77" s="1064"/>
      <c r="AK77" s="1064"/>
      <c r="AL77" s="1064"/>
      <c r="AM77" s="1065"/>
      <c r="AN77" s="2"/>
      <c r="AO77" s="2"/>
      <c r="AP77" s="2"/>
      <c r="AQ77" s="2"/>
      <c r="AR77" s="2"/>
    </row>
    <row r="78" spans="1:44" ht="27" customHeight="1" x14ac:dyDescent="0.25">
      <c r="A78" s="18"/>
      <c r="B78" s="18"/>
      <c r="C78" s="18"/>
      <c r="D78" s="7"/>
      <c r="F78" s="1070"/>
      <c r="G78" s="1071"/>
      <c r="H78" s="1071"/>
      <c r="I78" s="1071"/>
      <c r="J78" s="1071"/>
      <c r="K78" s="1071"/>
      <c r="L78" s="1072"/>
      <c r="M78" s="1077"/>
      <c r="N78" s="138"/>
      <c r="O78" s="1045" t="s">
        <v>219</v>
      </c>
      <c r="P78" s="1045"/>
      <c r="Q78" s="1045"/>
      <c r="R78" s="1046"/>
      <c r="S78" s="1042"/>
      <c r="T78" s="1043"/>
      <c r="U78" s="1043"/>
      <c r="V78" s="1043"/>
      <c r="W78" s="1043"/>
      <c r="X78" s="1043"/>
      <c r="Y78" s="1043"/>
      <c r="Z78" s="1044"/>
      <c r="AA78" s="1044"/>
      <c r="AB78" s="1044"/>
      <c r="AC78" s="1044"/>
      <c r="AD78" s="1044"/>
      <c r="AE78" s="1044"/>
      <c r="AF78" s="1044"/>
      <c r="AG78" s="1044"/>
      <c r="AH78" s="1044"/>
      <c r="AI78" s="1066"/>
      <c r="AJ78" s="1066"/>
      <c r="AK78" s="1066"/>
      <c r="AL78" s="1066"/>
      <c r="AM78" s="1066"/>
      <c r="AN78" s="2"/>
      <c r="AO78" s="2"/>
      <c r="AP78" s="2"/>
      <c r="AQ78" s="2"/>
      <c r="AR78" s="2"/>
    </row>
    <row r="79" spans="1:44" ht="27" customHeight="1" x14ac:dyDescent="0.25">
      <c r="A79" s="18"/>
      <c r="B79" s="18"/>
      <c r="C79" s="18"/>
      <c r="D79" s="7"/>
      <c r="F79" s="1070"/>
      <c r="G79" s="1071"/>
      <c r="H79" s="1071"/>
      <c r="I79" s="1071"/>
      <c r="J79" s="1071"/>
      <c r="K79" s="1071"/>
      <c r="L79" s="1072"/>
      <c r="M79" s="1077"/>
      <c r="N79" s="1"/>
      <c r="O79" s="138"/>
      <c r="P79" s="138"/>
      <c r="Q79" s="138"/>
      <c r="R79" s="139"/>
      <c r="S79" s="1042"/>
      <c r="T79" s="1043"/>
      <c r="U79" s="1043"/>
      <c r="V79" s="1043"/>
      <c r="W79" s="1043"/>
      <c r="X79" s="1043"/>
      <c r="Y79" s="1043"/>
      <c r="Z79" s="1044"/>
      <c r="AA79" s="1044"/>
      <c r="AB79" s="1044"/>
      <c r="AC79" s="1044"/>
      <c r="AD79" s="1044"/>
      <c r="AE79" s="1044"/>
      <c r="AF79" s="1044"/>
      <c r="AG79" s="1044"/>
      <c r="AH79" s="1044"/>
      <c r="AI79" s="1066"/>
      <c r="AJ79" s="1066"/>
      <c r="AK79" s="1066"/>
      <c r="AL79" s="1066"/>
      <c r="AM79" s="1066"/>
      <c r="AN79" s="2"/>
      <c r="AO79" s="2"/>
      <c r="AP79" s="2"/>
      <c r="AQ79" s="2"/>
      <c r="AR79" s="2"/>
    </row>
    <row r="80" spans="1:44" ht="27" customHeight="1" x14ac:dyDescent="0.25">
      <c r="A80" s="18"/>
      <c r="B80" s="18"/>
      <c r="C80" s="18"/>
      <c r="D80" s="7"/>
      <c r="F80" s="1070"/>
      <c r="G80" s="1071"/>
      <c r="H80" s="1071"/>
      <c r="I80" s="1071"/>
      <c r="J80" s="1071"/>
      <c r="K80" s="1071"/>
      <c r="L80" s="1072"/>
      <c r="M80" s="1077"/>
      <c r="N80" s="138"/>
      <c r="O80" s="1047" t="s">
        <v>280</v>
      </c>
      <c r="P80" s="1047"/>
      <c r="Q80" s="1047"/>
      <c r="R80" s="1048"/>
      <c r="S80" s="1042"/>
      <c r="T80" s="1043"/>
      <c r="U80" s="1043"/>
      <c r="V80" s="1043"/>
      <c r="W80" s="1043"/>
      <c r="X80" s="1043"/>
      <c r="Y80" s="1043"/>
      <c r="Z80" s="1044"/>
      <c r="AA80" s="1044"/>
      <c r="AB80" s="1044"/>
      <c r="AC80" s="1044"/>
      <c r="AD80" s="1044"/>
      <c r="AE80" s="1044"/>
      <c r="AF80" s="1044"/>
      <c r="AG80" s="1044"/>
      <c r="AH80" s="1044"/>
      <c r="AI80" s="1066"/>
      <c r="AJ80" s="1066"/>
      <c r="AK80" s="1066"/>
      <c r="AL80" s="1066"/>
      <c r="AM80" s="1066"/>
      <c r="AN80" s="2"/>
      <c r="AO80" s="2"/>
      <c r="AP80" s="2"/>
      <c r="AQ80" s="2"/>
      <c r="AR80" s="2"/>
    </row>
    <row r="81" spans="1:44" ht="27" customHeight="1" x14ac:dyDescent="0.25">
      <c r="A81" s="18"/>
      <c r="B81" s="18"/>
      <c r="C81" s="18"/>
      <c r="D81" s="7"/>
      <c r="F81" s="1073"/>
      <c r="G81" s="1074"/>
      <c r="H81" s="1074"/>
      <c r="I81" s="1074"/>
      <c r="J81" s="1074"/>
      <c r="K81" s="1074"/>
      <c r="L81" s="1075"/>
      <c r="M81" s="1078"/>
      <c r="N81" s="140"/>
      <c r="O81" s="140"/>
      <c r="P81" s="140"/>
      <c r="Q81" s="140"/>
      <c r="R81" s="141"/>
      <c r="S81" s="1042"/>
      <c r="T81" s="1043"/>
      <c r="U81" s="1043"/>
      <c r="V81" s="1043"/>
      <c r="W81" s="1043"/>
      <c r="X81" s="1043"/>
      <c r="Y81" s="1043"/>
      <c r="Z81" s="1044"/>
      <c r="AA81" s="1044"/>
      <c r="AB81" s="1044"/>
      <c r="AC81" s="1044"/>
      <c r="AD81" s="1044"/>
      <c r="AE81" s="1044"/>
      <c r="AF81" s="1044"/>
      <c r="AG81" s="1044"/>
      <c r="AH81" s="1044"/>
      <c r="AI81" s="1066"/>
      <c r="AJ81" s="1066"/>
      <c r="AK81" s="1066"/>
      <c r="AL81" s="1066"/>
      <c r="AM81" s="1066"/>
      <c r="AN81" s="2"/>
      <c r="AO81" s="2"/>
      <c r="AP81" s="2"/>
      <c r="AQ81" s="2"/>
      <c r="AR81" s="2"/>
    </row>
    <row r="82" spans="1:44" ht="15" customHeight="1" x14ac:dyDescent="0.25">
      <c r="A82" s="18"/>
      <c r="B82" s="18"/>
      <c r="C82" s="18"/>
      <c r="D82" s="7"/>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20.100000000000001" customHeight="1" x14ac:dyDescent="0.25">
      <c r="A83" s="18"/>
      <c r="B83" s="18"/>
      <c r="C83" s="18"/>
      <c r="D83" s="7"/>
      <c r="E83" s="7"/>
      <c r="F83" s="142"/>
      <c r="G83" s="142"/>
      <c r="H83" s="142"/>
      <c r="I83" s="142"/>
      <c r="J83" s="142"/>
      <c r="K83" s="142"/>
      <c r="L83" s="142"/>
      <c r="M83" s="225"/>
      <c r="N83" s="138"/>
      <c r="O83" s="138"/>
      <c r="P83" s="138"/>
      <c r="Q83" s="138"/>
      <c r="R83" s="138"/>
      <c r="S83" s="132"/>
      <c r="T83" s="132"/>
      <c r="U83" s="132"/>
      <c r="V83" s="132"/>
      <c r="W83" s="132"/>
      <c r="X83" s="132"/>
      <c r="Y83" s="132"/>
      <c r="Z83" s="132"/>
      <c r="AA83" s="132"/>
      <c r="AB83" s="132"/>
      <c r="AC83" s="132"/>
      <c r="AD83" s="132"/>
      <c r="AE83" s="132"/>
      <c r="AF83" s="132"/>
      <c r="AG83" s="132"/>
      <c r="AH83" s="132"/>
      <c r="AI83" s="133"/>
      <c r="AJ83" s="133"/>
      <c r="AK83" s="133"/>
      <c r="AL83" s="133"/>
      <c r="AM83" s="133"/>
      <c r="AN83" s="7"/>
      <c r="AO83" s="7"/>
      <c r="AP83" s="7"/>
      <c r="AQ83" s="7"/>
      <c r="AR83" s="7"/>
    </row>
    <row r="84" spans="1:44" ht="15" customHeight="1" x14ac:dyDescent="0.25">
      <c r="A84" s="18"/>
      <c r="B84" s="18"/>
      <c r="C84" s="18"/>
      <c r="D84" s="7"/>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20.100000000000001" hidden="1" customHeight="1" x14ac:dyDescent="0.25">
      <c r="A85" s="18"/>
      <c r="B85" s="18"/>
      <c r="C85" s="18"/>
      <c r="D85" s="7"/>
      <c r="AN85" s="2"/>
      <c r="AO85" s="2"/>
      <c r="AP85" s="2"/>
      <c r="AQ85" s="2"/>
      <c r="AR85" s="2"/>
    </row>
    <row r="86" spans="1:44" ht="60" customHeight="1" x14ac:dyDescent="0.25">
      <c r="A86" s="18"/>
      <c r="B86" s="18"/>
      <c r="C86" s="18"/>
      <c r="D86" s="7"/>
      <c r="F86" s="1008" t="s">
        <v>143</v>
      </c>
      <c r="G86" s="1009"/>
      <c r="H86" s="1009"/>
      <c r="I86" s="1009"/>
      <c r="J86" s="1009"/>
      <c r="K86" s="1009"/>
      <c r="L86" s="1009"/>
      <c r="M86" s="1010"/>
      <c r="N86" s="1032"/>
      <c r="O86" s="1033"/>
      <c r="P86" s="1033"/>
      <c r="Q86" s="1033"/>
      <c r="R86" s="1033"/>
      <c r="S86" s="1033"/>
      <c r="T86" s="1033"/>
      <c r="U86" s="1033"/>
      <c r="V86" s="1033"/>
      <c r="W86" s="1033"/>
      <c r="X86" s="1033"/>
      <c r="Y86" s="1033"/>
      <c r="Z86" s="1033"/>
      <c r="AA86" s="1033"/>
      <c r="AB86" s="1033"/>
      <c r="AC86" s="1033"/>
      <c r="AD86" s="1033"/>
      <c r="AE86" s="1033"/>
      <c r="AF86" s="1033"/>
      <c r="AG86" s="1033"/>
      <c r="AH86" s="1033"/>
      <c r="AI86" s="1033"/>
      <c r="AJ86" s="1033"/>
      <c r="AK86" s="1033"/>
      <c r="AL86" s="1033"/>
      <c r="AM86" s="1034"/>
      <c r="AN86" s="124"/>
      <c r="AO86" s="124"/>
      <c r="AP86" s="124"/>
      <c r="AQ86" s="124"/>
      <c r="AR86" s="124"/>
    </row>
    <row r="87" spans="1:44" x14ac:dyDescent="0.25">
      <c r="A87" s="18"/>
      <c r="B87" s="18"/>
      <c r="C87" s="18"/>
      <c r="D87" s="7"/>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99.95" customHeight="1" x14ac:dyDescent="0.25">
      <c r="A88" s="18"/>
      <c r="B88" s="18"/>
      <c r="C88" s="18"/>
      <c r="D88" s="7"/>
      <c r="F88" s="1008" t="s">
        <v>392</v>
      </c>
      <c r="G88" s="1009"/>
      <c r="H88" s="1009"/>
      <c r="I88" s="1009"/>
      <c r="J88" s="1009"/>
      <c r="K88" s="1009"/>
      <c r="L88" s="1041"/>
      <c r="M88" s="148" t="s">
        <v>186</v>
      </c>
      <c r="N88" s="1032"/>
      <c r="O88" s="1033"/>
      <c r="P88" s="1033"/>
      <c r="Q88" s="1033"/>
      <c r="R88" s="1033"/>
      <c r="S88" s="1033"/>
      <c r="T88" s="1033"/>
      <c r="U88" s="1033"/>
      <c r="V88" s="1033"/>
      <c r="W88" s="1033"/>
      <c r="X88" s="1033"/>
      <c r="Y88" s="1033"/>
      <c r="Z88" s="1033"/>
      <c r="AA88" s="1033"/>
      <c r="AB88" s="1033"/>
      <c r="AC88" s="1033"/>
      <c r="AD88" s="1033"/>
      <c r="AE88" s="1033"/>
      <c r="AF88" s="1033"/>
      <c r="AG88" s="1033"/>
      <c r="AH88" s="1033"/>
      <c r="AI88" s="1033"/>
      <c r="AJ88" s="1033"/>
      <c r="AK88" s="1033"/>
      <c r="AL88" s="1033"/>
      <c r="AM88" s="1034"/>
      <c r="AN88" s="124"/>
      <c r="AO88" s="124"/>
      <c r="AP88" s="124"/>
      <c r="AQ88" s="124"/>
      <c r="AR88" s="124"/>
    </row>
    <row r="89" spans="1:44" x14ac:dyDescent="0.25">
      <c r="A89" s="18"/>
      <c r="B89" s="18"/>
      <c r="C89" s="18"/>
      <c r="D89" s="7"/>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2" spans="1:44" hidden="1" x14ac:dyDescent="0.25">
      <c r="AQ92" s="2"/>
    </row>
    <row r="93" spans="1:44" hidden="1" x14ac:dyDescent="0.25">
      <c r="AQ93" s="116"/>
    </row>
    <row r="94" spans="1:44" hidden="1" x14ac:dyDescent="0.25">
      <c r="AQ94" s="116"/>
    </row>
    <row r="95" spans="1:44" hidden="1" x14ac:dyDescent="0.25">
      <c r="AQ95" s="116"/>
    </row>
    <row r="96" spans="1:44" hidden="1" x14ac:dyDescent="0.25">
      <c r="AQ96" s="116"/>
    </row>
    <row r="97" spans="43:43" hidden="1" x14ac:dyDescent="0.25">
      <c r="AQ97" s="2"/>
    </row>
  </sheetData>
  <sheetProtection algorithmName="SHA-512" hashValue="0eHb8ur7TDjo8+p8hSRVakQnOyNs4M7V64kM1LITatIaN6iscmRO01o1NuO6FyxqZS4oKpgQQ4lIRsN3LTlcSw==" saltValue="8aDsnXzgxbq353CTGRa9fw==" spinCount="100000" sheet="1" objects="1" scenarios="1" formatColumns="0" formatRows="0"/>
  <mergeCells count="233">
    <mergeCell ref="F40:M40"/>
    <mergeCell ref="N40:P40"/>
    <mergeCell ref="AP62:AQ62"/>
    <mergeCell ref="AL58:AM58"/>
    <mergeCell ref="AF63:AG63"/>
    <mergeCell ref="AP63:AQ63"/>
    <mergeCell ref="AL62:AM62"/>
    <mergeCell ref="AL63:AM63"/>
    <mergeCell ref="AP58:AQ58"/>
    <mergeCell ref="AL59:AM59"/>
    <mergeCell ref="AL60:AM60"/>
    <mergeCell ref="AL61:AM61"/>
    <mergeCell ref="AP59:AQ59"/>
    <mergeCell ref="AP60:AQ60"/>
    <mergeCell ref="AP61:AQ61"/>
    <mergeCell ref="AJ60:AK60"/>
    <mergeCell ref="AN59:AO59"/>
    <mergeCell ref="AN60:AO60"/>
    <mergeCell ref="AN61:AO61"/>
    <mergeCell ref="AJ59:AK59"/>
    <mergeCell ref="AD63:AE63"/>
    <mergeCell ref="V63:W63"/>
    <mergeCell ref="AN62:AO62"/>
    <mergeCell ref="F44:L44"/>
    <mergeCell ref="F2:AG6"/>
    <mergeCell ref="F7:J7"/>
    <mergeCell ref="AN58:AO58"/>
    <mergeCell ref="N44:S44"/>
    <mergeCell ref="X58:Y58"/>
    <mergeCell ref="N54:U54"/>
    <mergeCell ref="V57:AA57"/>
    <mergeCell ref="V54:AC54"/>
    <mergeCell ref="N45:S45"/>
    <mergeCell ref="F41:L41"/>
    <mergeCell ref="F42:L42"/>
    <mergeCell ref="Y40:AB40"/>
    <mergeCell ref="O31:P31"/>
    <mergeCell ref="Q31:S31"/>
    <mergeCell ref="N35:Z35"/>
    <mergeCell ref="AF35:AJ35"/>
    <mergeCell ref="AJ57:AK57"/>
    <mergeCell ref="N37:S37"/>
    <mergeCell ref="AJ58:AK58"/>
    <mergeCell ref="N41:S41"/>
    <mergeCell ref="T31:AM31"/>
    <mergeCell ref="F52:L52"/>
    <mergeCell ref="F45:L45"/>
    <mergeCell ref="AK36:AN36"/>
    <mergeCell ref="S80:Y80"/>
    <mergeCell ref="Z80:AH80"/>
    <mergeCell ref="P58:Q58"/>
    <mergeCell ref="S77:Y77"/>
    <mergeCell ref="AD54:AK54"/>
    <mergeCell ref="S78:Y78"/>
    <mergeCell ref="V59:W59"/>
    <mergeCell ref="X59:Y59"/>
    <mergeCell ref="AF59:AG59"/>
    <mergeCell ref="T59:U59"/>
    <mergeCell ref="AD60:AE60"/>
    <mergeCell ref="R60:S60"/>
    <mergeCell ref="Z61:AA61"/>
    <mergeCell ref="AB61:AC61"/>
    <mergeCell ref="AD61:AE61"/>
    <mergeCell ref="P61:Q61"/>
    <mergeCell ref="R61:S61"/>
    <mergeCell ref="P62:Q62"/>
    <mergeCell ref="X60:Y60"/>
    <mergeCell ref="AH59:AI59"/>
    <mergeCell ref="AH65:AI65"/>
    <mergeCell ref="AJ65:AK65"/>
    <mergeCell ref="AF64:AG64"/>
    <mergeCell ref="T44:V44"/>
    <mergeCell ref="Z45:AB45"/>
    <mergeCell ref="Z77:AH77"/>
    <mergeCell ref="AI77:AM77"/>
    <mergeCell ref="AB63:AC63"/>
    <mergeCell ref="N64:O64"/>
    <mergeCell ref="P64:Q64"/>
    <mergeCell ref="AD64:AE64"/>
    <mergeCell ref="AH64:AI64"/>
    <mergeCell ref="AJ64:AK64"/>
    <mergeCell ref="P59:Q59"/>
    <mergeCell ref="R59:S59"/>
    <mergeCell ref="P60:Q60"/>
    <mergeCell ref="AB60:AC60"/>
    <mergeCell ref="R64:S64"/>
    <mergeCell ref="T64:U64"/>
    <mergeCell ref="N63:O63"/>
    <mergeCell ref="N61:O61"/>
    <mergeCell ref="R65:S65"/>
    <mergeCell ref="T65:U65"/>
    <mergeCell ref="V65:W65"/>
    <mergeCell ref="X65:Y65"/>
    <mergeCell ref="Z65:AA65"/>
    <mergeCell ref="AB65:AC65"/>
    <mergeCell ref="AL64:AQ65"/>
    <mergeCell ref="AB64:AC64"/>
    <mergeCell ref="AN67:AQ67"/>
    <mergeCell ref="AL57:AQ57"/>
    <mergeCell ref="Q55:T55"/>
    <mergeCell ref="N52:P52"/>
    <mergeCell ref="Y55:AB55"/>
    <mergeCell ref="AG55:AJ55"/>
    <mergeCell ref="AD55:AE55"/>
    <mergeCell ref="AD57:AI57"/>
    <mergeCell ref="AD65:AE65"/>
    <mergeCell ref="AF65:AG65"/>
    <mergeCell ref="X63:Y63"/>
    <mergeCell ref="Z63:AA63"/>
    <mergeCell ref="P65:Q65"/>
    <mergeCell ref="AN63:AO63"/>
    <mergeCell ref="AA35:AD35"/>
    <mergeCell ref="N36:AJ36"/>
    <mergeCell ref="N38:AJ38"/>
    <mergeCell ref="N39:AJ39"/>
    <mergeCell ref="R40:X40"/>
    <mergeCell ref="AD40:AJ40"/>
    <mergeCell ref="N42:S42"/>
    <mergeCell ref="T42:Z42"/>
    <mergeCell ref="AB42:AJ42"/>
    <mergeCell ref="F58:H58"/>
    <mergeCell ref="AJ62:AK62"/>
    <mergeCell ref="T62:U62"/>
    <mergeCell ref="AH63:AI63"/>
    <mergeCell ref="AD62:AE62"/>
    <mergeCell ref="AH61:AI61"/>
    <mergeCell ref="AF61:AG61"/>
    <mergeCell ref="AJ61:AK61"/>
    <mergeCell ref="AF62:AG62"/>
    <mergeCell ref="P63:Q63"/>
    <mergeCell ref="AB62:AC62"/>
    <mergeCell ref="AH62:AI62"/>
    <mergeCell ref="AJ63:AK63"/>
    <mergeCell ref="AD58:AE58"/>
    <mergeCell ref="AB58:AC58"/>
    <mergeCell ref="I59:M59"/>
    <mergeCell ref="I60:M60"/>
    <mergeCell ref="I61:M61"/>
    <mergeCell ref="F61:H61"/>
    <mergeCell ref="I62:M62"/>
    <mergeCell ref="I63:M63"/>
    <mergeCell ref="F59:H60"/>
    <mergeCell ref="F62:H63"/>
    <mergeCell ref="F88:L88"/>
    <mergeCell ref="F86:M86"/>
    <mergeCell ref="F77:L81"/>
    <mergeCell ref="M77:M81"/>
    <mergeCell ref="F71:L71"/>
    <mergeCell ref="F67:L67"/>
    <mergeCell ref="N86:AM86"/>
    <mergeCell ref="N88:AM88"/>
    <mergeCell ref="AI81:AM81"/>
    <mergeCell ref="S81:Y81"/>
    <mergeCell ref="Z81:AH81"/>
    <mergeCell ref="N67:AM67"/>
    <mergeCell ref="Z78:AH78"/>
    <mergeCell ref="AI78:AM78"/>
    <mergeCell ref="S79:Y79"/>
    <mergeCell ref="Z79:AH79"/>
    <mergeCell ref="AI79:AM79"/>
    <mergeCell ref="AI80:AM80"/>
    <mergeCell ref="O70:AM70"/>
    <mergeCell ref="O71:AM71"/>
    <mergeCell ref="O72:AM72"/>
    <mergeCell ref="O73:AM73"/>
    <mergeCell ref="O78:R78"/>
    <mergeCell ref="O80:R80"/>
    <mergeCell ref="F65:H65"/>
    <mergeCell ref="I65:M65"/>
    <mergeCell ref="N65:O65"/>
    <mergeCell ref="N62:O62"/>
    <mergeCell ref="T61:U61"/>
    <mergeCell ref="V62:W62"/>
    <mergeCell ref="X62:Y62"/>
    <mergeCell ref="Z62:AA62"/>
    <mergeCell ref="R62:S62"/>
    <mergeCell ref="X64:Y64"/>
    <mergeCell ref="V64:W64"/>
    <mergeCell ref="R63:S63"/>
    <mergeCell ref="T63:U63"/>
    <mergeCell ref="Z64:AA64"/>
    <mergeCell ref="V61:W61"/>
    <mergeCell ref="X61:Y61"/>
    <mergeCell ref="F64:H64"/>
    <mergeCell ref="I64:M64"/>
    <mergeCell ref="F29:L31"/>
    <mergeCell ref="F39:M39"/>
    <mergeCell ref="N60:O60"/>
    <mergeCell ref="N57:S57"/>
    <mergeCell ref="T60:U60"/>
    <mergeCell ref="AD59:AE59"/>
    <mergeCell ref="Z60:AA60"/>
    <mergeCell ref="AH60:AI60"/>
    <mergeCell ref="AF60:AG60"/>
    <mergeCell ref="Z59:AA59"/>
    <mergeCell ref="AB59:AC59"/>
    <mergeCell ref="V60:W60"/>
    <mergeCell ref="N59:O59"/>
    <mergeCell ref="N58:O58"/>
    <mergeCell ref="V55:W55"/>
    <mergeCell ref="N55:O55"/>
    <mergeCell ref="T57:U57"/>
    <mergeCell ref="AB57:AC57"/>
    <mergeCell ref="R58:S58"/>
    <mergeCell ref="AH58:AI58"/>
    <mergeCell ref="Z58:AA58"/>
    <mergeCell ref="T58:U58"/>
    <mergeCell ref="V58:W58"/>
    <mergeCell ref="AF58:AG58"/>
    <mergeCell ref="AJ15:AM15"/>
    <mergeCell ref="G16:Q16"/>
    <mergeCell ref="R16:AI16"/>
    <mergeCell ref="AJ16:AM16"/>
    <mergeCell ref="AI2:AN7"/>
    <mergeCell ref="F35:L35"/>
    <mergeCell ref="F36:L36"/>
    <mergeCell ref="F37:L37"/>
    <mergeCell ref="F38:L38"/>
    <mergeCell ref="G17:Q17"/>
    <mergeCell ref="R17:AI17"/>
    <mergeCell ref="AJ17:AM17"/>
    <mergeCell ref="F10:M10"/>
    <mergeCell ref="N10:S10"/>
    <mergeCell ref="G14:Q14"/>
    <mergeCell ref="R14:AI14"/>
    <mergeCell ref="AJ14:AM14"/>
    <mergeCell ref="G15:Q15"/>
    <mergeCell ref="R15:AI15"/>
    <mergeCell ref="F27:M27"/>
    <mergeCell ref="F23:AM23"/>
    <mergeCell ref="N27:S27"/>
    <mergeCell ref="O29:AM29"/>
    <mergeCell ref="O30:AM30"/>
  </mergeCells>
  <conditionalFormatting sqref="E34:AR89">
    <cfRule type="expression" dxfId="552" priority="5">
      <formula>$N$27&lt;&gt;"Não"</formula>
    </cfRule>
  </conditionalFormatting>
  <conditionalFormatting sqref="F7">
    <cfRule type="notContainsBlanks" dxfId="551" priority="1">
      <formula>LEN(TRIM(F7))&gt;0</formula>
    </cfRule>
  </conditionalFormatting>
  <conditionalFormatting sqref="F12:AQ17 AN18:AQ19 F20:AQ23">
    <cfRule type="expression" dxfId="550" priority="3">
      <formula>$N$10&lt;&gt;"sim"</formula>
    </cfRule>
  </conditionalFormatting>
  <conditionalFormatting sqref="F28:AR32">
    <cfRule type="expression" dxfId="549" priority="4">
      <formula>$N$27&lt;&gt;"Sim"</formula>
    </cfRule>
  </conditionalFormatting>
  <conditionalFormatting sqref="M35:M38">
    <cfRule type="expression" dxfId="547" priority="35">
      <formula>N35&lt;&gt;""</formula>
    </cfRule>
  </conditionalFormatting>
  <conditionalFormatting sqref="M41:M42">
    <cfRule type="expression" dxfId="546" priority="30">
      <formula>N41&lt;&gt;""</formula>
    </cfRule>
  </conditionalFormatting>
  <conditionalFormatting sqref="M44">
    <cfRule type="expression" dxfId="545" priority="27">
      <formula>AND($N$44&lt;&gt;"",$T$44&lt;&gt;"")</formula>
    </cfRule>
    <cfRule type="expression" dxfId="544" priority="28">
      <formula>OR(AND($N$44="",$T$44&lt;&gt;""),AND($N$44&lt;&gt;"",$T$44=""))</formula>
    </cfRule>
  </conditionalFormatting>
  <conditionalFormatting sqref="M45">
    <cfRule type="expression" dxfId="543" priority="29">
      <formula>N45&lt;&gt;""</formula>
    </cfRule>
  </conditionalFormatting>
  <conditionalFormatting sqref="M52">
    <cfRule type="expression" dxfId="542" priority="24">
      <formula>N52&lt;&gt;""</formula>
    </cfRule>
  </conditionalFormatting>
  <conditionalFormatting sqref="M67">
    <cfRule type="expression" dxfId="541" priority="14">
      <formula>N67&lt;&gt;""</formula>
    </cfRule>
  </conditionalFormatting>
  <conditionalFormatting sqref="M88">
    <cfRule type="expression" dxfId="538" priority="12">
      <formula>N88&lt;&gt;""</formula>
    </cfRule>
  </conditionalFormatting>
  <conditionalFormatting sqref="P55">
    <cfRule type="expression" dxfId="533" priority="23">
      <formula>Q55&lt;&gt;""</formula>
    </cfRule>
  </conditionalFormatting>
  <conditionalFormatting sqref="Q40">
    <cfRule type="expression" dxfId="532" priority="33">
      <formula>R40&lt;&gt;""</formula>
    </cfRule>
  </conditionalFormatting>
  <conditionalFormatting sqref="T45:V45">
    <cfRule type="expression" dxfId="530" priority="26">
      <formula>$N$45&lt;&gt;"sim"</formula>
    </cfRule>
  </conditionalFormatting>
  <conditionalFormatting sqref="W45:AB45">
    <cfRule type="expression" dxfId="529" priority="25">
      <formula>$N$45&lt;&gt;"sim"</formula>
    </cfRule>
  </conditionalFormatting>
  <conditionalFormatting sqref="X55">
    <cfRule type="expression" dxfId="528" priority="22">
      <formula>Y55&lt;&gt;""</formula>
    </cfRule>
  </conditionalFormatting>
  <conditionalFormatting sqref="AA42">
    <cfRule type="expression" dxfId="527" priority="31">
      <formula>AB42&lt;&gt;""</formula>
    </cfRule>
  </conditionalFormatting>
  <conditionalFormatting sqref="AC40">
    <cfRule type="expression" dxfId="526" priority="32">
      <formula>AD40&lt;&gt;""</formula>
    </cfRule>
  </conditionalFormatting>
  <conditionalFormatting sqref="AE35">
    <cfRule type="expression" dxfId="525" priority="34">
      <formula>AF35&lt;&gt;""</formula>
    </cfRule>
  </conditionalFormatting>
  <conditionalFormatting sqref="AF55">
    <cfRule type="expression" dxfId="524" priority="21">
      <formula>AG55&lt;&gt;""</formula>
    </cfRule>
  </conditionalFormatting>
  <dataValidations xWindow="724" yWindow="574" count="21">
    <dataValidation type="custom" allowBlank="1" showInputMessage="1" showErrorMessage="1" errorTitle="Data inválida" error="A data de conclusão não pode ser anterior a data de início." sqref="AD40:AJ40" xr:uid="{3258793B-F78B-4CCE-AD10-C01C8D8ED03F}">
      <formula1>R40&lt;=AD40</formula1>
    </dataValidation>
    <dataValidation type="list" allowBlank="1" showInputMessage="1" showErrorMessage="1" errorTitle="Código inválido" error="Preencher os dados do certificado na guia &quot;Certificados&quot; antes de atribuí-lo a algum estudo" sqref="N41:S41" xr:uid="{0EBB782C-E7C9-4FB4-9B1C-EA75C697682A}">
      <formula1>src_certificados</formula1>
    </dataValidation>
    <dataValidation type="decimal" operator="greaterThanOrEqual" allowBlank="1" showInputMessage="1" showErrorMessage="1" errorTitle="Valor inválido" error="O grau das lesões deve ser um número" sqref="N59:AK63" xr:uid="{F13B1CFD-401C-4D15-A45A-16303F3070FB}">
      <formula1>0</formula1>
    </dataValidation>
    <dataValidation type="decimal" operator="greaterThanOrEqual" allowBlank="1" showInputMessage="1" showErrorMessage="1" errorTitle="Valor inválido" error="A dose informada deve ser um número decimal" sqref="N44:S44" xr:uid="{48B66E23-8A56-4B1F-A21B-15FC4597B48A}">
      <formula1>0</formula1>
    </dataValidation>
    <dataValidation type="decimal" operator="greaterThanOrEqual" allowBlank="1" showInputMessage="1" showErrorMessage="1" errorTitle="Valor inválido" error="O tempo em horas deve ser um número" sqref="Z45:AB45" xr:uid="{3390E940-E584-4984-BA56-13A4113A54E0}">
      <formula1>0</formula1>
    </dataValidation>
    <dataValidation allowBlank="1" showInputMessage="1" showErrorMessage="1" promptTitle="Ajuda" prompt="Todas as informações desse formulário devem refletir ao que foi protocolado na Anvisa, portanto a opção de dispensa de estudo só deverá ser marcada como &quot;sim&quot; se ela também tiver sido realizada no pleito do produto. " sqref="F27:M27" xr:uid="{8341ED69-825A-4DC0-95E8-8E6E4038500A}"/>
    <dataValidation allowBlank="1" showInputMessage="1" showErrorMessage="1" promptTitle="Ajuda" prompt="Código gerado pelo laboratório executor" sqref="AA35:AD35" xr:uid="{7645D725-7879-4548-8E45-41417E468678}"/>
    <dataValidation allowBlank="1" showInputMessage="1" showErrorMessage="1" promptTitle="Ajuda" prompt="Informar nome e estado/país do laboratório executor" sqref="F36:L36" xr:uid="{085F302C-D182-487B-B314-E20AFFAD50E5}"/>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39:M39" xr:uid="{661E9B3F-EA89-49BF-9E2D-8BD6335400E1}"/>
    <dataValidation allowBlank="1" showInputMessage="1" showErrorMessage="1" promptTitle="Ajuda" prompt="Data de início da exposição dos animais à substância teste" sqref="N40:P40" xr:uid="{15753EA8-736F-489E-8C34-707E568BFD15}"/>
    <dataValidation allowBlank="1" showInputMessage="1" showErrorMessage="1" promptTitle="Ajuda" prompt="Relatar o tempo em horas." sqref="Y45" xr:uid="{F1184B53-EFFE-457E-B699-43B0F69B941A}"/>
    <dataValidation allowBlank="1" showInputMessage="1" showErrorMessage="1" promptTitle="Ajuda" prompt="Completar os campos com &quot;0&quot; ainda que o estudo tenha sido interrompido antes de 21 dias ou mesmo que o sinal clínico não tenha sido relatado. _x000a__x000a_Completar com NR a linha correspondente a avaliação com fluoresceína. " sqref="T58:U58" xr:uid="{BB33A959-C226-4257-A4DD-506159132A6E}"/>
    <dataValidation allowBlank="1" showInputMessage="1" showErrorMessage="1" prompt="Marque apenas uma opção._x000a__x000a_A marcação do excel é apenas o resultado sugestivo a partir dos resultados preenchidos. " sqref="F71:L71" xr:uid="{166FE5EC-B9F9-47B5-B241-8FF2D3EB0BF9}"/>
    <dataValidation allowBlank="1" showInputMessage="1" showErrorMessage="1" promptTitle="Ajuda" prompt="Descrever outros resultados não expressos na tabela acima. _x000a__x000a_Ex.: avaliação das lesões, reversibilidade (inclusive se tiver sido em 1 hora), mortalidade, outros sinais clínicos, como: hifema, secreção ou outros efeitos decorrentes do teste." sqref="F67:L67" xr:uid="{97156262-F078-417C-9D77-562607C1CFCE}"/>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77:L81" xr:uid="{C878F41B-8531-40B2-9FE1-133031E07EF2}"/>
    <dataValidation allowBlank="1" showInputMessage="1" showErrorMessage="1" promptTitle="Ajuda" prompt="Descrição sucinta do desvio ocorrido._x000a__x000a_Caso tenha ocorrido mais do que quatro desvios, os demais deverão estar descritos na última linha e separados por ponto e vírgula" sqref="S77:Y77" xr:uid="{08600F7D-058B-46B5-8E96-C874BD806BDD}"/>
    <dataValidation allowBlank="1" showInputMessage="1" showErrorMessage="1" promptTitle="Ajuda" prompt="Incluir a justificativa do porquê ocorreu desvio e qual é interpretação dos seus impactos frente aos resultados do estudos." sqref="Z77:AH77" xr:uid="{29E44216-AFF7-46F3-9BA1-7605EC764AE0}"/>
    <dataValidation allowBlank="1" showInputMessage="1" showErrorMessage="1" promptTitle="Ajuda" prompt="Informar apenas se o(s) desvio(s) afetam de algum modo a interpretação dos resultados" sqref="AI77:AM77" xr:uid="{CEB2CF11-955C-4997-9E97-E6094139BF67}"/>
    <dataValidation allowBlank="1" showInputMessage="1" showErrorMessage="1" promptTitle="Ajuda" prompt="A conclusão deverá ser conforme está escrito no relatório do estudo._x000a_" sqref="F88:L88" xr:uid="{51B980E3-F23C-4BF1-8E5B-0EE0D81D68D8}"/>
    <dataValidation allowBlank="1" showInputMessage="1" showErrorMessage="1" promptTitle="Ajuda" prompt="Se a resposta for &quot;não&quot;, desça a tela para continuar o preenchimento do formulário" sqref="F10:M10" xr:uid="{E8128850-D1A7-4C6A-8EE7-D1C164077240}"/>
    <dataValidation allowBlank="1" showInputMessage="1" showErrorMessage="1" promptTitle="Ajuda" prompt="Campo para informar outras lesões, tais como: secreção, fotofobia, miose, midríase e etc. _x000a__x000a_A lesão poderá ser informada por letras ou números e a legenda deverá ser inserida no campo &quot;observações&quot;" sqref="I65:M65" xr:uid="{DD7CA092-8842-47A4-B0BD-E0631148C286}"/>
  </dataValidations>
  <hyperlinks>
    <hyperlink ref="F7" location="Alertas!G2" display="Alertas!G2" xr:uid="{2A7CBD8F-1D8C-4CD6-BA64-E6770ED55873}"/>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74" r:id="rId4" name="check_irritocular_result_4">
              <controlPr defaultSize="0" autoFill="0" autoLine="0" autoPict="0">
                <anchor moveWithCells="1">
                  <from>
                    <xdr:col>13</xdr:col>
                    <xdr:colOff>114300</xdr:colOff>
                    <xdr:row>72</xdr:row>
                    <xdr:rowOff>66675</xdr:rowOff>
                  </from>
                  <to>
                    <xdr:col>39</xdr:col>
                    <xdr:colOff>38100</xdr:colOff>
                    <xdr:row>72</xdr:row>
                    <xdr:rowOff>438150</xdr:rowOff>
                  </to>
                </anchor>
              </controlPr>
            </control>
          </mc:Choice>
        </mc:AlternateContent>
        <mc:AlternateContent xmlns:mc="http://schemas.openxmlformats.org/markup-compatibility/2006">
          <mc:Choice Requires="x14">
            <control shapeId="31745" r:id="rId5" name="check_irritocular_result_1">
              <controlPr defaultSize="0" autoFill="0" autoLine="0" autoPict="0">
                <anchor moveWithCells="1">
                  <from>
                    <xdr:col>13</xdr:col>
                    <xdr:colOff>133350</xdr:colOff>
                    <xdr:row>69</xdr:row>
                    <xdr:rowOff>38100</xdr:rowOff>
                  </from>
                  <to>
                    <xdr:col>39</xdr:col>
                    <xdr:colOff>57150</xdr:colOff>
                    <xdr:row>69</xdr:row>
                    <xdr:rowOff>438150</xdr:rowOff>
                  </to>
                </anchor>
              </controlPr>
            </control>
          </mc:Choice>
        </mc:AlternateContent>
        <mc:AlternateContent xmlns:mc="http://schemas.openxmlformats.org/markup-compatibility/2006">
          <mc:Choice Requires="x14">
            <control shapeId="31746" r:id="rId6" name="check_irritocular_result_2">
              <controlPr defaultSize="0" autoFill="0" autoLine="0" autoPict="0">
                <anchor moveWithCells="1">
                  <from>
                    <xdr:col>13</xdr:col>
                    <xdr:colOff>123825</xdr:colOff>
                    <xdr:row>70</xdr:row>
                    <xdr:rowOff>19050</xdr:rowOff>
                  </from>
                  <to>
                    <xdr:col>39</xdr:col>
                    <xdr:colOff>47625</xdr:colOff>
                    <xdr:row>70</xdr:row>
                    <xdr:rowOff>419100</xdr:rowOff>
                  </to>
                </anchor>
              </controlPr>
            </control>
          </mc:Choice>
        </mc:AlternateContent>
        <mc:AlternateContent xmlns:mc="http://schemas.openxmlformats.org/markup-compatibility/2006">
          <mc:Choice Requires="x14">
            <control shapeId="31747" r:id="rId7" name="check_irritocular_result_3">
              <controlPr defaultSize="0" autoFill="0" autoLine="0" autoPict="0">
                <anchor moveWithCells="1">
                  <from>
                    <xdr:col>13</xdr:col>
                    <xdr:colOff>142875</xdr:colOff>
                    <xdr:row>70</xdr:row>
                    <xdr:rowOff>495300</xdr:rowOff>
                  </from>
                  <to>
                    <xdr:col>39</xdr:col>
                    <xdr:colOff>66675</xdr:colOff>
                    <xdr:row>71</xdr:row>
                    <xdr:rowOff>609600</xdr:rowOff>
                  </to>
                </anchor>
              </controlPr>
            </control>
          </mc:Choice>
        </mc:AlternateContent>
        <mc:AlternateContent xmlns:mc="http://schemas.openxmlformats.org/markup-compatibility/2006">
          <mc:Choice Requires="x14">
            <control shapeId="31758" r:id="rId8" name="check_irritocular_despensa3">
              <controlPr defaultSize="0" autoFill="0" autoLine="0" autoPict="0">
                <anchor moveWithCells="1">
                  <from>
                    <xdr:col>13</xdr:col>
                    <xdr:colOff>114300</xdr:colOff>
                    <xdr:row>30</xdr:row>
                    <xdr:rowOff>133350</xdr:rowOff>
                  </from>
                  <to>
                    <xdr:col>14</xdr:col>
                    <xdr:colOff>38100</xdr:colOff>
                    <xdr:row>30</xdr:row>
                    <xdr:rowOff>352425</xdr:rowOff>
                  </to>
                </anchor>
              </controlPr>
            </control>
          </mc:Choice>
        </mc:AlternateContent>
        <mc:AlternateContent xmlns:mc="http://schemas.openxmlformats.org/markup-compatibility/2006">
          <mc:Choice Requires="x14">
            <control shapeId="31757" r:id="rId9" name="check_irritocular_despensa2">
              <controlPr defaultSize="0" autoFill="0" autoLine="0" autoPict="0">
                <anchor moveWithCells="1">
                  <from>
                    <xdr:col>13</xdr:col>
                    <xdr:colOff>114300</xdr:colOff>
                    <xdr:row>29</xdr:row>
                    <xdr:rowOff>114300</xdr:rowOff>
                  </from>
                  <to>
                    <xdr:col>14</xdr:col>
                    <xdr:colOff>38100</xdr:colOff>
                    <xdr:row>29</xdr:row>
                    <xdr:rowOff>333375</xdr:rowOff>
                  </to>
                </anchor>
              </controlPr>
            </control>
          </mc:Choice>
        </mc:AlternateContent>
        <mc:AlternateContent xmlns:mc="http://schemas.openxmlformats.org/markup-compatibility/2006">
          <mc:Choice Requires="x14">
            <control shapeId="31786" r:id="rId10" name="check_irritocular_despensa1">
              <controlPr defaultSize="0" autoFill="0" autoLine="0" autoPict="0">
                <anchor moveWithCells="1">
                  <from>
                    <xdr:col>13</xdr:col>
                    <xdr:colOff>114300</xdr:colOff>
                    <xdr:row>28</xdr:row>
                    <xdr:rowOff>133350</xdr:rowOff>
                  </from>
                  <to>
                    <xdr:col>14</xdr:col>
                    <xdr:colOff>38100</xdr:colOff>
                    <xdr:row>28</xdr:row>
                    <xdr:rowOff>352425</xdr:rowOff>
                  </to>
                </anchor>
              </controlPr>
            </control>
          </mc:Choice>
        </mc:AlternateContent>
        <mc:AlternateContent xmlns:mc="http://schemas.openxmlformats.org/markup-compatibility/2006">
          <mc:Choice Requires="x14">
            <control shapeId="31789" r:id="rId11" name="optn_desvios_irritocular1">
              <controlPr defaultSize="0" autoFill="0" autoLine="0" autoPict="0">
                <anchor moveWithCells="1">
                  <from>
                    <xdr:col>13</xdr:col>
                    <xdr:colOff>28575</xdr:colOff>
                    <xdr:row>76</xdr:row>
                    <xdr:rowOff>228600</xdr:rowOff>
                  </from>
                  <to>
                    <xdr:col>17</xdr:col>
                    <xdr:colOff>257175</xdr:colOff>
                    <xdr:row>78</xdr:row>
                    <xdr:rowOff>38100</xdr:rowOff>
                  </to>
                </anchor>
              </controlPr>
            </control>
          </mc:Choice>
        </mc:AlternateContent>
        <mc:AlternateContent xmlns:mc="http://schemas.openxmlformats.org/markup-compatibility/2006">
          <mc:Choice Requires="x14">
            <control shapeId="31788" r:id="rId12" name="optn_desvios_irritocular2">
              <controlPr defaultSize="0" autoFill="0" autoLine="0" autoPict="0">
                <anchor moveWithCells="1">
                  <from>
                    <xdr:col>13</xdr:col>
                    <xdr:colOff>28575</xdr:colOff>
                    <xdr:row>78</xdr:row>
                    <xdr:rowOff>333375</xdr:rowOff>
                  </from>
                  <to>
                    <xdr:col>17</xdr:col>
                    <xdr:colOff>257175</xdr:colOff>
                    <xdr:row>80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475" id="{3D7DD27D-F0B3-4603-A67C-C5F12CDBF072}">
            <xm:f>IF(Respostas_usuario!#REF!&lt;&gt;0,1,0)</xm:f>
            <x14:dxf>
              <font>
                <b/>
                <i val="0"/>
                <color rgb="FF00B050"/>
              </font>
            </x14:dxf>
          </x14:cfRule>
          <xm:sqref>M30</xm:sqref>
        </x14:conditionalFormatting>
        <x14:conditionalFormatting xmlns:xm="http://schemas.microsoft.com/office/excel/2006/main">
          <x14:cfRule type="expression" priority="16" id="{40C94A9C-F903-4353-99C3-8DB008D123FD}">
            <xm:f>Respostas_usuario!$M$10&lt;&gt;0</xm:f>
            <x14:dxf>
              <font>
                <b/>
                <i val="0"/>
                <color rgb="FF00B050"/>
              </font>
            </x14:dxf>
          </x14:cfRule>
          <xm:sqref>M71</xm:sqref>
        </x14:conditionalFormatting>
        <x14:conditionalFormatting xmlns:xm="http://schemas.microsoft.com/office/excel/2006/main">
          <x14:cfRule type="expression" priority="11" id="{FA0B542F-0D89-47E9-AA19-1019589FD76B}">
            <xm:f>Respostas_usuario!$K$10&lt;&gt;0</xm:f>
            <x14:dxf>
              <font>
                <b/>
                <i val="0"/>
                <color rgb="FF00B050"/>
              </font>
              <fill>
                <patternFill>
                  <bgColor theme="0"/>
                </patternFill>
              </fill>
            </x14:dxf>
          </x14:cfRule>
          <xm:sqref>M77:M81</xm:sqref>
        </x14:conditionalFormatting>
        <x14:conditionalFormatting xmlns:xm="http://schemas.microsoft.com/office/excel/2006/main">
          <x14:cfRule type="expression" priority="3736" id="{C9485514-3CCB-40D7-9B3D-70A85FAE5724}">
            <xm:f>Calculos!$I$152=1</xm:f>
            <x14:dxf>
              <fill>
                <patternFill>
                  <bgColor theme="7" tint="0.39994506668294322"/>
                </patternFill>
              </fill>
            </x14:dxf>
          </x14:cfRule>
          <xm:sqref>N70</xm:sqref>
        </x14:conditionalFormatting>
        <x14:conditionalFormatting xmlns:xm="http://schemas.microsoft.com/office/excel/2006/main">
          <x14:cfRule type="expression" priority="3737" id="{863E378A-0275-42BC-A9CD-18A3DE3BA24E}">
            <xm:f>Calculos!$I$152=2</xm:f>
            <x14:dxf>
              <fill>
                <patternFill>
                  <bgColor theme="7" tint="0.39994506668294322"/>
                </patternFill>
              </fill>
            </x14:dxf>
          </x14:cfRule>
          <xm:sqref>N71</xm:sqref>
        </x14:conditionalFormatting>
        <x14:conditionalFormatting xmlns:xm="http://schemas.microsoft.com/office/excel/2006/main">
          <x14:cfRule type="expression" priority="3738" id="{3B0D2F00-B581-4B54-89EA-4B51776C5D33}">
            <xm:f>Calculos!$I$152=3</xm:f>
            <x14:dxf>
              <fill>
                <patternFill>
                  <bgColor theme="7" tint="0.39994506668294322"/>
                </patternFill>
              </fill>
            </x14:dxf>
          </x14:cfRule>
          <xm:sqref>N72</xm:sqref>
        </x14:conditionalFormatting>
        <x14:conditionalFormatting xmlns:xm="http://schemas.microsoft.com/office/excel/2006/main">
          <x14:cfRule type="expression" priority="3739" id="{7D059DA8-C745-4C17-93F4-D696ECF7A563}">
            <xm:f>Calculos!$I$152=4</xm:f>
            <x14:dxf>
              <fill>
                <patternFill>
                  <bgColor theme="7" tint="0.39994506668294322"/>
                </patternFill>
              </fill>
            </x14:dxf>
          </x14:cfRule>
          <xm:sqref>N73</xm:sqref>
        </x14:conditionalFormatting>
        <x14:conditionalFormatting xmlns:xm="http://schemas.microsoft.com/office/excel/2006/main">
          <x14:cfRule type="expression" priority="10" id="{E1DDD1D6-5C80-42C0-82A8-F48A66E1135B}">
            <xm:f>Respostas_usuario!$K$10&lt;&gt;2</xm:f>
            <x14:dxf>
              <font>
                <color theme="0"/>
              </font>
              <fill>
                <patternFill>
                  <bgColor theme="0"/>
                </patternFill>
              </fill>
              <border>
                <right/>
                <bottom/>
                <vertical/>
                <horizontal/>
              </border>
            </x14:dxf>
          </x14:cfRule>
          <xm:sqref>S76:AM81</xm:sqref>
        </x14:conditionalFormatting>
        <x14:conditionalFormatting xmlns:xm="http://schemas.microsoft.com/office/excel/2006/main">
          <x14:cfRule type="expression" priority="3740" id="{77909FBD-8288-4168-AAA6-185639DB7D43}">
            <xm:f>Calculos!$I$152=1</xm:f>
            <x14:dxf>
              <font>
                <b/>
                <i val="0"/>
                <color theme="0" tint="-0.499984740745262"/>
              </font>
            </x14:dxf>
          </x14:cfRule>
          <xm:sqref>AN70</xm:sqref>
        </x14:conditionalFormatting>
        <x14:conditionalFormatting xmlns:xm="http://schemas.microsoft.com/office/excel/2006/main">
          <x14:cfRule type="expression" priority="3741" id="{43FBB6DD-66B2-48C3-B72D-D16BB715AB66}">
            <xm:f>Calculos!$I$152=2</xm:f>
            <x14:dxf>
              <font>
                <b/>
                <i val="0"/>
                <color theme="0" tint="-0.499984740745262"/>
              </font>
            </x14:dxf>
          </x14:cfRule>
          <xm:sqref>AN71</xm:sqref>
        </x14:conditionalFormatting>
        <x14:conditionalFormatting xmlns:xm="http://schemas.microsoft.com/office/excel/2006/main">
          <x14:cfRule type="expression" priority="3742" id="{24D516B1-923A-4617-8B9B-40807E5A07B8}">
            <xm:f>Calculos!$I$152=3</xm:f>
            <x14:dxf>
              <font>
                <b/>
                <i val="0"/>
                <color theme="0" tint="-0.499984740745262"/>
              </font>
            </x14:dxf>
          </x14:cfRule>
          <xm:sqref>AN72</xm:sqref>
        </x14:conditionalFormatting>
        <x14:conditionalFormatting xmlns:xm="http://schemas.microsoft.com/office/excel/2006/main">
          <x14:cfRule type="expression" priority="3743" id="{4E16672E-531F-421A-BCC9-B930878FCE08}">
            <xm:f>Calculos!$I$152=4</xm:f>
            <x14:dxf>
              <font>
                <b/>
                <i val="0"/>
                <color theme="0" tint="-0.499984740745262"/>
              </font>
            </x14:dxf>
          </x14:cfRule>
          <xm:sqref>AN73</xm:sqref>
        </x14:conditionalFormatting>
      </x14:conditionalFormattings>
    </ext>
    <ext xmlns:x14="http://schemas.microsoft.com/office/spreadsheetml/2009/9/main" uri="{CCE6A557-97BC-4b89-ADB6-D9C93CAAB3DF}">
      <x14:dataValidations xmlns:xm="http://schemas.microsoft.com/office/excel/2006/main" xWindow="724" yWindow="574" count="10">
        <x14:dataValidation type="list" allowBlank="1" showInputMessage="1" showErrorMessage="1" errorTitle="Resposta inválida" error="A resposta deve ser Sim ou Não" xr:uid="{27DCADC9-3E35-4A59-94D4-F2B0DD6EBFB5}">
          <x14:formula1>
            <xm:f>Tabelas_fonte!$Y$2:$Y$3</xm:f>
          </x14:formula1>
          <xm:sqref>N27:S27 N52:P52</xm:sqref>
        </x14:dataValidation>
        <x14:dataValidation type="list" allowBlank="1" showInputMessage="1" showErrorMessage="1" errorTitle="Resposta inválida" error="A resposta de ser Sim ou Não." xr:uid="{0A45BF86-F0AE-46E2-98D5-D759BA47313A}">
          <x14:formula1>
            <xm:f>Tabelas_fonte!$Y$2:$Y$3</xm:f>
          </x14:formula1>
          <xm:sqref>N37:S37</xm:sqref>
        </x14:dataValidation>
        <x14:dataValidation type="list" allowBlank="1" showInputMessage="1" xr:uid="{8B1AC18E-3CF2-429E-87FE-E363E47E0683}">
          <x14:formula1>
            <xm:f>Tabelas_fonte!$AI$2:$AI$7</xm:f>
          </x14:formula1>
          <xm:sqref>N38:AJ38</xm:sqref>
        </x14:dataValidation>
        <x14:dataValidation type="list" allowBlank="1" showInputMessage="1" showErrorMessage="1" errorTitle="Valor inválido" error="Escolha uma das unidades de medida disponíveis. " xr:uid="{C9C6679D-3C76-4CD5-9B67-3A4403FE04E1}">
          <x14:formula1>
            <xm:f>Tabelas_fonte!$AI$10:$AI$11</xm:f>
          </x14:formula1>
          <xm:sqref>T44:V44</xm:sqref>
        </x14:dataValidation>
        <x14:dataValidation type="list" allowBlank="1" showInputMessage="1" showErrorMessage="1" errorTitle="Valor inválido" error="O sexo deve ser Macho ou Fêmea" xr:uid="{F9705850-219A-4812-8857-8694BADFCE18}">
          <x14:formula1>
            <xm:f>Tabelas_fonte!$W$8:$W$9</xm:f>
          </x14:formula1>
          <xm:sqref>Q55:T55 Y55:AB55 AG55:AJ55</xm:sqref>
        </x14:dataValidation>
        <x14:dataValidation type="list" allowBlank="1" showInputMessage="1" showErrorMessage="1" errorTitle="Valor inválido" error="A resposta deve ser Sim ou Não" xr:uid="{0CB23EC9-9298-4C27-BDC9-CC7A84C344F7}">
          <x14:formula1>
            <xm:f>Tabelas_fonte!$Y$2:$Y$3</xm:f>
          </x14:formula1>
          <xm:sqref>AI78:AM81</xm:sqref>
        </x14:dataValidation>
        <x14:dataValidation type="list" allowBlank="1" showInputMessage="1" showErrorMessage="1" errorTitle="Resposta inválida" error="A resposta de ser Sim ou Não." xr:uid="{4466E518-4300-4A73-9F63-8374FE47750F}">
          <x14:formula1>
            <xm:f>Tabelas_fonte!$U$19:$U$21</xm:f>
          </x14:formula1>
          <xm:sqref>N45:S45</xm:sqref>
        </x14:dataValidation>
        <x14:dataValidation type="list" allowBlank="1" showInputMessage="1" showErrorMessage="1" xr:uid="{EB95B93E-13DB-420E-8882-21251F730F44}">
          <x14:formula1>
            <xm:f>Tabelas_fonte!$Y$2:$Y$3</xm:f>
          </x14:formula1>
          <xm:sqref>N10:S10</xm:sqref>
        </x14:dataValidation>
        <x14:dataValidation type="list" allowBlank="1" showInputMessage="1" showErrorMessage="1" xr:uid="{10C6AF22-2500-46E1-BBA2-187F07D8777B}">
          <x14:formula1>
            <xm:f>Tabelas_fonte!$AI$46:$AI$49</xm:f>
          </x14:formula1>
          <xm:sqref>AJ15:AM17</xm:sqref>
        </x14:dataValidation>
        <x14:dataValidation type="list" operator="greaterThanOrEqual" allowBlank="1" showInputMessage="1" showErrorMessage="1" errorTitle="Valor inválido" error="O resultado da avaliação com fluoresceína dever ser:_x000a_+ =&gt; houve retenção do corante_x000a_- =&gt; não houve retenção do corante_x000a_NR =&gt; Não realizado" xr:uid="{0A40BFD0-3550-4CF9-8DE6-6D2DD3BC8D71}">
          <x14:formula1>
            <xm:f>Tabelas_fonte!$AI$39:$AI$41</xm:f>
          </x14:formula1>
          <xm:sqref>N64:AK64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48271-EB81-4A65-BD45-1107FA09CDD5}">
  <sheetPr codeName="Planilha23">
    <tabColor theme="8" tint="0.59999389629810485"/>
  </sheetPr>
  <dimension ref="A1:AR97"/>
  <sheetViews>
    <sheetView showGridLines="0" topLeftCell="D1" workbookViewId="0">
      <selection activeCell="D1" sqref="D1"/>
    </sheetView>
  </sheetViews>
  <sheetFormatPr defaultColWidth="0" defaultRowHeight="15" customHeight="1" zeroHeight="1" x14ac:dyDescent="0.25"/>
  <cols>
    <col min="1" max="3" width="2.7109375" style="20" hidden="1" customWidth="1"/>
    <col min="4" max="5" width="2.7109375" style="20" customWidth="1"/>
    <col min="6" max="13" width="4.7109375" style="20" customWidth="1"/>
    <col min="14" max="14" width="5.7109375" style="20" customWidth="1"/>
    <col min="15" max="36" width="4.7109375" style="20" customWidth="1"/>
    <col min="37" max="44" width="5.28515625" style="20" customWidth="1"/>
    <col min="45" max="16384" width="9.140625" style="20" hidden="1"/>
  </cols>
  <sheetData>
    <row r="1" spans="1:44" x14ac:dyDescent="0.25">
      <c r="A1" s="18"/>
      <c r="B1" s="18"/>
      <c r="C1" s="18"/>
      <c r="D1" s="7"/>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5" customHeight="1" x14ac:dyDescent="0.25">
      <c r="A2" s="18"/>
      <c r="B2" s="18"/>
      <c r="C2" s="18"/>
      <c r="D2" s="7"/>
      <c r="E2" s="2"/>
      <c r="F2" s="1148" t="s">
        <v>6052</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c r="AO2" s="2"/>
      <c r="AP2" s="2"/>
      <c r="AQ2" s="2"/>
      <c r="AR2" s="2"/>
    </row>
    <row r="3" spans="1:44"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c r="AO3" s="2"/>
      <c r="AP3" s="2"/>
      <c r="AQ3" s="2"/>
      <c r="AR3" s="2"/>
    </row>
    <row r="4" spans="1:44"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c r="AO4" s="2"/>
      <c r="AP4" s="2"/>
      <c r="AQ4" s="2"/>
      <c r="AR4" s="2"/>
    </row>
    <row r="5" spans="1:44"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c r="AO5" s="2"/>
      <c r="AP5" s="2"/>
      <c r="AQ5" s="2"/>
      <c r="AR5" s="2"/>
    </row>
    <row r="6" spans="1:44"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c r="AO6" s="2"/>
      <c r="AP6" s="2"/>
      <c r="AQ6" s="2"/>
      <c r="AR6" s="73"/>
    </row>
    <row r="7" spans="1:44" ht="20.100000000000001" customHeight="1" x14ac:dyDescent="0.25">
      <c r="A7" s="18"/>
      <c r="B7" s="18"/>
      <c r="C7" s="18"/>
      <c r="D7" s="7"/>
      <c r="E7" s="158"/>
      <c r="F7" s="1024" t="str">
        <f ca="1">Alertas!S13</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row>
    <row r="8" spans="1:44" ht="15" customHeight="1" x14ac:dyDescent="0.25">
      <c r="A8" s="18"/>
      <c r="B8" s="18"/>
      <c r="C8" s="18"/>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row>
    <row r="9" spans="1:44"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39.950000000000003" customHeight="1" x14ac:dyDescent="0.25">
      <c r="A10" s="18"/>
      <c r="B10" s="18"/>
      <c r="C10" s="18"/>
      <c r="D10" s="7"/>
      <c r="E10" s="2"/>
      <c r="F10" s="1049" t="s">
        <v>6535</v>
      </c>
      <c r="G10" s="1050"/>
      <c r="H10" s="1050"/>
      <c r="I10" s="1050"/>
      <c r="J10" s="1050"/>
      <c r="K10" s="1050"/>
      <c r="L10" s="1050"/>
      <c r="M10" s="1051"/>
      <c r="N10" s="1218"/>
      <c r="O10" s="1219"/>
      <c r="P10" s="1219"/>
      <c r="Q10" s="1219"/>
      <c r="R10" s="1219"/>
      <c r="S10" s="1220"/>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4" ht="15" customHeight="1" x14ac:dyDescent="0.25">
      <c r="A11" s="18"/>
      <c r="B11" s="18"/>
      <c r="C11" s="18"/>
      <c r="D11" s="7"/>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4" ht="15" customHeight="1" x14ac:dyDescent="0.25">
      <c r="A12" s="18"/>
      <c r="B12" s="18"/>
      <c r="C12" s="18"/>
      <c r="D12" s="7"/>
      <c r="E12" s="2"/>
      <c r="F12" s="166" t="s">
        <v>6536</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4" ht="15" customHeight="1" x14ac:dyDescent="0.25">
      <c r="A13" s="18"/>
      <c r="B13" s="18"/>
      <c r="C13" s="18"/>
      <c r="D13" s="7"/>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4" ht="15" customHeight="1" x14ac:dyDescent="0.25">
      <c r="A14" s="18"/>
      <c r="B14" s="18"/>
      <c r="C14" s="18"/>
      <c r="D14" s="7"/>
      <c r="E14" s="2"/>
      <c r="F14" s="2"/>
      <c r="G14" s="1221" t="s">
        <v>6519</v>
      </c>
      <c r="H14" s="1221"/>
      <c r="I14" s="1221"/>
      <c r="J14" s="1221"/>
      <c r="K14" s="1221"/>
      <c r="L14" s="1221"/>
      <c r="M14" s="1221"/>
      <c r="N14" s="1221"/>
      <c r="O14" s="1221"/>
      <c r="P14" s="1221"/>
      <c r="Q14" s="1221"/>
      <c r="R14" s="1221" t="s">
        <v>7797</v>
      </c>
      <c r="S14" s="1221"/>
      <c r="T14" s="1221"/>
      <c r="U14" s="1221"/>
      <c r="V14" s="1221"/>
      <c r="W14" s="1221"/>
      <c r="X14" s="1221"/>
      <c r="Y14" s="1221"/>
      <c r="Z14" s="1221"/>
      <c r="AA14" s="1221"/>
      <c r="AB14" s="1221"/>
      <c r="AC14" s="1221"/>
      <c r="AD14" s="1221"/>
      <c r="AE14" s="1221"/>
      <c r="AF14" s="1221"/>
      <c r="AG14" s="1221"/>
      <c r="AH14" s="1221"/>
      <c r="AI14" s="1221"/>
      <c r="AJ14" s="1221" t="s">
        <v>6538</v>
      </c>
      <c r="AK14" s="1221"/>
      <c r="AL14" s="1221"/>
      <c r="AM14" s="1221"/>
      <c r="AN14" s="2"/>
      <c r="AO14" s="2"/>
      <c r="AP14" s="2"/>
      <c r="AQ14" s="2"/>
      <c r="AR14" s="2"/>
    </row>
    <row r="15" spans="1:44" ht="39.950000000000003" customHeight="1" x14ac:dyDescent="0.25">
      <c r="A15" s="18"/>
      <c r="B15" s="18"/>
      <c r="C15" s="18"/>
      <c r="D15" s="7"/>
      <c r="E15" s="2"/>
      <c r="F15" s="193" t="s">
        <v>152</v>
      </c>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6"/>
      <c r="AK15" s="1216"/>
      <c r="AL15" s="1216"/>
      <c r="AM15" s="1216"/>
      <c r="AN15" s="2"/>
      <c r="AO15" s="2"/>
      <c r="AP15" s="2"/>
      <c r="AQ15" s="2"/>
      <c r="AR15" s="2"/>
    </row>
    <row r="16" spans="1:44" ht="39.950000000000003" customHeight="1" x14ac:dyDescent="0.25">
      <c r="A16" s="18"/>
      <c r="B16" s="18"/>
      <c r="C16" s="18"/>
      <c r="D16" s="7"/>
      <c r="E16" s="2"/>
      <c r="F16" s="193" t="s">
        <v>153</v>
      </c>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6"/>
      <c r="AK16" s="1216"/>
      <c r="AL16" s="1216"/>
      <c r="AM16" s="1216"/>
      <c r="AN16" s="2"/>
      <c r="AO16" s="2"/>
      <c r="AP16" s="2"/>
      <c r="AQ16" s="2"/>
      <c r="AR16" s="2"/>
    </row>
    <row r="17" spans="1:44" ht="39.950000000000003" customHeight="1" x14ac:dyDescent="0.25">
      <c r="A17" s="18"/>
      <c r="B17" s="18"/>
      <c r="C17" s="18"/>
      <c r="D17" s="7"/>
      <c r="E17" s="2"/>
      <c r="F17" s="193" t="s">
        <v>154</v>
      </c>
      <c r="G17" s="1217"/>
      <c r="H17" s="1217"/>
      <c r="I17" s="1217"/>
      <c r="J17" s="1217"/>
      <c r="K17" s="1217"/>
      <c r="L17" s="1217"/>
      <c r="M17" s="1217"/>
      <c r="N17" s="1217"/>
      <c r="O17" s="1217"/>
      <c r="P17" s="1217"/>
      <c r="Q17" s="1217"/>
      <c r="R17" s="1217"/>
      <c r="S17" s="1217"/>
      <c r="T17" s="1217"/>
      <c r="U17" s="1217"/>
      <c r="V17" s="1217"/>
      <c r="W17" s="1217"/>
      <c r="X17" s="1217"/>
      <c r="Y17" s="1217"/>
      <c r="Z17" s="1217"/>
      <c r="AA17" s="1217"/>
      <c r="AB17" s="1217"/>
      <c r="AC17" s="1217"/>
      <c r="AD17" s="1217"/>
      <c r="AE17" s="1217"/>
      <c r="AF17" s="1217"/>
      <c r="AG17" s="1217"/>
      <c r="AH17" s="1217"/>
      <c r="AI17" s="1217"/>
      <c r="AJ17" s="1216"/>
      <c r="AK17" s="1216"/>
      <c r="AL17" s="1216"/>
      <c r="AM17" s="1216"/>
      <c r="AN17" s="2"/>
      <c r="AO17" s="2"/>
      <c r="AP17" s="2"/>
      <c r="AQ17" s="2"/>
      <c r="AR17" s="2"/>
    </row>
    <row r="18" spans="1:44" ht="20.100000000000001" hidden="1" customHeight="1" x14ac:dyDescent="0.25">
      <c r="A18" s="18"/>
      <c r="B18" s="18"/>
      <c r="C18" s="18"/>
      <c r="D18" s="7"/>
      <c r="E18" s="2"/>
      <c r="AP18" s="2"/>
      <c r="AQ18" s="2"/>
      <c r="AR18" s="2"/>
    </row>
    <row r="19" spans="1:44" ht="20.100000000000001" hidden="1" customHeight="1" x14ac:dyDescent="0.25">
      <c r="A19" s="18"/>
      <c r="B19" s="18"/>
      <c r="C19" s="18"/>
      <c r="D19" s="7"/>
      <c r="E19" s="2"/>
      <c r="AP19" s="2"/>
      <c r="AQ19" s="2"/>
      <c r="AR19" s="2"/>
    </row>
    <row r="20" spans="1:44" ht="15" customHeight="1" x14ac:dyDescent="0.25">
      <c r="A20" s="18"/>
      <c r="B20" s="18"/>
      <c r="C20" s="18"/>
      <c r="D20" s="7"/>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15" customHeight="1" x14ac:dyDescent="0.25">
      <c r="A21" s="18"/>
      <c r="B21" s="18"/>
      <c r="C21" s="18"/>
      <c r="D21" s="7"/>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15" customHeight="1" x14ac:dyDescent="0.25">
      <c r="A22" s="18"/>
      <c r="B22" s="18"/>
      <c r="C22" s="18"/>
      <c r="D22" s="7"/>
      <c r="E22" s="2"/>
      <c r="F22" s="194" t="s">
        <v>143</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50.1" customHeight="1" x14ac:dyDescent="0.25">
      <c r="A23" s="18"/>
      <c r="B23" s="18"/>
      <c r="C23" s="18"/>
      <c r="D23" s="7"/>
      <c r="E23" s="2"/>
      <c r="F23" s="1222"/>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4"/>
      <c r="AN23" s="2"/>
      <c r="AO23" s="2"/>
      <c r="AP23" s="2"/>
      <c r="AQ23" s="2"/>
      <c r="AR23" s="2"/>
    </row>
    <row r="24" spans="1:44" ht="15" customHeight="1" x14ac:dyDescent="0.25">
      <c r="A24" s="18"/>
      <c r="B24" s="18"/>
      <c r="C24" s="18"/>
      <c r="D24" s="7"/>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5" customHeight="1" x14ac:dyDescent="0.25">
      <c r="A25" s="18"/>
      <c r="B25" s="18"/>
      <c r="C25" s="18"/>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row>
    <row r="26" spans="1:44" ht="15" customHeight="1" x14ac:dyDescent="0.25">
      <c r="A26" s="18"/>
      <c r="B26" s="18"/>
      <c r="C26" s="18"/>
      <c r="D26" s="7"/>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30" customHeight="1" x14ac:dyDescent="0.25">
      <c r="A27" s="18"/>
      <c r="B27" s="18"/>
      <c r="C27" s="18"/>
      <c r="D27" s="7"/>
      <c r="E27" s="2"/>
      <c r="F27" s="1208" t="s">
        <v>6031</v>
      </c>
      <c r="G27" s="1208"/>
      <c r="H27" s="1208"/>
      <c r="I27" s="1208"/>
      <c r="J27" s="1208"/>
      <c r="K27" s="1208"/>
      <c r="L27" s="1208"/>
      <c r="M27" s="1208"/>
      <c r="N27" s="1209"/>
      <c r="O27" s="1209"/>
      <c r="P27" s="1209"/>
      <c r="Q27" s="1209"/>
      <c r="R27" s="1209"/>
      <c r="S27" s="1209"/>
      <c r="T27" s="2"/>
      <c r="U27" s="2"/>
      <c r="V27" s="2"/>
      <c r="W27" s="2"/>
      <c r="X27" s="2"/>
      <c r="Y27" s="2"/>
      <c r="Z27" s="2"/>
      <c r="AA27" s="2"/>
      <c r="AB27" s="2"/>
      <c r="AC27" s="2"/>
      <c r="AD27" s="2"/>
      <c r="AE27" s="2"/>
      <c r="AF27" s="2"/>
      <c r="AG27" s="2"/>
      <c r="AH27" s="2"/>
      <c r="AI27" s="2"/>
      <c r="AJ27" s="2"/>
      <c r="AK27" s="2"/>
      <c r="AL27" s="2"/>
      <c r="AM27" s="2"/>
      <c r="AN27" s="195"/>
      <c r="AO27" s="195"/>
      <c r="AP27" s="195"/>
      <c r="AQ27" s="195"/>
      <c r="AR27" s="195"/>
    </row>
    <row r="28" spans="1:44" ht="30" customHeight="1" x14ac:dyDescent="0.25">
      <c r="A28" s="18"/>
      <c r="B28" s="18"/>
      <c r="C28" s="18"/>
      <c r="D28" s="7"/>
      <c r="E28" s="2"/>
      <c r="G28" s="195"/>
      <c r="H28" s="195"/>
      <c r="I28" s="195"/>
      <c r="J28" s="195"/>
      <c r="K28" s="195"/>
      <c r="L28" s="195"/>
      <c r="M28" s="196"/>
      <c r="N28" s="197" t="s">
        <v>236</v>
      </c>
      <c r="O28" s="197"/>
      <c r="P28" s="197"/>
      <c r="Q28" s="197"/>
      <c r="R28" s="197"/>
      <c r="S28" s="197"/>
      <c r="T28" s="197"/>
      <c r="U28" s="197"/>
      <c r="V28" s="197"/>
      <c r="W28" s="197"/>
      <c r="X28" s="197"/>
      <c r="Y28" s="197"/>
      <c r="Z28" s="198"/>
      <c r="AA28" s="198"/>
      <c r="AB28" s="198"/>
      <c r="AC28" s="198"/>
      <c r="AD28" s="198"/>
      <c r="AE28" s="198"/>
      <c r="AF28" s="198"/>
      <c r="AG28" s="198"/>
      <c r="AH28" s="198"/>
      <c r="AI28" s="198"/>
      <c r="AJ28" s="198"/>
      <c r="AK28" s="198"/>
      <c r="AL28" s="198"/>
      <c r="AM28" s="198"/>
      <c r="AN28" s="195"/>
      <c r="AO28" s="195"/>
      <c r="AP28" s="195"/>
      <c r="AQ28" s="195"/>
      <c r="AR28" s="195"/>
    </row>
    <row r="29" spans="1:44" ht="39.950000000000003" customHeight="1" x14ac:dyDescent="0.25">
      <c r="A29" s="18"/>
      <c r="B29" s="18"/>
      <c r="C29" s="18"/>
      <c r="D29" s="7"/>
      <c r="E29" s="2"/>
      <c r="F29" s="1067" t="s">
        <v>40</v>
      </c>
      <c r="G29" s="1068"/>
      <c r="H29" s="1068"/>
      <c r="I29" s="1068"/>
      <c r="J29" s="1068"/>
      <c r="K29" s="1068"/>
      <c r="L29" s="1068"/>
      <c r="M29" s="199"/>
      <c r="N29" s="200"/>
      <c r="O29" s="1050" t="s">
        <v>227</v>
      </c>
      <c r="P29" s="1050"/>
      <c r="Q29" s="1050"/>
      <c r="R29" s="1050"/>
      <c r="S29" s="1050"/>
      <c r="T29" s="1050"/>
      <c r="U29" s="1050"/>
      <c r="V29" s="1050"/>
      <c r="W29" s="1050"/>
      <c r="X29" s="1050"/>
      <c r="Y29" s="1050"/>
      <c r="Z29" s="1050"/>
      <c r="AA29" s="1050"/>
      <c r="AB29" s="1050"/>
      <c r="AC29" s="1050"/>
      <c r="AD29" s="1050"/>
      <c r="AE29" s="1050"/>
      <c r="AF29" s="1050"/>
      <c r="AG29" s="1050"/>
      <c r="AH29" s="1050"/>
      <c r="AI29" s="1050"/>
      <c r="AJ29" s="1050"/>
      <c r="AK29" s="1050"/>
      <c r="AL29" s="1050"/>
      <c r="AM29" s="1051"/>
      <c r="AN29" s="195"/>
      <c r="AO29" s="195"/>
      <c r="AP29" s="195"/>
      <c r="AQ29" s="195"/>
      <c r="AR29" s="195"/>
    </row>
    <row r="30" spans="1:44" ht="39.950000000000003" customHeight="1" x14ac:dyDescent="0.25">
      <c r="A30" s="18"/>
      <c r="B30" s="18"/>
      <c r="C30" s="18"/>
      <c r="D30" s="7"/>
      <c r="E30" s="2"/>
      <c r="F30" s="1070"/>
      <c r="G30" s="1071"/>
      <c r="H30" s="1071"/>
      <c r="I30" s="1071"/>
      <c r="J30" s="1071"/>
      <c r="K30" s="1071"/>
      <c r="L30" s="1071"/>
      <c r="M30" s="191" t="s">
        <v>186</v>
      </c>
      <c r="N30" s="201"/>
      <c r="O30" s="1225" t="s">
        <v>5956</v>
      </c>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6"/>
      <c r="AN30" s="195"/>
      <c r="AO30" s="195"/>
      <c r="AP30" s="195"/>
      <c r="AQ30" s="195"/>
      <c r="AR30" s="195"/>
    </row>
    <row r="31" spans="1:44" ht="39.950000000000003" customHeight="1" x14ac:dyDescent="0.25">
      <c r="A31" s="18"/>
      <c r="B31" s="18"/>
      <c r="C31" s="18"/>
      <c r="D31" s="7"/>
      <c r="E31" s="2"/>
      <c r="F31" s="1073"/>
      <c r="G31" s="1074"/>
      <c r="H31" s="1074"/>
      <c r="I31" s="1074"/>
      <c r="J31" s="1074"/>
      <c r="K31" s="1074"/>
      <c r="L31" s="1074"/>
      <c r="M31" s="202"/>
      <c r="N31" s="179"/>
      <c r="O31" s="1210" t="s">
        <v>8</v>
      </c>
      <c r="P31" s="1210"/>
      <c r="Q31" s="1012" t="s">
        <v>41</v>
      </c>
      <c r="R31" s="1012"/>
      <c r="S31" s="1012"/>
      <c r="T31" s="1044"/>
      <c r="U31" s="1044"/>
      <c r="V31" s="1044"/>
      <c r="W31" s="1044"/>
      <c r="X31" s="1044"/>
      <c r="Y31" s="1044"/>
      <c r="Z31" s="1044"/>
      <c r="AA31" s="1044"/>
      <c r="AB31" s="1044"/>
      <c r="AC31" s="1044"/>
      <c r="AD31" s="1044"/>
      <c r="AE31" s="1044"/>
      <c r="AF31" s="1044"/>
      <c r="AG31" s="1044"/>
      <c r="AH31" s="1044"/>
      <c r="AI31" s="1044"/>
      <c r="AJ31" s="1044"/>
      <c r="AK31" s="1044"/>
      <c r="AL31" s="1044"/>
      <c r="AM31" s="1044"/>
      <c r="AN31" s="195"/>
      <c r="AO31" s="195"/>
      <c r="AP31" s="195"/>
      <c r="AQ31" s="195"/>
      <c r="AR31" s="195"/>
    </row>
    <row r="32" spans="1:44" ht="15" customHeight="1" x14ac:dyDescent="0.25">
      <c r="A32" s="18"/>
      <c r="B32" s="18"/>
      <c r="C32" s="18"/>
      <c r="D32" s="7"/>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15" customHeight="1" x14ac:dyDescent="0.25">
      <c r="A33" s="18"/>
      <c r="B33" s="18"/>
      <c r="C33" s="18"/>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row>
    <row r="34" spans="1:44" ht="15" customHeight="1" x14ac:dyDescent="0.25">
      <c r="A34" s="18"/>
      <c r="B34" s="18"/>
      <c r="C34" s="18"/>
      <c r="D34" s="7"/>
      <c r="E34" s="2"/>
      <c r="F34" s="70"/>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30" customHeight="1" x14ac:dyDescent="0.25">
      <c r="A35" s="18"/>
      <c r="B35" s="18"/>
      <c r="C35" s="18"/>
      <c r="D35" s="7"/>
      <c r="E35" s="2"/>
      <c r="F35" s="1149" t="s">
        <v>30</v>
      </c>
      <c r="G35" s="1094"/>
      <c r="H35" s="1094"/>
      <c r="I35" s="1094"/>
      <c r="J35" s="1094"/>
      <c r="K35" s="1094"/>
      <c r="L35" s="1104"/>
      <c r="M35" s="148" t="s">
        <v>186</v>
      </c>
      <c r="N35" s="1032"/>
      <c r="O35" s="1033"/>
      <c r="P35" s="1033"/>
      <c r="Q35" s="1033"/>
      <c r="R35" s="1033"/>
      <c r="S35" s="1033"/>
      <c r="T35" s="1033"/>
      <c r="U35" s="1033"/>
      <c r="V35" s="1033"/>
      <c r="W35" s="1033"/>
      <c r="X35" s="1033"/>
      <c r="Y35" s="1033"/>
      <c r="Z35" s="1034"/>
      <c r="AA35" s="1009" t="s">
        <v>294</v>
      </c>
      <c r="AB35" s="1009"/>
      <c r="AC35" s="1009"/>
      <c r="AD35" s="1041"/>
      <c r="AE35" s="148" t="s">
        <v>186</v>
      </c>
      <c r="AF35" s="1032"/>
      <c r="AG35" s="1033"/>
      <c r="AH35" s="1033"/>
      <c r="AI35" s="1033"/>
      <c r="AJ35" s="1034"/>
      <c r="AK35" s="2"/>
      <c r="AL35" s="2"/>
      <c r="AM35" s="2"/>
      <c r="AN35" s="2"/>
      <c r="AO35" s="49"/>
      <c r="AP35" s="49"/>
      <c r="AQ35" s="49"/>
      <c r="AR35" s="49"/>
    </row>
    <row r="36" spans="1:44" ht="60" customHeight="1" x14ac:dyDescent="0.25">
      <c r="A36" s="18"/>
      <c r="B36" s="18"/>
      <c r="C36" s="18"/>
      <c r="D36" s="7"/>
      <c r="E36" s="2"/>
      <c r="F36" s="1008" t="s">
        <v>7300</v>
      </c>
      <c r="G36" s="1009"/>
      <c r="H36" s="1009"/>
      <c r="I36" s="1009"/>
      <c r="J36" s="1009"/>
      <c r="K36" s="1009"/>
      <c r="L36" s="1041"/>
      <c r="M36" s="148" t="s">
        <v>186</v>
      </c>
      <c r="N36" s="1032"/>
      <c r="O36" s="1033"/>
      <c r="P36" s="1033"/>
      <c r="Q36" s="1033"/>
      <c r="R36" s="1033"/>
      <c r="S36" s="1033"/>
      <c r="T36" s="1033"/>
      <c r="U36" s="1033"/>
      <c r="V36" s="1033"/>
      <c r="W36" s="1033"/>
      <c r="X36" s="1033"/>
      <c r="Y36" s="1033"/>
      <c r="Z36" s="1033"/>
      <c r="AA36" s="1033"/>
      <c r="AB36" s="1033"/>
      <c r="AC36" s="1033"/>
      <c r="AD36" s="1033"/>
      <c r="AE36" s="1033"/>
      <c r="AF36" s="1033"/>
      <c r="AG36" s="1033"/>
      <c r="AH36" s="1033"/>
      <c r="AI36" s="1033"/>
      <c r="AJ36" s="1034"/>
      <c r="AK36" s="1158" t="s">
        <v>271</v>
      </c>
      <c r="AL36" s="1159"/>
      <c r="AM36" s="1159"/>
      <c r="AN36" s="1159"/>
      <c r="AO36" s="49"/>
      <c r="AP36" s="49"/>
      <c r="AQ36" s="49"/>
      <c r="AR36" s="49"/>
    </row>
    <row r="37" spans="1:44" ht="20.100000000000001" customHeight="1" x14ac:dyDescent="0.25">
      <c r="A37" s="18"/>
      <c r="B37" s="18"/>
      <c r="C37" s="18"/>
      <c r="D37" s="7"/>
      <c r="E37" s="2"/>
      <c r="F37" s="1008" t="s">
        <v>6029</v>
      </c>
      <c r="G37" s="1009"/>
      <c r="H37" s="1009"/>
      <c r="I37" s="1009"/>
      <c r="J37" s="1009"/>
      <c r="K37" s="1009"/>
      <c r="L37" s="1041"/>
      <c r="M37" s="148" t="s">
        <v>186</v>
      </c>
      <c r="N37" s="1147"/>
      <c r="O37" s="1096"/>
      <c r="P37" s="1096"/>
      <c r="Q37" s="1096"/>
      <c r="R37" s="1096"/>
      <c r="S37" s="1097"/>
      <c r="T37" s="203"/>
      <c r="U37" s="203"/>
      <c r="V37" s="203"/>
      <c r="W37" s="203"/>
      <c r="X37" s="203"/>
      <c r="Y37" s="203"/>
      <c r="Z37" s="203"/>
      <c r="AA37" s="203"/>
      <c r="AB37" s="203"/>
      <c r="AC37" s="203"/>
      <c r="AD37" s="203"/>
      <c r="AE37" s="203"/>
      <c r="AF37" s="203"/>
      <c r="AG37" s="203"/>
      <c r="AH37" s="203"/>
      <c r="AI37" s="175"/>
      <c r="AJ37" s="175"/>
      <c r="AK37" s="175"/>
      <c r="AL37" s="175"/>
      <c r="AM37" s="175"/>
      <c r="AN37" s="161"/>
      <c r="AO37" s="161"/>
      <c r="AP37" s="161"/>
      <c r="AQ37" s="161"/>
      <c r="AR37" s="161"/>
    </row>
    <row r="38" spans="1:44" ht="20.100000000000001" customHeight="1" x14ac:dyDescent="0.25">
      <c r="A38" s="18"/>
      <c r="B38" s="18"/>
      <c r="C38" s="18"/>
      <c r="D38" s="7"/>
      <c r="E38" s="2"/>
      <c r="F38" s="1149" t="s">
        <v>218</v>
      </c>
      <c r="G38" s="1094"/>
      <c r="H38" s="1094"/>
      <c r="I38" s="1094"/>
      <c r="J38" s="1094"/>
      <c r="K38" s="1094"/>
      <c r="L38" s="1104"/>
      <c r="M38" s="148" t="s">
        <v>186</v>
      </c>
      <c r="N38" s="1243"/>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5"/>
      <c r="AK38" s="2"/>
      <c r="AL38" s="2"/>
      <c r="AM38" s="2"/>
      <c r="AN38" s="2"/>
      <c r="AO38" s="2"/>
      <c r="AP38" s="2"/>
      <c r="AQ38" s="2"/>
      <c r="AR38" s="2"/>
    </row>
    <row r="39" spans="1:44" ht="20.100000000000001" customHeight="1" x14ac:dyDescent="0.25">
      <c r="A39" s="18"/>
      <c r="B39" s="18"/>
      <c r="C39" s="18"/>
      <c r="D39" s="7"/>
      <c r="E39" s="2"/>
      <c r="F39" s="1149" t="s">
        <v>311</v>
      </c>
      <c r="G39" s="1094"/>
      <c r="H39" s="1094"/>
      <c r="I39" s="1094"/>
      <c r="J39" s="1094"/>
      <c r="K39" s="1094"/>
      <c r="L39" s="1094"/>
      <c r="M39" s="1150"/>
      <c r="N39" s="1243"/>
      <c r="O39" s="1244"/>
      <c r="P39" s="1244"/>
      <c r="Q39" s="1244"/>
      <c r="R39" s="1244"/>
      <c r="S39" s="1244"/>
      <c r="T39" s="1244"/>
      <c r="U39" s="1244"/>
      <c r="V39" s="1244"/>
      <c r="W39" s="1244"/>
      <c r="X39" s="1244"/>
      <c r="Y39" s="1244"/>
      <c r="Z39" s="1244"/>
      <c r="AA39" s="1244"/>
      <c r="AB39" s="1244"/>
      <c r="AC39" s="1244"/>
      <c r="AD39" s="1244"/>
      <c r="AE39" s="1244"/>
      <c r="AF39" s="1244"/>
      <c r="AG39" s="1244"/>
      <c r="AH39" s="1244"/>
      <c r="AI39" s="1244"/>
      <c r="AJ39" s="1245"/>
      <c r="AK39" s="163"/>
      <c r="AL39" s="163"/>
      <c r="AM39" s="163"/>
      <c r="AN39" s="163"/>
      <c r="AO39" s="163"/>
      <c r="AP39" s="163"/>
      <c r="AQ39" s="163"/>
      <c r="AR39" s="163"/>
    </row>
    <row r="40" spans="1:44" ht="30" customHeight="1" x14ac:dyDescent="0.25">
      <c r="A40" s="18"/>
      <c r="B40" s="18"/>
      <c r="C40" s="18"/>
      <c r="D40" s="7"/>
      <c r="E40" s="2"/>
      <c r="F40" s="1008" t="s">
        <v>7301</v>
      </c>
      <c r="G40" s="1009"/>
      <c r="H40" s="1009"/>
      <c r="I40" s="1009"/>
      <c r="J40" s="1009"/>
      <c r="K40" s="1009"/>
      <c r="L40" s="1009"/>
      <c r="M40" s="1010"/>
      <c r="N40" s="1181" t="s">
        <v>6030</v>
      </c>
      <c r="O40" s="1182"/>
      <c r="P40" s="1183"/>
      <c r="Q40" s="148" t="s">
        <v>186</v>
      </c>
      <c r="R40" s="999"/>
      <c r="S40" s="1000"/>
      <c r="T40" s="1000"/>
      <c r="U40" s="1000"/>
      <c r="V40" s="1000"/>
      <c r="W40" s="1000"/>
      <c r="X40" s="1001"/>
      <c r="Y40" s="1073" t="s">
        <v>31</v>
      </c>
      <c r="Z40" s="1074"/>
      <c r="AA40" s="1074"/>
      <c r="AB40" s="1075"/>
      <c r="AC40" s="148" t="s">
        <v>186</v>
      </c>
      <c r="AD40" s="999"/>
      <c r="AE40" s="1000"/>
      <c r="AF40" s="1000"/>
      <c r="AG40" s="1000"/>
      <c r="AH40" s="1000"/>
      <c r="AI40" s="1000"/>
      <c r="AJ40" s="1001"/>
      <c r="AK40" s="164"/>
      <c r="AL40" s="164"/>
      <c r="AM40" s="164"/>
      <c r="AN40" s="164"/>
      <c r="AO40" s="164"/>
      <c r="AP40" s="164"/>
      <c r="AQ40" s="164"/>
      <c r="AR40" s="164"/>
    </row>
    <row r="41" spans="1:44" ht="20.100000000000001" customHeight="1" x14ac:dyDescent="0.25">
      <c r="A41" s="18"/>
      <c r="B41" s="18"/>
      <c r="C41" s="18"/>
      <c r="D41" s="7"/>
      <c r="E41" s="2"/>
      <c r="F41" s="1008" t="s">
        <v>5720</v>
      </c>
      <c r="G41" s="1009"/>
      <c r="H41" s="1009"/>
      <c r="I41" s="1009"/>
      <c r="J41" s="1009"/>
      <c r="K41" s="1009"/>
      <c r="L41" s="1009"/>
      <c r="M41" s="148" t="s">
        <v>186</v>
      </c>
      <c r="N41" s="1136"/>
      <c r="O41" s="1090"/>
      <c r="P41" s="1090"/>
      <c r="Q41" s="1090"/>
      <c r="R41" s="1091"/>
      <c r="S41" s="109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20.100000000000001" customHeight="1" x14ac:dyDescent="0.25">
      <c r="A42" s="18"/>
      <c r="B42" s="18"/>
      <c r="C42" s="18"/>
      <c r="D42" s="7"/>
      <c r="E42" s="2"/>
      <c r="F42" s="1149" t="s">
        <v>85</v>
      </c>
      <c r="G42" s="1094"/>
      <c r="H42" s="1094"/>
      <c r="I42" s="1094"/>
      <c r="J42" s="1094"/>
      <c r="K42" s="1094"/>
      <c r="L42" s="1104"/>
      <c r="M42" s="148" t="s">
        <v>186</v>
      </c>
      <c r="N42" s="1246" t="s">
        <v>310</v>
      </c>
      <c r="O42" s="1247"/>
      <c r="P42" s="1247"/>
      <c r="Q42" s="1247"/>
      <c r="R42" s="1247"/>
      <c r="S42" s="1248"/>
      <c r="T42" s="1008" t="s">
        <v>235</v>
      </c>
      <c r="U42" s="1009"/>
      <c r="V42" s="1009"/>
      <c r="W42" s="1009"/>
      <c r="X42" s="1009"/>
      <c r="Y42" s="1009"/>
      <c r="Z42" s="1009"/>
      <c r="AA42" s="148" t="s">
        <v>186</v>
      </c>
      <c r="AB42" s="1130"/>
      <c r="AC42" s="1131"/>
      <c r="AD42" s="1131"/>
      <c r="AE42" s="1131"/>
      <c r="AF42" s="1131"/>
      <c r="AG42" s="1131"/>
      <c r="AH42" s="1131"/>
      <c r="AI42" s="1131"/>
      <c r="AJ42" s="1132"/>
      <c r="AK42" s="49"/>
      <c r="AL42" s="49"/>
      <c r="AM42" s="49"/>
      <c r="AN42" s="49"/>
      <c r="AO42" s="49"/>
      <c r="AP42" s="49"/>
      <c r="AQ42" s="49"/>
      <c r="AR42" s="49"/>
    </row>
    <row r="43" spans="1:44" ht="20.100000000000001" customHeight="1" x14ac:dyDescent="0.25">
      <c r="A43" s="18"/>
      <c r="B43" s="18"/>
      <c r="C43" s="18"/>
      <c r="D43" s="7"/>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49"/>
      <c r="AL43" s="49"/>
      <c r="AM43" s="49"/>
      <c r="AN43" s="49"/>
      <c r="AO43" s="49"/>
      <c r="AP43" s="49"/>
      <c r="AQ43" s="49"/>
      <c r="AR43" s="49"/>
    </row>
    <row r="44" spans="1:44" ht="20.100000000000001" customHeight="1" x14ac:dyDescent="0.25">
      <c r="A44" s="18"/>
      <c r="B44" s="18"/>
      <c r="C44" s="18"/>
      <c r="D44" s="7"/>
      <c r="E44" s="2"/>
      <c r="F44" s="1193" t="s">
        <v>312</v>
      </c>
      <c r="G44" s="1194"/>
      <c r="H44" s="1194"/>
      <c r="I44" s="1194"/>
      <c r="J44" s="1194"/>
      <c r="K44" s="1194"/>
      <c r="L44" s="1264"/>
      <c r="M44" s="204" t="s">
        <v>313</v>
      </c>
      <c r="N44" s="1058"/>
      <c r="O44" s="1059"/>
      <c r="P44" s="1059"/>
      <c r="Q44" s="1059"/>
      <c r="R44" s="1059"/>
      <c r="S44" s="1060"/>
      <c r="T44" s="1259"/>
      <c r="U44" s="1260"/>
      <c r="V44" s="1261"/>
      <c r="W44" s="2"/>
      <c r="X44" s="2"/>
      <c r="Y44" s="2"/>
      <c r="Z44" s="2"/>
      <c r="AA44" s="2"/>
      <c r="AB44" s="2"/>
      <c r="AC44" s="2"/>
      <c r="AD44" s="2"/>
      <c r="AE44" s="2"/>
      <c r="AF44" s="2"/>
      <c r="AG44" s="2"/>
      <c r="AH44" s="2"/>
      <c r="AI44" s="2"/>
      <c r="AJ44" s="2"/>
      <c r="AK44" s="2"/>
      <c r="AL44" s="2"/>
      <c r="AM44" s="2"/>
      <c r="AN44" s="2"/>
      <c r="AO44" s="2"/>
      <c r="AP44" s="2"/>
      <c r="AQ44" s="2"/>
      <c r="AR44" s="2"/>
    </row>
    <row r="45" spans="1:44" ht="20.100000000000001" customHeight="1" x14ac:dyDescent="0.25">
      <c r="A45" s="18"/>
      <c r="B45" s="18"/>
      <c r="C45" s="18"/>
      <c r="D45" s="7"/>
      <c r="E45" s="2"/>
      <c r="F45" s="1149" t="s">
        <v>60</v>
      </c>
      <c r="G45" s="1094"/>
      <c r="H45" s="1094"/>
      <c r="I45" s="1094"/>
      <c r="J45" s="1094"/>
      <c r="K45" s="1094"/>
      <c r="L45" s="1104"/>
      <c r="M45" s="148" t="s">
        <v>186</v>
      </c>
      <c r="N45" s="1213"/>
      <c r="O45" s="1214"/>
      <c r="P45" s="1214"/>
      <c r="Q45" s="1214"/>
      <c r="R45" s="1214"/>
      <c r="S45" s="1190"/>
      <c r="T45" s="205"/>
      <c r="U45" s="206" t="s">
        <v>322</v>
      </c>
      <c r="V45" s="207"/>
      <c r="W45" s="207"/>
      <c r="X45" s="207"/>
      <c r="Y45" s="208"/>
      <c r="Z45" s="1058"/>
      <c r="AA45" s="1059"/>
      <c r="AB45" s="1060"/>
      <c r="AC45" s="2"/>
      <c r="AD45" s="2"/>
      <c r="AE45" s="2"/>
      <c r="AF45" s="2"/>
      <c r="AG45" s="2"/>
      <c r="AH45" s="2"/>
      <c r="AI45" s="2"/>
      <c r="AJ45" s="2"/>
      <c r="AK45" s="2"/>
      <c r="AL45" s="2"/>
      <c r="AM45" s="2"/>
      <c r="AN45" s="2"/>
      <c r="AO45" s="2"/>
      <c r="AP45" s="2"/>
      <c r="AQ45" s="2"/>
      <c r="AR45" s="2"/>
    </row>
    <row r="46" spans="1:44" ht="20.100000000000001" hidden="1" customHeight="1" x14ac:dyDescent="0.25">
      <c r="A46" s="18"/>
      <c r="B46" s="18"/>
      <c r="C46" s="18"/>
      <c r="D46" s="7"/>
      <c r="E46" s="2"/>
      <c r="AB46" s="2"/>
      <c r="AC46" s="2"/>
      <c r="AD46" s="2"/>
      <c r="AE46" s="2"/>
      <c r="AF46" s="2"/>
      <c r="AG46" s="2"/>
      <c r="AH46" s="2"/>
      <c r="AI46" s="2"/>
      <c r="AJ46" s="2"/>
      <c r="AK46" s="2"/>
      <c r="AL46" s="2"/>
      <c r="AM46" s="2"/>
      <c r="AN46" s="2"/>
      <c r="AO46" s="2"/>
      <c r="AP46" s="2"/>
      <c r="AQ46" s="2"/>
      <c r="AR46" s="2"/>
    </row>
    <row r="47" spans="1:44" ht="15" customHeight="1" x14ac:dyDescent="0.25">
      <c r="A47" s="18"/>
      <c r="B47" s="18"/>
      <c r="C47" s="18"/>
      <c r="D47" s="7"/>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ht="15" customHeight="1" x14ac:dyDescent="0.25">
      <c r="A48" s="18"/>
      <c r="B48" s="18"/>
      <c r="C48" s="18"/>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1"/>
    </row>
    <row r="49" spans="1:44" ht="15" customHeight="1" x14ac:dyDescent="0.25">
      <c r="A49" s="18"/>
      <c r="B49" s="18"/>
      <c r="C49" s="18"/>
      <c r="D49" s="7"/>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ht="20.100000000000001" customHeight="1" x14ac:dyDescent="0.25">
      <c r="A50" s="18"/>
      <c r="B50" s="18"/>
      <c r="C50" s="18"/>
      <c r="D50" s="7"/>
      <c r="E50" s="2"/>
      <c r="F50" s="209"/>
      <c r="G50" s="209"/>
      <c r="H50" s="209"/>
      <c r="I50" s="209"/>
      <c r="J50" s="210"/>
      <c r="K50" s="210"/>
      <c r="L50" s="210"/>
      <c r="M50" s="210"/>
      <c r="N50" s="210"/>
      <c r="O50" s="210"/>
      <c r="P50" s="210"/>
      <c r="Q50" s="210"/>
      <c r="R50" s="210"/>
      <c r="S50" s="210"/>
      <c r="T50" s="210"/>
      <c r="U50" s="210"/>
      <c r="V50" s="211" t="s">
        <v>61</v>
      </c>
      <c r="W50" s="209"/>
      <c r="X50" s="210"/>
      <c r="Y50" s="210"/>
      <c r="Z50" s="210"/>
      <c r="AA50" s="210"/>
      <c r="AB50" s="210"/>
      <c r="AC50" s="210"/>
      <c r="AD50" s="210"/>
      <c r="AE50" s="210"/>
      <c r="AF50" s="210"/>
      <c r="AG50" s="210"/>
      <c r="AH50" s="210"/>
      <c r="AI50" s="210"/>
      <c r="AJ50" s="210"/>
      <c r="AK50" s="210"/>
      <c r="AL50" s="210"/>
      <c r="AM50" s="210"/>
      <c r="AN50" s="210"/>
      <c r="AO50" s="210"/>
      <c r="AP50" s="210"/>
      <c r="AQ50" s="212"/>
      <c r="AR50" s="162"/>
    </row>
    <row r="51" spans="1:44" ht="20.100000000000001" customHeight="1" x14ac:dyDescent="0.25">
      <c r="A51" s="18"/>
      <c r="B51" s="18"/>
      <c r="C51" s="18"/>
      <c r="D51" s="7"/>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ht="30" customHeight="1" x14ac:dyDescent="0.25">
      <c r="A52" s="18"/>
      <c r="B52" s="18"/>
      <c r="C52" s="18"/>
      <c r="D52" s="7"/>
      <c r="E52" s="2"/>
      <c r="F52" s="1149" t="s">
        <v>305</v>
      </c>
      <c r="G52" s="1094"/>
      <c r="H52" s="1094"/>
      <c r="I52" s="1094"/>
      <c r="J52" s="1094"/>
      <c r="K52" s="1094"/>
      <c r="L52" s="1104"/>
      <c r="M52" s="148" t="s">
        <v>186</v>
      </c>
      <c r="N52" s="1058"/>
      <c r="O52" s="1059"/>
      <c r="P52" s="1060"/>
      <c r="Q52" s="213"/>
      <c r="R52" s="213"/>
      <c r="S52" s="213"/>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20.100000000000001" customHeight="1" x14ac:dyDescent="0.25">
      <c r="A53" s="18"/>
      <c r="B53" s="18"/>
      <c r="C53" s="18"/>
      <c r="D53" s="7"/>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ht="20.100000000000001" customHeight="1" x14ac:dyDescent="0.25">
      <c r="A54" s="18"/>
      <c r="B54" s="18"/>
      <c r="C54" s="18"/>
      <c r="D54" s="7"/>
      <c r="E54" s="2"/>
      <c r="F54" s="2"/>
      <c r="G54" s="2"/>
      <c r="H54" s="2"/>
      <c r="I54" s="2"/>
      <c r="J54" s="2"/>
      <c r="K54" s="2"/>
      <c r="L54" s="2"/>
      <c r="M54" s="2"/>
      <c r="N54" s="1262" t="s">
        <v>50</v>
      </c>
      <c r="O54" s="1262"/>
      <c r="P54" s="1262"/>
      <c r="Q54" s="1238"/>
      <c r="R54" s="1238"/>
      <c r="S54" s="1238"/>
      <c r="T54" s="1262"/>
      <c r="U54" s="1262"/>
      <c r="V54" s="1262" t="s">
        <v>51</v>
      </c>
      <c r="W54" s="1262"/>
      <c r="X54" s="1262"/>
      <c r="Y54" s="1238"/>
      <c r="Z54" s="1238"/>
      <c r="AA54" s="1238"/>
      <c r="AB54" s="1238"/>
      <c r="AC54" s="1238"/>
      <c r="AD54" s="1262" t="s">
        <v>52</v>
      </c>
      <c r="AE54" s="1262"/>
      <c r="AF54" s="1262"/>
      <c r="AG54" s="1238"/>
      <c r="AH54" s="1238"/>
      <c r="AI54" s="1238"/>
      <c r="AJ54" s="1238"/>
      <c r="AK54" s="1238"/>
      <c r="AL54" s="195"/>
      <c r="AM54" s="195"/>
      <c r="AN54" s="195"/>
      <c r="AO54" s="195"/>
      <c r="AP54" s="195"/>
      <c r="AQ54" s="2"/>
      <c r="AR54" s="2"/>
    </row>
    <row r="55" spans="1:44" ht="20.100000000000001" customHeight="1" x14ac:dyDescent="0.25">
      <c r="A55" s="18"/>
      <c r="B55" s="18"/>
      <c r="C55" s="18"/>
      <c r="D55" s="7"/>
      <c r="E55" s="2"/>
      <c r="F55" s="2"/>
      <c r="G55" s="2"/>
      <c r="H55" s="2"/>
      <c r="I55" s="2"/>
      <c r="J55" s="2"/>
      <c r="K55" s="2"/>
      <c r="L55" s="2"/>
      <c r="M55" s="2"/>
      <c r="N55" s="1236" t="s">
        <v>222</v>
      </c>
      <c r="O55" s="1235"/>
      <c r="P55" s="148" t="s">
        <v>186</v>
      </c>
      <c r="Q55" s="1256"/>
      <c r="R55" s="1257"/>
      <c r="S55" s="1257"/>
      <c r="T55" s="1257"/>
      <c r="U55" s="214"/>
      <c r="V55" s="1235" t="s">
        <v>222</v>
      </c>
      <c r="W55" s="1235"/>
      <c r="X55" s="148" t="s">
        <v>186</v>
      </c>
      <c r="Y55" s="1256"/>
      <c r="Z55" s="1257"/>
      <c r="AA55" s="1257"/>
      <c r="AB55" s="1257"/>
      <c r="AC55" s="214"/>
      <c r="AD55" s="1236" t="s">
        <v>222</v>
      </c>
      <c r="AE55" s="1235"/>
      <c r="AF55" s="148" t="s">
        <v>186</v>
      </c>
      <c r="AG55" s="1256"/>
      <c r="AH55" s="1257"/>
      <c r="AI55" s="1257"/>
      <c r="AJ55" s="1257"/>
      <c r="AK55" s="214"/>
      <c r="AL55" s="195"/>
      <c r="AM55" s="195"/>
      <c r="AN55" s="195"/>
      <c r="AO55" s="195"/>
      <c r="AP55" s="195"/>
      <c r="AQ55" s="2"/>
      <c r="AR55" s="2"/>
    </row>
    <row r="56" spans="1:44" ht="20.100000000000001" customHeight="1" x14ac:dyDescent="0.25">
      <c r="A56" s="18"/>
      <c r="B56" s="18"/>
      <c r="C56" s="18"/>
      <c r="D56" s="7"/>
      <c r="E56" s="2"/>
      <c r="F56" s="2"/>
      <c r="G56" s="2"/>
      <c r="H56" s="2"/>
      <c r="I56" s="2"/>
      <c r="J56" s="2"/>
      <c r="K56" s="2"/>
      <c r="M56" s="2"/>
      <c r="O56" s="2"/>
      <c r="P56" s="2"/>
      <c r="Q56" s="2"/>
      <c r="R56" s="2"/>
      <c r="S56" s="2"/>
      <c r="T56" s="2"/>
      <c r="U56" s="2"/>
      <c r="V56" s="2"/>
      <c r="W56" s="2"/>
      <c r="X56" s="2"/>
      <c r="Y56" s="2"/>
      <c r="Z56" s="2"/>
      <c r="AA56" s="2"/>
      <c r="AB56" s="2"/>
      <c r="AC56" s="2"/>
      <c r="AD56" s="2"/>
      <c r="AE56" s="2"/>
      <c r="AF56" s="2"/>
      <c r="AG56" s="2"/>
      <c r="AH56" s="2"/>
      <c r="AI56" s="2"/>
      <c r="AJ56" s="2"/>
      <c r="AK56" s="195"/>
      <c r="AL56" s="195"/>
      <c r="AM56" s="195"/>
      <c r="AN56" s="195"/>
      <c r="AO56" s="195"/>
      <c r="AP56" s="195"/>
      <c r="AQ56" s="2"/>
      <c r="AR56" s="2"/>
    </row>
    <row r="57" spans="1:44" ht="30" customHeight="1" x14ac:dyDescent="0.25">
      <c r="A57" s="18"/>
      <c r="B57" s="18"/>
      <c r="C57" s="18"/>
      <c r="D57" s="7"/>
      <c r="E57" s="2"/>
      <c r="F57" s="2"/>
      <c r="G57" s="2"/>
      <c r="H57" s="2"/>
      <c r="I57" s="2"/>
      <c r="J57" s="2"/>
      <c r="K57" s="2"/>
      <c r="L57" s="2"/>
      <c r="M57" s="2"/>
      <c r="N57" s="1229" t="s">
        <v>307</v>
      </c>
      <c r="O57" s="1230"/>
      <c r="P57" s="1230"/>
      <c r="Q57" s="1230"/>
      <c r="R57" s="1230"/>
      <c r="S57" s="1231"/>
      <c r="T57" s="1231" t="s">
        <v>306</v>
      </c>
      <c r="U57" s="1229"/>
      <c r="V57" s="1229" t="s">
        <v>307</v>
      </c>
      <c r="W57" s="1230"/>
      <c r="X57" s="1230"/>
      <c r="Y57" s="1230"/>
      <c r="Z57" s="1230"/>
      <c r="AA57" s="1231"/>
      <c r="AB57" s="1230" t="s">
        <v>306</v>
      </c>
      <c r="AC57" s="1231"/>
      <c r="AD57" s="1229" t="s">
        <v>307</v>
      </c>
      <c r="AE57" s="1230"/>
      <c r="AF57" s="1230"/>
      <c r="AG57" s="1230"/>
      <c r="AH57" s="1230"/>
      <c r="AI57" s="1231"/>
      <c r="AJ57" s="1230" t="s">
        <v>306</v>
      </c>
      <c r="AK57" s="1231"/>
      <c r="AL57" s="1253" t="s">
        <v>231</v>
      </c>
      <c r="AM57" s="1254"/>
      <c r="AN57" s="1254"/>
      <c r="AO57" s="1254"/>
      <c r="AP57" s="1254"/>
      <c r="AQ57" s="1255"/>
      <c r="AR57" s="2"/>
    </row>
    <row r="58" spans="1:44" ht="24.95" customHeight="1" x14ac:dyDescent="0.25">
      <c r="A58" s="18"/>
      <c r="B58" s="18"/>
      <c r="C58" s="18"/>
      <c r="D58" s="7"/>
      <c r="E58" s="2"/>
      <c r="F58" s="1241"/>
      <c r="G58" s="1241"/>
      <c r="H58" s="1241"/>
      <c r="I58" s="216"/>
      <c r="J58" s="216"/>
      <c r="K58" s="216"/>
      <c r="L58" s="216"/>
      <c r="M58" s="216"/>
      <c r="N58" s="1234">
        <v>24</v>
      </c>
      <c r="O58" s="1234"/>
      <c r="P58" s="1234">
        <v>48</v>
      </c>
      <c r="Q58" s="1234"/>
      <c r="R58" s="1234">
        <v>72</v>
      </c>
      <c r="S58" s="1234"/>
      <c r="T58" s="1237" t="s">
        <v>308</v>
      </c>
      <c r="U58" s="1237"/>
      <c r="V58" s="1234">
        <v>24</v>
      </c>
      <c r="W58" s="1234"/>
      <c r="X58" s="1234">
        <v>48</v>
      </c>
      <c r="Y58" s="1234"/>
      <c r="Z58" s="1234">
        <v>72</v>
      </c>
      <c r="AA58" s="1234"/>
      <c r="AB58" s="1242">
        <v>21</v>
      </c>
      <c r="AC58" s="1242"/>
      <c r="AD58" s="1234">
        <v>24</v>
      </c>
      <c r="AE58" s="1234"/>
      <c r="AF58" s="1234">
        <v>48</v>
      </c>
      <c r="AG58" s="1234"/>
      <c r="AH58" s="1234">
        <v>72</v>
      </c>
      <c r="AI58" s="1234"/>
      <c r="AJ58" s="1242">
        <v>21</v>
      </c>
      <c r="AK58" s="1242"/>
      <c r="AL58" s="1262" t="s">
        <v>50</v>
      </c>
      <c r="AM58" s="1262"/>
      <c r="AN58" s="1262" t="s">
        <v>51</v>
      </c>
      <c r="AO58" s="1262"/>
      <c r="AP58" s="1262" t="s">
        <v>52</v>
      </c>
      <c r="AQ58" s="1262"/>
      <c r="AR58" s="2"/>
    </row>
    <row r="59" spans="1:44" ht="24.95" customHeight="1" x14ac:dyDescent="0.25">
      <c r="A59" s="18"/>
      <c r="B59" s="18"/>
      <c r="C59" s="18"/>
      <c r="D59" s="7"/>
      <c r="E59" s="2"/>
      <c r="F59" s="1238" t="s">
        <v>62</v>
      </c>
      <c r="G59" s="1238"/>
      <c r="H59" s="1238"/>
      <c r="I59" s="1238" t="s">
        <v>63</v>
      </c>
      <c r="J59" s="1238"/>
      <c r="K59" s="1238"/>
      <c r="L59" s="1238"/>
      <c r="M59" s="1238"/>
      <c r="N59" s="1227"/>
      <c r="O59" s="1228"/>
      <c r="P59" s="1227"/>
      <c r="Q59" s="1228"/>
      <c r="R59" s="1227"/>
      <c r="S59" s="1228"/>
      <c r="T59" s="1232"/>
      <c r="U59" s="1233"/>
      <c r="V59" s="1227"/>
      <c r="W59" s="1228"/>
      <c r="X59" s="1227"/>
      <c r="Y59" s="1228"/>
      <c r="Z59" s="1227"/>
      <c r="AA59" s="1228"/>
      <c r="AB59" s="1232"/>
      <c r="AC59" s="1233"/>
      <c r="AD59" s="1227"/>
      <c r="AE59" s="1228"/>
      <c r="AF59" s="1227"/>
      <c r="AG59" s="1228"/>
      <c r="AH59" s="1227"/>
      <c r="AI59" s="1228"/>
      <c r="AJ59" s="1232"/>
      <c r="AK59" s="1233"/>
      <c r="AL59" s="1258">
        <f ca="1">'Calculos(2)'!Q159</f>
        <v>0</v>
      </c>
      <c r="AM59" s="1258"/>
      <c r="AN59" s="1258">
        <f ca="1">'Calculos(2)'!R159</f>
        <v>0</v>
      </c>
      <c r="AO59" s="1258"/>
      <c r="AP59" s="1258">
        <f ca="1">'Calculos(2)'!S159</f>
        <v>0</v>
      </c>
      <c r="AQ59" s="1258"/>
      <c r="AR59" s="2"/>
    </row>
    <row r="60" spans="1:44" ht="24.95" customHeight="1" x14ac:dyDescent="0.25">
      <c r="A60" s="18"/>
      <c r="B60" s="18"/>
      <c r="C60" s="18"/>
      <c r="D60" s="7"/>
      <c r="E60" s="2"/>
      <c r="F60" s="1238"/>
      <c r="G60" s="1238"/>
      <c r="H60" s="1238"/>
      <c r="I60" s="1238" t="s">
        <v>64</v>
      </c>
      <c r="J60" s="1238"/>
      <c r="K60" s="1238"/>
      <c r="L60" s="1238"/>
      <c r="M60" s="1238"/>
      <c r="N60" s="1227"/>
      <c r="O60" s="1228"/>
      <c r="P60" s="1227"/>
      <c r="Q60" s="1228"/>
      <c r="R60" s="1227"/>
      <c r="S60" s="1228"/>
      <c r="T60" s="1232"/>
      <c r="U60" s="1233"/>
      <c r="V60" s="1227"/>
      <c r="W60" s="1228"/>
      <c r="X60" s="1227"/>
      <c r="Y60" s="1228"/>
      <c r="Z60" s="1227"/>
      <c r="AA60" s="1228"/>
      <c r="AB60" s="1232"/>
      <c r="AC60" s="1233"/>
      <c r="AD60" s="1227"/>
      <c r="AE60" s="1228"/>
      <c r="AF60" s="1227"/>
      <c r="AG60" s="1228"/>
      <c r="AH60" s="1227"/>
      <c r="AI60" s="1228"/>
      <c r="AJ60" s="1232"/>
      <c r="AK60" s="1233"/>
      <c r="AL60" s="1263"/>
      <c r="AM60" s="1263"/>
      <c r="AN60" s="1263"/>
      <c r="AO60" s="1263"/>
      <c r="AP60" s="1263"/>
      <c r="AQ60" s="1263"/>
      <c r="AR60" s="2"/>
    </row>
    <row r="61" spans="1:44" ht="24.95" customHeight="1" x14ac:dyDescent="0.25">
      <c r="A61" s="18"/>
      <c r="B61" s="18"/>
      <c r="C61" s="18"/>
      <c r="D61" s="7"/>
      <c r="E61" s="2"/>
      <c r="F61" s="1238" t="s">
        <v>66</v>
      </c>
      <c r="G61" s="1238"/>
      <c r="H61" s="1238"/>
      <c r="I61" s="1238" t="s">
        <v>65</v>
      </c>
      <c r="J61" s="1238"/>
      <c r="K61" s="1238"/>
      <c r="L61" s="1238"/>
      <c r="M61" s="1238"/>
      <c r="N61" s="1227"/>
      <c r="O61" s="1228"/>
      <c r="P61" s="1227"/>
      <c r="Q61" s="1228"/>
      <c r="R61" s="1227"/>
      <c r="S61" s="1228"/>
      <c r="T61" s="1232"/>
      <c r="U61" s="1233"/>
      <c r="V61" s="1227"/>
      <c r="W61" s="1228"/>
      <c r="X61" s="1227"/>
      <c r="Y61" s="1228"/>
      <c r="Z61" s="1227"/>
      <c r="AA61" s="1228"/>
      <c r="AB61" s="1232"/>
      <c r="AC61" s="1233"/>
      <c r="AD61" s="1227"/>
      <c r="AE61" s="1228"/>
      <c r="AF61" s="1227"/>
      <c r="AG61" s="1228"/>
      <c r="AH61" s="1227"/>
      <c r="AI61" s="1228"/>
      <c r="AJ61" s="1232"/>
      <c r="AK61" s="1233"/>
      <c r="AL61" s="1258">
        <f ca="1">'Calculos(2)'!Q161</f>
        <v>0</v>
      </c>
      <c r="AM61" s="1258"/>
      <c r="AN61" s="1258">
        <f ca="1">'Calculos(2)'!R161</f>
        <v>0</v>
      </c>
      <c r="AO61" s="1258"/>
      <c r="AP61" s="1258">
        <f ca="1">'Calculos(2)'!S161</f>
        <v>0</v>
      </c>
      <c r="AQ61" s="1258"/>
      <c r="AR61" s="2"/>
    </row>
    <row r="62" spans="1:44" ht="24.95" customHeight="1" x14ac:dyDescent="0.25">
      <c r="A62" s="18"/>
      <c r="B62" s="18"/>
      <c r="C62" s="18"/>
      <c r="D62" s="7"/>
      <c r="E62" s="2"/>
      <c r="F62" s="1238" t="s">
        <v>69</v>
      </c>
      <c r="G62" s="1238"/>
      <c r="H62" s="1238"/>
      <c r="I62" s="1238" t="s">
        <v>67</v>
      </c>
      <c r="J62" s="1238"/>
      <c r="K62" s="1238"/>
      <c r="L62" s="1238"/>
      <c r="M62" s="1238"/>
      <c r="N62" s="1227"/>
      <c r="O62" s="1228"/>
      <c r="P62" s="1227"/>
      <c r="Q62" s="1228"/>
      <c r="R62" s="1227"/>
      <c r="S62" s="1228"/>
      <c r="T62" s="1232"/>
      <c r="U62" s="1233"/>
      <c r="V62" s="1227"/>
      <c r="W62" s="1228"/>
      <c r="X62" s="1227"/>
      <c r="Y62" s="1228"/>
      <c r="Z62" s="1227"/>
      <c r="AA62" s="1228"/>
      <c r="AB62" s="1232"/>
      <c r="AC62" s="1233"/>
      <c r="AD62" s="1227"/>
      <c r="AE62" s="1228"/>
      <c r="AF62" s="1227"/>
      <c r="AG62" s="1228"/>
      <c r="AH62" s="1227"/>
      <c r="AI62" s="1228"/>
      <c r="AJ62" s="1232"/>
      <c r="AK62" s="1233"/>
      <c r="AL62" s="1258">
        <f ca="1">'Calculos(2)'!Q162</f>
        <v>0</v>
      </c>
      <c r="AM62" s="1258"/>
      <c r="AN62" s="1258">
        <f ca="1">'Calculos(2)'!R162</f>
        <v>0</v>
      </c>
      <c r="AO62" s="1258"/>
      <c r="AP62" s="1258">
        <f ca="1">'Calculos(2)'!S162</f>
        <v>0</v>
      </c>
      <c r="AQ62" s="1258"/>
      <c r="AR62" s="2"/>
    </row>
    <row r="63" spans="1:44" ht="24.95" customHeight="1" x14ac:dyDescent="0.25">
      <c r="A63" s="18"/>
      <c r="B63" s="18"/>
      <c r="C63" s="18"/>
      <c r="D63" s="7"/>
      <c r="E63" s="2"/>
      <c r="F63" s="1238"/>
      <c r="G63" s="1238"/>
      <c r="H63" s="1238"/>
      <c r="I63" s="1238" t="s">
        <v>68</v>
      </c>
      <c r="J63" s="1238"/>
      <c r="K63" s="1238"/>
      <c r="L63" s="1238"/>
      <c r="M63" s="1238"/>
      <c r="N63" s="1227"/>
      <c r="O63" s="1228"/>
      <c r="P63" s="1227"/>
      <c r="Q63" s="1228"/>
      <c r="R63" s="1227"/>
      <c r="S63" s="1228"/>
      <c r="T63" s="1232"/>
      <c r="U63" s="1233"/>
      <c r="V63" s="1227"/>
      <c r="W63" s="1228"/>
      <c r="X63" s="1227"/>
      <c r="Y63" s="1228"/>
      <c r="Z63" s="1227"/>
      <c r="AA63" s="1228"/>
      <c r="AB63" s="1232"/>
      <c r="AC63" s="1233"/>
      <c r="AD63" s="1227"/>
      <c r="AE63" s="1228"/>
      <c r="AF63" s="1227"/>
      <c r="AG63" s="1228"/>
      <c r="AH63" s="1227"/>
      <c r="AI63" s="1228"/>
      <c r="AJ63" s="1232"/>
      <c r="AK63" s="1233"/>
      <c r="AL63" s="1258">
        <f ca="1">'Calculos(2)'!Q163</f>
        <v>0</v>
      </c>
      <c r="AM63" s="1258"/>
      <c r="AN63" s="1258">
        <f ca="1">'Calculos(2)'!R163</f>
        <v>0</v>
      </c>
      <c r="AO63" s="1258"/>
      <c r="AP63" s="1258">
        <f ca="1">'Calculos(2)'!S163</f>
        <v>0</v>
      </c>
      <c r="AQ63" s="1258"/>
      <c r="AR63" s="2"/>
    </row>
    <row r="64" spans="1:44" ht="24.95" customHeight="1" x14ac:dyDescent="0.25">
      <c r="A64" s="18"/>
      <c r="B64" s="18"/>
      <c r="C64" s="18"/>
      <c r="D64" s="7"/>
      <c r="E64" s="2"/>
      <c r="F64" s="1238" t="s">
        <v>71</v>
      </c>
      <c r="G64" s="1238"/>
      <c r="H64" s="1238"/>
      <c r="I64" s="1238" t="s">
        <v>70</v>
      </c>
      <c r="J64" s="1238"/>
      <c r="K64" s="1238"/>
      <c r="L64" s="1238"/>
      <c r="M64" s="1238"/>
      <c r="N64" s="1265"/>
      <c r="O64" s="1265"/>
      <c r="P64" s="1265"/>
      <c r="Q64" s="1265"/>
      <c r="R64" s="1265"/>
      <c r="S64" s="1265"/>
      <c r="T64" s="1266"/>
      <c r="U64" s="1266"/>
      <c r="V64" s="1265"/>
      <c r="W64" s="1265"/>
      <c r="X64" s="1265"/>
      <c r="Y64" s="1265"/>
      <c r="Z64" s="1265"/>
      <c r="AA64" s="1265"/>
      <c r="AB64" s="1266"/>
      <c r="AC64" s="1266"/>
      <c r="AD64" s="1265"/>
      <c r="AE64" s="1265"/>
      <c r="AF64" s="1265"/>
      <c r="AG64" s="1265"/>
      <c r="AH64" s="1265"/>
      <c r="AI64" s="1265"/>
      <c r="AJ64" s="1266"/>
      <c r="AK64" s="1266"/>
      <c r="AL64" s="1249" t="s">
        <v>7459</v>
      </c>
      <c r="AM64" s="1249"/>
      <c r="AN64" s="1249"/>
      <c r="AO64" s="1249"/>
      <c r="AP64" s="1249"/>
      <c r="AQ64" s="1249"/>
      <c r="AR64" s="2"/>
    </row>
    <row r="65" spans="1:44" ht="30" customHeight="1" x14ac:dyDescent="0.25">
      <c r="A65" s="18"/>
      <c r="B65" s="18"/>
      <c r="C65" s="18"/>
      <c r="D65" s="7"/>
      <c r="E65" s="2"/>
      <c r="F65" s="1238"/>
      <c r="G65" s="1238"/>
      <c r="H65" s="1238"/>
      <c r="I65" s="1238" t="s">
        <v>7460</v>
      </c>
      <c r="J65" s="1238"/>
      <c r="K65" s="1238"/>
      <c r="L65" s="1238"/>
      <c r="M65" s="1238"/>
      <c r="N65" s="1227"/>
      <c r="O65" s="1228"/>
      <c r="P65" s="1227"/>
      <c r="Q65" s="1228"/>
      <c r="R65" s="1227"/>
      <c r="S65" s="1228"/>
      <c r="T65" s="1232"/>
      <c r="U65" s="1233"/>
      <c r="V65" s="1227"/>
      <c r="W65" s="1228"/>
      <c r="X65" s="1227"/>
      <c r="Y65" s="1228"/>
      <c r="Z65" s="1227"/>
      <c r="AA65" s="1228"/>
      <c r="AB65" s="1232"/>
      <c r="AC65" s="1233"/>
      <c r="AD65" s="1227"/>
      <c r="AE65" s="1228"/>
      <c r="AF65" s="1227"/>
      <c r="AG65" s="1228"/>
      <c r="AH65" s="1227"/>
      <c r="AI65" s="1228"/>
      <c r="AJ65" s="1232"/>
      <c r="AK65" s="1233"/>
      <c r="AL65" s="1250"/>
      <c r="AM65" s="1250"/>
      <c r="AN65" s="1250"/>
      <c r="AO65" s="1250"/>
      <c r="AP65" s="1250"/>
      <c r="AQ65" s="1250"/>
      <c r="AR65" s="2"/>
    </row>
    <row r="66" spans="1:44" ht="20.100000000000001" customHeight="1" x14ac:dyDescent="0.25">
      <c r="A66" s="18"/>
      <c r="B66" s="18"/>
      <c r="C66" s="18"/>
      <c r="D66" s="7"/>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99.95" customHeight="1" x14ac:dyDescent="0.25">
      <c r="A67" s="18"/>
      <c r="B67" s="18"/>
      <c r="C67" s="18"/>
      <c r="D67" s="7"/>
      <c r="E67" s="2"/>
      <c r="F67" s="1049" t="s">
        <v>316</v>
      </c>
      <c r="G67" s="1050"/>
      <c r="H67" s="1050"/>
      <c r="I67" s="1050"/>
      <c r="J67" s="1050"/>
      <c r="K67" s="1050"/>
      <c r="L67" s="1239"/>
      <c r="M67" s="148" t="s">
        <v>186</v>
      </c>
      <c r="N67" s="1032"/>
      <c r="O67" s="1033"/>
      <c r="P67" s="1033"/>
      <c r="Q67" s="1033"/>
      <c r="R67" s="1033"/>
      <c r="S67" s="1033"/>
      <c r="T67" s="1033"/>
      <c r="U67" s="1033"/>
      <c r="V67" s="1033"/>
      <c r="W67" s="1033"/>
      <c r="X67" s="1033"/>
      <c r="Y67" s="1033"/>
      <c r="Z67" s="1033"/>
      <c r="AA67" s="1033"/>
      <c r="AB67" s="1033"/>
      <c r="AC67" s="1033"/>
      <c r="AD67" s="1033"/>
      <c r="AE67" s="1033"/>
      <c r="AF67" s="1033"/>
      <c r="AG67" s="1033"/>
      <c r="AH67" s="1033"/>
      <c r="AI67" s="1033"/>
      <c r="AJ67" s="1033"/>
      <c r="AK67" s="1033"/>
      <c r="AL67" s="1033"/>
      <c r="AM67" s="1034"/>
      <c r="AN67" s="1251" t="s">
        <v>271</v>
      </c>
      <c r="AO67" s="1252"/>
      <c r="AP67" s="1252"/>
      <c r="AQ67" s="1252"/>
      <c r="AR67" s="4"/>
    </row>
    <row r="68" spans="1:44" s="7" customFormat="1" ht="20.100000000000001" customHeight="1" x14ac:dyDescent="0.25">
      <c r="A68" s="18"/>
      <c r="B68" s="18"/>
      <c r="C68" s="18"/>
    </row>
    <row r="69" spans="1:44" ht="20.100000000000001" customHeight="1" x14ac:dyDescent="0.25">
      <c r="A69" s="18"/>
      <c r="B69" s="18"/>
      <c r="C69" s="18"/>
      <c r="D69" s="7"/>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4" ht="39.950000000000003" customHeight="1" x14ac:dyDescent="0.25">
      <c r="A70" s="18"/>
      <c r="B70" s="18"/>
      <c r="C70" s="18"/>
      <c r="D70" s="7"/>
      <c r="E70" s="2"/>
      <c r="F70" s="217"/>
      <c r="G70" s="51"/>
      <c r="H70" s="51"/>
      <c r="I70" s="51"/>
      <c r="J70" s="51"/>
      <c r="K70" s="51"/>
      <c r="L70" s="51"/>
      <c r="M70" s="219"/>
      <c r="N70" s="220"/>
      <c r="O70" s="1240" t="s">
        <v>203</v>
      </c>
      <c r="P70" s="1240"/>
      <c r="Q70" s="1240"/>
      <c r="R70" s="1240"/>
      <c r="S70" s="1240"/>
      <c r="T70" s="1240"/>
      <c r="U70" s="1240"/>
      <c r="V70" s="1240"/>
      <c r="W70" s="1240"/>
      <c r="X70" s="1240"/>
      <c r="Y70" s="1240"/>
      <c r="Z70" s="1240"/>
      <c r="AA70" s="1240"/>
      <c r="AB70" s="1240"/>
      <c r="AC70" s="1240"/>
      <c r="AD70" s="1240"/>
      <c r="AE70" s="1240"/>
      <c r="AF70" s="1240"/>
      <c r="AG70" s="1240"/>
      <c r="AH70" s="1240"/>
      <c r="AI70" s="1240"/>
      <c r="AJ70" s="1240"/>
      <c r="AK70" s="1240"/>
      <c r="AL70" s="1240"/>
      <c r="AM70" s="1240"/>
      <c r="AN70" s="221" t="s">
        <v>5923</v>
      </c>
    </row>
    <row r="71" spans="1:44" ht="39.950000000000003" customHeight="1" x14ac:dyDescent="0.25">
      <c r="A71" s="18"/>
      <c r="B71" s="18"/>
      <c r="C71" s="18"/>
      <c r="D71" s="7"/>
      <c r="E71" s="2"/>
      <c r="F71" s="1195" t="s">
        <v>324</v>
      </c>
      <c r="G71" s="1084"/>
      <c r="H71" s="1084"/>
      <c r="I71" s="1084"/>
      <c r="J71" s="1084"/>
      <c r="K71" s="1084"/>
      <c r="L71" s="1084"/>
      <c r="M71" s="191" t="s">
        <v>186</v>
      </c>
      <c r="N71" s="220"/>
      <c r="O71" s="1240" t="s">
        <v>204</v>
      </c>
      <c r="P71" s="1240"/>
      <c r="Q71" s="1240"/>
      <c r="R71" s="1240"/>
      <c r="S71" s="1240"/>
      <c r="T71" s="1240"/>
      <c r="U71" s="1240"/>
      <c r="V71" s="1240"/>
      <c r="W71" s="1240"/>
      <c r="X71" s="1240"/>
      <c r="Y71" s="1240"/>
      <c r="Z71" s="1240"/>
      <c r="AA71" s="1240"/>
      <c r="AB71" s="1240"/>
      <c r="AC71" s="1240"/>
      <c r="AD71" s="1240"/>
      <c r="AE71" s="1240"/>
      <c r="AF71" s="1240"/>
      <c r="AG71" s="1240"/>
      <c r="AH71" s="1240"/>
      <c r="AI71" s="1240"/>
      <c r="AJ71" s="1240"/>
      <c r="AK71" s="1240"/>
      <c r="AL71" s="1240"/>
      <c r="AM71" s="1240"/>
      <c r="AN71" s="221" t="s">
        <v>5923</v>
      </c>
    </row>
    <row r="72" spans="1:44" ht="50.1" customHeight="1" x14ac:dyDescent="0.25">
      <c r="A72" s="18"/>
      <c r="B72" s="18"/>
      <c r="C72" s="18"/>
      <c r="D72" s="7"/>
      <c r="E72" s="2"/>
      <c r="F72" s="222"/>
      <c r="G72" s="2"/>
      <c r="H72" s="2"/>
      <c r="I72" s="2"/>
      <c r="J72" s="2"/>
      <c r="K72" s="2"/>
      <c r="L72" s="2"/>
      <c r="M72" s="223"/>
      <c r="N72" s="220"/>
      <c r="O72" s="1240" t="s">
        <v>205</v>
      </c>
      <c r="P72" s="1240"/>
      <c r="Q72" s="1240"/>
      <c r="R72" s="1240"/>
      <c r="S72" s="1240"/>
      <c r="T72" s="1240"/>
      <c r="U72" s="1240"/>
      <c r="V72" s="1240"/>
      <c r="W72" s="1240"/>
      <c r="X72" s="1240"/>
      <c r="Y72" s="1240"/>
      <c r="Z72" s="1240"/>
      <c r="AA72" s="1240"/>
      <c r="AB72" s="1240"/>
      <c r="AC72" s="1240"/>
      <c r="AD72" s="1240"/>
      <c r="AE72" s="1240"/>
      <c r="AF72" s="1240"/>
      <c r="AG72" s="1240"/>
      <c r="AH72" s="1240"/>
      <c r="AI72" s="1240"/>
      <c r="AJ72" s="1240"/>
      <c r="AK72" s="1240"/>
      <c r="AL72" s="1240"/>
      <c r="AM72" s="1240"/>
      <c r="AN72" s="221" t="s">
        <v>5924</v>
      </c>
    </row>
    <row r="73" spans="1:44" ht="39.950000000000003" customHeight="1" x14ac:dyDescent="0.25">
      <c r="A73" s="18"/>
      <c r="B73" s="18"/>
      <c r="C73" s="18"/>
      <c r="D73" s="7"/>
      <c r="E73" s="2"/>
      <c r="F73" s="224"/>
      <c r="G73" s="209"/>
      <c r="H73" s="209"/>
      <c r="I73" s="209"/>
      <c r="J73" s="209"/>
      <c r="K73" s="209"/>
      <c r="L73" s="209"/>
      <c r="M73" s="42"/>
      <c r="N73" s="220"/>
      <c r="O73" s="1240" t="s">
        <v>193</v>
      </c>
      <c r="P73" s="1240"/>
      <c r="Q73" s="1240"/>
      <c r="R73" s="1240"/>
      <c r="S73" s="1240"/>
      <c r="T73" s="1240"/>
      <c r="U73" s="1240"/>
      <c r="V73" s="1240"/>
      <c r="W73" s="1240"/>
      <c r="X73" s="1240"/>
      <c r="Y73" s="1240"/>
      <c r="Z73" s="1240"/>
      <c r="AA73" s="1240"/>
      <c r="AB73" s="1240"/>
      <c r="AC73" s="1240"/>
      <c r="AD73" s="1240"/>
      <c r="AE73" s="1240"/>
      <c r="AF73" s="1240"/>
      <c r="AG73" s="1240"/>
      <c r="AH73" s="1240"/>
      <c r="AI73" s="1240"/>
      <c r="AJ73" s="1240"/>
      <c r="AK73" s="1240"/>
      <c r="AL73" s="1240"/>
      <c r="AM73" s="1240"/>
      <c r="AN73" s="221" t="s">
        <v>5925</v>
      </c>
    </row>
    <row r="74" spans="1:44" ht="20.100000000000001" customHeight="1" x14ac:dyDescent="0.25">
      <c r="A74" s="18"/>
      <c r="B74" s="18"/>
      <c r="C74" s="18"/>
      <c r="D74" s="7"/>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4" s="7" customFormat="1" ht="20.100000000000001" customHeight="1" x14ac:dyDescent="0.25">
      <c r="A75" s="18"/>
      <c r="B75" s="18"/>
      <c r="C75" s="18"/>
    </row>
    <row r="76" spans="1:44" ht="20.100000000000001" customHeight="1" x14ac:dyDescent="0.25">
      <c r="A76" s="18"/>
      <c r="B76" s="18"/>
      <c r="C76" s="18"/>
      <c r="D76" s="7"/>
      <c r="E76" s="2"/>
      <c r="AP76" s="14"/>
      <c r="AQ76" s="4"/>
      <c r="AR76" s="4"/>
    </row>
    <row r="77" spans="1:44" ht="20.100000000000001" customHeight="1" x14ac:dyDescent="0.25">
      <c r="A77" s="18"/>
      <c r="B77" s="18"/>
      <c r="C77" s="18"/>
      <c r="D77" s="7"/>
      <c r="E77" s="2"/>
      <c r="F77" s="1067" t="s">
        <v>296</v>
      </c>
      <c r="G77" s="1068"/>
      <c r="H77" s="1068"/>
      <c r="I77" s="1068"/>
      <c r="J77" s="1068"/>
      <c r="K77" s="1068"/>
      <c r="L77" s="1069"/>
      <c r="M77" s="1076" t="s">
        <v>186</v>
      </c>
      <c r="N77" s="135"/>
      <c r="O77" s="136"/>
      <c r="P77" s="136"/>
      <c r="Q77" s="136"/>
      <c r="R77" s="137"/>
      <c r="S77" s="1079" t="s">
        <v>293</v>
      </c>
      <c r="T77" s="1064"/>
      <c r="U77" s="1064"/>
      <c r="V77" s="1064"/>
      <c r="W77" s="1064"/>
      <c r="X77" s="1064"/>
      <c r="Y77" s="1064"/>
      <c r="Z77" s="1064" t="s">
        <v>301</v>
      </c>
      <c r="AA77" s="1064"/>
      <c r="AB77" s="1064"/>
      <c r="AC77" s="1064"/>
      <c r="AD77" s="1064"/>
      <c r="AE77" s="1064"/>
      <c r="AF77" s="1064"/>
      <c r="AG77" s="1064"/>
      <c r="AH77" s="1064"/>
      <c r="AI77" s="1064" t="s">
        <v>302</v>
      </c>
      <c r="AJ77" s="1064"/>
      <c r="AK77" s="1064"/>
      <c r="AL77" s="1064"/>
      <c r="AM77" s="1065"/>
      <c r="AN77" s="2"/>
      <c r="AO77" s="2"/>
      <c r="AP77" s="2"/>
      <c r="AQ77" s="2"/>
      <c r="AR77" s="2"/>
    </row>
    <row r="78" spans="1:44" ht="27" customHeight="1" x14ac:dyDescent="0.25">
      <c r="A78" s="18"/>
      <c r="B78" s="18"/>
      <c r="C78" s="18"/>
      <c r="D78" s="7"/>
      <c r="E78" s="2"/>
      <c r="F78" s="1070"/>
      <c r="G78" s="1071"/>
      <c r="H78" s="1071"/>
      <c r="I78" s="1071"/>
      <c r="J78" s="1071"/>
      <c r="K78" s="1071"/>
      <c r="L78" s="1072"/>
      <c r="M78" s="1077"/>
      <c r="N78" s="138"/>
      <c r="O78" s="1045" t="s">
        <v>219</v>
      </c>
      <c r="P78" s="1045"/>
      <c r="Q78" s="1045"/>
      <c r="R78" s="1046"/>
      <c r="S78" s="1042"/>
      <c r="T78" s="1043"/>
      <c r="U78" s="1043"/>
      <c r="V78" s="1043"/>
      <c r="W78" s="1043"/>
      <c r="X78" s="1043"/>
      <c r="Y78" s="1043"/>
      <c r="Z78" s="1044"/>
      <c r="AA78" s="1044"/>
      <c r="AB78" s="1044"/>
      <c r="AC78" s="1044"/>
      <c r="AD78" s="1044"/>
      <c r="AE78" s="1044"/>
      <c r="AF78" s="1044"/>
      <c r="AG78" s="1044"/>
      <c r="AH78" s="1044"/>
      <c r="AI78" s="1066"/>
      <c r="AJ78" s="1066"/>
      <c r="AK78" s="1066"/>
      <c r="AL78" s="1066"/>
      <c r="AM78" s="1066"/>
      <c r="AN78" s="2"/>
      <c r="AO78" s="2"/>
      <c r="AP78" s="2"/>
      <c r="AQ78" s="2"/>
      <c r="AR78" s="2"/>
    </row>
    <row r="79" spans="1:44" ht="27" customHeight="1" x14ac:dyDescent="0.25">
      <c r="A79" s="18"/>
      <c r="B79" s="18"/>
      <c r="C79" s="18"/>
      <c r="D79" s="7"/>
      <c r="E79" s="2"/>
      <c r="F79" s="1070"/>
      <c r="G79" s="1071"/>
      <c r="H79" s="1071"/>
      <c r="I79" s="1071"/>
      <c r="J79" s="1071"/>
      <c r="K79" s="1071"/>
      <c r="L79" s="1072"/>
      <c r="M79" s="1077"/>
      <c r="N79" s="1"/>
      <c r="O79" s="138"/>
      <c r="P79" s="138"/>
      <c r="Q79" s="138"/>
      <c r="R79" s="139"/>
      <c r="S79" s="1042"/>
      <c r="T79" s="1043"/>
      <c r="U79" s="1043"/>
      <c r="V79" s="1043"/>
      <c r="W79" s="1043"/>
      <c r="X79" s="1043"/>
      <c r="Y79" s="1043"/>
      <c r="Z79" s="1044"/>
      <c r="AA79" s="1044"/>
      <c r="AB79" s="1044"/>
      <c r="AC79" s="1044"/>
      <c r="AD79" s="1044"/>
      <c r="AE79" s="1044"/>
      <c r="AF79" s="1044"/>
      <c r="AG79" s="1044"/>
      <c r="AH79" s="1044"/>
      <c r="AI79" s="1066"/>
      <c r="AJ79" s="1066"/>
      <c r="AK79" s="1066"/>
      <c r="AL79" s="1066"/>
      <c r="AM79" s="1066"/>
      <c r="AN79" s="2"/>
      <c r="AO79" s="2"/>
      <c r="AP79" s="2"/>
      <c r="AQ79" s="2"/>
      <c r="AR79" s="2"/>
    </row>
    <row r="80" spans="1:44" ht="27" customHeight="1" x14ac:dyDescent="0.25">
      <c r="A80" s="18"/>
      <c r="B80" s="18"/>
      <c r="C80" s="18"/>
      <c r="D80" s="7"/>
      <c r="E80" s="2"/>
      <c r="F80" s="1070"/>
      <c r="G80" s="1071"/>
      <c r="H80" s="1071"/>
      <c r="I80" s="1071"/>
      <c r="J80" s="1071"/>
      <c r="K80" s="1071"/>
      <c r="L80" s="1072"/>
      <c r="M80" s="1077"/>
      <c r="N80" s="138"/>
      <c r="O80" s="1047" t="s">
        <v>280</v>
      </c>
      <c r="P80" s="1047"/>
      <c r="Q80" s="1047"/>
      <c r="R80" s="1048"/>
      <c r="S80" s="1042"/>
      <c r="T80" s="1043"/>
      <c r="U80" s="1043"/>
      <c r="V80" s="1043"/>
      <c r="W80" s="1043"/>
      <c r="X80" s="1043"/>
      <c r="Y80" s="1043"/>
      <c r="Z80" s="1044"/>
      <c r="AA80" s="1044"/>
      <c r="AB80" s="1044"/>
      <c r="AC80" s="1044"/>
      <c r="AD80" s="1044"/>
      <c r="AE80" s="1044"/>
      <c r="AF80" s="1044"/>
      <c r="AG80" s="1044"/>
      <c r="AH80" s="1044"/>
      <c r="AI80" s="1066"/>
      <c r="AJ80" s="1066"/>
      <c r="AK80" s="1066"/>
      <c r="AL80" s="1066"/>
      <c r="AM80" s="1066"/>
      <c r="AN80" s="2"/>
      <c r="AO80" s="2"/>
      <c r="AP80" s="2"/>
      <c r="AQ80" s="2"/>
      <c r="AR80" s="2"/>
    </row>
    <row r="81" spans="1:44" ht="27" customHeight="1" x14ac:dyDescent="0.25">
      <c r="A81" s="18"/>
      <c r="B81" s="18"/>
      <c r="C81" s="18"/>
      <c r="D81" s="7"/>
      <c r="E81" s="2"/>
      <c r="F81" s="1073"/>
      <c r="G81" s="1074"/>
      <c r="H81" s="1074"/>
      <c r="I81" s="1074"/>
      <c r="J81" s="1074"/>
      <c r="K81" s="1074"/>
      <c r="L81" s="1075"/>
      <c r="M81" s="1078"/>
      <c r="N81" s="140"/>
      <c r="O81" s="140"/>
      <c r="P81" s="140"/>
      <c r="Q81" s="140"/>
      <c r="R81" s="141"/>
      <c r="S81" s="1042"/>
      <c r="T81" s="1043"/>
      <c r="U81" s="1043"/>
      <c r="V81" s="1043"/>
      <c r="W81" s="1043"/>
      <c r="X81" s="1043"/>
      <c r="Y81" s="1043"/>
      <c r="Z81" s="1044"/>
      <c r="AA81" s="1044"/>
      <c r="AB81" s="1044"/>
      <c r="AC81" s="1044"/>
      <c r="AD81" s="1044"/>
      <c r="AE81" s="1044"/>
      <c r="AF81" s="1044"/>
      <c r="AG81" s="1044"/>
      <c r="AH81" s="1044"/>
      <c r="AI81" s="1066"/>
      <c r="AJ81" s="1066"/>
      <c r="AK81" s="1066"/>
      <c r="AL81" s="1066"/>
      <c r="AM81" s="1066"/>
      <c r="AN81" s="2"/>
      <c r="AO81" s="2"/>
      <c r="AP81" s="2"/>
      <c r="AQ81" s="2"/>
      <c r="AR81" s="2"/>
    </row>
    <row r="82" spans="1:44" ht="15" customHeight="1" x14ac:dyDescent="0.25">
      <c r="A82" s="18"/>
      <c r="B82" s="18"/>
      <c r="C82" s="18"/>
      <c r="D82" s="7"/>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20.100000000000001" customHeight="1" x14ac:dyDescent="0.25">
      <c r="A83" s="18"/>
      <c r="B83" s="18"/>
      <c r="C83" s="18"/>
      <c r="D83" s="7"/>
      <c r="E83" s="7"/>
      <c r="F83" s="142"/>
      <c r="G83" s="142"/>
      <c r="H83" s="142"/>
      <c r="I83" s="142"/>
      <c r="J83" s="142"/>
      <c r="K83" s="142"/>
      <c r="L83" s="142"/>
      <c r="M83" s="225"/>
      <c r="N83" s="138"/>
      <c r="O83" s="138"/>
      <c r="P83" s="138"/>
      <c r="Q83" s="138"/>
      <c r="R83" s="138"/>
      <c r="S83" s="132"/>
      <c r="T83" s="132"/>
      <c r="U83" s="132"/>
      <c r="V83" s="132"/>
      <c r="W83" s="132"/>
      <c r="X83" s="132"/>
      <c r="Y83" s="132"/>
      <c r="Z83" s="132"/>
      <c r="AA83" s="132"/>
      <c r="AB83" s="132"/>
      <c r="AC83" s="132"/>
      <c r="AD83" s="132"/>
      <c r="AE83" s="132"/>
      <c r="AF83" s="132"/>
      <c r="AG83" s="132"/>
      <c r="AH83" s="132"/>
      <c r="AI83" s="133"/>
      <c r="AJ83" s="133"/>
      <c r="AK83" s="133"/>
      <c r="AL83" s="133"/>
      <c r="AM83" s="133"/>
      <c r="AN83" s="7"/>
      <c r="AO83" s="7"/>
      <c r="AP83" s="7"/>
      <c r="AQ83" s="7"/>
      <c r="AR83" s="7"/>
    </row>
    <row r="84" spans="1:44" ht="15" customHeight="1" x14ac:dyDescent="0.25">
      <c r="A84" s="18"/>
      <c r="B84" s="18"/>
      <c r="C84" s="18"/>
      <c r="D84" s="7"/>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20.100000000000001" hidden="1" customHeight="1" x14ac:dyDescent="0.25">
      <c r="A85" s="18"/>
      <c r="B85" s="18"/>
      <c r="C85" s="18"/>
      <c r="D85" s="7"/>
      <c r="E85" s="2"/>
      <c r="AN85" s="2"/>
      <c r="AO85" s="2"/>
      <c r="AP85" s="2"/>
      <c r="AQ85" s="2"/>
      <c r="AR85" s="2"/>
    </row>
    <row r="86" spans="1:44" ht="60" customHeight="1" x14ac:dyDescent="0.25">
      <c r="A86" s="18"/>
      <c r="B86" s="18"/>
      <c r="C86" s="18"/>
      <c r="D86" s="7"/>
      <c r="E86" s="2"/>
      <c r="F86" s="1008" t="s">
        <v>143</v>
      </c>
      <c r="G86" s="1009"/>
      <c r="H86" s="1009"/>
      <c r="I86" s="1009"/>
      <c r="J86" s="1009"/>
      <c r="K86" s="1009"/>
      <c r="L86" s="1009"/>
      <c r="M86" s="1010"/>
      <c r="N86" s="1032"/>
      <c r="O86" s="1033"/>
      <c r="P86" s="1033"/>
      <c r="Q86" s="1033"/>
      <c r="R86" s="1033"/>
      <c r="S86" s="1033"/>
      <c r="T86" s="1033"/>
      <c r="U86" s="1033"/>
      <c r="V86" s="1033"/>
      <c r="W86" s="1033"/>
      <c r="X86" s="1033"/>
      <c r="Y86" s="1033"/>
      <c r="Z86" s="1033"/>
      <c r="AA86" s="1033"/>
      <c r="AB86" s="1033"/>
      <c r="AC86" s="1033"/>
      <c r="AD86" s="1033"/>
      <c r="AE86" s="1033"/>
      <c r="AF86" s="1033"/>
      <c r="AG86" s="1033"/>
      <c r="AH86" s="1033"/>
      <c r="AI86" s="1033"/>
      <c r="AJ86" s="1033"/>
      <c r="AK86" s="1033"/>
      <c r="AL86" s="1033"/>
      <c r="AM86" s="1034"/>
      <c r="AN86" s="124"/>
      <c r="AO86" s="124"/>
      <c r="AP86" s="124"/>
      <c r="AQ86" s="124"/>
      <c r="AR86" s="124"/>
    </row>
    <row r="87" spans="1:44" x14ac:dyDescent="0.25">
      <c r="A87" s="18"/>
      <c r="B87" s="18"/>
      <c r="C87" s="18"/>
      <c r="D87" s="7"/>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99.95" customHeight="1" x14ac:dyDescent="0.25">
      <c r="A88" s="18"/>
      <c r="B88" s="18"/>
      <c r="C88" s="18"/>
      <c r="D88" s="7"/>
      <c r="E88" s="2"/>
      <c r="F88" s="1008" t="s">
        <v>392</v>
      </c>
      <c r="G88" s="1009"/>
      <c r="H88" s="1009"/>
      <c r="I88" s="1009"/>
      <c r="J88" s="1009"/>
      <c r="K88" s="1009"/>
      <c r="L88" s="1041"/>
      <c r="M88" s="148" t="s">
        <v>186</v>
      </c>
      <c r="N88" s="1032"/>
      <c r="O88" s="1033"/>
      <c r="P88" s="1033"/>
      <c r="Q88" s="1033"/>
      <c r="R88" s="1033"/>
      <c r="S88" s="1033"/>
      <c r="T88" s="1033"/>
      <c r="U88" s="1033"/>
      <c r="V88" s="1033"/>
      <c r="W88" s="1033"/>
      <c r="X88" s="1033"/>
      <c r="Y88" s="1033"/>
      <c r="Z88" s="1033"/>
      <c r="AA88" s="1033"/>
      <c r="AB88" s="1033"/>
      <c r="AC88" s="1033"/>
      <c r="AD88" s="1033"/>
      <c r="AE88" s="1033"/>
      <c r="AF88" s="1033"/>
      <c r="AG88" s="1033"/>
      <c r="AH88" s="1033"/>
      <c r="AI88" s="1033"/>
      <c r="AJ88" s="1033"/>
      <c r="AK88" s="1033"/>
      <c r="AL88" s="1033"/>
      <c r="AM88" s="1034"/>
      <c r="AN88" s="124"/>
      <c r="AO88" s="124"/>
      <c r="AP88" s="124"/>
      <c r="AQ88" s="124"/>
      <c r="AR88" s="124"/>
    </row>
    <row r="89" spans="1:44" x14ac:dyDescent="0.25">
      <c r="A89" s="18"/>
      <c r="B89" s="18"/>
      <c r="C89" s="18"/>
      <c r="D89" s="7"/>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2" spans="1:44" ht="15" hidden="1" customHeight="1" x14ac:dyDescent="0.25">
      <c r="AN92" s="2"/>
      <c r="AO92" s="2"/>
      <c r="AP92" s="2"/>
      <c r="AQ92" s="2"/>
    </row>
    <row r="93" spans="1:44" ht="15" hidden="1" customHeight="1" x14ac:dyDescent="0.25">
      <c r="AN93" s="116"/>
      <c r="AO93" s="116"/>
      <c r="AP93" s="116"/>
      <c r="AQ93" s="116"/>
    </row>
    <row r="94" spans="1:44" ht="15" hidden="1" customHeight="1" x14ac:dyDescent="0.25">
      <c r="AN94" s="116"/>
      <c r="AO94" s="116"/>
      <c r="AP94" s="116"/>
      <c r="AQ94" s="116"/>
    </row>
    <row r="95" spans="1:44" ht="15" hidden="1" customHeight="1" x14ac:dyDescent="0.25">
      <c r="AN95" s="116"/>
      <c r="AO95" s="116"/>
      <c r="AP95" s="116"/>
      <c r="AQ95" s="116"/>
    </row>
    <row r="96" spans="1:44" ht="15" hidden="1" customHeight="1" x14ac:dyDescent="0.25">
      <c r="AN96" s="116"/>
      <c r="AO96" s="116"/>
      <c r="AP96" s="116"/>
      <c r="AQ96" s="116"/>
    </row>
    <row r="97" spans="40:43" ht="15" hidden="1" customHeight="1" x14ac:dyDescent="0.25">
      <c r="AN97" s="2"/>
      <c r="AO97" s="2"/>
      <c r="AP97" s="2"/>
      <c r="AQ97" s="2"/>
    </row>
  </sheetData>
  <sheetProtection algorithmName="SHA-512" hashValue="1w3dPyDwD/21hzqFqOk5eKlD97b4ngUkZKOMu4YGV9GfxyEEjmlZ2a53GtzygW1aEJCTdVjXvso1/8AfH/R+Sg==" saltValue="xreZShMSOJlM29ENDca2QQ==" spinCount="100000" sheet="1" objects="1" scenarios="1" formatColumns="0" formatRows="0"/>
  <mergeCells count="233">
    <mergeCell ref="F2:AG6"/>
    <mergeCell ref="F7:J7"/>
    <mergeCell ref="F35:L35"/>
    <mergeCell ref="N35:Z35"/>
    <mergeCell ref="AA35:AD35"/>
    <mergeCell ref="AF35:AJ35"/>
    <mergeCell ref="F36:L36"/>
    <mergeCell ref="N36:AJ36"/>
    <mergeCell ref="AI2:AN7"/>
    <mergeCell ref="F27:M27"/>
    <mergeCell ref="N27:S27"/>
    <mergeCell ref="F29:L31"/>
    <mergeCell ref="O29:AM29"/>
    <mergeCell ref="O30:AM30"/>
    <mergeCell ref="O31:P31"/>
    <mergeCell ref="Q31:S31"/>
    <mergeCell ref="T31:AM31"/>
    <mergeCell ref="F10:M10"/>
    <mergeCell ref="N10:S10"/>
    <mergeCell ref="G14:Q14"/>
    <mergeCell ref="R14:AI14"/>
    <mergeCell ref="AJ14:AM14"/>
    <mergeCell ref="G15:Q15"/>
    <mergeCell ref="R15:AI15"/>
    <mergeCell ref="AJ15:AM15"/>
    <mergeCell ref="F40:M40"/>
    <mergeCell ref="N40:P40"/>
    <mergeCell ref="R40:X40"/>
    <mergeCell ref="Y40:AB40"/>
    <mergeCell ref="AD40:AJ40"/>
    <mergeCell ref="F41:L41"/>
    <mergeCell ref="N41:S41"/>
    <mergeCell ref="F37:L37"/>
    <mergeCell ref="N37:S37"/>
    <mergeCell ref="F38:L38"/>
    <mergeCell ref="N38:AJ38"/>
    <mergeCell ref="F39:M39"/>
    <mergeCell ref="N39:AJ39"/>
    <mergeCell ref="F23:AM23"/>
    <mergeCell ref="G16:Q16"/>
    <mergeCell ref="R16:AI16"/>
    <mergeCell ref="AJ16:AM16"/>
    <mergeCell ref="G17:Q17"/>
    <mergeCell ref="R17:AI17"/>
    <mergeCell ref="AJ17:AM17"/>
    <mergeCell ref="AK36:AN36"/>
    <mergeCell ref="F45:L45"/>
    <mergeCell ref="N45:S45"/>
    <mergeCell ref="Z45:AB45"/>
    <mergeCell ref="F52:L52"/>
    <mergeCell ref="N52:P52"/>
    <mergeCell ref="F42:L42"/>
    <mergeCell ref="N42:S42"/>
    <mergeCell ref="T42:Z42"/>
    <mergeCell ref="AB42:AJ42"/>
    <mergeCell ref="F44:L44"/>
    <mergeCell ref="N44:S44"/>
    <mergeCell ref="T44:V44"/>
    <mergeCell ref="N54:U54"/>
    <mergeCell ref="V54:AC54"/>
    <mergeCell ref="AD54:AK54"/>
    <mergeCell ref="N55:O55"/>
    <mergeCell ref="Q55:T55"/>
    <mergeCell ref="V55:W55"/>
    <mergeCell ref="Y55:AB55"/>
    <mergeCell ref="AD55:AE55"/>
    <mergeCell ref="AG55:AJ55"/>
    <mergeCell ref="AL57:AQ57"/>
    <mergeCell ref="F58:H58"/>
    <mergeCell ref="N58:O58"/>
    <mergeCell ref="P58:Q58"/>
    <mergeCell ref="R58:S58"/>
    <mergeCell ref="T58:U58"/>
    <mergeCell ref="V58:W58"/>
    <mergeCell ref="X58:Y58"/>
    <mergeCell ref="Z58:AA58"/>
    <mergeCell ref="AB58:AC58"/>
    <mergeCell ref="N57:S57"/>
    <mergeCell ref="T57:U57"/>
    <mergeCell ref="V57:AA57"/>
    <mergeCell ref="AB57:AC57"/>
    <mergeCell ref="AD57:AI57"/>
    <mergeCell ref="AJ57:AK57"/>
    <mergeCell ref="AP58:AQ58"/>
    <mergeCell ref="AD58:AE58"/>
    <mergeCell ref="AF58:AG58"/>
    <mergeCell ref="AH58:AI58"/>
    <mergeCell ref="AJ58:AK58"/>
    <mergeCell ref="AL58:AM58"/>
    <mergeCell ref="AN58:AO58"/>
    <mergeCell ref="F59:H60"/>
    <mergeCell ref="I59:M59"/>
    <mergeCell ref="N59:O59"/>
    <mergeCell ref="P59:Q59"/>
    <mergeCell ref="R59:S59"/>
    <mergeCell ref="T59:U59"/>
    <mergeCell ref="V59:W59"/>
    <mergeCell ref="X59:Y59"/>
    <mergeCell ref="Z59:AA59"/>
    <mergeCell ref="I60:M60"/>
    <mergeCell ref="N60:O60"/>
    <mergeCell ref="P60:Q60"/>
    <mergeCell ref="R60:S60"/>
    <mergeCell ref="T60:U60"/>
    <mergeCell ref="V60:W60"/>
    <mergeCell ref="X60:Y60"/>
    <mergeCell ref="Z60:AA60"/>
    <mergeCell ref="AB59:AC59"/>
    <mergeCell ref="N61:O61"/>
    <mergeCell ref="P61:Q61"/>
    <mergeCell ref="R61:S61"/>
    <mergeCell ref="T61:U61"/>
    <mergeCell ref="V61:W61"/>
    <mergeCell ref="X61:Y61"/>
    <mergeCell ref="AB60:AC60"/>
    <mergeCell ref="AN59:AO59"/>
    <mergeCell ref="AP59:AQ59"/>
    <mergeCell ref="AD59:AE59"/>
    <mergeCell ref="AF59:AG59"/>
    <mergeCell ref="AH59:AI59"/>
    <mergeCell ref="AJ59:AK59"/>
    <mergeCell ref="AL59:AM59"/>
    <mergeCell ref="AN60:AO60"/>
    <mergeCell ref="AP60:AQ60"/>
    <mergeCell ref="AD60:AE60"/>
    <mergeCell ref="AF60:AG60"/>
    <mergeCell ref="AH60:AI60"/>
    <mergeCell ref="AJ60:AK60"/>
    <mergeCell ref="AL60:AM60"/>
    <mergeCell ref="AP61:AQ61"/>
    <mergeCell ref="F62:H63"/>
    <mergeCell ref="I62:M62"/>
    <mergeCell ref="N62:O62"/>
    <mergeCell ref="P62:Q62"/>
    <mergeCell ref="R62:S62"/>
    <mergeCell ref="T62:U62"/>
    <mergeCell ref="V62:W62"/>
    <mergeCell ref="Z61:AA61"/>
    <mergeCell ref="AB61:AC61"/>
    <mergeCell ref="AD61:AE61"/>
    <mergeCell ref="AF61:AG61"/>
    <mergeCell ref="AH61:AI61"/>
    <mergeCell ref="AJ61:AK61"/>
    <mergeCell ref="AJ62:AK62"/>
    <mergeCell ref="AL62:AM62"/>
    <mergeCell ref="AN62:AO62"/>
    <mergeCell ref="AP62:AQ62"/>
    <mergeCell ref="I63:M63"/>
    <mergeCell ref="N63:O63"/>
    <mergeCell ref="P63:Q63"/>
    <mergeCell ref="R63:S63"/>
    <mergeCell ref="F61:H61"/>
    <mergeCell ref="I61:M61"/>
    <mergeCell ref="X62:Y62"/>
    <mergeCell ref="Z62:AA62"/>
    <mergeCell ref="AB62:AC62"/>
    <mergeCell ref="AD62:AE62"/>
    <mergeCell ref="AF62:AG62"/>
    <mergeCell ref="AH62:AI62"/>
    <mergeCell ref="AJ63:AK63"/>
    <mergeCell ref="AL61:AM61"/>
    <mergeCell ref="AN61:AO61"/>
    <mergeCell ref="AL63:AM63"/>
    <mergeCell ref="AN63:AO63"/>
    <mergeCell ref="AP63:AQ63"/>
    <mergeCell ref="F64:H64"/>
    <mergeCell ref="I64:M64"/>
    <mergeCell ref="N64:O64"/>
    <mergeCell ref="P64:Q64"/>
    <mergeCell ref="R64:S64"/>
    <mergeCell ref="T64:U64"/>
    <mergeCell ref="X63:Y63"/>
    <mergeCell ref="Z63:AA63"/>
    <mergeCell ref="AB63:AC63"/>
    <mergeCell ref="AD63:AE63"/>
    <mergeCell ref="AF63:AG63"/>
    <mergeCell ref="AH63:AI63"/>
    <mergeCell ref="T63:U63"/>
    <mergeCell ref="V63:W63"/>
    <mergeCell ref="AL64:AQ65"/>
    <mergeCell ref="F65:H65"/>
    <mergeCell ref="I65:M65"/>
    <mergeCell ref="N65:O65"/>
    <mergeCell ref="P65:Q65"/>
    <mergeCell ref="R65:S65"/>
    <mergeCell ref="T65:U65"/>
    <mergeCell ref="V65:W65"/>
    <mergeCell ref="X65:Y65"/>
    <mergeCell ref="O73:AM73"/>
    <mergeCell ref="F67:L67"/>
    <mergeCell ref="N67:AM67"/>
    <mergeCell ref="AN67:AQ67"/>
    <mergeCell ref="AH64:AI64"/>
    <mergeCell ref="AJ64:AK64"/>
    <mergeCell ref="O70:AM70"/>
    <mergeCell ref="F71:L71"/>
    <mergeCell ref="O71:AM71"/>
    <mergeCell ref="O72:AM72"/>
    <mergeCell ref="V64:W64"/>
    <mergeCell ref="X64:Y64"/>
    <mergeCell ref="Z64:AA64"/>
    <mergeCell ref="AB64:AC64"/>
    <mergeCell ref="AD64:AE64"/>
    <mergeCell ref="AF64:AG64"/>
    <mergeCell ref="Z65:AA65"/>
    <mergeCell ref="AB65:AC65"/>
    <mergeCell ref="AD65:AE65"/>
    <mergeCell ref="AF65:AG65"/>
    <mergeCell ref="AH65:AI65"/>
    <mergeCell ref="AJ65:AK65"/>
    <mergeCell ref="F88:L88"/>
    <mergeCell ref="N88:AM88"/>
    <mergeCell ref="S81:Y81"/>
    <mergeCell ref="Z81:AH81"/>
    <mergeCell ref="AI81:AM81"/>
    <mergeCell ref="F86:M86"/>
    <mergeCell ref="N86:AM86"/>
    <mergeCell ref="Z79:AH79"/>
    <mergeCell ref="AI79:AM79"/>
    <mergeCell ref="O80:R80"/>
    <mergeCell ref="S80:Y80"/>
    <mergeCell ref="Z80:AH80"/>
    <mergeCell ref="AI80:AM80"/>
    <mergeCell ref="F77:L81"/>
    <mergeCell ref="M77:M81"/>
    <mergeCell ref="S77:Y77"/>
    <mergeCell ref="Z77:AH77"/>
    <mergeCell ref="AI77:AM77"/>
    <mergeCell ref="O78:R78"/>
    <mergeCell ref="S78:Y78"/>
    <mergeCell ref="Z78:AH78"/>
    <mergeCell ref="AI78:AM78"/>
    <mergeCell ref="S79:Y79"/>
  </mergeCells>
  <conditionalFormatting sqref="E48">
    <cfRule type="expression" dxfId="519" priority="4">
      <formula>$N$27&lt;&gt;"Não"</formula>
    </cfRule>
  </conditionalFormatting>
  <conditionalFormatting sqref="E68">
    <cfRule type="expression" dxfId="518" priority="3">
      <formula>$N$27&lt;&gt;"Não"</formula>
    </cfRule>
  </conditionalFormatting>
  <conditionalFormatting sqref="E75">
    <cfRule type="expression" dxfId="517" priority="1">
      <formula>$N$27&lt;&gt;"Não"</formula>
    </cfRule>
  </conditionalFormatting>
  <conditionalFormatting sqref="E83">
    <cfRule type="expression" dxfId="516" priority="2">
      <formula>$N$27&lt;&gt;"Não"</formula>
    </cfRule>
  </conditionalFormatting>
  <conditionalFormatting sqref="E34:AR89">
    <cfRule type="expression" dxfId="515" priority="6">
      <formula>$N$27&lt;&gt;"Não"</formula>
    </cfRule>
  </conditionalFormatting>
  <conditionalFormatting sqref="F7">
    <cfRule type="notContainsBlanks" dxfId="514" priority="5">
      <formula>LEN(TRIM(F7))&gt;0</formula>
    </cfRule>
  </conditionalFormatting>
  <conditionalFormatting sqref="F12:AQ17 AP18:AQ19 F20:AQ23">
    <cfRule type="expression" dxfId="513" priority="9">
      <formula>$N$10&lt;&gt;"sim"</formula>
    </cfRule>
  </conditionalFormatting>
  <conditionalFormatting sqref="F28:AR32">
    <cfRule type="expression" dxfId="512" priority="10">
      <formula>$N$27&lt;&gt;"Sim"</formula>
    </cfRule>
  </conditionalFormatting>
  <conditionalFormatting sqref="M35:M38">
    <cfRule type="expression" dxfId="510" priority="33">
      <formula>N35&lt;&gt;""</formula>
    </cfRule>
  </conditionalFormatting>
  <conditionalFormatting sqref="M41:M42">
    <cfRule type="expression" dxfId="509" priority="28">
      <formula>N41&lt;&gt;""</formula>
    </cfRule>
  </conditionalFormatting>
  <conditionalFormatting sqref="M44">
    <cfRule type="expression" dxfId="508" priority="25">
      <formula>AND($N$44&lt;&gt;"",$T$44&lt;&gt;"")</formula>
    </cfRule>
    <cfRule type="expression" dxfId="507" priority="26">
      <formula>OR(AND($N$44="",$T$44&lt;&gt;""),AND($N$44&lt;&gt;"",$T$44=""))</formula>
    </cfRule>
  </conditionalFormatting>
  <conditionalFormatting sqref="M45">
    <cfRule type="expression" dxfId="506" priority="27">
      <formula>N45&lt;&gt;""</formula>
    </cfRule>
  </conditionalFormatting>
  <conditionalFormatting sqref="M52">
    <cfRule type="expression" dxfId="505" priority="22">
      <formula>N52&lt;&gt;""</formula>
    </cfRule>
  </conditionalFormatting>
  <conditionalFormatting sqref="M67">
    <cfRule type="expression" dxfId="504" priority="16">
      <formula>N67&lt;&gt;""</formula>
    </cfRule>
  </conditionalFormatting>
  <conditionalFormatting sqref="M88">
    <cfRule type="expression" dxfId="501" priority="14">
      <formula>N88&lt;&gt;""</formula>
    </cfRule>
  </conditionalFormatting>
  <conditionalFormatting sqref="P55">
    <cfRule type="expression" dxfId="496" priority="21">
      <formula>Q55&lt;&gt;""</formula>
    </cfRule>
  </conditionalFormatting>
  <conditionalFormatting sqref="Q40">
    <cfRule type="expression" dxfId="495" priority="31">
      <formula>R40&lt;&gt;""</formula>
    </cfRule>
  </conditionalFormatting>
  <conditionalFormatting sqref="T45:V45">
    <cfRule type="expression" dxfId="493" priority="24">
      <formula>$N$45&lt;&gt;"sim"</formula>
    </cfRule>
  </conditionalFormatting>
  <conditionalFormatting sqref="W45:AB45">
    <cfRule type="expression" dxfId="492" priority="23">
      <formula>$N$45&lt;&gt;"sim"</formula>
    </cfRule>
  </conditionalFormatting>
  <conditionalFormatting sqref="X55">
    <cfRule type="expression" dxfId="491" priority="20">
      <formula>Y55&lt;&gt;""</formula>
    </cfRule>
  </conditionalFormatting>
  <conditionalFormatting sqref="AA42">
    <cfRule type="expression" dxfId="490" priority="29">
      <formula>AB42&lt;&gt;""</formula>
    </cfRule>
  </conditionalFormatting>
  <conditionalFormatting sqref="AC40">
    <cfRule type="expression" dxfId="489" priority="30">
      <formula>AD40&lt;&gt;""</formula>
    </cfRule>
  </conditionalFormatting>
  <conditionalFormatting sqref="AE35">
    <cfRule type="expression" dxfId="488" priority="32">
      <formula>AF35&lt;&gt;""</formula>
    </cfRule>
  </conditionalFormatting>
  <conditionalFormatting sqref="AF55">
    <cfRule type="expression" dxfId="487" priority="19">
      <formula>AG55&lt;&gt;""</formula>
    </cfRule>
  </conditionalFormatting>
  <conditionalFormatting sqref="AL64">
    <cfRule type="expression" dxfId="486" priority="7">
      <formula>$N$27&lt;&gt;"Não"</formula>
    </cfRule>
  </conditionalFormatting>
  <dataValidations count="21">
    <dataValidation allowBlank="1" showInputMessage="1" showErrorMessage="1" promptTitle="Ajuda" prompt="A conclusão deverá ser conforme está escrito no relatório do estudo._x000a_" sqref="F88:L88" xr:uid="{71512EEA-E6AD-45F0-9FA9-BB111F760160}"/>
    <dataValidation allowBlank="1" showInputMessage="1" showErrorMessage="1" promptTitle="Ajuda" prompt="Informar apenas se o(s) desvio(s) afetam de algum modo a interpretação dos resultados" sqref="AI77:AM77" xr:uid="{865B4A76-BF18-452F-9C2A-C18B8551CF21}"/>
    <dataValidation allowBlank="1" showInputMessage="1" showErrorMessage="1" promptTitle="Ajuda" prompt="Incluir a justificativa do porquê ocorreu desvio e qual é interpretação dos seus impactos frente aos resultados do estudos." sqref="Z77:AH77" xr:uid="{B55AC234-6D1F-44DD-8394-575A89F0B517}"/>
    <dataValidation allowBlank="1" showInputMessage="1" showErrorMessage="1" promptTitle="Ajuda" prompt="Descrição sucinta do desvio ocorrido._x000a__x000a_Caso tenha ocorrido mais do que quatro desvios, os demais deverão estar descritos na última linha e separados por ponto e vírgula" sqref="S77:Y77" xr:uid="{860BB95A-746C-4444-84FF-95DAC730AE6A}"/>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77:L81" xr:uid="{CC19566C-81CF-4F9E-9B7C-85BCE5F94E0D}"/>
    <dataValidation allowBlank="1" showInputMessage="1" showErrorMessage="1" promptTitle="Ajuda" prompt="Descrever outros resultados não expressos na tabela acima. _x000a__x000a_Ex.: avaliação das lesões, reversibilidade (inclusive se tiver sido em 1 hora), mortalidade, outros sinais clínicos, como: hifema, secreção ou outros efeitos decorrentes do teste." sqref="F67:L67" xr:uid="{2C85B899-E0AB-4114-85AD-92B96C0C58C6}"/>
    <dataValidation allowBlank="1" showInputMessage="1" showErrorMessage="1" prompt="Marque apenas uma opção._x000a__x000a_A marcação do excel é apenas o resultado sugestivo a partir dos resultados preenchidos. " sqref="F71:L71" xr:uid="{760EF039-E7A5-492D-8438-5766CA85F36E}"/>
    <dataValidation allowBlank="1" showInputMessage="1" showErrorMessage="1" promptTitle="Ajuda" prompt="Completar os campos com &quot;0&quot; ainda que o estudo tenha sido interrompido antes de 21 dias ou mesmo que o sinal clínico não tenha sido relatado. _x000a__x000a_Completar com NR a linha correspondente a avaliação com fluoresceína. " sqref="T58:U58" xr:uid="{9D549CC5-0CA7-4450-AF56-93BBC3A3DC4E}"/>
    <dataValidation allowBlank="1" showInputMessage="1" showErrorMessage="1" promptTitle="Ajuda" prompt="Relatar o tempo em horas." sqref="Y45" xr:uid="{A009B4B2-DE5F-4B67-AFCA-FAB79A4B487E}"/>
    <dataValidation allowBlank="1" showInputMessage="1" showErrorMessage="1" promptTitle="Ajuda" prompt="Data de início da exposição dos animais à substância teste" sqref="N40:P40" xr:uid="{B4EA899E-5C26-4C9E-96C4-828C47699D11}"/>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39:M39" xr:uid="{D3B67512-3340-45AE-AE18-0201506EFE04}"/>
    <dataValidation allowBlank="1" showInputMessage="1" showErrorMessage="1" promptTitle="Ajuda" prompt="Informar nome e estado/país do laboratório executor" sqref="F36:L36" xr:uid="{D2F423EB-5998-4377-83AD-174E70E6B6ED}"/>
    <dataValidation allowBlank="1" showInputMessage="1" showErrorMessage="1" promptTitle="Ajuda" prompt="Código gerado pelo laboratório executor" sqref="AA35:AD35" xr:uid="{323D1B04-5D74-474B-ACD9-9FA8D8974FF5}"/>
    <dataValidation allowBlank="1" showInputMessage="1" showErrorMessage="1" promptTitle="Ajuda" prompt="Todas as informações desse formulário devem refletir ao que foi protocolado na Anvisa, portanto a opção de dispensa de estudo só deverá ser marcada como &quot;sim&quot; se ela também tiver sido realizada no pleito do produto. " sqref="F27:M27" xr:uid="{ADABDB3C-7BCC-4579-9E14-B1768137CC6D}"/>
    <dataValidation type="decimal" operator="greaterThanOrEqual" allowBlank="1" showInputMessage="1" showErrorMessage="1" errorTitle="Valor inválido" error="O tempo em horas deve ser um número" sqref="Z45:AB45" xr:uid="{F8B43E10-2FBC-41DA-9097-F5962064751D}">
      <formula1>0</formula1>
    </dataValidation>
    <dataValidation type="decimal" operator="greaterThanOrEqual" allowBlank="1" showInputMessage="1" showErrorMessage="1" errorTitle="Valor inválido" error="A dose informada deve ser um número decimal" sqref="N44:S44" xr:uid="{6B1A9748-9106-4740-A341-6BA2622D9D2D}">
      <formula1>0</formula1>
    </dataValidation>
    <dataValidation type="decimal" operator="greaterThanOrEqual" allowBlank="1" showInputMessage="1" showErrorMessage="1" errorTitle="Valor inválido" error="O grau das lesões deve ser um número" sqref="N59:AK59 N61:AK63" xr:uid="{653A4DD0-A983-47AA-8CD3-EA4D42DA94B0}">
      <formula1>0</formula1>
    </dataValidation>
    <dataValidation type="list" allowBlank="1" showInputMessage="1" showErrorMessage="1" errorTitle="Código inválido" error="Preencher os dados do certificado na guia &quot;Certificados&quot; antes de atribuí-lo a algum estudo" sqref="N41:S41" xr:uid="{566BDCA2-A698-4FE1-AD43-FDAB13267AF9}">
      <formula1>src_certificados</formula1>
    </dataValidation>
    <dataValidation type="custom" allowBlank="1" showInputMessage="1" showErrorMessage="1" errorTitle="Data inválida" error="A data de conclusão não pode ser anterior a data de início." sqref="AD40:AJ40" xr:uid="{0CF594BE-ECB5-4204-AE6B-8936AE5F7FD5}">
      <formula1>R40&lt;=AD40</formula1>
    </dataValidation>
    <dataValidation allowBlank="1" showInputMessage="1" showErrorMessage="1" promptTitle="Ajuda" prompt="Se a resposta for &quot;não&quot;, desça a tela para continuar o preenchimento do formulário" sqref="F10:M10" xr:uid="{F4BFD43E-A81C-44D5-A2F2-BC94A78FECB3}"/>
    <dataValidation allowBlank="1" showInputMessage="1" showErrorMessage="1" promptTitle="Ajuda" prompt="Campo para informar outras lesões, tais como: secreção, fotofobia, miose, midríase e etc. _x000a__x000a_A lesão poderá ser informada por letras ou números e a legenda deverá ser inserida no campo &quot;observações&quot;" sqref="I65:M65" xr:uid="{2F546968-6F10-4602-AACB-41D808B53BD8}"/>
  </dataValidations>
  <hyperlinks>
    <hyperlink ref="F7" location="Alertas!G2" display="Alertas!G2" xr:uid="{50AE64DB-DC3F-4945-8890-A48D1DCAED63}"/>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_irritocular_result_4">
              <controlPr defaultSize="0" autoFill="0" autoLine="0" autoPict="0">
                <anchor moveWithCells="1">
                  <from>
                    <xdr:col>13</xdr:col>
                    <xdr:colOff>95250</xdr:colOff>
                    <xdr:row>72</xdr:row>
                    <xdr:rowOff>57150</xdr:rowOff>
                  </from>
                  <to>
                    <xdr:col>39</xdr:col>
                    <xdr:colOff>19050</xdr:colOff>
                    <xdr:row>72</xdr:row>
                    <xdr:rowOff>457200</xdr:rowOff>
                  </to>
                </anchor>
              </controlPr>
            </control>
          </mc:Choice>
        </mc:AlternateContent>
        <mc:AlternateContent xmlns:mc="http://schemas.openxmlformats.org/markup-compatibility/2006">
          <mc:Choice Requires="x14">
            <control shapeId="60418" r:id="rId5" name="check_irritocular_result_1">
              <controlPr defaultSize="0" autoFill="0" autoLine="0" autoPict="0">
                <anchor moveWithCells="1">
                  <from>
                    <xdr:col>13</xdr:col>
                    <xdr:colOff>95250</xdr:colOff>
                    <xdr:row>69</xdr:row>
                    <xdr:rowOff>38100</xdr:rowOff>
                  </from>
                  <to>
                    <xdr:col>39</xdr:col>
                    <xdr:colOff>19050</xdr:colOff>
                    <xdr:row>69</xdr:row>
                    <xdr:rowOff>438150</xdr:rowOff>
                  </to>
                </anchor>
              </controlPr>
            </control>
          </mc:Choice>
        </mc:AlternateContent>
        <mc:AlternateContent xmlns:mc="http://schemas.openxmlformats.org/markup-compatibility/2006">
          <mc:Choice Requires="x14">
            <control shapeId="60419" r:id="rId6" name="check_irritocular_result_2">
              <controlPr defaultSize="0" autoFill="0" autoLine="0" autoPict="0">
                <anchor moveWithCells="1">
                  <from>
                    <xdr:col>13</xdr:col>
                    <xdr:colOff>95250</xdr:colOff>
                    <xdr:row>69</xdr:row>
                    <xdr:rowOff>495300</xdr:rowOff>
                  </from>
                  <to>
                    <xdr:col>39</xdr:col>
                    <xdr:colOff>19050</xdr:colOff>
                    <xdr:row>70</xdr:row>
                    <xdr:rowOff>476250</xdr:rowOff>
                  </to>
                </anchor>
              </controlPr>
            </control>
          </mc:Choice>
        </mc:AlternateContent>
        <mc:AlternateContent xmlns:mc="http://schemas.openxmlformats.org/markup-compatibility/2006">
          <mc:Choice Requires="x14">
            <control shapeId="60420" r:id="rId7" name="check_irritocular_result_3">
              <controlPr defaultSize="0" autoFill="0" autoLine="0" autoPict="0">
                <anchor moveWithCells="1">
                  <from>
                    <xdr:col>13</xdr:col>
                    <xdr:colOff>95250</xdr:colOff>
                    <xdr:row>71</xdr:row>
                    <xdr:rowOff>28575</xdr:rowOff>
                  </from>
                  <to>
                    <xdr:col>39</xdr:col>
                    <xdr:colOff>19050</xdr:colOff>
                    <xdr:row>72</xdr:row>
                    <xdr:rowOff>0</xdr:rowOff>
                  </to>
                </anchor>
              </controlPr>
            </control>
          </mc:Choice>
        </mc:AlternateContent>
        <mc:AlternateContent xmlns:mc="http://schemas.openxmlformats.org/markup-compatibility/2006">
          <mc:Choice Requires="x14">
            <control shapeId="60421" r:id="rId8" name="check_irritocular_despensa3">
              <controlPr defaultSize="0" autoFill="0" autoLine="0" autoPict="0">
                <anchor moveWithCells="1">
                  <from>
                    <xdr:col>13</xdr:col>
                    <xdr:colOff>114300</xdr:colOff>
                    <xdr:row>30</xdr:row>
                    <xdr:rowOff>133350</xdr:rowOff>
                  </from>
                  <to>
                    <xdr:col>14</xdr:col>
                    <xdr:colOff>38100</xdr:colOff>
                    <xdr:row>30</xdr:row>
                    <xdr:rowOff>352425</xdr:rowOff>
                  </to>
                </anchor>
              </controlPr>
            </control>
          </mc:Choice>
        </mc:AlternateContent>
        <mc:AlternateContent xmlns:mc="http://schemas.openxmlformats.org/markup-compatibility/2006">
          <mc:Choice Requires="x14">
            <control shapeId="60422" r:id="rId9" name="check_irritocular_despensa2">
              <controlPr defaultSize="0" autoFill="0" autoLine="0" autoPict="0">
                <anchor moveWithCells="1">
                  <from>
                    <xdr:col>13</xdr:col>
                    <xdr:colOff>114300</xdr:colOff>
                    <xdr:row>29</xdr:row>
                    <xdr:rowOff>114300</xdr:rowOff>
                  </from>
                  <to>
                    <xdr:col>14</xdr:col>
                    <xdr:colOff>38100</xdr:colOff>
                    <xdr:row>29</xdr:row>
                    <xdr:rowOff>333375</xdr:rowOff>
                  </to>
                </anchor>
              </controlPr>
            </control>
          </mc:Choice>
        </mc:AlternateContent>
        <mc:AlternateContent xmlns:mc="http://schemas.openxmlformats.org/markup-compatibility/2006">
          <mc:Choice Requires="x14">
            <control shapeId="60423" r:id="rId10" name="check_irritocular_despensa1">
              <controlPr defaultSize="0" autoFill="0" autoLine="0" autoPict="0">
                <anchor moveWithCells="1">
                  <from>
                    <xdr:col>13</xdr:col>
                    <xdr:colOff>114300</xdr:colOff>
                    <xdr:row>28</xdr:row>
                    <xdr:rowOff>133350</xdr:rowOff>
                  </from>
                  <to>
                    <xdr:col>14</xdr:col>
                    <xdr:colOff>38100</xdr:colOff>
                    <xdr:row>28</xdr:row>
                    <xdr:rowOff>352425</xdr:rowOff>
                  </to>
                </anchor>
              </controlPr>
            </control>
          </mc:Choice>
        </mc:AlternateContent>
        <mc:AlternateContent xmlns:mc="http://schemas.openxmlformats.org/markup-compatibility/2006">
          <mc:Choice Requires="x14">
            <control shapeId="60424" r:id="rId11" name="optn_desvios_irritocular1">
              <controlPr defaultSize="0" autoFill="0" autoLine="0" autoPict="0">
                <anchor moveWithCells="1">
                  <from>
                    <xdr:col>13</xdr:col>
                    <xdr:colOff>28575</xdr:colOff>
                    <xdr:row>76</xdr:row>
                    <xdr:rowOff>228600</xdr:rowOff>
                  </from>
                  <to>
                    <xdr:col>17</xdr:col>
                    <xdr:colOff>257175</xdr:colOff>
                    <xdr:row>78</xdr:row>
                    <xdr:rowOff>38100</xdr:rowOff>
                  </to>
                </anchor>
              </controlPr>
            </control>
          </mc:Choice>
        </mc:AlternateContent>
        <mc:AlternateContent xmlns:mc="http://schemas.openxmlformats.org/markup-compatibility/2006">
          <mc:Choice Requires="x14">
            <control shapeId="60425" r:id="rId12" name="optn_desvios_irritocular2">
              <controlPr defaultSize="0" autoFill="0" autoLine="0" autoPict="0">
                <anchor moveWithCells="1">
                  <from>
                    <xdr:col>13</xdr:col>
                    <xdr:colOff>28575</xdr:colOff>
                    <xdr:row>78</xdr:row>
                    <xdr:rowOff>333375</xdr:rowOff>
                  </from>
                  <to>
                    <xdr:col>17</xdr:col>
                    <xdr:colOff>257175</xdr:colOff>
                    <xdr:row>80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480" id="{3633113D-C898-4FA2-97EB-B70B81899621}">
            <xm:f>IF(Respostas_usuario!#REF!&lt;&gt;0,1,0)</xm:f>
            <x14:dxf>
              <font>
                <b/>
                <i val="0"/>
                <color rgb="FF00B050"/>
              </font>
            </x14:dxf>
          </x14:cfRule>
          <xm:sqref>M30</xm:sqref>
        </x14:conditionalFormatting>
        <x14:conditionalFormatting xmlns:xm="http://schemas.microsoft.com/office/excel/2006/main">
          <x14:cfRule type="expression" priority="18" id="{AB088FE7-3EBD-4FD2-AA09-C39DAF8A8C9B}">
            <xm:f>Respostas_usuario!$M$11&lt;&gt;0</xm:f>
            <x14:dxf>
              <font>
                <b/>
                <i val="0"/>
                <color rgb="FF00B050"/>
              </font>
            </x14:dxf>
          </x14:cfRule>
          <xm:sqref>M71</xm:sqref>
        </x14:conditionalFormatting>
        <x14:conditionalFormatting xmlns:xm="http://schemas.microsoft.com/office/excel/2006/main">
          <x14:cfRule type="expression" priority="13" id="{9A506C8E-948F-4E28-9475-FDBC05B41CF7}">
            <xm:f>Respostas_usuario!$K$11&lt;&gt;0</xm:f>
            <x14:dxf>
              <font>
                <b/>
                <i val="0"/>
                <color rgb="FF00B050"/>
              </font>
              <fill>
                <patternFill>
                  <bgColor theme="0"/>
                </patternFill>
              </fill>
            </x14:dxf>
          </x14:cfRule>
          <xm:sqref>M77:M81</xm:sqref>
        </x14:conditionalFormatting>
        <x14:conditionalFormatting xmlns:xm="http://schemas.microsoft.com/office/excel/2006/main">
          <x14:cfRule type="expression" priority="35" id="{26F8B2AA-0900-4798-B922-332F9E698DCA}">
            <xm:f>'Calculos(2)'!$I$152=1</xm:f>
            <x14:dxf>
              <fill>
                <patternFill>
                  <bgColor theme="7" tint="0.39994506668294322"/>
                </patternFill>
              </fill>
            </x14:dxf>
          </x14:cfRule>
          <xm:sqref>N70</xm:sqref>
        </x14:conditionalFormatting>
        <x14:conditionalFormatting xmlns:xm="http://schemas.microsoft.com/office/excel/2006/main">
          <x14:cfRule type="expression" priority="36" id="{9EAED636-8D38-4F60-9446-B01894D21C98}">
            <xm:f>'Calculos(2)'!$I$152=2</xm:f>
            <x14:dxf>
              <fill>
                <patternFill>
                  <bgColor theme="7" tint="0.39994506668294322"/>
                </patternFill>
              </fill>
            </x14:dxf>
          </x14:cfRule>
          <xm:sqref>N71</xm:sqref>
        </x14:conditionalFormatting>
        <x14:conditionalFormatting xmlns:xm="http://schemas.microsoft.com/office/excel/2006/main">
          <x14:cfRule type="expression" priority="37" id="{67506253-8DAF-41DC-846F-AB30D86B934D}">
            <xm:f>'Calculos(2)'!$I$152=3</xm:f>
            <x14:dxf>
              <fill>
                <patternFill>
                  <bgColor theme="7" tint="0.39994506668294322"/>
                </patternFill>
              </fill>
            </x14:dxf>
          </x14:cfRule>
          <xm:sqref>N72</xm:sqref>
        </x14:conditionalFormatting>
        <x14:conditionalFormatting xmlns:xm="http://schemas.microsoft.com/office/excel/2006/main">
          <x14:cfRule type="expression" priority="38" id="{56F0CC1A-B829-4070-9348-8A6F99FF2C55}">
            <xm:f>'Calculos(2)'!$I$152=4</xm:f>
            <x14:dxf>
              <fill>
                <patternFill>
                  <bgColor theme="7" tint="0.39994506668294322"/>
                </patternFill>
              </fill>
            </x14:dxf>
          </x14:cfRule>
          <xm:sqref>N73</xm:sqref>
        </x14:conditionalFormatting>
        <x14:conditionalFormatting xmlns:xm="http://schemas.microsoft.com/office/excel/2006/main">
          <x14:cfRule type="expression" priority="12" id="{BC878852-7676-48AF-ACD1-1D89DA720F09}">
            <xm:f>Respostas_usuario!$K$11&lt;&gt;2</xm:f>
            <x14:dxf>
              <font>
                <color theme="0"/>
              </font>
              <fill>
                <patternFill>
                  <bgColor theme="0"/>
                </patternFill>
              </fill>
              <border>
                <right/>
                <bottom/>
                <vertical/>
                <horizontal/>
              </border>
            </x14:dxf>
          </x14:cfRule>
          <xm:sqref>S76:AM81</xm:sqref>
        </x14:conditionalFormatting>
        <x14:conditionalFormatting xmlns:xm="http://schemas.microsoft.com/office/excel/2006/main">
          <x14:cfRule type="expression" priority="39" id="{F7E63459-BC83-4F8B-A189-DF153EBA599B}">
            <xm:f>'Calculos(2)'!$I$152=1</xm:f>
            <x14:dxf>
              <font>
                <b/>
                <i val="0"/>
                <color theme="0" tint="-0.499984740745262"/>
              </font>
            </x14:dxf>
          </x14:cfRule>
          <xm:sqref>AN70</xm:sqref>
        </x14:conditionalFormatting>
        <x14:conditionalFormatting xmlns:xm="http://schemas.microsoft.com/office/excel/2006/main">
          <x14:cfRule type="expression" priority="40" id="{4F0FE3A3-1569-4E09-A877-873D131B875A}">
            <xm:f>'Calculos(2)'!$I$152=2</xm:f>
            <x14:dxf>
              <font>
                <b/>
                <i val="0"/>
                <color theme="0" tint="-0.499984740745262"/>
              </font>
            </x14:dxf>
          </x14:cfRule>
          <xm:sqref>AN71</xm:sqref>
        </x14:conditionalFormatting>
        <x14:conditionalFormatting xmlns:xm="http://schemas.microsoft.com/office/excel/2006/main">
          <x14:cfRule type="expression" priority="41" id="{74528182-8DFF-495F-B9A2-35D8F3E603D0}">
            <xm:f>'Calculos(2)'!$I$152=3</xm:f>
            <x14:dxf>
              <font>
                <b/>
                <i val="0"/>
                <color theme="0" tint="-0.499984740745262"/>
              </font>
            </x14:dxf>
          </x14:cfRule>
          <xm:sqref>AN72</xm:sqref>
        </x14:conditionalFormatting>
        <x14:conditionalFormatting xmlns:xm="http://schemas.microsoft.com/office/excel/2006/main">
          <x14:cfRule type="expression" priority="42" id="{BD744142-835B-4796-90D6-DB1355BB1387}">
            <xm:f>'Calculos(2)'!$I$152=4</xm:f>
            <x14:dxf>
              <font>
                <b/>
                <i val="0"/>
                <color theme="0" tint="-0.499984740745262"/>
              </font>
            </x14:dxf>
          </x14:cfRule>
          <xm:sqref>AN73</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errorTitle="Valor inválido" error="A resposta deve ser Sim ou Não" xr:uid="{16449CAE-ABA2-48E9-9777-2EE7DA5BE684}">
          <x14:formula1>
            <xm:f>Tabelas_fonte!$Y$2:$Y$3</xm:f>
          </x14:formula1>
          <xm:sqref>AI78:AM81</xm:sqref>
        </x14:dataValidation>
        <x14:dataValidation type="list" allowBlank="1" showInputMessage="1" showErrorMessage="1" errorTitle="Resposta inválida" error="O resultado da avaliação com fluoresceína dever ser:_x000a_+ =&gt; houve retenção do corante_x000a_- =&gt; não houve retenção do corante_x000a_NR =&gt; Não realizado" xr:uid="{15262769-778E-4C4D-8F82-3C2DE7E2F1D8}">
          <x14:formula1>
            <xm:f>Tabelas_fonte!$AI$39:$AI$41</xm:f>
          </x14:formula1>
          <xm:sqref>N64:AK64</xm:sqref>
        </x14:dataValidation>
        <x14:dataValidation type="list" allowBlank="1" showInputMessage="1" showErrorMessage="1" errorTitle="Valor inválido" error="O sexo deve ser Macho ou Fêmea" xr:uid="{86B0F4E8-3485-49FD-A055-113F41D8D51A}">
          <x14:formula1>
            <xm:f>Tabelas_fonte!$W$8:$W$9</xm:f>
          </x14:formula1>
          <xm:sqref>Q55:T55 Y55:AB55 AG55:AJ55</xm:sqref>
        </x14:dataValidation>
        <x14:dataValidation type="list" allowBlank="1" showInputMessage="1" showErrorMessage="1" errorTitle="Valor inválido" error="Escolha uma das unidades de medida disponíveis. " xr:uid="{4A4F2617-6DF1-4CB1-967D-E45D8EDAD38A}">
          <x14:formula1>
            <xm:f>Tabelas_fonte!$AI$10:$AI$11</xm:f>
          </x14:formula1>
          <xm:sqref>T44:V44</xm:sqref>
        </x14:dataValidation>
        <x14:dataValidation type="list" allowBlank="1" showInputMessage="1" xr:uid="{6A783FA4-BE1D-4565-BAF6-7779A0D08201}">
          <x14:formula1>
            <xm:f>Tabelas_fonte!$AI$2:$AI$7</xm:f>
          </x14:formula1>
          <xm:sqref>N38:AJ38</xm:sqref>
        </x14:dataValidation>
        <x14:dataValidation type="list" allowBlank="1" showInputMessage="1" showErrorMessage="1" errorTitle="Resposta inválida" error="A resposta de ser Sim ou Não." xr:uid="{FE9E958C-1516-4626-8AEC-435D254197A0}">
          <x14:formula1>
            <xm:f>Tabelas_fonte!$Y$2:$Y$3</xm:f>
          </x14:formula1>
          <xm:sqref>N37:S37</xm:sqref>
        </x14:dataValidation>
        <x14:dataValidation type="list" allowBlank="1" showInputMessage="1" showErrorMessage="1" errorTitle="Resposta inválida" error="A resposta deve ser Sim ou Não" xr:uid="{7B28C22A-35E5-47A7-B5E0-2465325F0201}">
          <x14:formula1>
            <xm:f>Tabelas_fonte!$Y$2:$Y$3</xm:f>
          </x14:formula1>
          <xm:sqref>N27:S27 N52:P52</xm:sqref>
        </x14:dataValidation>
        <x14:dataValidation type="list" allowBlank="1" showInputMessage="1" showErrorMessage="1" errorTitle="Resposta inválida" error="A resposta de ser Sim ou Não." xr:uid="{E0484AA1-8BD7-4FC5-B6C5-8394F4747AD4}">
          <x14:formula1>
            <xm:f>Tabelas_fonte!$U$19:$U$21</xm:f>
          </x14:formula1>
          <xm:sqref>N45:S45</xm:sqref>
        </x14:dataValidation>
        <x14:dataValidation type="list" allowBlank="1" showInputMessage="1" showErrorMessage="1" xr:uid="{268D6107-473A-42FA-B5AE-20FF47B36AA3}">
          <x14:formula1>
            <xm:f>Tabelas_fonte!$AI$46:$AI$50</xm:f>
          </x14:formula1>
          <xm:sqref>AJ15:AM17</xm:sqref>
        </x14:dataValidation>
        <x14:dataValidation type="list" allowBlank="1" showInputMessage="1" showErrorMessage="1" xr:uid="{E9C5DFBA-2C97-4890-B1FB-FCF7F6E2F8D9}">
          <x14:formula1>
            <xm:f>Tabelas_fonte!$Y$2:$Y$3</xm:f>
          </x14:formula1>
          <xm:sqref>N10:S10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95828-7081-48F5-982A-745B19192CCE}">
  <sheetPr codeName="Planilha20">
    <tabColor theme="8" tint="0.59999389629810485"/>
  </sheetPr>
  <dimension ref="A1:AR93"/>
  <sheetViews>
    <sheetView showGridLines="0" topLeftCell="D82" workbookViewId="0">
      <selection activeCell="D1" sqref="D1"/>
    </sheetView>
  </sheetViews>
  <sheetFormatPr defaultColWidth="0" defaultRowHeight="15" zeroHeight="1" x14ac:dyDescent="0.25"/>
  <cols>
    <col min="1" max="3" width="2.7109375" style="2" hidden="1" customWidth="1"/>
    <col min="4" max="4" width="2.7109375" style="2" customWidth="1"/>
    <col min="5" max="5" width="2.7109375" style="20" customWidth="1"/>
    <col min="6" max="13" width="4.7109375" style="20" customWidth="1"/>
    <col min="14" max="14" width="5.7109375" style="20" customWidth="1"/>
    <col min="15" max="44" width="4.7109375" style="20" customWidth="1"/>
    <col min="45" max="16384" width="9.140625" style="20" hidden="1"/>
  </cols>
  <sheetData>
    <row r="1" spans="1:44" s="7" customFormat="1" x14ac:dyDescent="0.25">
      <c r="A1" s="18"/>
      <c r="B1" s="18"/>
      <c r="C1" s="18"/>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44" ht="15" customHeight="1" x14ac:dyDescent="0.25">
      <c r="A2" s="18"/>
      <c r="B2" s="18"/>
      <c r="C2" s="18"/>
      <c r="D2" s="7"/>
      <c r="E2" s="2"/>
      <c r="F2" s="1148" t="s">
        <v>317</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c r="AO2" s="2"/>
      <c r="AP2" s="2"/>
      <c r="AQ2" s="2"/>
      <c r="AR2" s="2"/>
    </row>
    <row r="3" spans="1:44"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c r="AO3" s="2"/>
      <c r="AP3" s="2"/>
      <c r="AQ3" s="2"/>
      <c r="AR3" s="2"/>
    </row>
    <row r="4" spans="1:44"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c r="AO4" s="2"/>
      <c r="AP4" s="2"/>
      <c r="AQ4" s="2"/>
      <c r="AR4" s="2"/>
    </row>
    <row r="5" spans="1:44"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c r="AO5" s="2"/>
      <c r="AP5" s="2"/>
      <c r="AQ5" s="2"/>
      <c r="AR5" s="2"/>
    </row>
    <row r="6" spans="1:44"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c r="AO6" s="2"/>
      <c r="AP6" s="2"/>
      <c r="AQ6" s="2"/>
      <c r="AR6" s="73"/>
    </row>
    <row r="7" spans="1:44" ht="20.100000000000001" customHeight="1" x14ac:dyDescent="0.25">
      <c r="A7" s="18"/>
      <c r="B7" s="18"/>
      <c r="C7" s="18"/>
      <c r="D7" s="7"/>
      <c r="E7" s="158"/>
      <c r="F7" s="1024" t="str">
        <f ca="1">Alertas!R14</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row>
    <row r="8" spans="1:44" s="7" customFormat="1" ht="15" customHeight="1" x14ac:dyDescent="0.25">
      <c r="A8" s="18"/>
      <c r="B8" s="18"/>
      <c r="C8" s="18"/>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44" s="7" customFormat="1" ht="15" customHeight="1" x14ac:dyDescent="0.25">
      <c r="A9" s="18"/>
      <c r="B9" s="18"/>
      <c r="C9" s="18"/>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s="7" customFormat="1" ht="39.950000000000003" customHeight="1" x14ac:dyDescent="0.25">
      <c r="A10" s="18"/>
      <c r="B10" s="18"/>
      <c r="C10" s="18"/>
      <c r="E10" s="2"/>
      <c r="F10" s="1049" t="s">
        <v>6550</v>
      </c>
      <c r="G10" s="1050"/>
      <c r="H10" s="1050"/>
      <c r="I10" s="1050"/>
      <c r="J10" s="1050"/>
      <c r="K10" s="1050"/>
      <c r="L10" s="1050"/>
      <c r="M10" s="1051"/>
      <c r="N10" s="1218"/>
      <c r="O10" s="1219"/>
      <c r="P10" s="1219"/>
      <c r="Q10" s="1219"/>
      <c r="R10" s="1219"/>
      <c r="S10" s="1220"/>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4" s="7" customFormat="1" ht="15" customHeight="1" x14ac:dyDescent="0.25">
      <c r="A11" s="18"/>
      <c r="B11" s="18"/>
      <c r="C11" s="18"/>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4" s="7" customFormat="1" ht="15" customHeight="1" x14ac:dyDescent="0.25">
      <c r="A12" s="18"/>
      <c r="B12" s="18"/>
      <c r="C12" s="18"/>
      <c r="E12" s="2"/>
      <c r="F12" s="166" t="s">
        <v>6536</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4" s="7" customFormat="1" ht="15" customHeight="1" x14ac:dyDescent="0.25">
      <c r="A13" s="18"/>
      <c r="B13" s="18"/>
      <c r="C13" s="18"/>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4" s="7" customFormat="1" ht="15" customHeight="1" x14ac:dyDescent="0.25">
      <c r="A14" s="18"/>
      <c r="B14" s="18"/>
      <c r="C14" s="18"/>
      <c r="E14" s="2"/>
      <c r="F14" s="2"/>
      <c r="G14" s="1221" t="s">
        <v>6519</v>
      </c>
      <c r="H14" s="1221"/>
      <c r="I14" s="1221"/>
      <c r="J14" s="1221"/>
      <c r="K14" s="1221"/>
      <c r="L14" s="1221"/>
      <c r="M14" s="1221"/>
      <c r="N14" s="1221"/>
      <c r="O14" s="1221"/>
      <c r="P14" s="1221"/>
      <c r="Q14" s="1221"/>
      <c r="R14" s="1221" t="s">
        <v>7797</v>
      </c>
      <c r="S14" s="1221"/>
      <c r="T14" s="1221"/>
      <c r="U14" s="1221"/>
      <c r="V14" s="1221"/>
      <c r="W14" s="1221"/>
      <c r="X14" s="1221"/>
      <c r="Y14" s="1221"/>
      <c r="Z14" s="1221"/>
      <c r="AA14" s="1221"/>
      <c r="AB14" s="1221"/>
      <c r="AC14" s="1221"/>
      <c r="AD14" s="1221"/>
      <c r="AE14" s="1221"/>
      <c r="AF14" s="1221"/>
      <c r="AG14" s="1221"/>
      <c r="AH14" s="1221"/>
      <c r="AI14" s="1221"/>
      <c r="AJ14" s="1221" t="s">
        <v>6538</v>
      </c>
      <c r="AK14" s="1221"/>
      <c r="AL14" s="1221"/>
      <c r="AM14" s="1221"/>
      <c r="AN14" s="2"/>
      <c r="AO14" s="2"/>
      <c r="AP14" s="2"/>
      <c r="AQ14" s="2"/>
      <c r="AR14" s="2"/>
    </row>
    <row r="15" spans="1:44" s="7" customFormat="1" ht="39.950000000000003" customHeight="1" x14ac:dyDescent="0.25">
      <c r="A15" s="18"/>
      <c r="B15" s="18"/>
      <c r="C15" s="18"/>
      <c r="E15" s="2"/>
      <c r="F15" s="193" t="s">
        <v>152</v>
      </c>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6"/>
      <c r="AK15" s="1216"/>
      <c r="AL15" s="1216"/>
      <c r="AM15" s="1216"/>
      <c r="AN15" s="2"/>
      <c r="AO15" s="2"/>
      <c r="AP15" s="2"/>
      <c r="AQ15" s="2"/>
      <c r="AR15" s="2"/>
    </row>
    <row r="16" spans="1:44" s="7" customFormat="1" ht="39.950000000000003" customHeight="1" x14ac:dyDescent="0.25">
      <c r="A16" s="18"/>
      <c r="B16" s="18"/>
      <c r="C16" s="18"/>
      <c r="E16" s="2"/>
      <c r="F16" s="193" t="s">
        <v>153</v>
      </c>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6"/>
      <c r="AK16" s="1216"/>
      <c r="AL16" s="1216"/>
      <c r="AM16" s="1216"/>
      <c r="AN16" s="2"/>
      <c r="AO16" s="2"/>
      <c r="AP16" s="2"/>
      <c r="AQ16" s="2"/>
      <c r="AR16" s="2"/>
    </row>
    <row r="17" spans="1:44" s="7" customFormat="1" ht="39.950000000000003" customHeight="1" x14ac:dyDescent="0.25">
      <c r="A17" s="18"/>
      <c r="B17" s="18"/>
      <c r="C17" s="18"/>
      <c r="E17" s="2"/>
      <c r="F17" s="193" t="s">
        <v>154</v>
      </c>
      <c r="G17" s="1217"/>
      <c r="H17" s="1217"/>
      <c r="I17" s="1217"/>
      <c r="J17" s="1217"/>
      <c r="K17" s="1217"/>
      <c r="L17" s="1217"/>
      <c r="M17" s="1217"/>
      <c r="N17" s="1217"/>
      <c r="O17" s="1217"/>
      <c r="P17" s="1217"/>
      <c r="Q17" s="1217"/>
      <c r="R17" s="1217"/>
      <c r="S17" s="1217"/>
      <c r="T17" s="1217"/>
      <c r="U17" s="1217"/>
      <c r="V17" s="1217"/>
      <c r="W17" s="1217"/>
      <c r="X17" s="1217"/>
      <c r="Y17" s="1217"/>
      <c r="Z17" s="1217"/>
      <c r="AA17" s="1217"/>
      <c r="AB17" s="1217"/>
      <c r="AC17" s="1217"/>
      <c r="AD17" s="1217"/>
      <c r="AE17" s="1217"/>
      <c r="AF17" s="1217"/>
      <c r="AG17" s="1217"/>
      <c r="AH17" s="1217"/>
      <c r="AI17" s="1217"/>
      <c r="AJ17" s="1216"/>
      <c r="AK17" s="1216"/>
      <c r="AL17" s="1216"/>
      <c r="AM17" s="1216"/>
      <c r="AN17" s="2"/>
      <c r="AO17" s="2"/>
      <c r="AP17" s="2"/>
      <c r="AQ17" s="2"/>
      <c r="AR17" s="2"/>
    </row>
    <row r="18" spans="1:44" s="7" customFormat="1" ht="20.100000000000001" hidden="1" customHeight="1" x14ac:dyDescent="0.25">
      <c r="A18" s="18"/>
      <c r="B18" s="18"/>
      <c r="C18" s="18"/>
      <c r="E18" s="2"/>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
    </row>
    <row r="19" spans="1:44" s="7" customFormat="1" ht="20.100000000000001" hidden="1" customHeight="1" x14ac:dyDescent="0.25">
      <c r="A19" s="18"/>
      <c r="B19" s="18"/>
      <c r="C19" s="18"/>
      <c r="E19" s="2"/>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
    </row>
    <row r="20" spans="1:44" s="7" customFormat="1" ht="15" customHeight="1" x14ac:dyDescent="0.25">
      <c r="A20" s="18"/>
      <c r="B20" s="18"/>
      <c r="C20" s="18"/>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s="7" customFormat="1" ht="15" customHeight="1" x14ac:dyDescent="0.25">
      <c r="A21" s="18"/>
      <c r="B21" s="18"/>
      <c r="C21" s="18"/>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s="7" customFormat="1" ht="15" customHeight="1" x14ac:dyDescent="0.25">
      <c r="A22" s="18"/>
      <c r="B22" s="18"/>
      <c r="C22" s="18"/>
      <c r="E22" s="2"/>
      <c r="F22" s="194" t="s">
        <v>143</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s="7" customFormat="1" ht="50.1" customHeight="1" x14ac:dyDescent="0.25">
      <c r="A23" s="18"/>
      <c r="B23" s="18"/>
      <c r="C23" s="18"/>
      <c r="E23" s="2"/>
      <c r="F23" s="1222"/>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4"/>
      <c r="AN23" s="2"/>
      <c r="AO23" s="2"/>
      <c r="AP23" s="2"/>
      <c r="AQ23" s="2"/>
      <c r="AR23" s="2"/>
    </row>
    <row r="24" spans="1:44" s="7" customFormat="1" ht="15" customHeight="1" x14ac:dyDescent="0.25">
      <c r="A24" s="18"/>
      <c r="B24" s="18"/>
      <c r="C24" s="18"/>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s="7" customFormat="1" ht="15" customHeight="1" x14ac:dyDescent="0.25">
      <c r="A25" s="18"/>
      <c r="B25" s="18"/>
      <c r="C25" s="18"/>
    </row>
    <row r="26" spans="1:44" ht="15" customHeight="1" x14ac:dyDescent="0.25">
      <c r="A26" s="18"/>
      <c r="B26" s="18"/>
      <c r="C26" s="18"/>
      <c r="D26" s="7"/>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30" customHeight="1" x14ac:dyDescent="0.25">
      <c r="A27" s="18"/>
      <c r="B27" s="18"/>
      <c r="C27" s="18"/>
      <c r="D27" s="7"/>
      <c r="E27" s="2"/>
      <c r="F27" s="1208" t="s">
        <v>6031</v>
      </c>
      <c r="G27" s="1208"/>
      <c r="H27" s="1208"/>
      <c r="I27" s="1208"/>
      <c r="J27" s="1208"/>
      <c r="K27" s="1208"/>
      <c r="L27" s="1208"/>
      <c r="M27" s="1208"/>
      <c r="N27" s="1209"/>
      <c r="O27" s="1209"/>
      <c r="P27" s="1209"/>
      <c r="Q27" s="1209"/>
      <c r="R27" s="1209"/>
      <c r="S27" s="1209"/>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30" customHeight="1" x14ac:dyDescent="0.25">
      <c r="A28" s="18"/>
      <c r="B28" s="18"/>
      <c r="C28" s="18"/>
      <c r="D28" s="7"/>
      <c r="E28" s="2"/>
      <c r="G28" s="195"/>
      <c r="H28" s="195"/>
      <c r="I28" s="195"/>
      <c r="J28" s="195"/>
      <c r="K28" s="195"/>
      <c r="L28" s="195"/>
      <c r="M28" s="196"/>
      <c r="N28" s="226" t="s">
        <v>236</v>
      </c>
      <c r="O28" s="226"/>
      <c r="P28" s="226"/>
      <c r="Q28" s="226"/>
      <c r="R28" s="226"/>
      <c r="S28" s="226"/>
      <c r="T28" s="226"/>
      <c r="U28" s="226"/>
      <c r="V28" s="226"/>
      <c r="W28" s="226"/>
      <c r="X28" s="226"/>
      <c r="Y28" s="226"/>
      <c r="Z28" s="161"/>
      <c r="AA28" s="161"/>
      <c r="AB28" s="161"/>
      <c r="AC28" s="161"/>
      <c r="AD28" s="161"/>
      <c r="AE28" s="161"/>
      <c r="AF28" s="161"/>
      <c r="AG28" s="161"/>
      <c r="AH28" s="161"/>
      <c r="AI28" s="161"/>
      <c r="AJ28" s="161"/>
      <c r="AK28" s="161"/>
      <c r="AL28" s="161"/>
      <c r="AM28" s="161"/>
      <c r="AN28" s="2"/>
      <c r="AO28" s="2"/>
      <c r="AP28" s="2"/>
      <c r="AQ28" s="2"/>
      <c r="AR28" s="2"/>
    </row>
    <row r="29" spans="1:44" ht="39.950000000000003" customHeight="1" x14ac:dyDescent="0.25">
      <c r="A29" s="18"/>
      <c r="B29" s="18"/>
      <c r="C29" s="18"/>
      <c r="D29" s="7"/>
      <c r="E29" s="2"/>
      <c r="F29" s="1067" t="s">
        <v>40</v>
      </c>
      <c r="G29" s="1068"/>
      <c r="H29" s="1068"/>
      <c r="I29" s="1068"/>
      <c r="J29" s="1068"/>
      <c r="K29" s="1068"/>
      <c r="L29" s="1068"/>
      <c r="M29" s="227"/>
      <c r="N29" s="200"/>
      <c r="O29" s="1050" t="s">
        <v>227</v>
      </c>
      <c r="P29" s="1050"/>
      <c r="Q29" s="1050"/>
      <c r="R29" s="1050"/>
      <c r="S29" s="1050"/>
      <c r="T29" s="1050"/>
      <c r="U29" s="1050"/>
      <c r="V29" s="1050"/>
      <c r="W29" s="1050"/>
      <c r="X29" s="1050"/>
      <c r="Y29" s="1050"/>
      <c r="Z29" s="1050"/>
      <c r="AA29" s="1050"/>
      <c r="AB29" s="1050"/>
      <c r="AC29" s="1050"/>
      <c r="AD29" s="1050"/>
      <c r="AE29" s="1050"/>
      <c r="AF29" s="1050"/>
      <c r="AG29" s="1050"/>
      <c r="AH29" s="1050"/>
      <c r="AI29" s="1050"/>
      <c r="AJ29" s="1050"/>
      <c r="AK29" s="1050"/>
      <c r="AL29" s="1050"/>
      <c r="AM29" s="1051"/>
      <c r="AN29" s="2"/>
      <c r="AO29" s="2"/>
      <c r="AP29" s="2"/>
      <c r="AQ29" s="2"/>
      <c r="AR29" s="2"/>
    </row>
    <row r="30" spans="1:44" ht="39.950000000000003" customHeight="1" x14ac:dyDescent="0.25">
      <c r="A30" s="18"/>
      <c r="B30" s="18"/>
      <c r="C30" s="18"/>
      <c r="D30" s="7"/>
      <c r="E30" s="2"/>
      <c r="F30" s="1070"/>
      <c r="G30" s="1071"/>
      <c r="H30" s="1071"/>
      <c r="I30" s="1071"/>
      <c r="J30" s="1071"/>
      <c r="K30" s="1071"/>
      <c r="L30" s="1071"/>
      <c r="M30" s="228" t="s">
        <v>186</v>
      </c>
      <c r="N30" s="201"/>
      <c r="O30" s="1225" t="s">
        <v>5956</v>
      </c>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6"/>
      <c r="AN30" s="2"/>
      <c r="AO30" s="2"/>
      <c r="AP30" s="2"/>
      <c r="AQ30" s="2"/>
      <c r="AR30" s="2"/>
    </row>
    <row r="31" spans="1:44" ht="39.950000000000003" customHeight="1" x14ac:dyDescent="0.25">
      <c r="A31" s="18"/>
      <c r="B31" s="18"/>
      <c r="C31" s="18"/>
      <c r="D31" s="7"/>
      <c r="E31" s="2"/>
      <c r="F31" s="1073"/>
      <c r="G31" s="1074"/>
      <c r="H31" s="1074"/>
      <c r="I31" s="1074"/>
      <c r="J31" s="1074"/>
      <c r="K31" s="1074"/>
      <c r="L31" s="1074"/>
      <c r="M31" s="202"/>
      <c r="N31" s="229"/>
      <c r="O31" s="1273" t="s">
        <v>8</v>
      </c>
      <c r="P31" s="1273"/>
      <c r="Q31" s="1274" t="s">
        <v>41</v>
      </c>
      <c r="R31" s="1274"/>
      <c r="S31" s="1274"/>
      <c r="T31" s="1279"/>
      <c r="U31" s="1279"/>
      <c r="V31" s="1279"/>
      <c r="W31" s="1279"/>
      <c r="X31" s="1279"/>
      <c r="Y31" s="1279"/>
      <c r="Z31" s="1279"/>
      <c r="AA31" s="1279"/>
      <c r="AB31" s="1279"/>
      <c r="AC31" s="1279"/>
      <c r="AD31" s="1279"/>
      <c r="AE31" s="1279"/>
      <c r="AF31" s="1279"/>
      <c r="AG31" s="1279"/>
      <c r="AH31" s="1279"/>
      <c r="AI31" s="1279"/>
      <c r="AJ31" s="1279"/>
      <c r="AK31" s="1279"/>
      <c r="AL31" s="1279"/>
      <c r="AM31" s="1279"/>
      <c r="AN31" s="2"/>
      <c r="AO31" s="2"/>
      <c r="AP31" s="2"/>
      <c r="AQ31" s="2"/>
      <c r="AR31" s="2"/>
    </row>
    <row r="32" spans="1:44" ht="15" customHeight="1" x14ac:dyDescent="0.25">
      <c r="A32" s="18"/>
      <c r="B32" s="18"/>
      <c r="C32" s="18"/>
      <c r="D32" s="7"/>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20.100000000000001" customHeight="1" x14ac:dyDescent="0.25">
      <c r="A33" s="18"/>
      <c r="B33" s="18"/>
      <c r="C33" s="18"/>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row>
    <row r="34" spans="1:44" ht="15" customHeight="1" x14ac:dyDescent="0.25">
      <c r="A34" s="18"/>
      <c r="B34" s="18"/>
      <c r="C34" s="18"/>
      <c r="D34" s="7"/>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30" customHeight="1" x14ac:dyDescent="0.25">
      <c r="A35" s="18"/>
      <c r="B35" s="18"/>
      <c r="C35" s="18"/>
      <c r="D35" s="7"/>
      <c r="E35" s="2"/>
      <c r="F35" s="1149" t="s">
        <v>30</v>
      </c>
      <c r="G35" s="1094"/>
      <c r="H35" s="1094"/>
      <c r="I35" s="1094"/>
      <c r="J35" s="1094"/>
      <c r="K35" s="1094"/>
      <c r="L35" s="1104"/>
      <c r="M35" s="148" t="s">
        <v>186</v>
      </c>
      <c r="N35" s="1140"/>
      <c r="O35" s="1141"/>
      <c r="P35" s="1141"/>
      <c r="Q35" s="1141"/>
      <c r="R35" s="1141"/>
      <c r="S35" s="1141"/>
      <c r="T35" s="1141"/>
      <c r="U35" s="1141"/>
      <c r="V35" s="1141"/>
      <c r="W35" s="1141"/>
      <c r="X35" s="1141"/>
      <c r="Y35" s="1141"/>
      <c r="Z35" s="1142"/>
      <c r="AA35" s="1008" t="s">
        <v>294</v>
      </c>
      <c r="AB35" s="1009"/>
      <c r="AC35" s="1009"/>
      <c r="AD35" s="1041"/>
      <c r="AE35" s="148" t="s">
        <v>186</v>
      </c>
      <c r="AF35" s="1140"/>
      <c r="AG35" s="1141"/>
      <c r="AH35" s="1141"/>
      <c r="AI35" s="1141"/>
      <c r="AJ35" s="1142"/>
      <c r="AK35" s="2"/>
      <c r="AL35" s="2"/>
      <c r="AM35" s="2"/>
      <c r="AN35" s="2"/>
      <c r="AO35" s="49"/>
      <c r="AP35" s="49"/>
      <c r="AQ35" s="49"/>
      <c r="AR35" s="49"/>
    </row>
    <row r="36" spans="1:44" ht="60" customHeight="1" x14ac:dyDescent="0.25">
      <c r="A36" s="18"/>
      <c r="B36" s="18"/>
      <c r="C36" s="18"/>
      <c r="D36" s="7"/>
      <c r="E36" s="2"/>
      <c r="F36" s="1008" t="s">
        <v>7300</v>
      </c>
      <c r="G36" s="1009"/>
      <c r="H36" s="1009"/>
      <c r="I36" s="1009"/>
      <c r="J36" s="1009"/>
      <c r="K36" s="1009"/>
      <c r="L36" s="1041"/>
      <c r="M36" s="148" t="s">
        <v>186</v>
      </c>
      <c r="N36" s="1140"/>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2"/>
      <c r="AK36" s="1158" t="s">
        <v>271</v>
      </c>
      <c r="AL36" s="1159"/>
      <c r="AM36" s="1159"/>
      <c r="AN36" s="1159"/>
      <c r="AO36" s="49"/>
      <c r="AP36" s="49"/>
      <c r="AQ36" s="49"/>
      <c r="AR36" s="49"/>
    </row>
    <row r="37" spans="1:44" ht="20.100000000000001" customHeight="1" x14ac:dyDescent="0.25">
      <c r="A37" s="18"/>
      <c r="B37" s="18"/>
      <c r="C37" s="18"/>
      <c r="D37" s="7"/>
      <c r="E37" s="2"/>
      <c r="F37" s="1008" t="s">
        <v>6029</v>
      </c>
      <c r="G37" s="1009"/>
      <c r="H37" s="1009"/>
      <c r="I37" s="1009"/>
      <c r="J37" s="1009"/>
      <c r="K37" s="1009"/>
      <c r="L37" s="1041"/>
      <c r="M37" s="148" t="s">
        <v>186</v>
      </c>
      <c r="N37" s="1147"/>
      <c r="O37" s="1096"/>
      <c r="P37" s="1096"/>
      <c r="Q37" s="1096"/>
      <c r="R37" s="1096"/>
      <c r="S37" s="1097"/>
      <c r="T37" s="171"/>
      <c r="U37" s="172"/>
      <c r="V37" s="172"/>
      <c r="W37" s="172"/>
      <c r="X37" s="172"/>
      <c r="Y37" s="172"/>
      <c r="Z37" s="172"/>
      <c r="AA37" s="172"/>
      <c r="AB37" s="172"/>
      <c r="AC37" s="172"/>
      <c r="AD37" s="172"/>
      <c r="AE37" s="172"/>
      <c r="AF37" s="172"/>
      <c r="AG37" s="172"/>
      <c r="AH37" s="172"/>
      <c r="AI37" s="173"/>
      <c r="AJ37" s="174"/>
      <c r="AK37" s="2"/>
      <c r="AL37" s="2"/>
      <c r="AM37" s="2"/>
      <c r="AN37" s="2"/>
      <c r="AO37" s="49"/>
      <c r="AP37" s="49"/>
      <c r="AQ37" s="161"/>
      <c r="AR37" s="161"/>
    </row>
    <row r="38" spans="1:44" ht="20.100000000000001" customHeight="1" x14ac:dyDescent="0.25">
      <c r="A38" s="18"/>
      <c r="B38" s="18"/>
      <c r="C38" s="18"/>
      <c r="D38" s="7"/>
      <c r="E38" s="2"/>
      <c r="F38" s="1149" t="s">
        <v>218</v>
      </c>
      <c r="G38" s="1094"/>
      <c r="H38" s="1094"/>
      <c r="I38" s="1094"/>
      <c r="J38" s="1094"/>
      <c r="K38" s="1094"/>
      <c r="L38" s="1104"/>
      <c r="M38" s="148" t="s">
        <v>186</v>
      </c>
      <c r="N38" s="1143"/>
      <c r="O38" s="1106"/>
      <c r="P38" s="1106"/>
      <c r="Q38" s="1106"/>
      <c r="R38" s="1106"/>
      <c r="S38" s="1106"/>
      <c r="T38" s="1106"/>
      <c r="U38" s="1106"/>
      <c r="V38" s="1106"/>
      <c r="W38" s="1106"/>
      <c r="X38" s="1106"/>
      <c r="Y38" s="1106"/>
      <c r="Z38" s="1106"/>
      <c r="AA38" s="1106"/>
      <c r="AB38" s="1106"/>
      <c r="AC38" s="1106"/>
      <c r="AD38" s="1106"/>
      <c r="AE38" s="1106"/>
      <c r="AF38" s="1106"/>
      <c r="AG38" s="1106"/>
      <c r="AH38" s="1106"/>
      <c r="AI38" s="1106"/>
      <c r="AJ38" s="1107"/>
      <c r="AK38" s="2"/>
      <c r="AL38" s="2"/>
      <c r="AM38" s="2"/>
      <c r="AN38" s="2"/>
      <c r="AO38" s="49"/>
      <c r="AP38" s="49"/>
      <c r="AQ38" s="162"/>
      <c r="AR38" s="162"/>
    </row>
    <row r="39" spans="1:44" ht="20.100000000000001" customHeight="1" x14ac:dyDescent="0.25">
      <c r="A39" s="18"/>
      <c r="B39" s="18"/>
      <c r="C39" s="18"/>
      <c r="D39" s="7"/>
      <c r="E39" s="2"/>
      <c r="F39" s="1149" t="s">
        <v>311</v>
      </c>
      <c r="G39" s="1094"/>
      <c r="H39" s="1094"/>
      <c r="I39" s="1094"/>
      <c r="J39" s="1094"/>
      <c r="K39" s="1094"/>
      <c r="L39" s="1094"/>
      <c r="M39" s="1150"/>
      <c r="N39" s="1276"/>
      <c r="O39" s="1277"/>
      <c r="P39" s="1277"/>
      <c r="Q39" s="1277"/>
      <c r="R39" s="1277"/>
      <c r="S39" s="1277"/>
      <c r="T39" s="1277"/>
      <c r="U39" s="1277"/>
      <c r="V39" s="1277"/>
      <c r="W39" s="1277"/>
      <c r="X39" s="1277"/>
      <c r="Y39" s="1277"/>
      <c r="Z39" s="1277"/>
      <c r="AA39" s="1277"/>
      <c r="AB39" s="1277"/>
      <c r="AC39" s="1277"/>
      <c r="AD39" s="1277"/>
      <c r="AE39" s="1277"/>
      <c r="AF39" s="1277"/>
      <c r="AG39" s="1277"/>
      <c r="AH39" s="1277"/>
      <c r="AI39" s="1277"/>
      <c r="AJ39" s="1278"/>
      <c r="AK39" s="163"/>
      <c r="AL39" s="163"/>
      <c r="AM39" s="163"/>
      <c r="AN39" s="163"/>
      <c r="AO39" s="49"/>
      <c r="AP39" s="49"/>
      <c r="AQ39" s="163"/>
      <c r="AR39" s="163"/>
    </row>
    <row r="40" spans="1:44" ht="20.100000000000001" customHeight="1" x14ac:dyDescent="0.25">
      <c r="A40" s="18"/>
      <c r="B40" s="18"/>
      <c r="C40" s="18"/>
      <c r="D40" s="7"/>
      <c r="E40" s="2"/>
      <c r="F40" s="1008" t="s">
        <v>7301</v>
      </c>
      <c r="G40" s="1009"/>
      <c r="H40" s="1009"/>
      <c r="I40" s="1009"/>
      <c r="J40" s="1009"/>
      <c r="K40" s="1009"/>
      <c r="L40" s="1009"/>
      <c r="M40" s="1010"/>
      <c r="N40" s="1151" t="s">
        <v>6030</v>
      </c>
      <c r="O40" s="1088"/>
      <c r="P40" s="1089"/>
      <c r="Q40" s="148" t="s">
        <v>186</v>
      </c>
      <c r="R40" s="999"/>
      <c r="S40" s="1000"/>
      <c r="T40" s="1000"/>
      <c r="U40" s="1000"/>
      <c r="V40" s="1000"/>
      <c r="W40" s="1000"/>
      <c r="X40" s="1001"/>
      <c r="Y40" s="1008" t="s">
        <v>31</v>
      </c>
      <c r="Z40" s="1009"/>
      <c r="AA40" s="1009"/>
      <c r="AB40" s="1041"/>
      <c r="AC40" s="148" t="s">
        <v>186</v>
      </c>
      <c r="AD40" s="999"/>
      <c r="AE40" s="1000"/>
      <c r="AF40" s="1000"/>
      <c r="AG40" s="1000"/>
      <c r="AH40" s="1000"/>
      <c r="AI40" s="1000"/>
      <c r="AJ40" s="1001"/>
      <c r="AK40" s="164"/>
      <c r="AL40" s="164"/>
      <c r="AM40" s="164"/>
      <c r="AN40" s="164"/>
      <c r="AO40" s="164"/>
      <c r="AP40" s="164"/>
      <c r="AQ40" s="164"/>
      <c r="AR40" s="164"/>
    </row>
    <row r="41" spans="1:44" ht="20.100000000000001" customHeight="1" x14ac:dyDescent="0.25">
      <c r="A41" s="18"/>
      <c r="B41" s="18"/>
      <c r="C41" s="18"/>
      <c r="D41" s="7"/>
      <c r="E41" s="2"/>
      <c r="F41" s="1008" t="s">
        <v>5720</v>
      </c>
      <c r="G41" s="1009"/>
      <c r="H41" s="1009"/>
      <c r="I41" s="1009"/>
      <c r="J41" s="1009"/>
      <c r="K41" s="1009"/>
      <c r="L41" s="1009"/>
      <c r="M41" s="148" t="s">
        <v>186</v>
      </c>
      <c r="N41" s="1136"/>
      <c r="O41" s="1090"/>
      <c r="P41" s="1090"/>
      <c r="Q41" s="1090"/>
      <c r="R41" s="1091"/>
      <c r="S41" s="109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20.100000000000001" customHeight="1" x14ac:dyDescent="0.25">
      <c r="A42" s="18"/>
      <c r="B42" s="18"/>
      <c r="C42" s="18"/>
      <c r="D42" s="7"/>
      <c r="E42" s="2"/>
      <c r="F42" s="1149" t="s">
        <v>85</v>
      </c>
      <c r="G42" s="1094"/>
      <c r="H42" s="1094"/>
      <c r="I42" s="1094"/>
      <c r="J42" s="1094"/>
      <c r="K42" s="1094"/>
      <c r="L42" s="1104"/>
      <c r="M42" s="148" t="s">
        <v>186</v>
      </c>
      <c r="N42" s="1246" t="s">
        <v>310</v>
      </c>
      <c r="O42" s="1247"/>
      <c r="P42" s="1247"/>
      <c r="Q42" s="1247"/>
      <c r="R42" s="1247"/>
      <c r="S42" s="1248"/>
      <c r="T42" s="1008" t="s">
        <v>235</v>
      </c>
      <c r="U42" s="1009"/>
      <c r="V42" s="1009"/>
      <c r="W42" s="1009"/>
      <c r="X42" s="1009"/>
      <c r="Y42" s="1009"/>
      <c r="Z42" s="1009"/>
      <c r="AA42" s="148" t="s">
        <v>186</v>
      </c>
      <c r="AB42" s="1130"/>
      <c r="AC42" s="1131"/>
      <c r="AD42" s="1131"/>
      <c r="AE42" s="1131"/>
      <c r="AF42" s="1131"/>
      <c r="AG42" s="1131"/>
      <c r="AH42" s="1131"/>
      <c r="AI42" s="1131"/>
      <c r="AJ42" s="1132"/>
      <c r="AK42" s="49"/>
      <c r="AL42" s="49"/>
      <c r="AM42" s="49"/>
      <c r="AN42" s="49"/>
      <c r="AO42" s="49"/>
      <c r="AP42" s="49"/>
      <c r="AQ42" s="49"/>
      <c r="AR42" s="49"/>
    </row>
    <row r="43" spans="1:44" ht="20.100000000000001" customHeight="1" x14ac:dyDescent="0.25">
      <c r="A43" s="18"/>
      <c r="B43" s="18"/>
      <c r="C43" s="18"/>
      <c r="D43" s="7"/>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49"/>
      <c r="AN43" s="49"/>
      <c r="AO43" s="49"/>
      <c r="AP43" s="49"/>
      <c r="AQ43" s="49"/>
      <c r="AR43" s="49"/>
    </row>
    <row r="44" spans="1:44" ht="29.25" customHeight="1" x14ac:dyDescent="0.25">
      <c r="A44" s="18"/>
      <c r="B44" s="18"/>
      <c r="C44" s="18"/>
      <c r="D44" s="7"/>
      <c r="E44" s="2"/>
      <c r="F44" s="1149" t="str">
        <f ca="1">Calculos!$AW$26</f>
        <v>Aguardando preenchimento da unidade de medida na aba Composição</v>
      </c>
      <c r="G44" s="1094"/>
      <c r="H44" s="1094"/>
      <c r="I44" s="1094"/>
      <c r="J44" s="1094"/>
      <c r="K44" s="1094"/>
      <c r="L44" s="1104"/>
      <c r="M44" s="148" t="s">
        <v>186</v>
      </c>
      <c r="N44" s="1133"/>
      <c r="O44" s="1133"/>
      <c r="P44" s="1133"/>
      <c r="Q44" s="1133"/>
      <c r="R44" s="1133"/>
      <c r="S44" s="1133"/>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ht="19.5" customHeight="1" x14ac:dyDescent="0.25">
      <c r="A45" s="18"/>
      <c r="B45" s="18"/>
      <c r="C45" s="18"/>
      <c r="D45" s="7"/>
      <c r="E45" s="2"/>
      <c r="F45" s="1149" t="s">
        <v>128</v>
      </c>
      <c r="G45" s="1094"/>
      <c r="H45" s="1094"/>
      <c r="I45" s="1094"/>
      <c r="J45" s="1094"/>
      <c r="K45" s="1094"/>
      <c r="L45" s="1094"/>
      <c r="M45" s="148" t="s">
        <v>186</v>
      </c>
      <c r="N45" s="1147"/>
      <c r="O45" s="1096"/>
      <c r="P45" s="1096"/>
      <c r="Q45" s="1096"/>
      <c r="R45" s="1096"/>
      <c r="S45" s="1097"/>
      <c r="T45" s="1286" t="s">
        <v>129</v>
      </c>
      <c r="U45" s="1286"/>
      <c r="V45" s="1286"/>
      <c r="W45" s="1286"/>
      <c r="X45" s="1286"/>
      <c r="Y45" s="1286"/>
      <c r="Z45" s="1270"/>
      <c r="AA45" s="1271"/>
      <c r="AB45" s="1271"/>
      <c r="AC45" s="1271"/>
      <c r="AD45" s="1271"/>
      <c r="AE45" s="1271"/>
      <c r="AF45" s="2"/>
      <c r="AG45" s="2"/>
      <c r="AH45" s="2"/>
      <c r="AI45" s="2"/>
      <c r="AJ45" s="2"/>
      <c r="AK45" s="2"/>
      <c r="AL45" s="2"/>
      <c r="AM45" s="2"/>
      <c r="AN45" s="2"/>
      <c r="AO45" s="2"/>
      <c r="AP45" s="2"/>
      <c r="AQ45" s="2"/>
      <c r="AR45" s="2"/>
    </row>
    <row r="46" spans="1:44" ht="20.100000000000001" customHeight="1" x14ac:dyDescent="0.25">
      <c r="A46" s="18"/>
      <c r="B46" s="18"/>
      <c r="C46" s="18"/>
      <c r="D46" s="7"/>
      <c r="E46" s="2"/>
      <c r="F46" s="1149" t="s">
        <v>226</v>
      </c>
      <c r="G46" s="1094"/>
      <c r="H46" s="1094"/>
      <c r="I46" s="1094"/>
      <c r="J46" s="1094"/>
      <c r="K46" s="1094"/>
      <c r="L46" s="1104"/>
      <c r="M46" s="148" t="s">
        <v>186</v>
      </c>
      <c r="N46" s="1213"/>
      <c r="O46" s="1214"/>
      <c r="P46" s="1214"/>
      <c r="Q46" s="1214"/>
      <c r="R46" s="1214"/>
      <c r="S46" s="1190"/>
      <c r="T46" s="1008" t="s">
        <v>323</v>
      </c>
      <c r="U46" s="1009"/>
      <c r="V46" s="1009"/>
      <c r="W46" s="1009"/>
      <c r="X46" s="1009"/>
      <c r="Y46" s="1010"/>
      <c r="Z46" s="1227"/>
      <c r="AA46" s="1269"/>
      <c r="AB46" s="1269"/>
      <c r="AC46" s="1269"/>
      <c r="AD46" s="1269"/>
      <c r="AE46" s="1228"/>
      <c r="AF46" s="2"/>
      <c r="AG46" s="2"/>
      <c r="AH46" s="2"/>
      <c r="AI46" s="2"/>
      <c r="AJ46" s="2"/>
      <c r="AK46" s="2"/>
      <c r="AL46" s="2"/>
      <c r="AM46" s="2"/>
      <c r="AN46" s="2"/>
      <c r="AO46" s="2"/>
      <c r="AP46" s="2"/>
      <c r="AQ46" s="2"/>
      <c r="AR46" s="2"/>
    </row>
    <row r="47" spans="1:44" ht="20.100000000000001" hidden="1" customHeight="1" x14ac:dyDescent="0.25">
      <c r="A47" s="18"/>
      <c r="B47" s="18"/>
      <c r="C47" s="18"/>
      <c r="D47" s="7"/>
      <c r="E47" s="2"/>
      <c r="AF47" s="2"/>
      <c r="AG47" s="2"/>
      <c r="AH47" s="2"/>
      <c r="AI47" s="2"/>
      <c r="AJ47" s="2"/>
      <c r="AK47" s="2"/>
      <c r="AL47" s="2"/>
      <c r="AM47" s="2"/>
      <c r="AN47" s="2"/>
      <c r="AO47" s="2"/>
      <c r="AP47" s="2"/>
      <c r="AQ47" s="2"/>
      <c r="AR47" s="2"/>
    </row>
    <row r="48" spans="1:44" ht="20.100000000000001" customHeight="1" x14ac:dyDescent="0.25">
      <c r="A48" s="18"/>
      <c r="B48" s="18"/>
      <c r="C48" s="18"/>
      <c r="D48" s="7"/>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ht="20.100000000000001" customHeight="1" x14ac:dyDescent="0.25">
      <c r="A49" s="18"/>
      <c r="B49" s="18"/>
      <c r="C49" s="18"/>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row>
    <row r="50" spans="1:44" ht="20.100000000000001" customHeight="1" x14ac:dyDescent="0.25">
      <c r="A50" s="18"/>
      <c r="B50" s="18"/>
      <c r="C50" s="18"/>
      <c r="D50" s="7"/>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ht="20.100000000000001" customHeight="1" x14ac:dyDescent="0.25">
      <c r="A51" s="18"/>
      <c r="B51" s="18"/>
      <c r="C51" s="18"/>
      <c r="D51" s="7"/>
      <c r="E51" s="2"/>
      <c r="F51" s="209"/>
      <c r="G51" s="209"/>
      <c r="H51" s="209"/>
      <c r="I51" s="209"/>
      <c r="J51" s="210"/>
      <c r="K51" s="210"/>
      <c r="L51" s="210"/>
      <c r="M51" s="210"/>
      <c r="N51" s="210"/>
      <c r="O51" s="210"/>
      <c r="P51" s="210"/>
      <c r="Q51" s="210"/>
      <c r="R51" s="210"/>
      <c r="S51" s="210"/>
      <c r="T51" s="210"/>
      <c r="U51" s="210"/>
      <c r="V51" s="211" t="s">
        <v>315</v>
      </c>
      <c r="W51" s="209"/>
      <c r="X51" s="210"/>
      <c r="Y51" s="210"/>
      <c r="Z51" s="210"/>
      <c r="AA51" s="210"/>
      <c r="AB51" s="209"/>
      <c r="AC51" s="209"/>
      <c r="AD51" s="209"/>
      <c r="AE51" s="209"/>
      <c r="AF51" s="209"/>
      <c r="AG51" s="209"/>
      <c r="AH51" s="209"/>
      <c r="AI51" s="209"/>
      <c r="AJ51" s="209"/>
      <c r="AK51" s="209"/>
      <c r="AL51" s="209"/>
      <c r="AM51" s="209"/>
      <c r="AN51" s="209"/>
      <c r="AO51" s="209"/>
      <c r="AP51" s="209"/>
      <c r="AQ51" s="209"/>
      <c r="AR51" s="209"/>
    </row>
    <row r="52" spans="1:44" ht="20.100000000000001" customHeight="1" x14ac:dyDescent="0.25">
      <c r="A52" s="18"/>
      <c r="B52" s="18"/>
      <c r="C52" s="18"/>
      <c r="D52" s="7"/>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20.100000000000001" customHeight="1" x14ac:dyDescent="0.25">
      <c r="A53" s="18"/>
      <c r="B53" s="18"/>
      <c r="C53" s="18"/>
      <c r="D53" s="7"/>
      <c r="E53" s="2"/>
      <c r="F53" s="2"/>
      <c r="G53" s="2"/>
      <c r="H53" s="2"/>
      <c r="I53" s="2"/>
      <c r="J53" s="2"/>
      <c r="K53" s="2"/>
      <c r="L53" s="979" t="s">
        <v>43</v>
      </c>
      <c r="M53" s="980"/>
      <c r="N53" s="980"/>
      <c r="O53" s="980"/>
      <c r="P53" s="980"/>
      <c r="Q53" s="980"/>
      <c r="R53" s="980"/>
      <c r="S53" s="980"/>
      <c r="T53" s="980"/>
      <c r="U53" s="980"/>
      <c r="V53" s="980"/>
      <c r="W53" s="1272"/>
      <c r="X53" s="1012" t="s">
        <v>231</v>
      </c>
      <c r="Y53" s="1012"/>
      <c r="Z53" s="1012"/>
      <c r="AA53" s="1012"/>
      <c r="AF53" s="2"/>
      <c r="AG53" s="2"/>
      <c r="AH53" s="2"/>
      <c r="AI53" s="2"/>
      <c r="AJ53" s="2"/>
      <c r="AK53" s="2"/>
      <c r="AL53" s="2"/>
      <c r="AM53" s="2"/>
      <c r="AN53" s="2"/>
      <c r="AO53" s="2"/>
      <c r="AP53" s="2"/>
      <c r="AQ53" s="2"/>
      <c r="AR53" s="2"/>
    </row>
    <row r="54" spans="1:44" ht="20.100000000000001" customHeight="1" x14ac:dyDescent="0.25">
      <c r="A54" s="18"/>
      <c r="B54" s="18"/>
      <c r="C54" s="18"/>
      <c r="D54" s="7"/>
      <c r="E54" s="2"/>
      <c r="F54" s="2"/>
      <c r="G54" s="2"/>
      <c r="H54" s="2"/>
      <c r="I54" s="2"/>
      <c r="J54" s="2"/>
      <c r="K54" s="2"/>
      <c r="L54" s="1268" t="s">
        <v>44</v>
      </c>
      <c r="M54" s="1268"/>
      <c r="N54" s="1268"/>
      <c r="O54" s="1268"/>
      <c r="P54" s="1268" t="s">
        <v>47</v>
      </c>
      <c r="Q54" s="1268"/>
      <c r="R54" s="1268"/>
      <c r="S54" s="1268"/>
      <c r="T54" s="1268" t="s">
        <v>48</v>
      </c>
      <c r="U54" s="1268"/>
      <c r="V54" s="1268"/>
      <c r="W54" s="1280"/>
      <c r="X54" s="1012"/>
      <c r="Y54" s="1012"/>
      <c r="Z54" s="1012"/>
      <c r="AA54" s="1012"/>
      <c r="AF54" s="2"/>
      <c r="AG54" s="2"/>
      <c r="AH54" s="2"/>
      <c r="AI54" s="2"/>
      <c r="AJ54" s="2"/>
      <c r="AK54" s="2"/>
      <c r="AL54" s="2"/>
      <c r="AM54" s="2"/>
      <c r="AN54" s="2"/>
      <c r="AO54" s="2"/>
      <c r="AP54" s="2"/>
      <c r="AQ54" s="2"/>
      <c r="AR54" s="2"/>
    </row>
    <row r="55" spans="1:44" ht="20.100000000000001" customHeight="1" x14ac:dyDescent="0.25">
      <c r="A55" s="18"/>
      <c r="B55" s="18"/>
      <c r="C55" s="18"/>
      <c r="D55" s="7"/>
      <c r="E55" s="2"/>
      <c r="F55" s="1285" t="s">
        <v>49</v>
      </c>
      <c r="G55" s="1285"/>
      <c r="H55" s="1285"/>
      <c r="I55" s="1238" t="s">
        <v>35</v>
      </c>
      <c r="J55" s="1238"/>
      <c r="K55" s="1238"/>
      <c r="L55" s="1275" t="s">
        <v>45</v>
      </c>
      <c r="M55" s="1275"/>
      <c r="N55" s="1275" t="s">
        <v>46</v>
      </c>
      <c r="O55" s="1275"/>
      <c r="P55" s="1275" t="s">
        <v>45</v>
      </c>
      <c r="Q55" s="1275"/>
      <c r="R55" s="1275" t="s">
        <v>46</v>
      </c>
      <c r="S55" s="1275"/>
      <c r="T55" s="1275" t="s">
        <v>45</v>
      </c>
      <c r="U55" s="1275"/>
      <c r="V55" s="1275" t="s">
        <v>46</v>
      </c>
      <c r="W55" s="979"/>
      <c r="X55" s="1268" t="s">
        <v>45</v>
      </c>
      <c r="Y55" s="1268"/>
      <c r="Z55" s="1268" t="s">
        <v>46</v>
      </c>
      <c r="AA55" s="1268"/>
      <c r="AF55" s="2"/>
      <c r="AG55" s="2"/>
      <c r="AH55" s="2"/>
      <c r="AI55" s="2"/>
      <c r="AJ55" s="2"/>
      <c r="AK55" s="2"/>
      <c r="AL55" s="2"/>
      <c r="AM55" s="2"/>
      <c r="AN55" s="2"/>
      <c r="AO55" s="2"/>
      <c r="AP55" s="2"/>
      <c r="AQ55" s="2"/>
      <c r="AR55" s="2"/>
    </row>
    <row r="56" spans="1:44" ht="20.100000000000001" customHeight="1" x14ac:dyDescent="0.25">
      <c r="A56" s="18"/>
      <c r="B56" s="18"/>
      <c r="C56" s="18"/>
      <c r="D56" s="7"/>
      <c r="E56" s="2"/>
      <c r="F56" s="1267" t="s">
        <v>50</v>
      </c>
      <c r="G56" s="1267"/>
      <c r="H56" s="1267"/>
      <c r="I56" s="1209"/>
      <c r="J56" s="1209"/>
      <c r="K56" s="1209"/>
      <c r="L56" s="1227"/>
      <c r="M56" s="1228"/>
      <c r="N56" s="1227"/>
      <c r="O56" s="1228"/>
      <c r="P56" s="1227"/>
      <c r="Q56" s="1228"/>
      <c r="R56" s="1227"/>
      <c r="S56" s="1228"/>
      <c r="T56" s="1227"/>
      <c r="U56" s="1228"/>
      <c r="V56" s="1227"/>
      <c r="W56" s="1228"/>
      <c r="X56" s="1258">
        <f ca="1">Calculos!J206</f>
        <v>0</v>
      </c>
      <c r="Y56" s="1258"/>
      <c r="Z56" s="1258">
        <f ca="1">Calculos!K206</f>
        <v>0</v>
      </c>
      <c r="AA56" s="1258"/>
      <c r="AF56" s="2"/>
      <c r="AG56" s="2"/>
      <c r="AH56" s="2"/>
      <c r="AI56" s="2"/>
      <c r="AJ56" s="2"/>
      <c r="AK56" s="2"/>
      <c r="AL56" s="2"/>
      <c r="AM56" s="2"/>
      <c r="AN56" s="2"/>
      <c r="AO56" s="2"/>
      <c r="AP56" s="2"/>
      <c r="AQ56" s="2"/>
      <c r="AR56" s="2"/>
    </row>
    <row r="57" spans="1:44" ht="20.100000000000001" customHeight="1" x14ac:dyDescent="0.25">
      <c r="A57" s="18"/>
      <c r="B57" s="18"/>
      <c r="C57" s="18"/>
      <c r="D57" s="7"/>
      <c r="E57" s="2"/>
      <c r="F57" s="1267" t="s">
        <v>51</v>
      </c>
      <c r="G57" s="1267"/>
      <c r="H57" s="1267"/>
      <c r="I57" s="1209"/>
      <c r="J57" s="1209"/>
      <c r="K57" s="1209"/>
      <c r="L57" s="1227"/>
      <c r="M57" s="1228"/>
      <c r="N57" s="1227"/>
      <c r="O57" s="1228"/>
      <c r="P57" s="1227"/>
      <c r="Q57" s="1228"/>
      <c r="R57" s="1227"/>
      <c r="S57" s="1228"/>
      <c r="T57" s="1227"/>
      <c r="U57" s="1228"/>
      <c r="V57" s="1227"/>
      <c r="W57" s="1228"/>
      <c r="X57" s="1258">
        <f ca="1">Calculos!J207</f>
        <v>0</v>
      </c>
      <c r="Y57" s="1258"/>
      <c r="Z57" s="1258">
        <f ca="1">Calculos!K207</f>
        <v>0</v>
      </c>
      <c r="AA57" s="1258"/>
      <c r="AF57" s="2"/>
      <c r="AG57" s="2"/>
      <c r="AH57" s="2"/>
      <c r="AI57" s="2"/>
      <c r="AJ57" s="2"/>
      <c r="AK57" s="2"/>
      <c r="AL57" s="2"/>
      <c r="AM57" s="2"/>
      <c r="AN57" s="2"/>
      <c r="AO57" s="2"/>
      <c r="AP57" s="2"/>
      <c r="AQ57" s="2"/>
      <c r="AR57" s="2"/>
    </row>
    <row r="58" spans="1:44" ht="20.100000000000001" customHeight="1" x14ac:dyDescent="0.25">
      <c r="A58" s="18"/>
      <c r="B58" s="18"/>
      <c r="C58" s="18"/>
      <c r="D58" s="7"/>
      <c r="E58" s="2"/>
      <c r="F58" s="1267" t="s">
        <v>52</v>
      </c>
      <c r="G58" s="1267"/>
      <c r="H58" s="1267"/>
      <c r="I58" s="1209"/>
      <c r="J58" s="1209"/>
      <c r="K58" s="1209"/>
      <c r="L58" s="1227"/>
      <c r="M58" s="1228"/>
      <c r="N58" s="1227"/>
      <c r="O58" s="1228"/>
      <c r="P58" s="1227"/>
      <c r="Q58" s="1228"/>
      <c r="R58" s="1227"/>
      <c r="S58" s="1228"/>
      <c r="T58" s="1227"/>
      <c r="U58" s="1228"/>
      <c r="V58" s="1227"/>
      <c r="W58" s="1228"/>
      <c r="X58" s="1258">
        <f ca="1">Calculos!J208</f>
        <v>0</v>
      </c>
      <c r="Y58" s="1258"/>
      <c r="Z58" s="1258">
        <f ca="1">Calculos!K208</f>
        <v>0</v>
      </c>
      <c r="AA58" s="1258"/>
      <c r="AF58" s="2"/>
      <c r="AG58" s="2"/>
      <c r="AH58" s="2"/>
      <c r="AI58" s="2"/>
      <c r="AJ58" s="2"/>
      <c r="AK58" s="2"/>
      <c r="AL58" s="2"/>
      <c r="AM58" s="2"/>
      <c r="AN58" s="2"/>
      <c r="AO58" s="2"/>
      <c r="AP58" s="2"/>
      <c r="AQ58" s="2"/>
      <c r="AR58" s="2"/>
    </row>
    <row r="59" spans="1:44" ht="20.100000000000001" customHeight="1" x14ac:dyDescent="0.25">
      <c r="A59" s="18"/>
      <c r="B59" s="18"/>
      <c r="C59" s="18"/>
      <c r="D59" s="7"/>
      <c r="E59" s="2"/>
      <c r="F59" s="1267" t="s">
        <v>53</v>
      </c>
      <c r="G59" s="1267"/>
      <c r="H59" s="1267"/>
      <c r="I59" s="1209"/>
      <c r="J59" s="1209"/>
      <c r="K59" s="1209"/>
      <c r="L59" s="1227"/>
      <c r="M59" s="1228"/>
      <c r="N59" s="1227"/>
      <c r="O59" s="1228"/>
      <c r="P59" s="1227"/>
      <c r="Q59" s="1228"/>
      <c r="R59" s="1227"/>
      <c r="S59" s="1228"/>
      <c r="T59" s="1227"/>
      <c r="U59" s="1228"/>
      <c r="V59" s="1227"/>
      <c r="W59" s="1228"/>
      <c r="X59" s="1258">
        <f ca="1">Calculos!J209</f>
        <v>0</v>
      </c>
      <c r="Y59" s="1258"/>
      <c r="Z59" s="1258">
        <f ca="1">Calculos!K209</f>
        <v>0</v>
      </c>
      <c r="AA59" s="1258"/>
      <c r="AF59" s="2"/>
      <c r="AG59" s="2"/>
      <c r="AH59" s="2"/>
      <c r="AI59" s="2"/>
      <c r="AJ59" s="2"/>
      <c r="AK59" s="2"/>
      <c r="AL59" s="2"/>
      <c r="AM59" s="2"/>
      <c r="AN59" s="2"/>
      <c r="AO59" s="2"/>
      <c r="AP59" s="2"/>
      <c r="AQ59" s="2"/>
      <c r="AR59" s="2"/>
    </row>
    <row r="60" spans="1:44" ht="20.100000000000001" customHeight="1" x14ac:dyDescent="0.25">
      <c r="A60" s="18"/>
      <c r="B60" s="18"/>
      <c r="C60" s="18"/>
      <c r="D60" s="7"/>
      <c r="E60" s="2"/>
      <c r="F60" s="1267" t="s">
        <v>54</v>
      </c>
      <c r="G60" s="1267"/>
      <c r="H60" s="1267"/>
      <c r="I60" s="1209"/>
      <c r="J60" s="1209"/>
      <c r="K60" s="1209"/>
      <c r="L60" s="1227"/>
      <c r="M60" s="1228"/>
      <c r="N60" s="1227"/>
      <c r="O60" s="1228"/>
      <c r="P60" s="1227"/>
      <c r="Q60" s="1228"/>
      <c r="R60" s="1227"/>
      <c r="S60" s="1228"/>
      <c r="T60" s="1227"/>
      <c r="U60" s="1228"/>
      <c r="V60" s="1227"/>
      <c r="W60" s="1228"/>
      <c r="X60" s="1258">
        <f ca="1">Calculos!J210</f>
        <v>0</v>
      </c>
      <c r="Y60" s="1258"/>
      <c r="Z60" s="1258">
        <f ca="1">Calculos!K210</f>
        <v>0</v>
      </c>
      <c r="AA60" s="1258"/>
      <c r="AF60" s="2"/>
      <c r="AG60" s="2"/>
      <c r="AH60" s="2"/>
      <c r="AI60" s="2"/>
      <c r="AJ60" s="2"/>
      <c r="AK60" s="2"/>
      <c r="AL60" s="2"/>
      <c r="AM60" s="2"/>
      <c r="AN60" s="2"/>
      <c r="AO60" s="2"/>
      <c r="AP60" s="2"/>
      <c r="AQ60" s="2"/>
      <c r="AR60" s="2"/>
    </row>
    <row r="61" spans="1:44" ht="20.100000000000001" customHeight="1" x14ac:dyDescent="0.25">
      <c r="A61" s="18"/>
      <c r="B61" s="18"/>
      <c r="C61" s="18"/>
      <c r="D61" s="7"/>
      <c r="E61" s="2"/>
      <c r="F61" s="1267" t="s">
        <v>55</v>
      </c>
      <c r="G61" s="1267"/>
      <c r="H61" s="1267"/>
      <c r="I61" s="1209"/>
      <c r="J61" s="1209"/>
      <c r="K61" s="1209"/>
      <c r="L61" s="1227"/>
      <c r="M61" s="1228"/>
      <c r="N61" s="1227"/>
      <c r="O61" s="1228"/>
      <c r="P61" s="1227"/>
      <c r="Q61" s="1228"/>
      <c r="R61" s="1227"/>
      <c r="S61" s="1228"/>
      <c r="T61" s="1227"/>
      <c r="U61" s="1228"/>
      <c r="V61" s="1227"/>
      <c r="W61" s="1228"/>
      <c r="X61" s="1258">
        <f ca="1">Calculos!J211</f>
        <v>0</v>
      </c>
      <c r="Y61" s="1258"/>
      <c r="Z61" s="1258">
        <f ca="1">Calculos!K211</f>
        <v>0</v>
      </c>
      <c r="AA61" s="1258"/>
      <c r="AF61" s="2"/>
      <c r="AG61" s="2"/>
      <c r="AH61" s="2"/>
      <c r="AI61" s="2"/>
      <c r="AJ61" s="2"/>
      <c r="AK61" s="2"/>
      <c r="AL61" s="2"/>
      <c r="AM61" s="2"/>
      <c r="AN61" s="2"/>
      <c r="AO61" s="2"/>
      <c r="AP61" s="2"/>
      <c r="AQ61" s="2"/>
      <c r="AR61" s="2"/>
    </row>
    <row r="62" spans="1:44" ht="20.100000000000001" customHeight="1" x14ac:dyDescent="0.25">
      <c r="A62" s="18"/>
      <c r="B62" s="18"/>
      <c r="C62" s="18"/>
      <c r="D62" s="7"/>
      <c r="E62" s="2"/>
      <c r="F62" s="1267" t="s">
        <v>56</v>
      </c>
      <c r="G62" s="1267"/>
      <c r="H62" s="1267"/>
      <c r="I62" s="1209"/>
      <c r="J62" s="1209"/>
      <c r="K62" s="1209"/>
      <c r="L62" s="1227"/>
      <c r="M62" s="1228"/>
      <c r="N62" s="1227"/>
      <c r="O62" s="1228"/>
      <c r="P62" s="1227"/>
      <c r="Q62" s="1228"/>
      <c r="R62" s="1227"/>
      <c r="S62" s="1228"/>
      <c r="T62" s="1227"/>
      <c r="U62" s="1228"/>
      <c r="V62" s="1227"/>
      <c r="W62" s="1228"/>
      <c r="X62" s="1258">
        <f ca="1">Calculos!J212</f>
        <v>0</v>
      </c>
      <c r="Y62" s="1258"/>
      <c r="Z62" s="1258">
        <f ca="1">Calculos!K212</f>
        <v>0</v>
      </c>
      <c r="AA62" s="1258"/>
      <c r="AF62" s="2"/>
      <c r="AG62" s="2"/>
      <c r="AH62" s="2"/>
      <c r="AI62" s="2"/>
      <c r="AJ62" s="2"/>
      <c r="AK62" s="2"/>
      <c r="AL62" s="2"/>
      <c r="AM62" s="2"/>
      <c r="AN62" s="2"/>
      <c r="AO62" s="2"/>
      <c r="AP62" s="2"/>
      <c r="AQ62" s="2"/>
      <c r="AR62" s="2"/>
    </row>
    <row r="63" spans="1:44" ht="20.100000000000001" customHeight="1" x14ac:dyDescent="0.25">
      <c r="A63" s="18"/>
      <c r="B63" s="18"/>
      <c r="C63" s="18"/>
      <c r="D63" s="7"/>
      <c r="E63" s="2"/>
      <c r="F63" s="1267" t="s">
        <v>57</v>
      </c>
      <c r="G63" s="1267"/>
      <c r="H63" s="1267"/>
      <c r="I63" s="1209"/>
      <c r="J63" s="1209"/>
      <c r="K63" s="1209"/>
      <c r="L63" s="1227"/>
      <c r="M63" s="1228"/>
      <c r="N63" s="1227"/>
      <c r="O63" s="1228"/>
      <c r="P63" s="1227"/>
      <c r="Q63" s="1228"/>
      <c r="R63" s="1227"/>
      <c r="S63" s="1228"/>
      <c r="T63" s="1227"/>
      <c r="U63" s="1228"/>
      <c r="V63" s="1227"/>
      <c r="W63" s="1228"/>
      <c r="X63" s="1258">
        <f ca="1">Calculos!J213</f>
        <v>0</v>
      </c>
      <c r="Y63" s="1258"/>
      <c r="Z63" s="1258">
        <f ca="1">Calculos!K213</f>
        <v>0</v>
      </c>
      <c r="AA63" s="1258"/>
      <c r="AF63" s="2"/>
      <c r="AG63" s="2"/>
      <c r="AH63" s="2"/>
      <c r="AI63" s="2"/>
      <c r="AJ63" s="2"/>
      <c r="AK63" s="2"/>
      <c r="AL63" s="2"/>
      <c r="AM63" s="2"/>
      <c r="AN63" s="2"/>
      <c r="AO63" s="2"/>
      <c r="AP63" s="2"/>
      <c r="AQ63" s="2"/>
      <c r="AR63" s="2"/>
    </row>
    <row r="64" spans="1:44" ht="20.100000000000001" customHeight="1" x14ac:dyDescent="0.25">
      <c r="A64" s="18"/>
      <c r="B64" s="18"/>
      <c r="C64" s="18"/>
      <c r="D64" s="7"/>
      <c r="E64" s="2"/>
      <c r="F64" s="1267" t="s">
        <v>58</v>
      </c>
      <c r="G64" s="1267"/>
      <c r="H64" s="1267"/>
      <c r="I64" s="1209"/>
      <c r="J64" s="1209"/>
      <c r="K64" s="1209"/>
      <c r="L64" s="1227"/>
      <c r="M64" s="1228"/>
      <c r="N64" s="1227"/>
      <c r="O64" s="1228"/>
      <c r="P64" s="1227"/>
      <c r="Q64" s="1228"/>
      <c r="R64" s="1227"/>
      <c r="S64" s="1228"/>
      <c r="T64" s="1227"/>
      <c r="U64" s="1228"/>
      <c r="V64" s="1227"/>
      <c r="W64" s="1228"/>
      <c r="X64" s="1258">
        <f ca="1">Calculos!J214</f>
        <v>0</v>
      </c>
      <c r="Y64" s="1258"/>
      <c r="Z64" s="1258">
        <f ca="1">Calculos!K214</f>
        <v>0</v>
      </c>
      <c r="AA64" s="1258"/>
      <c r="AF64" s="2"/>
      <c r="AG64" s="2"/>
      <c r="AH64" s="2"/>
      <c r="AI64" s="2"/>
      <c r="AJ64" s="2"/>
      <c r="AK64" s="2"/>
      <c r="AL64" s="2"/>
      <c r="AM64" s="2"/>
      <c r="AN64" s="2"/>
      <c r="AO64" s="2"/>
      <c r="AP64" s="2"/>
      <c r="AQ64" s="2"/>
      <c r="AR64" s="2"/>
    </row>
    <row r="65" spans="1:44" ht="20.100000000000001" customHeight="1" x14ac:dyDescent="0.25">
      <c r="A65" s="18"/>
      <c r="B65" s="18"/>
      <c r="C65" s="18"/>
      <c r="D65" s="7"/>
      <c r="E65" s="2"/>
      <c r="F65" s="1267" t="s">
        <v>59</v>
      </c>
      <c r="G65" s="1267"/>
      <c r="H65" s="1267"/>
      <c r="I65" s="1209"/>
      <c r="J65" s="1209"/>
      <c r="K65" s="1209"/>
      <c r="L65" s="1227"/>
      <c r="M65" s="1228"/>
      <c r="N65" s="1227"/>
      <c r="O65" s="1228"/>
      <c r="P65" s="1227"/>
      <c r="Q65" s="1228"/>
      <c r="R65" s="1227"/>
      <c r="S65" s="1228"/>
      <c r="T65" s="1227"/>
      <c r="U65" s="1228"/>
      <c r="V65" s="1227"/>
      <c r="W65" s="1228"/>
      <c r="X65" s="1258">
        <f ca="1">Calculos!J215</f>
        <v>0</v>
      </c>
      <c r="Y65" s="1258"/>
      <c r="Z65" s="1258">
        <f ca="1">Calculos!K215</f>
        <v>0</v>
      </c>
      <c r="AA65" s="1258"/>
      <c r="AF65" s="231"/>
      <c r="AG65" s="231"/>
      <c r="AH65" s="231"/>
      <c r="AI65" s="231"/>
      <c r="AJ65" s="231"/>
      <c r="AK65" s="231"/>
      <c r="AL65" s="231"/>
      <c r="AM65" s="231"/>
      <c r="AN65" s="231"/>
      <c r="AO65" s="2"/>
      <c r="AP65" s="2"/>
      <c r="AQ65" s="2"/>
      <c r="AR65" s="2"/>
    </row>
    <row r="66" spans="1:44" ht="20.100000000000001" customHeight="1" x14ac:dyDescent="0.25">
      <c r="A66" s="18"/>
      <c r="B66" s="18"/>
      <c r="C66" s="18"/>
      <c r="D66" s="7"/>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99.95" customHeight="1" x14ac:dyDescent="0.25">
      <c r="A67" s="18"/>
      <c r="B67" s="18"/>
      <c r="C67" s="18"/>
      <c r="D67" s="7"/>
      <c r="E67" s="2"/>
      <c r="F67" s="1049" t="s">
        <v>8015</v>
      </c>
      <c r="G67" s="1050"/>
      <c r="H67" s="1050"/>
      <c r="I67" s="1050"/>
      <c r="J67" s="1050"/>
      <c r="K67" s="1050"/>
      <c r="L67" s="1239"/>
      <c r="M67" s="148" t="s">
        <v>186</v>
      </c>
      <c r="N67" s="1032"/>
      <c r="O67" s="1033"/>
      <c r="P67" s="1033"/>
      <c r="Q67" s="1033"/>
      <c r="R67" s="1033"/>
      <c r="S67" s="1033"/>
      <c r="T67" s="1033"/>
      <c r="U67" s="1033"/>
      <c r="V67" s="1033"/>
      <c r="W67" s="1033"/>
      <c r="X67" s="1033"/>
      <c r="Y67" s="1033"/>
      <c r="Z67" s="1033"/>
      <c r="AA67" s="1033"/>
      <c r="AB67" s="1033"/>
      <c r="AC67" s="1033"/>
      <c r="AD67" s="1033"/>
      <c r="AE67" s="1033"/>
      <c r="AF67" s="1033"/>
      <c r="AG67" s="1033"/>
      <c r="AH67" s="1033"/>
      <c r="AI67" s="1033"/>
      <c r="AJ67" s="1033"/>
      <c r="AK67" s="1033"/>
      <c r="AL67" s="1033"/>
      <c r="AM67" s="1034"/>
      <c r="AN67" s="1100" t="s">
        <v>271</v>
      </c>
      <c r="AO67" s="1101"/>
      <c r="AP67" s="1101"/>
      <c r="AQ67" s="1101"/>
      <c r="AR67" s="4"/>
    </row>
    <row r="68" spans="1:44" ht="20.100000000000001" customHeight="1" x14ac:dyDescent="0.25">
      <c r="A68" s="18"/>
      <c r="B68" s="18"/>
      <c r="C68" s="18"/>
      <c r="D68" s="7"/>
      <c r="E68" s="2"/>
      <c r="AO68" s="4"/>
      <c r="AP68" s="4"/>
      <c r="AQ68" s="4"/>
      <c r="AR68" s="4"/>
    </row>
    <row r="69" spans="1:44" s="7" customFormat="1" ht="20.100000000000001" customHeight="1" x14ac:dyDescent="0.25">
      <c r="A69" s="18"/>
      <c r="B69" s="18"/>
      <c r="C69" s="18"/>
    </row>
    <row r="70" spans="1:44" ht="20.100000000000001" customHeight="1" x14ac:dyDescent="0.25">
      <c r="A70" s="18"/>
      <c r="B70" s="18"/>
      <c r="C70" s="18"/>
      <c r="D70" s="7"/>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s="7" customFormat="1" ht="50.1" customHeight="1" x14ac:dyDescent="0.25">
      <c r="A71" s="18"/>
      <c r="B71" s="18"/>
      <c r="C71" s="18"/>
      <c r="E71" s="2"/>
      <c r="F71" s="232"/>
      <c r="G71" s="233"/>
      <c r="H71" s="233"/>
      <c r="I71" s="233"/>
      <c r="J71" s="233"/>
      <c r="K71" s="233"/>
      <c r="L71" s="233"/>
      <c r="M71" s="219"/>
      <c r="N71" s="220"/>
      <c r="O71" s="1240" t="s">
        <v>223</v>
      </c>
      <c r="P71" s="1240"/>
      <c r="Q71" s="1240"/>
      <c r="R71" s="1240"/>
      <c r="S71" s="1240"/>
      <c r="T71" s="1240"/>
      <c r="U71" s="1240"/>
      <c r="V71" s="1240"/>
      <c r="W71" s="1240"/>
      <c r="X71" s="1240"/>
      <c r="Y71" s="1240"/>
      <c r="Z71" s="1240"/>
      <c r="AA71" s="1240"/>
      <c r="AB71" s="1240"/>
      <c r="AC71" s="1240"/>
      <c r="AD71" s="1240"/>
      <c r="AE71" s="1240"/>
      <c r="AF71" s="1240"/>
      <c r="AG71" s="1240"/>
      <c r="AH71" s="1240"/>
      <c r="AI71" s="1240"/>
      <c r="AJ71" s="1240"/>
      <c r="AK71" s="1240"/>
      <c r="AL71" s="1240"/>
      <c r="AM71" s="1240"/>
      <c r="AN71" s="116"/>
      <c r="AO71" s="116"/>
      <c r="AP71" s="116"/>
      <c r="AQ71" s="116"/>
      <c r="AR71" s="116"/>
    </row>
    <row r="72" spans="1:44" ht="50.1" customHeight="1" x14ac:dyDescent="0.25">
      <c r="A72" s="18"/>
      <c r="B72" s="18"/>
      <c r="C72" s="18"/>
      <c r="D72" s="7"/>
      <c r="E72" s="2"/>
      <c r="F72" s="234"/>
      <c r="G72" s="184"/>
      <c r="H72" s="184"/>
      <c r="I72" s="184"/>
      <c r="J72" s="184"/>
      <c r="K72" s="184"/>
      <c r="L72" s="184"/>
      <c r="M72" s="235"/>
      <c r="N72" s="220"/>
      <c r="O72" s="1284" t="s">
        <v>201</v>
      </c>
      <c r="P72" s="1284"/>
      <c r="Q72" s="1284"/>
      <c r="R72" s="1284"/>
      <c r="S72" s="1284"/>
      <c r="T72" s="1284"/>
      <c r="U72" s="1284"/>
      <c r="V72" s="1284"/>
      <c r="W72" s="1284"/>
      <c r="X72" s="1284"/>
      <c r="Y72" s="1284"/>
      <c r="Z72" s="1284"/>
      <c r="AA72" s="1284"/>
      <c r="AB72" s="1284"/>
      <c r="AC72" s="1284"/>
      <c r="AD72" s="1284"/>
      <c r="AE72" s="1284"/>
      <c r="AF72" s="1284"/>
      <c r="AG72" s="1284"/>
      <c r="AH72" s="1284"/>
      <c r="AI72" s="1284"/>
      <c r="AJ72" s="1284"/>
      <c r="AK72" s="1284"/>
      <c r="AL72" s="1284"/>
      <c r="AM72" s="1284"/>
      <c r="AN72" s="116"/>
      <c r="AO72" s="116"/>
      <c r="AP72" s="116"/>
      <c r="AQ72" s="116"/>
      <c r="AR72" s="116"/>
    </row>
    <row r="73" spans="1:44" ht="50.1" customHeight="1" x14ac:dyDescent="0.25">
      <c r="A73" s="18"/>
      <c r="B73" s="18"/>
      <c r="C73" s="18"/>
      <c r="D73" s="7"/>
      <c r="E73" s="2"/>
      <c r="F73" s="1195" t="s">
        <v>324</v>
      </c>
      <c r="G73" s="1084"/>
      <c r="H73" s="1084"/>
      <c r="I73" s="1084"/>
      <c r="J73" s="1084"/>
      <c r="K73" s="1084"/>
      <c r="L73" s="1084"/>
      <c r="M73" s="191" t="s">
        <v>186</v>
      </c>
      <c r="N73" s="220"/>
      <c r="O73" s="1284" t="s">
        <v>202</v>
      </c>
      <c r="P73" s="1284"/>
      <c r="Q73" s="1284"/>
      <c r="R73" s="1284"/>
      <c r="S73" s="1284"/>
      <c r="T73" s="1284"/>
      <c r="U73" s="1284"/>
      <c r="V73" s="1284"/>
      <c r="W73" s="1284"/>
      <c r="X73" s="1284"/>
      <c r="Y73" s="1284"/>
      <c r="Z73" s="1284"/>
      <c r="AA73" s="1284"/>
      <c r="AB73" s="1284"/>
      <c r="AC73" s="1284"/>
      <c r="AD73" s="1284"/>
      <c r="AE73" s="1284"/>
      <c r="AF73" s="1284"/>
      <c r="AG73" s="1284"/>
      <c r="AH73" s="1284"/>
      <c r="AI73" s="1284"/>
      <c r="AJ73" s="1284"/>
      <c r="AK73" s="1284"/>
      <c r="AL73" s="1284"/>
      <c r="AM73" s="1284"/>
      <c r="AN73" s="116"/>
      <c r="AO73" s="116"/>
      <c r="AP73" s="116"/>
      <c r="AQ73" s="116"/>
      <c r="AR73" s="116"/>
    </row>
    <row r="74" spans="1:44" ht="50.1" customHeight="1" x14ac:dyDescent="0.25">
      <c r="A74" s="18"/>
      <c r="B74" s="18"/>
      <c r="C74" s="18"/>
      <c r="D74" s="7"/>
      <c r="E74" s="2"/>
      <c r="F74" s="234"/>
      <c r="G74" s="184"/>
      <c r="H74" s="184"/>
      <c r="I74" s="184"/>
      <c r="J74" s="184"/>
      <c r="K74" s="184"/>
      <c r="L74" s="184"/>
      <c r="M74" s="235"/>
      <c r="N74" s="220"/>
      <c r="O74" s="1284" t="s">
        <v>325</v>
      </c>
      <c r="P74" s="1284"/>
      <c r="Q74" s="1284"/>
      <c r="R74" s="1284"/>
      <c r="S74" s="1284"/>
      <c r="T74" s="1284"/>
      <c r="U74" s="1284"/>
      <c r="V74" s="1284"/>
      <c r="W74" s="1284"/>
      <c r="X74" s="1284"/>
      <c r="Y74" s="1284"/>
      <c r="Z74" s="1284"/>
      <c r="AA74" s="1284"/>
      <c r="AB74" s="1284"/>
      <c r="AC74" s="1284"/>
      <c r="AD74" s="1284"/>
      <c r="AE74" s="1284"/>
      <c r="AF74" s="1284"/>
      <c r="AG74" s="1284"/>
      <c r="AH74" s="1284"/>
      <c r="AI74" s="1284"/>
      <c r="AJ74" s="1284"/>
      <c r="AK74" s="1284"/>
      <c r="AL74" s="1284"/>
      <c r="AM74" s="1284"/>
      <c r="AN74" s="116"/>
      <c r="AO74" s="116"/>
      <c r="AP74" s="116"/>
      <c r="AQ74" s="116"/>
      <c r="AR74" s="116"/>
    </row>
    <row r="75" spans="1:44" ht="50.1" customHeight="1" x14ac:dyDescent="0.25">
      <c r="A75" s="18"/>
      <c r="B75" s="18"/>
      <c r="C75" s="18"/>
      <c r="D75" s="7"/>
      <c r="E75" s="2"/>
      <c r="F75" s="234"/>
      <c r="G75" s="184"/>
      <c r="H75" s="184"/>
      <c r="I75" s="184"/>
      <c r="J75" s="184"/>
      <c r="K75" s="184"/>
      <c r="L75" s="184"/>
      <c r="M75" s="223"/>
      <c r="N75" s="220"/>
      <c r="O75" s="1284" t="s">
        <v>326</v>
      </c>
      <c r="P75" s="1284"/>
      <c r="Q75" s="1284"/>
      <c r="R75" s="1284"/>
      <c r="S75" s="1284"/>
      <c r="T75" s="1284"/>
      <c r="U75" s="1284"/>
      <c r="V75" s="1284"/>
      <c r="W75" s="1284"/>
      <c r="X75" s="1284"/>
      <c r="Y75" s="1284"/>
      <c r="Z75" s="1284"/>
      <c r="AA75" s="1284"/>
      <c r="AB75" s="1284"/>
      <c r="AC75" s="1284"/>
      <c r="AD75" s="1284"/>
      <c r="AE75" s="1284"/>
      <c r="AF75" s="1284"/>
      <c r="AG75" s="1284"/>
      <c r="AH75" s="1284"/>
      <c r="AI75" s="1284"/>
      <c r="AJ75" s="1284"/>
      <c r="AK75" s="1284"/>
      <c r="AL75" s="1284"/>
      <c r="AM75" s="1284"/>
      <c r="AN75" s="116"/>
      <c r="AO75" s="116"/>
      <c r="AP75" s="116"/>
      <c r="AQ75" s="116"/>
      <c r="AR75" s="116"/>
    </row>
    <row r="76" spans="1:44" ht="50.1" customHeight="1" x14ac:dyDescent="0.25">
      <c r="A76" s="18"/>
      <c r="B76" s="18"/>
      <c r="C76" s="18"/>
      <c r="D76" s="7"/>
      <c r="E76" s="2"/>
      <c r="F76" s="236"/>
      <c r="G76" s="237"/>
      <c r="H76" s="237"/>
      <c r="I76" s="237"/>
      <c r="J76" s="237"/>
      <c r="K76" s="237"/>
      <c r="L76" s="237"/>
      <c r="M76" s="42"/>
      <c r="N76" s="220"/>
      <c r="O76" s="1284" t="s">
        <v>224</v>
      </c>
      <c r="P76" s="1284"/>
      <c r="Q76" s="1284"/>
      <c r="R76" s="1284"/>
      <c r="S76" s="1284"/>
      <c r="T76" s="1284"/>
      <c r="U76" s="1284"/>
      <c r="V76" s="1284"/>
      <c r="W76" s="1284"/>
      <c r="X76" s="1284"/>
      <c r="Y76" s="1284"/>
      <c r="Z76" s="1284"/>
      <c r="AA76" s="1284"/>
      <c r="AB76" s="1284"/>
      <c r="AC76" s="1284"/>
      <c r="AD76" s="1284"/>
      <c r="AE76" s="1284"/>
      <c r="AF76" s="1284"/>
      <c r="AG76" s="1284"/>
      <c r="AH76" s="1284"/>
      <c r="AI76" s="1284"/>
      <c r="AJ76" s="1284"/>
      <c r="AK76" s="1284"/>
      <c r="AL76" s="1284"/>
      <c r="AM76" s="1284"/>
      <c r="AN76" s="116"/>
      <c r="AO76" s="116"/>
      <c r="AP76" s="116"/>
      <c r="AQ76" s="116"/>
      <c r="AR76" s="116"/>
    </row>
    <row r="77" spans="1:44" ht="20.100000000000001" hidden="1" customHeight="1" x14ac:dyDescent="0.25">
      <c r="A77" s="18"/>
      <c r="B77" s="18"/>
      <c r="C77" s="18"/>
      <c r="D77" s="7"/>
      <c r="E77" s="2"/>
    </row>
    <row r="78" spans="1:44" ht="20.100000000000001" customHeight="1" x14ac:dyDescent="0.25">
      <c r="A78" s="18"/>
      <c r="B78" s="18"/>
      <c r="C78" s="18"/>
      <c r="D78" s="7"/>
      <c r="E78" s="2"/>
    </row>
    <row r="79" spans="1:44" s="7" customFormat="1" ht="20.100000000000001" customHeight="1" x14ac:dyDescent="0.25">
      <c r="A79" s="18"/>
      <c r="B79" s="18"/>
      <c r="C79" s="18"/>
    </row>
    <row r="80" spans="1:44" ht="20.100000000000001" customHeight="1" x14ac:dyDescent="0.25">
      <c r="A80" s="18"/>
      <c r="B80" s="18"/>
      <c r="C80" s="18"/>
      <c r="D80" s="7"/>
      <c r="E80" s="2"/>
      <c r="F80" s="1283"/>
      <c r="G80" s="1283"/>
      <c r="H80" s="1283"/>
      <c r="I80" s="1283"/>
      <c r="J80" s="1283"/>
      <c r="K80" s="1283"/>
      <c r="L80" s="1283"/>
      <c r="M80" s="1283"/>
      <c r="N80" s="1281"/>
      <c r="O80" s="1281"/>
      <c r="P80" s="1281"/>
      <c r="Q80" s="2"/>
      <c r="R80" s="2"/>
      <c r="S80" s="2"/>
      <c r="T80" s="2"/>
      <c r="U80" s="2"/>
      <c r="V80" s="238"/>
      <c r="W80" s="238"/>
      <c r="X80" s="238"/>
      <c r="Y80" s="1281"/>
      <c r="Z80" s="1281"/>
      <c r="AA80" s="1281"/>
      <c r="AB80" s="1282"/>
      <c r="AC80" s="1282"/>
      <c r="AD80" s="1282"/>
      <c r="AE80" s="1282"/>
      <c r="AF80" s="1282"/>
      <c r="AG80" s="238"/>
      <c r="AH80" s="238"/>
      <c r="AI80" s="104"/>
      <c r="AJ80" s="104"/>
      <c r="AK80" s="104"/>
      <c r="AL80" s="104"/>
      <c r="AM80" s="104"/>
      <c r="AN80" s="104"/>
      <c r="AO80" s="104"/>
      <c r="AP80" s="104"/>
      <c r="AQ80" s="104"/>
      <c r="AR80" s="104"/>
    </row>
    <row r="81" spans="1:44" ht="20.100000000000001" customHeight="1" x14ac:dyDescent="0.25">
      <c r="A81" s="18"/>
      <c r="B81" s="18"/>
      <c r="C81" s="18"/>
      <c r="D81" s="7"/>
      <c r="E81" s="2"/>
      <c r="F81" s="1067" t="s">
        <v>296</v>
      </c>
      <c r="G81" s="1068"/>
      <c r="H81" s="1068"/>
      <c r="I81" s="1068"/>
      <c r="J81" s="1068"/>
      <c r="K81" s="1068"/>
      <c r="L81" s="1069"/>
      <c r="M81" s="1076" t="s">
        <v>186</v>
      </c>
      <c r="N81" s="135"/>
      <c r="O81" s="136"/>
      <c r="P81" s="136"/>
      <c r="Q81" s="136"/>
      <c r="R81" s="137"/>
      <c r="S81" s="1079" t="s">
        <v>293</v>
      </c>
      <c r="T81" s="1064"/>
      <c r="U81" s="1064"/>
      <c r="V81" s="1064"/>
      <c r="W81" s="1064"/>
      <c r="X81" s="1064"/>
      <c r="Y81" s="1064"/>
      <c r="Z81" s="1064" t="s">
        <v>301</v>
      </c>
      <c r="AA81" s="1064"/>
      <c r="AB81" s="1064"/>
      <c r="AC81" s="1064"/>
      <c r="AD81" s="1064"/>
      <c r="AE81" s="1064"/>
      <c r="AF81" s="1064"/>
      <c r="AG81" s="1064"/>
      <c r="AH81" s="1064"/>
      <c r="AI81" s="1064" t="s">
        <v>302</v>
      </c>
      <c r="AJ81" s="1064"/>
      <c r="AK81" s="1064"/>
      <c r="AL81" s="1064"/>
      <c r="AM81" s="1065"/>
      <c r="AN81" s="2"/>
      <c r="AO81" s="2"/>
      <c r="AP81" s="2"/>
      <c r="AQ81" s="2"/>
      <c r="AR81" s="2"/>
    </row>
    <row r="82" spans="1:44" ht="27" customHeight="1" x14ac:dyDescent="0.25">
      <c r="A82" s="18"/>
      <c r="B82" s="18"/>
      <c r="C82" s="18"/>
      <c r="D82" s="7"/>
      <c r="E82" s="2"/>
      <c r="F82" s="1070"/>
      <c r="G82" s="1071"/>
      <c r="H82" s="1071"/>
      <c r="I82" s="1071"/>
      <c r="J82" s="1071"/>
      <c r="K82" s="1071"/>
      <c r="L82" s="1072"/>
      <c r="M82" s="1077"/>
      <c r="N82" s="138"/>
      <c r="O82" s="1045" t="s">
        <v>219</v>
      </c>
      <c r="P82" s="1045"/>
      <c r="Q82" s="1045"/>
      <c r="R82" s="1046"/>
      <c r="S82" s="1042"/>
      <c r="T82" s="1043"/>
      <c r="U82" s="1043"/>
      <c r="V82" s="1043"/>
      <c r="W82" s="1043"/>
      <c r="X82" s="1043"/>
      <c r="Y82" s="1043"/>
      <c r="Z82" s="1044"/>
      <c r="AA82" s="1044"/>
      <c r="AB82" s="1044"/>
      <c r="AC82" s="1044"/>
      <c r="AD82" s="1044"/>
      <c r="AE82" s="1044"/>
      <c r="AF82" s="1044"/>
      <c r="AG82" s="1044"/>
      <c r="AH82" s="1044"/>
      <c r="AI82" s="1066"/>
      <c r="AJ82" s="1066"/>
      <c r="AK82" s="1066"/>
      <c r="AL82" s="1066"/>
      <c r="AM82" s="1066"/>
      <c r="AN82" s="2"/>
      <c r="AO82" s="2"/>
      <c r="AP82" s="2"/>
      <c r="AQ82" s="2"/>
      <c r="AR82" s="2"/>
    </row>
    <row r="83" spans="1:44" ht="27" customHeight="1" x14ac:dyDescent="0.25">
      <c r="A83" s="18"/>
      <c r="B83" s="18"/>
      <c r="C83" s="18"/>
      <c r="D83" s="7"/>
      <c r="E83" s="2"/>
      <c r="F83" s="1070"/>
      <c r="G83" s="1071"/>
      <c r="H83" s="1071"/>
      <c r="I83" s="1071"/>
      <c r="J83" s="1071"/>
      <c r="K83" s="1071"/>
      <c r="L83" s="1072"/>
      <c r="M83" s="1077"/>
      <c r="N83" s="1"/>
      <c r="O83" s="138"/>
      <c r="P83" s="138"/>
      <c r="Q83" s="138"/>
      <c r="R83" s="139"/>
      <c r="S83" s="1042"/>
      <c r="T83" s="1043"/>
      <c r="U83" s="1043"/>
      <c r="V83" s="1043"/>
      <c r="W83" s="1043"/>
      <c r="X83" s="1043"/>
      <c r="Y83" s="1043"/>
      <c r="Z83" s="1044"/>
      <c r="AA83" s="1044"/>
      <c r="AB83" s="1044"/>
      <c r="AC83" s="1044"/>
      <c r="AD83" s="1044"/>
      <c r="AE83" s="1044"/>
      <c r="AF83" s="1044"/>
      <c r="AG83" s="1044"/>
      <c r="AH83" s="1044"/>
      <c r="AI83" s="1066"/>
      <c r="AJ83" s="1066"/>
      <c r="AK83" s="1066"/>
      <c r="AL83" s="1066"/>
      <c r="AM83" s="1066"/>
      <c r="AN83" s="2"/>
      <c r="AO83" s="2"/>
      <c r="AP83" s="2"/>
      <c r="AQ83" s="2"/>
      <c r="AR83" s="2"/>
    </row>
    <row r="84" spans="1:44" ht="27" customHeight="1" x14ac:dyDescent="0.25">
      <c r="A84" s="18"/>
      <c r="B84" s="18"/>
      <c r="C84" s="18"/>
      <c r="D84" s="7"/>
      <c r="E84" s="2"/>
      <c r="F84" s="1070"/>
      <c r="G84" s="1071"/>
      <c r="H84" s="1071"/>
      <c r="I84" s="1071"/>
      <c r="J84" s="1071"/>
      <c r="K84" s="1071"/>
      <c r="L84" s="1072"/>
      <c r="M84" s="1077"/>
      <c r="N84" s="138"/>
      <c r="O84" s="1047" t="s">
        <v>280</v>
      </c>
      <c r="P84" s="1047"/>
      <c r="Q84" s="1047"/>
      <c r="R84" s="1048"/>
      <c r="S84" s="1042"/>
      <c r="T84" s="1043"/>
      <c r="U84" s="1043"/>
      <c r="V84" s="1043"/>
      <c r="W84" s="1043"/>
      <c r="X84" s="1043"/>
      <c r="Y84" s="1043"/>
      <c r="Z84" s="1044"/>
      <c r="AA84" s="1044"/>
      <c r="AB84" s="1044"/>
      <c r="AC84" s="1044"/>
      <c r="AD84" s="1044"/>
      <c r="AE84" s="1044"/>
      <c r="AF84" s="1044"/>
      <c r="AG84" s="1044"/>
      <c r="AH84" s="1044"/>
      <c r="AI84" s="1066"/>
      <c r="AJ84" s="1066"/>
      <c r="AK84" s="1066"/>
      <c r="AL84" s="1066"/>
      <c r="AM84" s="1066"/>
      <c r="AN84" s="2"/>
      <c r="AO84" s="2"/>
      <c r="AP84" s="2"/>
      <c r="AQ84" s="2"/>
      <c r="AR84" s="2"/>
    </row>
    <row r="85" spans="1:44" ht="27" customHeight="1" x14ac:dyDescent="0.25">
      <c r="A85" s="18"/>
      <c r="B85" s="18"/>
      <c r="C85" s="18"/>
      <c r="D85" s="7"/>
      <c r="E85" s="2"/>
      <c r="F85" s="1073"/>
      <c r="G85" s="1074"/>
      <c r="H85" s="1074"/>
      <c r="I85" s="1074"/>
      <c r="J85" s="1074"/>
      <c r="K85" s="1074"/>
      <c r="L85" s="1075"/>
      <c r="M85" s="1078"/>
      <c r="N85" s="140"/>
      <c r="O85" s="140"/>
      <c r="P85" s="140"/>
      <c r="Q85" s="140"/>
      <c r="R85" s="141"/>
      <c r="S85" s="1042"/>
      <c r="T85" s="1043"/>
      <c r="U85" s="1043"/>
      <c r="V85" s="1043"/>
      <c r="W85" s="1043"/>
      <c r="X85" s="1043"/>
      <c r="Y85" s="1043"/>
      <c r="Z85" s="1044"/>
      <c r="AA85" s="1044"/>
      <c r="AB85" s="1044"/>
      <c r="AC85" s="1044"/>
      <c r="AD85" s="1044"/>
      <c r="AE85" s="1044"/>
      <c r="AF85" s="1044"/>
      <c r="AG85" s="1044"/>
      <c r="AH85" s="1044"/>
      <c r="AI85" s="1066"/>
      <c r="AJ85" s="1066"/>
      <c r="AK85" s="1066"/>
      <c r="AL85" s="1066"/>
      <c r="AM85" s="1066"/>
      <c r="AN85" s="2"/>
      <c r="AO85" s="2"/>
      <c r="AP85" s="2"/>
      <c r="AQ85" s="2"/>
      <c r="AR85" s="2"/>
    </row>
    <row r="86" spans="1:44" ht="15" customHeight="1" x14ac:dyDescent="0.25">
      <c r="A86" s="18"/>
      <c r="B86" s="18"/>
      <c r="C86" s="18"/>
      <c r="D86" s="7"/>
      <c r="E86" s="2"/>
      <c r="F86" s="97"/>
      <c r="G86" s="97"/>
      <c r="H86" s="97"/>
      <c r="I86" s="97"/>
      <c r="J86" s="97"/>
      <c r="K86" s="97"/>
      <c r="L86" s="97"/>
      <c r="M86" s="239"/>
      <c r="N86" s="116"/>
      <c r="O86" s="116"/>
      <c r="P86" s="116"/>
      <c r="Q86" s="116"/>
      <c r="R86" s="116"/>
      <c r="S86" s="128"/>
      <c r="T86" s="128"/>
      <c r="U86" s="128"/>
      <c r="V86" s="128"/>
      <c r="W86" s="128"/>
      <c r="X86" s="128"/>
      <c r="Y86" s="128"/>
      <c r="Z86" s="128"/>
      <c r="AA86" s="128"/>
      <c r="AB86" s="128"/>
      <c r="AC86" s="128"/>
      <c r="AD86" s="128"/>
      <c r="AE86" s="128"/>
      <c r="AF86" s="128"/>
      <c r="AG86" s="128"/>
      <c r="AH86" s="128"/>
      <c r="AI86" s="129"/>
      <c r="AJ86" s="129"/>
      <c r="AK86" s="129"/>
      <c r="AL86" s="129"/>
      <c r="AM86" s="129"/>
      <c r="AN86" s="2"/>
      <c r="AO86" s="2"/>
      <c r="AP86" s="2"/>
      <c r="AQ86" s="2"/>
      <c r="AR86" s="2"/>
    </row>
    <row r="87" spans="1:44" ht="20.100000000000001" customHeight="1" x14ac:dyDescent="0.25">
      <c r="A87" s="18"/>
      <c r="B87" s="18"/>
      <c r="C87" s="18"/>
      <c r="D87" s="7"/>
      <c r="E87" s="7"/>
      <c r="F87" s="142"/>
      <c r="G87" s="142"/>
      <c r="H87" s="142"/>
      <c r="I87" s="142"/>
      <c r="J87" s="142"/>
      <c r="K87" s="142"/>
      <c r="L87" s="142"/>
      <c r="M87" s="225"/>
      <c r="N87" s="138"/>
      <c r="O87" s="138"/>
      <c r="P87" s="138"/>
      <c r="Q87" s="138"/>
      <c r="R87" s="138"/>
      <c r="S87" s="132"/>
      <c r="T87" s="132"/>
      <c r="U87" s="132"/>
      <c r="V87" s="132"/>
      <c r="W87" s="132"/>
      <c r="X87" s="132"/>
      <c r="Y87" s="132"/>
      <c r="Z87" s="132"/>
      <c r="AA87" s="132"/>
      <c r="AB87" s="132"/>
      <c r="AC87" s="132"/>
      <c r="AD87" s="132"/>
      <c r="AE87" s="132"/>
      <c r="AF87" s="132"/>
      <c r="AG87" s="132"/>
      <c r="AH87" s="132"/>
      <c r="AI87" s="133"/>
      <c r="AJ87" s="133"/>
      <c r="AK87" s="133"/>
      <c r="AL87" s="133"/>
      <c r="AM87" s="133"/>
      <c r="AN87" s="7"/>
      <c r="AO87" s="7"/>
      <c r="AP87" s="7"/>
      <c r="AQ87" s="7"/>
      <c r="AR87" s="7"/>
    </row>
    <row r="88" spans="1:44" ht="15" customHeight="1" x14ac:dyDescent="0.25">
      <c r="A88" s="18"/>
      <c r="B88" s="18"/>
      <c r="C88" s="18"/>
      <c r="D88" s="7"/>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20.100000000000001" hidden="1" customHeight="1" x14ac:dyDescent="0.25">
      <c r="A89" s="18"/>
      <c r="B89" s="18"/>
      <c r="C89" s="18"/>
      <c r="D89" s="7"/>
      <c r="E89" s="2"/>
      <c r="AN89" s="2"/>
      <c r="AO89" s="2"/>
      <c r="AP89" s="2"/>
      <c r="AQ89" s="2"/>
      <c r="AR89" s="2"/>
    </row>
    <row r="90" spans="1:44" ht="60" customHeight="1" x14ac:dyDescent="0.25">
      <c r="A90" s="18"/>
      <c r="B90" s="18"/>
      <c r="C90" s="18"/>
      <c r="D90" s="7"/>
      <c r="E90" s="2"/>
      <c r="F90" s="1008" t="s">
        <v>143</v>
      </c>
      <c r="G90" s="1009"/>
      <c r="H90" s="1009"/>
      <c r="I90" s="1009"/>
      <c r="J90" s="1009"/>
      <c r="K90" s="1009"/>
      <c r="L90" s="1009"/>
      <c r="M90" s="1010"/>
      <c r="N90" s="1032"/>
      <c r="O90" s="1033"/>
      <c r="P90" s="1033"/>
      <c r="Q90" s="1033"/>
      <c r="R90" s="1033"/>
      <c r="S90" s="1033"/>
      <c r="T90" s="1033"/>
      <c r="U90" s="1033"/>
      <c r="V90" s="1033"/>
      <c r="W90" s="1033"/>
      <c r="X90" s="1033"/>
      <c r="Y90" s="1033"/>
      <c r="Z90" s="1033"/>
      <c r="AA90" s="1033"/>
      <c r="AB90" s="1033"/>
      <c r="AC90" s="1033"/>
      <c r="AD90" s="1033"/>
      <c r="AE90" s="1033"/>
      <c r="AF90" s="1033"/>
      <c r="AG90" s="1033"/>
      <c r="AH90" s="1033"/>
      <c r="AI90" s="1033"/>
      <c r="AJ90" s="1033"/>
      <c r="AK90" s="1033"/>
      <c r="AL90" s="1033"/>
      <c r="AM90" s="1034"/>
      <c r="AN90" s="4"/>
      <c r="AO90" s="4"/>
      <c r="AP90" s="4"/>
      <c r="AQ90" s="4"/>
      <c r="AR90" s="4"/>
    </row>
    <row r="91" spans="1:44" x14ac:dyDescent="0.25">
      <c r="A91" s="18"/>
      <c r="B91" s="18"/>
      <c r="C91" s="18"/>
      <c r="D91" s="7"/>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99.95" customHeight="1" x14ac:dyDescent="0.25">
      <c r="A92" s="18"/>
      <c r="B92" s="18"/>
      <c r="C92" s="18"/>
      <c r="D92" s="7"/>
      <c r="E92" s="2"/>
      <c r="F92" s="1008" t="s">
        <v>392</v>
      </c>
      <c r="G92" s="1009"/>
      <c r="H92" s="1009"/>
      <c r="I92" s="1009"/>
      <c r="J92" s="1009"/>
      <c r="K92" s="1009"/>
      <c r="L92" s="1041"/>
      <c r="M92" s="148" t="s">
        <v>186</v>
      </c>
      <c r="N92" s="1032"/>
      <c r="O92" s="1033"/>
      <c r="P92" s="1033"/>
      <c r="Q92" s="1033"/>
      <c r="R92" s="1033"/>
      <c r="S92" s="1033"/>
      <c r="T92" s="1033"/>
      <c r="U92" s="1033"/>
      <c r="V92" s="1033"/>
      <c r="W92" s="1033"/>
      <c r="X92" s="1033"/>
      <c r="Y92" s="1033"/>
      <c r="Z92" s="1033"/>
      <c r="AA92" s="1033"/>
      <c r="AB92" s="1033"/>
      <c r="AC92" s="1033"/>
      <c r="AD92" s="1033"/>
      <c r="AE92" s="1033"/>
      <c r="AF92" s="1033"/>
      <c r="AG92" s="1033"/>
      <c r="AH92" s="1033"/>
      <c r="AI92" s="1033"/>
      <c r="AJ92" s="1033"/>
      <c r="AK92" s="1033"/>
      <c r="AL92" s="1033"/>
      <c r="AM92" s="1034"/>
      <c r="AN92" s="124"/>
      <c r="AO92" s="124"/>
      <c r="AP92" s="124"/>
      <c r="AQ92" s="124"/>
      <c r="AR92" s="124"/>
    </row>
    <row r="93" spans="1:44" x14ac:dyDescent="0.25">
      <c r="A93" s="18"/>
      <c r="B93" s="18"/>
      <c r="C93" s="18"/>
      <c r="D93" s="7"/>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sheetData>
  <sheetProtection algorithmName="SHA-512" hashValue="nddfGCQUkPKjjVTIZAwkQK9tRhhA6FO3wi8bgXSBP5ZCyXI3CDB2ONERWiQ0dqYp5MtzCvb4X/+kdxGQsJoGqw==" saltValue="txIedL+l82kfLDF43obruw==" spinCount="100000" sheet="1" objects="1" scenarios="1" formatColumns="0" formatRows="0"/>
  <dataConsolidate/>
  <mergeCells count="212">
    <mergeCell ref="AK36:AN36"/>
    <mergeCell ref="F2:AG6"/>
    <mergeCell ref="F7:J7"/>
    <mergeCell ref="AI2:AN7"/>
    <mergeCell ref="F46:L46"/>
    <mergeCell ref="O71:AM71"/>
    <mergeCell ref="O72:AM72"/>
    <mergeCell ref="O73:AM73"/>
    <mergeCell ref="O74:AM74"/>
    <mergeCell ref="P61:Q61"/>
    <mergeCell ref="T62:U62"/>
    <mergeCell ref="I58:K58"/>
    <mergeCell ref="F56:H56"/>
    <mergeCell ref="I56:K56"/>
    <mergeCell ref="L56:M56"/>
    <mergeCell ref="F60:H60"/>
    <mergeCell ref="I57:K57"/>
    <mergeCell ref="F58:H58"/>
    <mergeCell ref="N41:S41"/>
    <mergeCell ref="T45:Y45"/>
    <mergeCell ref="L54:O54"/>
    <mergeCell ref="P54:S54"/>
    <mergeCell ref="L55:M55"/>
    <mergeCell ref="N57:O57"/>
    <mergeCell ref="N35:Z35"/>
    <mergeCell ref="AF35:AJ35"/>
    <mergeCell ref="F39:M39"/>
    <mergeCell ref="X56:Y56"/>
    <mergeCell ref="Z56:AA56"/>
    <mergeCell ref="R56:S56"/>
    <mergeCell ref="T56:U56"/>
    <mergeCell ref="L62:M62"/>
    <mergeCell ref="N61:O61"/>
    <mergeCell ref="L61:M61"/>
    <mergeCell ref="F59:H59"/>
    <mergeCell ref="I59:K59"/>
    <mergeCell ref="I60:K60"/>
    <mergeCell ref="L59:M59"/>
    <mergeCell ref="N59:O59"/>
    <mergeCell ref="N42:S42"/>
    <mergeCell ref="N46:S46"/>
    <mergeCell ref="V56:W56"/>
    <mergeCell ref="I61:K61"/>
    <mergeCell ref="I62:K62"/>
    <mergeCell ref="AI81:AM81"/>
    <mergeCell ref="O76:AM76"/>
    <mergeCell ref="P56:Q56"/>
    <mergeCell ref="N56:O56"/>
    <mergeCell ref="I55:K55"/>
    <mergeCell ref="X60:Y60"/>
    <mergeCell ref="F55:H55"/>
    <mergeCell ref="Z57:AA57"/>
    <mergeCell ref="Z58:AA58"/>
    <mergeCell ref="V60:W60"/>
    <mergeCell ref="T58:U58"/>
    <mergeCell ref="V58:W58"/>
    <mergeCell ref="L60:M60"/>
    <mergeCell ref="Z60:AA60"/>
    <mergeCell ref="X59:Y59"/>
    <mergeCell ref="Z59:AA59"/>
    <mergeCell ref="P58:Q58"/>
    <mergeCell ref="P55:Q55"/>
    <mergeCell ref="L58:M58"/>
    <mergeCell ref="O75:AM75"/>
    <mergeCell ref="F67:L67"/>
    <mergeCell ref="N67:AM67"/>
    <mergeCell ref="I63:K63"/>
    <mergeCell ref="P64:Q64"/>
    <mergeCell ref="F92:L92"/>
    <mergeCell ref="N92:AM92"/>
    <mergeCell ref="Z85:AH85"/>
    <mergeCell ref="AI85:AM85"/>
    <mergeCell ref="S85:Y85"/>
    <mergeCell ref="N90:AM90"/>
    <mergeCell ref="S83:Y83"/>
    <mergeCell ref="Z83:AH83"/>
    <mergeCell ref="X62:Y62"/>
    <mergeCell ref="Z62:AA62"/>
    <mergeCell ref="F90:M90"/>
    <mergeCell ref="Y80:AA80"/>
    <mergeCell ref="AB80:AF80"/>
    <mergeCell ref="F80:M80"/>
    <mergeCell ref="N80:P80"/>
    <mergeCell ref="I65:K65"/>
    <mergeCell ref="V65:W65"/>
    <mergeCell ref="AI83:AM83"/>
    <mergeCell ref="S84:Y84"/>
    <mergeCell ref="Z84:AH84"/>
    <mergeCell ref="AI84:AM84"/>
    <mergeCell ref="AI82:AM82"/>
    <mergeCell ref="Z82:AH82"/>
    <mergeCell ref="Z81:AH81"/>
    <mergeCell ref="F73:L73"/>
    <mergeCell ref="Z61:AA61"/>
    <mergeCell ref="X61:Y61"/>
    <mergeCell ref="Z65:AA65"/>
    <mergeCell ref="V64:W64"/>
    <mergeCell ref="P63:Q63"/>
    <mergeCell ref="X63:Y63"/>
    <mergeCell ref="L64:M64"/>
    <mergeCell ref="Z63:AA63"/>
    <mergeCell ref="I64:K64"/>
    <mergeCell ref="L63:M63"/>
    <mergeCell ref="R64:S64"/>
    <mergeCell ref="N65:O65"/>
    <mergeCell ref="F65:H65"/>
    <mergeCell ref="L65:M65"/>
    <mergeCell ref="R65:S65"/>
    <mergeCell ref="F64:H64"/>
    <mergeCell ref="F27:M27"/>
    <mergeCell ref="N27:S27"/>
    <mergeCell ref="O31:P31"/>
    <mergeCell ref="Q31:S31"/>
    <mergeCell ref="R55:S55"/>
    <mergeCell ref="F35:L35"/>
    <mergeCell ref="F57:H57"/>
    <mergeCell ref="N36:AJ36"/>
    <mergeCell ref="N38:AJ38"/>
    <mergeCell ref="N39:AJ39"/>
    <mergeCell ref="R40:X40"/>
    <mergeCell ref="AB42:AJ42"/>
    <mergeCell ref="T57:U57"/>
    <mergeCell ref="F36:L36"/>
    <mergeCell ref="F37:L37"/>
    <mergeCell ref="F38:L38"/>
    <mergeCell ref="O29:AM29"/>
    <mergeCell ref="O30:AM30"/>
    <mergeCell ref="T31:AM31"/>
    <mergeCell ref="L57:M57"/>
    <mergeCell ref="T54:W54"/>
    <mergeCell ref="T55:U55"/>
    <mergeCell ref="V55:W55"/>
    <mergeCell ref="N55:O55"/>
    <mergeCell ref="F29:L31"/>
    <mergeCell ref="F44:L44"/>
    <mergeCell ref="F45:L45"/>
    <mergeCell ref="R58:S58"/>
    <mergeCell ref="F42:L42"/>
    <mergeCell ref="Y40:AB40"/>
    <mergeCell ref="AD40:AJ40"/>
    <mergeCell ref="X53:AA54"/>
    <mergeCell ref="X55:Y55"/>
    <mergeCell ref="F41:L41"/>
    <mergeCell ref="Z55:AA55"/>
    <mergeCell ref="V57:W57"/>
    <mergeCell ref="X57:Y57"/>
    <mergeCell ref="AA35:AD35"/>
    <mergeCell ref="T46:Y46"/>
    <mergeCell ref="Z46:AE46"/>
    <mergeCell ref="N45:S45"/>
    <mergeCell ref="Z45:AE45"/>
    <mergeCell ref="N44:S44"/>
    <mergeCell ref="N37:S37"/>
    <mergeCell ref="L53:W53"/>
    <mergeCell ref="F40:M40"/>
    <mergeCell ref="N40:P40"/>
    <mergeCell ref="T42:Z42"/>
    <mergeCell ref="S82:Y82"/>
    <mergeCell ref="T65:U65"/>
    <mergeCell ref="X58:Y58"/>
    <mergeCell ref="N63:O63"/>
    <mergeCell ref="N64:O64"/>
    <mergeCell ref="V59:W59"/>
    <mergeCell ref="T60:U60"/>
    <mergeCell ref="T59:U59"/>
    <mergeCell ref="R61:S61"/>
    <mergeCell ref="T63:U63"/>
    <mergeCell ref="T64:U64"/>
    <mergeCell ref="V63:W63"/>
    <mergeCell ref="V62:W62"/>
    <mergeCell ref="T61:U61"/>
    <mergeCell ref="V61:W61"/>
    <mergeCell ref="R63:S63"/>
    <mergeCell ref="AN67:AQ67"/>
    <mergeCell ref="F81:L85"/>
    <mergeCell ref="M81:M85"/>
    <mergeCell ref="O82:R82"/>
    <mergeCell ref="O84:R84"/>
    <mergeCell ref="N62:O62"/>
    <mergeCell ref="R60:S60"/>
    <mergeCell ref="P57:Q57"/>
    <mergeCell ref="R57:S57"/>
    <mergeCell ref="N58:O58"/>
    <mergeCell ref="P62:Q62"/>
    <mergeCell ref="R62:S62"/>
    <mergeCell ref="F61:H61"/>
    <mergeCell ref="F62:H62"/>
    <mergeCell ref="F63:H63"/>
    <mergeCell ref="S81:Y81"/>
    <mergeCell ref="P65:Q65"/>
    <mergeCell ref="X64:Y64"/>
    <mergeCell ref="Z64:AA64"/>
    <mergeCell ref="X65:Y65"/>
    <mergeCell ref="N60:O60"/>
    <mergeCell ref="P60:Q60"/>
    <mergeCell ref="R59:S59"/>
    <mergeCell ref="P59:Q59"/>
    <mergeCell ref="F23:AM23"/>
    <mergeCell ref="G17:Q17"/>
    <mergeCell ref="R17:AI17"/>
    <mergeCell ref="AJ17:AM17"/>
    <mergeCell ref="F10:M10"/>
    <mergeCell ref="N10:S10"/>
    <mergeCell ref="G14:Q14"/>
    <mergeCell ref="R14:AI14"/>
    <mergeCell ref="AJ14:AM14"/>
    <mergeCell ref="G15:Q15"/>
    <mergeCell ref="R15:AI15"/>
    <mergeCell ref="AJ15:AM15"/>
    <mergeCell ref="G16:Q16"/>
    <mergeCell ref="R16:AI16"/>
    <mergeCell ref="AJ16:AM16"/>
  </mergeCells>
  <conditionalFormatting sqref="E34:AR93">
    <cfRule type="expression" dxfId="481" priority="5">
      <formula>$N$27&lt;&gt;"Não"</formula>
    </cfRule>
  </conditionalFormatting>
  <conditionalFormatting sqref="F7">
    <cfRule type="notContainsBlanks" dxfId="480" priority="1">
      <formula>LEN(TRIM(F7))&gt;0</formula>
    </cfRule>
  </conditionalFormatting>
  <conditionalFormatting sqref="F12:AQ17 F20:AQ23">
    <cfRule type="expression" dxfId="479" priority="4">
      <formula>$N$10&lt;&gt;"sim"</formula>
    </cfRule>
  </conditionalFormatting>
  <conditionalFormatting sqref="F28:AQ31">
    <cfRule type="expression" dxfId="478" priority="6">
      <formula>$N$27&lt;&gt;"Sim"</formula>
    </cfRule>
  </conditionalFormatting>
  <conditionalFormatting sqref="I56:K65">
    <cfRule type="expression" dxfId="477" priority="2">
      <formula>IF(AND($I56="",SUM($L56:$W56)&gt;0),1,0)</formula>
    </cfRule>
  </conditionalFormatting>
  <conditionalFormatting sqref="M35:M38">
    <cfRule type="expression" dxfId="475" priority="23">
      <formula>N35&lt;&gt;""</formula>
    </cfRule>
  </conditionalFormatting>
  <conditionalFormatting sqref="M41:M42">
    <cfRule type="expression" dxfId="474" priority="20">
      <formula>N41&lt;&gt;""</formula>
    </cfRule>
  </conditionalFormatting>
  <conditionalFormatting sqref="M44:M46">
    <cfRule type="expression" dxfId="473" priority="18">
      <formula>N44&lt;&gt;""</formula>
    </cfRule>
  </conditionalFormatting>
  <conditionalFormatting sqref="M67">
    <cfRule type="expression" dxfId="472" priority="17">
      <formula>N67&lt;&gt;""</formula>
    </cfRule>
  </conditionalFormatting>
  <conditionalFormatting sqref="M92">
    <cfRule type="expression" dxfId="469" priority="15">
      <formula>N92&lt;&gt;""</formula>
    </cfRule>
  </conditionalFormatting>
  <conditionalFormatting sqref="Q40">
    <cfRule type="expression" dxfId="466" priority="22">
      <formula>R40&lt;&gt;""</formula>
    </cfRule>
  </conditionalFormatting>
  <conditionalFormatting sqref="T45:AE45">
    <cfRule type="expression" dxfId="464" priority="12">
      <formula>$N$45&lt;&gt;"Sim"</formula>
    </cfRule>
  </conditionalFormatting>
  <conditionalFormatting sqref="T46:AE46">
    <cfRule type="expression" dxfId="463" priority="11">
      <formula>$N$46&lt;&gt;"sim"</formula>
    </cfRule>
  </conditionalFormatting>
  <conditionalFormatting sqref="X56:AA65">
    <cfRule type="expression" dxfId="462" priority="7">
      <formula>$I56=""</formula>
    </cfRule>
  </conditionalFormatting>
  <conditionalFormatting sqref="AA42">
    <cfRule type="expression" dxfId="461" priority="19">
      <formula>AB42&lt;&gt;""</formula>
    </cfRule>
  </conditionalFormatting>
  <conditionalFormatting sqref="AC40">
    <cfRule type="expression" dxfId="460" priority="21">
      <formula>AD40&lt;&gt;""</formula>
    </cfRule>
  </conditionalFormatting>
  <conditionalFormatting sqref="AE35">
    <cfRule type="expression" dxfId="459" priority="24">
      <formula>AF35&lt;&gt;""</formula>
    </cfRule>
  </conditionalFormatting>
  <dataValidations count="19">
    <dataValidation type="custom" allowBlank="1" showInputMessage="1" showErrorMessage="1" errorTitle="Data inválida" error="A data de conclusão não pode ser anterior a data de início." sqref="AD40:AJ40" xr:uid="{FB597883-09B6-4F91-A2AA-75034A83E3DE}">
      <formula1>R40&lt;=AD40</formula1>
    </dataValidation>
    <dataValidation type="list" allowBlank="1" showInputMessage="1" showErrorMessage="1" errorTitle="Código inválido" error="Preencher os dados do certificado na guia &quot;Certificados&quot; antes de atribuí-lo a algum estudo" sqref="N41:S41" xr:uid="{96AA8715-3B83-4639-AA92-781E6022C18F}">
      <formula1>src_certificados</formula1>
    </dataValidation>
    <dataValidation type="decimal" operator="greaterThanOrEqual" allowBlank="1" showInputMessage="1" showErrorMessage="1" errorTitle="Valor inválido" error="A dose deve ser um número decimal" sqref="N44:S44" xr:uid="{628B2173-ED68-41BF-B2FF-2BFEFE78F5EA}">
      <formula1>0</formula1>
    </dataValidation>
    <dataValidation type="decimal" operator="greaterThanOrEqual" allowBlank="1" showInputMessage="1" showErrorMessage="1" errorTitle="Valor inválido" error="As horás devem ser um número" sqref="Z46:AE46" xr:uid="{F25525B4-5104-4891-A4ED-90844EC04F2B}">
      <formula1>0</formula1>
    </dataValidation>
    <dataValidation allowBlank="1" showInputMessage="1" showErrorMessage="1" promptTitle="Ajuda" prompt="Todas as informações desse formulário devem refletir ao que foi protocolado na Anvisa, portanto a opção de dispensa de estudo só deverá ser marcada como &quot;Sim&quot; se ela também tiver sido realizada no pleito do produto. " sqref="F27:M27" xr:uid="{8488277B-5652-4F0D-A197-68299DA83863}"/>
    <dataValidation allowBlank="1" showInputMessage="1" showErrorMessage="1" promptTitle="Ajuda" prompt="Código gerado pelo laboratório executor" sqref="AA35:AD35" xr:uid="{400AB5BC-EF73-48EE-B5F2-1495C0D3B3DB}"/>
    <dataValidation allowBlank="1" showInputMessage="1" showErrorMessage="1" promptTitle="Ajuda" prompt="Informar nome e estado/país do laboratório executor" sqref="F36:L36" xr:uid="{EDE16E22-AE0D-4609-94E7-8AD11E683D12}"/>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39:M39" xr:uid="{5BA5BD01-C590-401C-AB11-4E9BC4A5AE94}"/>
    <dataValidation allowBlank="1" showInputMessage="1" showErrorMessage="1" promptTitle="Ajuda" prompt="Data de início da exposição dos animais à substância teste" sqref="N40:P40" xr:uid="{B7FC9D44-78B1-4E09-AD78-EDEB20E00C88}"/>
    <dataValidation allowBlank="1" showInputMessage="1" showErrorMessage="1" promptTitle="Ajuda" prompt="Relatar o tempo em horas." sqref="T46:Y46" xr:uid="{E9BF5D05-2F46-4E0C-AB74-ABCF307C2926}"/>
    <dataValidation allowBlank="1" showInputMessage="1" showErrorMessage="1" promptTitle="Ajude" prompt="Marque apenas uma das opções" sqref="F73:L73" xr:uid="{5696062F-DA4A-46C9-B2C5-B4EECA020023}"/>
    <dataValidation allowBlank="1" showInputMessage="1" showErrorMessage="1" promptTitle="Ajuda" prompt="Descrever outros resultados não expressos na tabela acima. _x000a__x000a_Ex.: avaliação das lesões, reversibilidade (inclusive se tiver sido em 1 hora), mortalidade, outros sinais clínicos, como:  prurido, alterações de cor ou outros efeitos decorrentes do teste." sqref="F67:L67" xr:uid="{B3DB17D0-E6AA-43EF-9DF7-8B68E7E1B01F}"/>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81:L85" xr:uid="{4565B427-6F14-4A1A-AC04-B6CEED69E150}"/>
    <dataValidation allowBlank="1" showInputMessage="1" showErrorMessage="1" promptTitle="Ajuda" prompt="Descrição sucinta do desvio ocorrido._x000a__x000a_Caso tenha ocorrido mais do que quatro desvios, os demais deverão estar descritos na última linha e separados por ponto e vírgula" sqref="S81:Y81" xr:uid="{1F9454CB-AF71-4D50-8C31-748145E85734}"/>
    <dataValidation allowBlank="1" showInputMessage="1" showErrorMessage="1" promptTitle="Ajuda" prompt="Incluir a justificativa do porquê ocorreu desvio e qual é interpretação dos seus impactos frente aos resultados do estudos." sqref="Z81:AH81" xr:uid="{BE299E05-783B-4FCA-AF09-0E2802F038D9}"/>
    <dataValidation allowBlank="1" showInputMessage="1" showErrorMessage="1" promptTitle="Ajuda" prompt="Informar apenas se o(s) desvio(s) afetam de algum modo a interpretação dos resultados" sqref="AI81:AM81" xr:uid="{C8278267-47DF-4B34-B91E-DD025D35C43A}"/>
    <dataValidation allowBlank="1" showInputMessage="1" showErrorMessage="1" promptTitle="Ajuda" prompt="A conclusão deverá ser conforme está escrito no relatório do estudo._x000a_" sqref="F92:L92" xr:uid="{93F4702E-3909-4D81-932D-566ECE143E1E}"/>
    <dataValidation allowBlank="1" showInputMessage="1" showErrorMessage="1" promptTitle="Ajuda" prompt="Se a resposta for &quot;não&quot;, desça a tela para continuar o preenchimento do formulário" sqref="F10:M10" xr:uid="{27C1161B-9D68-4D9F-A856-55A5A17792D0}"/>
    <dataValidation type="decimal" operator="greaterThanOrEqual" allowBlank="1" showInputMessage="1" showErrorMessage="1" errorTitle="Valor inválido" error="O grau de lesão deve ser um número" sqref="L56:W65" xr:uid="{405098C9-2E8B-4BBD-A9FA-4053F7E61C7A}">
      <formula1>0</formula1>
    </dataValidation>
  </dataValidations>
  <hyperlinks>
    <hyperlink ref="F7" location="Alertas!G2" display="Alertas!G2" xr:uid="{2966A95D-4B29-467F-BFE5-3A5483B87EB1}"/>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705" r:id="rId4" name="check_resultado_irritcutanea1">
              <controlPr defaultSize="0" autoFill="0" autoLine="0" autoPict="0">
                <anchor moveWithCells="1">
                  <from>
                    <xdr:col>13</xdr:col>
                    <xdr:colOff>95250</xdr:colOff>
                    <xdr:row>70</xdr:row>
                    <xdr:rowOff>114300</xdr:rowOff>
                  </from>
                  <to>
                    <xdr:col>39</xdr:col>
                    <xdr:colOff>19050</xdr:colOff>
                    <xdr:row>70</xdr:row>
                    <xdr:rowOff>619125</xdr:rowOff>
                  </to>
                </anchor>
              </controlPr>
            </control>
          </mc:Choice>
        </mc:AlternateContent>
        <mc:AlternateContent xmlns:mc="http://schemas.openxmlformats.org/markup-compatibility/2006">
          <mc:Choice Requires="x14">
            <control shapeId="29706" r:id="rId5" name="check_resultado_irritcutanea2">
              <controlPr defaultSize="0" autoFill="0" autoLine="0" autoPict="0">
                <anchor moveWithCells="1">
                  <from>
                    <xdr:col>13</xdr:col>
                    <xdr:colOff>104775</xdr:colOff>
                    <xdr:row>71</xdr:row>
                    <xdr:rowOff>19050</xdr:rowOff>
                  </from>
                  <to>
                    <xdr:col>39</xdr:col>
                    <xdr:colOff>0</xdr:colOff>
                    <xdr:row>71</xdr:row>
                    <xdr:rowOff>609600</xdr:rowOff>
                  </to>
                </anchor>
              </controlPr>
            </control>
          </mc:Choice>
        </mc:AlternateContent>
        <mc:AlternateContent xmlns:mc="http://schemas.openxmlformats.org/markup-compatibility/2006">
          <mc:Choice Requires="x14">
            <control shapeId="29707" r:id="rId6" name="check_resultado_irritcutanea3">
              <controlPr defaultSize="0" autoFill="0" autoLine="0" autoPict="0">
                <anchor moveWithCells="1">
                  <from>
                    <xdr:col>13</xdr:col>
                    <xdr:colOff>95250</xdr:colOff>
                    <xdr:row>72</xdr:row>
                    <xdr:rowOff>9525</xdr:rowOff>
                  </from>
                  <to>
                    <xdr:col>39</xdr:col>
                    <xdr:colOff>9525</xdr:colOff>
                    <xdr:row>72</xdr:row>
                    <xdr:rowOff>619125</xdr:rowOff>
                  </to>
                </anchor>
              </controlPr>
            </control>
          </mc:Choice>
        </mc:AlternateContent>
        <mc:AlternateContent xmlns:mc="http://schemas.openxmlformats.org/markup-compatibility/2006">
          <mc:Choice Requires="x14">
            <control shapeId="29708" r:id="rId7" name="check_resultado_irritcutanea4">
              <controlPr defaultSize="0" autoFill="0" autoLine="0" autoPict="0">
                <anchor moveWithCells="1">
                  <from>
                    <xdr:col>13</xdr:col>
                    <xdr:colOff>104775</xdr:colOff>
                    <xdr:row>73</xdr:row>
                    <xdr:rowOff>9525</xdr:rowOff>
                  </from>
                  <to>
                    <xdr:col>39</xdr:col>
                    <xdr:colOff>0</xdr:colOff>
                    <xdr:row>74</xdr:row>
                    <xdr:rowOff>0</xdr:rowOff>
                  </to>
                </anchor>
              </controlPr>
            </control>
          </mc:Choice>
        </mc:AlternateContent>
        <mc:AlternateContent xmlns:mc="http://schemas.openxmlformats.org/markup-compatibility/2006">
          <mc:Choice Requires="x14">
            <control shapeId="29709" r:id="rId8" name="check_resultado_irritcutanea5">
              <controlPr defaultSize="0" autoFill="0" autoLine="0" autoPict="0">
                <anchor moveWithCells="1">
                  <from>
                    <xdr:col>13</xdr:col>
                    <xdr:colOff>104775</xdr:colOff>
                    <xdr:row>74</xdr:row>
                    <xdr:rowOff>19050</xdr:rowOff>
                  </from>
                  <to>
                    <xdr:col>39</xdr:col>
                    <xdr:colOff>9525</xdr:colOff>
                    <xdr:row>75</xdr:row>
                    <xdr:rowOff>19050</xdr:rowOff>
                  </to>
                </anchor>
              </controlPr>
            </control>
          </mc:Choice>
        </mc:AlternateContent>
        <mc:AlternateContent xmlns:mc="http://schemas.openxmlformats.org/markup-compatibility/2006">
          <mc:Choice Requires="x14">
            <control shapeId="29712" r:id="rId9" name="check_dispensa_irritcutanea1">
              <controlPr defaultSize="0" autoFill="0" autoLine="0" autoPict="0">
                <anchor moveWithCells="1">
                  <from>
                    <xdr:col>13</xdr:col>
                    <xdr:colOff>114300</xdr:colOff>
                    <xdr:row>28</xdr:row>
                    <xdr:rowOff>133350</xdr:rowOff>
                  </from>
                  <to>
                    <xdr:col>14</xdr:col>
                    <xdr:colOff>38100</xdr:colOff>
                    <xdr:row>28</xdr:row>
                    <xdr:rowOff>352425</xdr:rowOff>
                  </to>
                </anchor>
              </controlPr>
            </control>
          </mc:Choice>
        </mc:AlternateContent>
        <mc:AlternateContent xmlns:mc="http://schemas.openxmlformats.org/markup-compatibility/2006">
          <mc:Choice Requires="x14">
            <control shapeId="29713" r:id="rId10" name="check_dispensa_irritcutanea2">
              <controlPr defaultSize="0" autoFill="0" autoLine="0" autoPict="0">
                <anchor moveWithCells="1">
                  <from>
                    <xdr:col>13</xdr:col>
                    <xdr:colOff>114300</xdr:colOff>
                    <xdr:row>29</xdr:row>
                    <xdr:rowOff>104775</xdr:rowOff>
                  </from>
                  <to>
                    <xdr:col>14</xdr:col>
                    <xdr:colOff>38100</xdr:colOff>
                    <xdr:row>29</xdr:row>
                    <xdr:rowOff>323850</xdr:rowOff>
                  </to>
                </anchor>
              </controlPr>
            </control>
          </mc:Choice>
        </mc:AlternateContent>
        <mc:AlternateContent xmlns:mc="http://schemas.openxmlformats.org/markup-compatibility/2006">
          <mc:Choice Requires="x14">
            <control shapeId="29714" r:id="rId11" name="check_dispensa_irritcutanea3">
              <controlPr defaultSize="0" autoFill="0" autoLine="0" autoPict="0">
                <anchor moveWithCells="1">
                  <from>
                    <xdr:col>13</xdr:col>
                    <xdr:colOff>114300</xdr:colOff>
                    <xdr:row>30</xdr:row>
                    <xdr:rowOff>142875</xdr:rowOff>
                  </from>
                  <to>
                    <xdr:col>14</xdr:col>
                    <xdr:colOff>38100</xdr:colOff>
                    <xdr:row>30</xdr:row>
                    <xdr:rowOff>361950</xdr:rowOff>
                  </to>
                </anchor>
              </controlPr>
            </control>
          </mc:Choice>
        </mc:AlternateContent>
        <mc:AlternateContent xmlns:mc="http://schemas.openxmlformats.org/markup-compatibility/2006">
          <mc:Choice Requires="x14">
            <control shapeId="29719" r:id="rId12" name="check_resultado_irritcutanea6">
              <controlPr defaultSize="0" autoFill="0" autoLine="0" autoPict="0">
                <anchor moveWithCells="1">
                  <from>
                    <xdr:col>13</xdr:col>
                    <xdr:colOff>95250</xdr:colOff>
                    <xdr:row>75</xdr:row>
                    <xdr:rowOff>28575</xdr:rowOff>
                  </from>
                  <to>
                    <xdr:col>39</xdr:col>
                    <xdr:colOff>9525</xdr:colOff>
                    <xdr:row>75</xdr:row>
                    <xdr:rowOff>600075</xdr:rowOff>
                  </to>
                </anchor>
              </controlPr>
            </control>
          </mc:Choice>
        </mc:AlternateContent>
        <mc:AlternateContent xmlns:mc="http://schemas.openxmlformats.org/markup-compatibility/2006">
          <mc:Choice Requires="x14">
            <control shapeId="29731" r:id="rId13" name="Optn_desvio_irritcutanea_1">
              <controlPr defaultSize="0" autoFill="0" autoLine="0" autoPict="0">
                <anchor moveWithCells="1">
                  <from>
                    <xdr:col>13</xdr:col>
                    <xdr:colOff>38100</xdr:colOff>
                    <xdr:row>80</xdr:row>
                    <xdr:rowOff>228600</xdr:rowOff>
                  </from>
                  <to>
                    <xdr:col>17</xdr:col>
                    <xdr:colOff>266700</xdr:colOff>
                    <xdr:row>82</xdr:row>
                    <xdr:rowOff>38100</xdr:rowOff>
                  </to>
                </anchor>
              </controlPr>
            </control>
          </mc:Choice>
        </mc:AlternateContent>
        <mc:AlternateContent xmlns:mc="http://schemas.openxmlformats.org/markup-compatibility/2006">
          <mc:Choice Requires="x14">
            <control shapeId="29732" r:id="rId14" name="Optn_desvio_irritcutanea_2">
              <controlPr defaultSize="0" autoFill="0" autoLine="0" autoPict="0">
                <anchor moveWithCells="1">
                  <from>
                    <xdr:col>13</xdr:col>
                    <xdr:colOff>38100</xdr:colOff>
                    <xdr:row>82</xdr:row>
                    <xdr:rowOff>323850</xdr:rowOff>
                  </from>
                  <to>
                    <xdr:col>17</xdr:col>
                    <xdr:colOff>266700</xdr:colOff>
                    <xdr:row>84</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477" id="{CB42E22F-AEF2-4EE4-A3EF-16511D30303D}">
            <xm:f>IF(Respostas_usuario!#REF!&lt;&gt;0,1,0)</xm:f>
            <x14:dxf>
              <font>
                <b/>
                <i val="0"/>
                <color rgb="FF00B050"/>
              </font>
            </x14:dxf>
          </x14:cfRule>
          <xm:sqref>M30</xm:sqref>
        </x14:conditionalFormatting>
        <x14:conditionalFormatting xmlns:xm="http://schemas.microsoft.com/office/excel/2006/main">
          <x14:cfRule type="expression" priority="13" id="{5107EC11-0A7D-4F30-B475-9EDA1583E1C0}">
            <xm:f>Respostas_usuario!$M$12&lt;&gt;0</xm:f>
            <x14:dxf>
              <font>
                <b/>
                <i val="0"/>
                <color rgb="FF00B050"/>
              </font>
            </x14:dxf>
          </x14:cfRule>
          <xm:sqref>M73</xm:sqref>
        </x14:conditionalFormatting>
        <x14:conditionalFormatting xmlns:xm="http://schemas.microsoft.com/office/excel/2006/main">
          <x14:cfRule type="expression" priority="14" id="{D808187B-2DD3-44FC-8494-975584E58FFC}">
            <xm:f>Respostas_usuario!$K$12&lt;&gt;0</xm:f>
            <x14:dxf>
              <font>
                <b/>
                <i val="0"/>
                <color rgb="FF00B050"/>
              </font>
            </x14:dxf>
          </x14:cfRule>
          <xm:sqref>M81:M85</xm:sqref>
        </x14:conditionalFormatting>
        <x14:conditionalFormatting xmlns:xm="http://schemas.microsoft.com/office/excel/2006/main">
          <x14:cfRule type="expression" priority="9" id="{DC4B9082-5BCF-4FD0-A4FC-E026952FE22A}">
            <xm:f>Calculos!$J$192=1</xm:f>
            <x14:dxf>
              <fill>
                <patternFill>
                  <bgColor theme="7" tint="0.39994506668294322"/>
                </patternFill>
              </fill>
            </x14:dxf>
          </x14:cfRule>
          <xm:sqref>N72</xm:sqref>
        </x14:conditionalFormatting>
        <x14:conditionalFormatting xmlns:xm="http://schemas.microsoft.com/office/excel/2006/main">
          <x14:cfRule type="expression" priority="8" id="{2E786F7F-E082-4060-A4E4-764856134181}">
            <xm:f>Calculos!$J$193=1</xm:f>
            <x14:dxf>
              <fill>
                <patternFill>
                  <bgColor theme="7" tint="0.39994506668294322"/>
                </patternFill>
              </fill>
            </x14:dxf>
          </x14:cfRule>
          <xm:sqref>N75</xm:sqref>
        </x14:conditionalFormatting>
        <x14:conditionalFormatting xmlns:xm="http://schemas.microsoft.com/office/excel/2006/main">
          <x14:cfRule type="expression" priority="10" id="{78FF56F8-31E3-480D-9017-28C57D349FE8}">
            <xm:f>Respostas_usuario!$K$12&lt;&gt;2</xm:f>
            <x14:dxf>
              <font>
                <color theme="0"/>
              </font>
              <fill>
                <patternFill>
                  <bgColor theme="0"/>
                </patternFill>
              </fill>
              <border>
                <right/>
                <top/>
                <bottom/>
                <vertical/>
                <horizontal/>
              </border>
            </x14:dxf>
          </x14:cfRule>
          <xm:sqref>S81:AM85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errorTitle="Resposta inválida" error="A resposta deve ser Sim ou Não" xr:uid="{EEEE49FB-FBC9-4867-9476-324326F8E2C0}">
          <x14:formula1>
            <xm:f>Tabelas_fonte!$Y$2:$Y$3</xm:f>
          </x14:formula1>
          <xm:sqref>N27:S27</xm:sqref>
        </x14:dataValidation>
        <x14:dataValidation type="list" allowBlank="1" showInputMessage="1" showErrorMessage="1" errorTitle="Resposta inválida" error="A resposta de ser Sim ou Não." xr:uid="{7E2935E1-7798-4699-9094-CE0D262C5C75}">
          <x14:formula1>
            <xm:f>Tabelas_fonte!$Y$2:$Y$3</xm:f>
          </x14:formula1>
          <xm:sqref>N37:S37</xm:sqref>
        </x14:dataValidation>
        <x14:dataValidation type="list" allowBlank="1" showInputMessage="1" showErrorMessage="1" errorTitle="Resposta inválida" error="O sexo deve ser Macho ou Fêmea" xr:uid="{FEDDF35F-7BF5-4614-AE3D-12C9C6BD469C}">
          <x14:formula1>
            <xm:f>Tabelas_fonte!$W$8:$W$9</xm:f>
          </x14:formula1>
          <xm:sqref>I56:K65</xm:sqref>
        </x14:dataValidation>
        <x14:dataValidation type="list" allowBlank="1" showInputMessage="1" showErrorMessage="1" errorTitle="Valor inválido" error="A resposta deve ser Sim ou Não" xr:uid="{BAE1E90A-B8F2-4A95-AF84-B7B4E3508E3C}">
          <x14:formula1>
            <xm:f>Tabelas_fonte!$Y$2:$Y$3</xm:f>
          </x14:formula1>
          <xm:sqref>AI82:AM85</xm:sqref>
        </x14:dataValidation>
        <x14:dataValidation type="list" allowBlank="1" showInputMessage="1" showErrorMessage="1" errorTitle="Resposta inválida" error="A resposta de ser Sim ou Não." xr:uid="{ED08B464-B8E9-4470-AD35-A5BCC2D5F09D}">
          <x14:formula1>
            <xm:f>Tabelas_fonte!$U$19:$U$21</xm:f>
          </x14:formula1>
          <xm:sqref>N45:S46</xm:sqref>
        </x14:dataValidation>
        <x14:dataValidation type="list" allowBlank="1" showInputMessage="1" showErrorMessage="1" xr:uid="{E69AA7FD-1CFD-445A-80DB-C94E5BFDED67}">
          <x14:formula1>
            <xm:f>Tabelas_fonte!$Y$2:$Y$3</xm:f>
          </x14:formula1>
          <xm:sqref>N10:S10</xm:sqref>
        </x14:dataValidation>
        <x14:dataValidation type="list" allowBlank="1" showInputMessage="1" showErrorMessage="1" xr:uid="{B06DFAF6-7F86-4A50-B505-AF3EF06F07DB}">
          <x14:formula1>
            <xm:f>Tabelas_fonte!$AK$29:$AK$33</xm:f>
          </x14:formula1>
          <xm:sqref>AJ15:AM17</xm:sqref>
        </x14:dataValidation>
        <x14:dataValidation type="list" allowBlank="1" showInputMessage="1" xr:uid="{51E706E4-55C9-4F6F-A6AA-B04334C00363}">
          <x14:formula1>
            <xm:f>Tabelas_fonte!$AK$2:$AK$6</xm:f>
          </x14:formula1>
          <xm:sqref>N38:AJ38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06AB-EFC6-4511-AF20-9E6988FA5CBA}">
  <sheetPr codeName="Planilha25">
    <tabColor theme="8" tint="0.59999389629810485"/>
  </sheetPr>
  <dimension ref="A1:AR104"/>
  <sheetViews>
    <sheetView showGridLines="0" topLeftCell="D1" workbookViewId="0">
      <selection activeCell="D1" sqref="D1"/>
    </sheetView>
  </sheetViews>
  <sheetFormatPr defaultColWidth="0" defaultRowHeight="15" customHeight="1" zeroHeight="1" x14ac:dyDescent="0.25"/>
  <cols>
    <col min="1" max="3" width="2.7109375" style="2" hidden="1" customWidth="1"/>
    <col min="4" max="4" width="2.7109375" style="2" customWidth="1"/>
    <col min="5" max="5" width="2.7109375" style="20" customWidth="1"/>
    <col min="6" max="13" width="4.7109375" style="20" customWidth="1"/>
    <col min="14" max="14" width="5.7109375" style="20" customWidth="1"/>
    <col min="15" max="44" width="4.7109375" style="20" customWidth="1"/>
    <col min="45" max="16384" width="9.140625" style="20" hidden="1"/>
  </cols>
  <sheetData>
    <row r="1" spans="1:44" s="7" customFormat="1" x14ac:dyDescent="0.25">
      <c r="A1" s="18"/>
      <c r="B1" s="18"/>
      <c r="C1" s="18"/>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44" ht="15" customHeight="1" x14ac:dyDescent="0.25">
      <c r="A2" s="18"/>
      <c r="B2" s="18"/>
      <c r="C2" s="18"/>
      <c r="D2" s="7"/>
      <c r="E2" s="2"/>
      <c r="F2" s="1148" t="s">
        <v>6053</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c r="AO2" s="2"/>
      <c r="AP2" s="2"/>
      <c r="AQ2" s="2"/>
      <c r="AR2" s="2"/>
    </row>
    <row r="3" spans="1:44"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c r="AO3" s="2"/>
      <c r="AP3" s="2"/>
      <c r="AQ3" s="2"/>
      <c r="AR3" s="2"/>
    </row>
    <row r="4" spans="1:44"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c r="AO4" s="2"/>
      <c r="AP4" s="2"/>
      <c r="AQ4" s="2"/>
      <c r="AR4" s="2"/>
    </row>
    <row r="5" spans="1:44"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c r="AO5" s="2"/>
      <c r="AP5" s="2"/>
      <c r="AQ5" s="2"/>
      <c r="AR5" s="2"/>
    </row>
    <row r="6" spans="1:44"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c r="AO6" s="2"/>
      <c r="AP6" s="2"/>
      <c r="AQ6" s="2"/>
      <c r="AR6" s="73"/>
    </row>
    <row r="7" spans="1:44" ht="20.100000000000001" customHeight="1" x14ac:dyDescent="0.25">
      <c r="A7" s="18"/>
      <c r="B7" s="18"/>
      <c r="C7" s="18"/>
      <c r="D7" s="7"/>
      <c r="E7" s="158"/>
      <c r="F7" s="1024" t="str">
        <f ca="1">Alertas!S14</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row>
    <row r="8" spans="1:44" s="7" customFormat="1" ht="15" customHeight="1" x14ac:dyDescent="0.25">
      <c r="A8" s="18"/>
      <c r="B8" s="18"/>
      <c r="C8" s="18"/>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44" s="7" customFormat="1" ht="15" customHeight="1" x14ac:dyDescent="0.25">
      <c r="A9" s="18"/>
      <c r="B9" s="18"/>
      <c r="C9" s="18"/>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s="7" customFormat="1" ht="39.950000000000003" customHeight="1" x14ac:dyDescent="0.25">
      <c r="A10" s="18"/>
      <c r="B10" s="18"/>
      <c r="C10" s="18"/>
      <c r="E10" s="2"/>
      <c r="F10" s="1049" t="s">
        <v>6550</v>
      </c>
      <c r="G10" s="1050"/>
      <c r="H10" s="1050"/>
      <c r="I10" s="1050"/>
      <c r="J10" s="1050"/>
      <c r="K10" s="1050"/>
      <c r="L10" s="1050"/>
      <c r="M10" s="1051"/>
      <c r="N10" s="1218"/>
      <c r="O10" s="1219"/>
      <c r="P10" s="1219"/>
      <c r="Q10" s="1219"/>
      <c r="R10" s="1219"/>
      <c r="S10" s="1220"/>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4" s="7" customFormat="1" ht="15" customHeight="1" x14ac:dyDescent="0.25">
      <c r="A11" s="18"/>
      <c r="B11" s="18"/>
      <c r="C11" s="18"/>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4" s="7" customFormat="1" ht="15" customHeight="1" x14ac:dyDescent="0.25">
      <c r="A12" s="18"/>
      <c r="B12" s="18"/>
      <c r="C12" s="18"/>
      <c r="E12" s="2"/>
      <c r="F12" s="166" t="s">
        <v>6536</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4" s="7" customFormat="1" ht="15" customHeight="1" x14ac:dyDescent="0.25">
      <c r="A13" s="18"/>
      <c r="B13" s="18"/>
      <c r="C13" s="18"/>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4" s="7" customFormat="1" ht="15" customHeight="1" x14ac:dyDescent="0.25">
      <c r="A14" s="18"/>
      <c r="B14" s="18"/>
      <c r="C14" s="18"/>
      <c r="E14" s="2"/>
      <c r="F14" s="2"/>
      <c r="G14" s="1221" t="s">
        <v>6519</v>
      </c>
      <c r="H14" s="1221"/>
      <c r="I14" s="1221"/>
      <c r="J14" s="1221"/>
      <c r="K14" s="1221"/>
      <c r="L14" s="1221"/>
      <c r="M14" s="1221"/>
      <c r="N14" s="1221"/>
      <c r="O14" s="1221"/>
      <c r="P14" s="1221"/>
      <c r="Q14" s="1221"/>
      <c r="R14" s="1221" t="s">
        <v>7797</v>
      </c>
      <c r="S14" s="1221"/>
      <c r="T14" s="1221"/>
      <c r="U14" s="1221"/>
      <c r="V14" s="1221"/>
      <c r="W14" s="1221"/>
      <c r="X14" s="1221"/>
      <c r="Y14" s="1221"/>
      <c r="Z14" s="1221"/>
      <c r="AA14" s="1221"/>
      <c r="AB14" s="1221"/>
      <c r="AC14" s="1221"/>
      <c r="AD14" s="1221"/>
      <c r="AE14" s="1221"/>
      <c r="AF14" s="1221"/>
      <c r="AG14" s="1221"/>
      <c r="AH14" s="1221"/>
      <c r="AI14" s="1221"/>
      <c r="AJ14" s="1221" t="s">
        <v>6538</v>
      </c>
      <c r="AK14" s="1221"/>
      <c r="AL14" s="1221"/>
      <c r="AM14" s="1221"/>
      <c r="AN14" s="2"/>
      <c r="AO14" s="2"/>
      <c r="AP14" s="2"/>
      <c r="AQ14" s="2"/>
      <c r="AR14" s="2"/>
    </row>
    <row r="15" spans="1:44" s="7" customFormat="1" ht="39.950000000000003" customHeight="1" x14ac:dyDescent="0.25">
      <c r="A15" s="18"/>
      <c r="B15" s="18"/>
      <c r="C15" s="18"/>
      <c r="E15" s="2"/>
      <c r="F15" s="193" t="s">
        <v>152</v>
      </c>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6"/>
      <c r="AK15" s="1216"/>
      <c r="AL15" s="1216"/>
      <c r="AM15" s="1216"/>
      <c r="AN15" s="2"/>
      <c r="AO15" s="2"/>
      <c r="AP15" s="2"/>
      <c r="AQ15" s="2"/>
      <c r="AR15" s="2"/>
    </row>
    <row r="16" spans="1:44" s="7" customFormat="1" ht="39.950000000000003" customHeight="1" x14ac:dyDescent="0.25">
      <c r="A16" s="18"/>
      <c r="B16" s="18"/>
      <c r="C16" s="18"/>
      <c r="E16" s="2"/>
      <c r="F16" s="193" t="s">
        <v>153</v>
      </c>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6"/>
      <c r="AK16" s="1216"/>
      <c r="AL16" s="1216"/>
      <c r="AM16" s="1216"/>
      <c r="AN16" s="2"/>
      <c r="AO16" s="2"/>
      <c r="AP16" s="2"/>
      <c r="AQ16" s="2"/>
      <c r="AR16" s="2"/>
    </row>
    <row r="17" spans="1:44" s="7" customFormat="1" ht="39.950000000000003" customHeight="1" x14ac:dyDescent="0.25">
      <c r="A17" s="18"/>
      <c r="B17" s="18"/>
      <c r="C17" s="18"/>
      <c r="E17" s="2"/>
      <c r="F17" s="193" t="s">
        <v>154</v>
      </c>
      <c r="G17" s="1217"/>
      <c r="H17" s="1217"/>
      <c r="I17" s="1217"/>
      <c r="J17" s="1217"/>
      <c r="K17" s="1217"/>
      <c r="L17" s="1217"/>
      <c r="M17" s="1217"/>
      <c r="N17" s="1217"/>
      <c r="O17" s="1217"/>
      <c r="P17" s="1217"/>
      <c r="Q17" s="1217"/>
      <c r="R17" s="1217"/>
      <c r="S17" s="1217"/>
      <c r="T17" s="1217"/>
      <c r="U17" s="1217"/>
      <c r="V17" s="1217"/>
      <c r="W17" s="1217"/>
      <c r="X17" s="1217"/>
      <c r="Y17" s="1217"/>
      <c r="Z17" s="1217"/>
      <c r="AA17" s="1217"/>
      <c r="AB17" s="1217"/>
      <c r="AC17" s="1217"/>
      <c r="AD17" s="1217"/>
      <c r="AE17" s="1217"/>
      <c r="AF17" s="1217"/>
      <c r="AG17" s="1217"/>
      <c r="AH17" s="1217"/>
      <c r="AI17" s="1217"/>
      <c r="AJ17" s="1216"/>
      <c r="AK17" s="1216"/>
      <c r="AL17" s="1216"/>
      <c r="AM17" s="1216"/>
      <c r="AN17" s="2"/>
      <c r="AO17" s="2"/>
      <c r="AP17" s="2"/>
      <c r="AQ17" s="2"/>
      <c r="AR17" s="2"/>
    </row>
    <row r="18" spans="1:44" s="7" customFormat="1" ht="20.100000000000001" hidden="1" customHeight="1" x14ac:dyDescent="0.25">
      <c r="A18" s="18"/>
      <c r="B18" s="18"/>
      <c r="C18" s="18"/>
      <c r="E18" s="2"/>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
      <c r="AP18" s="2"/>
      <c r="AQ18" s="2"/>
      <c r="AR18" s="2"/>
    </row>
    <row r="19" spans="1:44" s="7" customFormat="1" ht="20.100000000000001" hidden="1" customHeight="1" x14ac:dyDescent="0.25">
      <c r="A19" s="18"/>
      <c r="B19" s="18"/>
      <c r="C19" s="18"/>
      <c r="E19" s="2"/>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
      <c r="AP19" s="2"/>
      <c r="AQ19" s="2"/>
      <c r="AR19" s="2"/>
    </row>
    <row r="20" spans="1:44" s="7" customFormat="1" ht="15" customHeight="1" x14ac:dyDescent="0.25">
      <c r="A20" s="18"/>
      <c r="B20" s="18"/>
      <c r="C20" s="18"/>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s="7" customFormat="1" ht="15" customHeight="1" x14ac:dyDescent="0.25">
      <c r="A21" s="18"/>
      <c r="B21" s="18"/>
      <c r="C21" s="18"/>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s="7" customFormat="1" ht="15" customHeight="1" x14ac:dyDescent="0.25">
      <c r="A22" s="18"/>
      <c r="B22" s="18"/>
      <c r="C22" s="18"/>
      <c r="E22" s="2"/>
      <c r="F22" s="194" t="s">
        <v>143</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s="7" customFormat="1" ht="50.1" customHeight="1" x14ac:dyDescent="0.25">
      <c r="A23" s="18"/>
      <c r="B23" s="18"/>
      <c r="C23" s="18"/>
      <c r="E23" s="2"/>
      <c r="F23" s="1222"/>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4"/>
      <c r="AN23" s="2"/>
      <c r="AO23" s="2"/>
      <c r="AP23" s="2"/>
      <c r="AQ23" s="2"/>
      <c r="AR23" s="2"/>
    </row>
    <row r="24" spans="1:44" s="7" customFormat="1" ht="15" customHeight="1" x14ac:dyDescent="0.25">
      <c r="A24" s="18"/>
      <c r="B24" s="18"/>
      <c r="C24" s="18"/>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s="7" customFormat="1" ht="15" customHeight="1" x14ac:dyDescent="0.25">
      <c r="A25" s="18"/>
      <c r="B25" s="18"/>
      <c r="C25" s="18"/>
    </row>
    <row r="26" spans="1:44" ht="15" customHeight="1" x14ac:dyDescent="0.25">
      <c r="A26" s="18"/>
      <c r="B26" s="18"/>
      <c r="C26" s="18"/>
      <c r="D26" s="7"/>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30" customHeight="1" x14ac:dyDescent="0.25">
      <c r="A27" s="18"/>
      <c r="B27" s="18"/>
      <c r="C27" s="18"/>
      <c r="D27" s="7"/>
      <c r="E27" s="2"/>
      <c r="F27" s="1208" t="s">
        <v>6031</v>
      </c>
      <c r="G27" s="1208"/>
      <c r="H27" s="1208"/>
      <c r="I27" s="1208"/>
      <c r="J27" s="1208"/>
      <c r="K27" s="1208"/>
      <c r="L27" s="1208"/>
      <c r="M27" s="1208"/>
      <c r="N27" s="1209"/>
      <c r="O27" s="1209"/>
      <c r="P27" s="1209"/>
      <c r="Q27" s="1209"/>
      <c r="R27" s="1209"/>
      <c r="S27" s="1209"/>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30" customHeight="1" x14ac:dyDescent="0.25">
      <c r="A28" s="18"/>
      <c r="B28" s="18"/>
      <c r="C28" s="18"/>
      <c r="D28" s="7"/>
      <c r="E28" s="2"/>
      <c r="G28" s="195"/>
      <c r="H28" s="195"/>
      <c r="I28" s="195"/>
      <c r="J28" s="195"/>
      <c r="K28" s="195"/>
      <c r="L28" s="195"/>
      <c r="M28" s="196"/>
      <c r="N28" s="226" t="s">
        <v>236</v>
      </c>
      <c r="O28" s="226"/>
      <c r="P28" s="226"/>
      <c r="Q28" s="226"/>
      <c r="R28" s="226"/>
      <c r="S28" s="226"/>
      <c r="T28" s="226"/>
      <c r="U28" s="226"/>
      <c r="V28" s="226"/>
      <c r="W28" s="226"/>
      <c r="X28" s="226"/>
      <c r="Y28" s="226"/>
      <c r="Z28" s="161"/>
      <c r="AA28" s="161"/>
      <c r="AB28" s="161"/>
      <c r="AC28" s="161"/>
      <c r="AD28" s="161"/>
      <c r="AE28" s="161"/>
      <c r="AF28" s="161"/>
      <c r="AG28" s="161"/>
      <c r="AH28" s="161"/>
      <c r="AI28" s="161"/>
      <c r="AJ28" s="161"/>
      <c r="AK28" s="161"/>
      <c r="AL28" s="161"/>
      <c r="AM28" s="161"/>
      <c r="AN28" s="2"/>
      <c r="AO28" s="2"/>
      <c r="AP28" s="2"/>
      <c r="AQ28" s="2"/>
      <c r="AR28" s="2"/>
    </row>
    <row r="29" spans="1:44" ht="39.950000000000003" customHeight="1" x14ac:dyDescent="0.25">
      <c r="A29" s="18"/>
      <c r="B29" s="18"/>
      <c r="C29" s="18"/>
      <c r="D29" s="7"/>
      <c r="E29" s="2"/>
      <c r="F29" s="1067" t="s">
        <v>40</v>
      </c>
      <c r="G29" s="1068"/>
      <c r="H29" s="1068"/>
      <c r="I29" s="1068"/>
      <c r="J29" s="1068"/>
      <c r="K29" s="1068"/>
      <c r="L29" s="1068"/>
      <c r="M29" s="227"/>
      <c r="N29" s="200"/>
      <c r="O29" s="1050" t="s">
        <v>227</v>
      </c>
      <c r="P29" s="1050"/>
      <c r="Q29" s="1050"/>
      <c r="R29" s="1050"/>
      <c r="S29" s="1050"/>
      <c r="T29" s="1050"/>
      <c r="U29" s="1050"/>
      <c r="V29" s="1050"/>
      <c r="W29" s="1050"/>
      <c r="X29" s="1050"/>
      <c r="Y29" s="1050"/>
      <c r="Z29" s="1050"/>
      <c r="AA29" s="1050"/>
      <c r="AB29" s="1050"/>
      <c r="AC29" s="1050"/>
      <c r="AD29" s="1050"/>
      <c r="AE29" s="1050"/>
      <c r="AF29" s="1050"/>
      <c r="AG29" s="1050"/>
      <c r="AH29" s="1050"/>
      <c r="AI29" s="1050"/>
      <c r="AJ29" s="1050"/>
      <c r="AK29" s="1050"/>
      <c r="AL29" s="1050"/>
      <c r="AM29" s="1051"/>
      <c r="AN29" s="2"/>
      <c r="AO29" s="2"/>
      <c r="AP29" s="2"/>
      <c r="AQ29" s="2"/>
      <c r="AR29" s="2"/>
    </row>
    <row r="30" spans="1:44" ht="39.950000000000003" customHeight="1" x14ac:dyDescent="0.25">
      <c r="A30" s="18"/>
      <c r="B30" s="18"/>
      <c r="C30" s="18"/>
      <c r="D30" s="7"/>
      <c r="E30" s="2"/>
      <c r="F30" s="1070"/>
      <c r="G30" s="1071"/>
      <c r="H30" s="1071"/>
      <c r="I30" s="1071"/>
      <c r="J30" s="1071"/>
      <c r="K30" s="1071"/>
      <c r="L30" s="1071"/>
      <c r="M30" s="228" t="s">
        <v>186</v>
      </c>
      <c r="N30" s="201"/>
      <c r="O30" s="1225" t="s">
        <v>5956</v>
      </c>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6"/>
      <c r="AN30" s="2"/>
      <c r="AO30" s="2"/>
      <c r="AP30" s="2"/>
      <c r="AQ30" s="2"/>
      <c r="AR30" s="2"/>
    </row>
    <row r="31" spans="1:44" ht="39.950000000000003" customHeight="1" x14ac:dyDescent="0.25">
      <c r="A31" s="18"/>
      <c r="B31" s="18"/>
      <c r="C31" s="18"/>
      <c r="D31" s="7"/>
      <c r="E31" s="2"/>
      <c r="F31" s="1073"/>
      <c r="G31" s="1074"/>
      <c r="H31" s="1074"/>
      <c r="I31" s="1074"/>
      <c r="J31" s="1074"/>
      <c r="K31" s="1074"/>
      <c r="L31" s="1074"/>
      <c r="M31" s="202"/>
      <c r="N31" s="229"/>
      <c r="O31" s="1273" t="s">
        <v>8</v>
      </c>
      <c r="P31" s="1273"/>
      <c r="Q31" s="1274" t="s">
        <v>41</v>
      </c>
      <c r="R31" s="1274"/>
      <c r="S31" s="1274"/>
      <c r="T31" s="1279"/>
      <c r="U31" s="1279"/>
      <c r="V31" s="1279"/>
      <c r="W31" s="1279"/>
      <c r="X31" s="1279"/>
      <c r="Y31" s="1279"/>
      <c r="Z31" s="1279"/>
      <c r="AA31" s="1279"/>
      <c r="AB31" s="1279"/>
      <c r="AC31" s="1279"/>
      <c r="AD31" s="1279"/>
      <c r="AE31" s="1279"/>
      <c r="AF31" s="1279"/>
      <c r="AG31" s="1279"/>
      <c r="AH31" s="1279"/>
      <c r="AI31" s="1279"/>
      <c r="AJ31" s="1279"/>
      <c r="AK31" s="1279"/>
      <c r="AL31" s="1279"/>
      <c r="AM31" s="1279"/>
      <c r="AN31" s="2"/>
      <c r="AO31" s="2"/>
      <c r="AP31" s="2"/>
      <c r="AQ31" s="2"/>
      <c r="AR31" s="2"/>
    </row>
    <row r="32" spans="1:44" ht="15" customHeight="1" x14ac:dyDescent="0.25">
      <c r="A32" s="18"/>
      <c r="B32" s="18"/>
      <c r="C32" s="18"/>
      <c r="D32" s="7"/>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20.100000000000001" customHeight="1" x14ac:dyDescent="0.25">
      <c r="A33" s="18"/>
      <c r="B33" s="18"/>
      <c r="C33" s="18"/>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row>
    <row r="34" spans="1:44" ht="15" customHeight="1" x14ac:dyDescent="0.25">
      <c r="A34" s="18"/>
      <c r="B34" s="18"/>
      <c r="C34" s="18"/>
      <c r="D34" s="7"/>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30" customHeight="1" x14ac:dyDescent="0.25">
      <c r="A35" s="18"/>
      <c r="B35" s="18"/>
      <c r="C35" s="18"/>
      <c r="D35" s="7"/>
      <c r="E35" s="2"/>
      <c r="F35" s="1149" t="s">
        <v>30</v>
      </c>
      <c r="G35" s="1094"/>
      <c r="H35" s="1094"/>
      <c r="I35" s="1094"/>
      <c r="J35" s="1094"/>
      <c r="K35" s="1094"/>
      <c r="L35" s="1104"/>
      <c r="M35" s="148" t="s">
        <v>186</v>
      </c>
      <c r="N35" s="1140"/>
      <c r="O35" s="1141"/>
      <c r="P35" s="1141"/>
      <c r="Q35" s="1141"/>
      <c r="R35" s="1141"/>
      <c r="S35" s="1141"/>
      <c r="T35" s="1141"/>
      <c r="U35" s="1141"/>
      <c r="V35" s="1141"/>
      <c r="W35" s="1141"/>
      <c r="X35" s="1141"/>
      <c r="Y35" s="1141"/>
      <c r="Z35" s="1142"/>
      <c r="AA35" s="1008" t="s">
        <v>294</v>
      </c>
      <c r="AB35" s="1009"/>
      <c r="AC35" s="1009"/>
      <c r="AD35" s="1041"/>
      <c r="AE35" s="148" t="s">
        <v>186</v>
      </c>
      <c r="AF35" s="1140"/>
      <c r="AG35" s="1141"/>
      <c r="AH35" s="1141"/>
      <c r="AI35" s="1141"/>
      <c r="AJ35" s="1142"/>
      <c r="AK35" s="2"/>
      <c r="AL35" s="2"/>
      <c r="AM35" s="2"/>
      <c r="AN35" s="2"/>
      <c r="AO35" s="49"/>
      <c r="AP35" s="49"/>
      <c r="AQ35" s="49"/>
      <c r="AR35" s="49"/>
    </row>
    <row r="36" spans="1:44" ht="60" customHeight="1" x14ac:dyDescent="0.25">
      <c r="A36" s="18"/>
      <c r="B36" s="18"/>
      <c r="C36" s="18"/>
      <c r="D36" s="7"/>
      <c r="E36" s="2"/>
      <c r="F36" s="1008" t="s">
        <v>7300</v>
      </c>
      <c r="G36" s="1009"/>
      <c r="H36" s="1009"/>
      <c r="I36" s="1009"/>
      <c r="J36" s="1009"/>
      <c r="K36" s="1009"/>
      <c r="L36" s="1041"/>
      <c r="M36" s="148" t="s">
        <v>186</v>
      </c>
      <c r="N36" s="1140"/>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2"/>
      <c r="AK36" s="1158" t="s">
        <v>271</v>
      </c>
      <c r="AL36" s="1159"/>
      <c r="AM36" s="1159"/>
      <c r="AN36" s="1159"/>
      <c r="AO36" s="49"/>
      <c r="AP36" s="49"/>
      <c r="AQ36" s="49"/>
      <c r="AR36" s="49"/>
    </row>
    <row r="37" spans="1:44" ht="20.100000000000001" customHeight="1" x14ac:dyDescent="0.25">
      <c r="A37" s="18"/>
      <c r="B37" s="18"/>
      <c r="C37" s="18"/>
      <c r="D37" s="7"/>
      <c r="E37" s="2"/>
      <c r="F37" s="1008" t="s">
        <v>6029</v>
      </c>
      <c r="G37" s="1009"/>
      <c r="H37" s="1009"/>
      <c r="I37" s="1009"/>
      <c r="J37" s="1009"/>
      <c r="K37" s="1009"/>
      <c r="L37" s="1041"/>
      <c r="M37" s="148" t="s">
        <v>186</v>
      </c>
      <c r="N37" s="1147"/>
      <c r="O37" s="1096"/>
      <c r="P37" s="1096"/>
      <c r="Q37" s="1096"/>
      <c r="R37" s="1096"/>
      <c r="S37" s="1097"/>
      <c r="T37" s="171"/>
      <c r="U37" s="172"/>
      <c r="V37" s="172"/>
      <c r="W37" s="172"/>
      <c r="X37" s="172"/>
      <c r="Y37" s="172"/>
      <c r="Z37" s="172"/>
      <c r="AA37" s="172"/>
      <c r="AB37" s="172"/>
      <c r="AC37" s="172"/>
      <c r="AD37" s="172"/>
      <c r="AE37" s="172"/>
      <c r="AF37" s="172"/>
      <c r="AG37" s="172"/>
      <c r="AH37" s="172"/>
      <c r="AI37" s="173"/>
      <c r="AJ37" s="174"/>
      <c r="AK37" s="2"/>
      <c r="AL37" s="2"/>
      <c r="AM37" s="2"/>
      <c r="AN37" s="2"/>
      <c r="AO37" s="49"/>
      <c r="AP37" s="49"/>
      <c r="AQ37" s="161"/>
      <c r="AR37" s="161"/>
    </row>
    <row r="38" spans="1:44" ht="20.100000000000001" customHeight="1" x14ac:dyDescent="0.25">
      <c r="A38" s="18"/>
      <c r="B38" s="18"/>
      <c r="C38" s="18"/>
      <c r="D38" s="7"/>
      <c r="E38" s="2"/>
      <c r="F38" s="1149" t="s">
        <v>218</v>
      </c>
      <c r="G38" s="1094"/>
      <c r="H38" s="1094"/>
      <c r="I38" s="1094"/>
      <c r="J38" s="1094"/>
      <c r="K38" s="1094"/>
      <c r="L38" s="1104"/>
      <c r="M38" s="148" t="s">
        <v>186</v>
      </c>
      <c r="N38" s="1143"/>
      <c r="O38" s="1106"/>
      <c r="P38" s="1106"/>
      <c r="Q38" s="1106"/>
      <c r="R38" s="1106"/>
      <c r="S38" s="1106"/>
      <c r="T38" s="1106"/>
      <c r="U38" s="1106"/>
      <c r="V38" s="1106"/>
      <c r="W38" s="1106"/>
      <c r="X38" s="1106"/>
      <c r="Y38" s="1106"/>
      <c r="Z38" s="1106"/>
      <c r="AA38" s="1106"/>
      <c r="AB38" s="1106"/>
      <c r="AC38" s="1106"/>
      <c r="AD38" s="1106"/>
      <c r="AE38" s="1106"/>
      <c r="AF38" s="1106"/>
      <c r="AG38" s="1106"/>
      <c r="AH38" s="1106"/>
      <c r="AI38" s="1106"/>
      <c r="AJ38" s="1107"/>
      <c r="AK38" s="2"/>
      <c r="AL38" s="2"/>
      <c r="AM38" s="2"/>
      <c r="AN38" s="2"/>
      <c r="AO38" s="49"/>
      <c r="AP38" s="49"/>
      <c r="AQ38" s="162"/>
      <c r="AR38" s="162"/>
    </row>
    <row r="39" spans="1:44" ht="20.100000000000001" customHeight="1" x14ac:dyDescent="0.25">
      <c r="A39" s="18"/>
      <c r="B39" s="18"/>
      <c r="C39" s="18"/>
      <c r="D39" s="7"/>
      <c r="E39" s="2"/>
      <c r="F39" s="1149" t="s">
        <v>311</v>
      </c>
      <c r="G39" s="1094"/>
      <c r="H39" s="1094"/>
      <c r="I39" s="1094"/>
      <c r="J39" s="1094"/>
      <c r="K39" s="1094"/>
      <c r="L39" s="1094"/>
      <c r="M39" s="1150"/>
      <c r="N39" s="1276"/>
      <c r="O39" s="1277"/>
      <c r="P39" s="1277"/>
      <c r="Q39" s="1277"/>
      <c r="R39" s="1277"/>
      <c r="S39" s="1277"/>
      <c r="T39" s="1277"/>
      <c r="U39" s="1277"/>
      <c r="V39" s="1277"/>
      <c r="W39" s="1277"/>
      <c r="X39" s="1277"/>
      <c r="Y39" s="1277"/>
      <c r="Z39" s="1277"/>
      <c r="AA39" s="1277"/>
      <c r="AB39" s="1277"/>
      <c r="AC39" s="1277"/>
      <c r="AD39" s="1277"/>
      <c r="AE39" s="1277"/>
      <c r="AF39" s="1277"/>
      <c r="AG39" s="1277"/>
      <c r="AH39" s="1277"/>
      <c r="AI39" s="1277"/>
      <c r="AJ39" s="1278"/>
      <c r="AK39" s="163"/>
      <c r="AL39" s="163"/>
      <c r="AM39" s="163"/>
      <c r="AN39" s="163"/>
      <c r="AO39" s="49"/>
      <c r="AP39" s="49"/>
      <c r="AQ39" s="163"/>
      <c r="AR39" s="163"/>
    </row>
    <row r="40" spans="1:44" ht="30" customHeight="1" x14ac:dyDescent="0.25">
      <c r="A40" s="18"/>
      <c r="B40" s="18"/>
      <c r="C40" s="18"/>
      <c r="D40" s="7"/>
      <c r="E40" s="2"/>
      <c r="F40" s="1008" t="s">
        <v>7301</v>
      </c>
      <c r="G40" s="1009"/>
      <c r="H40" s="1009"/>
      <c r="I40" s="1009"/>
      <c r="J40" s="1009"/>
      <c r="K40" s="1009"/>
      <c r="L40" s="1009"/>
      <c r="M40" s="1010"/>
      <c r="N40" s="1151" t="s">
        <v>6030</v>
      </c>
      <c r="O40" s="1088"/>
      <c r="P40" s="1089"/>
      <c r="Q40" s="148" t="s">
        <v>186</v>
      </c>
      <c r="R40" s="999"/>
      <c r="S40" s="1000"/>
      <c r="T40" s="1000"/>
      <c r="U40" s="1000"/>
      <c r="V40" s="1000"/>
      <c r="W40" s="1000"/>
      <c r="X40" s="1001"/>
      <c r="Y40" s="1008" t="s">
        <v>31</v>
      </c>
      <c r="Z40" s="1009"/>
      <c r="AA40" s="1009"/>
      <c r="AB40" s="1041"/>
      <c r="AC40" s="148" t="s">
        <v>186</v>
      </c>
      <c r="AD40" s="999"/>
      <c r="AE40" s="1000"/>
      <c r="AF40" s="1000"/>
      <c r="AG40" s="1000"/>
      <c r="AH40" s="1000"/>
      <c r="AI40" s="1000"/>
      <c r="AJ40" s="1001"/>
      <c r="AK40" s="164"/>
      <c r="AL40" s="164"/>
      <c r="AM40" s="164"/>
      <c r="AN40" s="164"/>
      <c r="AO40" s="164"/>
      <c r="AP40" s="164"/>
      <c r="AQ40" s="164"/>
      <c r="AR40" s="164"/>
    </row>
    <row r="41" spans="1:44" ht="20.100000000000001" customHeight="1" x14ac:dyDescent="0.25">
      <c r="A41" s="18"/>
      <c r="B41" s="18"/>
      <c r="C41" s="18"/>
      <c r="D41" s="7"/>
      <c r="E41" s="2"/>
      <c r="F41" s="1008" t="s">
        <v>5720</v>
      </c>
      <c r="G41" s="1009"/>
      <c r="H41" s="1009"/>
      <c r="I41" s="1009"/>
      <c r="J41" s="1009"/>
      <c r="K41" s="1009"/>
      <c r="L41" s="1009"/>
      <c r="M41" s="148" t="s">
        <v>186</v>
      </c>
      <c r="N41" s="1136"/>
      <c r="O41" s="1090"/>
      <c r="P41" s="1090"/>
      <c r="Q41" s="1090"/>
      <c r="R41" s="1091"/>
      <c r="S41" s="109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20.100000000000001" customHeight="1" x14ac:dyDescent="0.25">
      <c r="A42" s="18"/>
      <c r="B42" s="18"/>
      <c r="C42" s="18"/>
      <c r="D42" s="7"/>
      <c r="E42" s="2"/>
      <c r="F42" s="1149" t="s">
        <v>85</v>
      </c>
      <c r="G42" s="1094"/>
      <c r="H42" s="1094"/>
      <c r="I42" s="1094"/>
      <c r="J42" s="1094"/>
      <c r="K42" s="1094"/>
      <c r="L42" s="1104"/>
      <c r="M42" s="148" t="s">
        <v>186</v>
      </c>
      <c r="N42" s="1246" t="s">
        <v>310</v>
      </c>
      <c r="O42" s="1247"/>
      <c r="P42" s="1247"/>
      <c r="Q42" s="1247"/>
      <c r="R42" s="1247"/>
      <c r="S42" s="1248"/>
      <c r="T42" s="1008" t="s">
        <v>235</v>
      </c>
      <c r="U42" s="1009"/>
      <c r="V42" s="1009"/>
      <c r="W42" s="1009"/>
      <c r="X42" s="1009"/>
      <c r="Y42" s="1009"/>
      <c r="Z42" s="1009"/>
      <c r="AA42" s="148" t="s">
        <v>186</v>
      </c>
      <c r="AB42" s="1130"/>
      <c r="AC42" s="1131"/>
      <c r="AD42" s="1131"/>
      <c r="AE42" s="1131"/>
      <c r="AF42" s="1131"/>
      <c r="AG42" s="1131"/>
      <c r="AH42" s="1131"/>
      <c r="AI42" s="1131"/>
      <c r="AJ42" s="1132"/>
      <c r="AK42" s="49"/>
      <c r="AL42" s="49"/>
      <c r="AM42" s="49"/>
      <c r="AN42" s="49"/>
      <c r="AO42" s="49"/>
      <c r="AP42" s="49"/>
      <c r="AQ42" s="49"/>
      <c r="AR42" s="49"/>
    </row>
    <row r="43" spans="1:44" ht="20.100000000000001" customHeight="1" x14ac:dyDescent="0.25">
      <c r="A43" s="18"/>
      <c r="B43" s="18"/>
      <c r="C43" s="18"/>
      <c r="D43" s="7"/>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49"/>
      <c r="AN43" s="49"/>
      <c r="AO43" s="49"/>
      <c r="AP43" s="49"/>
      <c r="AQ43" s="49"/>
      <c r="AR43" s="49"/>
    </row>
    <row r="44" spans="1:44" ht="39.950000000000003" customHeight="1" x14ac:dyDescent="0.25">
      <c r="A44" s="18"/>
      <c r="B44" s="18"/>
      <c r="C44" s="18"/>
      <c r="D44" s="7"/>
      <c r="E44" s="2"/>
      <c r="F44" s="1149" t="str">
        <f ca="1">Calculos!$AW$26</f>
        <v>Aguardando preenchimento da unidade de medida na aba Composição</v>
      </c>
      <c r="G44" s="1094"/>
      <c r="H44" s="1094"/>
      <c r="I44" s="1094"/>
      <c r="J44" s="1094"/>
      <c r="K44" s="1094"/>
      <c r="L44" s="1104"/>
      <c r="M44" s="148" t="s">
        <v>186</v>
      </c>
      <c r="N44" s="1133"/>
      <c r="O44" s="1133"/>
      <c r="P44" s="1133"/>
      <c r="Q44" s="1133"/>
      <c r="R44" s="1133"/>
      <c r="S44" s="1133"/>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ht="24.95" customHeight="1" x14ac:dyDescent="0.25">
      <c r="A45" s="18"/>
      <c r="B45" s="18"/>
      <c r="C45" s="18"/>
      <c r="D45" s="7"/>
      <c r="E45" s="2"/>
      <c r="F45" s="1149" t="s">
        <v>128</v>
      </c>
      <c r="G45" s="1094"/>
      <c r="H45" s="1094"/>
      <c r="I45" s="1094"/>
      <c r="J45" s="1094"/>
      <c r="K45" s="1094"/>
      <c r="L45" s="1094"/>
      <c r="M45" s="148" t="s">
        <v>186</v>
      </c>
      <c r="N45" s="1147"/>
      <c r="O45" s="1096"/>
      <c r="P45" s="1096"/>
      <c r="Q45" s="1096"/>
      <c r="R45" s="1096"/>
      <c r="S45" s="1097"/>
      <c r="T45" s="1286" t="s">
        <v>129</v>
      </c>
      <c r="U45" s="1286"/>
      <c r="V45" s="1286"/>
      <c r="W45" s="1286"/>
      <c r="X45" s="1286"/>
      <c r="Y45" s="1286"/>
      <c r="Z45" s="1270"/>
      <c r="AA45" s="1271"/>
      <c r="AB45" s="1271"/>
      <c r="AC45" s="1271"/>
      <c r="AD45" s="1271"/>
      <c r="AE45" s="1271"/>
      <c r="AF45" s="2"/>
      <c r="AG45" s="2"/>
      <c r="AH45" s="2"/>
      <c r="AI45" s="2"/>
      <c r="AJ45" s="2"/>
      <c r="AK45" s="2"/>
      <c r="AL45" s="2"/>
      <c r="AM45" s="2"/>
      <c r="AN45" s="2"/>
      <c r="AO45" s="2"/>
      <c r="AP45" s="2"/>
      <c r="AQ45" s="2"/>
      <c r="AR45" s="2"/>
    </row>
    <row r="46" spans="1:44" ht="24.95" customHeight="1" x14ac:dyDescent="0.25">
      <c r="A46" s="18"/>
      <c r="B46" s="18"/>
      <c r="C46" s="18"/>
      <c r="D46" s="7"/>
      <c r="E46" s="2"/>
      <c r="F46" s="1149" t="s">
        <v>226</v>
      </c>
      <c r="G46" s="1094"/>
      <c r="H46" s="1094"/>
      <c r="I46" s="1094"/>
      <c r="J46" s="1094"/>
      <c r="K46" s="1094"/>
      <c r="L46" s="1104"/>
      <c r="M46" s="148" t="s">
        <v>186</v>
      </c>
      <c r="N46" s="1147"/>
      <c r="O46" s="1096"/>
      <c r="P46" s="1096"/>
      <c r="Q46" s="1096"/>
      <c r="R46" s="1096"/>
      <c r="S46" s="1097"/>
      <c r="T46" s="1008" t="s">
        <v>323</v>
      </c>
      <c r="U46" s="1009"/>
      <c r="V46" s="1009"/>
      <c r="W46" s="1009"/>
      <c r="X46" s="1009"/>
      <c r="Y46" s="1010"/>
      <c r="Z46" s="1227"/>
      <c r="AA46" s="1269"/>
      <c r="AB46" s="1269"/>
      <c r="AC46" s="1269"/>
      <c r="AD46" s="1269"/>
      <c r="AE46" s="1228"/>
      <c r="AF46" s="2"/>
      <c r="AG46" s="2"/>
      <c r="AH46" s="2"/>
      <c r="AI46" s="2"/>
      <c r="AJ46" s="2"/>
      <c r="AK46" s="2"/>
      <c r="AL46" s="2"/>
      <c r="AM46" s="2"/>
      <c r="AN46" s="2"/>
      <c r="AO46" s="2"/>
      <c r="AP46" s="2"/>
      <c r="AQ46" s="2"/>
      <c r="AR46" s="2"/>
    </row>
    <row r="47" spans="1:44" ht="20.100000000000001" hidden="1" customHeight="1" x14ac:dyDescent="0.25">
      <c r="A47" s="18"/>
      <c r="B47" s="18"/>
      <c r="C47" s="18"/>
      <c r="D47" s="7"/>
      <c r="E47" s="2"/>
      <c r="V47" s="2"/>
      <c r="W47" s="2"/>
      <c r="X47" s="2"/>
      <c r="Y47" s="2"/>
      <c r="Z47" s="2"/>
      <c r="AA47" s="2"/>
      <c r="AB47" s="2"/>
      <c r="AC47" s="2"/>
      <c r="AD47" s="2"/>
      <c r="AE47" s="2"/>
      <c r="AF47" s="2"/>
      <c r="AG47" s="2"/>
      <c r="AH47" s="2"/>
      <c r="AI47" s="2"/>
      <c r="AJ47" s="2"/>
      <c r="AK47" s="2"/>
      <c r="AL47" s="2"/>
      <c r="AM47" s="2"/>
      <c r="AN47" s="2"/>
      <c r="AO47" s="2"/>
      <c r="AP47" s="2"/>
      <c r="AQ47" s="2"/>
      <c r="AR47" s="2"/>
    </row>
    <row r="48" spans="1:44" ht="20.100000000000001" customHeight="1" x14ac:dyDescent="0.25">
      <c r="A48" s="18"/>
      <c r="B48" s="18"/>
      <c r="C48" s="18"/>
      <c r="D48" s="7"/>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ht="20.100000000000001" customHeight="1" x14ac:dyDescent="0.25">
      <c r="A49" s="18"/>
      <c r="B49" s="18"/>
      <c r="C49" s="18"/>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row>
    <row r="50" spans="1:44" ht="20.100000000000001" customHeight="1" x14ac:dyDescent="0.25">
      <c r="A50" s="18"/>
      <c r="B50" s="18"/>
      <c r="C50" s="18"/>
      <c r="D50" s="7"/>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ht="20.100000000000001" customHeight="1" x14ac:dyDescent="0.25">
      <c r="A51" s="18"/>
      <c r="B51" s="18"/>
      <c r="C51" s="18"/>
      <c r="D51" s="7"/>
      <c r="E51" s="2"/>
      <c r="F51" s="209"/>
      <c r="G51" s="209"/>
      <c r="H51" s="209"/>
      <c r="I51" s="209"/>
      <c r="J51" s="210"/>
      <c r="K51" s="210"/>
      <c r="L51" s="210"/>
      <c r="M51" s="210"/>
      <c r="N51" s="210"/>
      <c r="O51" s="210"/>
      <c r="P51" s="210"/>
      <c r="Q51" s="210"/>
      <c r="R51" s="210"/>
      <c r="S51" s="210"/>
      <c r="T51" s="210"/>
      <c r="U51" s="210"/>
      <c r="V51" s="211" t="s">
        <v>315</v>
      </c>
      <c r="W51" s="209"/>
      <c r="X51" s="210"/>
      <c r="Y51" s="210"/>
      <c r="Z51" s="210"/>
      <c r="AA51" s="210"/>
      <c r="AB51" s="209"/>
      <c r="AC51" s="209"/>
      <c r="AD51" s="209"/>
      <c r="AE51" s="209"/>
      <c r="AF51" s="209"/>
      <c r="AG51" s="209"/>
      <c r="AH51" s="209"/>
      <c r="AI51" s="209"/>
      <c r="AJ51" s="209"/>
      <c r="AK51" s="209"/>
      <c r="AL51" s="209"/>
      <c r="AM51" s="209"/>
      <c r="AN51" s="209"/>
      <c r="AO51" s="209"/>
      <c r="AP51" s="209"/>
      <c r="AQ51" s="209"/>
      <c r="AR51" s="209"/>
    </row>
    <row r="52" spans="1:44" ht="20.100000000000001" customHeight="1" x14ac:dyDescent="0.25">
      <c r="A52" s="18"/>
      <c r="B52" s="18"/>
      <c r="C52" s="18"/>
      <c r="D52" s="7"/>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20.100000000000001" customHeight="1" x14ac:dyDescent="0.25">
      <c r="A53" s="18"/>
      <c r="B53" s="18"/>
      <c r="C53" s="18"/>
      <c r="D53" s="7"/>
      <c r="E53" s="2"/>
      <c r="F53" s="2"/>
      <c r="G53" s="2"/>
      <c r="H53" s="2"/>
      <c r="I53" s="2"/>
      <c r="J53" s="2"/>
      <c r="K53" s="2"/>
      <c r="L53" s="979" t="s">
        <v>43</v>
      </c>
      <c r="M53" s="980"/>
      <c r="N53" s="980"/>
      <c r="O53" s="980"/>
      <c r="P53" s="980"/>
      <c r="Q53" s="980"/>
      <c r="R53" s="980"/>
      <c r="S53" s="980"/>
      <c r="T53" s="980"/>
      <c r="U53" s="980"/>
      <c r="V53" s="980"/>
      <c r="W53" s="1272"/>
      <c r="X53" s="1012" t="s">
        <v>231</v>
      </c>
      <c r="Y53" s="1012"/>
      <c r="Z53" s="1012"/>
      <c r="AA53" s="1012"/>
      <c r="AF53" s="2"/>
      <c r="AG53" s="2"/>
      <c r="AH53" s="2"/>
      <c r="AI53" s="2"/>
      <c r="AJ53" s="2"/>
      <c r="AK53" s="2"/>
      <c r="AL53" s="2"/>
      <c r="AM53" s="2"/>
      <c r="AN53" s="2"/>
      <c r="AO53" s="2"/>
      <c r="AP53" s="2"/>
      <c r="AQ53" s="2"/>
      <c r="AR53" s="2"/>
    </row>
    <row r="54" spans="1:44" ht="20.100000000000001" customHeight="1" x14ac:dyDescent="0.25">
      <c r="A54" s="18"/>
      <c r="B54" s="18"/>
      <c r="C54" s="18"/>
      <c r="D54" s="7"/>
      <c r="E54" s="2"/>
      <c r="F54" s="2"/>
      <c r="G54" s="2"/>
      <c r="H54" s="2"/>
      <c r="I54" s="2"/>
      <c r="J54" s="2"/>
      <c r="K54" s="2"/>
      <c r="L54" s="1268" t="s">
        <v>44</v>
      </c>
      <c r="M54" s="1268"/>
      <c r="N54" s="1268"/>
      <c r="O54" s="1268"/>
      <c r="P54" s="1268" t="s">
        <v>47</v>
      </c>
      <c r="Q54" s="1268"/>
      <c r="R54" s="1268"/>
      <c r="S54" s="1268"/>
      <c r="T54" s="1268" t="s">
        <v>48</v>
      </c>
      <c r="U54" s="1268"/>
      <c r="V54" s="1268"/>
      <c r="W54" s="1280"/>
      <c r="X54" s="1012"/>
      <c r="Y54" s="1012"/>
      <c r="Z54" s="1012"/>
      <c r="AA54" s="1012"/>
      <c r="AF54" s="2"/>
      <c r="AG54" s="2"/>
      <c r="AH54" s="2"/>
      <c r="AI54" s="2"/>
      <c r="AJ54" s="2"/>
      <c r="AK54" s="2"/>
      <c r="AL54" s="2"/>
      <c r="AM54" s="2"/>
      <c r="AN54" s="2"/>
      <c r="AO54" s="2"/>
      <c r="AP54" s="2"/>
      <c r="AQ54" s="2"/>
      <c r="AR54" s="2"/>
    </row>
    <row r="55" spans="1:44" ht="20.100000000000001" customHeight="1" x14ac:dyDescent="0.25">
      <c r="A55" s="18"/>
      <c r="B55" s="18"/>
      <c r="C55" s="18"/>
      <c r="D55" s="7"/>
      <c r="E55" s="2"/>
      <c r="F55" s="1285" t="s">
        <v>49</v>
      </c>
      <c r="G55" s="1285"/>
      <c r="H55" s="1285"/>
      <c r="I55" s="1238" t="s">
        <v>35</v>
      </c>
      <c r="J55" s="1238"/>
      <c r="K55" s="1238"/>
      <c r="L55" s="1275" t="s">
        <v>45</v>
      </c>
      <c r="M55" s="1275"/>
      <c r="N55" s="1275" t="s">
        <v>46</v>
      </c>
      <c r="O55" s="1275"/>
      <c r="P55" s="1275" t="s">
        <v>45</v>
      </c>
      <c r="Q55" s="1275"/>
      <c r="R55" s="1275" t="s">
        <v>46</v>
      </c>
      <c r="S55" s="1275"/>
      <c r="T55" s="1275" t="s">
        <v>45</v>
      </c>
      <c r="U55" s="1275"/>
      <c r="V55" s="1275" t="s">
        <v>46</v>
      </c>
      <c r="W55" s="979"/>
      <c r="X55" s="1268" t="s">
        <v>45</v>
      </c>
      <c r="Y55" s="1268"/>
      <c r="Z55" s="1268" t="s">
        <v>46</v>
      </c>
      <c r="AA55" s="1268"/>
      <c r="AF55" s="2"/>
      <c r="AG55" s="2"/>
      <c r="AH55" s="2"/>
      <c r="AI55" s="2"/>
      <c r="AJ55" s="2"/>
      <c r="AK55" s="2"/>
      <c r="AL55" s="2"/>
      <c r="AM55" s="2"/>
      <c r="AN55" s="2"/>
      <c r="AO55" s="2"/>
      <c r="AP55" s="2"/>
      <c r="AQ55" s="2"/>
      <c r="AR55" s="2"/>
    </row>
    <row r="56" spans="1:44" ht="20.100000000000001" customHeight="1" x14ac:dyDescent="0.25">
      <c r="A56" s="18"/>
      <c r="B56" s="18"/>
      <c r="C56" s="18"/>
      <c r="D56" s="7"/>
      <c r="E56" s="2"/>
      <c r="F56" s="1267" t="s">
        <v>50</v>
      </c>
      <c r="G56" s="1267"/>
      <c r="H56" s="1267"/>
      <c r="I56" s="981"/>
      <c r="J56" s="982"/>
      <c r="K56" s="1212"/>
      <c r="L56" s="1265"/>
      <c r="M56" s="1265"/>
      <c r="N56" s="1265"/>
      <c r="O56" s="1265"/>
      <c r="P56" s="1265"/>
      <c r="Q56" s="1265"/>
      <c r="R56" s="1265"/>
      <c r="S56" s="1265"/>
      <c r="T56" s="1265"/>
      <c r="U56" s="1265"/>
      <c r="V56" s="1265"/>
      <c r="W56" s="1227"/>
      <c r="X56" s="1258">
        <f ca="1">Calculos!J221</f>
        <v>0</v>
      </c>
      <c r="Y56" s="1258"/>
      <c r="Z56" s="1258">
        <f>Calculos!L221</f>
        <v>0</v>
      </c>
      <c r="AA56" s="1258"/>
      <c r="AF56" s="2"/>
      <c r="AG56" s="2"/>
      <c r="AH56" s="2"/>
      <c r="AI56" s="2"/>
      <c r="AJ56" s="2"/>
      <c r="AK56" s="2"/>
      <c r="AL56" s="2"/>
      <c r="AM56" s="2"/>
      <c r="AN56" s="2"/>
      <c r="AO56" s="2"/>
      <c r="AP56" s="2"/>
      <c r="AQ56" s="2"/>
      <c r="AR56" s="2"/>
    </row>
    <row r="57" spans="1:44" ht="20.100000000000001" customHeight="1" x14ac:dyDescent="0.25">
      <c r="A57" s="18"/>
      <c r="B57" s="18"/>
      <c r="C57" s="18"/>
      <c r="D57" s="7"/>
      <c r="E57" s="2"/>
      <c r="F57" s="1267" t="s">
        <v>51</v>
      </c>
      <c r="G57" s="1267"/>
      <c r="H57" s="1267"/>
      <c r="I57" s="981"/>
      <c r="J57" s="982"/>
      <c r="K57" s="1212"/>
      <c r="L57" s="1265"/>
      <c r="M57" s="1265"/>
      <c r="N57" s="1265"/>
      <c r="O57" s="1265"/>
      <c r="P57" s="1265"/>
      <c r="Q57" s="1265"/>
      <c r="R57" s="1265"/>
      <c r="S57" s="1265"/>
      <c r="T57" s="1265"/>
      <c r="U57" s="1265"/>
      <c r="V57" s="1265"/>
      <c r="W57" s="1227"/>
      <c r="X57" s="1258">
        <f ca="1">Calculos!J222</f>
        <v>0</v>
      </c>
      <c r="Y57" s="1258"/>
      <c r="Z57" s="1258">
        <f>Calculos!L222</f>
        <v>0</v>
      </c>
      <c r="AA57" s="1258"/>
      <c r="AF57" s="2"/>
      <c r="AG57" s="2"/>
      <c r="AH57" s="2"/>
      <c r="AI57" s="2"/>
      <c r="AJ57" s="2"/>
      <c r="AK57" s="2"/>
      <c r="AL57" s="2"/>
      <c r="AM57" s="2"/>
      <c r="AN57" s="2"/>
      <c r="AO57" s="2"/>
      <c r="AP57" s="2"/>
      <c r="AQ57" s="2"/>
      <c r="AR57" s="2"/>
    </row>
    <row r="58" spans="1:44" ht="20.100000000000001" customHeight="1" x14ac:dyDescent="0.25">
      <c r="A58" s="18"/>
      <c r="B58" s="18"/>
      <c r="C58" s="18"/>
      <c r="D58" s="7"/>
      <c r="E58" s="2"/>
      <c r="F58" s="1267" t="s">
        <v>52</v>
      </c>
      <c r="G58" s="1267"/>
      <c r="H58" s="1267"/>
      <c r="I58" s="981"/>
      <c r="J58" s="982"/>
      <c r="K58" s="1212"/>
      <c r="L58" s="1265"/>
      <c r="M58" s="1265"/>
      <c r="N58" s="1265"/>
      <c r="O58" s="1265"/>
      <c r="P58" s="1265"/>
      <c r="Q58" s="1265"/>
      <c r="R58" s="1265"/>
      <c r="S58" s="1265"/>
      <c r="T58" s="1265"/>
      <c r="U58" s="1265"/>
      <c r="V58" s="1265"/>
      <c r="W58" s="1227"/>
      <c r="X58" s="1258">
        <f ca="1">Calculos!J223</f>
        <v>0</v>
      </c>
      <c r="Y58" s="1258"/>
      <c r="Z58" s="1258">
        <f>Calculos!L223</f>
        <v>0</v>
      </c>
      <c r="AA58" s="1258"/>
      <c r="AF58" s="2"/>
      <c r="AG58" s="2"/>
      <c r="AH58" s="2"/>
      <c r="AI58" s="2"/>
      <c r="AJ58" s="2"/>
      <c r="AK58" s="2"/>
      <c r="AL58" s="2"/>
      <c r="AM58" s="2"/>
      <c r="AN58" s="2"/>
      <c r="AO58" s="2"/>
      <c r="AP58" s="2"/>
      <c r="AQ58" s="2"/>
      <c r="AR58" s="2"/>
    </row>
    <row r="59" spans="1:44" ht="20.100000000000001" customHeight="1" x14ac:dyDescent="0.25">
      <c r="A59" s="18"/>
      <c r="B59" s="18"/>
      <c r="C59" s="18"/>
      <c r="D59" s="7"/>
      <c r="E59" s="2"/>
      <c r="F59" s="1267" t="s">
        <v>53</v>
      </c>
      <c r="G59" s="1267"/>
      <c r="H59" s="1267"/>
      <c r="I59" s="981"/>
      <c r="J59" s="982"/>
      <c r="K59" s="1212"/>
      <c r="L59" s="1265"/>
      <c r="M59" s="1265"/>
      <c r="N59" s="1265"/>
      <c r="O59" s="1265"/>
      <c r="P59" s="1265"/>
      <c r="Q59" s="1265"/>
      <c r="R59" s="1265"/>
      <c r="S59" s="1265"/>
      <c r="T59" s="1265"/>
      <c r="U59" s="1265"/>
      <c r="V59" s="1265"/>
      <c r="W59" s="1227"/>
      <c r="X59" s="1258">
        <f ca="1">Calculos!J224</f>
        <v>0</v>
      </c>
      <c r="Y59" s="1258"/>
      <c r="Z59" s="1258">
        <f>Calculos!L224</f>
        <v>0</v>
      </c>
      <c r="AA59" s="1258"/>
      <c r="AF59" s="2"/>
      <c r="AG59" s="2"/>
      <c r="AH59" s="2"/>
      <c r="AI59" s="2"/>
      <c r="AJ59" s="2"/>
      <c r="AK59" s="2"/>
      <c r="AL59" s="2"/>
      <c r="AM59" s="2"/>
      <c r="AN59" s="2"/>
      <c r="AO59" s="2"/>
      <c r="AP59" s="2"/>
      <c r="AQ59" s="2"/>
      <c r="AR59" s="2"/>
    </row>
    <row r="60" spans="1:44" ht="20.100000000000001" customHeight="1" x14ac:dyDescent="0.25">
      <c r="A60" s="18"/>
      <c r="B60" s="18"/>
      <c r="C60" s="18"/>
      <c r="D60" s="7"/>
      <c r="E60" s="2"/>
      <c r="F60" s="1267" t="s">
        <v>54</v>
      </c>
      <c r="G60" s="1267"/>
      <c r="H60" s="1267"/>
      <c r="I60" s="981"/>
      <c r="J60" s="982"/>
      <c r="K60" s="1212"/>
      <c r="L60" s="1265"/>
      <c r="M60" s="1265"/>
      <c r="N60" s="1265"/>
      <c r="O60" s="1265"/>
      <c r="P60" s="1265"/>
      <c r="Q60" s="1265"/>
      <c r="R60" s="1265"/>
      <c r="S60" s="1265"/>
      <c r="T60" s="1265"/>
      <c r="U60" s="1265"/>
      <c r="V60" s="1265"/>
      <c r="W60" s="1227"/>
      <c r="X60" s="1258">
        <f ca="1">Calculos!J225</f>
        <v>0</v>
      </c>
      <c r="Y60" s="1258"/>
      <c r="Z60" s="1258">
        <f>Calculos!L225</f>
        <v>0</v>
      </c>
      <c r="AA60" s="1258"/>
      <c r="AF60" s="2"/>
      <c r="AG60" s="2"/>
      <c r="AH60" s="2"/>
      <c r="AI60" s="2"/>
      <c r="AJ60" s="2"/>
      <c r="AK60" s="2"/>
      <c r="AL60" s="2"/>
      <c r="AM60" s="2"/>
      <c r="AN60" s="2"/>
      <c r="AO60" s="2"/>
      <c r="AP60" s="2"/>
      <c r="AQ60" s="2"/>
      <c r="AR60" s="2"/>
    </row>
    <row r="61" spans="1:44" ht="20.100000000000001" customHeight="1" x14ac:dyDescent="0.25">
      <c r="A61" s="18"/>
      <c r="B61" s="18"/>
      <c r="C61" s="18"/>
      <c r="D61" s="7"/>
      <c r="E61" s="2"/>
      <c r="F61" s="1267" t="s">
        <v>55</v>
      </c>
      <c r="G61" s="1267"/>
      <c r="H61" s="1267"/>
      <c r="I61" s="981"/>
      <c r="J61" s="982"/>
      <c r="K61" s="1212"/>
      <c r="L61" s="1265"/>
      <c r="M61" s="1265"/>
      <c r="N61" s="1265"/>
      <c r="O61" s="1265"/>
      <c r="P61" s="1265"/>
      <c r="Q61" s="1265"/>
      <c r="R61" s="1265"/>
      <c r="S61" s="1265"/>
      <c r="T61" s="1265"/>
      <c r="U61" s="1265"/>
      <c r="V61" s="1265"/>
      <c r="W61" s="1227"/>
      <c r="X61" s="1258">
        <f ca="1">Calculos!J226</f>
        <v>0</v>
      </c>
      <c r="Y61" s="1258"/>
      <c r="Z61" s="1258">
        <f>Calculos!L226</f>
        <v>0</v>
      </c>
      <c r="AA61" s="1258"/>
      <c r="AF61" s="2"/>
      <c r="AG61" s="2"/>
      <c r="AH61" s="2"/>
      <c r="AI61" s="2"/>
      <c r="AJ61" s="2"/>
      <c r="AK61" s="2"/>
      <c r="AL61" s="2"/>
      <c r="AM61" s="2"/>
      <c r="AN61" s="2"/>
      <c r="AO61" s="2"/>
      <c r="AP61" s="2"/>
      <c r="AQ61" s="2"/>
      <c r="AR61" s="2"/>
    </row>
    <row r="62" spans="1:44" ht="20.100000000000001" customHeight="1" x14ac:dyDescent="0.25">
      <c r="A62" s="18"/>
      <c r="B62" s="18"/>
      <c r="C62" s="18"/>
      <c r="D62" s="7"/>
      <c r="E62" s="2"/>
      <c r="F62" s="1267" t="s">
        <v>56</v>
      </c>
      <c r="G62" s="1267"/>
      <c r="H62" s="1267"/>
      <c r="I62" s="981"/>
      <c r="J62" s="982"/>
      <c r="K62" s="1212"/>
      <c r="L62" s="1265"/>
      <c r="M62" s="1265"/>
      <c r="N62" s="1265"/>
      <c r="O62" s="1265"/>
      <c r="P62" s="1265"/>
      <c r="Q62" s="1265"/>
      <c r="R62" s="1265"/>
      <c r="S62" s="1265"/>
      <c r="T62" s="1265"/>
      <c r="U62" s="1265"/>
      <c r="V62" s="1265"/>
      <c r="W62" s="1227"/>
      <c r="X62" s="1258">
        <f ca="1">Calculos!J227</f>
        <v>0</v>
      </c>
      <c r="Y62" s="1258"/>
      <c r="Z62" s="1258">
        <f>Calculos!L227</f>
        <v>0</v>
      </c>
      <c r="AA62" s="1258"/>
      <c r="AF62" s="2"/>
      <c r="AG62" s="2"/>
      <c r="AH62" s="2"/>
      <c r="AI62" s="2"/>
      <c r="AJ62" s="2"/>
      <c r="AK62" s="2"/>
      <c r="AL62" s="2"/>
      <c r="AM62" s="2"/>
      <c r="AN62" s="2"/>
      <c r="AO62" s="2"/>
      <c r="AP62" s="2"/>
      <c r="AQ62" s="2"/>
      <c r="AR62" s="2"/>
    </row>
    <row r="63" spans="1:44" ht="20.100000000000001" customHeight="1" x14ac:dyDescent="0.25">
      <c r="A63" s="18"/>
      <c r="B63" s="18"/>
      <c r="C63" s="18"/>
      <c r="D63" s="7"/>
      <c r="E63" s="2"/>
      <c r="F63" s="1267" t="s">
        <v>57</v>
      </c>
      <c r="G63" s="1267"/>
      <c r="H63" s="1267"/>
      <c r="I63" s="981"/>
      <c r="J63" s="982"/>
      <c r="K63" s="1212"/>
      <c r="L63" s="1265"/>
      <c r="M63" s="1265"/>
      <c r="N63" s="1265"/>
      <c r="O63" s="1265"/>
      <c r="P63" s="1265"/>
      <c r="Q63" s="1265"/>
      <c r="R63" s="1265"/>
      <c r="S63" s="1265"/>
      <c r="T63" s="1265"/>
      <c r="U63" s="1265"/>
      <c r="V63" s="1265"/>
      <c r="W63" s="1227"/>
      <c r="X63" s="1258">
        <f ca="1">Calculos!J228</f>
        <v>0</v>
      </c>
      <c r="Y63" s="1258"/>
      <c r="Z63" s="1258">
        <f>Calculos!L228</f>
        <v>0</v>
      </c>
      <c r="AA63" s="1258"/>
      <c r="AF63" s="2"/>
      <c r="AG63" s="2"/>
      <c r="AH63" s="2"/>
      <c r="AI63" s="2"/>
      <c r="AJ63" s="2"/>
      <c r="AK63" s="2"/>
      <c r="AL63" s="2"/>
      <c r="AM63" s="2"/>
      <c r="AN63" s="2"/>
      <c r="AO63" s="2"/>
      <c r="AP63" s="2"/>
      <c r="AQ63" s="2"/>
      <c r="AR63" s="2"/>
    </row>
    <row r="64" spans="1:44" ht="20.100000000000001" customHeight="1" x14ac:dyDescent="0.25">
      <c r="A64" s="18"/>
      <c r="B64" s="18"/>
      <c r="C64" s="18"/>
      <c r="D64" s="7"/>
      <c r="E64" s="2"/>
      <c r="F64" s="1267" t="s">
        <v>58</v>
      </c>
      <c r="G64" s="1267"/>
      <c r="H64" s="1267"/>
      <c r="I64" s="981"/>
      <c r="J64" s="982"/>
      <c r="K64" s="1212"/>
      <c r="L64" s="1265"/>
      <c r="M64" s="1265"/>
      <c r="N64" s="1265"/>
      <c r="O64" s="1265"/>
      <c r="P64" s="1265"/>
      <c r="Q64" s="1265"/>
      <c r="R64" s="1265"/>
      <c r="S64" s="1265"/>
      <c r="T64" s="1265"/>
      <c r="U64" s="1265"/>
      <c r="V64" s="1265"/>
      <c r="W64" s="1227"/>
      <c r="X64" s="1258">
        <f ca="1">Calculos!J229</f>
        <v>0</v>
      </c>
      <c r="Y64" s="1258"/>
      <c r="Z64" s="1258">
        <f>Calculos!L229</f>
        <v>0</v>
      </c>
      <c r="AA64" s="1258"/>
      <c r="AF64" s="2"/>
      <c r="AG64" s="2"/>
      <c r="AH64" s="2"/>
      <c r="AI64" s="2"/>
      <c r="AJ64" s="2"/>
      <c r="AK64" s="2"/>
      <c r="AL64" s="2"/>
      <c r="AM64" s="2"/>
      <c r="AN64" s="2"/>
      <c r="AO64" s="2"/>
      <c r="AP64" s="2"/>
      <c r="AQ64" s="2"/>
      <c r="AR64" s="2"/>
    </row>
    <row r="65" spans="1:44" ht="20.100000000000001" customHeight="1" x14ac:dyDescent="0.25">
      <c r="A65" s="18"/>
      <c r="B65" s="18"/>
      <c r="C65" s="18"/>
      <c r="D65" s="7"/>
      <c r="E65" s="2"/>
      <c r="F65" s="1267" t="s">
        <v>59</v>
      </c>
      <c r="G65" s="1267"/>
      <c r="H65" s="1267"/>
      <c r="I65" s="981"/>
      <c r="J65" s="982"/>
      <c r="K65" s="1212"/>
      <c r="L65" s="1265"/>
      <c r="M65" s="1265"/>
      <c r="N65" s="1265"/>
      <c r="O65" s="1265"/>
      <c r="P65" s="1265"/>
      <c r="Q65" s="1265"/>
      <c r="R65" s="1265"/>
      <c r="S65" s="1265"/>
      <c r="T65" s="1265"/>
      <c r="U65" s="1265"/>
      <c r="V65" s="1265"/>
      <c r="W65" s="1227"/>
      <c r="X65" s="1258">
        <f ca="1">Calculos!J230</f>
        <v>0</v>
      </c>
      <c r="Y65" s="1258"/>
      <c r="Z65" s="1258">
        <f>Calculos!L230</f>
        <v>0</v>
      </c>
      <c r="AA65" s="1258"/>
      <c r="AF65" s="231"/>
      <c r="AG65" s="231"/>
      <c r="AH65" s="231"/>
      <c r="AI65" s="231"/>
      <c r="AJ65" s="231"/>
      <c r="AK65" s="231"/>
      <c r="AL65" s="231"/>
      <c r="AM65" s="231"/>
      <c r="AN65" s="231"/>
      <c r="AO65" s="2"/>
      <c r="AP65" s="2"/>
      <c r="AQ65" s="2"/>
      <c r="AR65" s="2"/>
    </row>
    <row r="66" spans="1:44" ht="20.100000000000001" customHeight="1" x14ac:dyDescent="0.25">
      <c r="A66" s="18"/>
      <c r="B66" s="18"/>
      <c r="C66" s="18"/>
      <c r="D66" s="7"/>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99.95" customHeight="1" x14ac:dyDescent="0.25">
      <c r="A67" s="18"/>
      <c r="B67" s="18"/>
      <c r="C67" s="18"/>
      <c r="D67" s="7"/>
      <c r="E67" s="2"/>
      <c r="F67" s="1049" t="s">
        <v>316</v>
      </c>
      <c r="G67" s="1050"/>
      <c r="H67" s="1050"/>
      <c r="I67" s="1050"/>
      <c r="J67" s="1050"/>
      <c r="K67" s="1050"/>
      <c r="L67" s="1239"/>
      <c r="M67" s="148" t="s">
        <v>186</v>
      </c>
      <c r="N67" s="1032"/>
      <c r="O67" s="1033"/>
      <c r="P67" s="1033"/>
      <c r="Q67" s="1033"/>
      <c r="R67" s="1033"/>
      <c r="S67" s="1033"/>
      <c r="T67" s="1033"/>
      <c r="U67" s="1033"/>
      <c r="V67" s="1033"/>
      <c r="W67" s="1033"/>
      <c r="X67" s="1033"/>
      <c r="Y67" s="1033"/>
      <c r="Z67" s="1033"/>
      <c r="AA67" s="1033"/>
      <c r="AB67" s="1033"/>
      <c r="AC67" s="1033"/>
      <c r="AD67" s="1033"/>
      <c r="AE67" s="1033"/>
      <c r="AF67" s="1033"/>
      <c r="AG67" s="1033"/>
      <c r="AH67" s="1033"/>
      <c r="AI67" s="1033"/>
      <c r="AJ67" s="1033"/>
      <c r="AK67" s="1033"/>
      <c r="AL67" s="1033"/>
      <c r="AM67" s="1034"/>
      <c r="AN67" s="1100" t="s">
        <v>271</v>
      </c>
      <c r="AO67" s="1101"/>
      <c r="AP67" s="1101"/>
      <c r="AQ67" s="1101"/>
      <c r="AR67" s="4"/>
    </row>
    <row r="68" spans="1:44" ht="20.100000000000001" customHeight="1" x14ac:dyDescent="0.25">
      <c r="A68" s="18"/>
      <c r="B68" s="18"/>
      <c r="C68" s="18"/>
      <c r="D68" s="7"/>
      <c r="E68" s="2"/>
    </row>
    <row r="69" spans="1:44" s="7" customFormat="1" ht="20.100000000000001" customHeight="1" x14ac:dyDescent="0.25">
      <c r="A69" s="18"/>
      <c r="B69" s="18"/>
      <c r="C69" s="18"/>
    </row>
    <row r="70" spans="1:44" ht="20.100000000000001" customHeight="1" x14ac:dyDescent="0.25">
      <c r="A70" s="18"/>
      <c r="B70" s="18"/>
      <c r="C70" s="18"/>
      <c r="D70" s="7"/>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row>
    <row r="71" spans="1:44" ht="50.1" customHeight="1" x14ac:dyDescent="0.25">
      <c r="A71" s="18"/>
      <c r="B71" s="18"/>
      <c r="C71" s="18"/>
      <c r="D71" s="7"/>
      <c r="E71" s="2"/>
      <c r="F71" s="232"/>
      <c r="G71" s="233"/>
      <c r="H71" s="233"/>
      <c r="I71" s="233"/>
      <c r="J71" s="233"/>
      <c r="K71" s="233"/>
      <c r="L71" s="233"/>
      <c r="M71" s="219"/>
      <c r="N71" s="220"/>
      <c r="O71" s="1240" t="s">
        <v>223</v>
      </c>
      <c r="P71" s="1240"/>
      <c r="Q71" s="1240"/>
      <c r="R71" s="1240"/>
      <c r="S71" s="1240"/>
      <c r="T71" s="1240"/>
      <c r="U71" s="1240"/>
      <c r="V71" s="1240"/>
      <c r="W71" s="1240"/>
      <c r="X71" s="1240"/>
      <c r="Y71" s="1240"/>
      <c r="Z71" s="1240"/>
      <c r="AA71" s="1240"/>
      <c r="AB71" s="1240"/>
      <c r="AC71" s="1240"/>
      <c r="AD71" s="1240"/>
      <c r="AE71" s="1240"/>
      <c r="AF71" s="1240"/>
      <c r="AG71" s="1240"/>
      <c r="AH71" s="1240"/>
      <c r="AI71" s="1240"/>
      <c r="AJ71" s="1240"/>
      <c r="AK71" s="1240"/>
      <c r="AL71" s="1240"/>
      <c r="AM71" s="1240"/>
      <c r="AN71" s="116"/>
      <c r="AO71" s="116"/>
      <c r="AP71" s="116"/>
      <c r="AQ71" s="116"/>
    </row>
    <row r="72" spans="1:44" ht="50.1" customHeight="1" x14ac:dyDescent="0.25">
      <c r="A72" s="18"/>
      <c r="B72" s="18"/>
      <c r="C72" s="18"/>
      <c r="D72" s="7"/>
      <c r="E72" s="2"/>
      <c r="F72" s="234"/>
      <c r="G72" s="184"/>
      <c r="H72" s="184"/>
      <c r="I72" s="184"/>
      <c r="J72" s="184"/>
      <c r="K72" s="184"/>
      <c r="L72" s="184"/>
      <c r="M72" s="235"/>
      <c r="N72" s="220"/>
      <c r="O72" s="1284" t="s">
        <v>201</v>
      </c>
      <c r="P72" s="1284"/>
      <c r="Q72" s="1284"/>
      <c r="R72" s="1284"/>
      <c r="S72" s="1284"/>
      <c r="T72" s="1284"/>
      <c r="U72" s="1284"/>
      <c r="V72" s="1284"/>
      <c r="W72" s="1284"/>
      <c r="X72" s="1284"/>
      <c r="Y72" s="1284"/>
      <c r="Z72" s="1284"/>
      <c r="AA72" s="1284"/>
      <c r="AB72" s="1284"/>
      <c r="AC72" s="1284"/>
      <c r="AD72" s="1284"/>
      <c r="AE72" s="1284"/>
      <c r="AF72" s="1284"/>
      <c r="AG72" s="1284"/>
      <c r="AH72" s="1284"/>
      <c r="AI72" s="1284"/>
      <c r="AJ72" s="1284"/>
      <c r="AK72" s="1284"/>
      <c r="AL72" s="1284"/>
      <c r="AM72" s="1284"/>
      <c r="AN72" s="116"/>
      <c r="AO72" s="116"/>
      <c r="AP72" s="116"/>
      <c r="AQ72" s="116"/>
    </row>
    <row r="73" spans="1:44" ht="50.1" customHeight="1" x14ac:dyDescent="0.25">
      <c r="A73" s="18"/>
      <c r="B73" s="18"/>
      <c r="C73" s="18"/>
      <c r="D73" s="7"/>
      <c r="E73" s="2"/>
      <c r="F73" s="1195" t="s">
        <v>324</v>
      </c>
      <c r="G73" s="1084"/>
      <c r="H73" s="1084"/>
      <c r="I73" s="1084"/>
      <c r="J73" s="1084"/>
      <c r="K73" s="1084"/>
      <c r="L73" s="1084"/>
      <c r="M73" s="191" t="s">
        <v>186</v>
      </c>
      <c r="N73" s="220"/>
      <c r="O73" s="1284" t="s">
        <v>202</v>
      </c>
      <c r="P73" s="1284"/>
      <c r="Q73" s="1284"/>
      <c r="R73" s="1284"/>
      <c r="S73" s="1284"/>
      <c r="T73" s="1284"/>
      <c r="U73" s="1284"/>
      <c r="V73" s="1284"/>
      <c r="W73" s="1284"/>
      <c r="X73" s="1284"/>
      <c r="Y73" s="1284"/>
      <c r="Z73" s="1284"/>
      <c r="AA73" s="1284"/>
      <c r="AB73" s="1284"/>
      <c r="AC73" s="1284"/>
      <c r="AD73" s="1284"/>
      <c r="AE73" s="1284"/>
      <c r="AF73" s="1284"/>
      <c r="AG73" s="1284"/>
      <c r="AH73" s="1284"/>
      <c r="AI73" s="1284"/>
      <c r="AJ73" s="1284"/>
      <c r="AK73" s="1284"/>
      <c r="AL73" s="1284"/>
      <c r="AM73" s="1284"/>
      <c r="AN73" s="116"/>
      <c r="AO73" s="116"/>
      <c r="AP73" s="116"/>
      <c r="AQ73" s="116"/>
    </row>
    <row r="74" spans="1:44" ht="50.1" customHeight="1" x14ac:dyDescent="0.25">
      <c r="A74" s="18"/>
      <c r="B74" s="18"/>
      <c r="C74" s="18"/>
      <c r="D74" s="7"/>
      <c r="E74" s="2"/>
      <c r="F74" s="234"/>
      <c r="G74" s="184"/>
      <c r="H74" s="184"/>
      <c r="I74" s="184"/>
      <c r="J74" s="184"/>
      <c r="K74" s="184"/>
      <c r="L74" s="184"/>
      <c r="M74" s="235"/>
      <c r="N74" s="220"/>
      <c r="O74" s="1284" t="s">
        <v>325</v>
      </c>
      <c r="P74" s="1284"/>
      <c r="Q74" s="1284"/>
      <c r="R74" s="1284"/>
      <c r="S74" s="1284"/>
      <c r="T74" s="1284"/>
      <c r="U74" s="1284"/>
      <c r="V74" s="1284"/>
      <c r="W74" s="1284"/>
      <c r="X74" s="1284"/>
      <c r="Y74" s="1284"/>
      <c r="Z74" s="1284"/>
      <c r="AA74" s="1284"/>
      <c r="AB74" s="1284"/>
      <c r="AC74" s="1284"/>
      <c r="AD74" s="1284"/>
      <c r="AE74" s="1284"/>
      <c r="AF74" s="1284"/>
      <c r="AG74" s="1284"/>
      <c r="AH74" s="1284"/>
      <c r="AI74" s="1284"/>
      <c r="AJ74" s="1284"/>
      <c r="AK74" s="1284"/>
      <c r="AL74" s="1284"/>
      <c r="AM74" s="1284"/>
      <c r="AN74" s="116"/>
      <c r="AO74" s="116"/>
      <c r="AP74" s="116"/>
      <c r="AQ74" s="116"/>
    </row>
    <row r="75" spans="1:44" ht="50.1" customHeight="1" x14ac:dyDescent="0.25">
      <c r="A75" s="18"/>
      <c r="B75" s="18"/>
      <c r="C75" s="18"/>
      <c r="D75" s="7"/>
      <c r="E75" s="2"/>
      <c r="F75" s="234"/>
      <c r="G75" s="184"/>
      <c r="H75" s="184"/>
      <c r="I75" s="184"/>
      <c r="J75" s="184"/>
      <c r="K75" s="184"/>
      <c r="L75" s="184"/>
      <c r="M75" s="223"/>
      <c r="N75" s="220"/>
      <c r="O75" s="1284" t="s">
        <v>326</v>
      </c>
      <c r="P75" s="1284"/>
      <c r="Q75" s="1284"/>
      <c r="R75" s="1284"/>
      <c r="S75" s="1284"/>
      <c r="T75" s="1284"/>
      <c r="U75" s="1284"/>
      <c r="V75" s="1284"/>
      <c r="W75" s="1284"/>
      <c r="X75" s="1284"/>
      <c r="Y75" s="1284"/>
      <c r="Z75" s="1284"/>
      <c r="AA75" s="1284"/>
      <c r="AB75" s="1284"/>
      <c r="AC75" s="1284"/>
      <c r="AD75" s="1284"/>
      <c r="AE75" s="1284"/>
      <c r="AF75" s="1284"/>
      <c r="AG75" s="1284"/>
      <c r="AH75" s="1284"/>
      <c r="AI75" s="1284"/>
      <c r="AJ75" s="1284"/>
      <c r="AK75" s="1284"/>
      <c r="AL75" s="1284"/>
      <c r="AM75" s="1284"/>
      <c r="AN75" s="116"/>
      <c r="AO75" s="116"/>
      <c r="AP75" s="116"/>
      <c r="AQ75" s="116"/>
    </row>
    <row r="76" spans="1:44" ht="50.1" customHeight="1" x14ac:dyDescent="0.25">
      <c r="A76" s="18"/>
      <c r="B76" s="18"/>
      <c r="C76" s="18"/>
      <c r="D76" s="7"/>
      <c r="E76" s="2"/>
      <c r="F76" s="236"/>
      <c r="G76" s="237"/>
      <c r="H76" s="237"/>
      <c r="I76" s="237"/>
      <c r="J76" s="237"/>
      <c r="K76" s="237"/>
      <c r="L76" s="237"/>
      <c r="M76" s="42"/>
      <c r="N76" s="220"/>
      <c r="O76" s="1284" t="s">
        <v>224</v>
      </c>
      <c r="P76" s="1284"/>
      <c r="Q76" s="1284"/>
      <c r="R76" s="1284"/>
      <c r="S76" s="1284"/>
      <c r="T76" s="1284"/>
      <c r="U76" s="1284"/>
      <c r="V76" s="1284"/>
      <c r="W76" s="1284"/>
      <c r="X76" s="1284"/>
      <c r="Y76" s="1284"/>
      <c r="Z76" s="1284"/>
      <c r="AA76" s="1284"/>
      <c r="AB76" s="1284"/>
      <c r="AC76" s="1284"/>
      <c r="AD76" s="1284"/>
      <c r="AE76" s="1284"/>
      <c r="AF76" s="1284"/>
      <c r="AG76" s="1284"/>
      <c r="AH76" s="1284"/>
      <c r="AI76" s="1284"/>
      <c r="AJ76" s="1284"/>
      <c r="AK76" s="1284"/>
      <c r="AL76" s="1284"/>
      <c r="AM76" s="1284"/>
      <c r="AN76" s="116"/>
      <c r="AO76" s="116"/>
      <c r="AP76" s="116"/>
      <c r="AQ76" s="116"/>
    </row>
    <row r="77" spans="1:44" ht="20.100000000000001" hidden="1" customHeight="1" x14ac:dyDescent="0.25">
      <c r="A77" s="18"/>
      <c r="B77" s="18"/>
      <c r="C77" s="18"/>
      <c r="D77" s="7"/>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row>
    <row r="78" spans="1:44" s="7" customFormat="1" ht="20.100000000000001" customHeight="1" x14ac:dyDescent="0.25">
      <c r="A78" s="18"/>
      <c r="B78" s="18"/>
      <c r="C78" s="18"/>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0"/>
    </row>
    <row r="79" spans="1:44" s="7" customFormat="1" ht="20.100000000000001" customHeight="1" x14ac:dyDescent="0.25">
      <c r="A79" s="18"/>
      <c r="B79" s="18"/>
      <c r="C79" s="18"/>
    </row>
    <row r="80" spans="1:44" ht="20.100000000000001" customHeight="1" x14ac:dyDescent="0.25">
      <c r="A80" s="18"/>
      <c r="B80" s="18"/>
      <c r="C80" s="18"/>
      <c r="D80" s="7"/>
      <c r="E80" s="2"/>
      <c r="F80" s="1283"/>
      <c r="G80" s="1283"/>
      <c r="H80" s="1283"/>
      <c r="I80" s="1283"/>
      <c r="J80" s="1283"/>
      <c r="K80" s="1283"/>
      <c r="L80" s="1283"/>
      <c r="M80" s="1283"/>
      <c r="Q80" s="2"/>
      <c r="R80" s="2"/>
      <c r="S80" s="2"/>
      <c r="T80" s="2"/>
      <c r="U80" s="2"/>
      <c r="V80" s="238"/>
      <c r="W80" s="238"/>
      <c r="X80" s="238"/>
      <c r="Y80" s="1281"/>
      <c r="Z80" s="1281"/>
      <c r="AA80" s="1281"/>
      <c r="AB80" s="1282"/>
      <c r="AC80" s="1282"/>
      <c r="AD80" s="1282"/>
      <c r="AE80" s="1282"/>
      <c r="AF80" s="1282"/>
      <c r="AG80" s="238"/>
      <c r="AH80" s="238"/>
      <c r="AI80" s="104"/>
      <c r="AJ80" s="104"/>
      <c r="AK80" s="104"/>
      <c r="AL80" s="104"/>
      <c r="AM80" s="104"/>
      <c r="AN80" s="104"/>
      <c r="AO80" s="104"/>
      <c r="AP80" s="104"/>
      <c r="AQ80" s="104"/>
      <c r="AR80" s="104"/>
    </row>
    <row r="81" spans="1:44" ht="20.100000000000001" customHeight="1" x14ac:dyDescent="0.25">
      <c r="A81" s="18"/>
      <c r="B81" s="18"/>
      <c r="C81" s="18"/>
      <c r="D81" s="7"/>
      <c r="E81" s="2"/>
      <c r="F81" s="1067" t="s">
        <v>296</v>
      </c>
      <c r="G81" s="1068"/>
      <c r="H81" s="1068"/>
      <c r="I81" s="1068"/>
      <c r="J81" s="1068"/>
      <c r="K81" s="1068"/>
      <c r="L81" s="1069"/>
      <c r="M81" s="1076" t="s">
        <v>186</v>
      </c>
      <c r="N81" s="135"/>
      <c r="O81" s="136"/>
      <c r="P81" s="136"/>
      <c r="Q81" s="136"/>
      <c r="R81" s="137"/>
      <c r="S81" s="1079" t="s">
        <v>293</v>
      </c>
      <c r="T81" s="1064"/>
      <c r="U81" s="1064"/>
      <c r="V81" s="1064"/>
      <c r="W81" s="1064"/>
      <c r="X81" s="1064"/>
      <c r="Y81" s="1064"/>
      <c r="Z81" s="1064" t="s">
        <v>301</v>
      </c>
      <c r="AA81" s="1064"/>
      <c r="AB81" s="1064"/>
      <c r="AC81" s="1064"/>
      <c r="AD81" s="1064"/>
      <c r="AE81" s="1064"/>
      <c r="AF81" s="1064"/>
      <c r="AG81" s="1064"/>
      <c r="AH81" s="1064"/>
      <c r="AI81" s="1064" t="s">
        <v>302</v>
      </c>
      <c r="AJ81" s="1064"/>
      <c r="AK81" s="1064"/>
      <c r="AL81" s="1064"/>
      <c r="AM81" s="1065"/>
      <c r="AN81" s="2"/>
      <c r="AO81" s="2"/>
      <c r="AP81" s="2"/>
      <c r="AQ81" s="2"/>
      <c r="AR81" s="2"/>
    </row>
    <row r="82" spans="1:44" ht="27" customHeight="1" x14ac:dyDescent="0.25">
      <c r="A82" s="18"/>
      <c r="B82" s="18"/>
      <c r="C82" s="18"/>
      <c r="D82" s="7"/>
      <c r="E82" s="2"/>
      <c r="F82" s="1070"/>
      <c r="G82" s="1071"/>
      <c r="H82" s="1071"/>
      <c r="I82" s="1071"/>
      <c r="J82" s="1071"/>
      <c r="K82" s="1071"/>
      <c r="L82" s="1072"/>
      <c r="M82" s="1077"/>
      <c r="N82" s="138"/>
      <c r="O82" s="1045" t="s">
        <v>219</v>
      </c>
      <c r="P82" s="1045"/>
      <c r="Q82" s="1045"/>
      <c r="R82" s="1046"/>
      <c r="S82" s="1042"/>
      <c r="T82" s="1043"/>
      <c r="U82" s="1043"/>
      <c r="V82" s="1043"/>
      <c r="W82" s="1043"/>
      <c r="X82" s="1043"/>
      <c r="Y82" s="1043"/>
      <c r="Z82" s="1044"/>
      <c r="AA82" s="1044"/>
      <c r="AB82" s="1044"/>
      <c r="AC82" s="1044"/>
      <c r="AD82" s="1044"/>
      <c r="AE82" s="1044"/>
      <c r="AF82" s="1044"/>
      <c r="AG82" s="1044"/>
      <c r="AH82" s="1044"/>
      <c r="AI82" s="1066"/>
      <c r="AJ82" s="1066"/>
      <c r="AK82" s="1066"/>
      <c r="AL82" s="1066"/>
      <c r="AM82" s="1066"/>
      <c r="AN82" s="2"/>
      <c r="AO82" s="2"/>
      <c r="AP82" s="2"/>
      <c r="AQ82" s="2"/>
      <c r="AR82" s="2"/>
    </row>
    <row r="83" spans="1:44" ht="27" customHeight="1" x14ac:dyDescent="0.25">
      <c r="A83" s="18"/>
      <c r="B83" s="18"/>
      <c r="C83" s="18"/>
      <c r="D83" s="7"/>
      <c r="E83" s="2"/>
      <c r="F83" s="1070"/>
      <c r="G83" s="1071"/>
      <c r="H83" s="1071"/>
      <c r="I83" s="1071"/>
      <c r="J83" s="1071"/>
      <c r="K83" s="1071"/>
      <c r="L83" s="1072"/>
      <c r="M83" s="1077"/>
      <c r="N83" s="1"/>
      <c r="O83" s="138"/>
      <c r="P83" s="138"/>
      <c r="Q83" s="138"/>
      <c r="R83" s="139"/>
      <c r="S83" s="1042"/>
      <c r="T83" s="1043"/>
      <c r="U83" s="1043"/>
      <c r="V83" s="1043"/>
      <c r="W83" s="1043"/>
      <c r="X83" s="1043"/>
      <c r="Y83" s="1043"/>
      <c r="Z83" s="1044"/>
      <c r="AA83" s="1044"/>
      <c r="AB83" s="1044"/>
      <c r="AC83" s="1044"/>
      <c r="AD83" s="1044"/>
      <c r="AE83" s="1044"/>
      <c r="AF83" s="1044"/>
      <c r="AG83" s="1044"/>
      <c r="AH83" s="1044"/>
      <c r="AI83" s="1066"/>
      <c r="AJ83" s="1066"/>
      <c r="AK83" s="1066"/>
      <c r="AL83" s="1066"/>
      <c r="AM83" s="1066"/>
      <c r="AN83" s="2"/>
      <c r="AO83" s="2"/>
      <c r="AP83" s="2"/>
      <c r="AQ83" s="2"/>
      <c r="AR83" s="2"/>
    </row>
    <row r="84" spans="1:44" ht="27" customHeight="1" x14ac:dyDescent="0.25">
      <c r="A84" s="18"/>
      <c r="B84" s="18"/>
      <c r="C84" s="18"/>
      <c r="D84" s="7"/>
      <c r="E84" s="2"/>
      <c r="F84" s="1070"/>
      <c r="G84" s="1071"/>
      <c r="H84" s="1071"/>
      <c r="I84" s="1071"/>
      <c r="J84" s="1071"/>
      <c r="K84" s="1071"/>
      <c r="L84" s="1072"/>
      <c r="M84" s="1077"/>
      <c r="N84" s="138"/>
      <c r="O84" s="1047" t="s">
        <v>280</v>
      </c>
      <c r="P84" s="1047"/>
      <c r="Q84" s="1047"/>
      <c r="R84" s="1048"/>
      <c r="S84" s="1042"/>
      <c r="T84" s="1043"/>
      <c r="U84" s="1043"/>
      <c r="V84" s="1043"/>
      <c r="W84" s="1043"/>
      <c r="X84" s="1043"/>
      <c r="Y84" s="1043"/>
      <c r="Z84" s="1044"/>
      <c r="AA84" s="1044"/>
      <c r="AB84" s="1044"/>
      <c r="AC84" s="1044"/>
      <c r="AD84" s="1044"/>
      <c r="AE84" s="1044"/>
      <c r="AF84" s="1044"/>
      <c r="AG84" s="1044"/>
      <c r="AH84" s="1044"/>
      <c r="AI84" s="1066"/>
      <c r="AJ84" s="1066"/>
      <c r="AK84" s="1066"/>
      <c r="AL84" s="1066"/>
      <c r="AM84" s="1066"/>
      <c r="AN84" s="2"/>
      <c r="AO84" s="2"/>
      <c r="AP84" s="2"/>
      <c r="AQ84" s="2"/>
      <c r="AR84" s="2"/>
    </row>
    <row r="85" spans="1:44" ht="27" customHeight="1" x14ac:dyDescent="0.25">
      <c r="A85" s="18"/>
      <c r="B85" s="18"/>
      <c r="C85" s="18"/>
      <c r="D85" s="7"/>
      <c r="E85" s="2"/>
      <c r="F85" s="1073"/>
      <c r="G85" s="1074"/>
      <c r="H85" s="1074"/>
      <c r="I85" s="1074"/>
      <c r="J85" s="1074"/>
      <c r="K85" s="1074"/>
      <c r="L85" s="1075"/>
      <c r="M85" s="1078"/>
      <c r="N85" s="140"/>
      <c r="O85" s="140"/>
      <c r="P85" s="140"/>
      <c r="Q85" s="140"/>
      <c r="R85" s="141"/>
      <c r="S85" s="1042"/>
      <c r="T85" s="1043"/>
      <c r="U85" s="1043"/>
      <c r="V85" s="1043"/>
      <c r="W85" s="1043"/>
      <c r="X85" s="1043"/>
      <c r="Y85" s="1043"/>
      <c r="Z85" s="1044"/>
      <c r="AA85" s="1044"/>
      <c r="AB85" s="1044"/>
      <c r="AC85" s="1044"/>
      <c r="AD85" s="1044"/>
      <c r="AE85" s="1044"/>
      <c r="AF85" s="1044"/>
      <c r="AG85" s="1044"/>
      <c r="AH85" s="1044"/>
      <c r="AI85" s="1066"/>
      <c r="AJ85" s="1066"/>
      <c r="AK85" s="1066"/>
      <c r="AL85" s="1066"/>
      <c r="AM85" s="1066"/>
      <c r="AN85" s="2"/>
      <c r="AO85" s="2"/>
      <c r="AP85" s="2"/>
      <c r="AQ85" s="2"/>
      <c r="AR85" s="2"/>
    </row>
    <row r="86" spans="1:44" ht="15" customHeight="1" x14ac:dyDescent="0.25">
      <c r="A86" s="18"/>
      <c r="B86" s="18"/>
      <c r="C86" s="18"/>
      <c r="D86" s="7"/>
      <c r="E86" s="2"/>
      <c r="F86" s="97"/>
      <c r="G86" s="97"/>
      <c r="H86" s="97"/>
      <c r="I86" s="97"/>
      <c r="J86" s="97"/>
      <c r="K86" s="97"/>
      <c r="L86" s="97"/>
      <c r="M86" s="239"/>
      <c r="N86" s="116"/>
      <c r="O86" s="116"/>
      <c r="P86" s="116"/>
      <c r="Q86" s="116"/>
      <c r="R86" s="116"/>
      <c r="S86" s="128"/>
      <c r="T86" s="128"/>
      <c r="U86" s="128"/>
      <c r="V86" s="128"/>
      <c r="W86" s="128"/>
      <c r="X86" s="128"/>
      <c r="Y86" s="128"/>
      <c r="Z86" s="128"/>
      <c r="AA86" s="128"/>
      <c r="AB86" s="128"/>
      <c r="AC86" s="128"/>
      <c r="AD86" s="128"/>
      <c r="AE86" s="128"/>
      <c r="AF86" s="128"/>
      <c r="AG86" s="128"/>
      <c r="AH86" s="128"/>
      <c r="AI86" s="129"/>
      <c r="AJ86" s="129"/>
      <c r="AK86" s="129"/>
      <c r="AL86" s="129"/>
      <c r="AM86" s="129"/>
      <c r="AN86" s="2"/>
      <c r="AO86" s="2"/>
      <c r="AP86" s="2"/>
      <c r="AQ86" s="2"/>
      <c r="AR86" s="2"/>
    </row>
    <row r="87" spans="1:44" ht="20.100000000000001" customHeight="1" x14ac:dyDescent="0.25">
      <c r="A87" s="18"/>
      <c r="B87" s="18"/>
      <c r="C87" s="18"/>
      <c r="D87" s="7"/>
      <c r="E87" s="7"/>
      <c r="F87" s="142"/>
      <c r="G87" s="142"/>
      <c r="H87" s="142"/>
      <c r="I87" s="142"/>
      <c r="J87" s="142"/>
      <c r="K87" s="142"/>
      <c r="L87" s="142"/>
      <c r="M87" s="225"/>
      <c r="N87" s="138"/>
      <c r="O87" s="138"/>
      <c r="P87" s="138"/>
      <c r="Q87" s="138"/>
      <c r="R87" s="138"/>
      <c r="S87" s="132"/>
      <c r="T87" s="132"/>
      <c r="U87" s="132"/>
      <c r="V87" s="132"/>
      <c r="W87" s="132"/>
      <c r="X87" s="132"/>
      <c r="Y87" s="132"/>
      <c r="Z87" s="132"/>
      <c r="AA87" s="132"/>
      <c r="AB87" s="132"/>
      <c r="AC87" s="132"/>
      <c r="AD87" s="132"/>
      <c r="AE87" s="132"/>
      <c r="AF87" s="132"/>
      <c r="AG87" s="132"/>
      <c r="AH87" s="132"/>
      <c r="AI87" s="133"/>
      <c r="AJ87" s="133"/>
      <c r="AK87" s="133"/>
      <c r="AL87" s="133"/>
      <c r="AM87" s="133"/>
      <c r="AN87" s="7"/>
      <c r="AO87" s="7"/>
      <c r="AP87" s="7"/>
      <c r="AQ87" s="7"/>
      <c r="AR87" s="7"/>
    </row>
    <row r="88" spans="1:44" ht="15" customHeight="1" x14ac:dyDescent="0.25">
      <c r="A88" s="18"/>
      <c r="B88" s="18"/>
      <c r="C88" s="18"/>
      <c r="D88" s="7"/>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50.1" hidden="1" customHeight="1" x14ac:dyDescent="0.25">
      <c r="A89" s="18"/>
      <c r="B89" s="18"/>
      <c r="C89" s="18"/>
      <c r="D89" s="7"/>
      <c r="E89" s="2"/>
      <c r="AO89" s="2"/>
      <c r="AP89" s="2"/>
      <c r="AQ89" s="2"/>
      <c r="AR89" s="2"/>
    </row>
    <row r="90" spans="1:44" ht="60" customHeight="1" x14ac:dyDescent="0.25">
      <c r="A90" s="18"/>
      <c r="B90" s="18"/>
      <c r="C90" s="18"/>
      <c r="D90" s="7"/>
      <c r="E90" s="2"/>
      <c r="F90" s="1008" t="s">
        <v>143</v>
      </c>
      <c r="G90" s="1009"/>
      <c r="H90" s="1009"/>
      <c r="I90" s="1009"/>
      <c r="J90" s="1009"/>
      <c r="K90" s="1009"/>
      <c r="L90" s="1009"/>
      <c r="M90" s="1010"/>
      <c r="N90" s="1032"/>
      <c r="O90" s="1033"/>
      <c r="P90" s="1033"/>
      <c r="Q90" s="1033"/>
      <c r="R90" s="1033"/>
      <c r="S90" s="1033"/>
      <c r="T90" s="1033"/>
      <c r="U90" s="1033"/>
      <c r="V90" s="1033"/>
      <c r="W90" s="1033"/>
      <c r="X90" s="1033"/>
      <c r="Y90" s="1033"/>
      <c r="Z90" s="1033"/>
      <c r="AA90" s="1033"/>
      <c r="AB90" s="1033"/>
      <c r="AC90" s="1033"/>
      <c r="AD90" s="1033"/>
      <c r="AE90" s="1033"/>
      <c r="AF90" s="1033"/>
      <c r="AG90" s="1033"/>
      <c r="AH90" s="1033"/>
      <c r="AI90" s="1033"/>
      <c r="AJ90" s="1033"/>
      <c r="AK90" s="1033"/>
      <c r="AL90" s="1033"/>
      <c r="AM90" s="1034"/>
      <c r="AN90" s="4"/>
      <c r="AO90" s="4"/>
      <c r="AP90" s="4"/>
      <c r="AQ90" s="4"/>
      <c r="AR90" s="4"/>
    </row>
    <row r="91" spans="1:44" x14ac:dyDescent="0.25">
      <c r="A91" s="18"/>
      <c r="B91" s="18"/>
      <c r="C91" s="18"/>
      <c r="D91" s="7"/>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99.95" customHeight="1" x14ac:dyDescent="0.25">
      <c r="A92" s="18"/>
      <c r="B92" s="18"/>
      <c r="C92" s="18"/>
      <c r="D92" s="7"/>
      <c r="E92" s="2"/>
      <c r="F92" s="1008" t="s">
        <v>392</v>
      </c>
      <c r="G92" s="1009"/>
      <c r="H92" s="1009"/>
      <c r="I92" s="1009"/>
      <c r="J92" s="1009"/>
      <c r="K92" s="1009"/>
      <c r="L92" s="1041"/>
      <c r="M92" s="148" t="s">
        <v>186</v>
      </c>
      <c r="N92" s="1032"/>
      <c r="O92" s="1033"/>
      <c r="P92" s="1033"/>
      <c r="Q92" s="1033"/>
      <c r="R92" s="1033"/>
      <c r="S92" s="1033"/>
      <c r="T92" s="1033"/>
      <c r="U92" s="1033"/>
      <c r="V92" s="1033"/>
      <c r="W92" s="1033"/>
      <c r="X92" s="1033"/>
      <c r="Y92" s="1033"/>
      <c r="Z92" s="1033"/>
      <c r="AA92" s="1033"/>
      <c r="AB92" s="1033"/>
      <c r="AC92" s="1033"/>
      <c r="AD92" s="1033"/>
      <c r="AE92" s="1033"/>
      <c r="AF92" s="1033"/>
      <c r="AG92" s="1033"/>
      <c r="AH92" s="1033"/>
      <c r="AI92" s="1033"/>
      <c r="AJ92" s="1033"/>
      <c r="AK92" s="1033"/>
      <c r="AL92" s="1033"/>
      <c r="AM92" s="1034"/>
      <c r="AN92" s="124"/>
      <c r="AO92" s="124"/>
      <c r="AP92" s="124"/>
      <c r="AQ92" s="124"/>
      <c r="AR92" s="124"/>
    </row>
    <row r="93" spans="1:44" x14ac:dyDescent="0.25">
      <c r="A93" s="18"/>
      <c r="B93" s="18"/>
      <c r="C93" s="18"/>
      <c r="D93" s="7"/>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7" spans="43:43" ht="15" hidden="1" customHeight="1" x14ac:dyDescent="0.25">
      <c r="AQ97" s="2"/>
    </row>
    <row r="98" spans="43:43" ht="15" hidden="1" customHeight="1" x14ac:dyDescent="0.25">
      <c r="AQ98" s="116"/>
    </row>
    <row r="99" spans="43:43" ht="15" hidden="1" customHeight="1" x14ac:dyDescent="0.25">
      <c r="AQ99" s="116"/>
    </row>
    <row r="100" spans="43:43" ht="15" hidden="1" customHeight="1" x14ac:dyDescent="0.25">
      <c r="AQ100" s="116"/>
    </row>
    <row r="101" spans="43:43" ht="15" hidden="1" customHeight="1" x14ac:dyDescent="0.25">
      <c r="AQ101" s="116"/>
    </row>
    <row r="102" spans="43:43" ht="15" hidden="1" customHeight="1" x14ac:dyDescent="0.25">
      <c r="AQ102" s="116"/>
    </row>
    <row r="103" spans="43:43" ht="15" hidden="1" customHeight="1" x14ac:dyDescent="0.25">
      <c r="AQ103" s="116"/>
    </row>
    <row r="104" spans="43:43" ht="15" hidden="1" customHeight="1" x14ac:dyDescent="0.25">
      <c r="AQ104" s="2"/>
    </row>
  </sheetData>
  <sheetProtection algorithmName="SHA-512" hashValue="59lI7JKaMxjiGzpjZiqhQOMcFDv48HvzPzD2vfOAMI0ApyfFPtsuuW+NUqM8GaXaluA2/fenh70b4XluXt6SIQ==" saltValue="JoshbRQz5aQRmh28fk2b6A==" spinCount="100000" sheet="1" objects="1" scenarios="1" formatColumns="0" formatRows="0"/>
  <dataConsolidate/>
  <mergeCells count="211">
    <mergeCell ref="F2:AG6"/>
    <mergeCell ref="F7:J7"/>
    <mergeCell ref="AI2:AN7"/>
    <mergeCell ref="F27:M27"/>
    <mergeCell ref="N27:S27"/>
    <mergeCell ref="F29:L31"/>
    <mergeCell ref="O29:AM29"/>
    <mergeCell ref="O30:AM30"/>
    <mergeCell ref="O31:P31"/>
    <mergeCell ref="Q31:S31"/>
    <mergeCell ref="T31:AM31"/>
    <mergeCell ref="F10:M10"/>
    <mergeCell ref="N10:S10"/>
    <mergeCell ref="G14:Q14"/>
    <mergeCell ref="R14:AI14"/>
    <mergeCell ref="AJ14:AM14"/>
    <mergeCell ref="G15:Q15"/>
    <mergeCell ref="R15:AI15"/>
    <mergeCell ref="AJ15:AM15"/>
    <mergeCell ref="G16:Q16"/>
    <mergeCell ref="R16:AI16"/>
    <mergeCell ref="AJ16:AM16"/>
    <mergeCell ref="G17:Q17"/>
    <mergeCell ref="R17:AI17"/>
    <mergeCell ref="AJ17:AM17"/>
    <mergeCell ref="F37:L37"/>
    <mergeCell ref="N37:S37"/>
    <mergeCell ref="F38:L38"/>
    <mergeCell ref="N38:AJ38"/>
    <mergeCell ref="F39:M39"/>
    <mergeCell ref="N39:AJ39"/>
    <mergeCell ref="F35:L35"/>
    <mergeCell ref="N35:Z35"/>
    <mergeCell ref="AA35:AD35"/>
    <mergeCell ref="AF35:AJ35"/>
    <mergeCell ref="F36:L36"/>
    <mergeCell ref="N36:AJ36"/>
    <mergeCell ref="F23:AM23"/>
    <mergeCell ref="AK36:AN36"/>
    <mergeCell ref="F42:L42"/>
    <mergeCell ref="N42:S42"/>
    <mergeCell ref="T42:Z42"/>
    <mergeCell ref="AB42:AJ42"/>
    <mergeCell ref="F44:L44"/>
    <mergeCell ref="N44:S44"/>
    <mergeCell ref="F40:M40"/>
    <mergeCell ref="N40:P40"/>
    <mergeCell ref="R40:X40"/>
    <mergeCell ref="Y40:AB40"/>
    <mergeCell ref="AD40:AJ40"/>
    <mergeCell ref="F41:L41"/>
    <mergeCell ref="N41:S41"/>
    <mergeCell ref="X53:AA54"/>
    <mergeCell ref="L54:O54"/>
    <mergeCell ref="P54:S54"/>
    <mergeCell ref="T54:W54"/>
    <mergeCell ref="F45:L45"/>
    <mergeCell ref="N45:S45"/>
    <mergeCell ref="T45:Y45"/>
    <mergeCell ref="Z45:AE45"/>
    <mergeCell ref="F46:L46"/>
    <mergeCell ref="N46:S46"/>
    <mergeCell ref="T46:Y46"/>
    <mergeCell ref="Z46:AE46"/>
    <mergeCell ref="L53:W53"/>
    <mergeCell ref="P55:Q55"/>
    <mergeCell ref="R55:S55"/>
    <mergeCell ref="T55:U55"/>
    <mergeCell ref="V55:W55"/>
    <mergeCell ref="X55:Y55"/>
    <mergeCell ref="Z55:AA55"/>
    <mergeCell ref="F55:H55"/>
    <mergeCell ref="I55:K55"/>
    <mergeCell ref="L55:M55"/>
    <mergeCell ref="N55:O55"/>
    <mergeCell ref="P56:Q56"/>
    <mergeCell ref="R56:S56"/>
    <mergeCell ref="T56:U56"/>
    <mergeCell ref="V56:W56"/>
    <mergeCell ref="X56:Y56"/>
    <mergeCell ref="Z56:AA56"/>
    <mergeCell ref="F56:H56"/>
    <mergeCell ref="I56:K56"/>
    <mergeCell ref="L56:M56"/>
    <mergeCell ref="N56:O56"/>
    <mergeCell ref="P57:Q57"/>
    <mergeCell ref="R57:S57"/>
    <mergeCell ref="T57:U57"/>
    <mergeCell ref="V57:W57"/>
    <mergeCell ref="X57:Y57"/>
    <mergeCell ref="Z57:AA57"/>
    <mergeCell ref="F57:H57"/>
    <mergeCell ref="I57:K57"/>
    <mergeCell ref="L57:M57"/>
    <mergeCell ref="N57:O57"/>
    <mergeCell ref="P58:Q58"/>
    <mergeCell ref="R58:S58"/>
    <mergeCell ref="T58:U58"/>
    <mergeCell ref="V58:W58"/>
    <mergeCell ref="X58:Y58"/>
    <mergeCell ref="Z58:AA58"/>
    <mergeCell ref="F58:H58"/>
    <mergeCell ref="I58:K58"/>
    <mergeCell ref="L58:M58"/>
    <mergeCell ref="N58:O58"/>
    <mergeCell ref="P59:Q59"/>
    <mergeCell ref="R59:S59"/>
    <mergeCell ref="T59:U59"/>
    <mergeCell ref="V59:W59"/>
    <mergeCell ref="X59:Y59"/>
    <mergeCell ref="Z59:AA59"/>
    <mergeCell ref="F59:H59"/>
    <mergeCell ref="I59:K59"/>
    <mergeCell ref="L59:M59"/>
    <mergeCell ref="N59:O59"/>
    <mergeCell ref="P60:Q60"/>
    <mergeCell ref="R60:S60"/>
    <mergeCell ref="T60:U60"/>
    <mergeCell ref="V60:W60"/>
    <mergeCell ref="X60:Y60"/>
    <mergeCell ref="Z60:AA60"/>
    <mergeCell ref="F60:H60"/>
    <mergeCell ref="I60:K60"/>
    <mergeCell ref="L60:M60"/>
    <mergeCell ref="N60:O60"/>
    <mergeCell ref="P61:Q61"/>
    <mergeCell ref="R61:S61"/>
    <mergeCell ref="T61:U61"/>
    <mergeCell ref="V61:W61"/>
    <mergeCell ref="X61:Y61"/>
    <mergeCell ref="Z61:AA61"/>
    <mergeCell ref="F61:H61"/>
    <mergeCell ref="I61:K61"/>
    <mergeCell ref="L61:M61"/>
    <mergeCell ref="N61:O61"/>
    <mergeCell ref="P62:Q62"/>
    <mergeCell ref="R62:S62"/>
    <mergeCell ref="T62:U62"/>
    <mergeCell ref="V62:W62"/>
    <mergeCell ref="X62:Y62"/>
    <mergeCell ref="Z62:AA62"/>
    <mergeCell ref="F62:H62"/>
    <mergeCell ref="I62:K62"/>
    <mergeCell ref="L62:M62"/>
    <mergeCell ref="N62:O62"/>
    <mergeCell ref="P63:Q63"/>
    <mergeCell ref="R63:S63"/>
    <mergeCell ref="T63:U63"/>
    <mergeCell ref="V63:W63"/>
    <mergeCell ref="X63:Y63"/>
    <mergeCell ref="Z63:AA63"/>
    <mergeCell ref="F63:H63"/>
    <mergeCell ref="I63:K63"/>
    <mergeCell ref="L63:M63"/>
    <mergeCell ref="N63:O63"/>
    <mergeCell ref="P64:Q64"/>
    <mergeCell ref="R64:S64"/>
    <mergeCell ref="T64:U64"/>
    <mergeCell ref="V64:W64"/>
    <mergeCell ref="X64:Y64"/>
    <mergeCell ref="Z64:AA64"/>
    <mergeCell ref="F64:H64"/>
    <mergeCell ref="I64:K64"/>
    <mergeCell ref="L64:M64"/>
    <mergeCell ref="N64:O64"/>
    <mergeCell ref="AN67:AQ67"/>
    <mergeCell ref="O71:AM71"/>
    <mergeCell ref="O72:AM72"/>
    <mergeCell ref="F73:L73"/>
    <mergeCell ref="O73:AM73"/>
    <mergeCell ref="O74:AM74"/>
    <mergeCell ref="O75:AM75"/>
    <mergeCell ref="F92:L92"/>
    <mergeCell ref="N92:AM92"/>
    <mergeCell ref="Z84:AH84"/>
    <mergeCell ref="AI84:AM84"/>
    <mergeCell ref="S85:Y85"/>
    <mergeCell ref="Z85:AH85"/>
    <mergeCell ref="AI85:AM85"/>
    <mergeCell ref="F81:L85"/>
    <mergeCell ref="M81:M85"/>
    <mergeCell ref="S81:Y81"/>
    <mergeCell ref="Z81:AH81"/>
    <mergeCell ref="O84:R84"/>
    <mergeCell ref="S84:Y84"/>
    <mergeCell ref="F90:M90"/>
    <mergeCell ref="N90:AM90"/>
    <mergeCell ref="AI81:AM81"/>
    <mergeCell ref="O82:R82"/>
    <mergeCell ref="S82:Y82"/>
    <mergeCell ref="Z82:AH82"/>
    <mergeCell ref="AI82:AM82"/>
    <mergeCell ref="S83:Y83"/>
    <mergeCell ref="Z83:AH83"/>
    <mergeCell ref="AI83:AM83"/>
    <mergeCell ref="F80:M80"/>
    <mergeCell ref="Y80:AA80"/>
    <mergeCell ref="AB80:AF80"/>
    <mergeCell ref="O76:AM76"/>
    <mergeCell ref="F67:L67"/>
    <mergeCell ref="N67:AM67"/>
    <mergeCell ref="P65:Q65"/>
    <mergeCell ref="R65:S65"/>
    <mergeCell ref="T65:U65"/>
    <mergeCell ref="V65:W65"/>
    <mergeCell ref="X65:Y65"/>
    <mergeCell ref="Z65:AA65"/>
    <mergeCell ref="F65:H65"/>
    <mergeCell ref="I65:K65"/>
    <mergeCell ref="L65:M65"/>
    <mergeCell ref="N65:O65"/>
  </mergeCells>
  <conditionalFormatting sqref="E34:AR93">
    <cfRule type="expression" dxfId="458" priority="5">
      <formula>$N$27&lt;&gt;"Não"</formula>
    </cfRule>
  </conditionalFormatting>
  <conditionalFormatting sqref="F7">
    <cfRule type="notContainsBlanks" dxfId="457" priority="1">
      <formula>LEN(TRIM(F7))&gt;0</formula>
    </cfRule>
  </conditionalFormatting>
  <conditionalFormatting sqref="F12:AQ17 AO18:AQ19 F20:AQ23">
    <cfRule type="expression" dxfId="456" priority="4">
      <formula>$N$10&lt;&gt;"sim"</formula>
    </cfRule>
  </conditionalFormatting>
  <conditionalFormatting sqref="F28:AQ31">
    <cfRule type="expression" dxfId="455" priority="6">
      <formula>$N$27&lt;&gt;"Sim"</formula>
    </cfRule>
  </conditionalFormatting>
  <conditionalFormatting sqref="I56:K65">
    <cfRule type="expression" dxfId="454" priority="2">
      <formula>IF(AND($I56="",SUM($L56:$W56)&gt;0),1,0)</formula>
    </cfRule>
  </conditionalFormatting>
  <conditionalFormatting sqref="M35:M38">
    <cfRule type="expression" dxfId="452" priority="23">
      <formula>N35&lt;&gt;""</formula>
    </cfRule>
  </conditionalFormatting>
  <conditionalFormatting sqref="M41:M42">
    <cfRule type="expression" dxfId="451" priority="20">
      <formula>N41&lt;&gt;""</formula>
    </cfRule>
  </conditionalFormatting>
  <conditionalFormatting sqref="M44:M46">
    <cfRule type="expression" dxfId="450" priority="18">
      <formula>N44&lt;&gt;""</formula>
    </cfRule>
  </conditionalFormatting>
  <conditionalFormatting sqref="M67">
    <cfRule type="expression" dxfId="449" priority="17">
      <formula>N67&lt;&gt;""</formula>
    </cfRule>
  </conditionalFormatting>
  <conditionalFormatting sqref="M92">
    <cfRule type="expression" dxfId="446" priority="15">
      <formula>N92&lt;&gt;""</formula>
    </cfRule>
  </conditionalFormatting>
  <conditionalFormatting sqref="Q40">
    <cfRule type="expression" dxfId="443" priority="22">
      <formula>R40&lt;&gt;""</formula>
    </cfRule>
  </conditionalFormatting>
  <conditionalFormatting sqref="T45:AE45">
    <cfRule type="expression" dxfId="441" priority="12">
      <formula>$N$45&lt;&gt;"Sim"</formula>
    </cfRule>
  </conditionalFormatting>
  <conditionalFormatting sqref="T46:AE46">
    <cfRule type="expression" dxfId="440" priority="11">
      <formula>$N$46&lt;&gt;"sim"</formula>
    </cfRule>
  </conditionalFormatting>
  <conditionalFormatting sqref="X56:AA65">
    <cfRule type="expression" dxfId="439" priority="7">
      <formula>$I56=""</formula>
    </cfRule>
  </conditionalFormatting>
  <conditionalFormatting sqref="AA42">
    <cfRule type="expression" dxfId="438" priority="19">
      <formula>AB42&lt;&gt;""</formula>
    </cfRule>
  </conditionalFormatting>
  <conditionalFormatting sqref="AC40">
    <cfRule type="expression" dxfId="437" priority="21">
      <formula>AD40&lt;&gt;""</formula>
    </cfRule>
  </conditionalFormatting>
  <conditionalFormatting sqref="AE35">
    <cfRule type="expression" dxfId="436" priority="24">
      <formula>AF35&lt;&gt;""</formula>
    </cfRule>
  </conditionalFormatting>
  <dataValidations count="19">
    <dataValidation allowBlank="1" showInputMessage="1" showErrorMessage="1" promptTitle="Ajuda" prompt="A conclusão deverá ser conforme está escrito no relatório do estudo._x000a_" sqref="F92:L92" xr:uid="{5A4C1616-323E-43B4-BACF-86E29B8D4E97}"/>
    <dataValidation allowBlank="1" showInputMessage="1" showErrorMessage="1" promptTitle="Ajuda" prompt="Informar apenas se o(s) desvio(s) afetam de algum modo a interpretação dos resultados" sqref="AI81:AM81" xr:uid="{3AC169EA-3448-4D3D-BA68-8AA85BB71CCD}"/>
    <dataValidation allowBlank="1" showInputMessage="1" showErrorMessage="1" promptTitle="Ajuda" prompt="Incluir a justificativa do porquê ocorreu desvio e qual é interpretação dos seus impactos frente aos resultados do estudos." sqref="Z81:AH81" xr:uid="{4FDC6A70-4161-4738-8FED-6BE8D2269506}"/>
    <dataValidation allowBlank="1" showInputMessage="1" showErrorMessage="1" promptTitle="Ajuda" prompt="Descrição sucinta do desvio ocorrido._x000a__x000a_Caso tenha ocorrido mais do que quatro desvios, os demais deverão estar descritos na última linha e separados por ponto e vírgula" sqref="S81:Y81" xr:uid="{8B84A157-410F-49D3-B4ED-2098E6225520}"/>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81:L85" xr:uid="{4CA6FFA7-BC54-4873-8055-523387F23718}"/>
    <dataValidation allowBlank="1" showInputMessage="1" showErrorMessage="1" promptTitle="Ajuda" prompt="Descrever outros resultados não expressos na tabela acima. _x000a__x000a_Ex.: avaliação das lesões, reversibilidade (inclusive se tiver sido em 1 hora), mortalidade, outros sinais clínicos, como:  prurido, alterações de cor ou outros efeitos decorrentes do teste." sqref="F67:L67" xr:uid="{EEAAAD4D-D718-432F-BF31-74EC1BA3E925}"/>
    <dataValidation allowBlank="1" showInputMessage="1" showErrorMessage="1" promptTitle="Ajude" prompt="Marque apenas uma das opções" sqref="F73:L73" xr:uid="{2F07A061-10FE-4CC2-8DD0-C9C0D4F3D5A8}"/>
    <dataValidation allowBlank="1" showInputMessage="1" showErrorMessage="1" promptTitle="Ajuda" prompt="Relatar o tempo em horas." sqref="T46:Y46" xr:uid="{54274AFA-E96E-4F67-A4EC-261A92BB644D}"/>
    <dataValidation allowBlank="1" showInputMessage="1" showErrorMessage="1" promptTitle="Ajuda" prompt="Data de início da exposição dos animais à substância teste" sqref="N40:P40" xr:uid="{E384341B-E902-49B3-B5F4-7EA9A24252A1}"/>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39:M39" xr:uid="{B05AE36E-C07F-473E-8CF9-3FF9AF4B42A0}"/>
    <dataValidation allowBlank="1" showInputMessage="1" showErrorMessage="1" promptTitle="Ajuda" prompt="Informar nome e estado/país do laboratório executor" sqref="F36:L36" xr:uid="{D0922EFF-7A12-4268-9478-F03C3E5D075C}"/>
    <dataValidation allowBlank="1" showInputMessage="1" showErrorMessage="1" promptTitle="Ajuda" prompt="Código gerado pelo laboratório executor" sqref="AA35:AD35" xr:uid="{EF7FA429-657B-480C-9C3B-9FF031685844}"/>
    <dataValidation allowBlank="1" showInputMessage="1" showErrorMessage="1" promptTitle="Ajuda" prompt="Todas as informações desse formulário devem refletir ao que foi protocolado na Anvisa, portanto a opção de dispensa de estudo só deverá ser marcada como &quot;Sim&quot; se ela também tiver sido realizada no pleito do produto. " sqref="F27:M27" xr:uid="{7E362AE4-9929-4B9D-9577-959C4AB200DF}"/>
    <dataValidation type="decimal" operator="greaterThanOrEqual" allowBlank="1" showInputMessage="1" showErrorMessage="1" errorTitle="Valor inválido" error="As horás devem ser um número" sqref="Z46:AE46" xr:uid="{4279C019-3B2D-4048-BF77-DD6FDEC9A481}">
      <formula1>0</formula1>
    </dataValidation>
    <dataValidation type="decimal" operator="greaterThanOrEqual" allowBlank="1" showInputMessage="1" showErrorMessage="1" errorTitle="Valor inválido" error="A dose deve ser um número decimal" sqref="N44:S44" xr:uid="{373BB387-64A0-4F8F-8CAD-C897F07E4DB4}">
      <formula1>0</formula1>
    </dataValidation>
    <dataValidation type="list" allowBlank="1" showInputMessage="1" showErrorMessage="1" errorTitle="Código inválido" error="Preencher os dados do certificado na guia &quot;Certificados&quot; antes de atribuí-lo a algum estudo" sqref="N41:S41" xr:uid="{E63AAF01-AF72-4CC0-9431-42D73670DC30}">
      <formula1>src_certificados</formula1>
    </dataValidation>
    <dataValidation type="custom" allowBlank="1" showInputMessage="1" showErrorMessage="1" errorTitle="Data inválida" error="A data de conclusão não pode ser anterior a data de início." sqref="AD40:AJ40" xr:uid="{D10AD360-63FA-45CA-BD14-1871592916DA}">
      <formula1>R40&lt;=AD40</formula1>
    </dataValidation>
    <dataValidation allowBlank="1" showInputMessage="1" showErrorMessage="1" promptTitle="Ajuda" prompt="Se a resposta for &quot;não&quot;, desça a tela para continuar o preenchimento do formulário" sqref="F10:M10" xr:uid="{5E33CB1D-6CAD-4D22-8F55-C64CC149BF04}"/>
    <dataValidation type="decimal" operator="greaterThanOrEqual" allowBlank="1" showInputMessage="1" showErrorMessage="1" errorTitle="Valor inválido" error="O grau de lesão deve ser um número" sqref="L56:W65" xr:uid="{A1D918FE-3537-444F-BBAB-E3D966ECE9AA}">
      <formula1>0</formula1>
    </dataValidation>
  </dataValidations>
  <hyperlinks>
    <hyperlink ref="F7" location="Alertas!G2" display="Alertas!G2" xr:uid="{51C3D679-CA24-4F36-8E20-E5FEF86BBEA5}"/>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_resultado_irritcutanea1">
              <controlPr defaultSize="0" autoFill="0" autoLine="0" autoPict="0">
                <anchor moveWithCells="1">
                  <from>
                    <xdr:col>13</xdr:col>
                    <xdr:colOff>85725</xdr:colOff>
                    <xdr:row>69</xdr:row>
                    <xdr:rowOff>152400</xdr:rowOff>
                  </from>
                  <to>
                    <xdr:col>39</xdr:col>
                    <xdr:colOff>123825</xdr:colOff>
                    <xdr:row>70</xdr:row>
                    <xdr:rowOff>619125</xdr:rowOff>
                  </to>
                </anchor>
              </controlPr>
            </control>
          </mc:Choice>
        </mc:AlternateContent>
        <mc:AlternateContent xmlns:mc="http://schemas.openxmlformats.org/markup-compatibility/2006">
          <mc:Choice Requires="x14">
            <control shapeId="61442" r:id="rId5" name="check_resultado_irritcutanea2">
              <controlPr defaultSize="0" autoFill="0" autoLine="0" autoPict="0">
                <anchor moveWithCells="1">
                  <from>
                    <xdr:col>13</xdr:col>
                    <xdr:colOff>85725</xdr:colOff>
                    <xdr:row>71</xdr:row>
                    <xdr:rowOff>9525</xdr:rowOff>
                  </from>
                  <to>
                    <xdr:col>39</xdr:col>
                    <xdr:colOff>123825</xdr:colOff>
                    <xdr:row>71</xdr:row>
                    <xdr:rowOff>619125</xdr:rowOff>
                  </to>
                </anchor>
              </controlPr>
            </control>
          </mc:Choice>
        </mc:AlternateContent>
        <mc:AlternateContent xmlns:mc="http://schemas.openxmlformats.org/markup-compatibility/2006">
          <mc:Choice Requires="x14">
            <control shapeId="61443" r:id="rId6" name="check_resultado_irritcutanea3">
              <controlPr defaultSize="0" autoFill="0" autoLine="0" autoPict="0">
                <anchor moveWithCells="1">
                  <from>
                    <xdr:col>13</xdr:col>
                    <xdr:colOff>85725</xdr:colOff>
                    <xdr:row>72</xdr:row>
                    <xdr:rowOff>19050</xdr:rowOff>
                  </from>
                  <to>
                    <xdr:col>39</xdr:col>
                    <xdr:colOff>123825</xdr:colOff>
                    <xdr:row>73</xdr:row>
                    <xdr:rowOff>0</xdr:rowOff>
                  </to>
                </anchor>
              </controlPr>
            </control>
          </mc:Choice>
        </mc:AlternateContent>
        <mc:AlternateContent xmlns:mc="http://schemas.openxmlformats.org/markup-compatibility/2006">
          <mc:Choice Requires="x14">
            <control shapeId="61444" r:id="rId7" name="check_resultado_irritcutanea4">
              <controlPr defaultSize="0" autoFill="0" autoLine="0" autoPict="0">
                <anchor moveWithCells="1">
                  <from>
                    <xdr:col>13</xdr:col>
                    <xdr:colOff>85725</xdr:colOff>
                    <xdr:row>73</xdr:row>
                    <xdr:rowOff>9525</xdr:rowOff>
                  </from>
                  <to>
                    <xdr:col>39</xdr:col>
                    <xdr:colOff>123825</xdr:colOff>
                    <xdr:row>74</xdr:row>
                    <xdr:rowOff>9525</xdr:rowOff>
                  </to>
                </anchor>
              </controlPr>
            </control>
          </mc:Choice>
        </mc:AlternateContent>
        <mc:AlternateContent xmlns:mc="http://schemas.openxmlformats.org/markup-compatibility/2006">
          <mc:Choice Requires="x14">
            <control shapeId="61445" r:id="rId8" name="check_resultado_irritcutanea5">
              <controlPr defaultSize="0" autoFill="0" autoLine="0" autoPict="0">
                <anchor moveWithCells="1">
                  <from>
                    <xdr:col>13</xdr:col>
                    <xdr:colOff>85725</xdr:colOff>
                    <xdr:row>73</xdr:row>
                    <xdr:rowOff>619125</xdr:rowOff>
                  </from>
                  <to>
                    <xdr:col>39</xdr:col>
                    <xdr:colOff>123825</xdr:colOff>
                    <xdr:row>74</xdr:row>
                    <xdr:rowOff>619125</xdr:rowOff>
                  </to>
                </anchor>
              </controlPr>
            </control>
          </mc:Choice>
        </mc:AlternateContent>
        <mc:AlternateContent xmlns:mc="http://schemas.openxmlformats.org/markup-compatibility/2006">
          <mc:Choice Requires="x14">
            <control shapeId="61446" r:id="rId9" name="check_dispensa_irritcutanea1">
              <controlPr defaultSize="0" autoFill="0" autoLine="0" autoPict="0">
                <anchor moveWithCells="1">
                  <from>
                    <xdr:col>13</xdr:col>
                    <xdr:colOff>114300</xdr:colOff>
                    <xdr:row>28</xdr:row>
                    <xdr:rowOff>133350</xdr:rowOff>
                  </from>
                  <to>
                    <xdr:col>14</xdr:col>
                    <xdr:colOff>38100</xdr:colOff>
                    <xdr:row>28</xdr:row>
                    <xdr:rowOff>352425</xdr:rowOff>
                  </to>
                </anchor>
              </controlPr>
            </control>
          </mc:Choice>
        </mc:AlternateContent>
        <mc:AlternateContent xmlns:mc="http://schemas.openxmlformats.org/markup-compatibility/2006">
          <mc:Choice Requires="x14">
            <control shapeId="61447" r:id="rId10" name="check_dispensa_irritcutanea2">
              <controlPr defaultSize="0" autoFill="0" autoLine="0" autoPict="0">
                <anchor moveWithCells="1">
                  <from>
                    <xdr:col>13</xdr:col>
                    <xdr:colOff>114300</xdr:colOff>
                    <xdr:row>29</xdr:row>
                    <xdr:rowOff>104775</xdr:rowOff>
                  </from>
                  <to>
                    <xdr:col>14</xdr:col>
                    <xdr:colOff>38100</xdr:colOff>
                    <xdr:row>29</xdr:row>
                    <xdr:rowOff>323850</xdr:rowOff>
                  </to>
                </anchor>
              </controlPr>
            </control>
          </mc:Choice>
        </mc:AlternateContent>
        <mc:AlternateContent xmlns:mc="http://schemas.openxmlformats.org/markup-compatibility/2006">
          <mc:Choice Requires="x14">
            <control shapeId="61448" r:id="rId11" name="check_dispensa_irritcutanea1">
              <controlPr defaultSize="0" autoFill="0" autoLine="0" autoPict="0">
                <anchor moveWithCells="1">
                  <from>
                    <xdr:col>13</xdr:col>
                    <xdr:colOff>114300</xdr:colOff>
                    <xdr:row>30</xdr:row>
                    <xdr:rowOff>142875</xdr:rowOff>
                  </from>
                  <to>
                    <xdr:col>14</xdr:col>
                    <xdr:colOff>38100</xdr:colOff>
                    <xdr:row>30</xdr:row>
                    <xdr:rowOff>361950</xdr:rowOff>
                  </to>
                </anchor>
              </controlPr>
            </control>
          </mc:Choice>
        </mc:AlternateContent>
        <mc:AlternateContent xmlns:mc="http://schemas.openxmlformats.org/markup-compatibility/2006">
          <mc:Choice Requires="x14">
            <control shapeId="61449" r:id="rId12" name="check_resultado_irritcutanea6">
              <controlPr defaultSize="0" autoFill="0" autoLine="0" autoPict="0">
                <anchor moveWithCells="1">
                  <from>
                    <xdr:col>13</xdr:col>
                    <xdr:colOff>85725</xdr:colOff>
                    <xdr:row>75</xdr:row>
                    <xdr:rowOff>19050</xdr:rowOff>
                  </from>
                  <to>
                    <xdr:col>39</xdr:col>
                    <xdr:colOff>123825</xdr:colOff>
                    <xdr:row>75</xdr:row>
                    <xdr:rowOff>590550</xdr:rowOff>
                  </to>
                </anchor>
              </controlPr>
            </control>
          </mc:Choice>
        </mc:AlternateContent>
        <mc:AlternateContent xmlns:mc="http://schemas.openxmlformats.org/markup-compatibility/2006">
          <mc:Choice Requires="x14">
            <control shapeId="61450" r:id="rId13" name="Optn_desvio_irritcutanea_1">
              <controlPr defaultSize="0" autoFill="0" autoLine="0" autoPict="0">
                <anchor moveWithCells="1">
                  <from>
                    <xdr:col>13</xdr:col>
                    <xdr:colOff>38100</xdr:colOff>
                    <xdr:row>80</xdr:row>
                    <xdr:rowOff>228600</xdr:rowOff>
                  </from>
                  <to>
                    <xdr:col>17</xdr:col>
                    <xdr:colOff>266700</xdr:colOff>
                    <xdr:row>82</xdr:row>
                    <xdr:rowOff>38100</xdr:rowOff>
                  </to>
                </anchor>
              </controlPr>
            </control>
          </mc:Choice>
        </mc:AlternateContent>
        <mc:AlternateContent xmlns:mc="http://schemas.openxmlformats.org/markup-compatibility/2006">
          <mc:Choice Requires="x14">
            <control shapeId="61451" r:id="rId14" name="Optn_desvio_irritcutanea_2">
              <controlPr defaultSize="0" autoFill="0" autoLine="0" autoPict="0">
                <anchor moveWithCells="1">
                  <from>
                    <xdr:col>13</xdr:col>
                    <xdr:colOff>38100</xdr:colOff>
                    <xdr:row>82</xdr:row>
                    <xdr:rowOff>323850</xdr:rowOff>
                  </from>
                  <to>
                    <xdr:col>17</xdr:col>
                    <xdr:colOff>266700</xdr:colOff>
                    <xdr:row>84</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478" id="{23B14D87-D181-4C36-A3AA-3E3BA139CE2C}">
            <xm:f>IF(Respostas_usuario!#REF!&lt;&gt;0,1,0)</xm:f>
            <x14:dxf>
              <font>
                <b/>
                <i val="0"/>
                <color rgb="FF00B050"/>
              </font>
            </x14:dxf>
          </x14:cfRule>
          <xm:sqref>M30</xm:sqref>
        </x14:conditionalFormatting>
        <x14:conditionalFormatting xmlns:xm="http://schemas.microsoft.com/office/excel/2006/main">
          <x14:cfRule type="expression" priority="13" id="{642DDA69-DF69-4AF6-96FB-FB3CD0C130BA}">
            <xm:f>Respostas_usuario!$M$13&lt;&gt;0</xm:f>
            <x14:dxf>
              <font>
                <b/>
                <i val="0"/>
                <color rgb="FF00B050"/>
              </font>
            </x14:dxf>
          </x14:cfRule>
          <xm:sqref>M73</xm:sqref>
        </x14:conditionalFormatting>
        <x14:conditionalFormatting xmlns:xm="http://schemas.microsoft.com/office/excel/2006/main">
          <x14:cfRule type="expression" priority="14" id="{B0978366-561C-4D9C-B30C-05F84B7A44A7}">
            <xm:f>Respostas_usuario!$K$13&lt;&gt;0</xm:f>
            <x14:dxf>
              <font>
                <b/>
                <i val="0"/>
                <color rgb="FF00B050"/>
              </font>
            </x14:dxf>
          </x14:cfRule>
          <xm:sqref>M81:M85</xm:sqref>
        </x14:conditionalFormatting>
        <x14:conditionalFormatting xmlns:xm="http://schemas.microsoft.com/office/excel/2006/main">
          <x14:cfRule type="expression" priority="9" id="{918C7855-C6AB-4A06-8B0B-039AF9E170DD}">
            <xm:f>Calculos!$J$197=1</xm:f>
            <x14:dxf>
              <fill>
                <patternFill>
                  <bgColor theme="7" tint="0.39994506668294322"/>
                </patternFill>
              </fill>
            </x14:dxf>
          </x14:cfRule>
          <xm:sqref>N72</xm:sqref>
        </x14:conditionalFormatting>
        <x14:conditionalFormatting xmlns:xm="http://schemas.microsoft.com/office/excel/2006/main">
          <x14:cfRule type="expression" priority="8" id="{635C4A1A-DA78-4322-A8E1-10FACC152216}">
            <xm:f>Calculos!$J$198=1</xm:f>
            <x14:dxf>
              <fill>
                <patternFill>
                  <bgColor theme="7" tint="0.39994506668294322"/>
                </patternFill>
              </fill>
            </x14:dxf>
          </x14:cfRule>
          <xm:sqref>N75</xm:sqref>
        </x14:conditionalFormatting>
        <x14:conditionalFormatting xmlns:xm="http://schemas.microsoft.com/office/excel/2006/main">
          <x14:cfRule type="expression" priority="10" id="{FB06DB0E-AB8F-4FDE-80B0-8FB5BC8E751D}">
            <xm:f>Respostas_usuario!$K$13&lt;&gt;2</xm:f>
            <x14:dxf>
              <font>
                <color theme="0"/>
              </font>
              <fill>
                <patternFill>
                  <bgColor theme="0"/>
                </patternFill>
              </fill>
              <border>
                <right/>
                <top/>
                <bottom/>
                <vertical/>
                <horizontal/>
              </border>
            </x14:dxf>
          </x14:cfRule>
          <xm:sqref>S81:AM85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errorTitle="Valor inválido" error="A resposta deve ser Sim ou Não" xr:uid="{396024EF-F10B-4164-88B4-9E7B578A924B}">
          <x14:formula1>
            <xm:f>Tabelas_fonte!$Y$2:$Y$3</xm:f>
          </x14:formula1>
          <xm:sqref>AI82:AM85</xm:sqref>
        </x14:dataValidation>
        <x14:dataValidation type="list" allowBlank="1" showInputMessage="1" showErrorMessage="1" errorTitle="Resposta inválida" error="O sexo deve ser Macho ou Fêmea" xr:uid="{5602AA24-64F8-4687-B914-989B82D2A177}">
          <x14:formula1>
            <xm:f>Tabelas_fonte!$W$8:$W$9</xm:f>
          </x14:formula1>
          <xm:sqref>I56:K65</xm:sqref>
        </x14:dataValidation>
        <x14:dataValidation type="list" allowBlank="1" showInputMessage="1" showErrorMessage="1" errorTitle="Resposta inválida" error="A resposta de ser Sim ou Não." xr:uid="{D8A9EB6D-684D-46BF-AC63-B9CDC4ECA39A}">
          <x14:formula1>
            <xm:f>Tabelas_fonte!$Y$2:$Y$3</xm:f>
          </x14:formula1>
          <xm:sqref>N37:S37</xm:sqref>
        </x14:dataValidation>
        <x14:dataValidation type="list" allowBlank="1" showInputMessage="1" showErrorMessage="1" errorTitle="Resposta inválida" error="A resposta deve ser Sim ou Não" xr:uid="{091C76B2-232C-48BD-8C14-D23C73104DDD}">
          <x14:formula1>
            <xm:f>Tabelas_fonte!$Y$2:$Y$3</xm:f>
          </x14:formula1>
          <xm:sqref>N27:S27</xm:sqref>
        </x14:dataValidation>
        <x14:dataValidation type="list" allowBlank="1" showInputMessage="1" showErrorMessage="1" errorTitle="Resposta inválida" error="A resposta de ser Sim ou Não." xr:uid="{648E6929-68FA-429E-A8D9-C85D42DBFAB8}">
          <x14:formula1>
            <xm:f>Tabelas_fonte!$U$19:$U$21</xm:f>
          </x14:formula1>
          <xm:sqref>N45:S46</xm:sqref>
        </x14:dataValidation>
        <x14:dataValidation type="list" allowBlank="1" showInputMessage="1" showErrorMessage="1" xr:uid="{7CEBEFAF-0572-4897-8232-6C3F6E2A8C90}">
          <x14:formula1>
            <xm:f>Tabelas_fonte!$AK$29:$AK$34</xm:f>
          </x14:formula1>
          <xm:sqref>AJ15:AM17</xm:sqref>
        </x14:dataValidation>
        <x14:dataValidation type="list" allowBlank="1" showInputMessage="1" showErrorMessage="1" xr:uid="{FF85FFA7-A9FE-4C49-8967-B9AE3230FCF8}">
          <x14:formula1>
            <xm:f>Tabelas_fonte!$Y$2:$Y$3</xm:f>
          </x14:formula1>
          <xm:sqref>N10:S10</xm:sqref>
        </x14:dataValidation>
        <x14:dataValidation type="list" allowBlank="1" showInputMessage="1" xr:uid="{98671C27-EF10-4A1A-9AB1-64CA20C929AB}">
          <x14:formula1>
            <xm:f>Tabelas_fonte!$AK$2:$AK$6</xm:f>
          </x14:formula1>
          <xm:sqref>N38:AJ38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57B88-597F-4314-BC90-EF9B330D8AE5}">
  <sheetPr codeName="Planilha22">
    <tabColor theme="8" tint="0.59999389629810485"/>
  </sheetPr>
  <dimension ref="A1:AY91"/>
  <sheetViews>
    <sheetView showGridLines="0" topLeftCell="D1" workbookViewId="0">
      <selection activeCell="D1" sqref="D1"/>
    </sheetView>
  </sheetViews>
  <sheetFormatPr defaultColWidth="0" defaultRowHeight="15" zeroHeight="1" x14ac:dyDescent="0.25"/>
  <cols>
    <col min="1" max="3" width="2.7109375" style="20" hidden="1" customWidth="1"/>
    <col min="4" max="5" width="2.7109375" style="20" customWidth="1"/>
    <col min="6" max="14" width="4.7109375" style="20" customWidth="1"/>
    <col min="15" max="50" width="5.7109375" style="20" customWidth="1"/>
    <col min="51" max="51" width="4.7109375" style="20" customWidth="1"/>
    <col min="52" max="16384" width="9.140625" style="20" hidden="1"/>
  </cols>
  <sheetData>
    <row r="1" spans="1:51" x14ac:dyDescent="0.25">
      <c r="A1" s="18"/>
      <c r="B1" s="18"/>
      <c r="C1" s="18"/>
      <c r="D1" s="7"/>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x14ac:dyDescent="0.25">
      <c r="A2" s="18"/>
      <c r="B2" s="18"/>
      <c r="C2" s="18"/>
      <c r="D2" s="7"/>
      <c r="E2" s="2"/>
      <c r="F2" s="1148" t="s">
        <v>346</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58"/>
      <c r="AH2" s="158"/>
      <c r="AI2" s="1035" t="s">
        <v>0</v>
      </c>
      <c r="AJ2" s="1035"/>
      <c r="AK2" s="1035"/>
      <c r="AL2" s="1035"/>
      <c r="AM2" s="1035"/>
      <c r="AN2" s="1035"/>
      <c r="AO2" s="2"/>
      <c r="AP2" s="2"/>
      <c r="AQ2" s="2"/>
      <c r="AR2" s="2"/>
      <c r="AS2" s="2"/>
      <c r="AT2" s="2"/>
      <c r="AU2" s="2"/>
      <c r="AV2" s="2"/>
      <c r="AW2" s="2"/>
      <c r="AX2" s="2"/>
      <c r="AY2" s="2"/>
    </row>
    <row r="3" spans="1:51"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58"/>
      <c r="AH3" s="158"/>
      <c r="AI3" s="1035"/>
      <c r="AJ3" s="1035"/>
      <c r="AK3" s="1035"/>
      <c r="AL3" s="1035"/>
      <c r="AM3" s="1035"/>
      <c r="AN3" s="1035"/>
      <c r="AO3" s="2"/>
      <c r="AP3" s="2"/>
      <c r="AQ3" s="2"/>
      <c r="AR3" s="2"/>
      <c r="AS3" s="2"/>
      <c r="AT3" s="2"/>
      <c r="AU3" s="2"/>
      <c r="AV3" s="2"/>
      <c r="AW3" s="2"/>
      <c r="AX3" s="2"/>
      <c r="AY3" s="2"/>
    </row>
    <row r="4" spans="1:51"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58"/>
      <c r="AH4" s="158"/>
      <c r="AI4" s="1035"/>
      <c r="AJ4" s="1035"/>
      <c r="AK4" s="1035"/>
      <c r="AL4" s="1035"/>
      <c r="AM4" s="1035"/>
      <c r="AN4" s="1035"/>
      <c r="AO4" s="2"/>
      <c r="AP4" s="2"/>
      <c r="AQ4" s="2"/>
      <c r="AR4" s="2"/>
      <c r="AS4" s="2"/>
      <c r="AT4" s="2"/>
      <c r="AU4" s="2"/>
      <c r="AV4" s="2"/>
      <c r="AW4" s="2"/>
      <c r="AX4" s="2"/>
      <c r="AY4" s="2"/>
    </row>
    <row r="5" spans="1:51"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58"/>
      <c r="AH5" s="158"/>
      <c r="AI5" s="1035"/>
      <c r="AJ5" s="1035"/>
      <c r="AK5" s="1035"/>
      <c r="AL5" s="1035"/>
      <c r="AM5" s="1035"/>
      <c r="AN5" s="1035"/>
      <c r="AO5" s="2"/>
      <c r="AP5" s="2"/>
      <c r="AQ5" s="2"/>
      <c r="AR5" s="2"/>
      <c r="AS5" s="2"/>
      <c r="AT5" s="2"/>
      <c r="AU5" s="2"/>
      <c r="AV5" s="2"/>
      <c r="AW5" s="2"/>
      <c r="AX5" s="2"/>
      <c r="AY5" s="2"/>
    </row>
    <row r="6" spans="1:51"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58"/>
      <c r="AH6" s="158"/>
      <c r="AI6" s="1035"/>
      <c r="AJ6" s="1035"/>
      <c r="AK6" s="1035"/>
      <c r="AL6" s="1035"/>
      <c r="AM6" s="1035"/>
      <c r="AN6" s="1035"/>
      <c r="AO6" s="2"/>
      <c r="AP6" s="2"/>
      <c r="AQ6" s="2"/>
      <c r="AR6" s="73"/>
      <c r="AS6" s="2"/>
      <c r="AT6" s="2"/>
      <c r="AU6" s="2"/>
      <c r="AV6" s="2"/>
      <c r="AW6" s="2"/>
      <c r="AX6" s="2"/>
      <c r="AY6" s="2"/>
    </row>
    <row r="7" spans="1:51" ht="20.100000000000001" customHeight="1" x14ac:dyDescent="0.25">
      <c r="A7" s="18"/>
      <c r="B7" s="18"/>
      <c r="C7" s="18"/>
      <c r="D7" s="7"/>
      <c r="E7" s="158"/>
      <c r="F7" s="1024" t="str">
        <f ca="1">Alertas!R15</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c r="AS7" s="2"/>
      <c r="AT7" s="2"/>
      <c r="AU7" s="2"/>
      <c r="AV7" s="2"/>
      <c r="AW7" s="2"/>
      <c r="AX7" s="2"/>
      <c r="AY7" s="2"/>
    </row>
    <row r="8" spans="1:51" ht="15" customHeight="1" x14ac:dyDescent="0.25">
      <c r="A8" s="18"/>
      <c r="B8" s="18"/>
      <c r="C8" s="18"/>
      <c r="D8" s="7"/>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7"/>
      <c r="AM8" s="7"/>
      <c r="AN8" s="7"/>
      <c r="AO8" s="7"/>
      <c r="AP8" s="7"/>
      <c r="AQ8" s="7"/>
      <c r="AR8" s="7"/>
      <c r="AS8" s="7"/>
      <c r="AT8" s="7"/>
      <c r="AU8" s="7"/>
      <c r="AV8" s="7"/>
      <c r="AW8" s="7"/>
      <c r="AX8" s="7"/>
      <c r="AY8" s="7"/>
    </row>
    <row r="9" spans="1:51"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row>
    <row r="10" spans="1:51" ht="30" customHeight="1" x14ac:dyDescent="0.25">
      <c r="A10" s="18"/>
      <c r="B10" s="18"/>
      <c r="C10" s="18"/>
      <c r="D10" s="7"/>
      <c r="E10" s="2"/>
      <c r="F10" s="1149" t="s">
        <v>30</v>
      </c>
      <c r="G10" s="1094"/>
      <c r="H10" s="1094"/>
      <c r="I10" s="1094"/>
      <c r="J10" s="1094"/>
      <c r="K10" s="1094"/>
      <c r="L10" s="1104"/>
      <c r="M10" s="148" t="s">
        <v>186</v>
      </c>
      <c r="N10" s="1044"/>
      <c r="O10" s="1044"/>
      <c r="P10" s="1044"/>
      <c r="Q10" s="1044"/>
      <c r="R10" s="1044"/>
      <c r="S10" s="1044"/>
      <c r="T10" s="1044"/>
      <c r="U10" s="1044"/>
      <c r="V10" s="1044"/>
      <c r="W10" s="1044"/>
      <c r="X10" s="1044"/>
      <c r="Y10" s="1044"/>
      <c r="Z10" s="1044"/>
      <c r="AA10" s="1008" t="s">
        <v>294</v>
      </c>
      <c r="AB10" s="1009"/>
      <c r="AC10" s="1009"/>
      <c r="AD10" s="1041"/>
      <c r="AE10" s="148" t="s">
        <v>186</v>
      </c>
      <c r="AF10" s="1032"/>
      <c r="AG10" s="1033"/>
      <c r="AH10" s="1033"/>
      <c r="AI10" s="1033"/>
      <c r="AJ10" s="1034"/>
      <c r="AK10" s="27"/>
      <c r="AL10" s="27"/>
      <c r="AM10" s="27"/>
      <c r="AN10" s="2"/>
      <c r="AO10" s="49"/>
      <c r="AP10" s="49"/>
      <c r="AQ10" s="49"/>
      <c r="AR10" s="49"/>
      <c r="AS10" s="49"/>
      <c r="AT10" s="49"/>
      <c r="AU10" s="49"/>
      <c r="AV10" s="49"/>
      <c r="AW10" s="49"/>
      <c r="AX10" s="49"/>
      <c r="AY10" s="49"/>
    </row>
    <row r="11" spans="1:51" ht="60" customHeight="1" x14ac:dyDescent="0.25">
      <c r="A11" s="18"/>
      <c r="B11" s="18"/>
      <c r="C11" s="18"/>
      <c r="D11" s="7"/>
      <c r="E11" s="2"/>
      <c r="F11" s="1008" t="s">
        <v>7300</v>
      </c>
      <c r="G11" s="1009"/>
      <c r="H11" s="1009"/>
      <c r="I11" s="1009"/>
      <c r="J11" s="1009"/>
      <c r="K11" s="1009"/>
      <c r="L11" s="1041"/>
      <c r="M11" s="148" t="s">
        <v>186</v>
      </c>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158" t="s">
        <v>271</v>
      </c>
      <c r="AL11" s="1159"/>
      <c r="AM11" s="1159"/>
      <c r="AN11" s="1159"/>
      <c r="AO11" s="49"/>
      <c r="AP11" s="49"/>
      <c r="AQ11" s="49"/>
      <c r="AR11" s="49"/>
      <c r="AS11" s="49"/>
      <c r="AT11" s="49"/>
      <c r="AU11" s="49"/>
      <c r="AV11" s="49"/>
      <c r="AW11" s="49"/>
      <c r="AX11" s="49"/>
      <c r="AY11" s="49"/>
    </row>
    <row r="12" spans="1:51" ht="20.100000000000001" customHeight="1" x14ac:dyDescent="0.25">
      <c r="A12" s="18"/>
      <c r="B12" s="18"/>
      <c r="C12" s="18"/>
      <c r="D12" s="7"/>
      <c r="E12" s="2"/>
      <c r="F12" s="1008" t="s">
        <v>6029</v>
      </c>
      <c r="G12" s="1009"/>
      <c r="H12" s="1009"/>
      <c r="I12" s="1009"/>
      <c r="J12" s="1009"/>
      <c r="K12" s="1009"/>
      <c r="L12" s="1041"/>
      <c r="M12" s="148" t="s">
        <v>186</v>
      </c>
      <c r="N12" s="1147"/>
      <c r="O12" s="1096"/>
      <c r="P12" s="1096"/>
      <c r="Q12" s="1096"/>
      <c r="R12" s="1096"/>
      <c r="S12" s="1097"/>
      <c r="T12" s="203"/>
      <c r="U12" s="203"/>
      <c r="V12" s="203"/>
      <c r="W12" s="203"/>
      <c r="X12" s="203"/>
      <c r="Y12" s="203"/>
      <c r="Z12" s="203"/>
      <c r="AA12" s="203"/>
      <c r="AB12" s="203"/>
      <c r="AC12" s="203"/>
      <c r="AD12" s="203"/>
      <c r="AE12" s="203"/>
      <c r="AF12" s="203"/>
      <c r="AG12" s="203"/>
      <c r="AH12" s="203"/>
      <c r="AI12" s="175"/>
      <c r="AJ12" s="175"/>
      <c r="AK12" s="175"/>
      <c r="AL12" s="175"/>
      <c r="AM12" s="175"/>
      <c r="AN12" s="161"/>
      <c r="AO12" s="161"/>
      <c r="AP12" s="161"/>
      <c r="AQ12" s="161"/>
      <c r="AR12" s="161"/>
      <c r="AS12" s="161"/>
      <c r="AT12" s="161"/>
      <c r="AU12" s="161"/>
      <c r="AV12" s="161"/>
      <c r="AW12" s="161"/>
      <c r="AX12" s="161"/>
      <c r="AY12" s="161"/>
    </row>
    <row r="13" spans="1:51" ht="20.100000000000001" customHeight="1" x14ac:dyDescent="0.25">
      <c r="A13" s="18"/>
      <c r="B13" s="18"/>
      <c r="C13" s="18"/>
      <c r="D13" s="7"/>
      <c r="E13" s="2"/>
      <c r="F13" s="1149" t="s">
        <v>218</v>
      </c>
      <c r="G13" s="1094"/>
      <c r="H13" s="1094"/>
      <c r="I13" s="1094"/>
      <c r="J13" s="1094"/>
      <c r="K13" s="1094"/>
      <c r="L13" s="1104"/>
      <c r="M13" s="148" t="s">
        <v>186</v>
      </c>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2"/>
      <c r="AL13" s="2"/>
      <c r="AM13" s="2"/>
      <c r="AN13" s="2"/>
      <c r="AO13" s="2"/>
      <c r="AP13" s="2"/>
      <c r="AQ13" s="2"/>
      <c r="AR13" s="2"/>
      <c r="AS13" s="2"/>
      <c r="AT13" s="2"/>
      <c r="AU13" s="2"/>
      <c r="AV13" s="2"/>
      <c r="AW13" s="2"/>
      <c r="AX13" s="2"/>
      <c r="AY13" s="2"/>
    </row>
    <row r="14" spans="1:51" ht="20.100000000000001" customHeight="1" x14ac:dyDescent="0.25">
      <c r="A14" s="18"/>
      <c r="B14" s="18"/>
      <c r="C14" s="18"/>
      <c r="D14" s="7"/>
      <c r="E14" s="2"/>
      <c r="F14" s="1149" t="s">
        <v>311</v>
      </c>
      <c r="G14" s="1094"/>
      <c r="H14" s="1094"/>
      <c r="I14" s="1094"/>
      <c r="J14" s="1094"/>
      <c r="K14" s="1094"/>
      <c r="L14" s="1094"/>
      <c r="M14" s="1150"/>
      <c r="N14" s="1298"/>
      <c r="O14" s="1298"/>
      <c r="P14" s="1298"/>
      <c r="Q14" s="1298"/>
      <c r="R14" s="1298"/>
      <c r="S14" s="1298"/>
      <c r="T14" s="1298"/>
      <c r="U14" s="1298"/>
      <c r="V14" s="1298"/>
      <c r="W14" s="1298"/>
      <c r="X14" s="1298"/>
      <c r="Y14" s="1298"/>
      <c r="Z14" s="1298"/>
      <c r="AA14" s="1298"/>
      <c r="AB14" s="1298"/>
      <c r="AC14" s="1298"/>
      <c r="AD14" s="1298"/>
      <c r="AE14" s="1298"/>
      <c r="AF14" s="1298"/>
      <c r="AG14" s="1298"/>
      <c r="AH14" s="1298"/>
      <c r="AI14" s="1298"/>
      <c r="AJ14" s="1298"/>
      <c r="AK14" s="163"/>
      <c r="AL14" s="163"/>
      <c r="AM14" s="163"/>
      <c r="AN14" s="163"/>
      <c r="AO14" s="163"/>
      <c r="AP14" s="163"/>
      <c r="AQ14" s="163"/>
      <c r="AR14" s="163"/>
      <c r="AS14" s="163"/>
      <c r="AT14" s="163"/>
      <c r="AU14" s="163"/>
      <c r="AV14" s="163"/>
      <c r="AW14" s="163"/>
      <c r="AX14" s="163"/>
      <c r="AY14" s="163"/>
    </row>
    <row r="15" spans="1:51" ht="20.100000000000001" customHeight="1" x14ac:dyDescent="0.25">
      <c r="A15" s="18"/>
      <c r="B15" s="18"/>
      <c r="C15" s="18"/>
      <c r="D15" s="7"/>
      <c r="E15" s="2"/>
      <c r="F15" s="1008" t="s">
        <v>7301</v>
      </c>
      <c r="G15" s="1009"/>
      <c r="H15" s="1009"/>
      <c r="I15" s="1009"/>
      <c r="J15" s="1009"/>
      <c r="K15" s="1009"/>
      <c r="L15" s="1009"/>
      <c r="M15" s="1010"/>
      <c r="N15" s="1287" t="s">
        <v>6030</v>
      </c>
      <c r="O15" s="1288"/>
      <c r="P15" s="1289"/>
      <c r="Q15" s="148" t="s">
        <v>186</v>
      </c>
      <c r="R15" s="1299"/>
      <c r="S15" s="1299"/>
      <c r="T15" s="1299"/>
      <c r="U15" s="1299"/>
      <c r="V15" s="1299"/>
      <c r="W15" s="1299"/>
      <c r="X15" s="1299"/>
      <c r="Y15" s="1073" t="s">
        <v>31</v>
      </c>
      <c r="Z15" s="1074"/>
      <c r="AA15" s="1074"/>
      <c r="AB15" s="1075"/>
      <c r="AC15" s="148" t="s">
        <v>186</v>
      </c>
      <c r="AD15" s="999"/>
      <c r="AE15" s="1000"/>
      <c r="AF15" s="1000"/>
      <c r="AG15" s="1000"/>
      <c r="AH15" s="1000"/>
      <c r="AI15" s="1000"/>
      <c r="AJ15" s="1001"/>
      <c r="AK15" s="164"/>
      <c r="AL15" s="164"/>
      <c r="AM15" s="164"/>
      <c r="AN15" s="164"/>
      <c r="AO15" s="164"/>
      <c r="AP15" s="164"/>
      <c r="AQ15" s="164"/>
      <c r="AR15" s="164"/>
      <c r="AS15" s="164"/>
      <c r="AT15" s="164"/>
      <c r="AU15" s="164"/>
      <c r="AV15" s="164"/>
      <c r="AW15" s="164"/>
      <c r="AX15" s="164"/>
      <c r="AY15" s="164"/>
    </row>
    <row r="16" spans="1:51" ht="20.100000000000001" customHeight="1" x14ac:dyDescent="0.25">
      <c r="A16" s="18"/>
      <c r="B16" s="18"/>
      <c r="C16" s="18"/>
      <c r="D16" s="7"/>
      <c r="E16" s="2"/>
      <c r="F16" s="1008" t="s">
        <v>5720</v>
      </c>
      <c r="G16" s="1009"/>
      <c r="H16" s="1009"/>
      <c r="I16" s="1009"/>
      <c r="J16" s="1009"/>
      <c r="K16" s="1009"/>
      <c r="L16" s="1009"/>
      <c r="M16" s="148" t="s">
        <v>186</v>
      </c>
      <c r="N16" s="1136"/>
      <c r="O16" s="1090"/>
      <c r="P16" s="1090"/>
      <c r="Q16" s="1090"/>
      <c r="R16" s="1091"/>
      <c r="S16" s="109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row>
    <row r="17" spans="1:51" ht="20.100000000000001" customHeight="1" x14ac:dyDescent="0.25">
      <c r="A17" s="18"/>
      <c r="B17" s="18"/>
      <c r="C17" s="18"/>
      <c r="D17" s="7"/>
      <c r="E17" s="2"/>
      <c r="F17" s="1149" t="s">
        <v>85</v>
      </c>
      <c r="G17" s="1094"/>
      <c r="H17" s="1094"/>
      <c r="I17" s="1094"/>
      <c r="J17" s="1094"/>
      <c r="K17" s="1094"/>
      <c r="L17" s="1104"/>
      <c r="M17" s="148" t="s">
        <v>186</v>
      </c>
      <c r="N17" s="1293" t="s">
        <v>356</v>
      </c>
      <c r="O17" s="1293"/>
      <c r="P17" s="1293"/>
      <c r="Q17" s="1293"/>
      <c r="R17" s="1293"/>
      <c r="S17" s="1293"/>
      <c r="T17" s="1008" t="s">
        <v>235</v>
      </c>
      <c r="U17" s="1009"/>
      <c r="V17" s="1009"/>
      <c r="W17" s="1009"/>
      <c r="X17" s="1009"/>
      <c r="Y17" s="1009"/>
      <c r="Z17" s="1009"/>
      <c r="AA17" s="148" t="s">
        <v>186</v>
      </c>
      <c r="AB17" s="1302"/>
      <c r="AC17" s="1302"/>
      <c r="AD17" s="1302"/>
      <c r="AE17" s="1302"/>
      <c r="AF17" s="1302"/>
      <c r="AG17" s="1302"/>
      <c r="AH17" s="1302"/>
      <c r="AI17" s="1302"/>
      <c r="AJ17" s="1302"/>
      <c r="AK17" s="49"/>
      <c r="AL17" s="2"/>
      <c r="AM17" s="2"/>
      <c r="AN17" s="2"/>
      <c r="AO17" s="2"/>
      <c r="AP17" s="2"/>
      <c r="AQ17" s="2"/>
      <c r="AR17" s="2"/>
      <c r="AS17" s="2"/>
      <c r="AT17" s="2"/>
      <c r="AU17" s="2"/>
      <c r="AV17" s="2"/>
      <c r="AW17" s="49"/>
      <c r="AX17" s="49"/>
      <c r="AY17" s="49"/>
    </row>
    <row r="18" spans="1:51" ht="20.100000000000001" hidden="1" customHeight="1" x14ac:dyDescent="0.25">
      <c r="A18" s="18"/>
      <c r="B18" s="18"/>
      <c r="C18" s="18"/>
      <c r="D18" s="7"/>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49"/>
      <c r="AM18" s="49"/>
      <c r="AN18" s="49"/>
      <c r="AO18" s="49"/>
      <c r="AP18" s="49"/>
      <c r="AQ18" s="49"/>
      <c r="AR18" s="49"/>
      <c r="AS18" s="49"/>
      <c r="AT18" s="49"/>
      <c r="AU18" s="49"/>
      <c r="AV18" s="49"/>
      <c r="AW18" s="49"/>
      <c r="AX18" s="49"/>
      <c r="AY18" s="49"/>
    </row>
    <row r="19" spans="1:51" ht="20.100000000000001" customHeight="1" x14ac:dyDescent="0.25">
      <c r="A19" s="18"/>
      <c r="B19" s="18"/>
      <c r="C19" s="18"/>
      <c r="D19" s="7"/>
      <c r="E19" s="2"/>
      <c r="F19" s="2"/>
      <c r="G19" s="2"/>
      <c r="H19" s="2"/>
      <c r="I19" s="2"/>
      <c r="J19" s="2"/>
      <c r="K19" s="2"/>
      <c r="L19" s="2"/>
      <c r="M19" s="2"/>
      <c r="N19" s="2"/>
      <c r="O19" s="2"/>
      <c r="P19" s="2"/>
      <c r="Q19" s="2"/>
      <c r="R19" s="2"/>
      <c r="T19" s="2"/>
      <c r="U19" s="2"/>
      <c r="V19" s="2"/>
      <c r="W19" s="153"/>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row>
    <row r="20" spans="1:51" ht="30" customHeight="1" x14ac:dyDescent="0.25">
      <c r="A20" s="18"/>
      <c r="B20" s="18"/>
      <c r="C20" s="18"/>
      <c r="D20" s="7"/>
      <c r="E20" s="2"/>
      <c r="F20" s="1149" t="s">
        <v>7267</v>
      </c>
      <c r="G20" s="1094"/>
      <c r="H20" s="1094"/>
      <c r="I20" s="1094"/>
      <c r="J20" s="1094"/>
      <c r="K20" s="1094"/>
      <c r="L20" s="1104"/>
      <c r="M20" s="148" t="s">
        <v>186</v>
      </c>
      <c r="N20" s="1147"/>
      <c r="O20" s="1096"/>
      <c r="P20" s="1096"/>
      <c r="Q20" s="1096"/>
      <c r="R20" s="1096"/>
      <c r="S20" s="1097"/>
      <c r="T20" s="2"/>
      <c r="U20" s="2"/>
      <c r="V20" s="2"/>
      <c r="W20" s="2"/>
      <c r="X20" s="2"/>
      <c r="Z20" s="2"/>
      <c r="AA20" s="2"/>
      <c r="AB20" s="2"/>
      <c r="AC20" s="2"/>
      <c r="AD20" s="2"/>
      <c r="AF20" s="2"/>
      <c r="AG20" s="2"/>
      <c r="AH20" s="2"/>
      <c r="AI20" s="2"/>
      <c r="AJ20" s="2"/>
      <c r="AK20" s="2"/>
      <c r="AL20" s="2"/>
      <c r="AN20" s="2"/>
      <c r="AO20" s="2"/>
      <c r="AP20" s="2"/>
      <c r="AQ20" s="2"/>
      <c r="AR20" s="2"/>
      <c r="AS20" s="2"/>
      <c r="AT20" s="2"/>
      <c r="AU20" s="2"/>
      <c r="AV20" s="2"/>
      <c r="AW20" s="2"/>
      <c r="AX20" s="2"/>
      <c r="AY20" s="2"/>
    </row>
    <row r="21" spans="1:51" ht="30" customHeight="1" x14ac:dyDescent="0.25">
      <c r="A21" s="18"/>
      <c r="B21" s="18"/>
      <c r="C21" s="18"/>
      <c r="D21" s="7"/>
      <c r="E21" s="2"/>
      <c r="F21" s="1294" t="s">
        <v>72</v>
      </c>
      <c r="G21" s="1295"/>
      <c r="H21" s="1295"/>
      <c r="I21" s="1295"/>
      <c r="J21" s="1295"/>
      <c r="K21" s="1295"/>
      <c r="L21" s="1296"/>
      <c r="M21" s="261" t="s">
        <v>186</v>
      </c>
      <c r="N21" s="1303"/>
      <c r="O21" s="1304"/>
      <c r="P21" s="1304"/>
      <c r="Q21" s="1304"/>
      <c r="R21" s="1304"/>
      <c r="S21" s="1305"/>
      <c r="T21" s="1009" t="s">
        <v>318</v>
      </c>
      <c r="U21" s="1009"/>
      <c r="V21" s="1009"/>
      <c r="W21" s="1009"/>
      <c r="X21" s="261" t="s">
        <v>186</v>
      </c>
      <c r="Y21" s="999"/>
      <c r="Z21" s="1000"/>
      <c r="AA21" s="1001"/>
      <c r="AB21" s="1009" t="s">
        <v>327</v>
      </c>
      <c r="AC21" s="1009"/>
      <c r="AD21" s="1010"/>
      <c r="AE21" s="1311"/>
      <c r="AF21" s="1312"/>
      <c r="AG21" s="1312"/>
      <c r="AH21" s="1312"/>
      <c r="AI21" s="1312"/>
      <c r="AJ21" s="1312"/>
      <c r="AK21" s="1312"/>
      <c r="AL21" s="1313"/>
      <c r="AM21" s="2"/>
      <c r="AN21" s="164"/>
      <c r="AO21" s="164"/>
      <c r="AP21" s="164"/>
      <c r="AQ21" s="164"/>
      <c r="AR21" s="164"/>
      <c r="AS21" s="164"/>
      <c r="AT21" s="164"/>
      <c r="AU21" s="164"/>
      <c r="AV21" s="164"/>
      <c r="AW21" s="164"/>
      <c r="AX21" s="164"/>
      <c r="AY21" s="164"/>
    </row>
    <row r="22" spans="1:51" ht="15" customHeight="1" x14ac:dyDescent="0.25">
      <c r="A22" s="18"/>
      <c r="B22" s="18"/>
      <c r="C22" s="18"/>
      <c r="D22" s="7"/>
      <c r="E22" s="2"/>
      <c r="F22" s="117"/>
      <c r="G22" s="117"/>
      <c r="H22" s="117"/>
      <c r="I22" s="117"/>
      <c r="J22" s="117"/>
      <c r="K22" s="117"/>
      <c r="L22" s="117"/>
      <c r="M22" s="241"/>
      <c r="N22" s="104"/>
      <c r="O22" s="104"/>
      <c r="P22" s="104"/>
      <c r="Q22" s="104"/>
      <c r="R22" s="104"/>
      <c r="S22" s="104"/>
      <c r="T22" s="240"/>
      <c r="U22" s="240"/>
      <c r="V22" s="240"/>
      <c r="W22" s="240"/>
      <c r="X22" s="240"/>
      <c r="Y22" s="241"/>
      <c r="Z22" s="242"/>
      <c r="AA22" s="242"/>
      <c r="AB22" s="242"/>
      <c r="AC22" s="97"/>
      <c r="AD22" s="97"/>
      <c r="AE22" s="97"/>
      <c r="AF22" s="243"/>
      <c r="AG22" s="243"/>
      <c r="AH22" s="243"/>
      <c r="AI22" s="243"/>
      <c r="AJ22" s="243"/>
      <c r="AK22" s="243"/>
      <c r="AL22" s="243"/>
      <c r="AM22" s="243"/>
      <c r="AN22" s="164"/>
      <c r="AO22" s="164"/>
      <c r="AP22" s="164"/>
      <c r="AQ22" s="164"/>
      <c r="AR22" s="164"/>
      <c r="AS22" s="164"/>
      <c r="AT22" s="164"/>
      <c r="AU22" s="164"/>
      <c r="AV22" s="164"/>
      <c r="AW22" s="164"/>
      <c r="AX22" s="164"/>
      <c r="AY22" s="164"/>
    </row>
    <row r="23" spans="1:51" ht="20.100000000000001" customHeight="1" x14ac:dyDescent="0.25">
      <c r="A23" s="18"/>
      <c r="B23" s="18"/>
      <c r="C23" s="18"/>
      <c r="D23" s="7"/>
      <c r="E23" s="7"/>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7"/>
      <c r="AO23" s="7"/>
      <c r="AP23" s="7"/>
      <c r="AQ23" s="7"/>
      <c r="AR23" s="7"/>
      <c r="AS23" s="7"/>
      <c r="AT23" s="7"/>
      <c r="AU23" s="7"/>
      <c r="AV23" s="7"/>
      <c r="AW23" s="7"/>
      <c r="AX23" s="7"/>
      <c r="AY23" s="7"/>
    </row>
    <row r="24" spans="1:51" ht="15" customHeight="1" x14ac:dyDescent="0.25">
      <c r="A24" s="18"/>
      <c r="B24" s="18"/>
      <c r="C24" s="18"/>
      <c r="D24" s="7"/>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row>
    <row r="25" spans="1:51" ht="20.100000000000001" customHeight="1" x14ac:dyDescent="0.25">
      <c r="A25" s="18"/>
      <c r="B25" s="18"/>
      <c r="C25" s="18"/>
      <c r="D25" s="7"/>
      <c r="E25" s="2"/>
      <c r="F25" s="244"/>
      <c r="G25" s="244"/>
      <c r="H25" s="244"/>
      <c r="I25" s="244"/>
      <c r="J25" s="244"/>
      <c r="K25" s="244"/>
      <c r="L25" s="244"/>
      <c r="M25" s="244"/>
      <c r="N25" s="244"/>
      <c r="O25" s="244"/>
      <c r="P25" s="244"/>
      <c r="Q25" s="244"/>
      <c r="R25" s="245" t="s">
        <v>73</v>
      </c>
      <c r="S25" s="244"/>
      <c r="T25" s="244"/>
      <c r="U25" s="244"/>
      <c r="V25" s="244"/>
      <c r="W25" s="244"/>
      <c r="X25" s="244"/>
      <c r="Y25" s="244"/>
      <c r="Z25" s="244"/>
      <c r="AA25" s="244"/>
      <c r="AB25" s="244"/>
      <c r="AC25" s="244"/>
      <c r="AD25" s="244"/>
      <c r="AE25" s="244"/>
      <c r="AF25" s="244"/>
      <c r="AG25" s="244"/>
      <c r="AH25" s="244"/>
      <c r="AI25" s="244"/>
      <c r="AJ25" s="244"/>
      <c r="AK25" s="212"/>
      <c r="AL25" s="212"/>
      <c r="AM25" s="212"/>
      <c r="AN25" s="212"/>
      <c r="AO25" s="246"/>
      <c r="AP25" s="246"/>
      <c r="AQ25" s="246"/>
      <c r="AR25" s="246"/>
      <c r="AS25" s="246"/>
      <c r="AT25" s="246"/>
      <c r="AU25" s="246"/>
      <c r="AV25" s="246"/>
      <c r="AW25" s="246"/>
      <c r="AX25" s="246"/>
      <c r="AY25" s="246"/>
    </row>
    <row r="26" spans="1:51" ht="20.100000000000001" customHeight="1" x14ac:dyDescent="0.25">
      <c r="A26" s="18"/>
      <c r="B26" s="18"/>
      <c r="C26" s="18"/>
      <c r="D26" s="7"/>
      <c r="E26" s="2"/>
      <c r="F26" s="247"/>
      <c r="G26" s="247"/>
      <c r="H26" s="247"/>
      <c r="I26" s="247"/>
      <c r="J26" s="247"/>
      <c r="K26" s="247"/>
      <c r="L26" s="247"/>
      <c r="M26" s="247"/>
      <c r="N26" s="247"/>
      <c r="O26" s="247"/>
      <c r="P26" s="247"/>
      <c r="Q26" s="247"/>
      <c r="R26" s="247"/>
      <c r="S26" s="247"/>
      <c r="T26" s="248"/>
      <c r="U26" s="248"/>
      <c r="V26" s="248"/>
      <c r="W26" s="248"/>
      <c r="X26" s="248"/>
      <c r="Y26" s="248"/>
      <c r="Z26" s="248"/>
      <c r="AA26" s="248"/>
      <c r="AB26" s="248"/>
      <c r="AC26" s="248"/>
      <c r="AD26" s="248"/>
      <c r="AE26" s="248"/>
      <c r="AF26" s="248"/>
      <c r="AG26" s="248"/>
      <c r="AH26" s="248"/>
      <c r="AI26" s="248"/>
      <c r="AJ26" s="248"/>
      <c r="AK26" s="162"/>
      <c r="AL26" s="162"/>
      <c r="AM26" s="162"/>
      <c r="AN26" s="162"/>
      <c r="AO26" s="162"/>
      <c r="AP26" s="162"/>
      <c r="AQ26" s="162"/>
      <c r="AR26" s="162"/>
      <c r="AS26" s="162"/>
      <c r="AT26" s="162"/>
      <c r="AU26" s="162"/>
      <c r="AV26" s="162"/>
      <c r="AW26" s="162"/>
      <c r="AX26" s="162"/>
      <c r="AY26" s="162"/>
    </row>
    <row r="27" spans="1:51" ht="24.95" customHeight="1" x14ac:dyDescent="0.25">
      <c r="A27" s="18"/>
      <c r="B27" s="18"/>
      <c r="C27" s="18"/>
      <c r="D27" s="7"/>
      <c r="E27" s="2"/>
      <c r="F27" s="1149" t="s">
        <v>74</v>
      </c>
      <c r="G27" s="1094"/>
      <c r="H27" s="1094"/>
      <c r="I27" s="1094"/>
      <c r="J27" s="1094"/>
      <c r="K27" s="1094"/>
      <c r="L27" s="1104"/>
      <c r="M27" s="148" t="s">
        <v>186</v>
      </c>
      <c r="N27" s="1290"/>
      <c r="O27" s="1290"/>
      <c r="P27" s="1290"/>
      <c r="Q27" s="1290"/>
      <c r="R27" s="1290"/>
      <c r="S27" s="1290"/>
      <c r="T27" s="2"/>
      <c r="U27" s="2"/>
      <c r="V27" s="2"/>
      <c r="W27" s="249"/>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row>
    <row r="28" spans="1:51" ht="15" customHeight="1" x14ac:dyDescent="0.25">
      <c r="A28" s="18"/>
      <c r="B28" s="18"/>
      <c r="C28" s="18"/>
      <c r="D28" s="7"/>
      <c r="E28" s="2"/>
      <c r="F28" s="117"/>
      <c r="G28" s="117"/>
      <c r="H28" s="117"/>
      <c r="I28" s="117"/>
      <c r="J28" s="117"/>
      <c r="K28" s="2"/>
      <c r="L28" s="2"/>
      <c r="M28" s="2"/>
      <c r="N28" s="2"/>
      <c r="O28" s="2"/>
      <c r="P28" s="2"/>
      <c r="Q28" s="2"/>
      <c r="R28" s="2"/>
      <c r="S28" s="2"/>
      <c r="T28" s="2"/>
      <c r="U28" s="2"/>
      <c r="V28" s="2"/>
      <c r="W28" s="249"/>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row>
    <row r="29" spans="1:51" ht="20.100000000000001" customHeight="1" x14ac:dyDescent="0.25">
      <c r="A29" s="18"/>
      <c r="B29" s="18"/>
      <c r="C29" s="18"/>
      <c r="D29" s="7"/>
      <c r="E29" s="2"/>
      <c r="F29" s="2"/>
      <c r="G29" s="250"/>
      <c r="H29" s="250"/>
      <c r="I29" s="250"/>
      <c r="J29" s="250"/>
      <c r="K29" s="250"/>
      <c r="L29" s="250"/>
      <c r="M29" s="196"/>
      <c r="N29" s="1306" t="s">
        <v>84</v>
      </c>
      <c r="O29" s="1307"/>
      <c r="P29" s="1307"/>
      <c r="Q29" s="1307"/>
      <c r="R29" s="1307"/>
      <c r="S29" s="1308"/>
      <c r="T29" s="1300" t="s">
        <v>246</v>
      </c>
      <c r="U29" s="1300"/>
      <c r="V29" s="1300"/>
      <c r="W29" s="1300" t="s">
        <v>247</v>
      </c>
      <c r="X29" s="1300"/>
      <c r="Y29" s="1300"/>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row>
    <row r="30" spans="1:51" ht="20.100000000000001" customHeight="1" x14ac:dyDescent="0.25">
      <c r="A30" s="18"/>
      <c r="B30" s="18"/>
      <c r="C30" s="18"/>
      <c r="D30" s="7"/>
      <c r="E30" s="2"/>
      <c r="F30" s="251"/>
      <c r="G30" s="252"/>
      <c r="H30" s="252"/>
      <c r="I30" s="252"/>
      <c r="J30" s="252"/>
      <c r="K30" s="252"/>
      <c r="L30" s="252"/>
      <c r="M30" s="199"/>
      <c r="N30" s="1291"/>
      <c r="O30" s="1292"/>
      <c r="P30" s="1292"/>
      <c r="Q30" s="1292"/>
      <c r="R30" s="1292"/>
      <c r="S30" s="1292"/>
      <c r="T30" s="1301"/>
      <c r="U30" s="1301"/>
      <c r="V30" s="1301"/>
      <c r="W30" s="1301"/>
      <c r="X30" s="1301"/>
      <c r="Y30" s="1301"/>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row>
    <row r="31" spans="1:51" ht="20.100000000000001" customHeight="1" x14ac:dyDescent="0.25">
      <c r="A31" s="18"/>
      <c r="B31" s="18"/>
      <c r="C31" s="18"/>
      <c r="D31" s="7"/>
      <c r="E31" s="2"/>
      <c r="F31" s="253"/>
      <c r="G31" s="250"/>
      <c r="H31" s="250"/>
      <c r="I31" s="250"/>
      <c r="J31" s="250"/>
      <c r="K31" s="250"/>
      <c r="L31" s="250"/>
      <c r="M31" s="254"/>
      <c r="N31" s="1291"/>
      <c r="O31" s="1292"/>
      <c r="P31" s="1292"/>
      <c r="Q31" s="1292"/>
      <c r="R31" s="1292"/>
      <c r="S31" s="1292"/>
      <c r="T31" s="1301"/>
      <c r="U31" s="1301"/>
      <c r="V31" s="1301"/>
      <c r="W31" s="1301"/>
      <c r="X31" s="1301"/>
      <c r="Y31" s="1301"/>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row>
    <row r="32" spans="1:51" ht="20.100000000000001" customHeight="1" x14ac:dyDescent="0.25">
      <c r="A32" s="18"/>
      <c r="B32" s="18"/>
      <c r="C32" s="18"/>
      <c r="D32" s="7"/>
      <c r="E32" s="2"/>
      <c r="F32" s="253"/>
      <c r="G32" s="250"/>
      <c r="H32" s="250"/>
      <c r="I32" s="250"/>
      <c r="J32" s="250"/>
      <c r="K32" s="250"/>
      <c r="L32" s="250"/>
      <c r="M32" s="254"/>
      <c r="N32" s="1291"/>
      <c r="O32" s="1292"/>
      <c r="P32" s="1292"/>
      <c r="Q32" s="1292"/>
      <c r="R32" s="1292"/>
      <c r="S32" s="1292"/>
      <c r="T32" s="1301"/>
      <c r="U32" s="1301"/>
      <c r="V32" s="1301"/>
      <c r="W32" s="1301"/>
      <c r="X32" s="1301"/>
      <c r="Y32" s="1301"/>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row>
    <row r="33" spans="1:51" ht="20.100000000000001" customHeight="1" x14ac:dyDescent="0.25">
      <c r="A33" s="18"/>
      <c r="B33" s="18"/>
      <c r="C33" s="18"/>
      <c r="D33" s="7"/>
      <c r="E33" s="2"/>
      <c r="F33" s="253"/>
      <c r="G33" s="250"/>
      <c r="H33" s="250"/>
      <c r="I33" s="250"/>
      <c r="J33" s="250"/>
      <c r="K33" s="250"/>
      <c r="L33" s="250"/>
      <c r="M33" s="254"/>
      <c r="N33" s="1291"/>
      <c r="O33" s="1292"/>
      <c r="P33" s="1292"/>
      <c r="Q33" s="1292"/>
      <c r="R33" s="1292"/>
      <c r="S33" s="1292"/>
      <c r="T33" s="1301"/>
      <c r="U33" s="1301"/>
      <c r="V33" s="1301"/>
      <c r="W33" s="1301"/>
      <c r="X33" s="1301"/>
      <c r="Y33" s="1301"/>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row>
    <row r="34" spans="1:51" ht="20.100000000000001" customHeight="1" x14ac:dyDescent="0.25">
      <c r="A34" s="18"/>
      <c r="B34" s="18"/>
      <c r="C34" s="18"/>
      <c r="D34" s="7"/>
      <c r="E34" s="2"/>
      <c r="F34" s="253"/>
      <c r="G34" s="250"/>
      <c r="H34" s="250"/>
      <c r="I34" s="250"/>
      <c r="J34" s="250"/>
      <c r="K34" s="250"/>
      <c r="L34" s="250"/>
      <c r="M34" s="254"/>
      <c r="N34" s="1291"/>
      <c r="O34" s="1292"/>
      <c r="P34" s="1292"/>
      <c r="Q34" s="1292"/>
      <c r="R34" s="1292"/>
      <c r="S34" s="1292"/>
      <c r="T34" s="1301"/>
      <c r="U34" s="1301"/>
      <c r="V34" s="1301"/>
      <c r="W34" s="1301"/>
      <c r="X34" s="1301"/>
      <c r="Y34" s="1301"/>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row>
    <row r="35" spans="1:51" ht="20.100000000000001" customHeight="1" x14ac:dyDescent="0.25">
      <c r="A35" s="18"/>
      <c r="B35" s="18"/>
      <c r="C35" s="18"/>
      <c r="D35" s="7"/>
      <c r="E35" s="2"/>
      <c r="F35" s="1070" t="s">
        <v>238</v>
      </c>
      <c r="G35" s="1071"/>
      <c r="H35" s="1071"/>
      <c r="I35" s="1071"/>
      <c r="J35" s="1071"/>
      <c r="K35" s="1071"/>
      <c r="L35" s="250"/>
      <c r="M35" s="262" t="s">
        <v>186</v>
      </c>
      <c r="N35" s="1291"/>
      <c r="O35" s="1292"/>
      <c r="P35" s="1292"/>
      <c r="Q35" s="1292"/>
      <c r="R35" s="1292"/>
      <c r="S35" s="1292"/>
      <c r="T35" s="1301"/>
      <c r="U35" s="1301"/>
      <c r="V35" s="1301"/>
      <c r="W35" s="1301"/>
      <c r="X35" s="1301"/>
      <c r="Y35" s="1301"/>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row>
    <row r="36" spans="1:51" ht="20.100000000000001" customHeight="1" x14ac:dyDescent="0.25">
      <c r="A36" s="18"/>
      <c r="B36" s="18"/>
      <c r="C36" s="18"/>
      <c r="D36" s="7"/>
      <c r="E36" s="2"/>
      <c r="F36" s="253"/>
      <c r="G36" s="250"/>
      <c r="H36" s="250"/>
      <c r="I36" s="250"/>
      <c r="J36" s="250"/>
      <c r="K36" s="250"/>
      <c r="L36" s="250"/>
      <c r="M36" s="254"/>
      <c r="N36" s="1291"/>
      <c r="O36" s="1292"/>
      <c r="P36" s="1292"/>
      <c r="Q36" s="1292"/>
      <c r="R36" s="1292"/>
      <c r="S36" s="1292"/>
      <c r="T36" s="1301"/>
      <c r="U36" s="1301"/>
      <c r="V36" s="1301"/>
      <c r="W36" s="1301"/>
      <c r="X36" s="1301"/>
      <c r="Y36" s="1301"/>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row>
    <row r="37" spans="1:51" ht="20.100000000000001" customHeight="1" x14ac:dyDescent="0.25">
      <c r="A37" s="18"/>
      <c r="B37" s="18"/>
      <c r="C37" s="18"/>
      <c r="D37" s="7"/>
      <c r="E37" s="2"/>
      <c r="F37" s="253"/>
      <c r="G37" s="250"/>
      <c r="H37" s="250"/>
      <c r="I37" s="250"/>
      <c r="J37" s="250"/>
      <c r="K37" s="250"/>
      <c r="L37" s="250"/>
      <c r="M37" s="254"/>
      <c r="N37" s="1291"/>
      <c r="O37" s="1292"/>
      <c r="P37" s="1292"/>
      <c r="Q37" s="1292"/>
      <c r="R37" s="1292"/>
      <c r="S37" s="1292"/>
      <c r="T37" s="1301"/>
      <c r="U37" s="1301"/>
      <c r="V37" s="1301"/>
      <c r="W37" s="1301"/>
      <c r="X37" s="1301"/>
      <c r="Y37" s="1301"/>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row>
    <row r="38" spans="1:51" ht="20.100000000000001" customHeight="1" x14ac:dyDescent="0.25">
      <c r="A38" s="18"/>
      <c r="B38" s="18"/>
      <c r="C38" s="18"/>
      <c r="D38" s="7"/>
      <c r="E38" s="2"/>
      <c r="F38" s="253"/>
      <c r="G38" s="250"/>
      <c r="H38" s="250"/>
      <c r="I38" s="250"/>
      <c r="J38" s="250"/>
      <c r="K38" s="250"/>
      <c r="L38" s="250"/>
      <c r="M38" s="254"/>
      <c r="N38" s="1291"/>
      <c r="O38" s="1292"/>
      <c r="P38" s="1292"/>
      <c r="Q38" s="1292"/>
      <c r="R38" s="1292"/>
      <c r="S38" s="1292"/>
      <c r="T38" s="1301"/>
      <c r="U38" s="1301"/>
      <c r="V38" s="1301"/>
      <c r="W38" s="1301"/>
      <c r="X38" s="1301"/>
      <c r="Y38" s="1301"/>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row>
    <row r="39" spans="1:51" ht="20.100000000000001" customHeight="1" x14ac:dyDescent="0.25">
      <c r="A39" s="18"/>
      <c r="B39" s="18"/>
      <c r="C39" s="18"/>
      <c r="D39" s="7"/>
      <c r="E39" s="2"/>
      <c r="F39" s="255"/>
      <c r="G39" s="256"/>
      <c r="H39" s="256"/>
      <c r="I39" s="256"/>
      <c r="J39" s="256"/>
      <c r="K39" s="256"/>
      <c r="L39" s="256"/>
      <c r="M39" s="202"/>
      <c r="N39" s="1291"/>
      <c r="O39" s="1292"/>
      <c r="P39" s="1292"/>
      <c r="Q39" s="1292"/>
      <c r="R39" s="1292"/>
      <c r="S39" s="1292"/>
      <c r="T39" s="1301"/>
      <c r="U39" s="1301"/>
      <c r="V39" s="1301"/>
      <c r="W39" s="1301"/>
      <c r="X39" s="1301"/>
      <c r="Y39" s="1301"/>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row>
    <row r="40" spans="1:51" ht="20.100000000000001" customHeight="1" x14ac:dyDescent="0.25">
      <c r="A40" s="18"/>
      <c r="B40" s="18"/>
      <c r="C40" s="18"/>
      <c r="D40" s="7"/>
      <c r="E40" s="2"/>
      <c r="F40" s="2"/>
      <c r="G40" s="2"/>
      <c r="H40" s="2"/>
      <c r="I40" s="2"/>
      <c r="J40" s="2"/>
      <c r="K40" s="2"/>
      <c r="L40" s="2"/>
      <c r="M40" s="2"/>
      <c r="N40" s="2"/>
      <c r="O40" s="2"/>
      <c r="P40" s="2"/>
      <c r="Q40" s="2"/>
      <c r="R40" s="2"/>
      <c r="S40" s="2"/>
      <c r="T40" s="2"/>
      <c r="U40" s="2"/>
      <c r="V40" s="2"/>
      <c r="W40" s="257"/>
      <c r="X40" s="257"/>
      <c r="Y40" s="257"/>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1" ht="35.25" customHeight="1" x14ac:dyDescent="0.25">
      <c r="A41" s="18"/>
      <c r="B41" s="18"/>
      <c r="C41" s="18"/>
      <c r="D41" s="7"/>
      <c r="E41" s="2"/>
      <c r="F41" s="1294" t="str">
        <f ca="1">Calculos!$AW$30</f>
        <v>Aguardando preenchimento da unidade de medida na aba Composição</v>
      </c>
      <c r="G41" s="1295"/>
      <c r="H41" s="1295"/>
      <c r="I41" s="1295"/>
      <c r="J41" s="1295"/>
      <c r="K41" s="1295"/>
      <c r="L41" s="1296"/>
      <c r="M41" s="148" t="s">
        <v>186</v>
      </c>
      <c r="N41" s="1290"/>
      <c r="O41" s="1290"/>
      <c r="P41" s="1290"/>
      <c r="Q41" s="1290"/>
      <c r="R41" s="1290"/>
      <c r="S41" s="1290"/>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1" ht="57" customHeight="1" x14ac:dyDescent="0.25">
      <c r="A42" s="18"/>
      <c r="B42" s="18"/>
      <c r="C42" s="18"/>
      <c r="D42" s="7"/>
      <c r="E42" s="2"/>
      <c r="F42" s="1149" t="s">
        <v>75</v>
      </c>
      <c r="G42" s="1094"/>
      <c r="H42" s="1094"/>
      <c r="I42" s="1094"/>
      <c r="J42" s="1094"/>
      <c r="K42" s="1094"/>
      <c r="L42" s="1104"/>
      <c r="M42" s="148" t="s">
        <v>186</v>
      </c>
      <c r="N42" s="1290"/>
      <c r="O42" s="1290"/>
      <c r="P42" s="1290"/>
      <c r="Q42" s="1290"/>
      <c r="R42" s="1290"/>
      <c r="S42" s="1290"/>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row>
    <row r="43" spans="1:51" ht="42.75" customHeight="1" x14ac:dyDescent="0.25">
      <c r="A43" s="18"/>
      <c r="B43" s="18"/>
      <c r="C43" s="18"/>
      <c r="D43" s="7"/>
      <c r="E43" s="2"/>
      <c r="F43" s="1149" t="s">
        <v>76</v>
      </c>
      <c r="G43" s="1094"/>
      <c r="H43" s="1094"/>
      <c r="I43" s="1094"/>
      <c r="J43" s="1094"/>
      <c r="K43" s="1094"/>
      <c r="L43" s="1104"/>
      <c r="M43" s="148" t="s">
        <v>186</v>
      </c>
      <c r="N43" s="1290"/>
      <c r="O43" s="1290"/>
      <c r="P43" s="1290"/>
      <c r="Q43" s="1290"/>
      <c r="R43" s="1290"/>
      <c r="S43" s="1290"/>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row>
    <row r="44" spans="1:51" ht="60" customHeight="1" x14ac:dyDescent="0.25">
      <c r="A44" s="18"/>
      <c r="B44" s="18"/>
      <c r="C44" s="18"/>
      <c r="D44" s="7"/>
      <c r="E44" s="2"/>
      <c r="F44" s="1149" t="s">
        <v>319</v>
      </c>
      <c r="G44" s="1094"/>
      <c r="H44" s="1094"/>
      <c r="I44" s="1094"/>
      <c r="J44" s="1094"/>
      <c r="K44" s="1094"/>
      <c r="L44" s="1104"/>
      <c r="M44" s="148" t="s">
        <v>186</v>
      </c>
      <c r="N44" s="1044"/>
      <c r="O44" s="1044"/>
      <c r="P44" s="1044"/>
      <c r="Q44" s="1044"/>
      <c r="R44" s="1044"/>
      <c r="S44" s="1044"/>
      <c r="T44" s="1044"/>
      <c r="U44" s="1044"/>
      <c r="V44" s="1044"/>
      <c r="W44" s="1044"/>
      <c r="X44" s="1044"/>
      <c r="Y44" s="1044"/>
      <c r="Z44" s="1044"/>
      <c r="AA44" s="1044"/>
      <c r="AB44" s="1044"/>
      <c r="AC44" s="1044"/>
      <c r="AD44" s="1044"/>
      <c r="AE44" s="1044"/>
      <c r="AF44" s="1044"/>
      <c r="AG44" s="1044"/>
      <c r="AH44" s="1044"/>
      <c r="AI44" s="1044"/>
      <c r="AJ44" s="1044"/>
      <c r="AK44" s="1309" t="s">
        <v>271</v>
      </c>
      <c r="AL44" s="1310"/>
      <c r="AM44" s="1310"/>
      <c r="AN44" s="1310"/>
      <c r="AO44" s="125"/>
      <c r="AP44" s="125"/>
      <c r="AQ44" s="125"/>
      <c r="AR44" s="125"/>
      <c r="AS44" s="125"/>
      <c r="AT44" s="125"/>
      <c r="AU44" s="125"/>
      <c r="AV44" s="125"/>
      <c r="AW44" s="125"/>
      <c r="AX44" s="125"/>
      <c r="AY44" s="125"/>
    </row>
    <row r="45" spans="1:51" ht="15" customHeight="1" x14ac:dyDescent="0.25">
      <c r="A45" s="18"/>
      <c r="B45" s="18"/>
      <c r="C45" s="18"/>
      <c r="D45" s="7"/>
      <c r="E45" s="2"/>
      <c r="F45" s="117"/>
      <c r="G45" s="117"/>
      <c r="H45" s="117"/>
      <c r="I45" s="117"/>
      <c r="J45" s="117"/>
      <c r="K45" s="117"/>
      <c r="L45" s="117"/>
      <c r="M45" s="241"/>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25"/>
      <c r="AL45" s="125"/>
      <c r="AM45" s="125"/>
      <c r="AN45" s="125"/>
      <c r="AO45" s="125"/>
      <c r="AP45" s="125"/>
      <c r="AQ45" s="125"/>
      <c r="AR45" s="125"/>
      <c r="AS45" s="125"/>
      <c r="AT45" s="125"/>
      <c r="AU45" s="125"/>
      <c r="AV45" s="125"/>
      <c r="AW45" s="125"/>
      <c r="AX45" s="125"/>
      <c r="AY45" s="125"/>
    </row>
    <row r="46" spans="1:51" ht="20.100000000000001" customHeight="1" x14ac:dyDescent="0.25">
      <c r="A46" s="18"/>
      <c r="B46" s="18"/>
      <c r="C46" s="18"/>
      <c r="D46" s="7"/>
      <c r="E46" s="7"/>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258"/>
      <c r="AR46" s="258"/>
      <c r="AS46" s="258"/>
      <c r="AT46" s="1"/>
      <c r="AU46" s="1"/>
      <c r="AV46" s="1"/>
      <c r="AW46" s="1"/>
      <c r="AX46" s="1"/>
      <c r="AY46" s="1"/>
    </row>
    <row r="47" spans="1:51" ht="15" customHeight="1" x14ac:dyDescent="0.25">
      <c r="A47" s="18"/>
      <c r="B47" s="18"/>
      <c r="C47" s="18"/>
      <c r="D47" s="7"/>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row>
    <row r="48" spans="1:51" ht="20.100000000000001" customHeight="1" x14ac:dyDescent="0.25">
      <c r="A48" s="18"/>
      <c r="B48" s="18"/>
      <c r="C48" s="18"/>
      <c r="D48" s="7"/>
      <c r="E48" s="2"/>
      <c r="F48" s="259"/>
      <c r="G48" s="259"/>
      <c r="H48" s="259"/>
      <c r="I48" s="259"/>
      <c r="J48" s="259"/>
      <c r="K48" s="259"/>
      <c r="L48" s="259"/>
      <c r="M48" s="259"/>
      <c r="N48" s="259"/>
      <c r="O48" s="259"/>
      <c r="P48" s="259"/>
      <c r="Q48" s="259"/>
      <c r="R48" s="259" t="s">
        <v>77</v>
      </c>
      <c r="S48" s="259"/>
      <c r="T48" s="259"/>
      <c r="U48" s="259"/>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row>
    <row r="49" spans="1:51" ht="20.100000000000001" customHeight="1" x14ac:dyDescent="0.25">
      <c r="A49" s="18"/>
      <c r="B49" s="18"/>
      <c r="C49" s="18"/>
      <c r="D49" s="7"/>
      <c r="E49" s="2"/>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row>
    <row r="50" spans="1:51" ht="24.95" customHeight="1" x14ac:dyDescent="0.25">
      <c r="A50" s="18"/>
      <c r="B50" s="18"/>
      <c r="C50" s="18"/>
      <c r="D50" s="7"/>
      <c r="E50" s="2"/>
      <c r="F50" s="1149" t="s">
        <v>35</v>
      </c>
      <c r="G50" s="1094"/>
      <c r="H50" s="1094"/>
      <c r="I50" s="1094"/>
      <c r="J50" s="1094"/>
      <c r="K50" s="1094"/>
      <c r="L50" s="1094"/>
      <c r="M50" s="148" t="s">
        <v>186</v>
      </c>
      <c r="N50" s="973"/>
      <c r="O50" s="974"/>
      <c r="P50" s="974"/>
      <c r="Q50" s="974"/>
      <c r="R50" s="974"/>
      <c r="S50" s="975"/>
      <c r="T50" s="260"/>
      <c r="U50" s="260"/>
      <c r="V50" s="1149" t="s">
        <v>7261</v>
      </c>
      <c r="W50" s="1094"/>
      <c r="X50" s="1094"/>
      <c r="Y50" s="1094"/>
      <c r="Z50" s="1094"/>
      <c r="AA50" s="1094"/>
      <c r="AB50" s="1104"/>
      <c r="AC50" s="148" t="s">
        <v>186</v>
      </c>
      <c r="AD50" s="1302"/>
      <c r="AE50" s="1302"/>
      <c r="AF50" s="1302"/>
      <c r="AG50" s="1302"/>
      <c r="AH50" s="1302"/>
      <c r="AI50" s="1302"/>
      <c r="AJ50" s="2"/>
      <c r="AK50" s="2"/>
      <c r="AL50" s="2"/>
      <c r="AM50" s="2"/>
      <c r="AN50" s="2"/>
      <c r="AO50" s="2"/>
      <c r="AP50" s="2"/>
      <c r="AQ50" s="2"/>
      <c r="AR50" s="2"/>
      <c r="AS50" s="2"/>
      <c r="AT50" s="2"/>
      <c r="AU50" s="2"/>
      <c r="AV50" s="2"/>
      <c r="AW50" s="260"/>
      <c r="AX50" s="260"/>
      <c r="AY50" s="260"/>
    </row>
    <row r="51" spans="1:51" ht="24.95" customHeight="1" x14ac:dyDescent="0.25">
      <c r="A51" s="18"/>
      <c r="B51" s="18"/>
      <c r="C51" s="18"/>
      <c r="D51" s="7"/>
      <c r="E51" s="2"/>
      <c r="F51" s="1149" t="s">
        <v>320</v>
      </c>
      <c r="G51" s="1094"/>
      <c r="H51" s="1094"/>
      <c r="I51" s="1094"/>
      <c r="J51" s="1094"/>
      <c r="K51" s="1094"/>
      <c r="L51" s="1104"/>
      <c r="M51" s="148" t="s">
        <v>186</v>
      </c>
      <c r="N51" s="1134"/>
      <c r="O51" s="1156"/>
      <c r="P51" s="1156"/>
      <c r="Q51" s="1156"/>
      <c r="R51" s="1156"/>
      <c r="S51" s="1135"/>
      <c r="T51" s="2"/>
      <c r="U51" s="2"/>
      <c r="V51" s="1149" t="s">
        <v>7262</v>
      </c>
      <c r="W51" s="1094"/>
      <c r="X51" s="1094"/>
      <c r="Y51" s="1094"/>
      <c r="Z51" s="1094"/>
      <c r="AA51" s="1094"/>
      <c r="AB51" s="1104"/>
      <c r="AC51" s="148" t="s">
        <v>186</v>
      </c>
      <c r="AD51" s="1302"/>
      <c r="AE51" s="1302"/>
      <c r="AF51" s="1302"/>
      <c r="AG51" s="1302"/>
      <c r="AH51" s="1302"/>
      <c r="AI51" s="1302"/>
      <c r="AJ51" s="2"/>
      <c r="AK51" s="2"/>
      <c r="AL51" s="2"/>
      <c r="AM51" s="2"/>
      <c r="AN51" s="2"/>
      <c r="AO51" s="2"/>
      <c r="AP51" s="2"/>
      <c r="AQ51" s="2"/>
      <c r="AR51" s="2"/>
      <c r="AS51" s="2"/>
      <c r="AT51" s="2"/>
      <c r="AU51" s="2"/>
      <c r="AV51" s="2"/>
      <c r="AW51" s="2"/>
      <c r="AX51" s="2"/>
      <c r="AY51" s="2"/>
    </row>
    <row r="52" spans="1:51" ht="24.95" customHeight="1" x14ac:dyDescent="0.25">
      <c r="A52" s="18"/>
      <c r="B52" s="18"/>
      <c r="C52" s="18"/>
      <c r="D52" s="7"/>
      <c r="E52" s="2"/>
      <c r="T52" s="2"/>
      <c r="U52" s="2"/>
      <c r="V52" s="1149" t="s">
        <v>7951</v>
      </c>
      <c r="W52" s="1094"/>
      <c r="X52" s="1094"/>
      <c r="Y52" s="1094"/>
      <c r="Z52" s="1094"/>
      <c r="AA52" s="1094"/>
      <c r="AB52" s="1104"/>
      <c r="AC52" s="148"/>
      <c r="AD52" s="1004" t="str">
        <f ca="1">Calculos!AY30</f>
        <v>Desintegrações por minuto (DPM)</v>
      </c>
      <c r="AE52" s="1314"/>
      <c r="AF52" s="1314"/>
      <c r="AG52" s="1315"/>
      <c r="AH52" s="1316"/>
      <c r="AI52" s="1317"/>
      <c r="AJ52" s="1004" t="s">
        <v>81</v>
      </c>
      <c r="AK52" s="1314"/>
      <c r="AL52" s="1314"/>
      <c r="AM52" s="1315"/>
      <c r="AN52" s="1316"/>
      <c r="AO52" s="1317"/>
      <c r="AP52" s="2"/>
      <c r="AQ52" s="2"/>
      <c r="AR52" s="2"/>
      <c r="AS52" s="2"/>
      <c r="AT52" s="2"/>
      <c r="AU52" s="2"/>
      <c r="AV52" s="2"/>
      <c r="AW52" s="2"/>
      <c r="AX52" s="2"/>
      <c r="AY52" s="2"/>
    </row>
    <row r="53" spans="1:51" ht="20.100000000000001" customHeight="1" x14ac:dyDescent="0.25">
      <c r="A53" s="18"/>
      <c r="B53" s="18"/>
      <c r="C53" s="18"/>
      <c r="D53" s="7"/>
      <c r="E53" s="2"/>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2"/>
      <c r="AJ53" s="2"/>
      <c r="AK53" s="2"/>
      <c r="AL53" s="2"/>
      <c r="AM53" s="2"/>
      <c r="AN53" s="2"/>
      <c r="AO53" s="2"/>
      <c r="AP53" s="2"/>
      <c r="AQ53" s="2"/>
      <c r="AR53" s="2"/>
      <c r="AS53" s="2"/>
      <c r="AT53" s="2"/>
      <c r="AU53" s="2"/>
      <c r="AV53" s="2"/>
      <c r="AW53" s="2"/>
      <c r="AX53" s="2"/>
      <c r="AY53" s="2"/>
    </row>
    <row r="54" spans="1:51" ht="20.100000000000001" hidden="1" customHeight="1" x14ac:dyDescent="0.25">
      <c r="A54" s="18"/>
      <c r="B54" s="18"/>
      <c r="C54" s="18"/>
      <c r="D54" s="7"/>
      <c r="E54" s="2"/>
      <c r="AY54" s="2"/>
    </row>
    <row r="55" spans="1:51" ht="24.95" hidden="1" customHeight="1" x14ac:dyDescent="0.25">
      <c r="A55" s="18"/>
      <c r="B55" s="18"/>
      <c r="C55" s="18"/>
      <c r="D55" s="7"/>
      <c r="E55" s="2"/>
      <c r="AY55" s="2"/>
    </row>
    <row r="56" spans="1:51" ht="30" hidden="1" customHeight="1" x14ac:dyDescent="0.25">
      <c r="A56" s="18"/>
      <c r="B56" s="18"/>
      <c r="C56" s="18"/>
      <c r="D56" s="7"/>
      <c r="E56" s="2"/>
      <c r="AY56" s="2"/>
    </row>
    <row r="57" spans="1:51" ht="20.100000000000001" hidden="1" customHeight="1" x14ac:dyDescent="0.25">
      <c r="A57" s="18"/>
      <c r="B57" s="18"/>
      <c r="C57" s="18"/>
      <c r="D57" s="7"/>
      <c r="E57" s="2"/>
      <c r="AY57" s="2"/>
    </row>
    <row r="58" spans="1:51" ht="30" hidden="1" customHeight="1" x14ac:dyDescent="0.25">
      <c r="A58" s="18"/>
      <c r="B58" s="18"/>
      <c r="C58" s="18"/>
      <c r="D58" s="7"/>
      <c r="E58" s="2"/>
      <c r="AY58" s="2"/>
    </row>
    <row r="59" spans="1:51" ht="30" hidden="1" customHeight="1" x14ac:dyDescent="0.25">
      <c r="A59" s="18"/>
      <c r="B59" s="18"/>
      <c r="C59" s="18"/>
      <c r="D59" s="7"/>
      <c r="E59" s="2"/>
      <c r="AY59" s="2"/>
    </row>
    <row r="60" spans="1:51" ht="30" hidden="1" customHeight="1" x14ac:dyDescent="0.25">
      <c r="A60" s="18"/>
      <c r="B60" s="18"/>
      <c r="C60" s="18"/>
      <c r="D60" s="7"/>
      <c r="E60" s="2"/>
      <c r="AY60" s="2"/>
    </row>
    <row r="61" spans="1:51" ht="30" hidden="1" customHeight="1" x14ac:dyDescent="0.25">
      <c r="A61" s="18"/>
      <c r="B61" s="18"/>
      <c r="C61" s="18"/>
      <c r="D61" s="7"/>
      <c r="E61" s="2"/>
      <c r="AY61" s="2"/>
    </row>
    <row r="62" spans="1:51" ht="30" customHeight="1" x14ac:dyDescent="0.25">
      <c r="A62" s="18"/>
      <c r="B62" s="18"/>
      <c r="C62" s="18"/>
      <c r="D62" s="7"/>
      <c r="E62" s="2"/>
      <c r="F62" s="1286" t="s">
        <v>8024</v>
      </c>
      <c r="G62" s="1286"/>
      <c r="H62" s="1286"/>
      <c r="I62" s="1286"/>
      <c r="J62" s="1318" t="s">
        <v>140</v>
      </c>
      <c r="K62" s="1318"/>
      <c r="L62" s="1318"/>
      <c r="M62" s="1318"/>
      <c r="N62" s="1319"/>
      <c r="O62" s="1229" t="s">
        <v>133</v>
      </c>
      <c r="P62" s="1230"/>
      <c r="Q62" s="1230"/>
      <c r="R62" s="1231"/>
      <c r="S62" s="1238" t="s">
        <v>134</v>
      </c>
      <c r="T62" s="1238"/>
      <c r="U62" s="1238" t="s">
        <v>136</v>
      </c>
      <c r="V62" s="1238"/>
      <c r="W62" s="1238" t="s">
        <v>137</v>
      </c>
      <c r="X62" s="1238"/>
      <c r="Y62" s="1238" t="s">
        <v>138</v>
      </c>
      <c r="Z62" s="1238"/>
      <c r="AA62" s="1238" t="s">
        <v>135</v>
      </c>
      <c r="AB62" s="1238"/>
      <c r="AC62" s="1238"/>
      <c r="AD62" s="1238"/>
      <c r="AS62" s="2"/>
      <c r="AT62" s="2"/>
      <c r="AU62" s="2"/>
      <c r="AV62" s="2"/>
      <c r="AW62" s="2"/>
      <c r="AX62" s="2"/>
      <c r="AY62" s="2"/>
    </row>
    <row r="63" spans="1:51" ht="30" customHeight="1" x14ac:dyDescent="0.25">
      <c r="A63" s="18"/>
      <c r="B63" s="18"/>
      <c r="C63" s="18"/>
      <c r="D63" s="7"/>
      <c r="E63" s="2"/>
      <c r="F63" s="1286"/>
      <c r="G63" s="1286"/>
      <c r="H63" s="1286"/>
      <c r="I63" s="1286"/>
      <c r="J63" s="1318" t="s">
        <v>146</v>
      </c>
      <c r="K63" s="1318"/>
      <c r="L63" s="1318"/>
      <c r="M63" s="1318"/>
      <c r="N63" s="1319"/>
      <c r="O63" s="1321"/>
      <c r="P63" s="1321"/>
      <c r="Q63" s="1321"/>
      <c r="R63" s="1321"/>
      <c r="S63" s="1321"/>
      <c r="T63" s="1321"/>
      <c r="U63" s="1321"/>
      <c r="V63" s="1321"/>
      <c r="W63" s="1321"/>
      <c r="X63" s="1321"/>
      <c r="Y63" s="1321"/>
      <c r="Z63" s="1321"/>
      <c r="AA63" s="1321"/>
      <c r="AB63" s="1321"/>
      <c r="AC63" s="1321"/>
      <c r="AD63" s="1321"/>
      <c r="AS63" s="2"/>
      <c r="AT63" s="2"/>
      <c r="AU63" s="2"/>
      <c r="AV63" s="2"/>
      <c r="AW63" s="2"/>
      <c r="AX63" s="2"/>
      <c r="AY63" s="2"/>
    </row>
    <row r="64" spans="1:51" ht="30" customHeight="1" x14ac:dyDescent="0.25">
      <c r="A64" s="18"/>
      <c r="B64" s="18"/>
      <c r="C64" s="18"/>
      <c r="D64" s="7"/>
      <c r="E64" s="2"/>
      <c r="F64" s="1286"/>
      <c r="G64" s="1286"/>
      <c r="H64" s="1286"/>
      <c r="I64" s="1286"/>
      <c r="J64" s="1318" t="str">
        <f ca="1">Calculos!AY30</f>
        <v>Desintegrações por minuto (DPM)</v>
      </c>
      <c r="K64" s="1318"/>
      <c r="L64" s="1318"/>
      <c r="M64" s="1318"/>
      <c r="N64" s="1319"/>
      <c r="O64" s="1133"/>
      <c r="P64" s="1133"/>
      <c r="Q64" s="1133"/>
      <c r="R64" s="1133"/>
      <c r="S64" s="1133"/>
      <c r="T64" s="1133"/>
      <c r="U64" s="1133"/>
      <c r="V64" s="1133"/>
      <c r="W64" s="1133"/>
      <c r="X64" s="1133"/>
      <c r="Y64" s="1133"/>
      <c r="Z64" s="1133"/>
      <c r="AA64" s="1133"/>
      <c r="AB64" s="1133"/>
      <c r="AC64" s="1133"/>
      <c r="AD64" s="1133"/>
      <c r="AS64" s="2"/>
      <c r="AT64" s="2"/>
      <c r="AU64" s="2"/>
      <c r="AV64" s="2"/>
      <c r="AW64" s="2"/>
      <c r="AX64" s="2"/>
      <c r="AY64" s="2"/>
    </row>
    <row r="65" spans="1:51" ht="30" customHeight="1" x14ac:dyDescent="0.25">
      <c r="A65" s="18"/>
      <c r="B65" s="18"/>
      <c r="C65" s="18"/>
      <c r="D65" s="7"/>
      <c r="E65" s="2"/>
      <c r="F65" s="1286"/>
      <c r="G65" s="1286"/>
      <c r="H65" s="1286"/>
      <c r="I65" s="1286"/>
      <c r="J65" s="1318" t="s">
        <v>6032</v>
      </c>
      <c r="K65" s="1318"/>
      <c r="L65" s="1318"/>
      <c r="M65" s="1318"/>
      <c r="N65" s="1319"/>
      <c r="O65" s="1133"/>
      <c r="P65" s="1133"/>
      <c r="Q65" s="1133"/>
      <c r="R65" s="1133"/>
      <c r="S65" s="1133"/>
      <c r="T65" s="1133"/>
      <c r="U65" s="1133"/>
      <c r="V65" s="1133"/>
      <c r="W65" s="1133"/>
      <c r="X65" s="1133"/>
      <c r="Y65" s="1133"/>
      <c r="Z65" s="1133"/>
      <c r="AA65" s="1133"/>
      <c r="AB65" s="1133"/>
      <c r="AC65" s="1133"/>
      <c r="AD65" s="1133"/>
      <c r="AS65" s="2"/>
      <c r="AT65" s="2"/>
      <c r="AU65" s="2"/>
      <c r="AV65" s="2"/>
      <c r="AW65" s="2"/>
      <c r="AX65" s="2"/>
      <c r="AY65" s="2"/>
    </row>
    <row r="66" spans="1:51" ht="20.100000000000001" customHeight="1" x14ac:dyDescent="0.25">
      <c r="A66" s="18"/>
      <c r="B66" s="18"/>
      <c r="C66" s="18"/>
      <c r="D66" s="7"/>
      <c r="E66" s="2"/>
      <c r="F66" s="1286"/>
      <c r="G66" s="1286"/>
      <c r="H66" s="1286"/>
      <c r="I66" s="1286"/>
      <c r="J66" s="1318" t="s">
        <v>82</v>
      </c>
      <c r="K66" s="1318"/>
      <c r="L66" s="1318"/>
      <c r="M66" s="1318"/>
      <c r="N66" s="1319"/>
      <c r="O66" s="1322" t="str">
        <f ca="1">Calculos!K53</f>
        <v>-</v>
      </c>
      <c r="P66" s="1322"/>
      <c r="Q66" s="1322"/>
      <c r="R66" s="1322"/>
      <c r="S66" s="1322" t="str">
        <f ca="1">Calculos!K54</f>
        <v>-</v>
      </c>
      <c r="T66" s="1322"/>
      <c r="U66" s="1322" t="str">
        <f ca="1">Calculos!K55</f>
        <v>-</v>
      </c>
      <c r="V66" s="1322"/>
      <c r="W66" s="1322" t="str">
        <f ca="1">Calculos!K56</f>
        <v>-</v>
      </c>
      <c r="X66" s="1322"/>
      <c r="Y66" s="1322" t="str">
        <f ca="1">Calculos!K57</f>
        <v>-</v>
      </c>
      <c r="Z66" s="1322"/>
      <c r="AA66" s="1322" t="str">
        <f ca="1">Calculos!K58</f>
        <v>-</v>
      </c>
      <c r="AB66" s="1322"/>
      <c r="AC66" s="1322"/>
      <c r="AD66" s="1322"/>
      <c r="AS66" s="2"/>
      <c r="AT66" s="2"/>
      <c r="AU66" s="2"/>
      <c r="AV66" s="2"/>
      <c r="AW66" s="2"/>
      <c r="AX66" s="2"/>
      <c r="AY66" s="2"/>
    </row>
    <row r="67" spans="1:51" ht="20.100000000000001" customHeight="1" x14ac:dyDescent="0.25">
      <c r="A67" s="18"/>
      <c r="B67" s="18"/>
      <c r="C67" s="18"/>
      <c r="D67" s="7"/>
      <c r="E67" s="2"/>
      <c r="F67" s="1286"/>
      <c r="G67" s="1286"/>
      <c r="H67" s="1286"/>
      <c r="I67" s="1286"/>
      <c r="J67" s="1318" t="s">
        <v>81</v>
      </c>
      <c r="K67" s="1318"/>
      <c r="L67" s="1318"/>
      <c r="M67" s="1318"/>
      <c r="N67" s="1319"/>
      <c r="O67" s="1320" t="str">
        <f ca="1">Calculos!M53</f>
        <v>-</v>
      </c>
      <c r="P67" s="1320"/>
      <c r="Q67" s="1320"/>
      <c r="R67" s="1320"/>
      <c r="S67" s="1320" t="str">
        <f ca="1">Calculos!M54</f>
        <v>-</v>
      </c>
      <c r="T67" s="1320"/>
      <c r="U67" s="1320" t="str">
        <f ca="1">Calculos!M55</f>
        <v>-</v>
      </c>
      <c r="V67" s="1320"/>
      <c r="W67" s="1320" t="str">
        <f ca="1">Calculos!M56</f>
        <v>-</v>
      </c>
      <c r="X67" s="1320"/>
      <c r="Y67" s="1320" t="str">
        <f ca="1">Calculos!M57</f>
        <v>-</v>
      </c>
      <c r="Z67" s="1320"/>
      <c r="AA67" s="1320" t="str">
        <f ca="1">Calculos!M58</f>
        <v>-</v>
      </c>
      <c r="AB67" s="1320"/>
      <c r="AC67" s="1320"/>
      <c r="AD67" s="1320"/>
      <c r="AS67" s="2"/>
      <c r="AT67" s="2"/>
      <c r="AU67" s="2"/>
      <c r="AV67" s="2"/>
      <c r="AW67" s="2"/>
      <c r="AX67" s="2"/>
      <c r="AY67" s="2"/>
    </row>
    <row r="68" spans="1:51" ht="15" customHeight="1" x14ac:dyDescent="0.25">
      <c r="A68" s="18"/>
      <c r="B68" s="18"/>
      <c r="C68" s="18"/>
      <c r="D68" s="7"/>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row>
    <row r="69" spans="1:51" ht="99.95" customHeight="1" x14ac:dyDescent="0.25">
      <c r="A69" s="18"/>
      <c r="B69" s="18"/>
      <c r="C69" s="18"/>
      <c r="D69" s="7"/>
      <c r="E69" s="2"/>
      <c r="F69" s="1149" t="s">
        <v>328</v>
      </c>
      <c r="G69" s="1094"/>
      <c r="H69" s="1094"/>
      <c r="I69" s="1094"/>
      <c r="J69" s="1094"/>
      <c r="K69" s="1094"/>
      <c r="L69" s="1104"/>
      <c r="M69" s="148" t="s">
        <v>186</v>
      </c>
      <c r="N69" s="1034"/>
      <c r="O69" s="1044"/>
      <c r="P69" s="1044"/>
      <c r="Q69" s="1044"/>
      <c r="R69" s="1044"/>
      <c r="S69" s="1044"/>
      <c r="T69" s="1044"/>
      <c r="U69" s="1044"/>
      <c r="V69" s="1044"/>
      <c r="W69" s="1044"/>
      <c r="X69" s="1044"/>
      <c r="Y69" s="1044"/>
      <c r="Z69" s="1044"/>
      <c r="AA69" s="1044"/>
      <c r="AB69" s="1044"/>
      <c r="AC69" s="1044"/>
      <c r="AD69" s="1044"/>
      <c r="AE69" s="1044"/>
      <c r="AF69" s="1044"/>
      <c r="AG69" s="1044"/>
      <c r="AH69" s="1044"/>
      <c r="AI69" s="1044"/>
      <c r="AJ69" s="1044"/>
      <c r="AK69" s="1044"/>
      <c r="AL69" s="1044"/>
      <c r="AM69" s="1044"/>
      <c r="AN69" s="1251" t="s">
        <v>271</v>
      </c>
      <c r="AO69" s="1252"/>
      <c r="AP69" s="1252"/>
      <c r="AQ69" s="1252"/>
      <c r="AR69" s="2"/>
      <c r="AS69" s="2"/>
      <c r="AT69" s="2"/>
      <c r="AU69" s="2"/>
      <c r="AV69" s="2"/>
      <c r="AW69" s="2"/>
      <c r="AX69" s="2"/>
      <c r="AY69" s="2"/>
    </row>
    <row r="70" spans="1:51" ht="15" customHeight="1" x14ac:dyDescent="0.25">
      <c r="A70" s="18"/>
      <c r="B70" s="18"/>
      <c r="C70" s="18"/>
      <c r="D70" s="7"/>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row>
    <row r="71" spans="1:51" ht="20.100000000000001" customHeight="1" x14ac:dyDescent="0.25">
      <c r="A71" s="18"/>
      <c r="B71" s="18"/>
      <c r="C71" s="18"/>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15" customHeight="1" x14ac:dyDescent="0.25">
      <c r="A72" s="18"/>
      <c r="B72" s="18"/>
      <c r="C72" s="18"/>
      <c r="D72" s="7"/>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row>
    <row r="73" spans="1:51" ht="20.100000000000001" customHeight="1" x14ac:dyDescent="0.25">
      <c r="A73" s="18"/>
      <c r="B73" s="18"/>
      <c r="C73" s="18"/>
      <c r="D73" s="7"/>
      <c r="E73" s="2"/>
      <c r="F73" s="1067" t="s">
        <v>296</v>
      </c>
      <c r="G73" s="1068"/>
      <c r="H73" s="1068"/>
      <c r="I73" s="1068"/>
      <c r="J73" s="1068"/>
      <c r="K73" s="1068"/>
      <c r="L73" s="1069"/>
      <c r="M73" s="1076" t="s">
        <v>186</v>
      </c>
      <c r="N73" s="135"/>
      <c r="O73" s="136"/>
      <c r="P73" s="136"/>
      <c r="Q73" s="136"/>
      <c r="R73" s="137"/>
      <c r="S73" s="1079" t="s">
        <v>293</v>
      </c>
      <c r="T73" s="1064"/>
      <c r="U73" s="1064"/>
      <c r="V73" s="1064"/>
      <c r="W73" s="1064"/>
      <c r="X73" s="1064"/>
      <c r="Y73" s="1064"/>
      <c r="Z73" s="1064" t="s">
        <v>301</v>
      </c>
      <c r="AA73" s="1064"/>
      <c r="AB73" s="1064"/>
      <c r="AC73" s="1064"/>
      <c r="AD73" s="1064"/>
      <c r="AE73" s="1064"/>
      <c r="AF73" s="1064"/>
      <c r="AG73" s="1064"/>
      <c r="AH73" s="1064"/>
      <c r="AI73" s="1064" t="s">
        <v>302</v>
      </c>
      <c r="AJ73" s="1064"/>
      <c r="AK73" s="1064"/>
      <c r="AL73" s="1064"/>
      <c r="AM73" s="1065"/>
      <c r="AN73" s="2"/>
      <c r="AO73" s="2"/>
      <c r="AP73" s="2"/>
      <c r="AQ73" s="2"/>
      <c r="AR73" s="2"/>
      <c r="AS73" s="2"/>
      <c r="AT73" s="2"/>
      <c r="AU73" s="2"/>
      <c r="AV73" s="2"/>
      <c r="AW73" s="2"/>
      <c r="AX73" s="2"/>
      <c r="AY73" s="2"/>
    </row>
    <row r="74" spans="1:51" ht="27" customHeight="1" x14ac:dyDescent="0.25">
      <c r="A74" s="18"/>
      <c r="B74" s="18"/>
      <c r="C74" s="18"/>
      <c r="D74" s="7"/>
      <c r="E74" s="2"/>
      <c r="F74" s="1070"/>
      <c r="G74" s="1071"/>
      <c r="H74" s="1071"/>
      <c r="I74" s="1071"/>
      <c r="J74" s="1071"/>
      <c r="K74" s="1071"/>
      <c r="L74" s="1072"/>
      <c r="M74" s="1077"/>
      <c r="N74" s="138"/>
      <c r="O74" s="1045" t="s">
        <v>219</v>
      </c>
      <c r="P74" s="1045"/>
      <c r="Q74" s="1045"/>
      <c r="R74" s="1046"/>
      <c r="S74" s="1042"/>
      <c r="T74" s="1043"/>
      <c r="U74" s="1043"/>
      <c r="V74" s="1043"/>
      <c r="W74" s="1043"/>
      <c r="X74" s="1043"/>
      <c r="Y74" s="1043"/>
      <c r="Z74" s="1044"/>
      <c r="AA74" s="1044"/>
      <c r="AB74" s="1044"/>
      <c r="AC74" s="1044"/>
      <c r="AD74" s="1044"/>
      <c r="AE74" s="1044"/>
      <c r="AF74" s="1044"/>
      <c r="AG74" s="1044"/>
      <c r="AH74" s="1044"/>
      <c r="AI74" s="1066" t="s">
        <v>2044</v>
      </c>
      <c r="AJ74" s="1066"/>
      <c r="AK74" s="1066"/>
      <c r="AL74" s="1066"/>
      <c r="AM74" s="1066"/>
      <c r="AN74" s="2"/>
      <c r="AO74" s="2"/>
      <c r="AP74" s="2"/>
      <c r="AQ74" s="2"/>
      <c r="AR74" s="2"/>
      <c r="AS74" s="2"/>
      <c r="AT74" s="2"/>
      <c r="AU74" s="2"/>
      <c r="AV74" s="2"/>
      <c r="AW74" s="2"/>
      <c r="AX74" s="2"/>
      <c r="AY74" s="2"/>
    </row>
    <row r="75" spans="1:51" ht="27" customHeight="1" x14ac:dyDescent="0.25">
      <c r="A75" s="18"/>
      <c r="B75" s="18"/>
      <c r="C75" s="18"/>
      <c r="D75" s="7"/>
      <c r="E75" s="2"/>
      <c r="F75" s="1070"/>
      <c r="G75" s="1071"/>
      <c r="H75" s="1071"/>
      <c r="I75" s="1071"/>
      <c r="J75" s="1071"/>
      <c r="K75" s="1071"/>
      <c r="L75" s="1072"/>
      <c r="M75" s="1077"/>
      <c r="N75" s="1"/>
      <c r="O75" s="138"/>
      <c r="P75" s="138"/>
      <c r="Q75" s="138"/>
      <c r="R75" s="139"/>
      <c r="S75" s="1042"/>
      <c r="T75" s="1043"/>
      <c r="U75" s="1043"/>
      <c r="V75" s="1043"/>
      <c r="W75" s="1043"/>
      <c r="X75" s="1043"/>
      <c r="Y75" s="1043"/>
      <c r="Z75" s="1044"/>
      <c r="AA75" s="1044"/>
      <c r="AB75" s="1044"/>
      <c r="AC75" s="1044"/>
      <c r="AD75" s="1044"/>
      <c r="AE75" s="1044"/>
      <c r="AF75" s="1044"/>
      <c r="AG75" s="1044"/>
      <c r="AH75" s="1044"/>
      <c r="AI75" s="1066" t="s">
        <v>2044</v>
      </c>
      <c r="AJ75" s="1066"/>
      <c r="AK75" s="1066"/>
      <c r="AL75" s="1066"/>
      <c r="AM75" s="1066"/>
      <c r="AN75" s="2"/>
      <c r="AO75" s="2"/>
      <c r="AP75" s="2"/>
      <c r="AQ75" s="2"/>
      <c r="AR75" s="2"/>
      <c r="AS75" s="2"/>
      <c r="AT75" s="2"/>
      <c r="AU75" s="2"/>
      <c r="AV75" s="2"/>
      <c r="AW75" s="2"/>
      <c r="AX75" s="2"/>
      <c r="AY75" s="2"/>
    </row>
    <row r="76" spans="1:51" ht="27" customHeight="1" x14ac:dyDescent="0.25">
      <c r="A76" s="18"/>
      <c r="B76" s="18"/>
      <c r="C76" s="18"/>
      <c r="D76" s="7"/>
      <c r="E76" s="2"/>
      <c r="F76" s="1070"/>
      <c r="G76" s="1071"/>
      <c r="H76" s="1071"/>
      <c r="I76" s="1071"/>
      <c r="J76" s="1071"/>
      <c r="K76" s="1071"/>
      <c r="L76" s="1072"/>
      <c r="M76" s="1077"/>
      <c r="N76" s="138"/>
      <c r="O76" s="1047" t="s">
        <v>280</v>
      </c>
      <c r="P76" s="1047"/>
      <c r="Q76" s="1047"/>
      <c r="R76" s="1048"/>
      <c r="S76" s="1042"/>
      <c r="T76" s="1043"/>
      <c r="U76" s="1043"/>
      <c r="V76" s="1043"/>
      <c r="W76" s="1043"/>
      <c r="X76" s="1043"/>
      <c r="Y76" s="1043"/>
      <c r="Z76" s="1044"/>
      <c r="AA76" s="1044"/>
      <c r="AB76" s="1044"/>
      <c r="AC76" s="1044"/>
      <c r="AD76" s="1044"/>
      <c r="AE76" s="1044"/>
      <c r="AF76" s="1044"/>
      <c r="AG76" s="1044"/>
      <c r="AH76" s="1044"/>
      <c r="AI76" s="1066" t="s">
        <v>2043</v>
      </c>
      <c r="AJ76" s="1066"/>
      <c r="AK76" s="1066"/>
      <c r="AL76" s="1066"/>
      <c r="AM76" s="1066"/>
      <c r="AN76" s="2"/>
      <c r="AO76" s="2"/>
      <c r="AP76" s="2"/>
      <c r="AQ76" s="2"/>
      <c r="AR76" s="2"/>
      <c r="AS76" s="2"/>
      <c r="AT76" s="2"/>
      <c r="AU76" s="2"/>
      <c r="AV76" s="2"/>
      <c r="AW76" s="2"/>
      <c r="AX76" s="2"/>
      <c r="AY76" s="2"/>
    </row>
    <row r="77" spans="1:51" ht="27" customHeight="1" x14ac:dyDescent="0.25">
      <c r="A77" s="18"/>
      <c r="B77" s="18"/>
      <c r="C77" s="18"/>
      <c r="D77" s="7"/>
      <c r="E77" s="2"/>
      <c r="F77" s="1073"/>
      <c r="G77" s="1074"/>
      <c r="H77" s="1074"/>
      <c r="I77" s="1074"/>
      <c r="J77" s="1074"/>
      <c r="K77" s="1074"/>
      <c r="L77" s="1075"/>
      <c r="M77" s="1078"/>
      <c r="N77" s="140"/>
      <c r="O77" s="140"/>
      <c r="P77" s="140"/>
      <c r="Q77" s="140"/>
      <c r="R77" s="141"/>
      <c r="S77" s="1042"/>
      <c r="T77" s="1043"/>
      <c r="U77" s="1043"/>
      <c r="V77" s="1043"/>
      <c r="W77" s="1043"/>
      <c r="X77" s="1043"/>
      <c r="Y77" s="1043"/>
      <c r="Z77" s="1044"/>
      <c r="AA77" s="1044"/>
      <c r="AB77" s="1044"/>
      <c r="AC77" s="1044"/>
      <c r="AD77" s="1044"/>
      <c r="AE77" s="1044"/>
      <c r="AF77" s="1044"/>
      <c r="AG77" s="1044"/>
      <c r="AH77" s="1044"/>
      <c r="AI77" s="1066"/>
      <c r="AJ77" s="1066"/>
      <c r="AK77" s="1066"/>
      <c r="AL77" s="1066"/>
      <c r="AM77" s="1066"/>
      <c r="AN77" s="2"/>
      <c r="AO77" s="2"/>
      <c r="AP77" s="2"/>
      <c r="AQ77" s="2"/>
      <c r="AR77" s="2"/>
      <c r="AS77" s="2"/>
      <c r="AT77" s="2"/>
      <c r="AU77" s="2"/>
      <c r="AV77" s="2"/>
      <c r="AW77" s="2"/>
      <c r="AX77" s="2"/>
      <c r="AY77" s="2"/>
    </row>
    <row r="78" spans="1:51" ht="15" customHeight="1" x14ac:dyDescent="0.25">
      <c r="A78" s="18"/>
      <c r="B78" s="18"/>
      <c r="C78" s="18"/>
      <c r="D78" s="7"/>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row>
    <row r="79" spans="1:51" ht="20.100000000000001" customHeight="1" x14ac:dyDescent="0.25">
      <c r="A79" s="18"/>
      <c r="B79" s="18"/>
      <c r="C79" s="18"/>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ht="15" customHeight="1" x14ac:dyDescent="0.25">
      <c r="A80" s="18"/>
      <c r="B80" s="18"/>
      <c r="C80" s="18"/>
      <c r="D80" s="7"/>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O80" s="2"/>
      <c r="AP80" s="2"/>
      <c r="AQ80" s="2"/>
      <c r="AR80" s="2"/>
      <c r="AS80" s="2"/>
      <c r="AT80" s="2"/>
      <c r="AU80" s="2"/>
      <c r="AV80" s="2"/>
      <c r="AW80" s="2"/>
      <c r="AX80" s="2"/>
      <c r="AY80" s="2"/>
    </row>
    <row r="81" spans="1:51" ht="50.1" hidden="1" customHeight="1" x14ac:dyDescent="0.25">
      <c r="A81" s="18"/>
      <c r="B81" s="18"/>
      <c r="C81" s="18"/>
      <c r="D81" s="7"/>
      <c r="E81" s="2"/>
      <c r="AN81" s="2"/>
      <c r="AO81" s="2"/>
      <c r="AP81" s="2"/>
      <c r="AQ81" s="2"/>
      <c r="AR81" s="2"/>
      <c r="AS81" s="2"/>
      <c r="AT81" s="2"/>
      <c r="AU81" s="2"/>
      <c r="AV81" s="2"/>
      <c r="AW81" s="2"/>
      <c r="AX81" s="2"/>
      <c r="AY81" s="2"/>
    </row>
    <row r="82" spans="1:51" ht="60" customHeight="1" x14ac:dyDescent="0.25">
      <c r="A82" s="18"/>
      <c r="B82" s="18"/>
      <c r="C82" s="18"/>
      <c r="D82" s="7"/>
      <c r="E82" s="2"/>
      <c r="F82" s="1008" t="s">
        <v>143</v>
      </c>
      <c r="G82" s="1009"/>
      <c r="H82" s="1009"/>
      <c r="I82" s="1009"/>
      <c r="J82" s="1009"/>
      <c r="K82" s="1009"/>
      <c r="L82" s="1009"/>
      <c r="M82" s="1010"/>
      <c r="N82" s="1044"/>
      <c r="O82" s="1044"/>
      <c r="P82" s="1044"/>
      <c r="Q82" s="1044"/>
      <c r="R82" s="1044"/>
      <c r="S82" s="1044"/>
      <c r="T82" s="1044"/>
      <c r="U82" s="1044"/>
      <c r="V82" s="1044"/>
      <c r="W82" s="1044"/>
      <c r="X82" s="1044"/>
      <c r="Y82" s="1044"/>
      <c r="Z82" s="1044"/>
      <c r="AA82" s="1044"/>
      <c r="AB82" s="1044"/>
      <c r="AC82" s="1044"/>
      <c r="AD82" s="1044"/>
      <c r="AE82" s="1044"/>
      <c r="AF82" s="1044"/>
      <c r="AG82" s="1044"/>
      <c r="AH82" s="1044"/>
      <c r="AI82" s="1044"/>
      <c r="AJ82" s="1044"/>
      <c r="AK82" s="1044"/>
      <c r="AL82" s="1044"/>
      <c r="AM82" s="1044"/>
      <c r="AN82" s="1309" t="s">
        <v>271</v>
      </c>
      <c r="AO82" s="1310"/>
      <c r="AP82" s="1310"/>
      <c r="AQ82" s="1310"/>
      <c r="AR82" s="2"/>
      <c r="AS82" s="2"/>
      <c r="AT82" s="2"/>
      <c r="AU82" s="2"/>
      <c r="AV82" s="2"/>
      <c r="AW82" s="2"/>
      <c r="AX82" s="2"/>
      <c r="AY82" s="2"/>
    </row>
    <row r="83" spans="1:51" x14ac:dyDescent="0.25">
      <c r="A83" s="18"/>
      <c r="B83" s="18"/>
      <c r="C83" s="18"/>
      <c r="D83" s="7"/>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1" ht="99.95" customHeight="1" x14ac:dyDescent="0.25">
      <c r="A84" s="18"/>
      <c r="B84" s="18"/>
      <c r="C84" s="18"/>
      <c r="D84" s="7"/>
      <c r="E84" s="2"/>
      <c r="F84" s="1008" t="s">
        <v>392</v>
      </c>
      <c r="G84" s="1009"/>
      <c r="H84" s="1009"/>
      <c r="I84" s="1009"/>
      <c r="J84" s="1009"/>
      <c r="K84" s="1009"/>
      <c r="L84" s="1041"/>
      <c r="M84" s="148" t="s">
        <v>186</v>
      </c>
      <c r="N84" s="1032"/>
      <c r="O84" s="1033"/>
      <c r="P84" s="1033"/>
      <c r="Q84" s="1033"/>
      <c r="R84" s="1033"/>
      <c r="S84" s="1033"/>
      <c r="T84" s="1033"/>
      <c r="U84" s="1033"/>
      <c r="V84" s="1033"/>
      <c r="W84" s="1033"/>
      <c r="X84" s="1033"/>
      <c r="Y84" s="1033"/>
      <c r="Z84" s="1033"/>
      <c r="AA84" s="1033"/>
      <c r="AB84" s="1033"/>
      <c r="AC84" s="1033"/>
      <c r="AD84" s="1033"/>
      <c r="AE84" s="1033"/>
      <c r="AF84" s="1033"/>
      <c r="AG84" s="1033"/>
      <c r="AH84" s="1033"/>
      <c r="AI84" s="1033"/>
      <c r="AJ84" s="1033"/>
      <c r="AK84" s="1033"/>
      <c r="AL84" s="1033"/>
      <c r="AM84" s="1034"/>
      <c r="AN84" s="2"/>
      <c r="AO84" s="2"/>
      <c r="AP84" s="2"/>
      <c r="AQ84" s="2"/>
      <c r="AR84" s="2"/>
      <c r="AS84" s="2"/>
      <c r="AT84" s="2"/>
      <c r="AU84" s="2"/>
      <c r="AV84" s="2"/>
      <c r="AW84" s="2"/>
      <c r="AX84" s="2"/>
      <c r="AY84" s="2"/>
    </row>
    <row r="85" spans="1:51" x14ac:dyDescent="0.25">
      <c r="A85" s="18"/>
      <c r="B85" s="18"/>
      <c r="C85" s="18"/>
      <c r="D85" s="7"/>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row>
    <row r="86" spans="1:51" ht="30" hidden="1" customHeight="1" x14ac:dyDescent="0.25">
      <c r="A86" s="18"/>
      <c r="B86" s="18"/>
      <c r="C86" s="18"/>
      <c r="D86" s="18"/>
      <c r="E86" s="7"/>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row>
    <row r="87" spans="1:51" hidden="1" x14ac:dyDescent="0.25">
      <c r="A87" s="18"/>
      <c r="B87" s="18"/>
      <c r="C87" s="18"/>
      <c r="D87" s="18"/>
      <c r="E87" s="7"/>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row>
    <row r="88" spans="1:51" hidden="1" x14ac:dyDescent="0.25">
      <c r="A88" s="18"/>
      <c r="B88" s="18"/>
      <c r="C88" s="18"/>
      <c r="D88" s="18"/>
      <c r="E88" s="7"/>
    </row>
    <row r="89" spans="1:51" hidden="1" x14ac:dyDescent="0.25">
      <c r="A89" s="18"/>
      <c r="B89" s="18"/>
      <c r="C89" s="18"/>
      <c r="D89" s="18"/>
      <c r="E89" s="7"/>
    </row>
    <row r="90" spans="1:51" hidden="1" x14ac:dyDescent="0.25">
      <c r="A90" s="18"/>
      <c r="B90" s="18"/>
      <c r="C90" s="18"/>
      <c r="D90" s="18"/>
      <c r="E90" s="7"/>
    </row>
    <row r="91" spans="1:51" hidden="1" x14ac:dyDescent="0.25">
      <c r="A91" s="18"/>
      <c r="B91" s="18"/>
      <c r="C91" s="18"/>
      <c r="D91" s="18"/>
      <c r="E91" s="7"/>
    </row>
  </sheetData>
  <sheetProtection algorithmName="SHA-512" hashValue="Ek55Jrv7HX+V0q2MY/2DwgWY9SFN5OaFS9jtHv+mGg0E6WwKKe5IkTudoPUDRHeni5f/9b3X5/YJ7FvQo+FzOA==" saltValue="h2wQ42VwCi/VCfuDUwv+NA==" spinCount="100000" sheet="1" objects="1" scenarios="1" formatColumns="0" formatRows="0"/>
  <mergeCells count="163">
    <mergeCell ref="O62:R62"/>
    <mergeCell ref="W67:X67"/>
    <mergeCell ref="Y62:Z62"/>
    <mergeCell ref="Y63:Z63"/>
    <mergeCell ref="Y64:Z64"/>
    <mergeCell ref="Y65:Z65"/>
    <mergeCell ref="Y66:Z66"/>
    <mergeCell ref="Y67:Z67"/>
    <mergeCell ref="AA62:AD62"/>
    <mergeCell ref="AA63:AD63"/>
    <mergeCell ref="AA64:AD64"/>
    <mergeCell ref="AA65:AD65"/>
    <mergeCell ref="AA66:AD66"/>
    <mergeCell ref="AA67:AD67"/>
    <mergeCell ref="O63:R63"/>
    <mergeCell ref="O64:R64"/>
    <mergeCell ref="O65:R65"/>
    <mergeCell ref="O66:R66"/>
    <mergeCell ref="O67:R67"/>
    <mergeCell ref="S62:T62"/>
    <mergeCell ref="S63:T63"/>
    <mergeCell ref="S64:T64"/>
    <mergeCell ref="S65:T65"/>
    <mergeCell ref="S66:T66"/>
    <mergeCell ref="V51:AB51"/>
    <mergeCell ref="AD51:AI51"/>
    <mergeCell ref="V52:AB52"/>
    <mergeCell ref="AD52:AG52"/>
    <mergeCell ref="AH52:AI52"/>
    <mergeCell ref="S74:Y74"/>
    <mergeCell ref="Z76:AH76"/>
    <mergeCell ref="S67:T67"/>
    <mergeCell ref="U62:V62"/>
    <mergeCell ref="U63:V63"/>
    <mergeCell ref="U64:V64"/>
    <mergeCell ref="U65:V65"/>
    <mergeCell ref="U66:V66"/>
    <mergeCell ref="U67:V67"/>
    <mergeCell ref="W62:X62"/>
    <mergeCell ref="W63:X63"/>
    <mergeCell ref="W64:X64"/>
    <mergeCell ref="W65:X65"/>
    <mergeCell ref="W66:X66"/>
    <mergeCell ref="F69:L69"/>
    <mergeCell ref="F84:L84"/>
    <mergeCell ref="N82:AM82"/>
    <mergeCell ref="N69:AM69"/>
    <mergeCell ref="N84:AM84"/>
    <mergeCell ref="AB21:AD21"/>
    <mergeCell ref="AN69:AQ69"/>
    <mergeCell ref="AN82:AQ82"/>
    <mergeCell ref="F62:I67"/>
    <mergeCell ref="J62:N62"/>
    <mergeCell ref="J63:N63"/>
    <mergeCell ref="J64:N64"/>
    <mergeCell ref="J65:N65"/>
    <mergeCell ref="J67:N67"/>
    <mergeCell ref="J66:N66"/>
    <mergeCell ref="AI76:AM76"/>
    <mergeCell ref="Z77:AH77"/>
    <mergeCell ref="AI77:AM77"/>
    <mergeCell ref="Z73:AH73"/>
    <mergeCell ref="AI73:AM73"/>
    <mergeCell ref="Z75:AH75"/>
    <mergeCell ref="AI75:AM75"/>
    <mergeCell ref="F73:L77"/>
    <mergeCell ref="M73:M77"/>
    <mergeCell ref="O74:R74"/>
    <mergeCell ref="O76:R76"/>
    <mergeCell ref="S77:Y77"/>
    <mergeCell ref="N37:S37"/>
    <mergeCell ref="AK44:AN44"/>
    <mergeCell ref="AE21:AL21"/>
    <mergeCell ref="T39:V39"/>
    <mergeCell ref="F51:L51"/>
    <mergeCell ref="AJ52:AM52"/>
    <mergeCell ref="AN52:AO52"/>
    <mergeCell ref="W34:Y34"/>
    <mergeCell ref="T35:V35"/>
    <mergeCell ref="W35:Y35"/>
    <mergeCell ref="N38:S38"/>
    <mergeCell ref="N39:S39"/>
    <mergeCell ref="F35:K35"/>
    <mergeCell ref="F50:L50"/>
    <mergeCell ref="N51:S51"/>
    <mergeCell ref="W39:Y39"/>
    <mergeCell ref="T34:V34"/>
    <mergeCell ref="T21:W21"/>
    <mergeCell ref="F41:L41"/>
    <mergeCell ref="F42:L42"/>
    <mergeCell ref="F43:L43"/>
    <mergeCell ref="F27:L27"/>
    <mergeCell ref="N20:S20"/>
    <mergeCell ref="Y21:AA21"/>
    <mergeCell ref="AB17:AJ17"/>
    <mergeCell ref="N50:S50"/>
    <mergeCell ref="N41:S41"/>
    <mergeCell ref="N42:S42"/>
    <mergeCell ref="N43:S43"/>
    <mergeCell ref="N44:AJ44"/>
    <mergeCell ref="N21:S21"/>
    <mergeCell ref="T36:V36"/>
    <mergeCell ref="W36:Y36"/>
    <mergeCell ref="T37:V37"/>
    <mergeCell ref="W37:Y37"/>
    <mergeCell ref="T38:V38"/>
    <mergeCell ref="W38:Y38"/>
    <mergeCell ref="N29:S29"/>
    <mergeCell ref="N30:S30"/>
    <mergeCell ref="N31:S31"/>
    <mergeCell ref="N34:S34"/>
    <mergeCell ref="N35:S35"/>
    <mergeCell ref="N36:S36"/>
    <mergeCell ref="V50:AB50"/>
    <mergeCell ref="AD50:AI50"/>
    <mergeCell ref="T29:V29"/>
    <mergeCell ref="W29:Y29"/>
    <mergeCell ref="T30:V30"/>
    <mergeCell ref="W30:Y30"/>
    <mergeCell ref="T31:V31"/>
    <mergeCell ref="W31:Y31"/>
    <mergeCell ref="T32:V32"/>
    <mergeCell ref="W32:Y32"/>
    <mergeCell ref="T33:V33"/>
    <mergeCell ref="W33:Y33"/>
    <mergeCell ref="F15:M15"/>
    <mergeCell ref="Y15:AB15"/>
    <mergeCell ref="AI2:AN7"/>
    <mergeCell ref="N10:Z10"/>
    <mergeCell ref="AA10:AD10"/>
    <mergeCell ref="AF10:AJ10"/>
    <mergeCell ref="N11:AJ11"/>
    <mergeCell ref="N13:AJ13"/>
    <mergeCell ref="N14:AJ14"/>
    <mergeCell ref="R15:X15"/>
    <mergeCell ref="AD15:AJ15"/>
    <mergeCell ref="F2:AF6"/>
    <mergeCell ref="F7:J7"/>
    <mergeCell ref="AK11:AN11"/>
    <mergeCell ref="F44:L44"/>
    <mergeCell ref="S73:Y73"/>
    <mergeCell ref="F82:M82"/>
    <mergeCell ref="Z74:AH74"/>
    <mergeCell ref="AI74:AM74"/>
    <mergeCell ref="S75:Y75"/>
    <mergeCell ref="S76:Y76"/>
    <mergeCell ref="F10:L10"/>
    <mergeCell ref="F11:L11"/>
    <mergeCell ref="F12:L12"/>
    <mergeCell ref="F13:L13"/>
    <mergeCell ref="N15:P15"/>
    <mergeCell ref="N12:S12"/>
    <mergeCell ref="F14:M14"/>
    <mergeCell ref="N16:S16"/>
    <mergeCell ref="F16:L16"/>
    <mergeCell ref="N27:S27"/>
    <mergeCell ref="N32:S32"/>
    <mergeCell ref="N33:S33"/>
    <mergeCell ref="N17:S17"/>
    <mergeCell ref="T17:Z17"/>
    <mergeCell ref="F17:L17"/>
    <mergeCell ref="F20:L20"/>
    <mergeCell ref="F21:L21"/>
  </mergeCells>
  <conditionalFormatting sqref="F7">
    <cfRule type="notContainsBlanks" dxfId="435" priority="1">
      <formula>LEN(TRIM(F7))&gt;0</formula>
    </cfRule>
  </conditionalFormatting>
  <conditionalFormatting sqref="F21:S21">
    <cfRule type="expression" dxfId="434" priority="12">
      <formula>$N$20&lt;&gt;"Não"</formula>
    </cfRule>
  </conditionalFormatting>
  <conditionalFormatting sqref="F29:AY44">
    <cfRule type="expression" dxfId="432" priority="10">
      <formula>$N$27&lt;&gt;"sim"</formula>
    </cfRule>
  </conditionalFormatting>
  <conditionalFormatting sqref="M10:M13 M50:M51">
    <cfRule type="expression" dxfId="431" priority="41">
      <formula>N10&lt;&gt;""</formula>
    </cfRule>
  </conditionalFormatting>
  <conditionalFormatting sqref="M16:M17">
    <cfRule type="expression" dxfId="430" priority="38">
      <formula>N16&lt;&gt;""</formula>
    </cfRule>
  </conditionalFormatting>
  <conditionalFormatting sqref="M20:M21">
    <cfRule type="expression" dxfId="429" priority="34">
      <formula>N20&lt;&gt;""</formula>
    </cfRule>
  </conditionalFormatting>
  <conditionalFormatting sqref="M27">
    <cfRule type="expression" dxfId="428" priority="32">
      <formula>N27&lt;&gt;""</formula>
    </cfRule>
  </conditionalFormatting>
  <conditionalFormatting sqref="M35">
    <cfRule type="expression" dxfId="427" priority="31">
      <formula>$N$30&lt;&gt;""</formula>
    </cfRule>
  </conditionalFormatting>
  <conditionalFormatting sqref="M41:M44">
    <cfRule type="expression" dxfId="426" priority="27">
      <formula>N41&lt;&gt;""</formula>
    </cfRule>
  </conditionalFormatting>
  <conditionalFormatting sqref="M69">
    <cfRule type="expression" dxfId="425" priority="25">
      <formula>N69&lt;&gt;""</formula>
    </cfRule>
  </conditionalFormatting>
  <conditionalFormatting sqref="M84">
    <cfRule type="expression" dxfId="423" priority="23">
      <formula>N84&lt;&gt;""</formula>
    </cfRule>
  </conditionalFormatting>
  <conditionalFormatting sqref="Q15">
    <cfRule type="expression" dxfId="422" priority="40">
      <formula>R15&lt;&gt;""</formula>
    </cfRule>
  </conditionalFormatting>
  <conditionalFormatting sqref="T21:AA21">
    <cfRule type="expression" dxfId="420" priority="20">
      <formula>$N$21&lt;&gt;"sim"</formula>
    </cfRule>
  </conditionalFormatting>
  <conditionalFormatting sqref="V52:AO52">
    <cfRule type="expression" dxfId="417" priority="5">
      <formula>$AD$50=$AD$51</formula>
    </cfRule>
  </conditionalFormatting>
  <conditionalFormatting sqref="X21">
    <cfRule type="expression" dxfId="416" priority="33">
      <formula>Y21&lt;&gt;""</formula>
    </cfRule>
  </conditionalFormatting>
  <conditionalFormatting sqref="AA17">
    <cfRule type="expression" dxfId="415" priority="36">
      <formula>AB17&lt;&gt;""</formula>
    </cfRule>
  </conditionalFormatting>
  <conditionalFormatting sqref="AB21:AL21">
    <cfRule type="expression" dxfId="414" priority="18">
      <formula>$N$21&lt;&gt;"não"</formula>
    </cfRule>
  </conditionalFormatting>
  <conditionalFormatting sqref="AC15">
    <cfRule type="expression" dxfId="413" priority="39">
      <formula>AD15&lt;&gt;""</formula>
    </cfRule>
  </conditionalFormatting>
  <conditionalFormatting sqref="AC50:AC51">
    <cfRule type="expression" dxfId="412" priority="45">
      <formula>AD50&lt;&gt;""</formula>
    </cfRule>
  </conditionalFormatting>
  <conditionalFormatting sqref="AE10">
    <cfRule type="expression" dxfId="411" priority="44">
      <formula>AF10&lt;&gt;""</formula>
    </cfRule>
  </conditionalFormatting>
  <conditionalFormatting sqref="AJ51:AO51">
    <cfRule type="expression" dxfId="410" priority="4">
      <formula>$AD$50=$AD$51</formula>
    </cfRule>
  </conditionalFormatting>
  <dataValidations count="20">
    <dataValidation type="custom" allowBlank="1" showInputMessage="1" showErrorMessage="1" errorTitle="Data inválida" error="A data de conclusão não pode ser anterior a data de início." sqref="AD15:AJ15" xr:uid="{607D6AE6-CFF1-4426-9128-C893EA6DE569}">
      <formula1>R15&lt;=AD15</formula1>
    </dataValidation>
    <dataValidation type="list" allowBlank="1" showInputMessage="1" showErrorMessage="1" errorTitle="Código inválido" error="Preencher os dados do certificado na guia &quot;Certificados&quot; antes de atribuí-lo a algum estudo" sqref="N16:S16" xr:uid="{C7065D92-2ED0-4D2C-8608-DA7671DF0161}">
      <formula1>src_certificados</formula1>
    </dataValidation>
    <dataValidation type="decimal" allowBlank="1" showInputMessage="1" showErrorMessage="1" errorTitle="Valor inválido" error="A dose deve estar entre 0 e 100%" sqref="N30:S39 O63 S63 U63 W63 AA63 Y63" xr:uid="{6996C88D-F5B6-4DCC-81B6-B26FCA1A8931}">
      <formula1>0</formula1>
      <formula2>1</formula2>
    </dataValidation>
    <dataValidation type="whole" operator="greaterThanOrEqual" allowBlank="1" showInputMessage="1" showErrorMessage="1" errorTitle="Valor inválido" error="A quantidade de animais deve ser uma número inteiro." sqref="T30:Y39" xr:uid="{36845A45-7A50-446D-B2A8-69A3B3876DDA}">
      <formula1>0</formula1>
    </dataValidation>
    <dataValidation type="whole" operator="greaterThanOrEqual" allowBlank="1" showInputMessage="1" showErrorMessage="1" errorTitle="Valor inválido" error="A valor informado deve ser um número inteiro" sqref="N51:S51" xr:uid="{B9370481-DCE8-497A-9983-0E21EA40E1BB}">
      <formula1>0</formula1>
    </dataValidation>
    <dataValidation allowBlank="1" showInputMessage="1" showErrorMessage="1" promptTitle="Ajuda" prompt="Código gerado pelo laboratório executor" sqref="AA10:AD10" xr:uid="{01CCFB6C-F3B1-4A8E-85E0-BB49735218C3}"/>
    <dataValidation allowBlank="1" showInputMessage="1" showErrorMessage="1" promptTitle="Ajuda" prompt="Informar nome e estado/país do laboratório executor" sqref="F11:L11" xr:uid="{89878A9D-CE23-469D-BB75-B98A9BD2B46F}"/>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812F0593-555C-4C27-94C4-4CC6006AF312}"/>
    <dataValidation allowBlank="1" showInputMessage="1" showErrorMessage="1" promptTitle="Ajuda" prompt="Data de início da exposição dos animais à substância teste" sqref="N15:P15" xr:uid="{710A82D2-2B40-4DD0-8421-3AF65BA3C23D}"/>
    <dataValidation allowBlank="1" showInputMessage="1" showErrorMessage="1" promptTitle="Ajuda" prompt="Informar a data de conclusão do último teste de confiabilidade." sqref="T21:W21" xr:uid="{6C49363B-7423-4A8A-B299-BA7010278DF0}"/>
    <dataValidation allowBlank="1" showInputMessage="1" showErrorMessage="1" promptTitle="Ajuda" prompt="Justificar o porquê não foi conduzido o teste de confiabilidade" sqref="AB21:AD21" xr:uid="{CDCA512E-538A-4655-A262-18E839C50CA4}"/>
    <dataValidation allowBlank="1" showInputMessage="1" showErrorMessage="1" promptTitle="Ajuda" prompt="Caso não tenha sido realizada a medição da espessura de orelha o campo deve ficar em branco. " sqref="J65:N65" xr:uid="{9C7048F4-A030-41ED-A4F5-305EEA267D6E}"/>
    <dataValidation allowBlank="1" showInputMessage="1" showErrorMessage="1" promptTitle="Ajuda" prompt="Alterações de peso, clínicas e comportamentais relatadas" sqref="F69:L69" xr:uid="{5C4E7413-00B0-4190-83F4-B2D460267418}"/>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73:L77" xr:uid="{B56FD625-9520-418E-9A97-AA5F12F8B279}"/>
    <dataValidation allowBlank="1" showInputMessage="1" showErrorMessage="1" promptTitle="Ajuda" prompt="Descrição sucinta do desvio ocorrido._x000a__x000a_Caso tenha ocorrido mais do que quatro desvios, os demais deverão estar descritos na última linha e separados por ponto e vírgula" sqref="S73:Y73" xr:uid="{549CC244-B724-41C9-A4B6-BFFC5BA75094}"/>
    <dataValidation allowBlank="1" showInputMessage="1" showErrorMessage="1" promptTitle="Ajuda" prompt="Incluir a justificativa do porquê ocorreu desvio e qual é interpretação dos seus impactos frente aos resultados do estudos." sqref="Z73:AH73" xr:uid="{9296650B-7536-4D91-B4BA-EB8F9DFC8BC2}"/>
    <dataValidation allowBlank="1" showInputMessage="1" showErrorMessage="1" promptTitle="Ajuda" prompt="Informar apenas se o(s) desvio(s) afetam de algum modo a interpretação dos resultados" sqref="AI73:AM73" xr:uid="{9525BC1E-2814-45D9-8360-F9DAA527F78C}"/>
    <dataValidation allowBlank="1" showInputMessage="1" showErrorMessage="1" promptTitle="Ajuda" prompt="A conclusão deverá ser conforme está escrito no relatório do estudo._x000a_" sqref="F84:L84" xr:uid="{54516A1B-37BE-4B0A-BDC7-FC03AE426F4A}"/>
    <dataValidation allowBlank="1" showInputMessage="1" showErrorMessage="1" promptTitle="Orientação" prompt="Deixar em branco caso o parâmetro não tenha sido avaliado (DPM/BrdU ou Espessura de orelha)" sqref="V52:AB52" xr:uid="{B68135B2-41FB-4F39-AAF0-C0B3ACF08822}"/>
    <dataValidation type="list" allowBlank="1" showInputMessage="1" errorTitle="Resposta inválida" error="Escolha uma das opções disponíveis" sqref="AD51:AI51" xr:uid="{31C31ED6-6571-433E-A08D-02AFB5958803}">
      <formula1>$AD$50</formula1>
    </dataValidation>
  </dataValidations>
  <hyperlinks>
    <hyperlink ref="F7" location="Alertas!G2" display="Alertas!G2" xr:uid="{39885C08-02CF-4E36-8A30-4FC5D8689062}"/>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902" r:id="rId4" name="optn_desvios_llna1">
              <controlPr defaultSize="0" autoFill="0" autoLine="0" autoPict="0">
                <anchor moveWithCells="1">
                  <from>
                    <xdr:col>13</xdr:col>
                    <xdr:colOff>85725</xdr:colOff>
                    <xdr:row>72</xdr:row>
                    <xdr:rowOff>219075</xdr:rowOff>
                  </from>
                  <to>
                    <xdr:col>18</xdr:col>
                    <xdr:colOff>9525</xdr:colOff>
                    <xdr:row>74</xdr:row>
                    <xdr:rowOff>28575</xdr:rowOff>
                  </to>
                </anchor>
              </controlPr>
            </control>
          </mc:Choice>
        </mc:AlternateContent>
        <mc:AlternateContent xmlns:mc="http://schemas.openxmlformats.org/markup-compatibility/2006">
          <mc:Choice Requires="x14">
            <control shapeId="36901" r:id="rId5" name="optn_desvios_llna2">
              <controlPr defaultSize="0" autoFill="0" autoLine="0" autoPict="0">
                <anchor moveWithCells="1">
                  <from>
                    <xdr:col>13</xdr:col>
                    <xdr:colOff>85725</xdr:colOff>
                    <xdr:row>74</xdr:row>
                    <xdr:rowOff>323850</xdr:rowOff>
                  </from>
                  <to>
                    <xdr:col>17</xdr:col>
                    <xdr:colOff>371475</xdr:colOff>
                    <xdr:row>76</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 id="{873DACA4-09D8-4B7C-99F2-748454B7D5ED}">
            <xm:f>Composição!$I$15&lt;&gt;Tabelas_fonte!$W$3</xm:f>
            <x14:dxf>
              <font>
                <color theme="0"/>
              </font>
              <fill>
                <patternFill>
                  <bgColor theme="0"/>
                </patternFill>
              </fill>
              <border>
                <left/>
                <right/>
                <top/>
                <vertical/>
                <horizontal/>
              </border>
            </x14:dxf>
          </x14:cfRule>
          <xm:sqref>F41:S41</xm:sqref>
        </x14:conditionalFormatting>
        <x14:conditionalFormatting xmlns:xm="http://schemas.microsoft.com/office/excel/2006/main">
          <x14:cfRule type="expression" priority="13" id="{E9740DB4-7616-4C84-84EF-D523E2E2EA99}">
            <xm:f>Respostas_usuario!$K$14&lt;&gt;0</xm:f>
            <x14:dxf>
              <font>
                <b/>
                <i val="0"/>
                <color rgb="FF00B050"/>
              </font>
            </x14:dxf>
          </x14:cfRule>
          <xm:sqref>M73:M77</xm:sqref>
        </x14:conditionalFormatting>
        <x14:conditionalFormatting xmlns:xm="http://schemas.microsoft.com/office/excel/2006/main">
          <x14:cfRule type="expression" priority="22" id="{3FB528A0-8DCF-40D6-840F-04E3FB2918E1}">
            <xm:f>Respostas_usuario!$K$14&lt;&gt;2</xm:f>
            <x14:dxf>
              <font>
                <color theme="0"/>
              </font>
              <fill>
                <patternFill>
                  <bgColor theme="0"/>
                </patternFill>
              </fill>
              <border>
                <right/>
                <top/>
                <bottom/>
                <vertical/>
                <horizontal/>
              </border>
            </x14:dxf>
          </x14:cfRule>
          <xm:sqref>S73:AM77</xm:sqref>
        </x14:conditionalFormatting>
        <x14:conditionalFormatting xmlns:xm="http://schemas.microsoft.com/office/excel/2006/main">
          <x14:cfRule type="expression" priority="2" id="{0CA59B77-387A-4C9E-834B-6D8340C39A5E}">
            <xm:f>$N$20=Tabelas_fonte!$Y$3</xm:f>
            <x14:dxf>
              <border>
                <right/>
                <vertical/>
                <horizontal/>
              </border>
            </x14:dxf>
          </x14:cfRule>
          <xm:sqref>U50:U52</xm:sqref>
        </x14:conditionalFormatting>
        <x14:conditionalFormatting xmlns:xm="http://schemas.microsoft.com/office/excel/2006/main">
          <x14:cfRule type="expression" priority="15" id="{D6187371-7D8D-4685-9182-BC9090A7056A}">
            <xm:f>$N$20=Tabelas_fonte!$Y$3</xm:f>
            <x14:dxf>
              <font>
                <color theme="0"/>
              </font>
              <fill>
                <patternFill>
                  <bgColor theme="0"/>
                </patternFill>
              </fill>
              <border>
                <right/>
                <top/>
                <bottom/>
                <vertical/>
                <horizontal/>
              </border>
            </x14:dxf>
          </x14:cfRule>
          <xm:sqref>V50:AO52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errorTitle="Resposta inválida" error="A resposta de ser Sim ou Não." xr:uid="{E6520C1B-6821-41DE-84C2-691B15ECFB51}">
          <x14:formula1>
            <xm:f>Tabelas_fonte!$Y$2:$Y$3</xm:f>
          </x14:formula1>
          <xm:sqref>N12:S12 N20:S21 N27:S27</xm:sqref>
        </x14:dataValidation>
        <x14:dataValidation type="list" allowBlank="1" showInputMessage="1" xr:uid="{0D7E468B-3792-45D5-AB29-229BF5A73BD6}">
          <x14:formula1>
            <xm:f>Tabelas_fonte!$AK$10:$AK$14</xm:f>
          </x14:formula1>
          <xm:sqref>N13:AJ13</xm:sqref>
        </x14:dataValidation>
        <x14:dataValidation type="list" allowBlank="1" showInputMessage="1" showErrorMessage="1" errorTitle="Resposta inválida" error="O sexo deve ser Machos, Fêmeas ou Machos e Fêmeas" xr:uid="{C8527FA0-6BA8-4EB0-ADE8-A195D44A900F}">
          <x14:formula1>
            <xm:f>Tabelas_fonte!$W$12:$W$14</xm:f>
          </x14:formula1>
          <xm:sqref>N50:S50</xm:sqref>
        </x14:dataValidation>
        <x14:dataValidation type="list" allowBlank="1" showInputMessage="1" showErrorMessage="1" errorTitle="Valor inválido" error="A resposta deve ser Sim ou Não" xr:uid="{14880156-084A-4617-89DA-25E109DD098A}">
          <x14:formula1>
            <xm:f>Tabelas_fonte!$Y$2:$Y$3</xm:f>
          </x14:formula1>
          <xm:sqref>AI74:AM77</xm:sqref>
        </x14:dataValidation>
        <x14:dataValidation type="list" allowBlank="1" showInputMessage="1" showErrorMessage="1" errorTitle="Resposta inválida" error="A resposta de ser Sim ou Não." xr:uid="{8ED82005-C83F-4EB4-A298-90FABB53B2C0}">
          <x14:formula1>
            <xm:f>Tabelas_fonte!$U$19:$U$21</xm:f>
          </x14:formula1>
          <xm:sqref>N41:S43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C5AA8-5C84-4865-9EB8-7F2612BC3611}">
  <sheetPr codeName="Planilha27">
    <tabColor theme="8" tint="0.59999389629810485"/>
  </sheetPr>
  <dimension ref="A1:AY87"/>
  <sheetViews>
    <sheetView showGridLines="0" topLeftCell="D1" workbookViewId="0">
      <selection activeCell="D1" sqref="D1"/>
    </sheetView>
  </sheetViews>
  <sheetFormatPr defaultColWidth="0" defaultRowHeight="15" customHeight="1" zeroHeight="1" x14ac:dyDescent="0.25"/>
  <cols>
    <col min="1" max="3" width="2.7109375" style="20" hidden="1" customWidth="1"/>
    <col min="4" max="5" width="2.7109375" style="20" customWidth="1"/>
    <col min="6" max="14" width="4.7109375" style="20" customWidth="1"/>
    <col min="15" max="50" width="5.7109375" style="20" customWidth="1"/>
    <col min="51" max="51" width="4.7109375" style="20" customWidth="1"/>
    <col min="52" max="16384" width="9.140625" style="20" hidden="1"/>
  </cols>
  <sheetData>
    <row r="1" spans="1:51" x14ac:dyDescent="0.25">
      <c r="A1" s="18"/>
      <c r="B1" s="18"/>
      <c r="C1" s="18"/>
      <c r="D1" s="7"/>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x14ac:dyDescent="0.25">
      <c r="A2" s="18"/>
      <c r="B2" s="18"/>
      <c r="C2" s="18"/>
      <c r="D2" s="7"/>
      <c r="E2" s="2"/>
      <c r="F2" s="1148" t="s">
        <v>6054</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58"/>
      <c r="AH2" s="158"/>
      <c r="AI2" s="1035" t="s">
        <v>0</v>
      </c>
      <c r="AJ2" s="1035"/>
      <c r="AK2" s="1035"/>
      <c r="AL2" s="1035"/>
      <c r="AM2" s="1035"/>
      <c r="AN2" s="1035"/>
      <c r="AO2" s="2"/>
      <c r="AP2" s="2"/>
      <c r="AQ2" s="2"/>
      <c r="AR2" s="2"/>
      <c r="AS2" s="2"/>
      <c r="AT2" s="2"/>
      <c r="AU2" s="2"/>
      <c r="AV2" s="2"/>
      <c r="AW2" s="2"/>
      <c r="AX2" s="2"/>
      <c r="AY2" s="2"/>
    </row>
    <row r="3" spans="1:51"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58"/>
      <c r="AH3" s="158"/>
      <c r="AI3" s="1035"/>
      <c r="AJ3" s="1035"/>
      <c r="AK3" s="1035"/>
      <c r="AL3" s="1035"/>
      <c r="AM3" s="1035"/>
      <c r="AN3" s="1035"/>
      <c r="AO3" s="2"/>
      <c r="AP3" s="2"/>
      <c r="AQ3" s="2"/>
      <c r="AR3" s="2"/>
      <c r="AS3" s="2"/>
      <c r="AT3" s="2"/>
      <c r="AU3" s="2"/>
      <c r="AV3" s="2"/>
      <c r="AW3" s="2"/>
      <c r="AX3" s="2"/>
      <c r="AY3" s="2"/>
    </row>
    <row r="4" spans="1:51"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58"/>
      <c r="AH4" s="158"/>
      <c r="AI4" s="1035"/>
      <c r="AJ4" s="1035"/>
      <c r="AK4" s="1035"/>
      <c r="AL4" s="1035"/>
      <c r="AM4" s="1035"/>
      <c r="AN4" s="1035"/>
      <c r="AO4" s="2"/>
      <c r="AP4" s="2"/>
      <c r="AQ4" s="2"/>
      <c r="AR4" s="2"/>
      <c r="AS4" s="2"/>
      <c r="AT4" s="2"/>
      <c r="AU4" s="2"/>
      <c r="AV4" s="2"/>
      <c r="AW4" s="2"/>
      <c r="AX4" s="2"/>
      <c r="AY4" s="2"/>
    </row>
    <row r="5" spans="1:51"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58"/>
      <c r="AH5" s="158"/>
      <c r="AI5" s="1035"/>
      <c r="AJ5" s="1035"/>
      <c r="AK5" s="1035"/>
      <c r="AL5" s="1035"/>
      <c r="AM5" s="1035"/>
      <c r="AN5" s="1035"/>
      <c r="AO5" s="2"/>
      <c r="AP5" s="2"/>
      <c r="AQ5" s="2"/>
      <c r="AR5" s="2"/>
      <c r="AS5" s="2"/>
      <c r="AT5" s="2"/>
      <c r="AU5" s="2"/>
      <c r="AV5" s="2"/>
      <c r="AW5" s="2"/>
      <c r="AX5" s="2"/>
      <c r="AY5" s="2"/>
    </row>
    <row r="6" spans="1:51"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58"/>
      <c r="AH6" s="158"/>
      <c r="AI6" s="1035"/>
      <c r="AJ6" s="1035"/>
      <c r="AK6" s="1035"/>
      <c r="AL6" s="1035"/>
      <c r="AM6" s="1035"/>
      <c r="AN6" s="1035"/>
      <c r="AO6" s="2"/>
      <c r="AP6" s="2"/>
      <c r="AQ6" s="2"/>
      <c r="AR6" s="73"/>
      <c r="AS6" s="2"/>
      <c r="AT6" s="2"/>
      <c r="AU6" s="2"/>
      <c r="AV6" s="2"/>
      <c r="AW6" s="2"/>
      <c r="AX6" s="2"/>
      <c r="AY6" s="2"/>
    </row>
    <row r="7" spans="1:51" ht="20.100000000000001" customHeight="1" x14ac:dyDescent="0.25">
      <c r="A7" s="18"/>
      <c r="B7" s="18"/>
      <c r="C7" s="18"/>
      <c r="D7" s="7"/>
      <c r="E7" s="158"/>
      <c r="F7" s="1024" t="str">
        <f ca="1">Alertas!S15</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c r="AS7" s="2"/>
      <c r="AT7" s="2"/>
      <c r="AU7" s="2"/>
      <c r="AV7" s="2"/>
      <c r="AW7" s="2"/>
      <c r="AX7" s="2"/>
      <c r="AY7" s="2"/>
    </row>
    <row r="8" spans="1:51" ht="15" customHeight="1" x14ac:dyDescent="0.25">
      <c r="A8" s="18"/>
      <c r="B8" s="18"/>
      <c r="C8" s="18"/>
      <c r="D8" s="7"/>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7"/>
      <c r="AM8" s="7"/>
      <c r="AN8" s="7"/>
      <c r="AO8" s="7"/>
      <c r="AP8" s="7"/>
      <c r="AQ8" s="7"/>
      <c r="AR8" s="7"/>
      <c r="AS8" s="7"/>
      <c r="AT8" s="7"/>
      <c r="AU8" s="7"/>
      <c r="AV8" s="7"/>
      <c r="AW8" s="7"/>
      <c r="AX8" s="7"/>
      <c r="AY8" s="7"/>
    </row>
    <row r="9" spans="1:51"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row>
    <row r="10" spans="1:51" ht="30" customHeight="1" x14ac:dyDescent="0.25">
      <c r="A10" s="18"/>
      <c r="B10" s="18"/>
      <c r="C10" s="18"/>
      <c r="D10" s="7"/>
      <c r="E10" s="2"/>
      <c r="F10" s="1149" t="s">
        <v>30</v>
      </c>
      <c r="G10" s="1094"/>
      <c r="H10" s="1094"/>
      <c r="I10" s="1094"/>
      <c r="J10" s="1094"/>
      <c r="K10" s="1094"/>
      <c r="L10" s="1104"/>
      <c r="M10" s="148" t="s">
        <v>186</v>
      </c>
      <c r="N10" s="1044"/>
      <c r="O10" s="1044"/>
      <c r="P10" s="1044"/>
      <c r="Q10" s="1044"/>
      <c r="R10" s="1044"/>
      <c r="S10" s="1044"/>
      <c r="T10" s="1044"/>
      <c r="U10" s="1044"/>
      <c r="V10" s="1044"/>
      <c r="W10" s="1044"/>
      <c r="X10" s="1044"/>
      <c r="Y10" s="1044"/>
      <c r="Z10" s="1044"/>
      <c r="AA10" s="1008" t="s">
        <v>294</v>
      </c>
      <c r="AB10" s="1009"/>
      <c r="AC10" s="1009"/>
      <c r="AD10" s="1041"/>
      <c r="AE10" s="148" t="s">
        <v>186</v>
      </c>
      <c r="AF10" s="1032"/>
      <c r="AG10" s="1033"/>
      <c r="AH10" s="1033"/>
      <c r="AI10" s="1033"/>
      <c r="AJ10" s="1034"/>
      <c r="AK10" s="27"/>
      <c r="AL10" s="27"/>
      <c r="AM10" s="27"/>
      <c r="AN10" s="2"/>
      <c r="AO10" s="49"/>
      <c r="AP10" s="49"/>
      <c r="AQ10" s="49"/>
      <c r="AR10" s="49"/>
      <c r="AS10" s="49"/>
      <c r="AT10" s="49"/>
      <c r="AU10" s="49"/>
      <c r="AV10" s="49"/>
      <c r="AW10" s="49"/>
      <c r="AX10" s="49"/>
      <c r="AY10" s="49"/>
    </row>
    <row r="11" spans="1:51" ht="60" customHeight="1" x14ac:dyDescent="0.25">
      <c r="A11" s="18"/>
      <c r="B11" s="18"/>
      <c r="C11" s="18"/>
      <c r="D11" s="7"/>
      <c r="E11" s="2"/>
      <c r="F11" s="1008" t="s">
        <v>7300</v>
      </c>
      <c r="G11" s="1009"/>
      <c r="H11" s="1009"/>
      <c r="I11" s="1009"/>
      <c r="J11" s="1009"/>
      <c r="K11" s="1009"/>
      <c r="L11" s="1041"/>
      <c r="M11" s="148" t="s">
        <v>186</v>
      </c>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158" t="s">
        <v>271</v>
      </c>
      <c r="AL11" s="1159"/>
      <c r="AM11" s="1159"/>
      <c r="AN11" s="1159"/>
      <c r="AO11" s="49"/>
      <c r="AP11" s="49"/>
      <c r="AQ11" s="49"/>
      <c r="AR11" s="49"/>
      <c r="AS11" s="49"/>
      <c r="AT11" s="49"/>
      <c r="AU11" s="49"/>
      <c r="AV11" s="49"/>
      <c r="AW11" s="49"/>
      <c r="AX11" s="49"/>
      <c r="AY11" s="49"/>
    </row>
    <row r="12" spans="1:51" ht="20.100000000000001" customHeight="1" x14ac:dyDescent="0.25">
      <c r="A12" s="18"/>
      <c r="B12" s="18"/>
      <c r="C12" s="18"/>
      <c r="D12" s="7"/>
      <c r="E12" s="2"/>
      <c r="F12" s="1008" t="s">
        <v>6029</v>
      </c>
      <c r="G12" s="1009"/>
      <c r="H12" s="1009"/>
      <c r="I12" s="1009"/>
      <c r="J12" s="1009"/>
      <c r="K12" s="1009"/>
      <c r="L12" s="1041"/>
      <c r="M12" s="148" t="s">
        <v>186</v>
      </c>
      <c r="N12" s="1147"/>
      <c r="O12" s="1096"/>
      <c r="P12" s="1096"/>
      <c r="Q12" s="1096"/>
      <c r="R12" s="1096"/>
      <c r="S12" s="1097"/>
      <c r="T12" s="203"/>
      <c r="U12" s="203"/>
      <c r="V12" s="203"/>
      <c r="W12" s="203"/>
      <c r="X12" s="203"/>
      <c r="Y12" s="203"/>
      <c r="Z12" s="203"/>
      <c r="AA12" s="203"/>
      <c r="AB12" s="203"/>
      <c r="AC12" s="203"/>
      <c r="AD12" s="203"/>
      <c r="AE12" s="203"/>
      <c r="AF12" s="203"/>
      <c r="AG12" s="203"/>
      <c r="AH12" s="203"/>
      <c r="AI12" s="175"/>
      <c r="AJ12" s="175"/>
      <c r="AK12" s="175"/>
      <c r="AL12" s="175"/>
      <c r="AM12" s="175"/>
      <c r="AN12" s="161"/>
      <c r="AO12" s="161"/>
      <c r="AP12" s="161"/>
      <c r="AQ12" s="161"/>
      <c r="AR12" s="161"/>
      <c r="AS12" s="161"/>
      <c r="AT12" s="161"/>
      <c r="AU12" s="161"/>
      <c r="AV12" s="161"/>
      <c r="AW12" s="161"/>
      <c r="AX12" s="161"/>
      <c r="AY12" s="161"/>
    </row>
    <row r="13" spans="1:51" ht="20.100000000000001" customHeight="1" x14ac:dyDescent="0.25">
      <c r="A13" s="18"/>
      <c r="B13" s="18"/>
      <c r="C13" s="18"/>
      <c r="D13" s="7"/>
      <c r="E13" s="2"/>
      <c r="F13" s="1149" t="s">
        <v>218</v>
      </c>
      <c r="G13" s="1094"/>
      <c r="H13" s="1094"/>
      <c r="I13" s="1094"/>
      <c r="J13" s="1094"/>
      <c r="K13" s="1094"/>
      <c r="L13" s="1104"/>
      <c r="M13" s="148" t="s">
        <v>186</v>
      </c>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2"/>
      <c r="AL13" s="2"/>
      <c r="AM13" s="2"/>
      <c r="AN13" s="2"/>
      <c r="AO13" s="2"/>
      <c r="AP13" s="2"/>
      <c r="AQ13" s="2"/>
      <c r="AR13" s="2"/>
      <c r="AS13" s="2"/>
      <c r="AT13" s="2"/>
      <c r="AU13" s="2"/>
      <c r="AV13" s="2"/>
      <c r="AW13" s="2"/>
      <c r="AX13" s="2"/>
      <c r="AY13" s="2"/>
    </row>
    <row r="14" spans="1:51" ht="20.100000000000001" customHeight="1" x14ac:dyDescent="0.25">
      <c r="A14" s="18"/>
      <c r="B14" s="18"/>
      <c r="C14" s="18"/>
      <c r="D14" s="7"/>
      <c r="E14" s="2"/>
      <c r="F14" s="1149" t="s">
        <v>311</v>
      </c>
      <c r="G14" s="1094"/>
      <c r="H14" s="1094"/>
      <c r="I14" s="1094"/>
      <c r="J14" s="1094"/>
      <c r="K14" s="1094"/>
      <c r="L14" s="1094"/>
      <c r="M14" s="1150"/>
      <c r="N14" s="1298"/>
      <c r="O14" s="1298"/>
      <c r="P14" s="1298"/>
      <c r="Q14" s="1298"/>
      <c r="R14" s="1298"/>
      <c r="S14" s="1298"/>
      <c r="T14" s="1298"/>
      <c r="U14" s="1298"/>
      <c r="V14" s="1298"/>
      <c r="W14" s="1298"/>
      <c r="X14" s="1298"/>
      <c r="Y14" s="1298"/>
      <c r="Z14" s="1298"/>
      <c r="AA14" s="1298"/>
      <c r="AB14" s="1298"/>
      <c r="AC14" s="1298"/>
      <c r="AD14" s="1298"/>
      <c r="AE14" s="1298"/>
      <c r="AF14" s="1298"/>
      <c r="AG14" s="1298"/>
      <c r="AH14" s="1298"/>
      <c r="AI14" s="1298"/>
      <c r="AJ14" s="1298"/>
      <c r="AK14" s="163"/>
      <c r="AL14" s="163"/>
      <c r="AM14" s="163"/>
      <c r="AN14" s="163"/>
      <c r="AO14" s="163"/>
      <c r="AP14" s="163"/>
      <c r="AQ14" s="163"/>
      <c r="AR14" s="163"/>
      <c r="AS14" s="163"/>
      <c r="AT14" s="163"/>
      <c r="AU14" s="163"/>
      <c r="AV14" s="163"/>
      <c r="AW14" s="163"/>
      <c r="AX14" s="163"/>
      <c r="AY14" s="163"/>
    </row>
    <row r="15" spans="1:51" ht="20.100000000000001" customHeight="1" x14ac:dyDescent="0.25">
      <c r="A15" s="18"/>
      <c r="B15" s="18"/>
      <c r="C15" s="18"/>
      <c r="D15" s="7"/>
      <c r="E15" s="2"/>
      <c r="F15" s="1008" t="s">
        <v>7301</v>
      </c>
      <c r="G15" s="1009"/>
      <c r="H15" s="1009"/>
      <c r="I15" s="1009"/>
      <c r="J15" s="1009"/>
      <c r="K15" s="1009"/>
      <c r="L15" s="1009"/>
      <c r="M15" s="1010"/>
      <c r="N15" s="1287" t="s">
        <v>6030</v>
      </c>
      <c r="O15" s="1288"/>
      <c r="P15" s="1289"/>
      <c r="Q15" s="148" t="s">
        <v>186</v>
      </c>
      <c r="R15" s="1299"/>
      <c r="S15" s="1299"/>
      <c r="T15" s="1299"/>
      <c r="U15" s="1299"/>
      <c r="V15" s="1299"/>
      <c r="W15" s="1299"/>
      <c r="X15" s="1299"/>
      <c r="Y15" s="1073" t="s">
        <v>31</v>
      </c>
      <c r="Z15" s="1074"/>
      <c r="AA15" s="1074"/>
      <c r="AB15" s="1075"/>
      <c r="AC15" s="148" t="s">
        <v>186</v>
      </c>
      <c r="AD15" s="999"/>
      <c r="AE15" s="1000"/>
      <c r="AF15" s="1000"/>
      <c r="AG15" s="1000"/>
      <c r="AH15" s="1000"/>
      <c r="AI15" s="1000"/>
      <c r="AJ15" s="1001"/>
      <c r="AK15" s="164"/>
      <c r="AL15" s="164"/>
      <c r="AM15" s="164"/>
      <c r="AN15" s="164"/>
      <c r="AO15" s="164"/>
      <c r="AP15" s="164"/>
      <c r="AQ15" s="164"/>
      <c r="AR15" s="164"/>
      <c r="AS15" s="164"/>
      <c r="AT15" s="164"/>
      <c r="AU15" s="164"/>
      <c r="AV15" s="164"/>
      <c r="AW15" s="164"/>
      <c r="AX15" s="164"/>
      <c r="AY15" s="164"/>
    </row>
    <row r="16" spans="1:51" ht="20.100000000000001" customHeight="1" x14ac:dyDescent="0.25">
      <c r="A16" s="18"/>
      <c r="B16" s="18"/>
      <c r="C16" s="18"/>
      <c r="D16" s="7"/>
      <c r="E16" s="2"/>
      <c r="F16" s="1008" t="s">
        <v>5720</v>
      </c>
      <c r="G16" s="1009"/>
      <c r="H16" s="1009"/>
      <c r="I16" s="1009"/>
      <c r="J16" s="1009"/>
      <c r="K16" s="1009"/>
      <c r="L16" s="1009"/>
      <c r="M16" s="148" t="s">
        <v>186</v>
      </c>
      <c r="N16" s="1136"/>
      <c r="O16" s="1090"/>
      <c r="P16" s="1090"/>
      <c r="Q16" s="1090"/>
      <c r="R16" s="1091"/>
      <c r="S16" s="109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row>
    <row r="17" spans="1:51" ht="20.100000000000001" customHeight="1" x14ac:dyDescent="0.25">
      <c r="A17" s="18"/>
      <c r="B17" s="18"/>
      <c r="C17" s="18"/>
      <c r="D17" s="7"/>
      <c r="E17" s="2"/>
      <c r="F17" s="1149" t="s">
        <v>85</v>
      </c>
      <c r="G17" s="1094"/>
      <c r="H17" s="1094"/>
      <c r="I17" s="1094"/>
      <c r="J17" s="1094"/>
      <c r="K17" s="1094"/>
      <c r="L17" s="1104"/>
      <c r="M17" s="148" t="s">
        <v>186</v>
      </c>
      <c r="N17" s="1293" t="s">
        <v>356</v>
      </c>
      <c r="O17" s="1293"/>
      <c r="P17" s="1293"/>
      <c r="Q17" s="1293"/>
      <c r="R17" s="1293"/>
      <c r="S17" s="1293"/>
      <c r="T17" s="1008" t="s">
        <v>235</v>
      </c>
      <c r="U17" s="1009"/>
      <c r="V17" s="1009"/>
      <c r="W17" s="1009"/>
      <c r="X17" s="1009"/>
      <c r="Y17" s="1009"/>
      <c r="Z17" s="1009"/>
      <c r="AA17" s="148" t="s">
        <v>186</v>
      </c>
      <c r="AB17" s="1302"/>
      <c r="AC17" s="1302"/>
      <c r="AD17" s="1302"/>
      <c r="AE17" s="1302"/>
      <c r="AF17" s="1302"/>
      <c r="AG17" s="1302"/>
      <c r="AH17" s="1302"/>
      <c r="AI17" s="1302"/>
      <c r="AJ17" s="1302"/>
      <c r="AK17" s="49"/>
      <c r="AL17" s="2"/>
      <c r="AM17" s="2"/>
      <c r="AN17" s="2"/>
      <c r="AO17" s="2"/>
      <c r="AP17" s="2"/>
      <c r="AQ17" s="2"/>
      <c r="AR17" s="2"/>
      <c r="AS17" s="2"/>
      <c r="AT17" s="2"/>
      <c r="AU17" s="2"/>
      <c r="AV17" s="2"/>
      <c r="AW17" s="49"/>
      <c r="AX17" s="49"/>
      <c r="AY17" s="49"/>
    </row>
    <row r="18" spans="1:51" ht="20.100000000000001" hidden="1" customHeight="1" x14ac:dyDescent="0.25">
      <c r="A18" s="18"/>
      <c r="B18" s="18"/>
      <c r="C18" s="18"/>
      <c r="D18" s="7"/>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49"/>
      <c r="AM18" s="49"/>
      <c r="AN18" s="49"/>
      <c r="AO18" s="49"/>
      <c r="AP18" s="49"/>
      <c r="AQ18" s="49"/>
      <c r="AR18" s="49"/>
      <c r="AS18" s="49"/>
      <c r="AT18" s="49"/>
      <c r="AU18" s="49"/>
      <c r="AV18" s="49"/>
      <c r="AW18" s="49"/>
      <c r="AX18" s="49"/>
      <c r="AY18" s="49"/>
    </row>
    <row r="19" spans="1:51" ht="20.100000000000001" customHeight="1" x14ac:dyDescent="0.25">
      <c r="A19" s="18"/>
      <c r="B19" s="18"/>
      <c r="C19" s="18"/>
      <c r="D19" s="7"/>
      <c r="E19" s="2"/>
      <c r="F19" s="2"/>
      <c r="G19" s="2"/>
      <c r="H19" s="2"/>
      <c r="I19" s="2"/>
      <c r="J19" s="2"/>
      <c r="K19" s="2"/>
      <c r="L19" s="2"/>
      <c r="M19" s="2"/>
      <c r="N19" s="2"/>
      <c r="O19" s="2"/>
      <c r="P19" s="2"/>
      <c r="Q19" s="2"/>
      <c r="R19" s="2"/>
      <c r="S19" s="2"/>
      <c r="T19" s="2"/>
      <c r="U19" s="2"/>
      <c r="V19" s="2"/>
      <c r="W19" s="153"/>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row>
    <row r="20" spans="1:51" ht="30" customHeight="1" x14ac:dyDescent="0.25">
      <c r="A20" s="18"/>
      <c r="B20" s="18"/>
      <c r="C20" s="18"/>
      <c r="D20" s="7"/>
      <c r="E20" s="2"/>
      <c r="F20" s="1149" t="s">
        <v>7267</v>
      </c>
      <c r="G20" s="1094"/>
      <c r="H20" s="1094"/>
      <c r="I20" s="1094"/>
      <c r="J20" s="1094"/>
      <c r="K20" s="1094"/>
      <c r="L20" s="1104"/>
      <c r="M20" s="148" t="s">
        <v>186</v>
      </c>
      <c r="N20" s="1147"/>
      <c r="O20" s="1096"/>
      <c r="P20" s="1096"/>
      <c r="Q20" s="1096"/>
      <c r="R20" s="1096"/>
      <c r="S20" s="1097"/>
      <c r="T20" s="2"/>
      <c r="U20" s="2"/>
      <c r="V20" s="2"/>
      <c r="W20" s="2"/>
      <c r="X20" s="2"/>
      <c r="Z20" s="2"/>
      <c r="AA20" s="2"/>
      <c r="AB20" s="2"/>
      <c r="AC20" s="2"/>
      <c r="AD20" s="2"/>
      <c r="AF20" s="2"/>
      <c r="AG20" s="2"/>
      <c r="AH20" s="2"/>
      <c r="AI20" s="2"/>
      <c r="AJ20" s="2"/>
      <c r="AK20" s="2"/>
      <c r="AL20" s="2"/>
      <c r="AN20" s="2"/>
      <c r="AO20" s="2"/>
      <c r="AP20" s="2"/>
      <c r="AQ20" s="2"/>
      <c r="AR20" s="2"/>
      <c r="AS20" s="2"/>
      <c r="AT20" s="2"/>
      <c r="AU20" s="2"/>
      <c r="AV20" s="2"/>
      <c r="AW20" s="2"/>
      <c r="AX20" s="2"/>
      <c r="AY20" s="2"/>
    </row>
    <row r="21" spans="1:51" ht="30" customHeight="1" x14ac:dyDescent="0.25">
      <c r="A21" s="18"/>
      <c r="B21" s="18"/>
      <c r="C21" s="18"/>
      <c r="D21" s="7"/>
      <c r="E21" s="2"/>
      <c r="F21" s="1294" t="s">
        <v>72</v>
      </c>
      <c r="G21" s="1295"/>
      <c r="H21" s="1295"/>
      <c r="I21" s="1295"/>
      <c r="J21" s="1295"/>
      <c r="K21" s="1295"/>
      <c r="L21" s="1296"/>
      <c r="M21" s="261" t="s">
        <v>186</v>
      </c>
      <c r="N21" s="1303"/>
      <c r="O21" s="1304"/>
      <c r="P21" s="1304"/>
      <c r="Q21" s="1304"/>
      <c r="R21" s="1304"/>
      <c r="S21" s="1305"/>
      <c r="T21" s="1009" t="s">
        <v>318</v>
      </c>
      <c r="U21" s="1009"/>
      <c r="V21" s="1009"/>
      <c r="W21" s="1009"/>
      <c r="X21" s="261" t="s">
        <v>186</v>
      </c>
      <c r="Y21" s="999"/>
      <c r="Z21" s="1000"/>
      <c r="AA21" s="1001"/>
      <c r="AB21" s="1009" t="s">
        <v>327</v>
      </c>
      <c r="AC21" s="1009"/>
      <c r="AD21" s="1010"/>
      <c r="AE21" s="1311"/>
      <c r="AF21" s="1312"/>
      <c r="AG21" s="1312"/>
      <c r="AH21" s="1312"/>
      <c r="AI21" s="1312"/>
      <c r="AJ21" s="1312"/>
      <c r="AK21" s="1312"/>
      <c r="AL21" s="1313"/>
      <c r="AM21" s="2"/>
      <c r="AN21" s="164"/>
      <c r="AO21" s="164"/>
      <c r="AP21" s="164"/>
      <c r="AQ21" s="164"/>
      <c r="AR21" s="164"/>
      <c r="AS21" s="164"/>
      <c r="AT21" s="164"/>
      <c r="AU21" s="164"/>
      <c r="AV21" s="164"/>
      <c r="AW21" s="164"/>
      <c r="AX21" s="164"/>
      <c r="AY21" s="164"/>
    </row>
    <row r="22" spans="1:51" ht="15" customHeight="1" x14ac:dyDescent="0.25">
      <c r="A22" s="18"/>
      <c r="B22" s="18"/>
      <c r="C22" s="18"/>
      <c r="D22" s="7"/>
      <c r="E22" s="2"/>
      <c r="F22" s="117"/>
      <c r="G22" s="117"/>
      <c r="H22" s="117"/>
      <c r="I22" s="117"/>
      <c r="J22" s="117"/>
      <c r="K22" s="117"/>
      <c r="L22" s="117"/>
      <c r="M22" s="241"/>
      <c r="N22" s="104"/>
      <c r="O22" s="104"/>
      <c r="P22" s="104"/>
      <c r="Q22" s="104"/>
      <c r="R22" s="104"/>
      <c r="S22" s="104"/>
      <c r="T22" s="240"/>
      <c r="U22" s="240"/>
      <c r="V22" s="240"/>
      <c r="W22" s="240"/>
      <c r="X22" s="240"/>
      <c r="Y22" s="241"/>
      <c r="Z22" s="242"/>
      <c r="AA22" s="242"/>
      <c r="AB22" s="242"/>
      <c r="AC22" s="97"/>
      <c r="AD22" s="97"/>
      <c r="AE22" s="97"/>
      <c r="AF22" s="243"/>
      <c r="AG22" s="243"/>
      <c r="AH22" s="243"/>
      <c r="AI22" s="243"/>
      <c r="AJ22" s="243"/>
      <c r="AK22" s="243"/>
      <c r="AL22" s="243"/>
      <c r="AM22" s="243"/>
      <c r="AN22" s="164"/>
      <c r="AO22" s="164"/>
      <c r="AP22" s="164"/>
      <c r="AQ22" s="164"/>
      <c r="AR22" s="164"/>
      <c r="AS22" s="164"/>
      <c r="AT22" s="164"/>
      <c r="AU22" s="164"/>
      <c r="AV22" s="164"/>
      <c r="AW22" s="164"/>
      <c r="AX22" s="164"/>
      <c r="AY22" s="164"/>
    </row>
    <row r="23" spans="1:51" ht="20.100000000000001" customHeight="1" x14ac:dyDescent="0.25">
      <c r="A23" s="18"/>
      <c r="B23" s="18"/>
      <c r="C23" s="18"/>
      <c r="D23" s="7"/>
      <c r="E23" s="7"/>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7"/>
      <c r="AO23" s="7"/>
      <c r="AP23" s="7"/>
      <c r="AQ23" s="7"/>
      <c r="AR23" s="7"/>
      <c r="AS23" s="7"/>
      <c r="AT23" s="7"/>
      <c r="AU23" s="7"/>
      <c r="AV23" s="7"/>
      <c r="AW23" s="7"/>
      <c r="AX23" s="7"/>
      <c r="AY23" s="7"/>
    </row>
    <row r="24" spans="1:51" ht="15" customHeight="1" x14ac:dyDescent="0.25">
      <c r="A24" s="18"/>
      <c r="B24" s="18"/>
      <c r="C24" s="18"/>
      <c r="D24" s="7"/>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row>
    <row r="25" spans="1:51" ht="20.100000000000001" customHeight="1" x14ac:dyDescent="0.25">
      <c r="A25" s="18"/>
      <c r="B25" s="18"/>
      <c r="C25" s="18"/>
      <c r="D25" s="7"/>
      <c r="E25" s="2"/>
      <c r="F25" s="244"/>
      <c r="G25" s="244"/>
      <c r="H25" s="244"/>
      <c r="I25" s="244"/>
      <c r="J25" s="244"/>
      <c r="K25" s="244"/>
      <c r="L25" s="244"/>
      <c r="M25" s="244"/>
      <c r="N25" s="244"/>
      <c r="O25" s="244"/>
      <c r="P25" s="244"/>
      <c r="Q25" s="244"/>
      <c r="R25" s="245" t="s">
        <v>73</v>
      </c>
      <c r="S25" s="244"/>
      <c r="T25" s="244"/>
      <c r="U25" s="244"/>
      <c r="V25" s="244"/>
      <c r="W25" s="244"/>
      <c r="X25" s="244"/>
      <c r="Y25" s="244"/>
      <c r="Z25" s="244"/>
      <c r="AA25" s="244"/>
      <c r="AB25" s="244"/>
      <c r="AC25" s="244"/>
      <c r="AD25" s="244"/>
      <c r="AE25" s="244"/>
      <c r="AF25" s="244"/>
      <c r="AG25" s="244"/>
      <c r="AH25" s="244"/>
      <c r="AI25" s="244"/>
      <c r="AJ25" s="244"/>
      <c r="AK25" s="212"/>
      <c r="AL25" s="212"/>
      <c r="AM25" s="212"/>
      <c r="AN25" s="212"/>
      <c r="AO25" s="246"/>
      <c r="AP25" s="246"/>
      <c r="AQ25" s="246"/>
      <c r="AR25" s="246"/>
      <c r="AS25" s="246"/>
      <c r="AT25" s="246"/>
      <c r="AU25" s="246"/>
      <c r="AV25" s="246"/>
      <c r="AW25" s="246"/>
      <c r="AX25" s="246"/>
      <c r="AY25" s="246"/>
    </row>
    <row r="26" spans="1:51" ht="20.100000000000001" customHeight="1" x14ac:dyDescent="0.25">
      <c r="A26" s="18"/>
      <c r="B26" s="18"/>
      <c r="C26" s="18"/>
      <c r="D26" s="7"/>
      <c r="E26" s="2"/>
      <c r="F26" s="247"/>
      <c r="G26" s="247"/>
      <c r="H26" s="247"/>
      <c r="I26" s="247"/>
      <c r="J26" s="247"/>
      <c r="K26" s="247"/>
      <c r="L26" s="247"/>
      <c r="M26" s="247"/>
      <c r="N26" s="247"/>
      <c r="O26" s="247"/>
      <c r="P26" s="247"/>
      <c r="Q26" s="247"/>
      <c r="R26" s="247"/>
      <c r="S26" s="247"/>
      <c r="T26" s="248"/>
      <c r="U26" s="248"/>
      <c r="V26" s="248"/>
      <c r="W26" s="248"/>
      <c r="X26" s="248"/>
      <c r="Y26" s="248"/>
      <c r="Z26" s="248"/>
      <c r="AA26" s="248"/>
      <c r="AB26" s="248"/>
      <c r="AC26" s="248"/>
      <c r="AD26" s="248"/>
      <c r="AE26" s="248"/>
      <c r="AF26" s="248"/>
      <c r="AG26" s="248"/>
      <c r="AH26" s="248"/>
      <c r="AI26" s="248"/>
      <c r="AJ26" s="248"/>
      <c r="AK26" s="162"/>
      <c r="AL26" s="162"/>
      <c r="AM26" s="162"/>
      <c r="AN26" s="162"/>
      <c r="AO26" s="162"/>
      <c r="AP26" s="162"/>
      <c r="AQ26" s="162"/>
      <c r="AR26" s="162"/>
      <c r="AS26" s="162"/>
      <c r="AT26" s="162"/>
      <c r="AU26" s="162"/>
      <c r="AV26" s="162"/>
      <c r="AW26" s="162"/>
      <c r="AX26" s="162"/>
      <c r="AY26" s="162"/>
    </row>
    <row r="27" spans="1:51" ht="24.95" customHeight="1" x14ac:dyDescent="0.25">
      <c r="A27" s="18"/>
      <c r="B27" s="18"/>
      <c r="C27" s="18"/>
      <c r="D27" s="7"/>
      <c r="E27" s="2"/>
      <c r="F27" s="1149" t="s">
        <v>74</v>
      </c>
      <c r="G27" s="1094"/>
      <c r="H27" s="1094"/>
      <c r="I27" s="1094"/>
      <c r="J27" s="1094"/>
      <c r="K27" s="1094"/>
      <c r="L27" s="1104"/>
      <c r="M27" s="148" t="s">
        <v>186</v>
      </c>
      <c r="N27" s="1290"/>
      <c r="O27" s="1290"/>
      <c r="P27" s="1290"/>
      <c r="Q27" s="1290"/>
      <c r="R27" s="1290"/>
      <c r="S27" s="1290"/>
      <c r="T27" s="2"/>
      <c r="U27" s="2"/>
      <c r="V27" s="2"/>
      <c r="W27" s="249"/>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row>
    <row r="28" spans="1:51" ht="15" customHeight="1" x14ac:dyDescent="0.25">
      <c r="A28" s="18"/>
      <c r="B28" s="18"/>
      <c r="C28" s="18"/>
      <c r="D28" s="7"/>
      <c r="E28" s="2"/>
      <c r="F28" s="117"/>
      <c r="G28" s="117"/>
      <c r="H28" s="117"/>
      <c r="I28" s="117"/>
      <c r="J28" s="117"/>
      <c r="K28" s="2"/>
      <c r="L28" s="2"/>
      <c r="M28" s="2"/>
      <c r="N28" s="2"/>
      <c r="O28" s="2"/>
      <c r="P28" s="2"/>
      <c r="Q28" s="2"/>
      <c r="R28" s="2"/>
      <c r="S28" s="2"/>
      <c r="T28" s="2"/>
      <c r="U28" s="2"/>
      <c r="V28" s="2"/>
      <c r="W28" s="249"/>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row>
    <row r="29" spans="1:51" ht="20.100000000000001" customHeight="1" x14ac:dyDescent="0.25">
      <c r="A29" s="18"/>
      <c r="B29" s="18"/>
      <c r="C29" s="18"/>
      <c r="D29" s="7"/>
      <c r="E29" s="2"/>
      <c r="F29" s="2"/>
      <c r="G29" s="250"/>
      <c r="H29" s="250"/>
      <c r="I29" s="250"/>
      <c r="J29" s="250"/>
      <c r="K29" s="250"/>
      <c r="L29" s="250"/>
      <c r="M29" s="196"/>
      <c r="N29" s="1306" t="s">
        <v>84</v>
      </c>
      <c r="O29" s="1307"/>
      <c r="P29" s="1307"/>
      <c r="Q29" s="1307"/>
      <c r="R29" s="1307"/>
      <c r="S29" s="1308"/>
      <c r="T29" s="1300" t="s">
        <v>246</v>
      </c>
      <c r="U29" s="1300"/>
      <c r="V29" s="1300"/>
      <c r="W29" s="1300" t="s">
        <v>247</v>
      </c>
      <c r="X29" s="1300"/>
      <c r="Y29" s="1300"/>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row>
    <row r="30" spans="1:51" ht="20.100000000000001" customHeight="1" x14ac:dyDescent="0.25">
      <c r="A30" s="18"/>
      <c r="B30" s="18"/>
      <c r="C30" s="18"/>
      <c r="D30" s="7"/>
      <c r="E30" s="2"/>
      <c r="F30" s="251"/>
      <c r="G30" s="252"/>
      <c r="H30" s="252"/>
      <c r="I30" s="252"/>
      <c r="J30" s="252"/>
      <c r="K30" s="252"/>
      <c r="L30" s="252"/>
      <c r="M30" s="199"/>
      <c r="N30" s="1291"/>
      <c r="O30" s="1292"/>
      <c r="P30" s="1292"/>
      <c r="Q30" s="1292"/>
      <c r="R30" s="1292"/>
      <c r="S30" s="1292"/>
      <c r="T30" s="1301"/>
      <c r="U30" s="1301"/>
      <c r="V30" s="1301"/>
      <c r="W30" s="1301"/>
      <c r="X30" s="1301"/>
      <c r="Y30" s="1301"/>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row>
    <row r="31" spans="1:51" ht="20.100000000000001" customHeight="1" x14ac:dyDescent="0.25">
      <c r="A31" s="18"/>
      <c r="B31" s="18"/>
      <c r="C31" s="18"/>
      <c r="D31" s="7"/>
      <c r="E31" s="2"/>
      <c r="F31" s="253"/>
      <c r="G31" s="250"/>
      <c r="H31" s="250"/>
      <c r="I31" s="250"/>
      <c r="J31" s="250"/>
      <c r="K31" s="250"/>
      <c r="L31" s="250"/>
      <c r="M31" s="254"/>
      <c r="N31" s="1291"/>
      <c r="O31" s="1292"/>
      <c r="P31" s="1292"/>
      <c r="Q31" s="1292"/>
      <c r="R31" s="1292"/>
      <c r="S31" s="1292"/>
      <c r="T31" s="1301"/>
      <c r="U31" s="1301"/>
      <c r="V31" s="1301"/>
      <c r="W31" s="1301"/>
      <c r="X31" s="1301"/>
      <c r="Y31" s="1301"/>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row>
    <row r="32" spans="1:51" ht="20.100000000000001" customHeight="1" x14ac:dyDescent="0.25">
      <c r="A32" s="18"/>
      <c r="B32" s="18"/>
      <c r="C32" s="18"/>
      <c r="D32" s="7"/>
      <c r="E32" s="2"/>
      <c r="F32" s="253"/>
      <c r="G32" s="250"/>
      <c r="H32" s="250"/>
      <c r="I32" s="250"/>
      <c r="J32" s="250"/>
      <c r="K32" s="250"/>
      <c r="L32" s="250"/>
      <c r="M32" s="254"/>
      <c r="N32" s="1291"/>
      <c r="O32" s="1292"/>
      <c r="P32" s="1292"/>
      <c r="Q32" s="1292"/>
      <c r="R32" s="1292"/>
      <c r="S32" s="1292"/>
      <c r="T32" s="1301"/>
      <c r="U32" s="1301"/>
      <c r="V32" s="1301"/>
      <c r="W32" s="1301"/>
      <c r="X32" s="1301"/>
      <c r="Y32" s="1301"/>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row>
    <row r="33" spans="1:51" ht="20.100000000000001" customHeight="1" x14ac:dyDescent="0.25">
      <c r="A33" s="18"/>
      <c r="B33" s="18"/>
      <c r="C33" s="18"/>
      <c r="D33" s="7"/>
      <c r="E33" s="2"/>
      <c r="F33" s="253"/>
      <c r="G33" s="250"/>
      <c r="H33" s="250"/>
      <c r="I33" s="250"/>
      <c r="J33" s="250"/>
      <c r="K33" s="250"/>
      <c r="L33" s="250"/>
      <c r="M33" s="254"/>
      <c r="N33" s="1291"/>
      <c r="O33" s="1292"/>
      <c r="P33" s="1292"/>
      <c r="Q33" s="1292"/>
      <c r="R33" s="1292"/>
      <c r="S33" s="1292"/>
      <c r="T33" s="1301"/>
      <c r="U33" s="1301"/>
      <c r="V33" s="1301"/>
      <c r="W33" s="1301"/>
      <c r="X33" s="1301"/>
      <c r="Y33" s="1301"/>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row>
    <row r="34" spans="1:51" ht="20.100000000000001" customHeight="1" x14ac:dyDescent="0.25">
      <c r="A34" s="18"/>
      <c r="B34" s="18"/>
      <c r="C34" s="18"/>
      <c r="D34" s="7"/>
      <c r="E34" s="2"/>
      <c r="F34" s="253"/>
      <c r="G34" s="250"/>
      <c r="H34" s="250"/>
      <c r="I34" s="250"/>
      <c r="J34" s="250"/>
      <c r="K34" s="250"/>
      <c r="L34" s="250"/>
      <c r="M34" s="254"/>
      <c r="N34" s="1291"/>
      <c r="O34" s="1292"/>
      <c r="P34" s="1292"/>
      <c r="Q34" s="1292"/>
      <c r="R34" s="1292"/>
      <c r="S34" s="1292"/>
      <c r="T34" s="1301"/>
      <c r="U34" s="1301"/>
      <c r="V34" s="1301"/>
      <c r="W34" s="1301"/>
      <c r="X34" s="1301"/>
      <c r="Y34" s="1301"/>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row>
    <row r="35" spans="1:51" ht="20.100000000000001" customHeight="1" x14ac:dyDescent="0.25">
      <c r="A35" s="18"/>
      <c r="B35" s="18"/>
      <c r="C35" s="18"/>
      <c r="D35" s="7"/>
      <c r="E35" s="2"/>
      <c r="F35" s="1070" t="s">
        <v>238</v>
      </c>
      <c r="G35" s="1071"/>
      <c r="H35" s="1071"/>
      <c r="I35" s="1071"/>
      <c r="J35" s="1071"/>
      <c r="K35" s="1071"/>
      <c r="L35" s="250"/>
      <c r="M35" s="262" t="s">
        <v>186</v>
      </c>
      <c r="N35" s="1291"/>
      <c r="O35" s="1292"/>
      <c r="P35" s="1292"/>
      <c r="Q35" s="1292"/>
      <c r="R35" s="1292"/>
      <c r="S35" s="1292"/>
      <c r="T35" s="1301"/>
      <c r="U35" s="1301"/>
      <c r="V35" s="1301"/>
      <c r="W35" s="1301"/>
      <c r="X35" s="1301"/>
      <c r="Y35" s="1301"/>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row>
    <row r="36" spans="1:51" ht="20.100000000000001" customHeight="1" x14ac:dyDescent="0.25">
      <c r="A36" s="18"/>
      <c r="B36" s="18"/>
      <c r="C36" s="18"/>
      <c r="D36" s="7"/>
      <c r="E36" s="2"/>
      <c r="F36" s="253"/>
      <c r="G36" s="250"/>
      <c r="H36" s="250"/>
      <c r="I36" s="250"/>
      <c r="J36" s="250"/>
      <c r="K36" s="250"/>
      <c r="L36" s="250"/>
      <c r="M36" s="254"/>
      <c r="N36" s="1291"/>
      <c r="O36" s="1292"/>
      <c r="P36" s="1292"/>
      <c r="Q36" s="1292"/>
      <c r="R36" s="1292"/>
      <c r="S36" s="1292"/>
      <c r="T36" s="1301"/>
      <c r="U36" s="1301"/>
      <c r="V36" s="1301"/>
      <c r="W36" s="1301"/>
      <c r="X36" s="1301"/>
      <c r="Y36" s="1301"/>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row>
    <row r="37" spans="1:51" ht="20.100000000000001" customHeight="1" x14ac:dyDescent="0.25">
      <c r="A37" s="18"/>
      <c r="B37" s="18"/>
      <c r="C37" s="18"/>
      <c r="D37" s="7"/>
      <c r="E37" s="2"/>
      <c r="F37" s="253"/>
      <c r="G37" s="250"/>
      <c r="H37" s="250"/>
      <c r="I37" s="250"/>
      <c r="J37" s="250"/>
      <c r="K37" s="250"/>
      <c r="L37" s="250"/>
      <c r="M37" s="254"/>
      <c r="N37" s="1291"/>
      <c r="O37" s="1292"/>
      <c r="P37" s="1292"/>
      <c r="Q37" s="1292"/>
      <c r="R37" s="1292"/>
      <c r="S37" s="1292"/>
      <c r="T37" s="1301"/>
      <c r="U37" s="1301"/>
      <c r="V37" s="1301"/>
      <c r="W37" s="1301"/>
      <c r="X37" s="1301"/>
      <c r="Y37" s="1301"/>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row>
    <row r="38" spans="1:51" ht="20.100000000000001" customHeight="1" x14ac:dyDescent="0.25">
      <c r="A38" s="18"/>
      <c r="B38" s="18"/>
      <c r="C38" s="18"/>
      <c r="D38" s="7"/>
      <c r="E38" s="2"/>
      <c r="F38" s="253"/>
      <c r="G38" s="250"/>
      <c r="H38" s="250"/>
      <c r="I38" s="250"/>
      <c r="J38" s="250"/>
      <c r="K38" s="250"/>
      <c r="L38" s="250"/>
      <c r="M38" s="254"/>
      <c r="N38" s="1291"/>
      <c r="O38" s="1292"/>
      <c r="P38" s="1292"/>
      <c r="Q38" s="1292"/>
      <c r="R38" s="1292"/>
      <c r="S38" s="1292"/>
      <c r="T38" s="1301"/>
      <c r="U38" s="1301"/>
      <c r="V38" s="1301"/>
      <c r="W38" s="1301"/>
      <c r="X38" s="1301"/>
      <c r="Y38" s="1301"/>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row>
    <row r="39" spans="1:51" ht="20.100000000000001" customHeight="1" x14ac:dyDescent="0.25">
      <c r="A39" s="18"/>
      <c r="B39" s="18"/>
      <c r="C39" s="18"/>
      <c r="D39" s="7"/>
      <c r="E39" s="2"/>
      <c r="F39" s="255"/>
      <c r="G39" s="256"/>
      <c r="H39" s="256"/>
      <c r="I39" s="256"/>
      <c r="J39" s="256"/>
      <c r="K39" s="256"/>
      <c r="L39" s="256"/>
      <c r="M39" s="202"/>
      <c r="N39" s="1291"/>
      <c r="O39" s="1292"/>
      <c r="P39" s="1292"/>
      <c r="Q39" s="1292"/>
      <c r="R39" s="1292"/>
      <c r="S39" s="1292"/>
      <c r="T39" s="1301"/>
      <c r="U39" s="1301"/>
      <c r="V39" s="1301"/>
      <c r="W39" s="1301"/>
      <c r="X39" s="1301"/>
      <c r="Y39" s="1301"/>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row>
    <row r="40" spans="1:51" ht="20.100000000000001" customHeight="1" x14ac:dyDescent="0.25">
      <c r="A40" s="18"/>
      <c r="B40" s="18"/>
      <c r="C40" s="18"/>
      <c r="D40" s="7"/>
      <c r="E40" s="2"/>
      <c r="F40" s="2"/>
      <c r="G40" s="2"/>
      <c r="H40" s="2"/>
      <c r="I40" s="2"/>
      <c r="J40" s="2"/>
      <c r="K40" s="2"/>
      <c r="L40" s="2"/>
      <c r="M40" s="2"/>
      <c r="N40" s="2"/>
      <c r="O40" s="2"/>
      <c r="P40" s="2"/>
      <c r="Q40" s="2"/>
      <c r="R40" s="2"/>
      <c r="S40" s="2"/>
      <c r="T40" s="2"/>
      <c r="U40" s="2"/>
      <c r="V40" s="2"/>
      <c r="W40" s="257"/>
      <c r="X40" s="257"/>
      <c r="Y40" s="257"/>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1" ht="35.25" customHeight="1" x14ac:dyDescent="0.25">
      <c r="A41" s="18"/>
      <c r="B41" s="18"/>
      <c r="C41" s="18"/>
      <c r="D41" s="7"/>
      <c r="E41" s="2"/>
      <c r="F41" s="1294" t="str">
        <f>'Calculos(2)'!$AW$30</f>
        <v>Aguardando preenchimento da unidade de medida na aba Composição</v>
      </c>
      <c r="G41" s="1295"/>
      <c r="H41" s="1295"/>
      <c r="I41" s="1295"/>
      <c r="J41" s="1295"/>
      <c r="K41" s="1295"/>
      <c r="L41" s="1296"/>
      <c r="M41" s="148" t="s">
        <v>186</v>
      </c>
      <c r="N41" s="1290"/>
      <c r="O41" s="1290"/>
      <c r="P41" s="1290"/>
      <c r="Q41" s="1290"/>
      <c r="R41" s="1290"/>
      <c r="S41" s="1290"/>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1" ht="57" customHeight="1" x14ac:dyDescent="0.25">
      <c r="A42" s="18"/>
      <c r="B42" s="18"/>
      <c r="C42" s="18"/>
      <c r="D42" s="7"/>
      <c r="E42" s="2"/>
      <c r="F42" s="1149" t="s">
        <v>75</v>
      </c>
      <c r="G42" s="1094"/>
      <c r="H42" s="1094"/>
      <c r="I42" s="1094"/>
      <c r="J42" s="1094"/>
      <c r="K42" s="1094"/>
      <c r="L42" s="1104"/>
      <c r="M42" s="148" t="s">
        <v>186</v>
      </c>
      <c r="N42" s="1290"/>
      <c r="O42" s="1290"/>
      <c r="P42" s="1290"/>
      <c r="Q42" s="1290"/>
      <c r="R42" s="1290"/>
      <c r="S42" s="1290"/>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row>
    <row r="43" spans="1:51" ht="42.75" customHeight="1" x14ac:dyDescent="0.25">
      <c r="A43" s="18"/>
      <c r="B43" s="18"/>
      <c r="C43" s="18"/>
      <c r="D43" s="7"/>
      <c r="E43" s="2"/>
      <c r="F43" s="1149" t="s">
        <v>76</v>
      </c>
      <c r="G43" s="1094"/>
      <c r="H43" s="1094"/>
      <c r="I43" s="1094"/>
      <c r="J43" s="1094"/>
      <c r="K43" s="1094"/>
      <c r="L43" s="1104"/>
      <c r="M43" s="148" t="s">
        <v>186</v>
      </c>
      <c r="N43" s="1290"/>
      <c r="O43" s="1290"/>
      <c r="P43" s="1290"/>
      <c r="Q43" s="1290"/>
      <c r="R43" s="1290"/>
      <c r="S43" s="1290"/>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row>
    <row r="44" spans="1:51" ht="60" customHeight="1" x14ac:dyDescent="0.25">
      <c r="A44" s="18"/>
      <c r="B44" s="18"/>
      <c r="C44" s="18"/>
      <c r="D44" s="7"/>
      <c r="E44" s="2"/>
      <c r="F44" s="1149" t="s">
        <v>319</v>
      </c>
      <c r="G44" s="1094"/>
      <c r="H44" s="1094"/>
      <c r="I44" s="1094"/>
      <c r="J44" s="1094"/>
      <c r="K44" s="1094"/>
      <c r="L44" s="1104"/>
      <c r="M44" s="148" t="s">
        <v>186</v>
      </c>
      <c r="N44" s="1044"/>
      <c r="O44" s="1044"/>
      <c r="P44" s="1044"/>
      <c r="Q44" s="1044"/>
      <c r="R44" s="1044"/>
      <c r="S44" s="1044"/>
      <c r="T44" s="1044"/>
      <c r="U44" s="1044"/>
      <c r="V44" s="1044"/>
      <c r="W44" s="1044"/>
      <c r="X44" s="1044"/>
      <c r="Y44" s="1044"/>
      <c r="Z44" s="1044"/>
      <c r="AA44" s="1044"/>
      <c r="AB44" s="1044"/>
      <c r="AC44" s="1044"/>
      <c r="AD44" s="1044"/>
      <c r="AE44" s="1044"/>
      <c r="AF44" s="1044"/>
      <c r="AG44" s="1044"/>
      <c r="AH44" s="1044"/>
      <c r="AI44" s="1044"/>
      <c r="AJ44" s="1044"/>
      <c r="AK44" s="1309" t="s">
        <v>271</v>
      </c>
      <c r="AL44" s="1310"/>
      <c r="AM44" s="1310"/>
      <c r="AN44" s="1310"/>
      <c r="AO44" s="125"/>
      <c r="AP44" s="125"/>
      <c r="AQ44" s="125"/>
      <c r="AR44" s="125"/>
      <c r="AS44" s="125"/>
      <c r="AT44" s="125"/>
      <c r="AU44" s="125"/>
      <c r="AV44" s="125"/>
      <c r="AW44" s="125"/>
      <c r="AX44" s="125"/>
      <c r="AY44" s="125"/>
    </row>
    <row r="45" spans="1:51" ht="15" customHeight="1" x14ac:dyDescent="0.25">
      <c r="A45" s="18"/>
      <c r="B45" s="18"/>
      <c r="C45" s="18"/>
      <c r="D45" s="7"/>
      <c r="E45" s="2"/>
      <c r="F45" s="117"/>
      <c r="G45" s="117"/>
      <c r="H45" s="117"/>
      <c r="I45" s="117"/>
      <c r="J45" s="117"/>
      <c r="K45" s="117"/>
      <c r="L45" s="117"/>
      <c r="M45" s="241"/>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25"/>
      <c r="AL45" s="125"/>
      <c r="AM45" s="125"/>
      <c r="AN45" s="125"/>
      <c r="AO45" s="125"/>
      <c r="AP45" s="125"/>
      <c r="AQ45" s="125"/>
      <c r="AR45" s="125"/>
      <c r="AS45" s="125"/>
      <c r="AT45" s="125"/>
      <c r="AU45" s="125"/>
      <c r="AV45" s="125"/>
      <c r="AW45" s="125"/>
      <c r="AX45" s="125"/>
      <c r="AY45" s="125"/>
    </row>
    <row r="46" spans="1:51" ht="20.100000000000001" customHeight="1" x14ac:dyDescent="0.25">
      <c r="A46" s="18"/>
      <c r="B46" s="18"/>
      <c r="C46" s="18"/>
      <c r="D46" s="7"/>
      <c r="E46" s="7"/>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ht="15" customHeight="1" x14ac:dyDescent="0.25">
      <c r="A47" s="18"/>
      <c r="B47" s="18"/>
      <c r="C47" s="18"/>
      <c r="D47" s="7"/>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row>
    <row r="48" spans="1:51" ht="20.100000000000001" customHeight="1" x14ac:dyDescent="0.25">
      <c r="A48" s="18"/>
      <c r="B48" s="18"/>
      <c r="C48" s="18"/>
      <c r="D48" s="7"/>
      <c r="E48" s="2"/>
      <c r="F48" s="259"/>
      <c r="G48" s="259"/>
      <c r="H48" s="259"/>
      <c r="I48" s="259"/>
      <c r="J48" s="259"/>
      <c r="K48" s="259"/>
      <c r="L48" s="259"/>
      <c r="M48" s="259"/>
      <c r="N48" s="259"/>
      <c r="O48" s="259"/>
      <c r="P48" s="259"/>
      <c r="Q48" s="259"/>
      <c r="R48" s="259" t="s">
        <v>77</v>
      </c>
      <c r="S48" s="259"/>
      <c r="T48" s="259"/>
      <c r="U48" s="259"/>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row>
    <row r="49" spans="1:51" ht="20.100000000000001" customHeight="1" x14ac:dyDescent="0.25">
      <c r="A49" s="18"/>
      <c r="B49" s="18"/>
      <c r="C49" s="18"/>
      <c r="D49" s="7"/>
      <c r="E49" s="2"/>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row>
    <row r="50" spans="1:51" ht="24.95" customHeight="1" x14ac:dyDescent="0.25">
      <c r="A50" s="18"/>
      <c r="B50" s="18"/>
      <c r="C50" s="18"/>
      <c r="D50" s="7"/>
      <c r="E50" s="2"/>
      <c r="F50" s="1149" t="s">
        <v>35</v>
      </c>
      <c r="G50" s="1094"/>
      <c r="H50" s="1094"/>
      <c r="I50" s="1094"/>
      <c r="J50" s="1094"/>
      <c r="K50" s="1094"/>
      <c r="L50" s="1094"/>
      <c r="M50" s="148" t="s">
        <v>186</v>
      </c>
      <c r="N50" s="973"/>
      <c r="O50" s="974"/>
      <c r="P50" s="974"/>
      <c r="Q50" s="974"/>
      <c r="R50" s="974"/>
      <c r="S50" s="975"/>
      <c r="T50" s="260"/>
      <c r="U50" s="260"/>
      <c r="V50" s="1149" t="s">
        <v>7261</v>
      </c>
      <c r="W50" s="1094"/>
      <c r="X50" s="1094"/>
      <c r="Y50" s="1094"/>
      <c r="Z50" s="1094"/>
      <c r="AA50" s="1094"/>
      <c r="AB50" s="1104"/>
      <c r="AC50" s="148" t="s">
        <v>186</v>
      </c>
      <c r="AD50" s="1302"/>
      <c r="AE50" s="1302"/>
      <c r="AF50" s="1302"/>
      <c r="AG50" s="1302"/>
      <c r="AH50" s="1302"/>
      <c r="AI50" s="1302"/>
      <c r="AJ50" s="2"/>
      <c r="AK50" s="2"/>
      <c r="AL50" s="2"/>
      <c r="AM50" s="2"/>
      <c r="AN50" s="2"/>
      <c r="AO50" s="2"/>
      <c r="AP50" s="2"/>
      <c r="AQ50" s="2"/>
      <c r="AR50" s="2"/>
      <c r="AS50" s="2"/>
      <c r="AT50" s="2"/>
      <c r="AU50" s="2"/>
      <c r="AV50" s="2"/>
      <c r="AW50" s="260"/>
      <c r="AX50" s="260"/>
      <c r="AY50" s="260"/>
    </row>
    <row r="51" spans="1:51" ht="24.95" customHeight="1" x14ac:dyDescent="0.25">
      <c r="A51" s="18"/>
      <c r="B51" s="18"/>
      <c r="C51" s="18"/>
      <c r="D51" s="7"/>
      <c r="E51" s="2"/>
      <c r="F51" s="1149" t="s">
        <v>320</v>
      </c>
      <c r="G51" s="1094"/>
      <c r="H51" s="1094"/>
      <c r="I51" s="1094"/>
      <c r="J51" s="1094"/>
      <c r="K51" s="1094"/>
      <c r="L51" s="1104"/>
      <c r="M51" s="148" t="s">
        <v>186</v>
      </c>
      <c r="N51" s="1134"/>
      <c r="O51" s="1156"/>
      <c r="P51" s="1156"/>
      <c r="Q51" s="1156"/>
      <c r="R51" s="1156"/>
      <c r="S51" s="1135"/>
      <c r="T51" s="2"/>
      <c r="U51" s="2"/>
      <c r="V51" s="1149" t="s">
        <v>7262</v>
      </c>
      <c r="W51" s="1094"/>
      <c r="X51" s="1094"/>
      <c r="Y51" s="1094"/>
      <c r="Z51" s="1094"/>
      <c r="AA51" s="1094"/>
      <c r="AB51" s="1104"/>
      <c r="AC51" s="148" t="s">
        <v>186</v>
      </c>
      <c r="AD51" s="1302"/>
      <c r="AE51" s="1302"/>
      <c r="AF51" s="1302"/>
      <c r="AG51" s="1302"/>
      <c r="AH51" s="1302"/>
      <c r="AI51" s="1302"/>
      <c r="AJ51" s="2"/>
      <c r="AK51" s="2"/>
      <c r="AL51" s="2"/>
      <c r="AM51" s="2"/>
      <c r="AN51" s="2"/>
      <c r="AO51" s="2"/>
      <c r="AP51" s="2"/>
      <c r="AQ51" s="2"/>
      <c r="AR51" s="2"/>
      <c r="AS51" s="2"/>
      <c r="AT51" s="2"/>
      <c r="AU51" s="2"/>
      <c r="AV51" s="2"/>
      <c r="AW51" s="2"/>
      <c r="AX51" s="2"/>
      <c r="AY51" s="2"/>
    </row>
    <row r="52" spans="1:51" ht="24.95" customHeight="1" x14ac:dyDescent="0.25">
      <c r="A52" s="18"/>
      <c r="B52" s="18"/>
      <c r="C52" s="18"/>
      <c r="D52" s="7"/>
      <c r="E52" s="2"/>
      <c r="T52" s="2"/>
      <c r="U52" s="2"/>
      <c r="V52" s="1149" t="s">
        <v>7264</v>
      </c>
      <c r="W52" s="1094"/>
      <c r="X52" s="1094"/>
      <c r="Y52" s="1094"/>
      <c r="Z52" s="1094"/>
      <c r="AA52" s="1094"/>
      <c r="AB52" s="1104"/>
      <c r="AC52" s="148"/>
      <c r="AD52" s="1004" t="str">
        <f ca="1">'Calculos(2)'!AY30</f>
        <v>Desintegrações por minuto (DPM)</v>
      </c>
      <c r="AE52" s="1314"/>
      <c r="AF52" s="1314"/>
      <c r="AG52" s="1315"/>
      <c r="AH52" s="1316"/>
      <c r="AI52" s="1317"/>
      <c r="AJ52" s="1004" t="s">
        <v>81</v>
      </c>
      <c r="AK52" s="1314"/>
      <c r="AL52" s="1314"/>
      <c r="AM52" s="1315"/>
      <c r="AN52" s="1316"/>
      <c r="AO52" s="1317"/>
      <c r="AP52" s="2"/>
      <c r="AQ52" s="2"/>
      <c r="AR52" s="2"/>
      <c r="AS52" s="2"/>
      <c r="AT52" s="2"/>
      <c r="AU52" s="2"/>
      <c r="AV52" s="2"/>
      <c r="AW52" s="2"/>
      <c r="AX52" s="2"/>
      <c r="AY52" s="2"/>
    </row>
    <row r="53" spans="1:51" ht="20.100000000000001" customHeight="1" x14ac:dyDescent="0.25">
      <c r="A53" s="18"/>
      <c r="B53" s="18"/>
      <c r="C53" s="18"/>
      <c r="D53" s="7"/>
      <c r="E53" s="2"/>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2"/>
      <c r="AJ53" s="2"/>
      <c r="AK53" s="2"/>
      <c r="AL53" s="2"/>
      <c r="AM53" s="2"/>
      <c r="AN53" s="2"/>
      <c r="AO53" s="2"/>
      <c r="AP53" s="2"/>
      <c r="AQ53" s="2"/>
      <c r="AR53" s="2"/>
      <c r="AS53" s="2"/>
      <c r="AT53" s="2"/>
      <c r="AU53" s="2"/>
      <c r="AV53" s="2"/>
      <c r="AW53" s="2"/>
      <c r="AX53" s="2"/>
      <c r="AY53" s="2"/>
    </row>
    <row r="54" spans="1:51" ht="20.100000000000001" hidden="1" customHeight="1" x14ac:dyDescent="0.25">
      <c r="A54" s="18"/>
      <c r="B54" s="18"/>
      <c r="C54" s="18"/>
      <c r="D54" s="7"/>
      <c r="E54" s="2"/>
    </row>
    <row r="55" spans="1:51" ht="24.95" hidden="1" customHeight="1" x14ac:dyDescent="0.25">
      <c r="A55" s="18"/>
      <c r="B55" s="18"/>
      <c r="C55" s="18"/>
      <c r="D55" s="7"/>
      <c r="E55" s="2"/>
    </row>
    <row r="56" spans="1:51" ht="30" hidden="1" customHeight="1" x14ac:dyDescent="0.25">
      <c r="A56" s="18"/>
      <c r="B56" s="18"/>
      <c r="C56" s="18"/>
      <c r="D56" s="7"/>
      <c r="E56" s="2"/>
    </row>
    <row r="57" spans="1:51" ht="20.100000000000001" hidden="1" customHeight="1" x14ac:dyDescent="0.25">
      <c r="A57" s="18"/>
      <c r="B57" s="18"/>
      <c r="C57" s="18"/>
      <c r="D57" s="7"/>
      <c r="E57" s="2"/>
    </row>
    <row r="58" spans="1:51" ht="30" hidden="1" customHeight="1" x14ac:dyDescent="0.25">
      <c r="A58" s="18"/>
      <c r="B58" s="18"/>
      <c r="C58" s="18"/>
      <c r="D58" s="7"/>
      <c r="E58" s="2"/>
    </row>
    <row r="59" spans="1:51" ht="30" hidden="1" customHeight="1" x14ac:dyDescent="0.25">
      <c r="A59" s="18"/>
      <c r="B59" s="18"/>
      <c r="C59" s="18"/>
      <c r="D59" s="7"/>
      <c r="E59" s="2"/>
    </row>
    <row r="60" spans="1:51" ht="30" hidden="1" customHeight="1" x14ac:dyDescent="0.25">
      <c r="A60" s="18"/>
      <c r="B60" s="18"/>
      <c r="C60" s="18"/>
      <c r="D60" s="7"/>
      <c r="E60" s="2"/>
    </row>
    <row r="61" spans="1:51" ht="30" hidden="1" customHeight="1" x14ac:dyDescent="0.25">
      <c r="A61" s="18"/>
      <c r="B61" s="18"/>
      <c r="C61" s="18"/>
      <c r="D61" s="7"/>
      <c r="E61" s="2"/>
    </row>
    <row r="62" spans="1:51" ht="30" customHeight="1" x14ac:dyDescent="0.25">
      <c r="A62" s="18"/>
      <c r="B62" s="18"/>
      <c r="C62" s="18"/>
      <c r="D62" s="7"/>
      <c r="E62" s="2"/>
      <c r="F62" s="1286" t="s">
        <v>8024</v>
      </c>
      <c r="G62" s="1286"/>
      <c r="H62" s="1286"/>
      <c r="I62" s="1286"/>
      <c r="J62" s="1318" t="s">
        <v>140</v>
      </c>
      <c r="K62" s="1318"/>
      <c r="L62" s="1318"/>
      <c r="M62" s="1318"/>
      <c r="N62" s="1319"/>
      <c r="O62" s="1229" t="s">
        <v>133</v>
      </c>
      <c r="P62" s="1230"/>
      <c r="Q62" s="1230"/>
      <c r="R62" s="1231"/>
      <c r="S62" s="1229" t="s">
        <v>134</v>
      </c>
      <c r="T62" s="1231"/>
      <c r="U62" s="1229" t="s">
        <v>136</v>
      </c>
      <c r="V62" s="1231"/>
      <c r="W62" s="1229" t="s">
        <v>137</v>
      </c>
      <c r="X62" s="1231"/>
      <c r="Y62" s="1229" t="s">
        <v>138</v>
      </c>
      <c r="Z62" s="1231"/>
      <c r="AA62" s="1229" t="s">
        <v>135</v>
      </c>
      <c r="AB62" s="1230"/>
      <c r="AC62" s="1230"/>
      <c r="AD62" s="1231"/>
      <c r="AS62" s="2"/>
      <c r="AT62" s="2"/>
      <c r="AU62" s="2"/>
      <c r="AV62" s="2"/>
      <c r="AW62" s="2"/>
      <c r="AX62" s="2"/>
      <c r="AY62" s="2"/>
    </row>
    <row r="63" spans="1:51" ht="30" customHeight="1" x14ac:dyDescent="0.25">
      <c r="A63" s="18"/>
      <c r="B63" s="18"/>
      <c r="C63" s="18"/>
      <c r="D63" s="7"/>
      <c r="E63" s="2"/>
      <c r="F63" s="1286"/>
      <c r="G63" s="1286"/>
      <c r="H63" s="1286"/>
      <c r="I63" s="1286"/>
      <c r="J63" s="1318" t="s">
        <v>146</v>
      </c>
      <c r="K63" s="1318"/>
      <c r="L63" s="1318"/>
      <c r="M63" s="1318"/>
      <c r="N63" s="1319"/>
      <c r="O63" s="1326"/>
      <c r="P63" s="1333"/>
      <c r="Q63" s="1333"/>
      <c r="R63" s="1327"/>
      <c r="S63" s="1326"/>
      <c r="T63" s="1327"/>
      <c r="U63" s="1326"/>
      <c r="V63" s="1327"/>
      <c r="W63" s="1326"/>
      <c r="X63" s="1327"/>
      <c r="Y63" s="1326"/>
      <c r="Z63" s="1327"/>
      <c r="AA63" s="1326"/>
      <c r="AB63" s="1333"/>
      <c r="AC63" s="1333"/>
      <c r="AD63" s="1327"/>
      <c r="AS63" s="2"/>
      <c r="AT63" s="2"/>
      <c r="AU63" s="2"/>
      <c r="AV63" s="2"/>
      <c r="AW63" s="2"/>
      <c r="AX63" s="2"/>
      <c r="AY63" s="2"/>
    </row>
    <row r="64" spans="1:51" ht="30" customHeight="1" x14ac:dyDescent="0.25">
      <c r="A64" s="18"/>
      <c r="B64" s="18"/>
      <c r="C64" s="18"/>
      <c r="D64" s="7"/>
      <c r="E64" s="2"/>
      <c r="F64" s="1286"/>
      <c r="G64" s="1286"/>
      <c r="H64" s="1286"/>
      <c r="I64" s="1286"/>
      <c r="J64" s="1318" t="str">
        <f ca="1">'Calculos(2)'!AY30</f>
        <v>Desintegrações por minuto (DPM)</v>
      </c>
      <c r="K64" s="1318"/>
      <c r="L64" s="1318"/>
      <c r="M64" s="1318"/>
      <c r="N64" s="1319"/>
      <c r="O64" s="1058"/>
      <c r="P64" s="1059"/>
      <c r="Q64" s="1059"/>
      <c r="R64" s="1060"/>
      <c r="S64" s="1058"/>
      <c r="T64" s="1060"/>
      <c r="U64" s="1058"/>
      <c r="V64" s="1060"/>
      <c r="W64" s="1058"/>
      <c r="X64" s="1060"/>
      <c r="Y64" s="1058"/>
      <c r="Z64" s="1060"/>
      <c r="AA64" s="1058"/>
      <c r="AB64" s="1059"/>
      <c r="AC64" s="1059"/>
      <c r="AD64" s="1060"/>
      <c r="AS64" s="2"/>
      <c r="AT64" s="2"/>
      <c r="AU64" s="2"/>
      <c r="AV64" s="2"/>
      <c r="AW64" s="2"/>
      <c r="AX64" s="2"/>
      <c r="AY64" s="2"/>
    </row>
    <row r="65" spans="1:51" ht="30" customHeight="1" x14ac:dyDescent="0.25">
      <c r="A65" s="18"/>
      <c r="B65" s="18"/>
      <c r="C65" s="18"/>
      <c r="D65" s="7"/>
      <c r="E65" s="2"/>
      <c r="F65" s="1286"/>
      <c r="G65" s="1286"/>
      <c r="H65" s="1286"/>
      <c r="I65" s="1286"/>
      <c r="J65" s="1318" t="s">
        <v>6032</v>
      </c>
      <c r="K65" s="1318"/>
      <c r="L65" s="1318"/>
      <c r="M65" s="1318"/>
      <c r="N65" s="1319"/>
      <c r="O65" s="1328"/>
      <c r="P65" s="1334"/>
      <c r="Q65" s="1334"/>
      <c r="R65" s="1329"/>
      <c r="S65" s="1328"/>
      <c r="T65" s="1329"/>
      <c r="U65" s="1328"/>
      <c r="V65" s="1329"/>
      <c r="W65" s="1328"/>
      <c r="X65" s="1329"/>
      <c r="Y65" s="1328"/>
      <c r="Z65" s="1329"/>
      <c r="AA65" s="1328"/>
      <c r="AB65" s="1334"/>
      <c r="AC65" s="1334"/>
      <c r="AD65" s="1329"/>
      <c r="AS65" s="2"/>
      <c r="AT65" s="2"/>
      <c r="AU65" s="2"/>
      <c r="AV65" s="2"/>
      <c r="AW65" s="2"/>
      <c r="AX65" s="2"/>
      <c r="AY65" s="2"/>
    </row>
    <row r="66" spans="1:51" ht="20.100000000000001" customHeight="1" x14ac:dyDescent="0.25">
      <c r="A66" s="18"/>
      <c r="B66" s="18"/>
      <c r="C66" s="18"/>
      <c r="D66" s="7"/>
      <c r="E66" s="2"/>
      <c r="F66" s="1286"/>
      <c r="G66" s="1286"/>
      <c r="H66" s="1286"/>
      <c r="I66" s="1286"/>
      <c r="J66" s="1318" t="s">
        <v>82</v>
      </c>
      <c r="K66" s="1318"/>
      <c r="L66" s="1318"/>
      <c r="M66" s="1318"/>
      <c r="N66" s="1319"/>
      <c r="O66" s="1330">
        <f>'Calculos(2)'!K66</f>
        <v>0</v>
      </c>
      <c r="P66" s="1332"/>
      <c r="Q66" s="1332"/>
      <c r="R66" s="1331"/>
      <c r="S66" s="1330">
        <f>'Calculos(2)'!K67</f>
        <v>0</v>
      </c>
      <c r="T66" s="1331"/>
      <c r="U66" s="1330">
        <f>'Calculos(2)'!K68</f>
        <v>0</v>
      </c>
      <c r="V66" s="1331"/>
      <c r="W66" s="1330">
        <f>'Calculos(2)'!K69</f>
        <v>0</v>
      </c>
      <c r="X66" s="1331"/>
      <c r="Y66" s="1330">
        <f>'Calculos(2)'!K70</f>
        <v>0</v>
      </c>
      <c r="Z66" s="1331"/>
      <c r="AA66" s="1330">
        <f>'Calculos(2)'!K71</f>
        <v>0</v>
      </c>
      <c r="AB66" s="1332"/>
      <c r="AC66" s="1332"/>
      <c r="AD66" s="1331"/>
      <c r="AS66" s="2"/>
      <c r="AT66" s="2"/>
      <c r="AU66" s="2"/>
      <c r="AV66" s="2"/>
      <c r="AW66" s="2"/>
      <c r="AX66" s="2"/>
      <c r="AY66" s="2"/>
    </row>
    <row r="67" spans="1:51" ht="20.100000000000001" customHeight="1" x14ac:dyDescent="0.25">
      <c r="A67" s="18"/>
      <c r="B67" s="18"/>
      <c r="C67" s="18"/>
      <c r="D67" s="7"/>
      <c r="E67" s="2"/>
      <c r="F67" s="1286"/>
      <c r="G67" s="1286"/>
      <c r="H67" s="1286"/>
      <c r="I67" s="1286"/>
      <c r="J67" s="1318" t="s">
        <v>81</v>
      </c>
      <c r="K67" s="1318"/>
      <c r="L67" s="1318"/>
      <c r="M67" s="1318"/>
      <c r="N67" s="1319"/>
      <c r="O67" s="1323">
        <f>'Calculos(2)'!Q66</f>
        <v>0</v>
      </c>
      <c r="P67" s="1325"/>
      <c r="Q67" s="1325"/>
      <c r="R67" s="1324"/>
      <c r="S67" s="1323">
        <f>'Calculos(2)'!Q67</f>
        <v>0</v>
      </c>
      <c r="T67" s="1324"/>
      <c r="U67" s="1323">
        <f>'Calculos(2)'!Q68</f>
        <v>0</v>
      </c>
      <c r="V67" s="1324"/>
      <c r="W67" s="1323">
        <f>'Calculos(2)'!Q69</f>
        <v>0</v>
      </c>
      <c r="X67" s="1324"/>
      <c r="Y67" s="1323">
        <f>'Calculos(2)'!Q70</f>
        <v>0</v>
      </c>
      <c r="Z67" s="1324"/>
      <c r="AA67" s="1323">
        <f>'Calculos(2)'!Q71</f>
        <v>0</v>
      </c>
      <c r="AB67" s="1325"/>
      <c r="AC67" s="1325"/>
      <c r="AD67" s="1324"/>
      <c r="AS67" s="2"/>
      <c r="AT67" s="2"/>
      <c r="AU67" s="2"/>
      <c r="AV67" s="2"/>
      <c r="AW67" s="2"/>
      <c r="AX67" s="2"/>
      <c r="AY67" s="2"/>
    </row>
    <row r="68" spans="1:51" ht="15" customHeight="1" x14ac:dyDescent="0.25">
      <c r="A68" s="18"/>
      <c r="B68" s="18"/>
      <c r="C68" s="18"/>
      <c r="D68" s="7"/>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row>
    <row r="69" spans="1:51" ht="99.95" customHeight="1" x14ac:dyDescent="0.25">
      <c r="A69" s="18"/>
      <c r="B69" s="18"/>
      <c r="C69" s="18"/>
      <c r="D69" s="7"/>
      <c r="E69" s="2"/>
      <c r="F69" s="1149" t="s">
        <v>328</v>
      </c>
      <c r="G69" s="1094"/>
      <c r="H69" s="1094"/>
      <c r="I69" s="1094"/>
      <c r="J69" s="1094"/>
      <c r="K69" s="1094"/>
      <c r="L69" s="1104"/>
      <c r="M69" s="148" t="s">
        <v>186</v>
      </c>
      <c r="N69" s="1034"/>
      <c r="O69" s="1044"/>
      <c r="P69" s="1044"/>
      <c r="Q69" s="1044"/>
      <c r="R69" s="1044"/>
      <c r="S69" s="1044"/>
      <c r="T69" s="1044"/>
      <c r="U69" s="1044"/>
      <c r="V69" s="1044"/>
      <c r="W69" s="1044"/>
      <c r="X69" s="1044"/>
      <c r="Y69" s="1044"/>
      <c r="Z69" s="1044"/>
      <c r="AA69" s="1044"/>
      <c r="AB69" s="1044"/>
      <c r="AC69" s="1044"/>
      <c r="AD69" s="1044"/>
      <c r="AE69" s="1044"/>
      <c r="AF69" s="1044"/>
      <c r="AG69" s="1044"/>
      <c r="AH69" s="1044"/>
      <c r="AI69" s="1044"/>
      <c r="AJ69" s="1044"/>
      <c r="AK69" s="1044"/>
      <c r="AL69" s="1044"/>
      <c r="AM69" s="1044"/>
      <c r="AN69" s="1251" t="s">
        <v>271</v>
      </c>
      <c r="AO69" s="1252"/>
      <c r="AP69" s="1252"/>
      <c r="AQ69" s="1252"/>
      <c r="AR69" s="2"/>
      <c r="AS69" s="2"/>
      <c r="AT69" s="2"/>
      <c r="AU69" s="2"/>
      <c r="AV69" s="2"/>
      <c r="AW69" s="2"/>
      <c r="AX69" s="2"/>
      <c r="AY69" s="2"/>
    </row>
    <row r="70" spans="1:51" ht="15" customHeight="1" x14ac:dyDescent="0.25">
      <c r="A70" s="18"/>
      <c r="B70" s="18"/>
      <c r="C70" s="18"/>
      <c r="D70" s="7"/>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row>
    <row r="71" spans="1:51" ht="20.100000000000001" customHeight="1" x14ac:dyDescent="0.25">
      <c r="A71" s="18"/>
      <c r="B71" s="18"/>
      <c r="C71" s="18"/>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15" customHeight="1" x14ac:dyDescent="0.25">
      <c r="A72" s="18"/>
      <c r="B72" s="18"/>
      <c r="C72" s="18"/>
      <c r="D72" s="7"/>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row>
    <row r="73" spans="1:51" ht="20.100000000000001" customHeight="1" x14ac:dyDescent="0.25">
      <c r="A73" s="18"/>
      <c r="B73" s="18"/>
      <c r="C73" s="18"/>
      <c r="D73" s="7"/>
      <c r="E73" s="2"/>
      <c r="F73" s="1067" t="s">
        <v>296</v>
      </c>
      <c r="G73" s="1068"/>
      <c r="H73" s="1068"/>
      <c r="I73" s="1068"/>
      <c r="J73" s="1068"/>
      <c r="K73" s="1068"/>
      <c r="L73" s="1069"/>
      <c r="M73" s="1076" t="s">
        <v>186</v>
      </c>
      <c r="N73" s="135"/>
      <c r="O73" s="136"/>
      <c r="P73" s="136"/>
      <c r="Q73" s="136"/>
      <c r="R73" s="137"/>
      <c r="S73" s="1079" t="s">
        <v>293</v>
      </c>
      <c r="T73" s="1064"/>
      <c r="U73" s="1064"/>
      <c r="V73" s="1064"/>
      <c r="W73" s="1064"/>
      <c r="X73" s="1064"/>
      <c r="Y73" s="1064"/>
      <c r="Z73" s="1064" t="s">
        <v>301</v>
      </c>
      <c r="AA73" s="1064"/>
      <c r="AB73" s="1064"/>
      <c r="AC73" s="1064"/>
      <c r="AD73" s="1064"/>
      <c r="AE73" s="1064"/>
      <c r="AF73" s="1064"/>
      <c r="AG73" s="1064"/>
      <c r="AH73" s="1064"/>
      <c r="AI73" s="1064" t="s">
        <v>302</v>
      </c>
      <c r="AJ73" s="1064"/>
      <c r="AK73" s="1064"/>
      <c r="AL73" s="1064"/>
      <c r="AM73" s="1065"/>
      <c r="AN73" s="2"/>
      <c r="AO73" s="2"/>
      <c r="AP73" s="2"/>
      <c r="AQ73" s="2"/>
      <c r="AR73" s="2"/>
      <c r="AS73" s="2"/>
      <c r="AT73" s="2"/>
      <c r="AU73" s="2"/>
      <c r="AV73" s="2"/>
      <c r="AW73" s="2"/>
      <c r="AX73" s="2"/>
      <c r="AY73" s="2"/>
    </row>
    <row r="74" spans="1:51" ht="27" customHeight="1" x14ac:dyDescent="0.25">
      <c r="A74" s="18"/>
      <c r="B74" s="18"/>
      <c r="C74" s="18"/>
      <c r="D74" s="7"/>
      <c r="E74" s="2"/>
      <c r="F74" s="1070"/>
      <c r="G74" s="1071"/>
      <c r="H74" s="1071"/>
      <c r="I74" s="1071"/>
      <c r="J74" s="1071"/>
      <c r="K74" s="1071"/>
      <c r="L74" s="1072"/>
      <c r="M74" s="1077"/>
      <c r="N74" s="138"/>
      <c r="O74" s="1045" t="s">
        <v>219</v>
      </c>
      <c r="P74" s="1045"/>
      <c r="Q74" s="1045"/>
      <c r="R74" s="1046"/>
      <c r="S74" s="1042"/>
      <c r="T74" s="1043"/>
      <c r="U74" s="1043"/>
      <c r="V74" s="1043"/>
      <c r="W74" s="1043"/>
      <c r="X74" s="1043"/>
      <c r="Y74" s="1043"/>
      <c r="Z74" s="1044"/>
      <c r="AA74" s="1044"/>
      <c r="AB74" s="1044"/>
      <c r="AC74" s="1044"/>
      <c r="AD74" s="1044"/>
      <c r="AE74" s="1044"/>
      <c r="AF74" s="1044"/>
      <c r="AG74" s="1044"/>
      <c r="AH74" s="1044"/>
      <c r="AI74" s="1066"/>
      <c r="AJ74" s="1066"/>
      <c r="AK74" s="1066"/>
      <c r="AL74" s="1066"/>
      <c r="AM74" s="1066"/>
      <c r="AN74" s="2"/>
      <c r="AO74" s="2"/>
      <c r="AP74" s="2"/>
      <c r="AQ74" s="2"/>
      <c r="AR74" s="2"/>
      <c r="AS74" s="2"/>
      <c r="AT74" s="2"/>
      <c r="AU74" s="2"/>
      <c r="AV74" s="2"/>
      <c r="AW74" s="2"/>
      <c r="AX74" s="2"/>
      <c r="AY74" s="2"/>
    </row>
    <row r="75" spans="1:51" ht="27" customHeight="1" x14ac:dyDescent="0.25">
      <c r="A75" s="18"/>
      <c r="B75" s="18"/>
      <c r="C75" s="18"/>
      <c r="D75" s="7"/>
      <c r="E75" s="2"/>
      <c r="F75" s="1070"/>
      <c r="G75" s="1071"/>
      <c r="H75" s="1071"/>
      <c r="I75" s="1071"/>
      <c r="J75" s="1071"/>
      <c r="K75" s="1071"/>
      <c r="L75" s="1072"/>
      <c r="M75" s="1077"/>
      <c r="N75" s="1"/>
      <c r="O75" s="138"/>
      <c r="P75" s="138"/>
      <c r="Q75" s="138"/>
      <c r="R75" s="139"/>
      <c r="S75" s="1042"/>
      <c r="T75" s="1043"/>
      <c r="U75" s="1043"/>
      <c r="V75" s="1043"/>
      <c r="W75" s="1043"/>
      <c r="X75" s="1043"/>
      <c r="Y75" s="1043"/>
      <c r="Z75" s="1044"/>
      <c r="AA75" s="1044"/>
      <c r="AB75" s="1044"/>
      <c r="AC75" s="1044"/>
      <c r="AD75" s="1044"/>
      <c r="AE75" s="1044"/>
      <c r="AF75" s="1044"/>
      <c r="AG75" s="1044"/>
      <c r="AH75" s="1044"/>
      <c r="AI75" s="1066"/>
      <c r="AJ75" s="1066"/>
      <c r="AK75" s="1066"/>
      <c r="AL75" s="1066"/>
      <c r="AM75" s="1066"/>
      <c r="AN75" s="2"/>
      <c r="AO75" s="2"/>
      <c r="AP75" s="2"/>
      <c r="AQ75" s="2"/>
      <c r="AR75" s="2"/>
      <c r="AS75" s="2"/>
      <c r="AT75" s="2"/>
      <c r="AU75" s="2"/>
      <c r="AV75" s="2"/>
      <c r="AW75" s="2"/>
      <c r="AX75" s="2"/>
      <c r="AY75" s="2"/>
    </row>
    <row r="76" spans="1:51" ht="27" customHeight="1" x14ac:dyDescent="0.25">
      <c r="A76" s="18"/>
      <c r="B76" s="18"/>
      <c r="C76" s="18"/>
      <c r="D76" s="7"/>
      <c r="E76" s="2"/>
      <c r="F76" s="1070"/>
      <c r="G76" s="1071"/>
      <c r="H76" s="1071"/>
      <c r="I76" s="1071"/>
      <c r="J76" s="1071"/>
      <c r="K76" s="1071"/>
      <c r="L76" s="1072"/>
      <c r="M76" s="1077"/>
      <c r="N76" s="138"/>
      <c r="O76" s="1047" t="s">
        <v>280</v>
      </c>
      <c r="P76" s="1047"/>
      <c r="Q76" s="1047"/>
      <c r="R76" s="1048"/>
      <c r="S76" s="1042"/>
      <c r="T76" s="1043"/>
      <c r="U76" s="1043"/>
      <c r="V76" s="1043"/>
      <c r="W76" s="1043"/>
      <c r="X76" s="1043"/>
      <c r="Y76" s="1043"/>
      <c r="Z76" s="1044"/>
      <c r="AA76" s="1044"/>
      <c r="AB76" s="1044"/>
      <c r="AC76" s="1044"/>
      <c r="AD76" s="1044"/>
      <c r="AE76" s="1044"/>
      <c r="AF76" s="1044"/>
      <c r="AG76" s="1044"/>
      <c r="AH76" s="1044"/>
      <c r="AI76" s="1066"/>
      <c r="AJ76" s="1066"/>
      <c r="AK76" s="1066"/>
      <c r="AL76" s="1066"/>
      <c r="AM76" s="1066"/>
      <c r="AN76" s="2"/>
      <c r="AO76" s="2"/>
      <c r="AP76" s="2"/>
      <c r="AQ76" s="2"/>
      <c r="AR76" s="2"/>
      <c r="AS76" s="2"/>
      <c r="AT76" s="2"/>
      <c r="AU76" s="2"/>
      <c r="AV76" s="2"/>
      <c r="AW76" s="2"/>
      <c r="AX76" s="2"/>
      <c r="AY76" s="2"/>
    </row>
    <row r="77" spans="1:51" ht="27" customHeight="1" x14ac:dyDescent="0.25">
      <c r="A77" s="18"/>
      <c r="B77" s="18"/>
      <c r="C77" s="18"/>
      <c r="D77" s="7"/>
      <c r="E77" s="2"/>
      <c r="F77" s="1073"/>
      <c r="G77" s="1074"/>
      <c r="H77" s="1074"/>
      <c r="I77" s="1074"/>
      <c r="J77" s="1074"/>
      <c r="K77" s="1074"/>
      <c r="L77" s="1075"/>
      <c r="M77" s="1078"/>
      <c r="N77" s="140"/>
      <c r="O77" s="140"/>
      <c r="P77" s="140"/>
      <c r="Q77" s="140"/>
      <c r="R77" s="141"/>
      <c r="S77" s="1042"/>
      <c r="T77" s="1043"/>
      <c r="U77" s="1043"/>
      <c r="V77" s="1043"/>
      <c r="W77" s="1043"/>
      <c r="X77" s="1043"/>
      <c r="Y77" s="1043"/>
      <c r="Z77" s="1044"/>
      <c r="AA77" s="1044"/>
      <c r="AB77" s="1044"/>
      <c r="AC77" s="1044"/>
      <c r="AD77" s="1044"/>
      <c r="AE77" s="1044"/>
      <c r="AF77" s="1044"/>
      <c r="AG77" s="1044"/>
      <c r="AH77" s="1044"/>
      <c r="AI77" s="1066"/>
      <c r="AJ77" s="1066"/>
      <c r="AK77" s="1066"/>
      <c r="AL77" s="1066"/>
      <c r="AM77" s="1066"/>
      <c r="AN77" s="2"/>
      <c r="AO77" s="2"/>
      <c r="AP77" s="2"/>
      <c r="AQ77" s="2"/>
      <c r="AR77" s="2"/>
      <c r="AS77" s="2"/>
      <c r="AT77" s="2"/>
      <c r="AU77" s="2"/>
      <c r="AV77" s="2"/>
      <c r="AW77" s="2"/>
      <c r="AX77" s="2"/>
      <c r="AY77" s="2"/>
    </row>
    <row r="78" spans="1:51" ht="15" customHeight="1" x14ac:dyDescent="0.25">
      <c r="A78" s="18"/>
      <c r="B78" s="18"/>
      <c r="C78" s="18"/>
      <c r="D78" s="7"/>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O78" s="2"/>
      <c r="AP78" s="2"/>
      <c r="AQ78" s="2"/>
      <c r="AR78" s="2"/>
      <c r="AS78" s="2"/>
      <c r="AT78" s="2"/>
      <c r="AU78" s="2"/>
      <c r="AV78" s="2"/>
      <c r="AW78" s="2"/>
      <c r="AX78" s="2"/>
      <c r="AY78" s="2"/>
    </row>
    <row r="79" spans="1:51" ht="20.100000000000001" customHeight="1" x14ac:dyDescent="0.25">
      <c r="A79" s="18"/>
      <c r="B79" s="18"/>
      <c r="C79" s="18"/>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ht="15" customHeight="1" x14ac:dyDescent="0.25">
      <c r="A80" s="18"/>
      <c r="B80" s="18"/>
      <c r="C80" s="18"/>
      <c r="D80" s="7"/>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O80" s="2"/>
      <c r="AP80" s="2"/>
      <c r="AQ80" s="2"/>
      <c r="AR80" s="2"/>
      <c r="AS80" s="2"/>
      <c r="AT80" s="2"/>
      <c r="AU80" s="2"/>
      <c r="AV80" s="2"/>
      <c r="AW80" s="2"/>
      <c r="AX80" s="2"/>
      <c r="AY80" s="2"/>
    </row>
    <row r="81" spans="1:51" ht="20.100000000000001" hidden="1" customHeight="1" x14ac:dyDescent="0.25">
      <c r="A81" s="18"/>
      <c r="B81" s="18"/>
      <c r="C81" s="18"/>
      <c r="D81" s="7"/>
      <c r="E81" s="2"/>
      <c r="AN81" s="2"/>
      <c r="AO81" s="2"/>
      <c r="AP81" s="2"/>
      <c r="AQ81" s="2"/>
      <c r="AR81" s="2"/>
      <c r="AS81" s="2"/>
      <c r="AT81" s="2"/>
      <c r="AU81" s="2"/>
      <c r="AV81" s="2"/>
      <c r="AW81" s="2"/>
      <c r="AX81" s="2"/>
      <c r="AY81" s="2"/>
    </row>
    <row r="82" spans="1:51" ht="60" customHeight="1" x14ac:dyDescent="0.25">
      <c r="A82" s="18"/>
      <c r="B82" s="18"/>
      <c r="C82" s="18"/>
      <c r="D82" s="7"/>
      <c r="E82" s="2"/>
      <c r="F82" s="1008" t="s">
        <v>143</v>
      </c>
      <c r="G82" s="1009"/>
      <c r="H82" s="1009"/>
      <c r="I82" s="1009"/>
      <c r="J82" s="1009"/>
      <c r="K82" s="1009"/>
      <c r="L82" s="1009"/>
      <c r="M82" s="1010"/>
      <c r="N82" s="1044"/>
      <c r="O82" s="1044"/>
      <c r="P82" s="1044"/>
      <c r="Q82" s="1044"/>
      <c r="R82" s="1044"/>
      <c r="S82" s="1044"/>
      <c r="T82" s="1044"/>
      <c r="U82" s="1044"/>
      <c r="V82" s="1044"/>
      <c r="W82" s="1044"/>
      <c r="X82" s="1044"/>
      <c r="Y82" s="1044"/>
      <c r="Z82" s="1044"/>
      <c r="AA82" s="1044"/>
      <c r="AB82" s="1044"/>
      <c r="AC82" s="1044"/>
      <c r="AD82" s="1044"/>
      <c r="AE82" s="1044"/>
      <c r="AF82" s="1044"/>
      <c r="AG82" s="1044"/>
      <c r="AH82" s="1044"/>
      <c r="AI82" s="1044"/>
      <c r="AJ82" s="1044"/>
      <c r="AK82" s="1044"/>
      <c r="AL82" s="1044"/>
      <c r="AM82" s="1044"/>
      <c r="AN82" s="1251" t="s">
        <v>271</v>
      </c>
      <c r="AO82" s="1252"/>
      <c r="AP82" s="1252"/>
      <c r="AQ82" s="1252"/>
      <c r="AR82" s="2"/>
      <c r="AS82" s="2"/>
      <c r="AT82" s="2"/>
      <c r="AU82" s="2"/>
      <c r="AV82" s="2"/>
      <c r="AW82" s="2"/>
      <c r="AX82" s="2"/>
      <c r="AY82" s="2"/>
    </row>
    <row r="83" spans="1:51" x14ac:dyDescent="0.25">
      <c r="A83" s="18"/>
      <c r="B83" s="18"/>
      <c r="C83" s="18"/>
      <c r="D83" s="7"/>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1" ht="99.95" customHeight="1" x14ac:dyDescent="0.25">
      <c r="A84" s="18"/>
      <c r="B84" s="18"/>
      <c r="C84" s="18"/>
      <c r="D84" s="7"/>
      <c r="E84" s="2"/>
      <c r="F84" s="1008" t="s">
        <v>392</v>
      </c>
      <c r="G84" s="1009"/>
      <c r="H84" s="1009"/>
      <c r="I84" s="1009"/>
      <c r="J84" s="1009"/>
      <c r="K84" s="1009"/>
      <c r="L84" s="1041"/>
      <c r="M84" s="148" t="s">
        <v>186</v>
      </c>
      <c r="N84" s="1032"/>
      <c r="O84" s="1033"/>
      <c r="P84" s="1033"/>
      <c r="Q84" s="1033"/>
      <c r="R84" s="1033"/>
      <c r="S84" s="1033"/>
      <c r="T84" s="1033"/>
      <c r="U84" s="1033"/>
      <c r="V84" s="1033"/>
      <c r="W84" s="1033"/>
      <c r="X84" s="1033"/>
      <c r="Y84" s="1033"/>
      <c r="Z84" s="1033"/>
      <c r="AA84" s="1033"/>
      <c r="AB84" s="1033"/>
      <c r="AC84" s="1033"/>
      <c r="AD84" s="1033"/>
      <c r="AE84" s="1033"/>
      <c r="AF84" s="1033"/>
      <c r="AG84" s="1033"/>
      <c r="AH84" s="1033"/>
      <c r="AI84" s="1033"/>
      <c r="AJ84" s="1033"/>
      <c r="AK84" s="1033"/>
      <c r="AL84" s="1033"/>
      <c r="AM84" s="1034"/>
      <c r="AN84" s="2"/>
      <c r="AO84" s="2"/>
      <c r="AP84" s="2"/>
      <c r="AQ84" s="2"/>
      <c r="AR84" s="2"/>
      <c r="AS84" s="2"/>
      <c r="AT84" s="2"/>
      <c r="AU84" s="2"/>
      <c r="AV84" s="2"/>
      <c r="AW84" s="2"/>
      <c r="AX84" s="2"/>
      <c r="AY84" s="2"/>
    </row>
    <row r="85" spans="1:51" x14ac:dyDescent="0.25">
      <c r="A85" s="18"/>
      <c r="B85" s="18"/>
      <c r="C85" s="18"/>
      <c r="D85" s="7"/>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row>
    <row r="86" spans="1:51" ht="30" hidden="1" customHeight="1" x14ac:dyDescent="0.25">
      <c r="A86" s="18"/>
      <c r="B86" s="18"/>
      <c r="C86" s="18"/>
      <c r="D86" s="18"/>
      <c r="E86" s="7"/>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row>
    <row r="87" spans="1:51" ht="15" hidden="1" customHeight="1" x14ac:dyDescent="0.25">
      <c r="A87" s="18"/>
      <c r="B87" s="18"/>
      <c r="C87" s="18"/>
      <c r="D87" s="18"/>
      <c r="E87" s="7"/>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row>
  </sheetData>
  <sheetProtection algorithmName="SHA-512" hashValue="EIJUIOHEZK/ZhDmJEaviuOYILsR2BdjGVtx9KkOZ3nRb3puYTBliKHgmKb9BLc6pyWJA+gxZEFlz/jVEhaFYcA==" saltValue="e4+3IoJiuNUj/RlR+o6daA==" spinCount="100000" sheet="1" objects="1" scenarios="1" formatColumns="0" formatRows="0"/>
  <mergeCells count="163">
    <mergeCell ref="Y67:Z67"/>
    <mergeCell ref="O62:R62"/>
    <mergeCell ref="F14:M14"/>
    <mergeCell ref="N14:AJ14"/>
    <mergeCell ref="F15:M15"/>
    <mergeCell ref="N15:P15"/>
    <mergeCell ref="S62:T62"/>
    <mergeCell ref="S63:T63"/>
    <mergeCell ref="S64:T64"/>
    <mergeCell ref="S65:T65"/>
    <mergeCell ref="S66:T66"/>
    <mergeCell ref="U62:V62"/>
    <mergeCell ref="U63:V63"/>
    <mergeCell ref="U64:V64"/>
    <mergeCell ref="U65:V65"/>
    <mergeCell ref="U66:V66"/>
    <mergeCell ref="AA62:AD62"/>
    <mergeCell ref="AA63:AD63"/>
    <mergeCell ref="AA64:AD64"/>
    <mergeCell ref="AA65:AD65"/>
    <mergeCell ref="AA66:AD66"/>
    <mergeCell ref="O63:R63"/>
    <mergeCell ref="O64:R64"/>
    <mergeCell ref="O65:R65"/>
    <mergeCell ref="O66:R66"/>
    <mergeCell ref="W62:X62"/>
    <mergeCell ref="F11:L11"/>
    <mergeCell ref="N11:AJ11"/>
    <mergeCell ref="F12:L12"/>
    <mergeCell ref="N12:S12"/>
    <mergeCell ref="F13:L13"/>
    <mergeCell ref="N13:AJ13"/>
    <mergeCell ref="F27:L27"/>
    <mergeCell ref="N27:S27"/>
    <mergeCell ref="N31:S31"/>
    <mergeCell ref="T31:V31"/>
    <mergeCell ref="W31:Y31"/>
    <mergeCell ref="N32:S32"/>
    <mergeCell ref="T32:V32"/>
    <mergeCell ref="W32:Y32"/>
    <mergeCell ref="N29:S29"/>
    <mergeCell ref="T29:V29"/>
    <mergeCell ref="W29:Y29"/>
    <mergeCell ref="N30:S30"/>
    <mergeCell ref="T30:V30"/>
    <mergeCell ref="W30:Y30"/>
    <mergeCell ref="F35:K35"/>
    <mergeCell ref="N39:S39"/>
    <mergeCell ref="AI2:AN7"/>
    <mergeCell ref="F10:L10"/>
    <mergeCell ref="N10:Z10"/>
    <mergeCell ref="AA10:AD10"/>
    <mergeCell ref="AF10:AJ10"/>
    <mergeCell ref="R15:X15"/>
    <mergeCell ref="Y15:AB15"/>
    <mergeCell ref="AD15:AJ15"/>
    <mergeCell ref="T21:W21"/>
    <mergeCell ref="Y21:AA21"/>
    <mergeCell ref="AB21:AD21"/>
    <mergeCell ref="AE21:AL21"/>
    <mergeCell ref="F20:L20"/>
    <mergeCell ref="N20:S20"/>
    <mergeCell ref="F21:L21"/>
    <mergeCell ref="N21:S21"/>
    <mergeCell ref="F16:L16"/>
    <mergeCell ref="N16:S16"/>
    <mergeCell ref="F17:L17"/>
    <mergeCell ref="N17:S17"/>
    <mergeCell ref="T17:Z17"/>
    <mergeCell ref="AB17:AJ17"/>
    <mergeCell ref="F2:AF6"/>
    <mergeCell ref="AK11:AN11"/>
    <mergeCell ref="F7:J7"/>
    <mergeCell ref="T35:V35"/>
    <mergeCell ref="W35:Y35"/>
    <mergeCell ref="N36:S36"/>
    <mergeCell ref="T36:V36"/>
    <mergeCell ref="W36:Y36"/>
    <mergeCell ref="N33:S33"/>
    <mergeCell ref="T33:V33"/>
    <mergeCell ref="W33:Y33"/>
    <mergeCell ref="N34:S34"/>
    <mergeCell ref="T34:V34"/>
    <mergeCell ref="W34:Y34"/>
    <mergeCell ref="N35:S35"/>
    <mergeCell ref="T39:V39"/>
    <mergeCell ref="W39:Y39"/>
    <mergeCell ref="F41:L41"/>
    <mergeCell ref="N41:S41"/>
    <mergeCell ref="F42:L42"/>
    <mergeCell ref="N42:S42"/>
    <mergeCell ref="N37:S37"/>
    <mergeCell ref="T37:V37"/>
    <mergeCell ref="W37:Y37"/>
    <mergeCell ref="N38:S38"/>
    <mergeCell ref="T38:V38"/>
    <mergeCell ref="W38:Y38"/>
    <mergeCell ref="F43:L43"/>
    <mergeCell ref="N43:S43"/>
    <mergeCell ref="F44:L44"/>
    <mergeCell ref="N44:AJ44"/>
    <mergeCell ref="AJ52:AM52"/>
    <mergeCell ref="AK44:AN44"/>
    <mergeCell ref="AN52:AO52"/>
    <mergeCell ref="V50:AB50"/>
    <mergeCell ref="AD50:AI50"/>
    <mergeCell ref="V51:AB51"/>
    <mergeCell ref="AD51:AI51"/>
    <mergeCell ref="V52:AB52"/>
    <mergeCell ref="AD52:AG52"/>
    <mergeCell ref="AH52:AI52"/>
    <mergeCell ref="F50:L50"/>
    <mergeCell ref="N50:S50"/>
    <mergeCell ref="F51:L51"/>
    <mergeCell ref="N51:S51"/>
    <mergeCell ref="AI76:AM76"/>
    <mergeCell ref="F62:I67"/>
    <mergeCell ref="J62:N62"/>
    <mergeCell ref="J64:N64"/>
    <mergeCell ref="J63:N63"/>
    <mergeCell ref="J65:N65"/>
    <mergeCell ref="J67:N67"/>
    <mergeCell ref="J66:N66"/>
    <mergeCell ref="F69:L69"/>
    <mergeCell ref="N69:AM69"/>
    <mergeCell ref="S67:T67"/>
    <mergeCell ref="U67:V67"/>
    <mergeCell ref="AA67:AD67"/>
    <mergeCell ref="O67:R67"/>
    <mergeCell ref="W63:X63"/>
    <mergeCell ref="W64:X64"/>
    <mergeCell ref="W65:X65"/>
    <mergeCell ref="W66:X66"/>
    <mergeCell ref="W67:X67"/>
    <mergeCell ref="Y62:Z62"/>
    <mergeCell ref="Y63:Z63"/>
    <mergeCell ref="Y64:Z64"/>
    <mergeCell ref="Y65:Z65"/>
    <mergeCell ref="Y66:Z66"/>
    <mergeCell ref="AN82:AQ82"/>
    <mergeCell ref="F84:L84"/>
    <mergeCell ref="N84:AM84"/>
    <mergeCell ref="S77:Y77"/>
    <mergeCell ref="Z77:AH77"/>
    <mergeCell ref="AI77:AM77"/>
    <mergeCell ref="F82:M82"/>
    <mergeCell ref="N82:AM82"/>
    <mergeCell ref="AN69:AQ69"/>
    <mergeCell ref="F73:L77"/>
    <mergeCell ref="M73:M77"/>
    <mergeCell ref="S73:Y73"/>
    <mergeCell ref="Z73:AH73"/>
    <mergeCell ref="AI73:AM73"/>
    <mergeCell ref="O74:R74"/>
    <mergeCell ref="S74:Y74"/>
    <mergeCell ref="Z74:AH74"/>
    <mergeCell ref="AI74:AM74"/>
    <mergeCell ref="S75:Y75"/>
    <mergeCell ref="Z75:AH75"/>
    <mergeCell ref="AI75:AM75"/>
    <mergeCell ref="O76:R76"/>
    <mergeCell ref="S76:Y76"/>
    <mergeCell ref="Z76:AH76"/>
  </mergeCells>
  <conditionalFormatting sqref="F7">
    <cfRule type="notContainsBlanks" dxfId="409" priority="1">
      <formula>LEN(TRIM(F7))&gt;0</formula>
    </cfRule>
  </conditionalFormatting>
  <conditionalFormatting sqref="F21:S21">
    <cfRule type="expression" dxfId="408" priority="14">
      <formula>$N$20&lt;&gt;"Não"</formula>
    </cfRule>
  </conditionalFormatting>
  <conditionalFormatting sqref="F29:AY44">
    <cfRule type="expression" dxfId="406" priority="12">
      <formula>$N$27&lt;&gt;"sim"</formula>
    </cfRule>
  </conditionalFormatting>
  <conditionalFormatting sqref="M10:M13 M50:M51">
    <cfRule type="expression" dxfId="405" priority="43">
      <formula>N10&lt;&gt;""</formula>
    </cfRule>
  </conditionalFormatting>
  <conditionalFormatting sqref="M16:M17">
    <cfRule type="expression" dxfId="404" priority="40">
      <formula>N16&lt;&gt;""</formula>
    </cfRule>
  </conditionalFormatting>
  <conditionalFormatting sqref="M20:M21">
    <cfRule type="expression" dxfId="403" priority="36">
      <formula>N20&lt;&gt;""</formula>
    </cfRule>
  </conditionalFormatting>
  <conditionalFormatting sqref="M27">
    <cfRule type="expression" dxfId="402" priority="34">
      <formula>N27&lt;&gt;""</formula>
    </cfRule>
  </conditionalFormatting>
  <conditionalFormatting sqref="M35">
    <cfRule type="expression" dxfId="401" priority="33">
      <formula>$N$30&lt;&gt;""</formula>
    </cfRule>
  </conditionalFormatting>
  <conditionalFormatting sqref="M41:M44">
    <cfRule type="expression" dxfId="400" priority="29">
      <formula>N41&lt;&gt;""</formula>
    </cfRule>
  </conditionalFormatting>
  <conditionalFormatting sqref="M69">
    <cfRule type="expression" dxfId="399" priority="27">
      <formula>N69&lt;&gt;""</formula>
    </cfRule>
  </conditionalFormatting>
  <conditionalFormatting sqref="M84">
    <cfRule type="expression" dxfId="397" priority="25">
      <formula>N84&lt;&gt;""</formula>
    </cfRule>
  </conditionalFormatting>
  <conditionalFormatting sqref="Q15">
    <cfRule type="expression" dxfId="396" priority="42">
      <formula>R15&lt;&gt;""</formula>
    </cfRule>
  </conditionalFormatting>
  <conditionalFormatting sqref="T21:AA21">
    <cfRule type="expression" dxfId="394" priority="22">
      <formula>$N$21&lt;&gt;"sim"</formula>
    </cfRule>
  </conditionalFormatting>
  <conditionalFormatting sqref="V52:AO52">
    <cfRule type="expression" dxfId="390" priority="4">
      <formula>$AD$50=$AD$51</formula>
    </cfRule>
  </conditionalFormatting>
  <conditionalFormatting sqref="X21">
    <cfRule type="expression" dxfId="389" priority="35">
      <formula>Y21&lt;&gt;""</formula>
    </cfRule>
  </conditionalFormatting>
  <conditionalFormatting sqref="AA17">
    <cfRule type="expression" dxfId="388" priority="38">
      <formula>AB17&lt;&gt;""</formula>
    </cfRule>
  </conditionalFormatting>
  <conditionalFormatting sqref="AB21:AL21">
    <cfRule type="expression" dxfId="387" priority="20">
      <formula>$N$21&lt;&gt;"não"</formula>
    </cfRule>
  </conditionalFormatting>
  <conditionalFormatting sqref="AC15">
    <cfRule type="expression" dxfId="386" priority="41">
      <formula>AD15&lt;&gt;""</formula>
    </cfRule>
  </conditionalFormatting>
  <conditionalFormatting sqref="AC50:AC51">
    <cfRule type="expression" dxfId="385" priority="6">
      <formula>AD50&lt;&gt;""</formula>
    </cfRule>
  </conditionalFormatting>
  <conditionalFormatting sqref="AE10">
    <cfRule type="expression" dxfId="384" priority="46">
      <formula>AF10&lt;&gt;""</formula>
    </cfRule>
  </conditionalFormatting>
  <conditionalFormatting sqref="AJ51:AO51">
    <cfRule type="expression" dxfId="383" priority="3">
      <formula>$AD$50=$AD$51</formula>
    </cfRule>
  </conditionalFormatting>
  <dataValidations count="20">
    <dataValidation allowBlank="1" showInputMessage="1" showErrorMessage="1" promptTitle="Ajuda" prompt="A conclusão deverá ser conforme está escrito no relatório do estudo._x000a_" sqref="F84:L84" xr:uid="{BADEDCFC-9155-4AD2-BEAB-E2D2D0EEC2EB}"/>
    <dataValidation allowBlank="1" showInputMessage="1" showErrorMessage="1" promptTitle="Ajuda" prompt="Informar apenas se o(s) desvio(s) afetam de algum modo a interpretação dos resultados" sqref="AI73:AM73" xr:uid="{3331E5B5-2710-4968-8165-A7095AFD8641}"/>
    <dataValidation allowBlank="1" showInputMessage="1" showErrorMessage="1" promptTitle="Ajuda" prompt="Incluir a justificativa do porquê ocorreu desvio e qual é interpretação dos seus impactos frente aos resultados do estudos." sqref="Z73:AH73" xr:uid="{0DE541D8-0113-4FC0-AADA-E46A5B10C4E2}"/>
    <dataValidation allowBlank="1" showInputMessage="1" showErrorMessage="1" promptTitle="Ajuda" prompt="Descrição sucinta do desvio ocorrido._x000a__x000a_Caso tenha ocorrido mais do que quatro desvios, os demais deverão estar descritos na última linha e separados por ponto e vírgula" sqref="S73:Y73" xr:uid="{6008C71E-0B7C-463E-B12D-C2B0C0FCE9EA}"/>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73:L77" xr:uid="{3D4F0827-DDEB-45F8-814E-D823932EA7A7}"/>
    <dataValidation allowBlank="1" showInputMessage="1" showErrorMessage="1" promptTitle="Ajuda" prompt="Alterações de peso, clínicas e comportamentais relatadas" sqref="F69:L69" xr:uid="{757CDAE3-0936-4AC4-85AB-1978D2C8AE5E}"/>
    <dataValidation allowBlank="1" showInputMessage="1" showErrorMessage="1" promptTitle="Ajuda" prompt="Caso não tenha sido realizada a medição da espessura de orelha o campo deve ficar em branco. " sqref="J65:N65" xr:uid="{41A9F1C1-2DDB-4B6C-8362-A5BDCD64F724}"/>
    <dataValidation allowBlank="1" showInputMessage="1" showErrorMessage="1" promptTitle="Ajuda" prompt="Justificar o porquê não foi conduzido o teste de confiabilidade" sqref="AB21:AD21" xr:uid="{BB81014D-72F8-4397-A2EC-02C33C98E048}"/>
    <dataValidation allowBlank="1" showInputMessage="1" showErrorMessage="1" promptTitle="Ajuda" prompt="Informar a data de conclusão do último teste de confiabilidade." sqref="T21:W21" xr:uid="{7E1CEA90-81A1-4033-97E7-3ABD250B2888}"/>
    <dataValidation allowBlank="1" showInputMessage="1" showErrorMessage="1" promptTitle="Ajuda" prompt="Data de início da exposição dos animais à substância teste" sqref="N15:P15" xr:uid="{07346AE9-1B36-4A10-B309-8078DF283533}"/>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B51508A1-0A70-4485-A957-3AECEB887DDE}"/>
    <dataValidation allowBlank="1" showInputMessage="1" showErrorMessage="1" promptTitle="Ajuda" prompt="Informar nome e estado/país do laboratório executor" sqref="F11:L11" xr:uid="{FADD6C3E-037D-44E9-8102-E20DD55630AA}"/>
    <dataValidation allowBlank="1" showInputMessage="1" showErrorMessage="1" promptTitle="Ajuda" prompt="Código gerado pelo laboratório executor" sqref="AA10:AD10" xr:uid="{8D3B0C80-67B8-4641-9B79-2E5AAA49FB7F}"/>
    <dataValidation type="whole" operator="greaterThanOrEqual" allowBlank="1" showInputMessage="1" showErrorMessage="1" errorTitle="Valor inválido" error="A valor informado deve ser um número inteiro" sqref="N51:S51" xr:uid="{F4C79755-13FF-4FB5-98C2-05B91BC1CCD1}">
      <formula1>0</formula1>
    </dataValidation>
    <dataValidation type="whole" operator="greaterThanOrEqual" allowBlank="1" showInputMessage="1" showErrorMessage="1" errorTitle="Valor inválido" error="A quantidade de animais deve ser uma número inteiro." sqref="T30:Y39" xr:uid="{85CF2A10-EBB9-4DA6-853D-3D1295856D9B}">
      <formula1>0</formula1>
    </dataValidation>
    <dataValidation type="decimal" allowBlank="1" showInputMessage="1" showErrorMessage="1" errorTitle="Valor inválido" error="A dose deve estar entre 0 e 100%" sqref="N30:S39 U63 W63 Y63 AA63 O63 S63" xr:uid="{4909C146-0574-40C8-BE42-3F3CB82BC2B7}">
      <formula1>0</formula1>
      <formula2>1</formula2>
    </dataValidation>
    <dataValidation type="list" allowBlank="1" showInputMessage="1" showErrorMessage="1" errorTitle="Código inválido" error="Preencher os dados do certificado na guia &quot;Certificados&quot; antes de atribuí-lo a algum estudo" sqref="N16:S16" xr:uid="{775C5E05-A1CB-46DD-872D-EAF6BE03A44E}">
      <formula1>src_certificados</formula1>
    </dataValidation>
    <dataValidation type="custom" allowBlank="1" showInputMessage="1" showErrorMessage="1" errorTitle="Data inválida" error="A data de conclusão não pode ser anterior a data de início." sqref="AD15:AJ15" xr:uid="{A9A95ACD-4F8F-400A-8BCE-AA4CBE01A6B7}">
      <formula1>R15&lt;=AD15</formula1>
    </dataValidation>
    <dataValidation type="list" allowBlank="1" showInputMessage="1" errorTitle="Resposta inválida" error="Escolha uma das opções disponíveis" sqref="AD51:AI51" xr:uid="{59D33876-8A7A-4F4F-8A10-AD24FF113E2D}">
      <formula1>$AD$50</formula1>
    </dataValidation>
    <dataValidation allowBlank="1" showInputMessage="1" showErrorMessage="1" promptTitle="Orientação" prompt="Deixar em branco caso o parâmetro não tenha sido avaliado (DPM/BrdU ou Espessura de orelha)" sqref="V52:AB52" xr:uid="{D022F167-9CB1-487F-9FE2-B3BC728F19A6}"/>
  </dataValidations>
  <hyperlinks>
    <hyperlink ref="F7" location="Alertas!G2" display="Alertas!G2" xr:uid="{0DD494A4-D8E7-4419-A625-7DD090FCABA8}"/>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optn_desvios_llna1">
              <controlPr defaultSize="0" autoFill="0" autoLine="0" autoPict="0">
                <anchor moveWithCells="1">
                  <from>
                    <xdr:col>13</xdr:col>
                    <xdr:colOff>85725</xdr:colOff>
                    <xdr:row>72</xdr:row>
                    <xdr:rowOff>219075</xdr:rowOff>
                  </from>
                  <to>
                    <xdr:col>18</xdr:col>
                    <xdr:colOff>9525</xdr:colOff>
                    <xdr:row>74</xdr:row>
                    <xdr:rowOff>28575</xdr:rowOff>
                  </to>
                </anchor>
              </controlPr>
            </control>
          </mc:Choice>
        </mc:AlternateContent>
        <mc:AlternateContent xmlns:mc="http://schemas.openxmlformats.org/markup-compatibility/2006">
          <mc:Choice Requires="x14">
            <control shapeId="62466" r:id="rId5" name="optn_desvios_llna2">
              <controlPr defaultSize="0" autoFill="0" autoLine="0" autoPict="0">
                <anchor moveWithCells="1">
                  <from>
                    <xdr:col>13</xdr:col>
                    <xdr:colOff>85725</xdr:colOff>
                    <xdr:row>74</xdr:row>
                    <xdr:rowOff>323850</xdr:rowOff>
                  </from>
                  <to>
                    <xdr:col>17</xdr:col>
                    <xdr:colOff>371475</xdr:colOff>
                    <xdr:row>76</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F30C4CD8-E63E-40A7-8E71-E4A9FB81A0AD}">
            <xm:f>Composição!$I$15&lt;&gt;Tabelas_fonte!$W$3</xm:f>
            <x14:dxf>
              <font>
                <color theme="0"/>
              </font>
              <fill>
                <patternFill>
                  <bgColor theme="0"/>
                </patternFill>
              </fill>
              <border>
                <left/>
                <right/>
                <top/>
                <vertical/>
                <horizontal/>
              </border>
            </x14:dxf>
          </x14:cfRule>
          <xm:sqref>F41:S41</xm:sqref>
        </x14:conditionalFormatting>
        <x14:conditionalFormatting xmlns:xm="http://schemas.microsoft.com/office/excel/2006/main">
          <x14:cfRule type="expression" priority="15" id="{65B24B66-48AA-4E4B-AD64-2B6663867AD0}">
            <xm:f>Respostas_usuario!$K$15&lt;&gt;0</xm:f>
            <x14:dxf>
              <font>
                <b/>
                <i val="0"/>
                <color rgb="FF00B050"/>
              </font>
            </x14:dxf>
          </x14:cfRule>
          <xm:sqref>M73:M77</xm:sqref>
        </x14:conditionalFormatting>
        <x14:conditionalFormatting xmlns:xm="http://schemas.microsoft.com/office/excel/2006/main">
          <x14:cfRule type="expression" priority="24" id="{98A24FD4-2541-4918-B1B8-FA26881CEFC3}">
            <xm:f>Respostas_usuario!$K$15&lt;&gt;2</xm:f>
            <x14:dxf>
              <font>
                <color theme="0"/>
              </font>
              <fill>
                <patternFill>
                  <bgColor theme="0"/>
                </patternFill>
              </fill>
              <border>
                <right/>
                <top/>
                <bottom/>
                <vertical/>
                <horizontal/>
              </border>
            </x14:dxf>
          </x14:cfRule>
          <xm:sqref>S73:AM77</xm:sqref>
        </x14:conditionalFormatting>
        <x14:conditionalFormatting xmlns:xm="http://schemas.microsoft.com/office/excel/2006/main">
          <x14:cfRule type="expression" priority="2" id="{B7BD207E-5481-4484-9A23-C81E85048A25}">
            <xm:f>$N$20=Tabelas_fonte!$Y$3</xm:f>
            <x14:dxf>
              <border>
                <right/>
                <vertical/>
                <horizontal/>
              </border>
            </x14:dxf>
          </x14:cfRule>
          <xm:sqref>U50:U51</xm:sqref>
        </x14:conditionalFormatting>
        <x14:conditionalFormatting xmlns:xm="http://schemas.microsoft.com/office/excel/2006/main">
          <x14:cfRule type="expression" priority="5" id="{77DD60AC-3C03-48FA-9B83-C40BDF21A178}">
            <xm:f>$N$20=Tabelas_fonte!$Y$3</xm:f>
            <x14:dxf>
              <font>
                <color theme="0"/>
              </font>
              <fill>
                <patternFill>
                  <bgColor theme="0"/>
                </patternFill>
              </fill>
              <border>
                <right/>
                <top/>
                <bottom/>
                <vertical/>
                <horizontal/>
              </border>
            </x14:dxf>
          </x14:cfRule>
          <xm:sqref>V50:AI51</xm:sqref>
        </x14:conditionalFormatting>
        <x14:conditionalFormatting xmlns:xm="http://schemas.microsoft.com/office/excel/2006/main">
          <x14:cfRule type="expression" priority="9" id="{8DB1F69A-E99D-4A5C-A0C3-511514534B83}">
            <xm:f>$N$20=Tabelas_fonte!$Y$3</xm:f>
            <x14:dxf>
              <font>
                <color theme="0"/>
              </font>
              <fill>
                <patternFill>
                  <bgColor theme="0"/>
                </patternFill>
              </fill>
              <border>
                <right/>
                <top/>
                <bottom/>
                <vertical/>
                <horizontal/>
              </border>
            </x14:dxf>
          </x14:cfRule>
          <xm:sqref>V50:AM52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errorTitle="Valor inválido" error="A resposta deve ser Sim ou Não" xr:uid="{FA0E6A49-B786-4EFC-81E5-7B18269A10BB}">
          <x14:formula1>
            <xm:f>Tabelas_fonte!$Y$2:$Y$3</xm:f>
          </x14:formula1>
          <xm:sqref>AI74:AM77</xm:sqref>
        </x14:dataValidation>
        <x14:dataValidation type="list" allowBlank="1" showInputMessage="1" showErrorMessage="1" errorTitle="Resposta inválida" error="O sexo deve ser Machos, Fêmeas ou Machos e Fêmeas" xr:uid="{46DFB491-C2A5-496F-8AF8-5FB9F1C26042}">
          <x14:formula1>
            <xm:f>Tabelas_fonte!$W$12:$W$14</xm:f>
          </x14:formula1>
          <xm:sqref>N50:S50</xm:sqref>
        </x14:dataValidation>
        <x14:dataValidation type="list" allowBlank="1" showInputMessage="1" xr:uid="{343E1EBA-5285-4B4E-88CF-842B6380FFDB}">
          <x14:formula1>
            <xm:f>Tabelas_fonte!$AK$10:$AK$14</xm:f>
          </x14:formula1>
          <xm:sqref>N13:AJ13</xm:sqref>
        </x14:dataValidation>
        <x14:dataValidation type="list" allowBlank="1" showInputMessage="1" showErrorMessage="1" errorTitle="Resposta inválida" error="A resposta de ser Sim ou Não." xr:uid="{7AC7E195-781E-4234-8D50-B1E9E4068FC0}">
          <x14:formula1>
            <xm:f>Tabelas_fonte!$Y$2:$Y$3</xm:f>
          </x14:formula1>
          <xm:sqref>N12:S12 N20:S21 N27:S27</xm:sqref>
        </x14:dataValidation>
        <x14:dataValidation type="list" allowBlank="1" showInputMessage="1" showErrorMessage="1" errorTitle="Resposta inválida" error="A resposta de ser Sim ou Não." xr:uid="{7364344F-67A1-4B60-AE02-95A79D86FA81}">
          <x14:formula1>
            <xm:f>Tabelas_fonte!$U$19:$U$21</xm:f>
          </x14:formula1>
          <xm:sqref>N41:S43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9E0A6-47C3-4627-A63A-A0A7D4806521}">
  <sheetPr codeName="Planilha4">
    <tabColor theme="8" tint="0.59999389629810485"/>
  </sheetPr>
  <dimension ref="A1:O40"/>
  <sheetViews>
    <sheetView showGridLines="0" topLeftCell="D1" workbookViewId="0">
      <selection activeCell="D1" sqref="D1"/>
    </sheetView>
  </sheetViews>
  <sheetFormatPr defaultColWidth="0" defaultRowHeight="15" zeroHeight="1" x14ac:dyDescent="0.25"/>
  <cols>
    <col min="1" max="3" width="2.7109375" style="20" hidden="1" customWidth="1"/>
    <col min="4" max="5" width="2.7109375" style="20" customWidth="1"/>
    <col min="6" max="6" width="32" style="20" customWidth="1"/>
    <col min="7" max="8" width="13.28515625" style="20" customWidth="1"/>
    <col min="9" max="9" width="56.85546875" style="20" customWidth="1"/>
    <col min="10" max="10" width="23.42578125" style="20" customWidth="1"/>
    <col min="11" max="11" width="19.5703125" style="20" customWidth="1"/>
    <col min="12" max="13" width="2.7109375" style="20" customWidth="1"/>
    <col min="14" max="15" width="2.7109375" style="1" hidden="1" customWidth="1"/>
    <col min="16" max="16384" width="0" style="1" hidden="1"/>
  </cols>
  <sheetData>
    <row r="1" spans="1:15" s="20" customFormat="1" x14ac:dyDescent="0.25">
      <c r="A1" s="18"/>
      <c r="B1" s="18"/>
      <c r="C1" s="18"/>
      <c r="D1" s="1"/>
      <c r="E1" s="1"/>
      <c r="F1" s="1"/>
      <c r="G1" s="1"/>
      <c r="H1" s="1"/>
      <c r="I1" s="1"/>
      <c r="J1" s="1"/>
      <c r="K1" s="1"/>
      <c r="L1" s="1"/>
      <c r="M1" s="1"/>
      <c r="N1" s="1"/>
      <c r="O1" s="1"/>
    </row>
    <row r="2" spans="1:15" s="20" customFormat="1" ht="15" customHeight="1" x14ac:dyDescent="0.25">
      <c r="A2" s="18"/>
      <c r="B2" s="18"/>
      <c r="C2" s="18"/>
      <c r="D2" s="1"/>
      <c r="E2" s="2"/>
      <c r="F2" s="1003" t="s">
        <v>269</v>
      </c>
      <c r="G2" s="1003"/>
      <c r="H2" s="1003"/>
      <c r="I2" s="1003"/>
      <c r="J2" s="1003"/>
      <c r="K2" s="52"/>
      <c r="L2" s="2"/>
      <c r="M2" s="1"/>
      <c r="N2" s="7"/>
      <c r="O2" s="7"/>
    </row>
    <row r="3" spans="1:15" s="20" customFormat="1" ht="15" customHeight="1" x14ac:dyDescent="0.25">
      <c r="A3" s="18"/>
      <c r="B3" s="18"/>
      <c r="C3" s="18"/>
      <c r="D3" s="1"/>
      <c r="E3" s="2"/>
      <c r="F3" s="1003"/>
      <c r="G3" s="1003"/>
      <c r="H3" s="1003"/>
      <c r="I3" s="1003"/>
      <c r="J3" s="1003"/>
      <c r="K3" s="52"/>
      <c r="L3" s="2"/>
      <c r="M3" s="1"/>
      <c r="N3" s="7"/>
      <c r="O3" s="7"/>
    </row>
    <row r="4" spans="1:15" s="20" customFormat="1" ht="15" customHeight="1" x14ac:dyDescent="0.25">
      <c r="A4" s="18"/>
      <c r="B4" s="18"/>
      <c r="C4" s="18"/>
      <c r="D4" s="1"/>
      <c r="E4" s="2"/>
      <c r="F4" s="1003"/>
      <c r="G4" s="1003"/>
      <c r="H4" s="1003"/>
      <c r="I4" s="1003"/>
      <c r="J4" s="1003"/>
      <c r="K4" s="52"/>
      <c r="L4" s="2"/>
      <c r="M4" s="1"/>
      <c r="N4" s="7"/>
      <c r="O4" s="7"/>
    </row>
    <row r="5" spans="1:15" s="20" customFormat="1" ht="15" customHeight="1" x14ac:dyDescent="0.25">
      <c r="A5" s="18"/>
      <c r="B5" s="18"/>
      <c r="C5" s="18"/>
      <c r="D5" s="1"/>
      <c r="E5" s="2"/>
      <c r="F5" s="1003"/>
      <c r="G5" s="1003"/>
      <c r="H5" s="1003"/>
      <c r="I5" s="1003"/>
      <c r="J5" s="1003"/>
      <c r="K5" s="52"/>
      <c r="L5" s="2"/>
      <c r="M5" s="1"/>
      <c r="N5" s="7"/>
      <c r="O5" s="7"/>
    </row>
    <row r="6" spans="1:15" s="20" customFormat="1" ht="20.100000000000001" customHeight="1" x14ac:dyDescent="0.25">
      <c r="A6" s="18"/>
      <c r="B6" s="18"/>
      <c r="C6" s="18"/>
      <c r="D6" s="1"/>
      <c r="E6" s="2"/>
      <c r="F6" s="53" t="str">
        <f ca="1">Alertas!R5</f>
        <v/>
      </c>
      <c r="G6" s="52"/>
      <c r="H6" s="52"/>
      <c r="I6" s="52"/>
      <c r="J6" s="52"/>
      <c r="K6" s="69"/>
      <c r="L6" s="2"/>
      <c r="M6" s="1"/>
      <c r="N6" s="7"/>
      <c r="O6" s="7"/>
    </row>
    <row r="7" spans="1:15" s="20" customFormat="1" ht="20.100000000000001" customHeight="1" x14ac:dyDescent="0.25">
      <c r="A7" s="18"/>
      <c r="B7" s="18"/>
      <c r="C7" s="18"/>
      <c r="D7" s="1"/>
      <c r="E7" s="2"/>
      <c r="F7" s="54" t="s">
        <v>7151</v>
      </c>
      <c r="G7" s="1002"/>
      <c r="H7" s="1002"/>
      <c r="I7" s="55" t="s">
        <v>7153</v>
      </c>
      <c r="J7" s="2"/>
      <c r="K7" s="2"/>
      <c r="L7" s="2"/>
      <c r="M7" s="1"/>
      <c r="N7" s="7"/>
      <c r="O7" s="7"/>
    </row>
    <row r="8" spans="1:15" s="20" customFormat="1" ht="15" customHeight="1" x14ac:dyDescent="0.25">
      <c r="A8" s="18"/>
      <c r="B8" s="18"/>
      <c r="C8" s="18"/>
      <c r="D8" s="1"/>
      <c r="E8" s="2"/>
      <c r="F8" s="2"/>
      <c r="G8" s="2"/>
      <c r="H8" s="2"/>
      <c r="I8" s="2"/>
      <c r="J8" s="2"/>
      <c r="K8" s="2"/>
      <c r="L8" s="70"/>
      <c r="M8" s="1"/>
      <c r="N8" s="71"/>
      <c r="O8" s="71"/>
    </row>
    <row r="9" spans="1:15" s="20" customFormat="1" ht="39.950000000000003" customHeight="1" x14ac:dyDescent="0.25">
      <c r="A9" s="18"/>
      <c r="B9" s="18"/>
      <c r="C9" s="18"/>
      <c r="D9" s="1"/>
      <c r="E9" s="1"/>
      <c r="F9" s="56" t="s">
        <v>233</v>
      </c>
      <c r="G9" s="1"/>
      <c r="H9" s="1"/>
      <c r="I9" s="1"/>
      <c r="J9" s="1"/>
      <c r="K9" s="1"/>
      <c r="L9" s="1"/>
      <c r="M9" s="1"/>
      <c r="N9" s="7"/>
      <c r="O9" s="7"/>
    </row>
    <row r="10" spans="1:15" s="20" customFormat="1" ht="30" customHeight="1" x14ac:dyDescent="0.25">
      <c r="A10" s="18"/>
      <c r="B10" s="18"/>
      <c r="C10" s="18"/>
      <c r="D10" s="1"/>
      <c r="E10" s="2"/>
      <c r="F10" s="57" t="s">
        <v>7</v>
      </c>
      <c r="G10" s="58" t="s">
        <v>264</v>
      </c>
      <c r="H10" s="58" t="s">
        <v>11</v>
      </c>
      <c r="I10" s="58" t="s">
        <v>220</v>
      </c>
      <c r="J10" s="57" t="s">
        <v>232</v>
      </c>
      <c r="K10" s="58" t="s">
        <v>7288</v>
      </c>
      <c r="L10" s="2"/>
      <c r="M10" s="1"/>
      <c r="N10" s="1"/>
      <c r="O10" s="1"/>
    </row>
    <row r="11" spans="1:15" s="20" customFormat="1" ht="18" customHeight="1" x14ac:dyDescent="0.25">
      <c r="A11" s="18"/>
      <c r="B11" s="18"/>
      <c r="C11" s="18"/>
      <c r="D11" s="1"/>
      <c r="E11" s="2"/>
      <c r="F11" s="59"/>
      <c r="G11" s="60" t="str">
        <f ca="1">Calculos!C4</f>
        <v/>
      </c>
      <c r="H11" s="61" t="str">
        <f ca="1">Calculos!D4</f>
        <v/>
      </c>
      <c r="I11" s="62"/>
      <c r="J11" s="63"/>
      <c r="K11" s="64"/>
      <c r="L11" s="2"/>
      <c r="M11" s="1"/>
      <c r="N11" s="1"/>
      <c r="O11" s="1"/>
    </row>
    <row r="12" spans="1:15" s="20" customFormat="1" ht="18" customHeight="1" x14ac:dyDescent="0.25">
      <c r="A12" s="18"/>
      <c r="B12" s="18"/>
      <c r="C12" s="18"/>
      <c r="D12" s="1"/>
      <c r="E12" s="2"/>
      <c r="F12" s="59"/>
      <c r="G12" s="60" t="str">
        <f ca="1">Calculos!C5</f>
        <v/>
      </c>
      <c r="H12" s="61" t="str">
        <f ca="1">Calculos!D5</f>
        <v/>
      </c>
      <c r="I12" s="62"/>
      <c r="J12" s="63"/>
      <c r="K12" s="64"/>
      <c r="L12" s="2"/>
      <c r="M12" s="1"/>
      <c r="N12" s="1"/>
      <c r="O12" s="1"/>
    </row>
    <row r="13" spans="1:15" s="20" customFormat="1" ht="18" customHeight="1" x14ac:dyDescent="0.25">
      <c r="A13" s="18"/>
      <c r="B13" s="18"/>
      <c r="C13" s="18"/>
      <c r="D13" s="1"/>
      <c r="E13" s="2"/>
      <c r="F13" s="65"/>
      <c r="G13" s="60" t="str">
        <f ca="1">Calculos!C6</f>
        <v/>
      </c>
      <c r="H13" s="61" t="str">
        <f ca="1">Calculos!D6</f>
        <v/>
      </c>
      <c r="I13" s="62"/>
      <c r="J13" s="63"/>
      <c r="K13" s="64"/>
      <c r="L13" s="2"/>
      <c r="M13" s="1"/>
      <c r="N13" s="1"/>
      <c r="O13" s="1"/>
    </row>
    <row r="14" spans="1:15" s="20" customFormat="1" ht="18" customHeight="1" x14ac:dyDescent="0.25">
      <c r="A14" s="18"/>
      <c r="B14" s="18"/>
      <c r="C14" s="18"/>
      <c r="D14" s="1"/>
      <c r="E14" s="2"/>
      <c r="F14" s="65"/>
      <c r="G14" s="60" t="str">
        <f ca="1">Calculos!C7</f>
        <v/>
      </c>
      <c r="H14" s="61" t="str">
        <f ca="1">Calculos!D7</f>
        <v/>
      </c>
      <c r="I14" s="62"/>
      <c r="J14" s="63"/>
      <c r="K14" s="64"/>
      <c r="L14" s="2"/>
      <c r="M14" s="1"/>
      <c r="N14" s="1"/>
      <c r="O14" s="1"/>
    </row>
    <row r="15" spans="1:15" s="20" customFormat="1" ht="18" customHeight="1" x14ac:dyDescent="0.25">
      <c r="A15" s="18"/>
      <c r="B15" s="18"/>
      <c r="C15" s="18"/>
      <c r="D15" s="1"/>
      <c r="E15" s="2"/>
      <c r="F15" s="59"/>
      <c r="G15" s="60" t="str">
        <f ca="1">Calculos!C8</f>
        <v/>
      </c>
      <c r="H15" s="61" t="str">
        <f ca="1">Calculos!D8</f>
        <v/>
      </c>
      <c r="I15" s="62"/>
      <c r="J15" s="63"/>
      <c r="K15" s="64"/>
      <c r="L15" s="2"/>
      <c r="M15" s="1"/>
      <c r="N15" s="1"/>
      <c r="O15" s="1"/>
    </row>
    <row r="16" spans="1:15" s="20" customFormat="1" ht="18" customHeight="1" x14ac:dyDescent="0.25">
      <c r="A16" s="18"/>
      <c r="B16" s="18"/>
      <c r="C16" s="18"/>
      <c r="D16" s="1"/>
      <c r="E16" s="2"/>
      <c r="F16" s="59"/>
      <c r="G16" s="60" t="str">
        <f ca="1">Calculos!C9</f>
        <v/>
      </c>
      <c r="H16" s="61" t="str">
        <f ca="1">Calculos!D9</f>
        <v/>
      </c>
      <c r="I16" s="62"/>
      <c r="J16" s="63"/>
      <c r="K16" s="64"/>
      <c r="L16" s="2"/>
      <c r="M16" s="1"/>
      <c r="N16" s="1"/>
      <c r="O16" s="1"/>
    </row>
    <row r="17" spans="1:15" s="20" customFormat="1" ht="18" customHeight="1" x14ac:dyDescent="0.25">
      <c r="A17" s="18"/>
      <c r="B17" s="18"/>
      <c r="C17" s="18"/>
      <c r="D17" s="1"/>
      <c r="E17" s="2"/>
      <c r="F17" s="59"/>
      <c r="G17" s="60" t="str">
        <f ca="1">Calculos!C10</f>
        <v/>
      </c>
      <c r="H17" s="61" t="str">
        <f ca="1">Calculos!D10</f>
        <v/>
      </c>
      <c r="I17" s="62"/>
      <c r="J17" s="63"/>
      <c r="K17" s="64"/>
      <c r="L17" s="2"/>
      <c r="M17" s="1"/>
      <c r="N17" s="1"/>
      <c r="O17" s="1"/>
    </row>
    <row r="18" spans="1:15" s="20" customFormat="1" ht="18" customHeight="1" x14ac:dyDescent="0.25">
      <c r="A18" s="18"/>
      <c r="B18" s="18"/>
      <c r="C18" s="18"/>
      <c r="D18" s="1"/>
      <c r="E18" s="2"/>
      <c r="F18" s="59"/>
      <c r="G18" s="60" t="str">
        <f ca="1">Calculos!C11</f>
        <v/>
      </c>
      <c r="H18" s="61" t="str">
        <f ca="1">Calculos!D11</f>
        <v/>
      </c>
      <c r="I18" s="62"/>
      <c r="J18" s="63"/>
      <c r="K18" s="64"/>
      <c r="L18" s="2"/>
      <c r="M18" s="1"/>
      <c r="N18" s="1"/>
      <c r="O18" s="1"/>
    </row>
    <row r="19" spans="1:15" s="20" customFormat="1" ht="18" customHeight="1" x14ac:dyDescent="0.25">
      <c r="A19" s="18"/>
      <c r="B19" s="18"/>
      <c r="C19" s="18"/>
      <c r="D19" s="1"/>
      <c r="E19" s="2"/>
      <c r="F19" s="59"/>
      <c r="G19" s="60" t="str">
        <f ca="1">Calculos!C12</f>
        <v/>
      </c>
      <c r="H19" s="61" t="str">
        <f ca="1">Calculos!D12</f>
        <v/>
      </c>
      <c r="I19" s="62"/>
      <c r="J19" s="63"/>
      <c r="K19" s="64"/>
      <c r="L19" s="2"/>
      <c r="M19" s="1"/>
      <c r="N19" s="1"/>
      <c r="O19" s="1"/>
    </row>
    <row r="20" spans="1:15" s="20" customFormat="1" ht="18" customHeight="1" x14ac:dyDescent="0.25">
      <c r="A20" s="18"/>
      <c r="B20" s="18"/>
      <c r="C20" s="18"/>
      <c r="D20" s="1"/>
      <c r="E20" s="2"/>
      <c r="F20" s="59"/>
      <c r="G20" s="60" t="str">
        <f ca="1">Calculos!C13</f>
        <v/>
      </c>
      <c r="H20" s="61" t="str">
        <f ca="1">Calculos!D13</f>
        <v/>
      </c>
      <c r="I20" s="62"/>
      <c r="J20" s="63"/>
      <c r="K20" s="64"/>
      <c r="L20" s="2"/>
      <c r="M20" s="1"/>
      <c r="N20" s="1"/>
      <c r="O20" s="1"/>
    </row>
    <row r="21" spans="1:15" s="20" customFormat="1" ht="18" customHeight="1" x14ac:dyDescent="0.25">
      <c r="A21" s="18"/>
      <c r="B21" s="18"/>
      <c r="C21" s="18"/>
      <c r="D21" s="1"/>
      <c r="E21" s="2"/>
      <c r="F21" s="59"/>
      <c r="G21" s="60" t="str">
        <f ca="1">Calculos!C14</f>
        <v/>
      </c>
      <c r="H21" s="61" t="str">
        <f ca="1">Calculos!D14</f>
        <v/>
      </c>
      <c r="I21" s="62"/>
      <c r="J21" s="63"/>
      <c r="K21" s="64"/>
      <c r="L21" s="2"/>
      <c r="M21" s="1"/>
      <c r="N21" s="1"/>
      <c r="O21" s="1"/>
    </row>
    <row r="22" spans="1:15" s="20" customFormat="1" ht="18" customHeight="1" x14ac:dyDescent="0.25">
      <c r="A22" s="18"/>
      <c r="B22" s="18"/>
      <c r="C22" s="18"/>
      <c r="D22" s="1"/>
      <c r="E22" s="2"/>
      <c r="F22" s="59"/>
      <c r="G22" s="60" t="str">
        <f ca="1">Calculos!C15</f>
        <v/>
      </c>
      <c r="H22" s="61" t="str">
        <f ca="1">Calculos!D15</f>
        <v/>
      </c>
      <c r="I22" s="62"/>
      <c r="J22" s="63"/>
      <c r="K22" s="64"/>
      <c r="L22" s="2"/>
      <c r="M22" s="1"/>
      <c r="N22" s="1"/>
      <c r="O22" s="1"/>
    </row>
    <row r="23" spans="1:15" s="20" customFormat="1" ht="18" customHeight="1" x14ac:dyDescent="0.25">
      <c r="A23" s="18"/>
      <c r="B23" s="18"/>
      <c r="C23" s="18"/>
      <c r="D23" s="1"/>
      <c r="E23" s="2"/>
      <c r="F23" s="59"/>
      <c r="G23" s="60" t="str">
        <f ca="1">Calculos!C16</f>
        <v/>
      </c>
      <c r="H23" s="61" t="str">
        <f ca="1">Calculos!D16</f>
        <v/>
      </c>
      <c r="I23" s="62"/>
      <c r="J23" s="63"/>
      <c r="K23" s="64"/>
      <c r="L23" s="2"/>
      <c r="M23" s="1"/>
      <c r="N23" s="1"/>
      <c r="O23" s="1"/>
    </row>
    <row r="24" spans="1:15" s="20" customFormat="1" ht="18" customHeight="1" x14ac:dyDescent="0.25">
      <c r="A24" s="18"/>
      <c r="B24" s="18"/>
      <c r="C24" s="18"/>
      <c r="D24" s="1"/>
      <c r="E24" s="2"/>
      <c r="F24" s="59"/>
      <c r="G24" s="60" t="str">
        <f ca="1">Calculos!C17</f>
        <v/>
      </c>
      <c r="H24" s="61" t="str">
        <f ca="1">Calculos!D17</f>
        <v/>
      </c>
      <c r="I24" s="62"/>
      <c r="J24" s="63"/>
      <c r="K24" s="64"/>
      <c r="L24" s="2"/>
      <c r="M24" s="1"/>
      <c r="N24" s="1"/>
      <c r="O24" s="1"/>
    </row>
    <row r="25" spans="1:15" ht="18" customHeight="1" x14ac:dyDescent="0.25">
      <c r="A25" s="18"/>
      <c r="B25" s="18"/>
      <c r="C25" s="18"/>
      <c r="D25" s="1"/>
      <c r="E25" s="2"/>
      <c r="F25" s="59"/>
      <c r="G25" s="60" t="str">
        <f ca="1">Calculos!C18</f>
        <v/>
      </c>
      <c r="H25" s="60" t="str">
        <f ca="1">Calculos!D18</f>
        <v/>
      </c>
      <c r="I25" s="66"/>
      <c r="J25" s="46"/>
      <c r="K25" s="64"/>
      <c r="L25" s="2"/>
      <c r="M25" s="1"/>
    </row>
    <row r="26" spans="1:15" x14ac:dyDescent="0.25">
      <c r="A26" s="18"/>
      <c r="B26" s="18"/>
      <c r="C26" s="18"/>
      <c r="D26" s="1"/>
      <c r="E26" s="2"/>
      <c r="F26" s="67" t="s">
        <v>2033</v>
      </c>
      <c r="G26" s="2"/>
      <c r="H26" s="2"/>
      <c r="I26" s="68"/>
      <c r="J26" s="2"/>
      <c r="K26" s="2"/>
      <c r="L26" s="2"/>
      <c r="M26" s="1"/>
    </row>
    <row r="27" spans="1:15" x14ac:dyDescent="0.25">
      <c r="A27" s="18"/>
      <c r="B27" s="18"/>
      <c r="C27" s="18"/>
      <c r="D27" s="1"/>
      <c r="E27" s="1"/>
      <c r="F27" s="1"/>
      <c r="G27" s="1"/>
      <c r="H27" s="1"/>
      <c r="I27" s="1"/>
      <c r="J27" s="1"/>
      <c r="K27" s="1"/>
      <c r="L27" s="1"/>
      <c r="M27" s="1"/>
    </row>
    <row r="28" spans="1:15" hidden="1" x14ac:dyDescent="0.25">
      <c r="A28" s="18"/>
      <c r="B28" s="18"/>
      <c r="C28" s="18"/>
      <c r="D28" s="1"/>
      <c r="E28" s="1"/>
      <c r="F28" s="1"/>
      <c r="G28" s="1"/>
      <c r="H28" s="1"/>
      <c r="I28" s="1"/>
      <c r="J28" s="1"/>
      <c r="K28" s="1"/>
      <c r="L28" s="1"/>
      <c r="M28" s="1"/>
    </row>
    <row r="29" spans="1:15" hidden="1" x14ac:dyDescent="0.25">
      <c r="A29" s="18"/>
      <c r="B29" s="18"/>
      <c r="C29" s="18"/>
      <c r="D29" s="1"/>
      <c r="E29" s="1"/>
      <c r="F29" s="1"/>
      <c r="G29" s="1"/>
      <c r="H29" s="1"/>
      <c r="I29" s="1"/>
      <c r="J29" s="1"/>
      <c r="K29" s="1"/>
      <c r="L29" s="1"/>
      <c r="M29" s="1"/>
    </row>
    <row r="30" spans="1:15" hidden="1" x14ac:dyDescent="0.25">
      <c r="A30" s="18"/>
      <c r="B30" s="18"/>
      <c r="C30" s="18"/>
      <c r="D30" s="1"/>
      <c r="E30" s="1"/>
      <c r="F30" s="1"/>
      <c r="G30" s="1"/>
      <c r="H30" s="1"/>
      <c r="I30" s="1"/>
      <c r="J30" s="1"/>
      <c r="K30" s="1"/>
      <c r="L30" s="1"/>
      <c r="M30" s="1"/>
    </row>
    <row r="31" spans="1:15" hidden="1" x14ac:dyDescent="0.25">
      <c r="A31" s="18"/>
      <c r="B31" s="18"/>
      <c r="C31" s="18"/>
      <c r="D31" s="1"/>
      <c r="E31" s="1"/>
      <c r="F31" s="1"/>
      <c r="G31" s="1"/>
      <c r="H31" s="1"/>
      <c r="I31" s="1"/>
      <c r="J31" s="1"/>
      <c r="K31" s="1"/>
      <c r="L31" s="1"/>
      <c r="M31" s="1"/>
    </row>
    <row r="32" spans="1:15" hidden="1" x14ac:dyDescent="0.25">
      <c r="A32" s="18"/>
      <c r="B32" s="18"/>
      <c r="C32" s="18"/>
      <c r="D32" s="1"/>
      <c r="E32" s="1"/>
      <c r="F32" s="1"/>
      <c r="G32" s="1"/>
      <c r="H32" s="1"/>
      <c r="I32" s="1"/>
      <c r="J32" s="1"/>
      <c r="K32" s="1"/>
      <c r="L32" s="1"/>
      <c r="M32" s="1"/>
    </row>
    <row r="33" spans="1:13" hidden="1" x14ac:dyDescent="0.25">
      <c r="A33" s="18"/>
      <c r="B33" s="18"/>
      <c r="C33" s="18"/>
      <c r="D33" s="1"/>
      <c r="E33" s="1"/>
      <c r="F33" s="1"/>
      <c r="G33" s="1"/>
      <c r="H33" s="1"/>
      <c r="I33" s="1"/>
      <c r="J33" s="1"/>
      <c r="K33" s="1"/>
      <c r="L33" s="1"/>
      <c r="M33" s="1"/>
    </row>
    <row r="34" spans="1:13" hidden="1" x14ac:dyDescent="0.25">
      <c r="A34" s="18"/>
      <c r="B34" s="18"/>
      <c r="C34" s="18"/>
      <c r="D34" s="1"/>
      <c r="E34" s="1"/>
      <c r="F34" s="1"/>
      <c r="G34" s="1"/>
      <c r="H34" s="1"/>
      <c r="I34" s="1"/>
      <c r="J34" s="1"/>
      <c r="K34" s="1"/>
      <c r="L34" s="1"/>
      <c r="M34" s="1"/>
    </row>
    <row r="35" spans="1:13" hidden="1" x14ac:dyDescent="0.25">
      <c r="A35" s="18"/>
      <c r="B35" s="18"/>
      <c r="C35" s="18"/>
      <c r="D35" s="1"/>
      <c r="E35" s="1"/>
      <c r="F35" s="1"/>
      <c r="G35" s="1"/>
      <c r="H35" s="1"/>
      <c r="I35" s="1"/>
      <c r="J35" s="1"/>
      <c r="K35" s="1"/>
      <c r="L35" s="1"/>
      <c r="M35" s="1"/>
    </row>
    <row r="36" spans="1:13" hidden="1" x14ac:dyDescent="0.25">
      <c r="A36" s="18"/>
      <c r="B36" s="18"/>
      <c r="C36" s="18"/>
      <c r="D36" s="1"/>
      <c r="E36" s="1"/>
      <c r="F36" s="1"/>
      <c r="G36" s="1"/>
      <c r="H36" s="1"/>
      <c r="I36" s="1"/>
      <c r="J36" s="1"/>
      <c r="K36" s="1"/>
      <c r="L36" s="1"/>
      <c r="M36" s="1"/>
    </row>
    <row r="37" spans="1:13" hidden="1" x14ac:dyDescent="0.25">
      <c r="A37" s="18"/>
      <c r="B37" s="18"/>
      <c r="C37" s="18"/>
      <c r="D37" s="1"/>
      <c r="E37" s="1"/>
      <c r="F37" s="1"/>
      <c r="G37" s="1"/>
      <c r="H37" s="1"/>
      <c r="I37" s="1"/>
      <c r="J37" s="1"/>
      <c r="K37" s="1"/>
      <c r="L37" s="1"/>
      <c r="M37" s="1"/>
    </row>
    <row r="38" spans="1:13" hidden="1" x14ac:dyDescent="0.25">
      <c r="A38" s="18"/>
      <c r="B38" s="18"/>
      <c r="C38" s="18"/>
      <c r="D38" s="1"/>
      <c r="E38" s="1"/>
      <c r="F38" s="1"/>
      <c r="G38" s="1"/>
      <c r="H38" s="1"/>
      <c r="I38" s="1"/>
      <c r="J38" s="1"/>
      <c r="K38" s="1"/>
      <c r="L38" s="1"/>
      <c r="M38" s="1"/>
    </row>
    <row r="39" spans="1:13" ht="15.75" hidden="1" customHeight="1" x14ac:dyDescent="0.25">
      <c r="A39" s="18"/>
      <c r="B39" s="18"/>
      <c r="C39" s="18"/>
      <c r="D39" s="1"/>
      <c r="E39" s="1"/>
      <c r="F39" s="1"/>
      <c r="G39" s="1"/>
      <c r="H39" s="1"/>
      <c r="I39" s="1"/>
      <c r="J39" s="1"/>
      <c r="K39" s="1"/>
      <c r="L39" s="1"/>
      <c r="M39" s="1"/>
    </row>
    <row r="40" spans="1:13" ht="14.25" hidden="1" customHeight="1" x14ac:dyDescent="0.25">
      <c r="A40" s="18"/>
      <c r="B40" s="18"/>
      <c r="C40" s="18"/>
      <c r="D40" s="1"/>
      <c r="E40" s="1"/>
      <c r="F40" s="1"/>
      <c r="G40" s="1"/>
      <c r="H40" s="1"/>
      <c r="I40" s="1"/>
      <c r="J40" s="1"/>
      <c r="K40" s="1"/>
      <c r="L40" s="1"/>
      <c r="M40" s="1"/>
    </row>
  </sheetData>
  <sheetProtection algorithmName="SHA-512" hashValue="oTznnrG04ZSHOtPKKu/EYs7mQBiNKWNwGE84k2lEylQD9ChhRJDjDzPT+DKP/mpjDWNnRg7FDTJEWR0SHn6cLg==" saltValue="OCkJ2TFRne+aRoAH8tatLw==" spinCount="100000" sheet="1" objects="1" scenarios="1" formatColumns="0" formatRows="0"/>
  <dataConsolidate/>
  <mergeCells count="2">
    <mergeCell ref="G7:H7"/>
    <mergeCell ref="F2:J5"/>
  </mergeCells>
  <phoneticPr fontId="23" type="noConversion"/>
  <conditionalFormatting sqref="F6">
    <cfRule type="notContainsBlanks" dxfId="702" priority="5">
      <formula>LEN(TRIM(F6))&gt;0</formula>
    </cfRule>
  </conditionalFormatting>
  <conditionalFormatting sqref="H11:H25">
    <cfRule type="expression" dxfId="701" priority="3">
      <formula>AND($G11="Novo",$H11="")</formula>
    </cfRule>
  </conditionalFormatting>
  <dataValidations xWindow="1096" yWindow="521" count="3">
    <dataValidation allowBlank="1" showInputMessage="1" showErrorMessage="1" promptTitle="Ajuda" prompt="Informar o número de registro no Mapa ou a situação do registro como: &quot;Registro suspenso&quot; ou &quot;Registro cancelado&quot;" sqref="K10" xr:uid="{63DB7E1B-2F4D-4CD2-8F70-B9F18BEE8534}"/>
    <dataValidation type="list" errorStyle="warning" allowBlank="1" showInputMessage="1" showErrorMessage="1" errorTitle="Substância não cadastrada" error="O ingrediente ativo informado não possui monografia._x000a__x000a_IA já registrado: Tente localizá-lo na lista disponível para esse campo._x000a__x000a_IA Novo: clique em &quot;Sim&quot; e informe o Nº CAS." sqref="F11:F25" xr:uid="{4DDF8FE7-2CA6-45E0-A54B-0C76F4726E15}">
      <formula1>lista_IA_filtro</formula1>
    </dataValidation>
    <dataValidation allowBlank="1" showInputMessage="1" showErrorMessage="1" promptTitle="Ajuda" prompt="Informe parte do nome do ingrediente ativo para filtrar a lista de opções disponíveis no campo &quot;Nome do ingrediente ativo&quot;" sqref="F7" xr:uid="{3FFDF616-1F04-4111-A8C0-9F5E3FD25A88}"/>
  </dataValidations>
  <hyperlinks>
    <hyperlink ref="F6" location="Alertas!G2" display="Alertas!G2" xr:uid="{71881078-B6CC-47DC-9719-D76664454CF0}"/>
  </hyperlinks>
  <pageMargins left="0.511811024" right="0.511811024" top="0.78740157499999996" bottom="0.78740157499999996" header="0.31496062000000002" footer="0.31496062000000002"/>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233" r:id="rId4" name="check_PT_IA_nao_aplicavel">
              <controlPr defaultSize="0" autoFill="0" autoLine="0" autoPict="0">
                <anchor moveWithCells="1">
                  <from>
                    <xdr:col>5</xdr:col>
                    <xdr:colOff>2105025</xdr:colOff>
                    <xdr:row>8</xdr:row>
                    <xdr:rowOff>28575</xdr:rowOff>
                  </from>
                  <to>
                    <xdr:col>6</xdr:col>
                    <xdr:colOff>342900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1BEB6295-20D4-4337-9721-8C23CE73FD19}">
            <xm:f>Calculos!$C$251=0</xm:f>
            <x14:dxf>
              <font>
                <color theme="0"/>
              </font>
            </x14:dxf>
          </x14:cfRule>
          <xm:sqref>I7</xm:sqref>
        </x14:conditionalFormatting>
        <x14:conditionalFormatting xmlns:xm="http://schemas.microsoft.com/office/excel/2006/main">
          <x14:cfRule type="expression" priority="4" id="{8D2BA07C-A3DB-4151-8E55-BCE109AA5508}">
            <xm:f>Respostas_usuario!$G$2=TRUE</xm:f>
            <x14:dxf>
              <font>
                <color theme="0"/>
              </font>
              <fill>
                <patternFill>
                  <bgColor theme="0"/>
                </patternFill>
              </fill>
              <border>
                <right/>
                <top/>
                <bottom/>
                <vertical/>
                <horizontal/>
              </border>
            </x14:dxf>
          </x14:cfRule>
          <xm:sqref>I10:K25 M10:M25 I26:M26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624E3-AF7D-4A11-8F41-F0374CD63FEB}">
  <sheetPr codeName="Planilha24">
    <tabColor theme="8" tint="0.59999389629810485"/>
  </sheetPr>
  <dimension ref="A1:AO106"/>
  <sheetViews>
    <sheetView showGridLines="0" topLeftCell="D1" workbookViewId="0">
      <selection activeCell="D1" sqref="D1"/>
    </sheetView>
  </sheetViews>
  <sheetFormatPr defaultColWidth="0" defaultRowHeight="15" zeroHeight="1" x14ac:dyDescent="0.25"/>
  <cols>
    <col min="1" max="3" width="2.7109375" style="20" hidden="1" customWidth="1"/>
    <col min="4" max="5" width="2.7109375" style="20" customWidth="1"/>
    <col min="6" max="13" width="4.7109375" style="20" customWidth="1"/>
    <col min="14" max="14" width="5.7109375" style="20" customWidth="1"/>
    <col min="15" max="40" width="4.7109375" style="20" customWidth="1"/>
    <col min="41" max="41" width="0" style="20" hidden="1" customWidth="1"/>
    <col min="42" max="16384" width="9.140625" style="20" hidden="1"/>
  </cols>
  <sheetData>
    <row r="1" spans="1:40" x14ac:dyDescent="0.25">
      <c r="A1" s="18"/>
      <c r="B1" s="18"/>
      <c r="C1" s="18"/>
      <c r="D1" s="7"/>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5" customHeight="1" x14ac:dyDescent="0.25">
      <c r="A2" s="18"/>
      <c r="B2" s="18"/>
      <c r="C2" s="18"/>
      <c r="D2" s="7"/>
      <c r="E2" s="2"/>
      <c r="F2" s="1148" t="s">
        <v>345</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row>
    <row r="3" spans="1:40"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row>
    <row r="4" spans="1:40"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row>
    <row r="5" spans="1:40"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row>
    <row r="6" spans="1:40"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row>
    <row r="7" spans="1:40" ht="20.100000000000001" customHeight="1" x14ac:dyDescent="0.25">
      <c r="A7" s="18"/>
      <c r="B7" s="18"/>
      <c r="C7" s="18"/>
      <c r="D7" s="7"/>
      <c r="E7" s="158"/>
      <c r="F7" s="1024" t="str">
        <f ca="1">Alertas!R16</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row>
    <row r="8" spans="1:40" ht="15" customHeight="1" x14ac:dyDescent="0.25">
      <c r="A8" s="18"/>
      <c r="B8" s="18"/>
      <c r="C8" s="18"/>
      <c r="D8" s="7"/>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30" customHeight="1" x14ac:dyDescent="0.25">
      <c r="A10" s="18"/>
      <c r="B10" s="18"/>
      <c r="C10" s="18"/>
      <c r="D10" s="7"/>
      <c r="E10" s="2"/>
      <c r="F10" s="1149" t="s">
        <v>30</v>
      </c>
      <c r="G10" s="1094"/>
      <c r="H10" s="1094"/>
      <c r="I10" s="1094"/>
      <c r="J10" s="1094"/>
      <c r="K10" s="1094"/>
      <c r="L10" s="1104"/>
      <c r="M10" s="148" t="s">
        <v>186</v>
      </c>
      <c r="N10" s="1032"/>
      <c r="O10" s="1033"/>
      <c r="P10" s="1033"/>
      <c r="Q10" s="1033"/>
      <c r="R10" s="1033"/>
      <c r="S10" s="1033"/>
      <c r="T10" s="1033"/>
      <c r="U10" s="1033"/>
      <c r="V10" s="1033"/>
      <c r="W10" s="1033"/>
      <c r="X10" s="1033"/>
      <c r="Y10" s="1033"/>
      <c r="Z10" s="1034"/>
      <c r="AA10" s="1008" t="s">
        <v>294</v>
      </c>
      <c r="AB10" s="1009"/>
      <c r="AC10" s="1009"/>
      <c r="AD10" s="1041"/>
      <c r="AE10" s="148" t="s">
        <v>186</v>
      </c>
      <c r="AF10" s="1032"/>
      <c r="AG10" s="1033"/>
      <c r="AH10" s="1033"/>
      <c r="AI10" s="1033"/>
      <c r="AJ10" s="1034"/>
      <c r="AK10" s="2"/>
      <c r="AL10" s="2"/>
      <c r="AM10" s="2"/>
      <c r="AN10" s="2"/>
    </row>
    <row r="11" spans="1:40" ht="60" customHeight="1" x14ac:dyDescent="0.25">
      <c r="A11" s="18"/>
      <c r="B11" s="18"/>
      <c r="C11" s="18"/>
      <c r="D11" s="7"/>
      <c r="E11" s="2"/>
      <c r="F11" s="1008" t="s">
        <v>7300</v>
      </c>
      <c r="G11" s="1009"/>
      <c r="H11" s="1009"/>
      <c r="I11" s="1009"/>
      <c r="J11" s="1009"/>
      <c r="K11" s="1009"/>
      <c r="L11" s="1041"/>
      <c r="M11" s="148" t="s">
        <v>186</v>
      </c>
      <c r="N11" s="1032"/>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4"/>
      <c r="AK11" s="1158" t="s">
        <v>271</v>
      </c>
      <c r="AL11" s="1159"/>
      <c r="AM11" s="1159"/>
      <c r="AN11" s="1159"/>
    </row>
    <row r="12" spans="1:40" ht="20.100000000000001" customHeight="1" x14ac:dyDescent="0.25">
      <c r="A12" s="18"/>
      <c r="B12" s="18"/>
      <c r="C12" s="18"/>
      <c r="D12" s="7"/>
      <c r="E12" s="2"/>
      <c r="F12" s="1008" t="s">
        <v>6029</v>
      </c>
      <c r="G12" s="1009"/>
      <c r="H12" s="1009"/>
      <c r="I12" s="1009"/>
      <c r="J12" s="1009"/>
      <c r="K12" s="1009"/>
      <c r="L12" s="1041"/>
      <c r="M12" s="148" t="s">
        <v>186</v>
      </c>
      <c r="N12" s="1147"/>
      <c r="O12" s="1096"/>
      <c r="P12" s="1096"/>
      <c r="Q12" s="1096"/>
      <c r="R12" s="1096"/>
      <c r="S12" s="1097"/>
      <c r="T12" s="160"/>
      <c r="U12" s="160"/>
      <c r="V12" s="160"/>
      <c r="W12" s="160"/>
      <c r="X12" s="160"/>
      <c r="Y12" s="160"/>
      <c r="Z12" s="160"/>
      <c r="AA12" s="263"/>
      <c r="AB12" s="173"/>
      <c r="AC12" s="173"/>
      <c r="AD12" s="173"/>
      <c r="AE12" s="173"/>
      <c r="AF12" s="264"/>
      <c r="AG12" s="160"/>
      <c r="AH12" s="160"/>
      <c r="AI12" s="160"/>
      <c r="AJ12" s="160"/>
      <c r="AK12" s="2"/>
      <c r="AL12" s="2"/>
      <c r="AM12" s="2"/>
      <c r="AN12" s="2"/>
    </row>
    <row r="13" spans="1:40" ht="20.100000000000001" customHeight="1" x14ac:dyDescent="0.25">
      <c r="A13" s="18"/>
      <c r="B13" s="18"/>
      <c r="C13" s="18"/>
      <c r="D13" s="7"/>
      <c r="E13" s="2"/>
      <c r="F13" s="1149" t="s">
        <v>218</v>
      </c>
      <c r="G13" s="1094"/>
      <c r="H13" s="1094"/>
      <c r="I13" s="1094"/>
      <c r="J13" s="1094"/>
      <c r="K13" s="1094"/>
      <c r="L13" s="1104"/>
      <c r="M13" s="148" t="s">
        <v>186</v>
      </c>
      <c r="N13" s="1347"/>
      <c r="O13" s="1348"/>
      <c r="P13" s="1348"/>
      <c r="Q13" s="1348"/>
      <c r="R13" s="1348"/>
      <c r="S13" s="1348"/>
      <c r="T13" s="1348"/>
      <c r="U13" s="1348"/>
      <c r="V13" s="1348"/>
      <c r="W13" s="1348"/>
      <c r="X13" s="1348"/>
      <c r="Y13" s="1348"/>
      <c r="Z13" s="1348"/>
      <c r="AA13" s="1348"/>
      <c r="AB13" s="1348"/>
      <c r="AC13" s="1348"/>
      <c r="AD13" s="1348"/>
      <c r="AE13" s="1348"/>
      <c r="AF13" s="1348"/>
      <c r="AG13" s="1348"/>
      <c r="AH13" s="1348"/>
      <c r="AI13" s="1348"/>
      <c r="AJ13" s="1349"/>
      <c r="AK13" s="265"/>
      <c r="AL13" s="2"/>
      <c r="AM13" s="2"/>
      <c r="AN13" s="2"/>
    </row>
    <row r="14" spans="1:40" ht="20.100000000000001" customHeight="1" x14ac:dyDescent="0.25">
      <c r="A14" s="18"/>
      <c r="B14" s="18"/>
      <c r="C14" s="18"/>
      <c r="D14" s="7"/>
      <c r="E14" s="2"/>
      <c r="F14" s="1149" t="s">
        <v>311</v>
      </c>
      <c r="G14" s="1094"/>
      <c r="H14" s="1094"/>
      <c r="I14" s="1094"/>
      <c r="J14" s="1094"/>
      <c r="K14" s="1094"/>
      <c r="L14" s="1094"/>
      <c r="M14" s="1150"/>
      <c r="N14" s="1276"/>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8"/>
      <c r="AK14" s="163"/>
      <c r="AL14" s="163"/>
      <c r="AM14" s="163"/>
      <c r="AN14" s="163"/>
    </row>
    <row r="15" spans="1:40" ht="20.100000000000001" customHeight="1" x14ac:dyDescent="0.25">
      <c r="A15" s="18"/>
      <c r="B15" s="18"/>
      <c r="C15" s="18"/>
      <c r="D15" s="7"/>
      <c r="E15" s="2"/>
      <c r="F15" s="1008" t="s">
        <v>7301</v>
      </c>
      <c r="G15" s="1009"/>
      <c r="H15" s="1009"/>
      <c r="I15" s="1009"/>
      <c r="J15" s="1009"/>
      <c r="K15" s="1009"/>
      <c r="L15" s="1009"/>
      <c r="M15" s="1010"/>
      <c r="N15" s="1151" t="s">
        <v>6030</v>
      </c>
      <c r="O15" s="1088"/>
      <c r="P15" s="1089"/>
      <c r="Q15" s="148" t="s">
        <v>186</v>
      </c>
      <c r="R15" s="999"/>
      <c r="S15" s="1000"/>
      <c r="T15" s="1000"/>
      <c r="U15" s="1000"/>
      <c r="V15" s="1000"/>
      <c r="W15" s="1000"/>
      <c r="X15" s="1001"/>
      <c r="Y15" s="1073" t="s">
        <v>31</v>
      </c>
      <c r="Z15" s="1074"/>
      <c r="AA15" s="1074"/>
      <c r="AB15" s="1075"/>
      <c r="AC15" s="148" t="s">
        <v>186</v>
      </c>
      <c r="AD15" s="999"/>
      <c r="AE15" s="1000"/>
      <c r="AF15" s="1000"/>
      <c r="AG15" s="1000"/>
      <c r="AH15" s="1000"/>
      <c r="AI15" s="1000"/>
      <c r="AJ15" s="1001"/>
      <c r="AK15" s="164"/>
      <c r="AL15" s="164"/>
      <c r="AM15" s="164"/>
      <c r="AN15" s="164"/>
    </row>
    <row r="16" spans="1:40" ht="20.100000000000001" customHeight="1" x14ac:dyDescent="0.25">
      <c r="A16" s="18"/>
      <c r="B16" s="18"/>
      <c r="C16" s="18"/>
      <c r="D16" s="7"/>
      <c r="E16" s="2"/>
      <c r="F16" s="1008" t="s">
        <v>5720</v>
      </c>
      <c r="G16" s="1009"/>
      <c r="H16" s="1009"/>
      <c r="I16" s="1009"/>
      <c r="J16" s="1009"/>
      <c r="K16" s="1009"/>
      <c r="L16" s="1009"/>
      <c r="M16" s="148" t="s">
        <v>186</v>
      </c>
      <c r="N16" s="1136"/>
      <c r="O16" s="1090"/>
      <c r="P16" s="1090"/>
      <c r="Q16" s="1090"/>
      <c r="R16" s="1091"/>
      <c r="S16" s="1092"/>
      <c r="T16" s="2"/>
      <c r="U16" s="2"/>
      <c r="V16" s="2"/>
      <c r="W16" s="2"/>
      <c r="X16" s="2"/>
      <c r="Y16" s="2"/>
      <c r="Z16" s="2"/>
      <c r="AA16" s="2"/>
      <c r="AB16" s="2"/>
      <c r="AC16" s="2"/>
      <c r="AD16" s="2"/>
      <c r="AE16" s="2"/>
      <c r="AF16" s="2"/>
      <c r="AG16" s="2"/>
      <c r="AH16" s="2"/>
      <c r="AI16" s="2"/>
      <c r="AJ16" s="2"/>
      <c r="AK16" s="2"/>
      <c r="AL16" s="2"/>
      <c r="AM16" s="2"/>
      <c r="AN16" s="2"/>
    </row>
    <row r="17" spans="1:40" ht="20.100000000000001" customHeight="1" x14ac:dyDescent="0.25">
      <c r="A17" s="18"/>
      <c r="B17" s="18"/>
      <c r="C17" s="18"/>
      <c r="D17" s="7"/>
      <c r="E17" s="2"/>
      <c r="F17" s="1149" t="s">
        <v>85</v>
      </c>
      <c r="G17" s="1094"/>
      <c r="H17" s="1094"/>
      <c r="I17" s="1094"/>
      <c r="J17" s="1094"/>
      <c r="K17" s="1094"/>
      <c r="L17" s="1104"/>
      <c r="M17" s="148" t="s">
        <v>186</v>
      </c>
      <c r="N17" s="1171" t="s">
        <v>334</v>
      </c>
      <c r="O17" s="1138"/>
      <c r="P17" s="1138"/>
      <c r="Q17" s="1138"/>
      <c r="R17" s="1138"/>
      <c r="S17" s="1139"/>
      <c r="T17" s="1008" t="s">
        <v>235</v>
      </c>
      <c r="U17" s="1009"/>
      <c r="V17" s="1009"/>
      <c r="W17" s="1009"/>
      <c r="X17" s="1009"/>
      <c r="Y17" s="1009"/>
      <c r="Z17" s="1009"/>
      <c r="AA17" s="148" t="s">
        <v>186</v>
      </c>
      <c r="AB17" s="1130"/>
      <c r="AC17" s="1131"/>
      <c r="AD17" s="1131"/>
      <c r="AE17" s="1131"/>
      <c r="AF17" s="1131"/>
      <c r="AG17" s="1131"/>
      <c r="AH17" s="1131"/>
      <c r="AI17" s="1131"/>
      <c r="AJ17" s="1132"/>
      <c r="AK17" s="49"/>
      <c r="AL17" s="49"/>
      <c r="AM17" s="49"/>
      <c r="AN17" s="49"/>
    </row>
    <row r="18" spans="1:40" ht="20.100000000000001" customHeight="1" x14ac:dyDescent="0.25">
      <c r="A18" s="18"/>
      <c r="B18" s="18"/>
      <c r="C18" s="18"/>
      <c r="D18" s="7"/>
      <c r="E18" s="2"/>
      <c r="F18" s="1149" t="s">
        <v>83</v>
      </c>
      <c r="G18" s="1094"/>
      <c r="H18" s="1094"/>
      <c r="I18" s="1094"/>
      <c r="J18" s="1094"/>
      <c r="K18" s="1094"/>
      <c r="L18" s="1104"/>
      <c r="M18" s="148" t="s">
        <v>186</v>
      </c>
      <c r="N18" s="981"/>
      <c r="O18" s="982"/>
      <c r="P18" s="982"/>
      <c r="Q18" s="982"/>
      <c r="R18" s="982"/>
      <c r="S18" s="1212"/>
      <c r="T18" s="2"/>
      <c r="U18" s="2"/>
      <c r="V18" s="2"/>
      <c r="W18" s="153"/>
      <c r="X18" s="2"/>
      <c r="Y18" s="2"/>
      <c r="Z18" s="2"/>
      <c r="AA18" s="2"/>
      <c r="AB18" s="2"/>
      <c r="AC18" s="2"/>
      <c r="AD18" s="2"/>
      <c r="AE18" s="2"/>
      <c r="AF18" s="2"/>
      <c r="AG18" s="2"/>
      <c r="AH18" s="2"/>
      <c r="AI18" s="2"/>
      <c r="AJ18" s="2"/>
      <c r="AK18" s="2"/>
      <c r="AL18" s="2"/>
      <c r="AM18" s="2"/>
      <c r="AN18" s="2"/>
    </row>
    <row r="19" spans="1:40" ht="15" customHeight="1" x14ac:dyDescent="0.25">
      <c r="A19" s="18"/>
      <c r="B19" s="18"/>
      <c r="C19" s="18"/>
      <c r="D19" s="7"/>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20.100000000000001" customHeight="1" x14ac:dyDescent="0.25">
      <c r="A20" s="18"/>
      <c r="B20" s="18"/>
      <c r="C20" s="18"/>
      <c r="D20" s="7"/>
      <c r="E20" s="7"/>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ht="15" customHeight="1" x14ac:dyDescent="0.25">
      <c r="A21" s="18"/>
      <c r="B21" s="18"/>
      <c r="C21" s="18"/>
      <c r="D21" s="7"/>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20.100000000000001" customHeight="1" x14ac:dyDescent="0.25">
      <c r="A22" s="18"/>
      <c r="B22" s="18"/>
      <c r="C22" s="18"/>
      <c r="D22" s="7"/>
      <c r="E22" s="2"/>
      <c r="F22" s="244"/>
      <c r="G22" s="244"/>
      <c r="H22" s="244"/>
      <c r="I22" s="244"/>
      <c r="J22" s="244"/>
      <c r="K22" s="244"/>
      <c r="L22" s="244"/>
      <c r="M22" s="244"/>
      <c r="N22" s="244"/>
      <c r="O22" s="244"/>
      <c r="P22" s="244"/>
      <c r="Q22" s="244"/>
      <c r="R22" s="245" t="s">
        <v>6033</v>
      </c>
      <c r="S22" s="244"/>
      <c r="T22" s="244"/>
      <c r="U22" s="244"/>
      <c r="V22" s="244"/>
      <c r="W22" s="244"/>
      <c r="X22" s="244"/>
      <c r="Y22" s="244"/>
      <c r="Z22" s="244"/>
      <c r="AA22" s="244"/>
      <c r="AB22" s="244"/>
      <c r="AC22" s="244"/>
      <c r="AD22" s="244"/>
      <c r="AE22" s="244"/>
      <c r="AF22" s="244"/>
      <c r="AG22" s="244"/>
      <c r="AH22" s="244"/>
      <c r="AI22" s="244"/>
      <c r="AJ22" s="244"/>
      <c r="AK22" s="162"/>
      <c r="AL22" s="162"/>
      <c r="AM22" s="162"/>
      <c r="AN22" s="162"/>
    </row>
    <row r="23" spans="1:40" ht="15" customHeight="1" x14ac:dyDescent="0.25">
      <c r="A23" s="18"/>
      <c r="B23" s="18"/>
      <c r="C23" s="18"/>
      <c r="D23" s="7"/>
      <c r="E23" s="2"/>
      <c r="F23" s="247"/>
      <c r="G23" s="247"/>
      <c r="H23" s="247"/>
      <c r="I23" s="247"/>
      <c r="J23" s="247"/>
      <c r="K23" s="247"/>
      <c r="L23" s="247"/>
      <c r="M23" s="247"/>
      <c r="N23" s="247"/>
      <c r="O23" s="247"/>
      <c r="P23" s="247"/>
      <c r="Q23" s="247"/>
      <c r="R23" s="247"/>
      <c r="S23" s="247"/>
      <c r="T23" s="248"/>
      <c r="U23" s="248"/>
      <c r="V23" s="248"/>
      <c r="W23" s="248"/>
      <c r="X23" s="248"/>
      <c r="Y23" s="248"/>
      <c r="Z23" s="248"/>
      <c r="AA23" s="248"/>
      <c r="AB23" s="248"/>
      <c r="AC23" s="248"/>
      <c r="AD23" s="248"/>
      <c r="AE23" s="248"/>
      <c r="AF23" s="248"/>
      <c r="AG23" s="248"/>
      <c r="AH23" s="248"/>
      <c r="AI23" s="248"/>
      <c r="AJ23" s="248"/>
      <c r="AK23" s="162"/>
      <c r="AL23" s="162"/>
      <c r="AM23" s="162"/>
      <c r="AN23" s="162"/>
    </row>
    <row r="24" spans="1:40" ht="35.1" customHeight="1" x14ac:dyDescent="0.25">
      <c r="A24" s="18"/>
      <c r="B24" s="18"/>
      <c r="C24" s="18"/>
      <c r="D24" s="7"/>
      <c r="E24" s="2"/>
      <c r="F24" s="1149" t="s">
        <v>6034</v>
      </c>
      <c r="G24" s="1094"/>
      <c r="H24" s="1094"/>
      <c r="I24" s="1094"/>
      <c r="J24" s="1094"/>
      <c r="K24" s="1094"/>
      <c r="L24" s="1104"/>
      <c r="M24" s="148" t="s">
        <v>186</v>
      </c>
      <c r="N24" s="1213"/>
      <c r="O24" s="1214"/>
      <c r="P24" s="1214"/>
      <c r="Q24" s="1214"/>
      <c r="R24" s="1214"/>
      <c r="S24" s="1190"/>
      <c r="T24" s="2"/>
      <c r="U24" s="2"/>
      <c r="V24" s="2"/>
      <c r="W24" s="2"/>
      <c r="X24" s="2"/>
      <c r="Y24" s="2"/>
      <c r="Z24" s="2"/>
      <c r="AA24" s="2"/>
      <c r="AB24" s="2"/>
      <c r="AC24" s="2"/>
      <c r="AD24" s="2"/>
      <c r="AE24" s="2"/>
      <c r="AF24" s="2"/>
      <c r="AG24" s="2"/>
      <c r="AH24" s="2"/>
      <c r="AI24" s="2"/>
      <c r="AJ24" s="2"/>
      <c r="AK24" s="2"/>
      <c r="AL24" s="2"/>
      <c r="AM24" s="2"/>
      <c r="AN24" s="2"/>
    </row>
    <row r="25" spans="1:40" ht="15" customHeight="1" x14ac:dyDescent="0.25">
      <c r="A25" s="18"/>
      <c r="B25" s="18"/>
      <c r="C25" s="18"/>
      <c r="D25" s="7"/>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20.100000000000001" customHeight="1" x14ac:dyDescent="0.25">
      <c r="A26" s="18"/>
      <c r="B26" s="18"/>
      <c r="C26" s="18"/>
      <c r="D26" s="7"/>
      <c r="E26" s="2"/>
      <c r="F26" s="1149" t="s">
        <v>332</v>
      </c>
      <c r="G26" s="1094"/>
      <c r="H26" s="1094"/>
      <c r="I26" s="1094"/>
      <c r="J26" s="1094"/>
      <c r="K26" s="1094"/>
      <c r="L26" s="1104"/>
      <c r="M26" s="148" t="s">
        <v>186</v>
      </c>
      <c r="N26" s="1000"/>
      <c r="O26" s="1000"/>
      <c r="P26" s="1000"/>
      <c r="Q26" s="1000"/>
      <c r="R26" s="1000"/>
      <c r="S26" s="1001"/>
      <c r="T26" s="2"/>
      <c r="U26" s="2"/>
      <c r="V26" s="2"/>
      <c r="W26" s="2"/>
      <c r="X26" s="2"/>
      <c r="Y26" s="2"/>
      <c r="Z26" s="2"/>
      <c r="AA26" s="2"/>
      <c r="AB26" s="2"/>
      <c r="AC26" s="2"/>
      <c r="AD26" s="2"/>
      <c r="AE26" s="2"/>
      <c r="AF26" s="2"/>
      <c r="AG26" s="2"/>
      <c r="AH26" s="2"/>
      <c r="AI26" s="2"/>
      <c r="AJ26" s="2"/>
      <c r="AK26" s="2"/>
      <c r="AL26" s="2"/>
      <c r="AM26" s="2"/>
      <c r="AN26" s="2"/>
    </row>
    <row r="27" spans="1:40" ht="20.100000000000001" hidden="1" customHeight="1" x14ac:dyDescent="0.25">
      <c r="A27" s="18"/>
      <c r="B27" s="18"/>
      <c r="C27" s="18"/>
      <c r="D27" s="7"/>
      <c r="E27" s="2"/>
      <c r="AH27" s="2"/>
      <c r="AI27" s="2"/>
      <c r="AJ27" s="2"/>
      <c r="AK27" s="2"/>
      <c r="AL27" s="2"/>
      <c r="AM27" s="2"/>
      <c r="AN27" s="2"/>
    </row>
    <row r="28" spans="1:40" ht="20.100000000000001" hidden="1" customHeight="1" x14ac:dyDescent="0.25">
      <c r="A28" s="18"/>
      <c r="B28" s="18"/>
      <c r="C28" s="18"/>
      <c r="D28" s="7"/>
      <c r="E28" s="2"/>
      <c r="AH28" s="2"/>
      <c r="AI28" s="2"/>
      <c r="AJ28" s="2"/>
      <c r="AK28" s="2"/>
      <c r="AL28" s="2"/>
      <c r="AM28" s="2"/>
      <c r="AN28" s="2"/>
    </row>
    <row r="29" spans="1:40" ht="20.100000000000001" hidden="1" customHeight="1" x14ac:dyDescent="0.25">
      <c r="A29" s="18"/>
      <c r="B29" s="18"/>
      <c r="C29" s="18"/>
      <c r="D29" s="7"/>
      <c r="E29" s="2"/>
      <c r="AH29" s="2"/>
      <c r="AI29" s="2"/>
      <c r="AJ29" s="2"/>
      <c r="AK29" s="2"/>
      <c r="AL29" s="2"/>
      <c r="AM29" s="2"/>
      <c r="AN29" s="2"/>
    </row>
    <row r="30" spans="1:40" ht="30" hidden="1" customHeight="1" x14ac:dyDescent="0.25">
      <c r="A30" s="18"/>
      <c r="B30" s="18"/>
      <c r="C30" s="18"/>
      <c r="D30" s="7"/>
      <c r="E30" s="2"/>
      <c r="AH30" s="2"/>
      <c r="AI30" s="2"/>
      <c r="AJ30" s="2"/>
      <c r="AK30" s="2"/>
      <c r="AL30" s="2"/>
      <c r="AM30" s="2"/>
      <c r="AN30" s="2"/>
    </row>
    <row r="31" spans="1:40" ht="30" hidden="1" customHeight="1" x14ac:dyDescent="0.25">
      <c r="A31" s="18"/>
      <c r="B31" s="18"/>
      <c r="C31" s="18"/>
      <c r="D31" s="7"/>
      <c r="E31" s="2"/>
      <c r="AH31" s="2"/>
      <c r="AI31" s="2"/>
      <c r="AJ31" s="2"/>
      <c r="AK31" s="2"/>
      <c r="AL31" s="2"/>
      <c r="AM31" s="2"/>
      <c r="AN31" s="2"/>
    </row>
    <row r="32" spans="1:40" ht="15" customHeight="1" x14ac:dyDescent="0.25">
      <c r="A32" s="18"/>
      <c r="B32" s="18"/>
      <c r="C32" s="18"/>
      <c r="D32" s="7"/>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row>
    <row r="33" spans="1:40" ht="20.100000000000001" customHeight="1" x14ac:dyDescent="0.25">
      <c r="A33" s="18"/>
      <c r="B33" s="18"/>
      <c r="C33" s="18"/>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row>
    <row r="34" spans="1:40" ht="15" customHeight="1" x14ac:dyDescent="0.25">
      <c r="A34" s="18"/>
      <c r="B34" s="18"/>
      <c r="C34" s="18"/>
      <c r="D34" s="7"/>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20.100000000000001" customHeight="1" x14ac:dyDescent="0.25">
      <c r="A35" s="18"/>
      <c r="B35" s="18"/>
      <c r="C35" s="18"/>
      <c r="D35" s="7"/>
      <c r="E35" s="2"/>
      <c r="F35" s="266"/>
      <c r="G35" s="244"/>
      <c r="H35" s="244"/>
      <c r="I35" s="244"/>
      <c r="J35" s="244"/>
      <c r="K35" s="244"/>
      <c r="L35" s="244"/>
      <c r="M35" s="244"/>
      <c r="N35" s="244"/>
      <c r="O35" s="244"/>
      <c r="P35" s="244"/>
      <c r="Q35" s="244"/>
      <c r="R35" s="245" t="s">
        <v>73</v>
      </c>
      <c r="S35" s="244"/>
      <c r="T35" s="244"/>
      <c r="U35" s="266"/>
      <c r="V35" s="244"/>
      <c r="W35" s="244"/>
      <c r="X35" s="244"/>
      <c r="Y35" s="244"/>
      <c r="Z35" s="244"/>
      <c r="AA35" s="244"/>
      <c r="AB35" s="244"/>
      <c r="AC35" s="244"/>
      <c r="AD35" s="244"/>
      <c r="AE35" s="244"/>
      <c r="AF35" s="244"/>
      <c r="AG35" s="244"/>
      <c r="AH35" s="244"/>
      <c r="AI35" s="244"/>
      <c r="AJ35" s="244"/>
      <c r="AK35" s="244"/>
      <c r="AL35" s="244"/>
      <c r="AM35" s="244"/>
      <c r="AN35" s="259"/>
    </row>
    <row r="36" spans="1:40" ht="20.100000000000001" customHeight="1" x14ac:dyDescent="0.25">
      <c r="A36" s="18"/>
      <c r="B36" s="18"/>
      <c r="C36" s="18"/>
      <c r="D36" s="7"/>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35.1" customHeight="1" x14ac:dyDescent="0.25">
      <c r="A37" s="18"/>
      <c r="B37" s="18"/>
      <c r="C37" s="18"/>
      <c r="D37" s="7"/>
      <c r="E37" s="2"/>
      <c r="F37" s="2"/>
      <c r="G37" s="2"/>
      <c r="H37" s="2"/>
      <c r="I37" s="2"/>
      <c r="J37" s="2"/>
      <c r="K37" s="2"/>
      <c r="L37" s="2"/>
      <c r="M37" s="2"/>
      <c r="N37" s="2"/>
      <c r="O37" s="2"/>
      <c r="P37" s="2"/>
      <c r="Q37" s="2"/>
      <c r="R37" s="1008" t="s">
        <v>5966</v>
      </c>
      <c r="S37" s="1009"/>
      <c r="T37" s="1009"/>
      <c r="U37" s="1009"/>
      <c r="V37" s="1009"/>
      <c r="W37" s="1009"/>
      <c r="X37" s="1009"/>
      <c r="Y37" s="1010"/>
      <c r="AA37" s="1008" t="s">
        <v>5967</v>
      </c>
      <c r="AB37" s="1009"/>
      <c r="AC37" s="1009"/>
      <c r="AD37" s="1009"/>
      <c r="AE37" s="1009"/>
      <c r="AF37" s="1009"/>
      <c r="AG37" s="1009"/>
      <c r="AH37" s="1010"/>
      <c r="AI37" s="2"/>
      <c r="AJ37" s="2"/>
      <c r="AK37" s="2"/>
      <c r="AL37" s="2"/>
      <c r="AM37" s="2"/>
      <c r="AN37" s="2"/>
    </row>
    <row r="38" spans="1:40" ht="30" customHeight="1" x14ac:dyDescent="0.25">
      <c r="A38" s="18"/>
      <c r="B38" s="18"/>
      <c r="C38" s="18"/>
      <c r="D38" s="7"/>
      <c r="E38" s="2"/>
      <c r="F38" s="232"/>
      <c r="G38" s="233"/>
      <c r="H38" s="233"/>
      <c r="I38" s="233"/>
      <c r="J38" s="233"/>
      <c r="K38" s="233"/>
      <c r="L38" s="233"/>
      <c r="M38" s="199"/>
      <c r="N38" s="1009" t="s">
        <v>139</v>
      </c>
      <c r="O38" s="1010"/>
      <c r="P38" s="1008" t="s">
        <v>35</v>
      </c>
      <c r="Q38" s="1010"/>
      <c r="R38" s="1008" t="s">
        <v>335</v>
      </c>
      <c r="S38" s="1010"/>
      <c r="T38" s="1008" t="s">
        <v>336</v>
      </c>
      <c r="U38" s="1010"/>
      <c r="V38" s="1008" t="s">
        <v>337</v>
      </c>
      <c r="W38" s="1010"/>
      <c r="X38" s="1008" t="s">
        <v>338</v>
      </c>
      <c r="Y38" s="1010"/>
      <c r="AA38" s="1008" t="s">
        <v>335</v>
      </c>
      <c r="AB38" s="1010"/>
      <c r="AC38" s="1008" t="s">
        <v>336</v>
      </c>
      <c r="AD38" s="1010"/>
      <c r="AE38" s="1008" t="s">
        <v>337</v>
      </c>
      <c r="AF38" s="1010"/>
      <c r="AG38" s="1008" t="s">
        <v>338</v>
      </c>
      <c r="AH38" s="1010"/>
      <c r="AI38" s="2"/>
      <c r="AJ38" s="2"/>
      <c r="AK38" s="2"/>
      <c r="AL38" s="2"/>
      <c r="AM38" s="2"/>
      <c r="AN38" s="2"/>
    </row>
    <row r="39" spans="1:40" ht="20.100000000000001" customHeight="1" x14ac:dyDescent="0.25">
      <c r="A39" s="18"/>
      <c r="B39" s="18"/>
      <c r="C39" s="18"/>
      <c r="D39" s="7"/>
      <c r="E39" s="2"/>
      <c r="F39" s="234"/>
      <c r="G39" s="184"/>
      <c r="H39" s="184"/>
      <c r="I39" s="184"/>
      <c r="J39" s="184"/>
      <c r="K39" s="184"/>
      <c r="L39" s="184"/>
      <c r="M39" s="254"/>
      <c r="N39" s="1344">
        <v>1</v>
      </c>
      <c r="O39" s="1344"/>
      <c r="P39" s="1259"/>
      <c r="Q39" s="1261"/>
      <c r="R39" s="1339"/>
      <c r="S39" s="1291"/>
      <c r="T39" s="1339"/>
      <c r="U39" s="1291"/>
      <c r="V39" s="1339"/>
      <c r="W39" s="1291"/>
      <c r="X39" s="1339"/>
      <c r="Y39" s="1291"/>
      <c r="Z39" s="127" t="s">
        <v>5968</v>
      </c>
      <c r="AA39" s="1339"/>
      <c r="AB39" s="1291"/>
      <c r="AC39" s="1339"/>
      <c r="AD39" s="1291"/>
      <c r="AE39" s="1339"/>
      <c r="AF39" s="1291"/>
      <c r="AG39" s="1339"/>
      <c r="AH39" s="1291"/>
      <c r="AI39" s="2"/>
      <c r="AJ39" s="2"/>
      <c r="AK39" s="2"/>
      <c r="AL39" s="2"/>
      <c r="AM39" s="2"/>
      <c r="AN39" s="2"/>
    </row>
    <row r="40" spans="1:40" ht="20.100000000000001" customHeight="1" x14ac:dyDescent="0.25">
      <c r="A40" s="18"/>
      <c r="B40" s="18"/>
      <c r="C40" s="18"/>
      <c r="D40" s="7"/>
      <c r="E40" s="2"/>
      <c r="F40" s="1195" t="s">
        <v>333</v>
      </c>
      <c r="G40" s="1084"/>
      <c r="H40" s="1084"/>
      <c r="I40" s="1084"/>
      <c r="J40" s="1084"/>
      <c r="K40" s="1084"/>
      <c r="L40" s="1084"/>
      <c r="M40" s="191" t="s">
        <v>186</v>
      </c>
      <c r="N40" s="1344">
        <v>2</v>
      </c>
      <c r="O40" s="1344"/>
      <c r="P40" s="1259"/>
      <c r="Q40" s="1261"/>
      <c r="R40" s="1339"/>
      <c r="S40" s="1291"/>
      <c r="T40" s="1339"/>
      <c r="U40" s="1291"/>
      <c r="V40" s="1339"/>
      <c r="W40" s="1291"/>
      <c r="X40" s="1339"/>
      <c r="Y40" s="1291"/>
      <c r="Z40" s="127" t="s">
        <v>5968</v>
      </c>
      <c r="AA40" s="1339"/>
      <c r="AB40" s="1291"/>
      <c r="AC40" s="1339"/>
      <c r="AD40" s="1291"/>
      <c r="AE40" s="1339"/>
      <c r="AF40" s="1291"/>
      <c r="AG40" s="1339"/>
      <c r="AH40" s="1291"/>
      <c r="AI40" s="2"/>
      <c r="AJ40" s="2"/>
      <c r="AK40" s="2"/>
      <c r="AL40" s="2"/>
      <c r="AM40" s="2"/>
      <c r="AN40" s="2"/>
    </row>
    <row r="41" spans="1:40" ht="20.100000000000001" customHeight="1" x14ac:dyDescent="0.25">
      <c r="A41" s="18"/>
      <c r="B41" s="18"/>
      <c r="C41" s="18"/>
      <c r="D41" s="7"/>
      <c r="E41" s="2"/>
      <c r="F41" s="234"/>
      <c r="G41" s="184"/>
      <c r="H41" s="184"/>
      <c r="I41" s="184"/>
      <c r="J41" s="184"/>
      <c r="K41" s="184"/>
      <c r="L41" s="184"/>
      <c r="M41" s="254"/>
      <c r="N41" s="1344">
        <v>3</v>
      </c>
      <c r="O41" s="1344"/>
      <c r="P41" s="1259"/>
      <c r="Q41" s="1261"/>
      <c r="R41" s="1339"/>
      <c r="S41" s="1291"/>
      <c r="T41" s="1339"/>
      <c r="U41" s="1291"/>
      <c r="V41" s="1339"/>
      <c r="W41" s="1291"/>
      <c r="X41" s="1339"/>
      <c r="Y41" s="1291"/>
      <c r="Z41" s="127" t="s">
        <v>5968</v>
      </c>
      <c r="AA41" s="1339"/>
      <c r="AB41" s="1291"/>
      <c r="AC41" s="1339"/>
      <c r="AD41" s="1291"/>
      <c r="AE41" s="1339"/>
      <c r="AF41" s="1291"/>
      <c r="AG41" s="1339"/>
      <c r="AH41" s="1291"/>
      <c r="AI41" s="2"/>
      <c r="AJ41" s="2"/>
      <c r="AK41" s="2"/>
      <c r="AL41" s="2"/>
      <c r="AM41" s="2"/>
      <c r="AN41" s="2"/>
    </row>
    <row r="42" spans="1:40" ht="20.100000000000001" customHeight="1" x14ac:dyDescent="0.25">
      <c r="A42" s="18"/>
      <c r="B42" s="18"/>
      <c r="C42" s="18"/>
      <c r="D42" s="7"/>
      <c r="E42" s="2"/>
      <c r="F42" s="267"/>
      <c r="G42" s="2"/>
      <c r="H42" s="2"/>
      <c r="I42" s="2"/>
      <c r="J42" s="2"/>
      <c r="K42" s="2"/>
      <c r="L42" s="2"/>
      <c r="M42" s="254"/>
      <c r="N42" s="1344">
        <v>4</v>
      </c>
      <c r="O42" s="1344"/>
      <c r="P42" s="1259"/>
      <c r="Q42" s="1261"/>
      <c r="R42" s="1339"/>
      <c r="S42" s="1291"/>
      <c r="T42" s="1339"/>
      <c r="U42" s="1291"/>
      <c r="V42" s="1339"/>
      <c r="W42" s="1291"/>
      <c r="X42" s="1339"/>
      <c r="Y42" s="1291"/>
      <c r="Z42" s="127" t="s">
        <v>5968</v>
      </c>
      <c r="AA42" s="1339"/>
      <c r="AB42" s="1291"/>
      <c r="AC42" s="1339"/>
      <c r="AD42" s="1291"/>
      <c r="AE42" s="1339"/>
      <c r="AF42" s="1291"/>
      <c r="AG42" s="1339"/>
      <c r="AH42" s="1291"/>
      <c r="AI42" s="2"/>
      <c r="AJ42" s="2"/>
      <c r="AK42" s="2"/>
      <c r="AL42" s="2"/>
      <c r="AM42" s="2"/>
      <c r="AN42" s="2"/>
    </row>
    <row r="43" spans="1:40" ht="20.100000000000001" customHeight="1" x14ac:dyDescent="0.25">
      <c r="A43" s="18"/>
      <c r="B43" s="18"/>
      <c r="C43" s="18"/>
      <c r="D43" s="7"/>
      <c r="E43" s="2"/>
      <c r="F43" s="236"/>
      <c r="G43" s="237"/>
      <c r="H43" s="237"/>
      <c r="I43" s="237"/>
      <c r="J43" s="237"/>
      <c r="K43" s="237"/>
      <c r="L43" s="237"/>
      <c r="M43" s="202"/>
      <c r="N43" s="1344">
        <v>5</v>
      </c>
      <c r="O43" s="1344"/>
      <c r="P43" s="1259"/>
      <c r="Q43" s="1261"/>
      <c r="R43" s="1339"/>
      <c r="S43" s="1291"/>
      <c r="T43" s="1339"/>
      <c r="U43" s="1291"/>
      <c r="V43" s="1339"/>
      <c r="W43" s="1291"/>
      <c r="X43" s="1339"/>
      <c r="Y43" s="1291"/>
      <c r="Z43" s="127" t="s">
        <v>5968</v>
      </c>
      <c r="AA43" s="1339"/>
      <c r="AB43" s="1291"/>
      <c r="AC43" s="1339"/>
      <c r="AD43" s="1291"/>
      <c r="AE43" s="1339"/>
      <c r="AF43" s="1291"/>
      <c r="AG43" s="1339"/>
      <c r="AH43" s="1291"/>
      <c r="AI43" s="2"/>
      <c r="AJ43" s="2"/>
      <c r="AK43" s="2"/>
      <c r="AL43" s="2"/>
      <c r="AM43" s="2"/>
      <c r="AN43" s="2"/>
    </row>
    <row r="44" spans="1:40" ht="20.100000000000001" customHeight="1" x14ac:dyDescent="0.25">
      <c r="A44" s="18"/>
      <c r="B44" s="18"/>
      <c r="C44" s="18"/>
      <c r="D44" s="7"/>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50.1" customHeight="1" x14ac:dyDescent="0.25">
      <c r="A45" s="18"/>
      <c r="B45" s="18"/>
      <c r="C45" s="18"/>
      <c r="D45" s="7"/>
      <c r="E45" s="2"/>
      <c r="F45" s="1149" t="s">
        <v>395</v>
      </c>
      <c r="G45" s="1094"/>
      <c r="H45" s="1094"/>
      <c r="I45" s="1094"/>
      <c r="J45" s="1094"/>
      <c r="K45" s="1094"/>
      <c r="L45" s="1104"/>
      <c r="M45" s="148" t="s">
        <v>186</v>
      </c>
      <c r="N45" s="1032"/>
      <c r="O45" s="1033"/>
      <c r="P45" s="1033"/>
      <c r="Q45" s="1033"/>
      <c r="R45" s="1033"/>
      <c r="S45" s="1033"/>
      <c r="T45" s="1033"/>
      <c r="U45" s="1033"/>
      <c r="V45" s="1033"/>
      <c r="W45" s="1033"/>
      <c r="X45" s="1033"/>
      <c r="Y45" s="1033"/>
      <c r="Z45" s="1033"/>
      <c r="AA45" s="1033"/>
      <c r="AB45" s="1033"/>
      <c r="AC45" s="1033"/>
      <c r="AD45" s="1033"/>
      <c r="AE45" s="1033"/>
      <c r="AF45" s="1033"/>
      <c r="AG45" s="1033"/>
      <c r="AH45" s="1033"/>
      <c r="AI45" s="1033"/>
      <c r="AJ45" s="1033"/>
      <c r="AK45" s="1033"/>
      <c r="AL45" s="1033"/>
      <c r="AM45" s="1034"/>
      <c r="AN45" s="49"/>
    </row>
    <row r="46" spans="1:40" ht="15" customHeight="1" x14ac:dyDescent="0.25">
      <c r="A46" s="18"/>
      <c r="B46" s="18"/>
      <c r="C46" s="18"/>
      <c r="D46" s="7"/>
      <c r="E46" s="2"/>
      <c r="F46" s="2"/>
      <c r="G46" s="2"/>
      <c r="H46" s="2"/>
      <c r="I46" s="2"/>
      <c r="J46" s="2"/>
      <c r="K46" s="2"/>
      <c r="L46" s="2"/>
      <c r="M46" s="2"/>
      <c r="N46" s="2"/>
      <c r="O46" s="2"/>
      <c r="P46" s="2"/>
      <c r="Q46" s="2"/>
      <c r="R46" s="2"/>
      <c r="S46" s="2"/>
      <c r="T46" s="2"/>
      <c r="U46" s="2"/>
      <c r="V46" s="249" t="str">
        <f>IF(M45="Não","Escreva acima a justivativa por não ter sido conduzido o teste de confiabilidade","")</f>
        <v/>
      </c>
      <c r="W46" s="2"/>
      <c r="X46" s="2"/>
      <c r="Y46" s="2"/>
      <c r="Z46" s="2"/>
      <c r="AA46" s="2"/>
      <c r="AB46" s="2"/>
      <c r="AC46" s="2"/>
      <c r="AD46" s="2"/>
      <c r="AE46" s="2"/>
      <c r="AF46" s="2"/>
      <c r="AG46" s="2"/>
      <c r="AH46" s="2"/>
      <c r="AI46" s="2"/>
      <c r="AJ46" s="2"/>
      <c r="AK46" s="2"/>
      <c r="AL46" s="2"/>
      <c r="AM46" s="2"/>
      <c r="AN46" s="2"/>
    </row>
    <row r="47" spans="1:40" ht="24.95" customHeight="1" x14ac:dyDescent="0.25">
      <c r="A47" s="18"/>
      <c r="B47" s="18"/>
      <c r="C47" s="18"/>
      <c r="D47" s="7"/>
      <c r="E47" s="2"/>
      <c r="F47" s="2"/>
      <c r="G47" s="2"/>
      <c r="H47" s="2"/>
      <c r="I47" s="2"/>
      <c r="J47" s="2"/>
      <c r="K47" s="2"/>
      <c r="L47" s="2"/>
      <c r="M47" s="2"/>
      <c r="N47" s="1241" t="s">
        <v>196</v>
      </c>
      <c r="O47" s="1241"/>
      <c r="P47" s="1241"/>
      <c r="Q47" s="1241"/>
      <c r="R47" s="1241"/>
      <c r="S47" s="1241" t="s">
        <v>197</v>
      </c>
      <c r="T47" s="1241"/>
      <c r="U47" s="1241"/>
      <c r="V47" s="1241"/>
      <c r="W47" s="1241"/>
      <c r="X47" s="2"/>
      <c r="Y47" s="2"/>
      <c r="Z47" s="2"/>
      <c r="AA47" s="2"/>
      <c r="AB47" s="2"/>
      <c r="AC47" s="2"/>
      <c r="AD47" s="2"/>
      <c r="AE47" s="2"/>
      <c r="AF47" s="2"/>
      <c r="AG47" s="2"/>
      <c r="AH47" s="2"/>
      <c r="AI47" s="2"/>
      <c r="AJ47" s="2"/>
      <c r="AK47" s="2"/>
      <c r="AL47" s="2"/>
      <c r="AM47" s="2"/>
      <c r="AN47" s="2"/>
    </row>
    <row r="48" spans="1:40" ht="24.95" customHeight="1" x14ac:dyDescent="0.25">
      <c r="A48" s="18"/>
      <c r="B48" s="18"/>
      <c r="C48" s="18"/>
      <c r="D48" s="7"/>
      <c r="E48" s="2"/>
      <c r="F48" s="1149" t="s">
        <v>7073</v>
      </c>
      <c r="G48" s="1094"/>
      <c r="H48" s="1094"/>
      <c r="I48" s="1094"/>
      <c r="J48" s="1094"/>
      <c r="K48" s="1094"/>
      <c r="L48" s="1104"/>
      <c r="M48" s="148" t="s">
        <v>186</v>
      </c>
      <c r="N48" s="1292"/>
      <c r="O48" s="1292"/>
      <c r="P48" s="1292"/>
      <c r="Q48" s="1292"/>
      <c r="R48" s="1292"/>
      <c r="S48" s="1292"/>
      <c r="T48" s="1292"/>
      <c r="U48" s="1292"/>
      <c r="V48" s="1292"/>
      <c r="W48" s="1292"/>
      <c r="X48" s="2"/>
      <c r="Y48" s="2"/>
      <c r="Z48" s="2"/>
      <c r="AA48" s="2"/>
      <c r="AB48" s="2"/>
      <c r="AC48" s="2"/>
      <c r="AD48" s="2"/>
      <c r="AE48" s="2"/>
      <c r="AF48" s="2"/>
      <c r="AG48" s="2"/>
      <c r="AH48" s="2"/>
      <c r="AI48" s="2"/>
      <c r="AJ48" s="2"/>
      <c r="AK48" s="2"/>
      <c r="AL48" s="2"/>
      <c r="AM48" s="2"/>
      <c r="AN48" s="2"/>
    </row>
    <row r="49" spans="1:40" ht="24.95" customHeight="1" x14ac:dyDescent="0.25">
      <c r="A49" s="18"/>
      <c r="B49" s="18"/>
      <c r="C49" s="18"/>
      <c r="D49" s="7"/>
      <c r="E49" s="2"/>
      <c r="F49" s="1149" t="s">
        <v>7074</v>
      </c>
      <c r="G49" s="1094"/>
      <c r="H49" s="1094"/>
      <c r="I49" s="1094"/>
      <c r="J49" s="1094"/>
      <c r="K49" s="1094"/>
      <c r="L49" s="1104"/>
      <c r="M49" s="276" t="s">
        <v>186</v>
      </c>
      <c r="N49" s="1352" t="s">
        <v>5968</v>
      </c>
      <c r="O49" s="1352"/>
      <c r="P49" s="1352"/>
      <c r="Q49" s="1352"/>
      <c r="R49" s="1352"/>
      <c r="S49" s="1351"/>
      <c r="T49" s="1351"/>
      <c r="U49" s="1351"/>
      <c r="V49" s="1351"/>
      <c r="W49" s="1351"/>
      <c r="X49" s="2"/>
      <c r="Y49" s="2"/>
      <c r="Z49" s="2"/>
      <c r="AA49" s="2"/>
      <c r="AB49" s="2"/>
      <c r="AC49" s="2"/>
      <c r="AD49" s="2"/>
      <c r="AE49" s="2"/>
      <c r="AF49" s="2"/>
      <c r="AG49" s="2"/>
      <c r="AH49" s="2"/>
      <c r="AI49" s="2"/>
      <c r="AJ49" s="2"/>
      <c r="AK49" s="2"/>
      <c r="AL49" s="2"/>
      <c r="AM49" s="2"/>
      <c r="AN49" s="2"/>
    </row>
    <row r="50" spans="1:40" ht="15" customHeight="1" x14ac:dyDescent="0.25">
      <c r="A50" s="18"/>
      <c r="B50" s="18"/>
      <c r="C50" s="18"/>
      <c r="D50" s="7"/>
      <c r="E50" s="2"/>
      <c r="F50" s="2"/>
      <c r="G50" s="2"/>
      <c r="H50" s="2"/>
      <c r="I50" s="2"/>
      <c r="J50" s="2"/>
      <c r="K50" s="2"/>
      <c r="L50" s="2"/>
      <c r="M50" s="2"/>
      <c r="N50" s="2"/>
      <c r="O50" s="2"/>
      <c r="P50" s="2"/>
      <c r="Q50" s="2"/>
      <c r="R50" s="2"/>
      <c r="S50" s="2"/>
      <c r="T50" s="2"/>
      <c r="U50" s="2"/>
      <c r="V50" s="249"/>
      <c r="W50" s="2"/>
      <c r="X50" s="2"/>
      <c r="Y50" s="2"/>
      <c r="Z50" s="2"/>
      <c r="AA50" s="2"/>
      <c r="AB50" s="2"/>
      <c r="AC50" s="2"/>
      <c r="AD50" s="2"/>
      <c r="AE50" s="2"/>
      <c r="AF50" s="2"/>
      <c r="AG50" s="2"/>
      <c r="AH50" s="2"/>
      <c r="AI50" s="2"/>
      <c r="AJ50" s="2"/>
      <c r="AK50" s="2"/>
      <c r="AL50" s="2"/>
      <c r="AM50" s="2"/>
      <c r="AN50" s="2"/>
    </row>
    <row r="51" spans="1:40" ht="20.100000000000001" customHeight="1" x14ac:dyDescent="0.25">
      <c r="A51" s="18"/>
      <c r="B51" s="18"/>
      <c r="C51" s="18"/>
      <c r="D51" s="7"/>
      <c r="E51" s="7"/>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ht="15" customHeight="1" x14ac:dyDescent="0.25">
      <c r="A52" s="18"/>
      <c r="B52" s="18"/>
      <c r="C52" s="18"/>
      <c r="D52" s="7"/>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ht="15" customHeight="1" x14ac:dyDescent="0.25">
      <c r="A53" s="18"/>
      <c r="B53" s="18"/>
      <c r="C53" s="18"/>
      <c r="D53" s="7"/>
      <c r="E53" s="2"/>
      <c r="F53" s="2"/>
      <c r="G53" s="244"/>
      <c r="H53" s="244"/>
      <c r="I53" s="244"/>
      <c r="J53" s="244"/>
      <c r="K53" s="244"/>
      <c r="L53" s="244"/>
      <c r="M53" s="244"/>
      <c r="N53" s="244"/>
      <c r="O53" s="244"/>
      <c r="P53" s="244"/>
      <c r="Q53" s="244"/>
      <c r="R53" s="245" t="s">
        <v>77</v>
      </c>
      <c r="S53" s="244"/>
      <c r="T53" s="244"/>
      <c r="U53" s="244"/>
      <c r="V53" s="244"/>
      <c r="W53" s="244"/>
      <c r="X53" s="244"/>
      <c r="Y53" s="244"/>
      <c r="Z53" s="244"/>
      <c r="AA53" s="244"/>
      <c r="AB53" s="244"/>
      <c r="AC53" s="244"/>
      <c r="AD53" s="244"/>
      <c r="AE53" s="244"/>
      <c r="AF53" s="244"/>
      <c r="AG53" s="244"/>
      <c r="AH53" s="244"/>
      <c r="AI53" s="244"/>
      <c r="AJ53" s="244"/>
      <c r="AK53" s="244"/>
      <c r="AL53" s="244"/>
      <c r="AM53" s="244"/>
      <c r="AN53" s="260"/>
    </row>
    <row r="54" spans="1:40" ht="15" customHeight="1" x14ac:dyDescent="0.25">
      <c r="A54" s="18"/>
      <c r="B54" s="18"/>
      <c r="C54" s="18"/>
      <c r="D54" s="7"/>
      <c r="E54" s="2"/>
      <c r="F54" s="2"/>
      <c r="G54" s="259"/>
      <c r="H54" s="259"/>
      <c r="I54" s="259"/>
      <c r="J54" s="259"/>
      <c r="K54" s="259"/>
      <c r="L54" s="259"/>
      <c r="M54" s="259"/>
      <c r="N54" s="259"/>
      <c r="O54" s="259"/>
      <c r="P54" s="259"/>
      <c r="Q54" s="259"/>
      <c r="R54" s="259"/>
      <c r="S54" s="259"/>
      <c r="T54" s="260"/>
      <c r="U54" s="260"/>
      <c r="V54" s="260"/>
      <c r="W54" s="260"/>
      <c r="X54" s="260"/>
      <c r="Y54" s="260"/>
      <c r="Z54" s="260"/>
      <c r="AA54" s="260"/>
      <c r="AB54" s="260"/>
      <c r="AC54" s="260"/>
      <c r="AD54" s="260"/>
      <c r="AE54" s="260"/>
      <c r="AF54" s="260"/>
      <c r="AG54" s="260"/>
      <c r="AH54" s="260"/>
      <c r="AI54" s="260"/>
      <c r="AJ54" s="260"/>
      <c r="AK54" s="260"/>
      <c r="AL54" s="260"/>
      <c r="AM54" s="260"/>
      <c r="AN54" s="260"/>
    </row>
    <row r="55" spans="1:40" ht="30" customHeight="1" x14ac:dyDescent="0.25">
      <c r="A55" s="18"/>
      <c r="B55" s="18"/>
      <c r="C55" s="18"/>
      <c r="D55" s="7"/>
      <c r="E55" s="2"/>
      <c r="F55" s="1149" t="s">
        <v>256</v>
      </c>
      <c r="G55" s="1094"/>
      <c r="H55" s="1094"/>
      <c r="I55" s="1094"/>
      <c r="J55" s="1094"/>
      <c r="K55" s="1094"/>
      <c r="L55" s="1104"/>
      <c r="M55" s="148" t="s">
        <v>186</v>
      </c>
      <c r="N55" s="1134"/>
      <c r="O55" s="1156"/>
      <c r="P55" s="1156"/>
      <c r="Q55" s="1156"/>
      <c r="R55" s="1156"/>
      <c r="S55" s="1135"/>
      <c r="T55" s="2"/>
      <c r="U55" s="2"/>
      <c r="V55" s="2"/>
      <c r="W55" s="2"/>
      <c r="X55" s="2"/>
      <c r="Y55" s="2"/>
      <c r="Z55" s="2"/>
      <c r="AA55" s="2"/>
      <c r="AB55" s="2"/>
      <c r="AC55" s="2"/>
      <c r="AD55" s="2"/>
      <c r="AE55" s="2"/>
      <c r="AF55" s="2"/>
      <c r="AG55" s="2"/>
      <c r="AH55" s="2"/>
      <c r="AI55" s="2"/>
      <c r="AJ55" s="2"/>
      <c r="AK55" s="2"/>
      <c r="AL55" s="2"/>
      <c r="AM55" s="2"/>
      <c r="AN55" s="2"/>
    </row>
    <row r="56" spans="1:40" ht="30" customHeight="1" x14ac:dyDescent="0.25">
      <c r="A56" s="18"/>
      <c r="B56" s="18"/>
      <c r="C56" s="18"/>
      <c r="D56" s="7"/>
      <c r="E56" s="2"/>
      <c r="F56" s="1149" t="s">
        <v>396</v>
      </c>
      <c r="G56" s="1094"/>
      <c r="H56" s="1094"/>
      <c r="I56" s="1094"/>
      <c r="J56" s="1094"/>
      <c r="K56" s="1094"/>
      <c r="L56" s="1104"/>
      <c r="M56" s="148" t="s">
        <v>186</v>
      </c>
      <c r="N56" s="1134"/>
      <c r="O56" s="1156"/>
      <c r="P56" s="1156"/>
      <c r="Q56" s="1156"/>
      <c r="R56" s="1156"/>
      <c r="S56" s="1135"/>
      <c r="T56" s="2"/>
      <c r="U56" s="2"/>
      <c r="V56" s="2"/>
      <c r="W56" s="2"/>
      <c r="X56" s="2"/>
      <c r="Y56" s="2"/>
      <c r="Z56" s="2"/>
      <c r="AA56" s="2"/>
      <c r="AB56" s="2"/>
      <c r="AC56" s="2"/>
      <c r="AD56" s="2"/>
      <c r="AE56" s="2"/>
      <c r="AF56" s="2"/>
      <c r="AG56" s="2"/>
      <c r="AH56" s="2"/>
      <c r="AI56" s="2"/>
      <c r="AJ56" s="2"/>
      <c r="AK56" s="2"/>
      <c r="AL56" s="2"/>
      <c r="AM56" s="2"/>
      <c r="AN56" s="2"/>
    </row>
    <row r="57" spans="1:40" ht="15" customHeight="1" x14ac:dyDescent="0.25">
      <c r="A57" s="18"/>
      <c r="B57" s="18"/>
      <c r="C57" s="18"/>
      <c r="D57" s="7"/>
      <c r="E57" s="2"/>
      <c r="F57" s="117"/>
      <c r="G57" s="117"/>
      <c r="H57" s="117"/>
      <c r="I57" s="117"/>
      <c r="J57" s="117"/>
      <c r="K57" s="117"/>
      <c r="L57" s="117"/>
      <c r="M57" s="241"/>
      <c r="N57" s="268"/>
      <c r="O57" s="268"/>
      <c r="P57" s="268"/>
      <c r="Q57" s="268"/>
      <c r="R57" s="268"/>
      <c r="S57" s="268"/>
      <c r="T57" s="2"/>
      <c r="U57" s="2"/>
      <c r="V57" s="2"/>
      <c r="W57" s="2"/>
      <c r="X57" s="2"/>
      <c r="Y57" s="2"/>
      <c r="Z57" s="2"/>
      <c r="AA57" s="2"/>
      <c r="AB57" s="2"/>
      <c r="AC57" s="2"/>
      <c r="AD57" s="2"/>
      <c r="AE57" s="2"/>
      <c r="AF57" s="2"/>
      <c r="AG57" s="2"/>
      <c r="AH57" s="2"/>
      <c r="AI57" s="2"/>
      <c r="AJ57" s="2"/>
      <c r="AK57" s="2"/>
      <c r="AL57" s="2"/>
      <c r="AM57" s="2"/>
      <c r="AN57" s="2"/>
    </row>
    <row r="58" spans="1:40" ht="20.100000000000001" customHeight="1" x14ac:dyDescent="0.25">
      <c r="A58" s="18"/>
      <c r="B58" s="18"/>
      <c r="C58" s="18"/>
      <c r="D58" s="7"/>
      <c r="E58" s="7"/>
      <c r="F58" s="269"/>
      <c r="G58" s="269"/>
      <c r="H58" s="269"/>
      <c r="I58" s="269"/>
      <c r="J58" s="269"/>
      <c r="K58" s="269"/>
      <c r="L58" s="269"/>
      <c r="M58" s="270"/>
      <c r="N58" s="271"/>
      <c r="O58" s="271"/>
      <c r="P58" s="271"/>
      <c r="Q58" s="271"/>
      <c r="R58" s="271"/>
      <c r="S58" s="271"/>
      <c r="T58" s="7"/>
      <c r="U58" s="7"/>
      <c r="V58" s="7"/>
      <c r="W58" s="7"/>
      <c r="X58" s="7"/>
      <c r="Y58" s="7"/>
      <c r="Z58" s="7"/>
      <c r="AA58" s="7"/>
      <c r="AB58" s="7"/>
      <c r="AC58" s="7"/>
      <c r="AD58" s="7"/>
      <c r="AE58" s="7"/>
      <c r="AF58" s="7"/>
      <c r="AG58" s="7"/>
      <c r="AH58" s="7"/>
      <c r="AI58" s="7"/>
      <c r="AJ58" s="7"/>
      <c r="AK58" s="7"/>
      <c r="AL58" s="7"/>
      <c r="AM58" s="7"/>
      <c r="AN58" s="7"/>
    </row>
    <row r="59" spans="1:40" ht="15" customHeight="1" x14ac:dyDescent="0.25">
      <c r="A59" s="18"/>
      <c r="B59" s="18"/>
      <c r="C59" s="18"/>
      <c r="D59" s="7"/>
      <c r="E59" s="2"/>
      <c r="F59" s="117"/>
      <c r="G59" s="117"/>
      <c r="H59" s="117"/>
      <c r="I59" s="117"/>
      <c r="J59" s="117"/>
      <c r="K59" s="117"/>
      <c r="L59" s="117"/>
      <c r="M59" s="241"/>
      <c r="N59" s="268"/>
      <c r="O59" s="268"/>
      <c r="P59" s="268"/>
      <c r="Q59" s="268"/>
      <c r="R59" s="268"/>
      <c r="S59" s="268"/>
      <c r="T59" s="2"/>
      <c r="U59" s="2"/>
      <c r="V59" s="2"/>
      <c r="W59" s="2"/>
      <c r="X59" s="2"/>
      <c r="Y59" s="2"/>
      <c r="Z59" s="2"/>
      <c r="AA59" s="2"/>
      <c r="AB59" s="2"/>
      <c r="AC59" s="2"/>
      <c r="AD59" s="2"/>
      <c r="AE59" s="2"/>
      <c r="AF59" s="2"/>
      <c r="AG59" s="2"/>
      <c r="AH59" s="2"/>
      <c r="AI59" s="2"/>
      <c r="AJ59" s="2"/>
      <c r="AK59" s="2"/>
      <c r="AL59" s="2"/>
      <c r="AM59" s="2"/>
      <c r="AN59" s="2"/>
    </row>
    <row r="60" spans="1:40" ht="20.100000000000001" customHeight="1" x14ac:dyDescent="0.25">
      <c r="A60" s="18"/>
      <c r="B60" s="18"/>
      <c r="C60" s="18"/>
      <c r="D60" s="7"/>
      <c r="E60" s="2"/>
      <c r="F60" s="118"/>
      <c r="G60" s="118"/>
      <c r="H60" s="118"/>
      <c r="I60" s="118"/>
      <c r="J60" s="118"/>
      <c r="K60" s="118"/>
      <c r="L60" s="118"/>
      <c r="M60" s="272"/>
      <c r="N60" s="273"/>
      <c r="O60" s="273"/>
      <c r="P60" s="273"/>
      <c r="Q60" s="273"/>
      <c r="R60" s="245" t="s">
        <v>329</v>
      </c>
      <c r="S60" s="244"/>
      <c r="T60" s="266"/>
      <c r="U60" s="244"/>
      <c r="V60" s="244"/>
      <c r="W60" s="244"/>
      <c r="X60" s="209"/>
      <c r="Y60" s="209"/>
      <c r="Z60" s="209"/>
      <c r="AA60" s="209"/>
      <c r="AB60" s="209"/>
      <c r="AC60" s="209"/>
      <c r="AD60" s="209"/>
      <c r="AE60" s="209"/>
      <c r="AF60" s="209"/>
      <c r="AG60" s="209"/>
      <c r="AH60" s="209"/>
      <c r="AI60" s="209"/>
      <c r="AJ60" s="209"/>
      <c r="AK60" s="209"/>
      <c r="AL60" s="209"/>
      <c r="AM60" s="209"/>
      <c r="AN60" s="209"/>
    </row>
    <row r="61" spans="1:40" ht="20.100000000000001" customHeight="1" x14ac:dyDescent="0.25">
      <c r="A61" s="18"/>
      <c r="B61" s="18"/>
      <c r="C61" s="18"/>
      <c r="D61" s="7"/>
      <c r="E61" s="2"/>
      <c r="F61" s="117"/>
      <c r="G61" s="117"/>
      <c r="H61" s="117"/>
      <c r="I61" s="117"/>
      <c r="J61" s="117"/>
      <c r="K61" s="117"/>
      <c r="L61" s="117"/>
      <c r="M61" s="241"/>
      <c r="N61" s="268"/>
      <c r="O61" s="268"/>
      <c r="P61" s="268"/>
      <c r="Q61" s="268"/>
      <c r="R61" s="268"/>
      <c r="S61" s="268"/>
      <c r="T61" s="2"/>
      <c r="U61" s="2"/>
      <c r="V61" s="2"/>
      <c r="W61" s="2"/>
      <c r="X61" s="2"/>
      <c r="Y61" s="2"/>
      <c r="Z61" s="2"/>
      <c r="AA61" s="2"/>
      <c r="AB61" s="2"/>
      <c r="AC61" s="2"/>
      <c r="AD61" s="1350" t="s">
        <v>5973</v>
      </c>
      <c r="AE61" s="1350"/>
      <c r="AF61" s="1350"/>
      <c r="AG61" s="1350"/>
      <c r="AH61" s="1350"/>
      <c r="AI61" s="1350"/>
      <c r="AJ61" s="1350"/>
      <c r="AK61" s="1350"/>
      <c r="AL61" s="2"/>
      <c r="AM61" s="2"/>
      <c r="AN61" s="2"/>
    </row>
    <row r="62" spans="1:40" ht="20.100000000000001" customHeight="1" x14ac:dyDescent="0.25">
      <c r="A62" s="18"/>
      <c r="B62" s="18"/>
      <c r="C62" s="18"/>
      <c r="D62" s="7"/>
      <c r="E62" s="2"/>
      <c r="F62" s="2"/>
      <c r="G62" s="2"/>
      <c r="H62" s="2"/>
      <c r="I62" s="2"/>
      <c r="J62" s="2"/>
      <c r="K62" s="2"/>
      <c r="L62" s="2"/>
      <c r="M62" s="2"/>
      <c r="N62" s="2"/>
      <c r="O62" s="2"/>
      <c r="P62" s="2"/>
      <c r="Q62" s="2"/>
      <c r="R62" s="1241" t="s">
        <v>196</v>
      </c>
      <c r="S62" s="1241"/>
      <c r="T62" s="1241"/>
      <c r="U62" s="1241"/>
      <c r="V62" s="1241" t="s">
        <v>197</v>
      </c>
      <c r="W62" s="1241"/>
      <c r="X62" s="1241"/>
      <c r="Y62" s="1241"/>
      <c r="Z62" s="2"/>
      <c r="AA62" s="2"/>
      <c r="AB62" s="216"/>
      <c r="AC62" s="216"/>
      <c r="AD62" s="103" t="str">
        <f>N47</f>
        <v>Injeção intradérmica</v>
      </c>
      <c r="AE62" s="94"/>
      <c r="AF62" s="94"/>
      <c r="AG62" s="94"/>
      <c r="AH62" s="94"/>
      <c r="AI62" s="103" t="str">
        <f>S47</f>
        <v>Aplicação tópica</v>
      </c>
      <c r="AJ62" s="94"/>
      <c r="AK62" s="94"/>
      <c r="AL62" s="2"/>
      <c r="AM62" s="2"/>
      <c r="AN62" s="2"/>
    </row>
    <row r="63" spans="1:40" ht="20.100000000000001" customHeight="1" x14ac:dyDescent="0.25">
      <c r="A63" s="18"/>
      <c r="B63" s="18"/>
      <c r="C63" s="18"/>
      <c r="D63" s="7"/>
      <c r="E63" s="2"/>
      <c r="F63" s="1193" t="s">
        <v>344</v>
      </c>
      <c r="G63" s="1194"/>
      <c r="H63" s="1194"/>
      <c r="I63" s="1194"/>
      <c r="J63" s="1194"/>
      <c r="K63" s="1194"/>
      <c r="L63" s="1264"/>
      <c r="M63" s="1345" t="s">
        <v>186</v>
      </c>
      <c r="N63" s="1286" t="s">
        <v>151</v>
      </c>
      <c r="O63" s="1286"/>
      <c r="P63" s="1286"/>
      <c r="Q63" s="1286"/>
      <c r="R63" s="1339"/>
      <c r="S63" s="1340"/>
      <c r="T63" s="1340"/>
      <c r="U63" s="1291"/>
      <c r="V63" s="1339"/>
      <c r="W63" s="1340"/>
      <c r="X63" s="1340"/>
      <c r="Y63" s="1291"/>
      <c r="Z63" s="2"/>
      <c r="AA63" s="2"/>
      <c r="AB63" s="2"/>
      <c r="AC63" s="2"/>
      <c r="AD63" s="1335" t="str" cm="1">
        <f t="array" aca="1" ref="AD63" ca="1">IF(INDIRECT("N48",1)="","-",INDIRECT("N48",1))</f>
        <v>-</v>
      </c>
      <c r="AE63" s="1335"/>
      <c r="AF63" s="1335"/>
      <c r="AG63" s="1335"/>
      <c r="AH63" s="94"/>
      <c r="AI63" s="1335" t="str" cm="1">
        <f t="array" aca="1" ref="AI63" ca="1">IF(INDIRECT("S48",1)="","-",INDIRECT("S48",1))</f>
        <v>-</v>
      </c>
      <c r="AJ63" s="1335"/>
      <c r="AK63" s="1335"/>
      <c r="AL63" s="2"/>
      <c r="AM63" s="2"/>
      <c r="AN63" s="274"/>
    </row>
    <row r="64" spans="1:40" ht="20.100000000000001" customHeight="1" x14ac:dyDescent="0.25">
      <c r="A64" s="18"/>
      <c r="B64" s="18"/>
      <c r="C64" s="18"/>
      <c r="D64" s="7"/>
      <c r="E64" s="2"/>
      <c r="F64" s="1196"/>
      <c r="G64" s="1121"/>
      <c r="H64" s="1121"/>
      <c r="I64" s="1121"/>
      <c r="J64" s="1121"/>
      <c r="K64" s="1121"/>
      <c r="L64" s="1353"/>
      <c r="M64" s="1346"/>
      <c r="N64" s="1286" t="s">
        <v>206</v>
      </c>
      <c r="O64" s="1286"/>
      <c r="P64" s="1286"/>
      <c r="Q64" s="1286"/>
      <c r="R64" s="1339"/>
      <c r="S64" s="1340"/>
      <c r="T64" s="1340"/>
      <c r="U64" s="1291"/>
      <c r="V64" s="1339"/>
      <c r="W64" s="1340"/>
      <c r="X64" s="1340"/>
      <c r="Y64" s="1291"/>
      <c r="Z64" s="2"/>
      <c r="AA64" s="2"/>
      <c r="AB64" s="2"/>
      <c r="AC64" s="2"/>
      <c r="AD64" s="2"/>
      <c r="AE64" s="2"/>
      <c r="AF64" s="2"/>
      <c r="AG64" s="2"/>
      <c r="AH64" s="2"/>
      <c r="AI64" s="2"/>
      <c r="AJ64" s="2"/>
      <c r="AK64" s="2"/>
      <c r="AL64" s="2"/>
      <c r="AM64" s="2"/>
      <c r="AN64" s="2"/>
    </row>
    <row r="65" spans="1:40" ht="20.100000000000001" customHeight="1" x14ac:dyDescent="0.25">
      <c r="A65" s="18"/>
      <c r="B65" s="18"/>
      <c r="C65" s="18"/>
      <c r="D65" s="7"/>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50.1" customHeight="1" x14ac:dyDescent="0.25">
      <c r="A66" s="18"/>
      <c r="B66" s="18"/>
      <c r="C66" s="18"/>
      <c r="D66" s="7"/>
      <c r="E66" s="2"/>
      <c r="F66" s="1149" t="s">
        <v>6035</v>
      </c>
      <c r="G66" s="1094"/>
      <c r="H66" s="1094"/>
      <c r="I66" s="1094"/>
      <c r="J66" s="1094"/>
      <c r="K66" s="1094"/>
      <c r="L66" s="1094"/>
      <c r="M66" s="148" t="s">
        <v>186</v>
      </c>
      <c r="N66" s="1032"/>
      <c r="O66" s="1033"/>
      <c r="P66" s="1033"/>
      <c r="Q66" s="1033"/>
      <c r="R66" s="1033"/>
      <c r="S66" s="1033"/>
      <c r="T66" s="1033"/>
      <c r="U66" s="1033"/>
      <c r="V66" s="1033"/>
      <c r="W66" s="1033"/>
      <c r="X66" s="1033"/>
      <c r="Y66" s="1033"/>
      <c r="Z66" s="1033"/>
      <c r="AA66" s="1033"/>
      <c r="AB66" s="1033"/>
      <c r="AC66" s="1033"/>
      <c r="AD66" s="1033"/>
      <c r="AE66" s="1033"/>
      <c r="AF66" s="1033"/>
      <c r="AG66" s="1033"/>
      <c r="AH66" s="1033"/>
      <c r="AI66" s="1033"/>
      <c r="AJ66" s="1033"/>
      <c r="AK66" s="1033"/>
      <c r="AL66" s="1033"/>
      <c r="AM66" s="1034"/>
      <c r="AN66" s="2"/>
    </row>
    <row r="67" spans="1:40" ht="50.1" customHeight="1" x14ac:dyDescent="0.25">
      <c r="A67" s="18"/>
      <c r="B67" s="18"/>
      <c r="C67" s="18"/>
      <c r="D67" s="7"/>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x14ac:dyDescent="0.25">
      <c r="A68" s="18"/>
      <c r="B68" s="18"/>
      <c r="C68" s="18"/>
      <c r="D68" s="7"/>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20.100000000000001" customHeight="1" x14ac:dyDescent="0.25">
      <c r="A69" s="18"/>
      <c r="B69" s="18"/>
      <c r="C69" s="18"/>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row>
    <row r="70" spans="1:40" ht="15" customHeight="1" x14ac:dyDescent="0.25">
      <c r="A70" s="18"/>
      <c r="B70" s="18"/>
      <c r="C70" s="18"/>
      <c r="D70" s="7"/>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20.100000000000001" customHeight="1" x14ac:dyDescent="0.25">
      <c r="A71" s="18"/>
      <c r="B71" s="18"/>
      <c r="C71" s="18"/>
      <c r="D71" s="7"/>
      <c r="E71" s="2"/>
      <c r="F71" s="118"/>
      <c r="G71" s="118"/>
      <c r="H71" s="118"/>
      <c r="I71" s="118"/>
      <c r="J71" s="118"/>
      <c r="K71" s="118"/>
      <c r="L71" s="118"/>
      <c r="M71" s="272"/>
      <c r="N71" s="273"/>
      <c r="O71" s="273"/>
      <c r="P71" s="273"/>
      <c r="Q71" s="273"/>
      <c r="R71" s="245" t="s">
        <v>330</v>
      </c>
      <c r="S71" s="244"/>
      <c r="T71" s="266"/>
      <c r="U71" s="244"/>
      <c r="V71" s="244"/>
      <c r="W71" s="244"/>
      <c r="X71" s="209"/>
      <c r="Y71" s="209"/>
      <c r="Z71" s="209"/>
      <c r="AA71" s="209"/>
      <c r="AB71" s="209"/>
      <c r="AC71" s="209"/>
      <c r="AD71" s="209"/>
      <c r="AE71" s="209"/>
      <c r="AF71" s="209"/>
      <c r="AG71" s="209"/>
      <c r="AH71" s="209"/>
      <c r="AI71" s="209"/>
      <c r="AJ71" s="209"/>
      <c r="AK71" s="209"/>
      <c r="AL71" s="209"/>
      <c r="AM71" s="209"/>
      <c r="AN71" s="209"/>
    </row>
    <row r="72" spans="1:40" ht="20.100000000000001" customHeight="1" x14ac:dyDescent="0.25">
      <c r="A72" s="18"/>
      <c r="B72" s="18"/>
      <c r="C72" s="18"/>
      <c r="D72" s="7"/>
      <c r="E72" s="2"/>
      <c r="F72" s="2"/>
      <c r="G72" s="2"/>
      <c r="H72" s="2"/>
      <c r="I72" s="2"/>
      <c r="J72" s="2"/>
      <c r="K72" s="2"/>
      <c r="L72" s="2"/>
      <c r="M72" s="2"/>
      <c r="N72" s="2"/>
      <c r="O72" s="2"/>
      <c r="P72" s="2"/>
      <c r="Q72" s="2"/>
      <c r="R72" s="2"/>
      <c r="S72" s="2"/>
      <c r="T72" s="2"/>
      <c r="U72" s="2"/>
      <c r="V72" s="2"/>
      <c r="W72" s="2"/>
      <c r="X72" s="2"/>
      <c r="Y72" s="2"/>
      <c r="Z72" s="2"/>
      <c r="AA72" s="2"/>
      <c r="AB72" s="2"/>
      <c r="AC72" s="2"/>
      <c r="AD72" s="1350" t="s">
        <v>5973</v>
      </c>
      <c r="AE72" s="1350"/>
      <c r="AF72" s="1350"/>
      <c r="AG72" s="1350"/>
      <c r="AH72" s="1350"/>
      <c r="AI72" s="1350"/>
      <c r="AJ72" s="1350"/>
      <c r="AK72" s="1350"/>
      <c r="AL72" s="2"/>
      <c r="AM72" s="2"/>
      <c r="AN72" s="2"/>
    </row>
    <row r="73" spans="1:40" ht="20.100000000000001" customHeight="1" x14ac:dyDescent="0.25">
      <c r="A73" s="18"/>
      <c r="B73" s="18"/>
      <c r="C73" s="18"/>
      <c r="D73" s="7"/>
      <c r="E73" s="2"/>
      <c r="F73" s="1149" t="s">
        <v>342</v>
      </c>
      <c r="G73" s="1094"/>
      <c r="H73" s="1094"/>
      <c r="I73" s="1094"/>
      <c r="J73" s="1094"/>
      <c r="K73" s="1094"/>
      <c r="L73" s="1104"/>
      <c r="M73" s="148" t="s">
        <v>186</v>
      </c>
      <c r="N73" s="1339"/>
      <c r="O73" s="1340"/>
      <c r="P73" s="1340"/>
      <c r="Q73" s="1340"/>
      <c r="R73" s="1340"/>
      <c r="S73" s="1291"/>
      <c r="T73" s="2"/>
      <c r="U73" s="2"/>
      <c r="V73" s="2"/>
      <c r="W73" s="2"/>
      <c r="X73" s="2"/>
      <c r="Y73" s="2"/>
      <c r="Z73" s="2"/>
      <c r="AA73" s="2"/>
      <c r="AB73" s="2"/>
      <c r="AC73" s="2"/>
      <c r="AD73" s="2"/>
      <c r="AE73" s="2"/>
      <c r="AF73" s="1335" cm="1">
        <f t="array" aca="1" ref="AF73" ca="1">INDIRECT("S49",1)</f>
        <v>0</v>
      </c>
      <c r="AG73" s="1335"/>
      <c r="AH73" s="1335"/>
      <c r="AI73" s="2"/>
      <c r="AJ73" s="2"/>
      <c r="AK73" s="2"/>
      <c r="AL73" s="2"/>
      <c r="AM73" s="2"/>
      <c r="AN73" s="274"/>
    </row>
    <row r="74" spans="1:40" ht="50.1" customHeight="1" x14ac:dyDescent="0.25">
      <c r="A74" s="18"/>
      <c r="B74" s="18"/>
      <c r="C74" s="18"/>
      <c r="D74" s="7"/>
      <c r="E74" s="2"/>
      <c r="F74" s="1149" t="s">
        <v>340</v>
      </c>
      <c r="G74" s="1094"/>
      <c r="H74" s="1094"/>
      <c r="I74" s="1094"/>
      <c r="J74" s="1094"/>
      <c r="K74" s="1094"/>
      <c r="L74" s="1094"/>
      <c r="M74" s="148" t="s">
        <v>186</v>
      </c>
      <c r="N74" s="1032"/>
      <c r="O74" s="1033"/>
      <c r="P74" s="1033"/>
      <c r="Q74" s="1033"/>
      <c r="R74" s="1033"/>
      <c r="S74" s="1033"/>
      <c r="T74" s="1033"/>
      <c r="U74" s="1033"/>
      <c r="V74" s="1033"/>
      <c r="W74" s="1033"/>
      <c r="X74" s="1033"/>
      <c r="Y74" s="1033"/>
      <c r="Z74" s="1033"/>
      <c r="AA74" s="1033"/>
      <c r="AB74" s="1033"/>
      <c r="AC74" s="1033"/>
      <c r="AD74" s="1033"/>
      <c r="AE74" s="1033"/>
      <c r="AF74" s="1033"/>
      <c r="AG74" s="1033"/>
      <c r="AH74" s="1033"/>
      <c r="AI74" s="1033"/>
      <c r="AJ74" s="1033"/>
      <c r="AK74" s="1033"/>
      <c r="AL74" s="1033"/>
      <c r="AM74" s="1034"/>
      <c r="AN74" s="2"/>
    </row>
    <row r="75" spans="1:40" ht="20.100000000000001" customHeight="1" x14ac:dyDescent="0.25">
      <c r="A75" s="18"/>
      <c r="B75" s="18"/>
      <c r="C75" s="18"/>
      <c r="D75" s="7"/>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30" customHeight="1" x14ac:dyDescent="0.25">
      <c r="A76" s="18"/>
      <c r="B76" s="18"/>
      <c r="C76" s="18"/>
      <c r="D76" s="7"/>
      <c r="E76" s="2"/>
      <c r="F76" s="1149" t="s">
        <v>188</v>
      </c>
      <c r="G76" s="1094"/>
      <c r="H76" s="1094"/>
      <c r="I76" s="1094"/>
      <c r="J76" s="1094"/>
      <c r="K76" s="1094"/>
      <c r="L76" s="1104"/>
      <c r="M76" s="148" t="s">
        <v>186</v>
      </c>
      <c r="N76" s="1336"/>
      <c r="O76" s="1337"/>
      <c r="P76" s="1337"/>
      <c r="Q76" s="1337"/>
      <c r="R76" s="1337"/>
      <c r="S76" s="1338"/>
      <c r="T76" s="2"/>
      <c r="U76" s="2"/>
      <c r="V76" s="2"/>
      <c r="W76" s="2"/>
      <c r="X76" s="2"/>
      <c r="Y76" s="2"/>
      <c r="Z76" s="2"/>
      <c r="AA76" s="2"/>
      <c r="AB76" s="2"/>
      <c r="AC76" s="2"/>
      <c r="AD76" s="2"/>
      <c r="AE76" s="2"/>
      <c r="AF76" s="2"/>
      <c r="AG76" s="2"/>
      <c r="AH76" s="2"/>
      <c r="AI76" s="2"/>
      <c r="AJ76" s="2"/>
      <c r="AK76" s="2"/>
      <c r="AL76" s="2"/>
      <c r="AM76" s="2"/>
      <c r="AN76" s="2"/>
    </row>
    <row r="77" spans="1:40" ht="50.1" customHeight="1" x14ac:dyDescent="0.25">
      <c r="A77" s="18"/>
      <c r="B77" s="18"/>
      <c r="C77" s="18"/>
      <c r="D77" s="7"/>
      <c r="E77" s="2"/>
      <c r="F77" s="1149" t="s">
        <v>32</v>
      </c>
      <c r="G77" s="1094"/>
      <c r="H77" s="1094"/>
      <c r="I77" s="1094"/>
      <c r="J77" s="1094"/>
      <c r="K77" s="1094"/>
      <c r="L77" s="1104"/>
      <c r="M77" s="148" t="s">
        <v>186</v>
      </c>
      <c r="N77" s="1032"/>
      <c r="O77" s="1033"/>
      <c r="P77" s="1033"/>
      <c r="Q77" s="1033"/>
      <c r="R77" s="1033"/>
      <c r="S77" s="1033"/>
      <c r="T77" s="1033"/>
      <c r="U77" s="1033"/>
      <c r="V77" s="1033"/>
      <c r="W77" s="1033"/>
      <c r="X77" s="1033"/>
      <c r="Y77" s="1033"/>
      <c r="Z77" s="1033"/>
      <c r="AA77" s="1033"/>
      <c r="AB77" s="1033"/>
      <c r="AC77" s="1033"/>
      <c r="AD77" s="1033"/>
      <c r="AE77" s="1033"/>
      <c r="AF77" s="1033"/>
      <c r="AG77" s="1033"/>
      <c r="AH77" s="1033"/>
      <c r="AI77" s="1033"/>
      <c r="AJ77" s="1033"/>
      <c r="AK77" s="1033"/>
      <c r="AL77" s="1033"/>
      <c r="AM77" s="1034"/>
      <c r="AN77" s="124"/>
    </row>
    <row r="78" spans="1:40" ht="30" customHeight="1" x14ac:dyDescent="0.25">
      <c r="A78" s="18"/>
      <c r="B78" s="18"/>
      <c r="C78" s="18"/>
      <c r="D78" s="7"/>
      <c r="E78" s="2"/>
      <c r="F78" s="1149" t="s">
        <v>228</v>
      </c>
      <c r="G78" s="1094"/>
      <c r="H78" s="1094"/>
      <c r="I78" s="1094"/>
      <c r="J78" s="1094"/>
      <c r="K78" s="1094"/>
      <c r="L78" s="1104"/>
      <c r="M78" s="148" t="s">
        <v>186</v>
      </c>
      <c r="N78" s="1341"/>
      <c r="O78" s="1342"/>
      <c r="P78" s="1342"/>
      <c r="Q78" s="1342"/>
      <c r="R78" s="1342"/>
      <c r="S78" s="1343"/>
      <c r="T78" s="2"/>
      <c r="U78" s="2"/>
      <c r="V78" s="2"/>
      <c r="W78" s="2"/>
      <c r="X78" s="2"/>
      <c r="Y78" s="2"/>
      <c r="Z78" s="2"/>
      <c r="AA78" s="2"/>
      <c r="AB78" s="2"/>
      <c r="AC78" s="2"/>
      <c r="AD78" s="2"/>
      <c r="AE78" s="2"/>
      <c r="AF78" s="2"/>
      <c r="AG78" s="2"/>
      <c r="AH78" s="2"/>
      <c r="AI78" s="2"/>
      <c r="AJ78" s="2"/>
      <c r="AK78" s="2"/>
      <c r="AL78" s="2"/>
      <c r="AM78" s="2"/>
      <c r="AN78" s="2"/>
    </row>
    <row r="79" spans="1:40" ht="30" customHeight="1" x14ac:dyDescent="0.25">
      <c r="A79" s="18"/>
      <c r="B79" s="18"/>
      <c r="C79" s="18"/>
      <c r="D79" s="7"/>
      <c r="E79" s="2"/>
      <c r="F79" s="1149" t="s">
        <v>229</v>
      </c>
      <c r="G79" s="1094"/>
      <c r="H79" s="1094"/>
      <c r="I79" s="1094"/>
      <c r="J79" s="1094"/>
      <c r="K79" s="1094"/>
      <c r="L79" s="1104"/>
      <c r="M79" s="148" t="s">
        <v>186</v>
      </c>
      <c r="N79" s="1341"/>
      <c r="O79" s="1342"/>
      <c r="P79" s="1342"/>
      <c r="Q79" s="1342"/>
      <c r="R79" s="1342"/>
      <c r="S79" s="1343"/>
      <c r="T79" s="2"/>
      <c r="U79" s="2"/>
      <c r="V79" s="2"/>
      <c r="W79" s="2"/>
      <c r="X79" s="2"/>
      <c r="Y79" s="2"/>
      <c r="Z79" s="2"/>
      <c r="AA79" s="2"/>
      <c r="AB79" s="2"/>
      <c r="AC79" s="2"/>
      <c r="AD79" s="2"/>
      <c r="AE79" s="2"/>
      <c r="AF79" s="2"/>
      <c r="AG79" s="2"/>
      <c r="AH79" s="2"/>
      <c r="AI79" s="2"/>
      <c r="AJ79" s="2"/>
      <c r="AK79" s="2"/>
      <c r="AL79" s="2"/>
      <c r="AM79" s="2"/>
      <c r="AN79" s="2"/>
    </row>
    <row r="80" spans="1:40" ht="15" customHeight="1" x14ac:dyDescent="0.25">
      <c r="A80" s="18"/>
      <c r="B80" s="18"/>
      <c r="C80" s="18"/>
      <c r="D80" s="7"/>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20.100000000000001" customHeight="1" x14ac:dyDescent="0.25">
      <c r="A81" s="18"/>
      <c r="B81" s="18"/>
      <c r="C81" s="18"/>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row>
    <row r="82" spans="1:40" ht="15" customHeight="1" x14ac:dyDescent="0.25">
      <c r="A82" s="18"/>
      <c r="B82" s="18"/>
      <c r="C82" s="18"/>
      <c r="D82" s="7"/>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ht="20.100000000000001" customHeight="1" x14ac:dyDescent="0.25">
      <c r="A83" s="18"/>
      <c r="B83" s="18"/>
      <c r="C83" s="18"/>
      <c r="D83" s="7"/>
      <c r="E83" s="2"/>
      <c r="F83" s="118"/>
      <c r="G83" s="118"/>
      <c r="H83" s="118"/>
      <c r="I83" s="118"/>
      <c r="J83" s="118"/>
      <c r="K83" s="118"/>
      <c r="L83" s="118"/>
      <c r="M83" s="272"/>
      <c r="N83" s="273"/>
      <c r="O83" s="273"/>
      <c r="P83" s="273"/>
      <c r="Q83" s="273"/>
      <c r="R83" s="245" t="s">
        <v>331</v>
      </c>
      <c r="S83" s="244"/>
      <c r="T83" s="266"/>
      <c r="U83" s="244"/>
      <c r="V83" s="244"/>
      <c r="W83" s="244"/>
      <c r="X83" s="209"/>
      <c r="Y83" s="209"/>
      <c r="Z83" s="209"/>
      <c r="AA83" s="209"/>
      <c r="AB83" s="209"/>
      <c r="AC83" s="209"/>
      <c r="AD83" s="209"/>
      <c r="AE83" s="209"/>
      <c r="AF83" s="209"/>
      <c r="AG83" s="209"/>
      <c r="AH83" s="209"/>
      <c r="AI83" s="209"/>
      <c r="AJ83" s="209"/>
      <c r="AK83" s="209"/>
      <c r="AL83" s="209"/>
      <c r="AM83" s="209"/>
      <c r="AN83" s="209"/>
    </row>
    <row r="84" spans="1:40" ht="20.100000000000001" customHeight="1" x14ac:dyDescent="0.25">
      <c r="A84" s="18"/>
      <c r="B84" s="18"/>
      <c r="C84" s="18"/>
      <c r="D84" s="7"/>
      <c r="E84" s="2"/>
      <c r="F84" s="247"/>
      <c r="G84" s="247"/>
      <c r="H84" s="247"/>
      <c r="I84" s="247"/>
      <c r="J84" s="247"/>
      <c r="K84" s="247"/>
      <c r="L84" s="247"/>
      <c r="M84" s="247"/>
      <c r="N84" s="247"/>
      <c r="O84" s="247"/>
      <c r="P84" s="247"/>
      <c r="Q84" s="247"/>
      <c r="R84" s="247"/>
      <c r="S84" s="247"/>
      <c r="T84" s="248"/>
      <c r="U84" s="2"/>
      <c r="V84" s="2"/>
      <c r="W84" s="2"/>
      <c r="X84" s="2"/>
      <c r="Y84" s="248"/>
      <c r="Z84" s="248"/>
      <c r="AA84" s="248"/>
      <c r="AB84" s="248"/>
      <c r="AC84" s="248"/>
      <c r="AD84" s="248"/>
      <c r="AE84" s="248"/>
      <c r="AF84" s="248"/>
      <c r="AG84" s="248"/>
      <c r="AH84" s="248"/>
      <c r="AI84" s="248"/>
      <c r="AJ84" s="248"/>
      <c r="AK84" s="248"/>
      <c r="AL84" s="248"/>
      <c r="AM84" s="248"/>
      <c r="AN84" s="260"/>
    </row>
    <row r="85" spans="1:40" ht="20.100000000000001" customHeight="1" x14ac:dyDescent="0.25">
      <c r="A85" s="18"/>
      <c r="B85" s="18"/>
      <c r="C85" s="18"/>
      <c r="D85" s="7"/>
      <c r="E85" s="2"/>
      <c r="F85" s="1149" t="s">
        <v>341</v>
      </c>
      <c r="G85" s="1094"/>
      <c r="H85" s="1094"/>
      <c r="I85" s="1094"/>
      <c r="J85" s="1094"/>
      <c r="K85" s="1094"/>
      <c r="L85" s="1104"/>
      <c r="M85" s="148" t="s">
        <v>186</v>
      </c>
      <c r="N85" s="1213"/>
      <c r="O85" s="1214"/>
      <c r="P85" s="1214"/>
      <c r="Q85" s="1214"/>
      <c r="R85" s="1214"/>
      <c r="S85" s="1190"/>
      <c r="T85" s="2"/>
      <c r="U85" s="2"/>
      <c r="V85" s="2"/>
      <c r="W85" s="2"/>
      <c r="X85" s="2"/>
      <c r="Y85" s="2"/>
      <c r="Z85" s="2"/>
      <c r="AA85" s="2"/>
      <c r="AB85" s="2"/>
      <c r="AC85" s="2"/>
      <c r="AD85" s="2"/>
      <c r="AE85" s="2"/>
      <c r="AF85" s="2"/>
      <c r="AG85" s="2"/>
      <c r="AH85" s="2"/>
      <c r="AI85" s="2"/>
      <c r="AJ85" s="2"/>
      <c r="AK85" s="2"/>
      <c r="AL85" s="2"/>
      <c r="AM85" s="2"/>
      <c r="AN85" s="2"/>
    </row>
    <row r="86" spans="1:40" ht="30" customHeight="1" x14ac:dyDescent="0.25">
      <c r="A86" s="18"/>
      <c r="B86" s="18"/>
      <c r="C86" s="18"/>
      <c r="D86" s="7"/>
      <c r="E86" s="2"/>
      <c r="F86" s="1149" t="s">
        <v>189</v>
      </c>
      <c r="G86" s="1094"/>
      <c r="H86" s="1094"/>
      <c r="I86" s="1094"/>
      <c r="J86" s="1094"/>
      <c r="K86" s="1094"/>
      <c r="L86" s="1104"/>
      <c r="M86" s="148" t="s">
        <v>186</v>
      </c>
      <c r="N86" s="1336"/>
      <c r="O86" s="1337"/>
      <c r="P86" s="1337"/>
      <c r="Q86" s="1337"/>
      <c r="R86" s="1337"/>
      <c r="S86" s="1338"/>
      <c r="T86" s="2"/>
      <c r="U86" s="2"/>
      <c r="V86" s="2"/>
      <c r="W86" s="2"/>
      <c r="X86" s="2"/>
      <c r="Y86" s="2"/>
      <c r="Z86" s="2"/>
      <c r="AA86" s="2"/>
      <c r="AB86" s="2"/>
      <c r="AC86" s="2"/>
      <c r="AD86" s="2"/>
      <c r="AE86" s="2"/>
      <c r="AF86" s="2"/>
      <c r="AG86" s="2"/>
      <c r="AH86" s="2"/>
      <c r="AI86" s="2"/>
      <c r="AJ86" s="2"/>
      <c r="AK86" s="2"/>
      <c r="AL86" s="2"/>
      <c r="AM86" s="2"/>
      <c r="AN86" s="2"/>
    </row>
    <row r="87" spans="1:40" ht="20.100000000000001" customHeight="1" x14ac:dyDescent="0.25">
      <c r="A87" s="18"/>
      <c r="B87" s="18"/>
      <c r="C87" s="18"/>
      <c r="D87" s="7"/>
      <c r="E87" s="2"/>
      <c r="F87" s="1149" t="s">
        <v>343</v>
      </c>
      <c r="G87" s="1094"/>
      <c r="H87" s="1094"/>
      <c r="I87" s="1094"/>
      <c r="J87" s="1094"/>
      <c r="K87" s="1094"/>
      <c r="L87" s="1104"/>
      <c r="M87" s="148" t="s">
        <v>186</v>
      </c>
      <c r="N87" s="1341"/>
      <c r="O87" s="1342"/>
      <c r="P87" s="1342"/>
      <c r="Q87" s="1342"/>
      <c r="R87" s="1342"/>
      <c r="S87" s="1343"/>
      <c r="T87" s="2"/>
      <c r="U87" s="2"/>
      <c r="V87" s="2"/>
      <c r="W87" s="2"/>
      <c r="X87" s="2"/>
      <c r="Y87" s="2"/>
      <c r="Z87" s="2"/>
      <c r="AA87" s="2"/>
      <c r="AB87" s="2"/>
      <c r="AC87" s="2"/>
      <c r="AD87" s="2"/>
      <c r="AE87" s="2"/>
      <c r="AF87" s="2"/>
      <c r="AG87" s="2"/>
      <c r="AH87" s="2"/>
      <c r="AI87" s="2"/>
      <c r="AJ87" s="2"/>
      <c r="AK87" s="2"/>
      <c r="AL87" s="2"/>
      <c r="AM87" s="2"/>
      <c r="AN87" s="2"/>
    </row>
    <row r="88" spans="1:40" ht="50.1" customHeight="1" x14ac:dyDescent="0.25">
      <c r="A88" s="18"/>
      <c r="B88" s="18"/>
      <c r="C88" s="18"/>
      <c r="D88" s="7"/>
      <c r="E88" s="2"/>
      <c r="F88" s="1149" t="s">
        <v>32</v>
      </c>
      <c r="G88" s="1094"/>
      <c r="H88" s="1094"/>
      <c r="I88" s="1094"/>
      <c r="J88" s="1094"/>
      <c r="K88" s="1094"/>
      <c r="L88" s="1104"/>
      <c r="M88" s="148" t="s">
        <v>186</v>
      </c>
      <c r="N88" s="1140"/>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2"/>
      <c r="AN88" s="4"/>
    </row>
    <row r="89" spans="1:40" ht="30" customHeight="1" x14ac:dyDescent="0.25">
      <c r="A89" s="18"/>
      <c r="B89" s="18"/>
      <c r="C89" s="18"/>
      <c r="D89" s="7"/>
      <c r="E89" s="2"/>
      <c r="F89" s="1149" t="s">
        <v>228</v>
      </c>
      <c r="G89" s="1094"/>
      <c r="H89" s="1094"/>
      <c r="I89" s="1094"/>
      <c r="J89" s="1094"/>
      <c r="K89" s="1094"/>
      <c r="L89" s="1104"/>
      <c r="M89" s="148" t="s">
        <v>186</v>
      </c>
      <c r="N89" s="1341"/>
      <c r="O89" s="1342"/>
      <c r="P89" s="1342"/>
      <c r="Q89" s="1342"/>
      <c r="R89" s="1342"/>
      <c r="S89" s="1343"/>
      <c r="T89" s="2"/>
      <c r="U89" s="2"/>
      <c r="V89" s="2"/>
      <c r="W89" s="2"/>
      <c r="X89" s="2"/>
      <c r="Y89" s="2"/>
      <c r="Z89" s="2"/>
      <c r="AA89" s="2"/>
      <c r="AB89" s="2"/>
      <c r="AC89" s="2"/>
      <c r="AD89" s="2"/>
      <c r="AE89" s="2"/>
      <c r="AF89" s="2"/>
      <c r="AG89" s="2"/>
      <c r="AH89" s="2"/>
      <c r="AI89" s="2"/>
      <c r="AJ89" s="2"/>
      <c r="AK89" s="2"/>
      <c r="AL89" s="2"/>
      <c r="AM89" s="2"/>
      <c r="AN89" s="2"/>
    </row>
    <row r="90" spans="1:40" ht="30" customHeight="1" x14ac:dyDescent="0.25">
      <c r="A90" s="18"/>
      <c r="B90" s="18"/>
      <c r="C90" s="18"/>
      <c r="D90" s="7"/>
      <c r="E90" s="2"/>
      <c r="F90" s="1149" t="s">
        <v>229</v>
      </c>
      <c r="G90" s="1094"/>
      <c r="H90" s="1094"/>
      <c r="I90" s="1094"/>
      <c r="J90" s="1094"/>
      <c r="K90" s="1094"/>
      <c r="L90" s="1104"/>
      <c r="M90" s="148" t="s">
        <v>186</v>
      </c>
      <c r="N90" s="1341"/>
      <c r="O90" s="1342"/>
      <c r="P90" s="1342"/>
      <c r="Q90" s="1342"/>
      <c r="R90" s="1342"/>
      <c r="S90" s="1343"/>
      <c r="T90" s="2"/>
      <c r="U90" s="2"/>
      <c r="V90" s="2"/>
      <c r="W90" s="2"/>
      <c r="X90" s="2"/>
      <c r="Y90" s="2"/>
      <c r="Z90" s="2"/>
      <c r="AA90" s="2"/>
      <c r="AB90" s="2"/>
      <c r="AC90" s="2"/>
      <c r="AD90" s="2"/>
      <c r="AE90" s="2"/>
      <c r="AF90" s="2"/>
      <c r="AG90" s="2"/>
      <c r="AH90" s="2"/>
      <c r="AI90" s="2"/>
      <c r="AJ90" s="2"/>
      <c r="AK90" s="2"/>
      <c r="AL90" s="2"/>
      <c r="AM90" s="2"/>
      <c r="AN90" s="2"/>
    </row>
    <row r="91" spans="1:40" ht="15" customHeight="1" x14ac:dyDescent="0.25">
      <c r="A91" s="18"/>
      <c r="B91" s="18"/>
      <c r="C91" s="18"/>
      <c r="D91" s="7"/>
      <c r="E91" s="2"/>
      <c r="F91" s="117"/>
      <c r="G91" s="117"/>
      <c r="H91" s="117"/>
      <c r="I91" s="117"/>
      <c r="J91" s="117"/>
      <c r="K91" s="117"/>
      <c r="L91" s="117"/>
      <c r="M91" s="241"/>
      <c r="N91" s="275"/>
      <c r="O91" s="275"/>
      <c r="P91" s="275"/>
      <c r="Q91" s="275"/>
      <c r="R91" s="275"/>
      <c r="S91" s="275"/>
      <c r="T91" s="2"/>
      <c r="U91" s="2"/>
      <c r="V91" s="2"/>
      <c r="W91" s="2"/>
      <c r="X91" s="2"/>
      <c r="Y91" s="2"/>
      <c r="Z91" s="2"/>
      <c r="AA91" s="2"/>
      <c r="AB91" s="2"/>
      <c r="AC91" s="2"/>
      <c r="AD91" s="2"/>
      <c r="AE91" s="2"/>
      <c r="AF91" s="2"/>
      <c r="AG91" s="2"/>
      <c r="AH91" s="2"/>
      <c r="AI91" s="2"/>
      <c r="AJ91" s="2"/>
      <c r="AK91" s="2"/>
      <c r="AL91" s="2"/>
      <c r="AM91" s="2"/>
      <c r="AN91" s="2"/>
    </row>
    <row r="92" spans="1:40" ht="20.100000000000001" customHeight="1" x14ac:dyDescent="0.25">
      <c r="A92" s="18"/>
      <c r="B92" s="18"/>
      <c r="C92" s="18"/>
      <c r="D92" s="7"/>
      <c r="E92" s="7"/>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ht="15" customHeight="1" x14ac:dyDescent="0.25">
      <c r="A93" s="18"/>
      <c r="B93" s="18"/>
      <c r="C93" s="18"/>
      <c r="D93" s="7"/>
      <c r="E93" s="2"/>
      <c r="F93" s="245"/>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60"/>
    </row>
    <row r="94" spans="1:40" ht="20.100000000000001" customHeight="1" x14ac:dyDescent="0.25">
      <c r="A94" s="18"/>
      <c r="B94" s="18"/>
      <c r="C94" s="18"/>
      <c r="D94" s="7"/>
      <c r="E94" s="2"/>
      <c r="F94" s="1067" t="s">
        <v>394</v>
      </c>
      <c r="G94" s="1068"/>
      <c r="H94" s="1068"/>
      <c r="I94" s="1068"/>
      <c r="J94" s="1068"/>
      <c r="K94" s="1068"/>
      <c r="L94" s="1069"/>
      <c r="M94" s="1076" t="s">
        <v>186</v>
      </c>
      <c r="N94" s="135"/>
      <c r="O94" s="136"/>
      <c r="P94" s="136"/>
      <c r="Q94" s="136"/>
      <c r="R94" s="137"/>
      <c r="S94" s="1079" t="s">
        <v>293</v>
      </c>
      <c r="T94" s="1064"/>
      <c r="U94" s="1064"/>
      <c r="V94" s="1064"/>
      <c r="W94" s="1064"/>
      <c r="X94" s="1064"/>
      <c r="Y94" s="1064"/>
      <c r="Z94" s="1064" t="s">
        <v>301</v>
      </c>
      <c r="AA94" s="1064"/>
      <c r="AB94" s="1064"/>
      <c r="AC94" s="1064"/>
      <c r="AD94" s="1064"/>
      <c r="AE94" s="1064"/>
      <c r="AF94" s="1064"/>
      <c r="AG94" s="1064"/>
      <c r="AH94" s="1064"/>
      <c r="AI94" s="1064" t="s">
        <v>302</v>
      </c>
      <c r="AJ94" s="1064"/>
      <c r="AK94" s="1064"/>
      <c r="AL94" s="1064"/>
      <c r="AM94" s="1065"/>
      <c r="AN94" s="2"/>
    </row>
    <row r="95" spans="1:40" ht="27" customHeight="1" x14ac:dyDescent="0.25">
      <c r="A95" s="18"/>
      <c r="B95" s="18"/>
      <c r="C95" s="18"/>
      <c r="D95" s="7"/>
      <c r="E95" s="2"/>
      <c r="F95" s="1070"/>
      <c r="G95" s="1071"/>
      <c r="H95" s="1071"/>
      <c r="I95" s="1071"/>
      <c r="J95" s="1071"/>
      <c r="K95" s="1071"/>
      <c r="L95" s="1072"/>
      <c r="M95" s="1077"/>
      <c r="N95" s="138"/>
      <c r="O95" s="1045" t="s">
        <v>219</v>
      </c>
      <c r="P95" s="1045"/>
      <c r="Q95" s="1045"/>
      <c r="R95" s="1046"/>
      <c r="S95" s="1042"/>
      <c r="T95" s="1043"/>
      <c r="U95" s="1043"/>
      <c r="V95" s="1043"/>
      <c r="W95" s="1043"/>
      <c r="X95" s="1043"/>
      <c r="Y95" s="1043"/>
      <c r="Z95" s="1044"/>
      <c r="AA95" s="1044"/>
      <c r="AB95" s="1044"/>
      <c r="AC95" s="1044"/>
      <c r="AD95" s="1044"/>
      <c r="AE95" s="1044"/>
      <c r="AF95" s="1044"/>
      <c r="AG95" s="1044"/>
      <c r="AH95" s="1044"/>
      <c r="AI95" s="1066"/>
      <c r="AJ95" s="1066"/>
      <c r="AK95" s="1066"/>
      <c r="AL95" s="1066"/>
      <c r="AM95" s="1066"/>
      <c r="AN95" s="2"/>
    </row>
    <row r="96" spans="1:40" ht="27" customHeight="1" x14ac:dyDescent="0.25">
      <c r="A96" s="18"/>
      <c r="B96" s="18"/>
      <c r="C96" s="18"/>
      <c r="D96" s="7"/>
      <c r="E96" s="2"/>
      <c r="F96" s="1070"/>
      <c r="G96" s="1071"/>
      <c r="H96" s="1071"/>
      <c r="I96" s="1071"/>
      <c r="J96" s="1071"/>
      <c r="K96" s="1071"/>
      <c r="L96" s="1072"/>
      <c r="M96" s="1077"/>
      <c r="N96" s="1"/>
      <c r="O96" s="138"/>
      <c r="P96" s="138"/>
      <c r="Q96" s="138"/>
      <c r="R96" s="139"/>
      <c r="S96" s="1042"/>
      <c r="T96" s="1043"/>
      <c r="U96" s="1043"/>
      <c r="V96" s="1043"/>
      <c r="W96" s="1043"/>
      <c r="X96" s="1043"/>
      <c r="Y96" s="1043"/>
      <c r="Z96" s="1044"/>
      <c r="AA96" s="1044"/>
      <c r="AB96" s="1044"/>
      <c r="AC96" s="1044"/>
      <c r="AD96" s="1044"/>
      <c r="AE96" s="1044"/>
      <c r="AF96" s="1044"/>
      <c r="AG96" s="1044"/>
      <c r="AH96" s="1044"/>
      <c r="AI96" s="1066"/>
      <c r="AJ96" s="1066"/>
      <c r="AK96" s="1066"/>
      <c r="AL96" s="1066"/>
      <c r="AM96" s="1066"/>
      <c r="AN96" s="2"/>
    </row>
    <row r="97" spans="1:40" ht="27" customHeight="1" x14ac:dyDescent="0.25">
      <c r="A97" s="18"/>
      <c r="B97" s="18"/>
      <c r="C97" s="18"/>
      <c r="D97" s="7"/>
      <c r="E97" s="2"/>
      <c r="F97" s="1070"/>
      <c r="G97" s="1071"/>
      <c r="H97" s="1071"/>
      <c r="I97" s="1071"/>
      <c r="J97" s="1071"/>
      <c r="K97" s="1071"/>
      <c r="L97" s="1072"/>
      <c r="M97" s="1077"/>
      <c r="N97" s="138"/>
      <c r="O97" s="1047" t="s">
        <v>280</v>
      </c>
      <c r="P97" s="1047"/>
      <c r="Q97" s="1047"/>
      <c r="R97" s="1048"/>
      <c r="S97" s="1042"/>
      <c r="T97" s="1043"/>
      <c r="U97" s="1043"/>
      <c r="V97" s="1043"/>
      <c r="W97" s="1043"/>
      <c r="X97" s="1043"/>
      <c r="Y97" s="1043"/>
      <c r="Z97" s="1044"/>
      <c r="AA97" s="1044"/>
      <c r="AB97" s="1044"/>
      <c r="AC97" s="1044"/>
      <c r="AD97" s="1044"/>
      <c r="AE97" s="1044"/>
      <c r="AF97" s="1044"/>
      <c r="AG97" s="1044"/>
      <c r="AH97" s="1044"/>
      <c r="AI97" s="1066"/>
      <c r="AJ97" s="1066"/>
      <c r="AK97" s="1066"/>
      <c r="AL97" s="1066"/>
      <c r="AM97" s="1066"/>
      <c r="AN97" s="2"/>
    </row>
    <row r="98" spans="1:40" ht="27" customHeight="1" x14ac:dyDescent="0.25">
      <c r="A98" s="18"/>
      <c r="B98" s="18"/>
      <c r="C98" s="18"/>
      <c r="D98" s="7"/>
      <c r="E98" s="2"/>
      <c r="F98" s="1073"/>
      <c r="G98" s="1074"/>
      <c r="H98" s="1074"/>
      <c r="I98" s="1074"/>
      <c r="J98" s="1074"/>
      <c r="K98" s="1074"/>
      <c r="L98" s="1075"/>
      <c r="M98" s="1078"/>
      <c r="N98" s="140"/>
      <c r="O98" s="140"/>
      <c r="P98" s="140"/>
      <c r="Q98" s="140"/>
      <c r="R98" s="141"/>
      <c r="S98" s="1042"/>
      <c r="T98" s="1043"/>
      <c r="U98" s="1043"/>
      <c r="V98" s="1043"/>
      <c r="W98" s="1043"/>
      <c r="X98" s="1043"/>
      <c r="Y98" s="1043"/>
      <c r="Z98" s="1044"/>
      <c r="AA98" s="1044"/>
      <c r="AB98" s="1044"/>
      <c r="AC98" s="1044"/>
      <c r="AD98" s="1044"/>
      <c r="AE98" s="1044"/>
      <c r="AF98" s="1044"/>
      <c r="AG98" s="1044"/>
      <c r="AH98" s="1044"/>
      <c r="AI98" s="1066"/>
      <c r="AJ98" s="1066"/>
      <c r="AK98" s="1066"/>
      <c r="AL98" s="1066"/>
      <c r="AM98" s="1066"/>
      <c r="AN98" s="2"/>
    </row>
    <row r="99" spans="1:40" ht="20.100000000000001" customHeight="1" x14ac:dyDescent="0.25">
      <c r="A99" s="18"/>
      <c r="B99" s="18"/>
      <c r="C99" s="18"/>
      <c r="D99" s="7"/>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20.100000000000001" customHeight="1" x14ac:dyDescent="0.25">
      <c r="A100" s="18"/>
      <c r="B100" s="18"/>
      <c r="C100" s="18"/>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row>
    <row r="101" spans="1:40" ht="20.100000000000001" customHeight="1" x14ac:dyDescent="0.25">
      <c r="A101" s="18"/>
      <c r="B101" s="18"/>
      <c r="C101" s="18"/>
      <c r="D101" s="7"/>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50.1" hidden="1" customHeight="1" x14ac:dyDescent="0.25">
      <c r="A102" s="18"/>
      <c r="B102" s="18"/>
      <c r="C102" s="18"/>
      <c r="D102" s="7"/>
      <c r="E102" s="2"/>
      <c r="AN102" s="2"/>
    </row>
    <row r="103" spans="1:40" ht="60" customHeight="1" x14ac:dyDescent="0.25">
      <c r="A103" s="18"/>
      <c r="B103" s="18"/>
      <c r="C103" s="18"/>
      <c r="D103" s="7"/>
      <c r="E103" s="2"/>
      <c r="F103" s="1008" t="s">
        <v>143</v>
      </c>
      <c r="G103" s="1009"/>
      <c r="H103" s="1009"/>
      <c r="I103" s="1009"/>
      <c r="J103" s="1009"/>
      <c r="K103" s="1009"/>
      <c r="L103" s="1009"/>
      <c r="M103" s="1010"/>
      <c r="N103" s="1032"/>
      <c r="O103" s="1033"/>
      <c r="P103" s="1033"/>
      <c r="Q103" s="1033"/>
      <c r="R103" s="1033"/>
      <c r="S103" s="1033"/>
      <c r="T103" s="1033"/>
      <c r="U103" s="1033"/>
      <c r="V103" s="1033"/>
      <c r="W103" s="1033"/>
      <c r="X103" s="1033"/>
      <c r="Y103" s="1033"/>
      <c r="Z103" s="1033"/>
      <c r="AA103" s="1033"/>
      <c r="AB103" s="1033"/>
      <c r="AC103" s="1033"/>
      <c r="AD103" s="1033"/>
      <c r="AE103" s="1033"/>
      <c r="AF103" s="1033"/>
      <c r="AG103" s="1033"/>
      <c r="AH103" s="1033"/>
      <c r="AI103" s="1033"/>
      <c r="AJ103" s="1033"/>
      <c r="AK103" s="1033"/>
      <c r="AL103" s="1033"/>
      <c r="AM103" s="1034"/>
      <c r="AN103" s="4"/>
    </row>
    <row r="104" spans="1:40" x14ac:dyDescent="0.25">
      <c r="A104" s="18"/>
      <c r="B104" s="18"/>
      <c r="C104" s="18"/>
      <c r="D104" s="7"/>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99.95" customHeight="1" x14ac:dyDescent="0.25">
      <c r="A105" s="18"/>
      <c r="B105" s="18"/>
      <c r="C105" s="18"/>
      <c r="D105" s="7"/>
      <c r="E105" s="2"/>
      <c r="F105" s="1008" t="s">
        <v>392</v>
      </c>
      <c r="G105" s="1009"/>
      <c r="H105" s="1009"/>
      <c r="I105" s="1009"/>
      <c r="J105" s="1009"/>
      <c r="K105" s="1009"/>
      <c r="L105" s="1041"/>
      <c r="M105" s="148" t="s">
        <v>186</v>
      </c>
      <c r="N105" s="1032"/>
      <c r="O105" s="1033"/>
      <c r="P105" s="1033"/>
      <c r="Q105" s="1033"/>
      <c r="R105" s="1033"/>
      <c r="S105" s="1033"/>
      <c r="T105" s="1033"/>
      <c r="U105" s="1033"/>
      <c r="V105" s="1033"/>
      <c r="W105" s="1033"/>
      <c r="X105" s="1033"/>
      <c r="Y105" s="1033"/>
      <c r="Z105" s="1033"/>
      <c r="AA105" s="1033"/>
      <c r="AB105" s="1033"/>
      <c r="AC105" s="1033"/>
      <c r="AD105" s="1033"/>
      <c r="AE105" s="1033"/>
      <c r="AF105" s="1033"/>
      <c r="AG105" s="1033"/>
      <c r="AH105" s="1033"/>
      <c r="AI105" s="1033"/>
      <c r="AJ105" s="1033"/>
      <c r="AK105" s="1033"/>
      <c r="AL105" s="1033"/>
      <c r="AM105" s="1034"/>
      <c r="AN105" s="4"/>
    </row>
    <row r="106" spans="1:40" x14ac:dyDescent="0.25">
      <c r="A106" s="18"/>
      <c r="B106" s="18"/>
      <c r="C106" s="18"/>
      <c r="D106" s="7"/>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sheetData>
  <sheetProtection algorithmName="SHA-512" hashValue="kTtZL1phjUd0+t+AaFvyw7fCWzzl0cC821YNzTZ1KLTNnG6sJBJP11NQ6w7c7lthno8J/mo3J/+aIyHxxrDP7A==" saltValue="RdfoeWkV3ehOuYS8GlUNaA==" spinCount="100000" sheet="1" objects="1" scenarios="1" formatColumns="0" formatRows="0"/>
  <mergeCells count="174">
    <mergeCell ref="F73:L73"/>
    <mergeCell ref="F76:L76"/>
    <mergeCell ref="S98:Y98"/>
    <mergeCell ref="R43:S43"/>
    <mergeCell ref="T41:U41"/>
    <mergeCell ref="N47:R47"/>
    <mergeCell ref="F90:L90"/>
    <mergeCell ref="F94:L98"/>
    <mergeCell ref="M94:M98"/>
    <mergeCell ref="S94:Y94"/>
    <mergeCell ref="O95:R95"/>
    <mergeCell ref="F74:L74"/>
    <mergeCell ref="N86:S86"/>
    <mergeCell ref="N87:S87"/>
    <mergeCell ref="F89:L89"/>
    <mergeCell ref="F45:L45"/>
    <mergeCell ref="N45:AM45"/>
    <mergeCell ref="S48:W48"/>
    <mergeCell ref="F49:L49"/>
    <mergeCell ref="N49:R49"/>
    <mergeCell ref="F66:L66"/>
    <mergeCell ref="F63:L64"/>
    <mergeCell ref="F48:L48"/>
    <mergeCell ref="P43:Q43"/>
    <mergeCell ref="S49:W49"/>
    <mergeCell ref="AK11:AN11"/>
    <mergeCell ref="F2:AG6"/>
    <mergeCell ref="F7:J7"/>
    <mergeCell ref="AA41:AB41"/>
    <mergeCell ref="AA42:AB42"/>
    <mergeCell ref="AA43:AB43"/>
    <mergeCell ref="AC39:AD39"/>
    <mergeCell ref="AE39:AF39"/>
    <mergeCell ref="AG39:AH39"/>
    <mergeCell ref="AC40:AD40"/>
    <mergeCell ref="AE40:AF40"/>
    <mergeCell ref="AG40:AH40"/>
    <mergeCell ref="AC41:AD41"/>
    <mergeCell ref="AE41:AF41"/>
    <mergeCell ref="T39:U39"/>
    <mergeCell ref="V39:W39"/>
    <mergeCell ref="AG41:AH41"/>
    <mergeCell ref="AA39:AB39"/>
    <mergeCell ref="AA40:AB40"/>
    <mergeCell ref="F10:L10"/>
    <mergeCell ref="F11:L11"/>
    <mergeCell ref="F12:L12"/>
    <mergeCell ref="N26:S26"/>
    <mergeCell ref="F105:L105"/>
    <mergeCell ref="N105:AM105"/>
    <mergeCell ref="N103:AM103"/>
    <mergeCell ref="F78:L78"/>
    <mergeCell ref="F79:L79"/>
    <mergeCell ref="N77:AM77"/>
    <mergeCell ref="F85:L85"/>
    <mergeCell ref="F86:L86"/>
    <mergeCell ref="F87:L87"/>
    <mergeCell ref="F88:L88"/>
    <mergeCell ref="N78:S78"/>
    <mergeCell ref="N85:S85"/>
    <mergeCell ref="N79:S79"/>
    <mergeCell ref="F77:L77"/>
    <mergeCell ref="F103:M103"/>
    <mergeCell ref="N90:S90"/>
    <mergeCell ref="Z98:AH98"/>
    <mergeCell ref="Z95:AH95"/>
    <mergeCell ref="AI97:AM97"/>
    <mergeCell ref="S97:Y97"/>
    <mergeCell ref="Z97:AH97"/>
    <mergeCell ref="S95:Y95"/>
    <mergeCell ref="S96:Y96"/>
    <mergeCell ref="Z96:AH96"/>
    <mergeCell ref="AI98:AM98"/>
    <mergeCell ref="Z94:AH94"/>
    <mergeCell ref="AI94:AM94"/>
    <mergeCell ref="N88:AM88"/>
    <mergeCell ref="AI2:AN7"/>
    <mergeCell ref="N10:Z10"/>
    <mergeCell ref="AF10:AJ10"/>
    <mergeCell ref="AD61:AK61"/>
    <mergeCell ref="AI63:AK63"/>
    <mergeCell ref="AD72:AK72"/>
    <mergeCell ref="R42:S42"/>
    <mergeCell ref="T42:U42"/>
    <mergeCell ref="AG42:AH42"/>
    <mergeCell ref="V42:W42"/>
    <mergeCell ref="X42:Y42"/>
    <mergeCell ref="AC42:AD42"/>
    <mergeCell ref="X43:Y43"/>
    <mergeCell ref="T43:U43"/>
    <mergeCell ref="N56:S56"/>
    <mergeCell ref="S47:W47"/>
    <mergeCell ref="N48:R48"/>
    <mergeCell ref="N55:S55"/>
    <mergeCell ref="N38:O38"/>
    <mergeCell ref="N12:S12"/>
    <mergeCell ref="F24:L24"/>
    <mergeCell ref="N17:S17"/>
    <mergeCell ref="T17:Z17"/>
    <mergeCell ref="R40:S40"/>
    <mergeCell ref="N39:O39"/>
    <mergeCell ref="R39:S39"/>
    <mergeCell ref="X39:Y39"/>
    <mergeCell ref="P39:Q39"/>
    <mergeCell ref="P40:Q40"/>
    <mergeCell ref="AB17:AJ17"/>
    <mergeCell ref="N14:AJ14"/>
    <mergeCell ref="R15:X15"/>
    <mergeCell ref="AD15:AJ15"/>
    <mergeCell ref="Y15:AB15"/>
    <mergeCell ref="F14:M14"/>
    <mergeCell ref="N15:P15"/>
    <mergeCell ref="F15:M15"/>
    <mergeCell ref="F13:L13"/>
    <mergeCell ref="F17:L17"/>
    <mergeCell ref="AA10:AD10"/>
    <mergeCell ref="N11:AJ11"/>
    <mergeCell ref="N13:AJ13"/>
    <mergeCell ref="F16:L16"/>
    <mergeCell ref="AE42:AF42"/>
    <mergeCell ref="AC43:AD43"/>
    <mergeCell ref="AE43:AF43"/>
    <mergeCell ref="AG43:AH43"/>
    <mergeCell ref="N16:S16"/>
    <mergeCell ref="N18:S18"/>
    <mergeCell ref="F18:L18"/>
    <mergeCell ref="N24:S24"/>
    <mergeCell ref="AA38:AB38"/>
    <mergeCell ref="AG38:AH38"/>
    <mergeCell ref="R37:Y37"/>
    <mergeCell ref="F26:L26"/>
    <mergeCell ref="P38:Q38"/>
    <mergeCell ref="R38:S38"/>
    <mergeCell ref="T38:U38"/>
    <mergeCell ref="AC38:AD38"/>
    <mergeCell ref="V38:W38"/>
    <mergeCell ref="X38:Y38"/>
    <mergeCell ref="AA37:AH37"/>
    <mergeCell ref="AE38:AF38"/>
    <mergeCell ref="N43:O43"/>
    <mergeCell ref="F40:L40"/>
    <mergeCell ref="R62:U62"/>
    <mergeCell ref="R63:U63"/>
    <mergeCell ref="V62:Y62"/>
    <mergeCell ref="V63:Y63"/>
    <mergeCell ref="V64:Y64"/>
    <mergeCell ref="R41:S41"/>
    <mergeCell ref="N40:O40"/>
    <mergeCell ref="N41:O41"/>
    <mergeCell ref="F55:L55"/>
    <mergeCell ref="F56:L56"/>
    <mergeCell ref="V41:W41"/>
    <mergeCell ref="X41:Y41"/>
    <mergeCell ref="M63:M64"/>
    <mergeCell ref="N42:O42"/>
    <mergeCell ref="P42:Q42"/>
    <mergeCell ref="N63:Q63"/>
    <mergeCell ref="V40:W40"/>
    <mergeCell ref="X40:Y40"/>
    <mergeCell ref="N64:Q64"/>
    <mergeCell ref="T40:U40"/>
    <mergeCell ref="V43:W43"/>
    <mergeCell ref="P41:Q41"/>
    <mergeCell ref="O97:R97"/>
    <mergeCell ref="N66:AM66"/>
    <mergeCell ref="AD63:AG63"/>
    <mergeCell ref="N76:S76"/>
    <mergeCell ref="N74:AM74"/>
    <mergeCell ref="R64:U64"/>
    <mergeCell ref="N73:S73"/>
    <mergeCell ref="AF73:AH73"/>
    <mergeCell ref="AI96:AM96"/>
    <mergeCell ref="N89:S89"/>
    <mergeCell ref="AI95:AM95"/>
  </mergeCells>
  <phoneticPr fontId="23" type="noConversion"/>
  <conditionalFormatting sqref="F7">
    <cfRule type="notContainsBlanks" dxfId="382" priority="1">
      <formula>LEN(TRIM(F7))&gt;0</formula>
    </cfRule>
  </conditionalFormatting>
  <conditionalFormatting sqref="F26:AM26 AH27:AM31 F32:AM32">
    <cfRule type="expression" dxfId="381" priority="21">
      <formula>$N$24&lt;&gt;"sim"</formula>
    </cfRule>
  </conditionalFormatting>
  <conditionalFormatting sqref="F86:AM90">
    <cfRule type="expression" dxfId="378" priority="10">
      <formula>$N$85&lt;&gt;"sim"</formula>
    </cfRule>
  </conditionalFormatting>
  <conditionalFormatting sqref="M10:M13">
    <cfRule type="expression" dxfId="377" priority="42">
      <formula>N10&lt;&gt;""</formula>
    </cfRule>
  </conditionalFormatting>
  <conditionalFormatting sqref="M16:M18">
    <cfRule type="expression" dxfId="376" priority="38">
      <formula>N16&lt;&gt;""</formula>
    </cfRule>
  </conditionalFormatting>
  <conditionalFormatting sqref="M24">
    <cfRule type="expression" dxfId="375" priority="37">
      <formula>N24&lt;&gt;""</formula>
    </cfRule>
  </conditionalFormatting>
  <conditionalFormatting sqref="M26">
    <cfRule type="expression" dxfId="374" priority="36">
      <formula>N26&lt;&gt;""</formula>
    </cfRule>
  </conditionalFormatting>
  <conditionalFormatting sqref="M40">
    <cfRule type="expression" dxfId="373" priority="3">
      <formula>OR($R$39&lt;&gt;"",$AA$39&lt;&gt;"")</formula>
    </cfRule>
  </conditionalFormatting>
  <conditionalFormatting sqref="M45">
    <cfRule type="expression" dxfId="372" priority="34">
      <formula>N45&lt;&gt;""</formula>
    </cfRule>
  </conditionalFormatting>
  <conditionalFormatting sqref="M48:M49">
    <cfRule type="expression" dxfId="371" priority="33">
      <formula>$S$49&lt;&gt;""</formula>
    </cfRule>
  </conditionalFormatting>
  <conditionalFormatting sqref="M55:M56">
    <cfRule type="expression" dxfId="370" priority="32">
      <formula>N55&lt;&gt;""</formula>
    </cfRule>
  </conditionalFormatting>
  <conditionalFormatting sqref="M63:M64">
    <cfRule type="expression" dxfId="369" priority="30">
      <formula>OR($R$63&lt;&gt;"",$V$63&lt;&gt;"")</formula>
    </cfRule>
  </conditionalFormatting>
  <conditionalFormatting sqref="M66">
    <cfRule type="expression" dxfId="368" priority="31">
      <formula>N66&lt;&gt;""</formula>
    </cfRule>
  </conditionalFormatting>
  <conditionalFormatting sqref="M73:M74">
    <cfRule type="expression" dxfId="367" priority="28">
      <formula>N73&lt;&gt;""</formula>
    </cfRule>
  </conditionalFormatting>
  <conditionalFormatting sqref="M76:M79">
    <cfRule type="expression" dxfId="366" priority="27">
      <formula>N76&lt;&gt;""</formula>
    </cfRule>
  </conditionalFormatting>
  <conditionalFormatting sqref="M85:M90">
    <cfRule type="expression" dxfId="365" priority="26">
      <formula>N85&lt;&gt;""</formula>
    </cfRule>
  </conditionalFormatting>
  <conditionalFormatting sqref="M105">
    <cfRule type="expression" dxfId="363" priority="24">
      <formula>N105&lt;&gt;""</formula>
    </cfRule>
  </conditionalFormatting>
  <conditionalFormatting sqref="Q15">
    <cfRule type="expression" dxfId="360" priority="39">
      <formula>R15&lt;&gt;""</formula>
    </cfRule>
  </conditionalFormatting>
  <conditionalFormatting sqref="AA17">
    <cfRule type="expression" dxfId="352" priority="4">
      <formula>AB17&lt;&gt;""</formula>
    </cfRule>
  </conditionalFormatting>
  <conditionalFormatting sqref="AC15">
    <cfRule type="expression" dxfId="351" priority="40">
      <formula>AD15&lt;&gt;""</formula>
    </cfRule>
  </conditionalFormatting>
  <conditionalFormatting sqref="AE10">
    <cfRule type="expression" dxfId="350" priority="41">
      <formula>AF10&lt;&gt;""</formula>
    </cfRule>
  </conditionalFormatting>
  <dataValidations count="23">
    <dataValidation type="custom" allowBlank="1" showInputMessage="1" showErrorMessage="1" errorTitle="Data inválida" error="A data de conclusão não pode ser anterior a data de início." sqref="AD15:AJ15" xr:uid="{7888EF3C-E27F-4B25-BEF1-4B150F0A34BE}">
      <formula1>R15&lt;=AD15</formula1>
    </dataValidation>
    <dataValidation type="list" allowBlank="1" showInputMessage="1" showErrorMessage="1" errorTitle="Código inválido" error="Preencher os dados do certificado na guia &quot;Certificados&quot; antes de atribuí-lo a algum estudo" sqref="N16:S16" xr:uid="{F5E43DC6-5FF3-41C8-9F54-0923110FFA57}">
      <formula1>src_certificados</formula1>
    </dataValidation>
    <dataValidation type="decimal" allowBlank="1" showInputMessage="1" showErrorMessage="1" errorTitle="Valor inválido" error="A dose deve estar entre 0 e 100%" sqref="N48:R48 R39:Y43 AA39:AH43 N89:S90 R63:Y64 N73:S73 N78:S79 N87:S87 S48:W49" xr:uid="{19D2A6F8-CF95-4572-91A7-809E30CC5BD8}">
      <formula1>0</formula1>
      <formula2>1</formula2>
    </dataValidation>
    <dataValidation type="whole" operator="greaterThanOrEqual" allowBlank="1" showInputMessage="1" showErrorMessage="1" errorTitle="Valor inválido" error="A quantidade de animais deve ser um número inteiro" sqref="N55:S56" xr:uid="{C249EF6F-DB1F-4EAE-8486-F34080B0565E}">
      <formula1>0</formula1>
    </dataValidation>
    <dataValidation type="whole" operator="greaterThanOrEqual" allowBlank="1" showInputMessage="1" showErrorMessage="1" errorTitle="Valor inválido" error="O tempo em dias deve ser um  número inteiro" sqref="N86:S86" xr:uid="{A0DB6F46-89E4-440E-A8D2-776A1EB4F36E}">
      <formula1>0</formula1>
    </dataValidation>
    <dataValidation type="date" operator="greaterThanOrEqual" allowBlank="1" showInputMessage="1" showErrorMessage="1" errorTitle="Data inválida" error="A data informada deve estar no formato dia/mês/ano, ex. 01/01/2022" sqref="N26:S26" xr:uid="{15F0E4E1-E2EE-4DF8-ADA9-E2DF8903937A}">
      <formula1>1</formula1>
    </dataValidation>
    <dataValidation type="whole" operator="greaterThanOrEqual" allowBlank="1" showInputMessage="1" showErrorMessage="1" errorTitle="Valor inválido" error="O tempo em dias deve ser um número inteiro" sqref="N76:S76" xr:uid="{C1F31AF9-AB36-4666-BA46-FC302E733DF7}">
      <formula1>0</formula1>
    </dataValidation>
    <dataValidation allowBlank="1" showInputMessage="1" showErrorMessage="1" promptTitle="Ajuda" prompt="Código gerado pelo laboratório executor" sqref="AA10:AD10" xr:uid="{1DF8715E-A6B2-4C80-9D24-AA646DB75BB1}"/>
    <dataValidation allowBlank="1" showInputMessage="1" showErrorMessage="1" promptTitle="Ajuda" prompt="Informar nome e estado/país do laboratório executor" sqref="F11:L11" xr:uid="{12C22816-D3A2-4A19-A354-18BC17A6AD11}"/>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5BF7B955-0D3F-4790-A7EF-1B56B6576A67}"/>
    <dataValidation allowBlank="1" showInputMessage="1" showErrorMessage="1" promptTitle="Ajuda" prompt="Data de início da exposição dos animais à substância teste" sqref="N15:P15" xr:uid="{6DED7413-287D-46C1-BF0D-82F62ACCB711}"/>
    <dataValidation allowBlank="1" showInputMessage="1" showErrorMessage="1" promptTitle="Ajuda" prompt="Informar preferêncialmente a data de conclusão do estudo. " sqref="F26:L26" xr:uid="{77D00C99-4E14-4435-88DD-B30A6158B254}"/>
    <dataValidation allowBlank="1" showInputMessage="1" showErrorMessage="1" promptTitle="Ajuda" prompt="Deverá ser informada a concentração em % da substância teste. Sendo 100% quando esta for testada sem diluição" sqref="F40:L40" xr:uid="{44058D72-37A3-4253-8E2F-19F9C6928D2D}"/>
    <dataValidation allowBlank="1" showInputMessage="1" showErrorMessage="1" promptTitle="Ajuda" prompt="Doses sem diluição são consideras como 100%._x000a__x000a_Os locais de 2 a 4 somente deverão ser preenchidos nos casos de terem sido testadas mais de uma dose no mesmo animal." sqref="R37:Y37 AA37:AH37" xr:uid="{D5A7EC72-8C64-463A-A22A-6BD350844EAF}"/>
    <dataValidation allowBlank="1" showInputMessage="1" showErrorMessage="1" promptTitle="Ajuda" prompt="Informar somente os resultados, não se deve informar a metodologia. " sqref="F45:L45" xr:uid="{4B5DEDE9-7CAD-40F2-BF3E-26BAA03702D7}"/>
    <dataValidation allowBlank="1" showInputMessage="1" showErrorMessage="1" promptTitle="Ajuda" prompt="Informar o número total de animais expostos a substância teste." sqref="F56:L56" xr:uid="{07B3BE30-9AE9-4C16-994B-922ACA8879B3}"/>
    <dataValidation allowBlank="1" showInputMessage="1" showErrorMessage="1" promptTitle="Ajuda" prompt="A alteração da dose definida para indução, a partir do teste preliminar, deve ser justificada." sqref="F66:L66" xr:uid="{2CB8F5BA-50BD-4214-A9C4-5BBD59C74D14}"/>
    <dataValidation allowBlank="1" showInputMessage="1" showErrorMessage="1" promptTitle="Ajuda" prompt="A alteração da dose definida para o desafio, a partir do teste preliminar, deve ser justificada." sqref="F74:L74" xr:uid="{582DAA9C-A31A-484A-8A23-D2726A44E64A}"/>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94:L98" xr:uid="{B53FD840-97EF-4E76-A240-C161923C54A9}"/>
    <dataValidation allowBlank="1" showInputMessage="1" showErrorMessage="1" promptTitle="Ajuda" prompt="Descrição sucinta do desvio ocorrido._x000a__x000a_Caso tenha ocorrido mais do que quatro desvios, os demais deverão estar descritos na última linha e separados por ponto e vírgula" sqref="S94:Y94" xr:uid="{0D0A52A4-18C4-4E81-8150-BD4982B045F9}"/>
    <dataValidation allowBlank="1" showInputMessage="1" showErrorMessage="1" promptTitle="Ajuda" prompt="Incluir a justificativa do porquê ocorreu desvio e qual é interpretação dos seus impactos frente aos resultados do estudos." sqref="Z94:AH94" xr:uid="{3EB17189-84FD-4405-9A12-A4E3AE455AD6}"/>
    <dataValidation allowBlank="1" showInputMessage="1" showErrorMessage="1" promptTitle="Ajuda" prompt="Informar apenas se o(s) desvio(s) afetam de algum modo a interpretação dos resultados" sqref="AI94:AM94" xr:uid="{08C28F2C-FE58-4E9D-BD88-9CBA554A9DD8}"/>
    <dataValidation allowBlank="1" showInputMessage="1" showErrorMessage="1" promptTitle="Ajuda" prompt="A conclusão deverá ser conforme está escrito no relatório do estudo._x000a_" sqref="F105:L105" xr:uid="{A57E1FAB-B209-49EF-90E7-A53E5A168AFA}"/>
  </dataValidations>
  <hyperlinks>
    <hyperlink ref="F7" location="Alertas!G2" display="Alertas!G2" xr:uid="{256D136B-0769-4A6E-A7FA-CEE46E30BF5C}"/>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42" r:id="rId4" name="optn_desvios_sensib1">
              <controlPr defaultSize="0" autoFill="0" autoLine="0" autoPict="0">
                <anchor moveWithCells="1">
                  <from>
                    <xdr:col>13</xdr:col>
                    <xdr:colOff>19050</xdr:colOff>
                    <xdr:row>93</xdr:row>
                    <xdr:rowOff>228600</xdr:rowOff>
                  </from>
                  <to>
                    <xdr:col>17</xdr:col>
                    <xdr:colOff>247650</xdr:colOff>
                    <xdr:row>95</xdr:row>
                    <xdr:rowOff>38100</xdr:rowOff>
                  </to>
                </anchor>
              </controlPr>
            </control>
          </mc:Choice>
        </mc:AlternateContent>
        <mc:AlternateContent xmlns:mc="http://schemas.openxmlformats.org/markup-compatibility/2006">
          <mc:Choice Requires="x14">
            <control shapeId="38943" r:id="rId5" name="optn_desvios_sensib2">
              <controlPr defaultSize="0" autoFill="0" autoLine="0" autoPict="0">
                <anchor moveWithCells="1">
                  <from>
                    <xdr:col>13</xdr:col>
                    <xdr:colOff>19050</xdr:colOff>
                    <xdr:row>95</xdr:row>
                    <xdr:rowOff>314325</xdr:rowOff>
                  </from>
                  <to>
                    <xdr:col>17</xdr:col>
                    <xdr:colOff>247650</xdr:colOff>
                    <xdr:row>97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FE8A9D10-FB0A-489B-BC5A-57661BB864DD}">
            <xm:f>IF($V$63&lt;&gt;"",NOT(OR(Calculos!$AY$85=FALSE,Calculos!$AZ$85=FALSE)),TRUE)</xm:f>
            <x14:dxf>
              <font>
                <color theme="0"/>
              </font>
              <fill>
                <patternFill>
                  <bgColor theme="0"/>
                </patternFill>
              </fill>
              <border>
                <left/>
                <right/>
                <top/>
                <vertical/>
                <horizontal/>
              </border>
            </x14:dxf>
          </x14:cfRule>
          <xm:sqref>F66:AM66</xm:sqref>
        </x14:conditionalFormatting>
        <x14:conditionalFormatting xmlns:xm="http://schemas.microsoft.com/office/excel/2006/main">
          <x14:cfRule type="expression" priority="12" id="{5B80C49E-E23C-4A6C-9514-1B0F7CC64A65}">
            <xm:f>IF($N$73&lt;&gt;"",Calculos!$AZ$91,TRUE)</xm:f>
            <x14:dxf>
              <font>
                <color theme="0"/>
              </font>
              <fill>
                <patternFill>
                  <bgColor theme="0"/>
                </patternFill>
              </fill>
              <border>
                <left/>
                <right/>
                <bottom/>
                <vertical/>
                <horizontal/>
              </border>
            </x14:dxf>
          </x14:cfRule>
          <xm:sqref>F74:AM74</xm:sqref>
        </x14:conditionalFormatting>
        <x14:conditionalFormatting xmlns:xm="http://schemas.microsoft.com/office/excel/2006/main">
          <x14:cfRule type="expression" priority="23" id="{1B6E1E10-C1D5-4132-B9FC-99EDE2264679}">
            <xm:f>Respostas_usuario!$K$16&lt;&gt;0</xm:f>
            <x14:dxf>
              <font>
                <b/>
                <i val="0"/>
                <color rgb="FF00B050"/>
              </font>
            </x14:dxf>
          </x14:cfRule>
          <xm:sqref>M94:M98</xm:sqref>
        </x14:conditionalFormatting>
        <x14:conditionalFormatting xmlns:xm="http://schemas.microsoft.com/office/excel/2006/main">
          <x14:cfRule type="expression" priority="14" id="{B6A9050B-CA8B-4C33-8FDE-17179A34D06B}">
            <xm:f>$N$18&lt;&gt;Tabelas_fonte!$AM$11</xm:f>
            <x14:dxf>
              <font>
                <color theme="0"/>
              </font>
              <fill>
                <patternFill>
                  <bgColor theme="0"/>
                </patternFill>
              </fill>
              <border>
                <left/>
                <right/>
                <top/>
                <bottom/>
                <vertical/>
                <horizontal/>
              </border>
            </x14:dxf>
          </x14:cfRule>
          <xm:sqref>N47</xm:sqref>
        </x14:conditionalFormatting>
        <x14:conditionalFormatting xmlns:xm="http://schemas.microsoft.com/office/excel/2006/main">
          <x14:cfRule type="expression" priority="18" id="{FFB58826-C1FF-475C-81A6-96FF6E4AC7E0}">
            <xm:f>$N$18&lt;&gt;Tabelas_fonte!$AM$11</xm:f>
            <x14:dxf>
              <font>
                <color theme="0" tint="-4.9989318521683403E-2"/>
              </font>
              <fill>
                <patternFill>
                  <bgColor theme="0" tint="-4.9989318521683403E-2"/>
                </patternFill>
              </fill>
              <border>
                <top/>
                <bottom style="thin">
                  <color theme="0" tint="-0.14996795556505021"/>
                </bottom>
                <vertical/>
                <horizontal/>
              </border>
            </x14:dxf>
          </x14:cfRule>
          <xm:sqref>N48:R49</xm:sqref>
        </x14:conditionalFormatting>
        <x14:conditionalFormatting xmlns:xm="http://schemas.microsoft.com/office/excel/2006/main">
          <x14:cfRule type="expression" priority="5" id="{2425DC06-FF09-4322-A54A-2FD2E66982D0}">
            <xm:f>$N$18&lt;&gt;Tabelas_fonte!$AM$11</xm:f>
            <x14:dxf>
              <font>
                <color theme="0"/>
              </font>
              <fill>
                <patternFill>
                  <bgColor theme="0"/>
                </patternFill>
              </fill>
            </x14:dxf>
          </x14:cfRule>
          <xm:sqref>R62:U62</xm:sqref>
        </x14:conditionalFormatting>
        <x14:conditionalFormatting xmlns:xm="http://schemas.microsoft.com/office/excel/2006/main">
          <x14:cfRule type="expression" priority="17" id="{AAA4A687-A37F-4B78-B5E6-8A4D22A00E7B}">
            <xm:f>$N$18&lt;&gt;Tabelas_fonte!$AM$11</xm:f>
            <x14:dxf>
              <font>
                <color theme="0" tint="-4.9989318521683403E-2"/>
              </font>
              <fill>
                <patternFill>
                  <bgColor theme="0" tint="-4.9989318521683403E-2"/>
                </patternFill>
              </fill>
              <border>
                <top/>
                <bottom style="thin">
                  <color theme="0" tint="-0.14996795556505021"/>
                </bottom>
                <vertical/>
                <horizontal/>
              </border>
            </x14:dxf>
          </x14:cfRule>
          <xm:sqref>R63:U64</xm:sqref>
        </x14:conditionalFormatting>
        <x14:conditionalFormatting xmlns:xm="http://schemas.microsoft.com/office/excel/2006/main">
          <x14:cfRule type="expression" priority="15" id="{09C65E4A-EFA2-4DA2-A080-1F29B57DDCC2}">
            <xm:f>$N$18&lt;&gt;Tabelas_fonte!$AM$11</xm:f>
            <x14:dxf>
              <font>
                <color theme="0"/>
              </font>
              <fill>
                <patternFill>
                  <bgColor theme="0"/>
                </patternFill>
              </fill>
              <border>
                <left/>
                <right/>
                <top/>
                <bottom/>
                <vertical/>
                <horizontal/>
              </border>
            </x14:dxf>
          </x14:cfRule>
          <xm:sqref>R37:Y37</xm:sqref>
        </x14:conditionalFormatting>
        <x14:conditionalFormatting xmlns:xm="http://schemas.microsoft.com/office/excel/2006/main">
          <x14:cfRule type="expression" priority="6" id="{70CCC2E7-F1DB-4AA2-B0AC-B29E778001DD}">
            <xm:f>$N$18&lt;&gt;Tabelas_fonte!$AM$11</xm:f>
            <x14:dxf>
              <font>
                <color theme="0"/>
              </font>
              <fill>
                <patternFill>
                  <bgColor theme="0"/>
                </patternFill>
              </fill>
              <border>
                <right/>
                <top/>
                <bottom/>
                <vertical/>
                <horizontal/>
              </border>
            </x14:dxf>
          </x14:cfRule>
          <xm:sqref>R38:Y38</xm:sqref>
        </x14:conditionalFormatting>
        <x14:conditionalFormatting xmlns:xm="http://schemas.microsoft.com/office/excel/2006/main">
          <x14:cfRule type="expression" priority="7" id="{1E0847F7-DA4C-40EB-8C63-3E757515C551}">
            <xm:f>$N$18&lt;&gt;Tabelas_fonte!$AM$11</xm:f>
            <x14:dxf>
              <font>
                <color theme="0" tint="-4.9989318521683403E-2"/>
              </font>
              <fill>
                <patternFill>
                  <bgColor theme="0" tint="-4.9989318521683403E-2"/>
                </patternFill>
              </fill>
              <border>
                <right/>
                <top/>
                <bottom style="thin">
                  <color theme="0" tint="-0.14996795556505021"/>
                </bottom>
                <vertical/>
                <horizontal/>
              </border>
            </x14:dxf>
          </x14:cfRule>
          <xm:sqref>R39:Y43</xm:sqref>
        </x14:conditionalFormatting>
        <x14:conditionalFormatting xmlns:xm="http://schemas.microsoft.com/office/excel/2006/main">
          <x14:cfRule type="expression" priority="22" id="{472FA5A0-D96F-4427-BC91-3B2A04665CC2}">
            <xm:f>Respostas_usuario!$K$16&lt;&gt;2</xm:f>
            <x14:dxf>
              <font>
                <color theme="0"/>
              </font>
              <fill>
                <patternFill>
                  <bgColor theme="0"/>
                </patternFill>
              </fill>
              <border>
                <right/>
                <top/>
                <bottom/>
                <vertical/>
                <horizontal/>
              </border>
            </x14:dxf>
          </x14:cfRule>
          <xm:sqref>S94:AM98</xm:sqref>
        </x14:conditionalFormatting>
        <x14:conditionalFormatting xmlns:xm="http://schemas.microsoft.com/office/excel/2006/main">
          <x14:cfRule type="expression" priority="11" id="{22D10516-A206-4372-9A00-BDC22CDEADD9}">
            <xm:f>IF($N$73&lt;&gt;"",Calculos!$AZ$91,TRUE)</xm:f>
            <x14:dxf>
              <font>
                <color auto="1"/>
              </font>
              <fill>
                <patternFill>
                  <bgColor theme="0"/>
                </patternFill>
              </fill>
              <border>
                <right/>
                <bottom/>
                <vertical/>
                <horizontal/>
              </border>
            </x14:dxf>
          </x14:cfRule>
          <xm:sqref>T73:AM73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errorTitle="Resposta inválida" error="A resposta de ser Sim ou Não." xr:uid="{C9CBBA7B-A13D-4821-943E-0514113C50D9}">
          <x14:formula1>
            <xm:f>Tabelas_fonte!$Y$2:$Y$3</xm:f>
          </x14:formula1>
          <xm:sqref>N12:S12 N24:S24 N85:S85</xm:sqref>
        </x14:dataValidation>
        <x14:dataValidation type="list" allowBlank="1" showInputMessage="1" xr:uid="{16C9575B-3CD2-4507-A6BD-3C74C6007041}">
          <x14:formula1>
            <xm:f>Tabelas_fonte!$AM$2:$AM$4</xm:f>
          </x14:formula1>
          <xm:sqref>N13:AJ13</xm:sqref>
        </x14:dataValidation>
        <x14:dataValidation type="list" allowBlank="1" showInputMessage="1" showErrorMessage="1" errorTitle="Valor inválido" error="Escolhe uma das opções disponíveis" xr:uid="{565D2283-6DD2-4759-BF00-1C1AFCC84294}">
          <x14:formula1>
            <xm:f>Tabelas_fonte!$AM$10:$AM$11</xm:f>
          </x14:formula1>
          <xm:sqref>N18:S18</xm:sqref>
        </x14:dataValidation>
        <x14:dataValidation type="list" allowBlank="1" showInputMessage="1" showErrorMessage="1" errorTitle="Valor inválido" error="o sexo informado deve ser Macho ou Fêmea" xr:uid="{8FA7D2A6-64ED-4700-8EAD-3AE813A8D430}">
          <x14:formula1>
            <xm:f>Tabelas_fonte!$W$8:$W$9</xm:f>
          </x14:formula1>
          <xm:sqref>P39:Q43</xm:sqref>
        </x14:dataValidation>
        <x14:dataValidation type="list" allowBlank="1" showInputMessage="1" showErrorMessage="1" errorTitle="Valor inválido" error="A resposta deve ser Sim ou Não" xr:uid="{8A56B224-3C1D-45A6-8F69-7F50FC7F798B}">
          <x14:formula1>
            <xm:f>Tabelas_fonte!$Y$2:$Y$3</xm:f>
          </x14:formula1>
          <xm:sqref>AI95:AM98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96A00-EC42-4066-8E12-9A5344D86692}">
  <sheetPr codeName="Planilha29">
    <tabColor theme="8" tint="0.59999389629810485"/>
  </sheetPr>
  <dimension ref="A1:AO106"/>
  <sheetViews>
    <sheetView showGridLines="0" topLeftCell="D1" workbookViewId="0">
      <selection activeCell="D1" sqref="D1"/>
    </sheetView>
  </sheetViews>
  <sheetFormatPr defaultColWidth="0" defaultRowHeight="15" customHeight="1" zeroHeight="1" x14ac:dyDescent="0.25"/>
  <cols>
    <col min="1" max="3" width="2.7109375" style="20" hidden="1" customWidth="1"/>
    <col min="4" max="5" width="2.7109375" style="20" customWidth="1"/>
    <col min="6" max="13" width="4.7109375" style="20" customWidth="1"/>
    <col min="14" max="14" width="5.7109375" style="20" customWidth="1"/>
    <col min="15" max="40" width="4.7109375" style="20" customWidth="1"/>
    <col min="41" max="41" width="0" style="20" hidden="1" customWidth="1"/>
    <col min="42" max="16384" width="9.140625" style="20" hidden="1"/>
  </cols>
  <sheetData>
    <row r="1" spans="1:40" x14ac:dyDescent="0.25">
      <c r="A1" s="18"/>
      <c r="B1" s="18"/>
      <c r="C1" s="18"/>
      <c r="D1" s="7"/>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5" customHeight="1" x14ac:dyDescent="0.25">
      <c r="A2" s="18"/>
      <c r="B2" s="18"/>
      <c r="C2" s="18"/>
      <c r="D2" s="7"/>
      <c r="E2" s="2"/>
      <c r="F2" s="1148" t="s">
        <v>6055</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row>
    <row r="3" spans="1:40" ht="15" customHeight="1" x14ac:dyDescent="0.25">
      <c r="A3" s="18"/>
      <c r="B3" s="18"/>
      <c r="C3" s="18"/>
      <c r="D3" s="7"/>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row>
    <row r="4" spans="1:40" ht="15" customHeight="1" x14ac:dyDescent="0.25">
      <c r="A4" s="18"/>
      <c r="B4" s="18"/>
      <c r="C4" s="18"/>
      <c r="D4" s="7"/>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row>
    <row r="5" spans="1:40" ht="15" customHeight="1" x14ac:dyDescent="0.25">
      <c r="A5" s="18"/>
      <c r="B5" s="18"/>
      <c r="C5" s="18"/>
      <c r="D5" s="7"/>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row>
    <row r="6" spans="1:40" ht="15" customHeight="1" x14ac:dyDescent="0.25">
      <c r="A6" s="18"/>
      <c r="B6" s="18"/>
      <c r="C6" s="18"/>
      <c r="D6" s="7"/>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row>
    <row r="7" spans="1:40" ht="20.100000000000001" customHeight="1" x14ac:dyDescent="0.25">
      <c r="A7" s="18"/>
      <c r="B7" s="18"/>
      <c r="C7" s="18"/>
      <c r="D7" s="7"/>
      <c r="E7" s="158"/>
      <c r="F7" s="1024" t="str">
        <f ca="1">Alertas!S16</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row>
    <row r="8" spans="1:40" ht="15" customHeight="1" x14ac:dyDescent="0.25">
      <c r="A8" s="18"/>
      <c r="B8" s="18"/>
      <c r="C8" s="18"/>
      <c r="D8" s="7"/>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30" customHeight="1" x14ac:dyDescent="0.25">
      <c r="A10" s="18"/>
      <c r="B10" s="18"/>
      <c r="C10" s="18"/>
      <c r="D10" s="7"/>
      <c r="E10" s="2"/>
      <c r="F10" s="1149" t="s">
        <v>30</v>
      </c>
      <c r="G10" s="1094"/>
      <c r="H10" s="1094"/>
      <c r="I10" s="1094"/>
      <c r="J10" s="1094"/>
      <c r="K10" s="1094"/>
      <c r="L10" s="1104"/>
      <c r="M10" s="148" t="s">
        <v>186</v>
      </c>
      <c r="N10" s="1032"/>
      <c r="O10" s="1033"/>
      <c r="P10" s="1033"/>
      <c r="Q10" s="1033"/>
      <c r="R10" s="1033"/>
      <c r="S10" s="1033"/>
      <c r="T10" s="1033"/>
      <c r="U10" s="1033"/>
      <c r="V10" s="1033"/>
      <c r="W10" s="1033"/>
      <c r="X10" s="1033"/>
      <c r="Y10" s="1033"/>
      <c r="Z10" s="1034"/>
      <c r="AA10" s="1008" t="s">
        <v>294</v>
      </c>
      <c r="AB10" s="1009"/>
      <c r="AC10" s="1009"/>
      <c r="AD10" s="1041"/>
      <c r="AE10" s="148" t="s">
        <v>186</v>
      </c>
      <c r="AF10" s="1032"/>
      <c r="AG10" s="1033"/>
      <c r="AH10" s="1033"/>
      <c r="AI10" s="1033"/>
      <c r="AJ10" s="1034"/>
      <c r="AK10" s="2"/>
      <c r="AL10" s="2"/>
      <c r="AM10" s="2"/>
      <c r="AN10" s="2"/>
    </row>
    <row r="11" spans="1:40" ht="60" customHeight="1" x14ac:dyDescent="0.25">
      <c r="A11" s="18"/>
      <c r="B11" s="18"/>
      <c r="C11" s="18"/>
      <c r="D11" s="7"/>
      <c r="E11" s="2"/>
      <c r="F11" s="1008" t="s">
        <v>7300</v>
      </c>
      <c r="G11" s="1009"/>
      <c r="H11" s="1009"/>
      <c r="I11" s="1009"/>
      <c r="J11" s="1009"/>
      <c r="K11" s="1009"/>
      <c r="L11" s="1041"/>
      <c r="M11" s="148" t="s">
        <v>186</v>
      </c>
      <c r="N11" s="1032"/>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4"/>
      <c r="AK11" s="1158" t="s">
        <v>271</v>
      </c>
      <c r="AL11" s="1159"/>
      <c r="AM11" s="1159"/>
      <c r="AN11" s="1159"/>
    </row>
    <row r="12" spans="1:40" ht="20.100000000000001" customHeight="1" x14ac:dyDescent="0.25">
      <c r="A12" s="18"/>
      <c r="B12" s="18"/>
      <c r="C12" s="18"/>
      <c r="D12" s="7"/>
      <c r="E12" s="2"/>
      <c r="F12" s="1008" t="s">
        <v>6029</v>
      </c>
      <c r="G12" s="1009"/>
      <c r="H12" s="1009"/>
      <c r="I12" s="1009"/>
      <c r="J12" s="1009"/>
      <c r="K12" s="1009"/>
      <c r="L12" s="1041"/>
      <c r="M12" s="148" t="s">
        <v>186</v>
      </c>
      <c r="N12" s="1147"/>
      <c r="O12" s="1096"/>
      <c r="P12" s="1096"/>
      <c r="Q12" s="1096"/>
      <c r="R12" s="1096"/>
      <c r="S12" s="1097"/>
      <c r="T12" s="160"/>
      <c r="U12" s="160"/>
      <c r="V12" s="160"/>
      <c r="W12" s="160"/>
      <c r="X12" s="160"/>
      <c r="Y12" s="160"/>
      <c r="Z12" s="160"/>
      <c r="AA12" s="263"/>
      <c r="AB12" s="173"/>
      <c r="AC12" s="173"/>
      <c r="AD12" s="173"/>
      <c r="AE12" s="173"/>
      <c r="AF12" s="264"/>
      <c r="AG12" s="160"/>
      <c r="AH12" s="160"/>
      <c r="AI12" s="160"/>
      <c r="AJ12" s="160"/>
      <c r="AK12" s="2"/>
      <c r="AL12" s="2"/>
      <c r="AM12" s="2"/>
      <c r="AN12" s="2"/>
    </row>
    <row r="13" spans="1:40" ht="20.100000000000001" customHeight="1" x14ac:dyDescent="0.25">
      <c r="A13" s="18"/>
      <c r="B13" s="18"/>
      <c r="C13" s="18"/>
      <c r="D13" s="7"/>
      <c r="E13" s="2"/>
      <c r="F13" s="1149" t="s">
        <v>218</v>
      </c>
      <c r="G13" s="1094"/>
      <c r="H13" s="1094"/>
      <c r="I13" s="1094"/>
      <c r="J13" s="1094"/>
      <c r="K13" s="1094"/>
      <c r="L13" s="1104"/>
      <c r="M13" s="148" t="s">
        <v>186</v>
      </c>
      <c r="N13" s="1347"/>
      <c r="O13" s="1348"/>
      <c r="P13" s="1348"/>
      <c r="Q13" s="1348"/>
      <c r="R13" s="1348"/>
      <c r="S13" s="1348"/>
      <c r="T13" s="1348"/>
      <c r="U13" s="1348"/>
      <c r="V13" s="1348"/>
      <c r="W13" s="1348"/>
      <c r="X13" s="1348"/>
      <c r="Y13" s="1348"/>
      <c r="Z13" s="1348"/>
      <c r="AA13" s="1348"/>
      <c r="AB13" s="1348"/>
      <c r="AC13" s="1348"/>
      <c r="AD13" s="1348"/>
      <c r="AE13" s="1348"/>
      <c r="AF13" s="1348"/>
      <c r="AG13" s="1348"/>
      <c r="AH13" s="1348"/>
      <c r="AI13" s="1348"/>
      <c r="AJ13" s="1349"/>
      <c r="AK13" s="265"/>
      <c r="AL13" s="2"/>
      <c r="AM13" s="2"/>
      <c r="AN13" s="2"/>
    </row>
    <row r="14" spans="1:40" ht="20.100000000000001" customHeight="1" x14ac:dyDescent="0.25">
      <c r="A14" s="18"/>
      <c r="B14" s="18"/>
      <c r="C14" s="18"/>
      <c r="D14" s="7"/>
      <c r="E14" s="2"/>
      <c r="F14" s="1149" t="s">
        <v>311</v>
      </c>
      <c r="G14" s="1094"/>
      <c r="H14" s="1094"/>
      <c r="I14" s="1094"/>
      <c r="J14" s="1094"/>
      <c r="K14" s="1094"/>
      <c r="L14" s="1094"/>
      <c r="M14" s="1150"/>
      <c r="N14" s="1276"/>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8"/>
      <c r="AK14" s="163"/>
      <c r="AL14" s="163"/>
      <c r="AM14" s="163"/>
      <c r="AN14" s="163"/>
    </row>
    <row r="15" spans="1:40" ht="20.100000000000001" customHeight="1" x14ac:dyDescent="0.25">
      <c r="A15" s="18"/>
      <c r="B15" s="18"/>
      <c r="C15" s="18"/>
      <c r="D15" s="7"/>
      <c r="E15" s="2"/>
      <c r="F15" s="1008" t="s">
        <v>7301</v>
      </c>
      <c r="G15" s="1009"/>
      <c r="H15" s="1009"/>
      <c r="I15" s="1009"/>
      <c r="J15" s="1009"/>
      <c r="K15" s="1009"/>
      <c r="L15" s="1009"/>
      <c r="M15" s="1010"/>
      <c r="N15" s="1151" t="s">
        <v>6030</v>
      </c>
      <c r="O15" s="1088"/>
      <c r="P15" s="1089"/>
      <c r="Q15" s="148" t="s">
        <v>186</v>
      </c>
      <c r="R15" s="999"/>
      <c r="S15" s="1000"/>
      <c r="T15" s="1000"/>
      <c r="U15" s="1000"/>
      <c r="V15" s="1000"/>
      <c r="W15" s="1000"/>
      <c r="X15" s="1001"/>
      <c r="Y15" s="1073" t="s">
        <v>31</v>
      </c>
      <c r="Z15" s="1074"/>
      <c r="AA15" s="1074"/>
      <c r="AB15" s="1075"/>
      <c r="AC15" s="148" t="s">
        <v>186</v>
      </c>
      <c r="AD15" s="999"/>
      <c r="AE15" s="1000"/>
      <c r="AF15" s="1000"/>
      <c r="AG15" s="1000"/>
      <c r="AH15" s="1000"/>
      <c r="AI15" s="1000"/>
      <c r="AJ15" s="1001"/>
      <c r="AK15" s="164"/>
      <c r="AL15" s="164"/>
      <c r="AM15" s="164"/>
      <c r="AN15" s="164"/>
    </row>
    <row r="16" spans="1:40" ht="20.100000000000001" customHeight="1" x14ac:dyDescent="0.25">
      <c r="A16" s="18"/>
      <c r="B16" s="18"/>
      <c r="C16" s="18"/>
      <c r="D16" s="7"/>
      <c r="E16" s="2"/>
      <c r="F16" s="1008" t="s">
        <v>5720</v>
      </c>
      <c r="G16" s="1009"/>
      <c r="H16" s="1009"/>
      <c r="I16" s="1009"/>
      <c r="J16" s="1009"/>
      <c r="K16" s="1009"/>
      <c r="L16" s="1009"/>
      <c r="M16" s="148" t="s">
        <v>186</v>
      </c>
      <c r="N16" s="1136"/>
      <c r="O16" s="1090"/>
      <c r="P16" s="1090"/>
      <c r="Q16" s="1090"/>
      <c r="R16" s="1091"/>
      <c r="S16" s="1092"/>
      <c r="T16" s="2"/>
      <c r="U16" s="2"/>
      <c r="V16" s="2"/>
      <c r="W16" s="2"/>
      <c r="X16" s="2"/>
      <c r="Y16" s="2"/>
      <c r="Z16" s="2"/>
      <c r="AA16" s="2"/>
      <c r="AB16" s="2"/>
      <c r="AC16" s="2"/>
      <c r="AD16" s="2"/>
      <c r="AE16" s="2"/>
      <c r="AF16" s="2"/>
      <c r="AG16" s="2"/>
      <c r="AH16" s="2"/>
      <c r="AI16" s="2"/>
      <c r="AJ16" s="2"/>
      <c r="AK16" s="2"/>
      <c r="AL16" s="2"/>
      <c r="AM16" s="2"/>
      <c r="AN16" s="2"/>
    </row>
    <row r="17" spans="1:40" ht="20.100000000000001" customHeight="1" x14ac:dyDescent="0.25">
      <c r="A17" s="18"/>
      <c r="B17" s="18"/>
      <c r="C17" s="18"/>
      <c r="D17" s="7"/>
      <c r="E17" s="2"/>
      <c r="F17" s="1149" t="s">
        <v>85</v>
      </c>
      <c r="G17" s="1094"/>
      <c r="H17" s="1094"/>
      <c r="I17" s="1094"/>
      <c r="J17" s="1094"/>
      <c r="K17" s="1094"/>
      <c r="L17" s="1104"/>
      <c r="M17" s="148" t="s">
        <v>186</v>
      </c>
      <c r="N17" s="1171" t="s">
        <v>334</v>
      </c>
      <c r="O17" s="1138"/>
      <c r="P17" s="1138"/>
      <c r="Q17" s="1138"/>
      <c r="R17" s="1138"/>
      <c r="S17" s="1139"/>
      <c r="T17" s="1008" t="s">
        <v>235</v>
      </c>
      <c r="U17" s="1009"/>
      <c r="V17" s="1009"/>
      <c r="W17" s="1009"/>
      <c r="X17" s="1009"/>
      <c r="Y17" s="1009"/>
      <c r="Z17" s="1009"/>
      <c r="AA17" s="148" t="s">
        <v>186</v>
      </c>
      <c r="AB17" s="1130"/>
      <c r="AC17" s="1131"/>
      <c r="AD17" s="1131"/>
      <c r="AE17" s="1131"/>
      <c r="AF17" s="1131"/>
      <c r="AG17" s="1131"/>
      <c r="AH17" s="1131"/>
      <c r="AI17" s="1131"/>
      <c r="AJ17" s="1132"/>
      <c r="AK17" s="49"/>
      <c r="AL17" s="49"/>
      <c r="AM17" s="49"/>
      <c r="AN17" s="49"/>
    </row>
    <row r="18" spans="1:40" ht="20.100000000000001" customHeight="1" x14ac:dyDescent="0.25">
      <c r="A18" s="18"/>
      <c r="B18" s="18"/>
      <c r="C18" s="18"/>
      <c r="D18" s="7"/>
      <c r="E18" s="2"/>
      <c r="F18" s="1149" t="s">
        <v>83</v>
      </c>
      <c r="G18" s="1094"/>
      <c r="H18" s="1094"/>
      <c r="I18" s="1094"/>
      <c r="J18" s="1094"/>
      <c r="K18" s="1094"/>
      <c r="L18" s="1104"/>
      <c r="M18" s="148" t="s">
        <v>186</v>
      </c>
      <c r="N18" s="981"/>
      <c r="O18" s="982"/>
      <c r="P18" s="982"/>
      <c r="Q18" s="982"/>
      <c r="R18" s="982"/>
      <c r="S18" s="1212"/>
      <c r="T18" s="2"/>
      <c r="U18" s="2"/>
      <c r="V18" s="2"/>
      <c r="W18" s="153"/>
      <c r="X18" s="2"/>
      <c r="Y18" s="2"/>
      <c r="Z18" s="2"/>
      <c r="AA18" s="2"/>
      <c r="AB18" s="2"/>
      <c r="AC18" s="2"/>
      <c r="AD18" s="2"/>
      <c r="AE18" s="2"/>
      <c r="AF18" s="2"/>
      <c r="AG18" s="2"/>
      <c r="AH18" s="2"/>
      <c r="AI18" s="2"/>
      <c r="AJ18" s="2"/>
      <c r="AK18" s="2"/>
      <c r="AL18" s="2"/>
      <c r="AM18" s="2"/>
      <c r="AN18" s="2"/>
    </row>
    <row r="19" spans="1:40" ht="15" customHeight="1" x14ac:dyDescent="0.25">
      <c r="A19" s="18"/>
      <c r="B19" s="18"/>
      <c r="C19" s="18"/>
      <c r="D19" s="7"/>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20.100000000000001" customHeight="1" x14ac:dyDescent="0.25">
      <c r="A20" s="18"/>
      <c r="B20" s="18"/>
      <c r="C20" s="18"/>
      <c r="D20" s="7"/>
      <c r="E20" s="7"/>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ht="15" customHeight="1" x14ac:dyDescent="0.25">
      <c r="A21" s="18"/>
      <c r="B21" s="18"/>
      <c r="C21" s="18"/>
      <c r="D21" s="7"/>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20.100000000000001" customHeight="1" x14ac:dyDescent="0.25">
      <c r="A22" s="18"/>
      <c r="B22" s="18"/>
      <c r="C22" s="18"/>
      <c r="D22" s="7"/>
      <c r="E22" s="2"/>
      <c r="F22" s="244"/>
      <c r="G22" s="244"/>
      <c r="H22" s="244"/>
      <c r="I22" s="244"/>
      <c r="J22" s="244"/>
      <c r="K22" s="244"/>
      <c r="L22" s="244"/>
      <c r="M22" s="244"/>
      <c r="N22" s="244"/>
      <c r="O22" s="244"/>
      <c r="P22" s="244"/>
      <c r="Q22" s="244"/>
      <c r="R22" s="245" t="s">
        <v>6033</v>
      </c>
      <c r="S22" s="244"/>
      <c r="T22" s="244"/>
      <c r="U22" s="244"/>
      <c r="V22" s="244"/>
      <c r="W22" s="244"/>
      <c r="X22" s="244"/>
      <c r="Y22" s="244"/>
      <c r="Z22" s="244"/>
      <c r="AA22" s="244"/>
      <c r="AB22" s="244"/>
      <c r="AC22" s="244"/>
      <c r="AD22" s="244"/>
      <c r="AE22" s="244"/>
      <c r="AF22" s="244"/>
      <c r="AG22" s="244"/>
      <c r="AH22" s="244"/>
      <c r="AI22" s="244"/>
      <c r="AJ22" s="244"/>
      <c r="AK22" s="162"/>
      <c r="AL22" s="162"/>
      <c r="AM22" s="162"/>
      <c r="AN22" s="162"/>
    </row>
    <row r="23" spans="1:40" ht="15" customHeight="1" x14ac:dyDescent="0.25">
      <c r="A23" s="18"/>
      <c r="B23" s="18"/>
      <c r="C23" s="18"/>
      <c r="D23" s="7"/>
      <c r="E23" s="2"/>
      <c r="F23" s="247"/>
      <c r="G23" s="247"/>
      <c r="H23" s="247"/>
      <c r="I23" s="247"/>
      <c r="J23" s="247"/>
      <c r="K23" s="247"/>
      <c r="L23" s="247"/>
      <c r="M23" s="247"/>
      <c r="N23" s="247"/>
      <c r="O23" s="247"/>
      <c r="P23" s="247"/>
      <c r="Q23" s="247"/>
      <c r="R23" s="247"/>
      <c r="S23" s="247"/>
      <c r="T23" s="248"/>
      <c r="U23" s="248"/>
      <c r="V23" s="248"/>
      <c r="W23" s="248"/>
      <c r="X23" s="248"/>
      <c r="Y23" s="248"/>
      <c r="Z23" s="248"/>
      <c r="AA23" s="248"/>
      <c r="AB23" s="248"/>
      <c r="AC23" s="248"/>
      <c r="AD23" s="248"/>
      <c r="AE23" s="248"/>
      <c r="AF23" s="248"/>
      <c r="AG23" s="248"/>
      <c r="AH23" s="248"/>
      <c r="AI23" s="248"/>
      <c r="AJ23" s="248"/>
      <c r="AK23" s="162"/>
      <c r="AL23" s="162"/>
      <c r="AM23" s="162"/>
      <c r="AN23" s="162"/>
    </row>
    <row r="24" spans="1:40" ht="35.1" customHeight="1" x14ac:dyDescent="0.25">
      <c r="A24" s="18"/>
      <c r="B24" s="18"/>
      <c r="C24" s="18"/>
      <c r="D24" s="7"/>
      <c r="E24" s="2"/>
      <c r="F24" s="1149" t="s">
        <v>6034</v>
      </c>
      <c r="G24" s="1094"/>
      <c r="H24" s="1094"/>
      <c r="I24" s="1094"/>
      <c r="J24" s="1094"/>
      <c r="K24" s="1094"/>
      <c r="L24" s="1104"/>
      <c r="M24" s="148" t="s">
        <v>186</v>
      </c>
      <c r="N24" s="1213"/>
      <c r="O24" s="1214"/>
      <c r="P24" s="1214"/>
      <c r="Q24" s="1214"/>
      <c r="R24" s="1214"/>
      <c r="S24" s="1190"/>
      <c r="T24" s="2"/>
      <c r="U24" s="2"/>
      <c r="V24" s="2"/>
      <c r="W24" s="2"/>
      <c r="X24" s="2"/>
      <c r="Y24" s="2"/>
      <c r="Z24" s="2"/>
      <c r="AA24" s="2"/>
      <c r="AB24" s="2"/>
      <c r="AC24" s="2"/>
      <c r="AD24" s="2"/>
      <c r="AE24" s="2"/>
      <c r="AF24" s="2"/>
      <c r="AG24" s="2"/>
      <c r="AH24" s="2"/>
      <c r="AI24" s="2"/>
      <c r="AJ24" s="2"/>
      <c r="AK24" s="2"/>
      <c r="AL24" s="2"/>
      <c r="AM24" s="2"/>
      <c r="AN24" s="2"/>
    </row>
    <row r="25" spans="1:40" ht="15" customHeight="1" x14ac:dyDescent="0.25">
      <c r="A25" s="18"/>
      <c r="B25" s="18"/>
      <c r="C25" s="18"/>
      <c r="D25" s="7"/>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20.100000000000001" customHeight="1" x14ac:dyDescent="0.25">
      <c r="A26" s="18"/>
      <c r="B26" s="18"/>
      <c r="C26" s="18"/>
      <c r="D26" s="7"/>
      <c r="E26" s="2"/>
      <c r="F26" s="1149" t="s">
        <v>332</v>
      </c>
      <c r="G26" s="1094"/>
      <c r="H26" s="1094"/>
      <c r="I26" s="1094"/>
      <c r="J26" s="1094"/>
      <c r="K26" s="1094"/>
      <c r="L26" s="1104"/>
      <c r="M26" s="148" t="s">
        <v>186</v>
      </c>
      <c r="N26" s="1000"/>
      <c r="O26" s="1000"/>
      <c r="P26" s="1000"/>
      <c r="Q26" s="1000"/>
      <c r="R26" s="1000"/>
      <c r="S26" s="1001"/>
      <c r="T26" s="2"/>
      <c r="U26" s="2"/>
      <c r="V26" s="2"/>
      <c r="W26" s="2"/>
      <c r="X26" s="2"/>
      <c r="Y26" s="2"/>
      <c r="Z26" s="2"/>
      <c r="AA26" s="2"/>
      <c r="AB26" s="2"/>
      <c r="AC26" s="2"/>
      <c r="AD26" s="2"/>
      <c r="AE26" s="2"/>
      <c r="AF26" s="2"/>
      <c r="AG26" s="2"/>
      <c r="AH26" s="2"/>
      <c r="AI26" s="2"/>
      <c r="AJ26" s="2"/>
      <c r="AK26" s="2"/>
      <c r="AL26" s="2"/>
      <c r="AM26" s="2"/>
      <c r="AN26" s="2"/>
    </row>
    <row r="27" spans="1:40" ht="20.100000000000001" hidden="1" customHeight="1" x14ac:dyDescent="0.25">
      <c r="A27" s="18"/>
      <c r="B27" s="18"/>
      <c r="C27" s="18"/>
      <c r="D27" s="7"/>
      <c r="E27" s="2"/>
      <c r="AH27" s="2"/>
      <c r="AI27" s="2"/>
      <c r="AJ27" s="2"/>
      <c r="AK27" s="2"/>
      <c r="AL27" s="2"/>
      <c r="AM27" s="2"/>
      <c r="AN27" s="2"/>
    </row>
    <row r="28" spans="1:40" ht="20.100000000000001" hidden="1" customHeight="1" x14ac:dyDescent="0.25">
      <c r="A28" s="18"/>
      <c r="B28" s="18"/>
      <c r="C28" s="18"/>
      <c r="D28" s="7"/>
      <c r="E28" s="2"/>
      <c r="AH28" s="2"/>
      <c r="AI28" s="2"/>
      <c r="AJ28" s="2"/>
      <c r="AK28" s="2"/>
      <c r="AL28" s="2"/>
      <c r="AM28" s="2"/>
      <c r="AN28" s="2"/>
    </row>
    <row r="29" spans="1:40" ht="20.100000000000001" hidden="1" customHeight="1" x14ac:dyDescent="0.25">
      <c r="A29" s="18"/>
      <c r="B29" s="18"/>
      <c r="C29" s="18"/>
      <c r="D29" s="7"/>
      <c r="E29" s="2"/>
      <c r="AH29" s="2"/>
      <c r="AI29" s="2"/>
      <c r="AJ29" s="2"/>
      <c r="AK29" s="2"/>
      <c r="AL29" s="2"/>
      <c r="AM29" s="2"/>
      <c r="AN29" s="2"/>
    </row>
    <row r="30" spans="1:40" ht="30" hidden="1" customHeight="1" x14ac:dyDescent="0.25">
      <c r="A30" s="18"/>
      <c r="B30" s="18"/>
      <c r="C30" s="18"/>
      <c r="D30" s="7"/>
      <c r="E30" s="2"/>
      <c r="AH30" s="2"/>
      <c r="AI30" s="2"/>
      <c r="AJ30" s="2"/>
      <c r="AK30" s="2"/>
      <c r="AL30" s="2"/>
      <c r="AM30" s="2"/>
      <c r="AN30" s="2"/>
    </row>
    <row r="31" spans="1:40" ht="30" hidden="1" customHeight="1" x14ac:dyDescent="0.25">
      <c r="A31" s="18"/>
      <c r="B31" s="18"/>
      <c r="C31" s="18"/>
      <c r="D31" s="7"/>
      <c r="E31" s="2"/>
      <c r="AH31" s="2"/>
      <c r="AI31" s="2"/>
      <c r="AJ31" s="2"/>
      <c r="AK31" s="2"/>
      <c r="AL31" s="2"/>
      <c r="AM31" s="2"/>
      <c r="AN31" s="2"/>
    </row>
    <row r="32" spans="1:40" ht="15" customHeight="1" x14ac:dyDescent="0.25">
      <c r="A32" s="18"/>
      <c r="B32" s="18"/>
      <c r="C32" s="18"/>
      <c r="D32" s="7"/>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row>
    <row r="33" spans="1:40" ht="20.100000000000001" customHeight="1" x14ac:dyDescent="0.25">
      <c r="A33" s="18"/>
      <c r="B33" s="18"/>
      <c r="C33" s="18"/>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row>
    <row r="34" spans="1:40" ht="15" customHeight="1" x14ac:dyDescent="0.25">
      <c r="A34" s="18"/>
      <c r="B34" s="18"/>
      <c r="C34" s="18"/>
      <c r="D34" s="7"/>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20.100000000000001" customHeight="1" x14ac:dyDescent="0.25">
      <c r="A35" s="18"/>
      <c r="B35" s="18"/>
      <c r="C35" s="18"/>
      <c r="D35" s="7"/>
      <c r="E35" s="2"/>
      <c r="F35" s="266"/>
      <c r="G35" s="244"/>
      <c r="H35" s="244"/>
      <c r="I35" s="244"/>
      <c r="J35" s="244"/>
      <c r="K35" s="244"/>
      <c r="L35" s="244"/>
      <c r="M35" s="244"/>
      <c r="N35" s="244"/>
      <c r="O35" s="244"/>
      <c r="P35" s="244"/>
      <c r="Q35" s="244"/>
      <c r="R35" s="245" t="s">
        <v>73</v>
      </c>
      <c r="S35" s="244"/>
      <c r="T35" s="244"/>
      <c r="U35" s="266"/>
      <c r="V35" s="244"/>
      <c r="W35" s="244"/>
      <c r="X35" s="244"/>
      <c r="Y35" s="244"/>
      <c r="Z35" s="244"/>
      <c r="AA35" s="244"/>
      <c r="AB35" s="244"/>
      <c r="AC35" s="244"/>
      <c r="AD35" s="244"/>
      <c r="AE35" s="244"/>
      <c r="AF35" s="244"/>
      <c r="AG35" s="244"/>
      <c r="AH35" s="244"/>
      <c r="AI35" s="244"/>
      <c r="AJ35" s="244"/>
      <c r="AK35" s="244"/>
      <c r="AL35" s="244"/>
      <c r="AM35" s="244"/>
      <c r="AN35" s="259"/>
    </row>
    <row r="36" spans="1:40" ht="20.100000000000001" customHeight="1" x14ac:dyDescent="0.25">
      <c r="A36" s="18"/>
      <c r="B36" s="18"/>
      <c r="C36" s="18"/>
      <c r="D36" s="7"/>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35.1" customHeight="1" x14ac:dyDescent="0.25">
      <c r="A37" s="18"/>
      <c r="B37" s="18"/>
      <c r="C37" s="18"/>
      <c r="D37" s="7"/>
      <c r="E37" s="2"/>
      <c r="F37" s="2"/>
      <c r="G37" s="2"/>
      <c r="H37" s="2"/>
      <c r="I37" s="2"/>
      <c r="J37" s="2"/>
      <c r="K37" s="2"/>
      <c r="L37" s="2"/>
      <c r="M37" s="2"/>
      <c r="N37" s="2"/>
      <c r="O37" s="2"/>
      <c r="P37" s="2"/>
      <c r="Q37" s="2"/>
      <c r="R37" s="1008" t="s">
        <v>5966</v>
      </c>
      <c r="S37" s="1009"/>
      <c r="T37" s="1009"/>
      <c r="U37" s="1009"/>
      <c r="V37" s="1009"/>
      <c r="W37" s="1009"/>
      <c r="X37" s="1009"/>
      <c r="Y37" s="1010"/>
      <c r="AA37" s="1008" t="s">
        <v>5967</v>
      </c>
      <c r="AB37" s="1009"/>
      <c r="AC37" s="1009"/>
      <c r="AD37" s="1009"/>
      <c r="AE37" s="1009"/>
      <c r="AF37" s="1009"/>
      <c r="AG37" s="1009"/>
      <c r="AH37" s="1010"/>
      <c r="AI37" s="2"/>
      <c r="AJ37" s="2"/>
      <c r="AK37" s="2"/>
      <c r="AL37" s="2"/>
      <c r="AM37" s="2"/>
      <c r="AN37" s="2"/>
    </row>
    <row r="38" spans="1:40" ht="30" customHeight="1" x14ac:dyDescent="0.25">
      <c r="A38" s="18"/>
      <c r="B38" s="18"/>
      <c r="C38" s="18"/>
      <c r="D38" s="7"/>
      <c r="E38" s="2"/>
      <c r="F38" s="232"/>
      <c r="G38" s="233"/>
      <c r="H38" s="233"/>
      <c r="I38" s="233"/>
      <c r="J38" s="233"/>
      <c r="K38" s="233"/>
      <c r="L38" s="233"/>
      <c r="M38" s="199"/>
      <c r="N38" s="1009" t="s">
        <v>139</v>
      </c>
      <c r="O38" s="1010"/>
      <c r="P38" s="1008" t="s">
        <v>35</v>
      </c>
      <c r="Q38" s="1010"/>
      <c r="R38" s="1008" t="s">
        <v>335</v>
      </c>
      <c r="S38" s="1010"/>
      <c r="T38" s="1008" t="s">
        <v>336</v>
      </c>
      <c r="U38" s="1010"/>
      <c r="V38" s="1008" t="s">
        <v>337</v>
      </c>
      <c r="W38" s="1010"/>
      <c r="X38" s="1008" t="s">
        <v>338</v>
      </c>
      <c r="Y38" s="1010"/>
      <c r="AA38" s="1008" t="s">
        <v>335</v>
      </c>
      <c r="AB38" s="1010"/>
      <c r="AC38" s="1008" t="s">
        <v>336</v>
      </c>
      <c r="AD38" s="1010"/>
      <c r="AE38" s="1008" t="s">
        <v>337</v>
      </c>
      <c r="AF38" s="1010"/>
      <c r="AG38" s="1008" t="s">
        <v>338</v>
      </c>
      <c r="AH38" s="1010"/>
      <c r="AI38" s="2"/>
      <c r="AJ38" s="2"/>
      <c r="AK38" s="2"/>
      <c r="AL38" s="2"/>
      <c r="AM38" s="2"/>
    </row>
    <row r="39" spans="1:40" ht="20.100000000000001" customHeight="1" x14ac:dyDescent="0.25">
      <c r="A39" s="18"/>
      <c r="B39" s="18"/>
      <c r="C39" s="18"/>
      <c r="D39" s="7"/>
      <c r="E39" s="2"/>
      <c r="F39" s="234"/>
      <c r="G39" s="184"/>
      <c r="H39" s="184"/>
      <c r="I39" s="184"/>
      <c r="J39" s="184"/>
      <c r="K39" s="184"/>
      <c r="L39" s="184"/>
      <c r="M39" s="254"/>
      <c r="N39" s="1344">
        <v>1</v>
      </c>
      <c r="O39" s="1344"/>
      <c r="P39" s="1259"/>
      <c r="Q39" s="1261"/>
      <c r="R39" s="1339"/>
      <c r="S39" s="1291"/>
      <c r="T39" s="1339"/>
      <c r="U39" s="1291"/>
      <c r="V39" s="1339"/>
      <c r="W39" s="1291"/>
      <c r="X39" s="1339"/>
      <c r="Y39" s="1291"/>
      <c r="Z39" s="127" t="s">
        <v>5968</v>
      </c>
      <c r="AA39" s="1339"/>
      <c r="AB39" s="1291"/>
      <c r="AC39" s="1339"/>
      <c r="AD39" s="1291"/>
      <c r="AE39" s="1339"/>
      <c r="AF39" s="1291"/>
      <c r="AG39" s="1339"/>
      <c r="AH39" s="1291"/>
      <c r="AI39" s="2"/>
      <c r="AJ39" s="2"/>
      <c r="AK39" s="2"/>
      <c r="AL39" s="2"/>
      <c r="AM39" s="2"/>
      <c r="AN39" s="2"/>
    </row>
    <row r="40" spans="1:40" ht="20.100000000000001" customHeight="1" x14ac:dyDescent="0.25">
      <c r="A40" s="18"/>
      <c r="B40" s="18"/>
      <c r="C40" s="18"/>
      <c r="D40" s="7"/>
      <c r="E40" s="2"/>
      <c r="F40" s="1195" t="s">
        <v>333</v>
      </c>
      <c r="G40" s="1084"/>
      <c r="H40" s="1084"/>
      <c r="I40" s="1084"/>
      <c r="J40" s="1084"/>
      <c r="K40" s="1084"/>
      <c r="L40" s="1084"/>
      <c r="M40" s="191" t="s">
        <v>186</v>
      </c>
      <c r="N40" s="1344">
        <v>2</v>
      </c>
      <c r="O40" s="1344"/>
      <c r="P40" s="1259"/>
      <c r="Q40" s="1261"/>
      <c r="R40" s="1339"/>
      <c r="S40" s="1291"/>
      <c r="T40" s="1339"/>
      <c r="U40" s="1291"/>
      <c r="V40" s="1339"/>
      <c r="W40" s="1291"/>
      <c r="X40" s="1339"/>
      <c r="Y40" s="1291"/>
      <c r="Z40" s="127" t="s">
        <v>5968</v>
      </c>
      <c r="AA40" s="1339"/>
      <c r="AB40" s="1291"/>
      <c r="AC40" s="1339"/>
      <c r="AD40" s="1291"/>
      <c r="AE40" s="1339"/>
      <c r="AF40" s="1291"/>
      <c r="AG40" s="1339"/>
      <c r="AH40" s="1291"/>
      <c r="AI40" s="2"/>
      <c r="AJ40" s="2"/>
      <c r="AK40" s="2"/>
      <c r="AL40" s="2"/>
      <c r="AM40" s="2"/>
      <c r="AN40" s="2"/>
    </row>
    <row r="41" spans="1:40" ht="20.100000000000001" customHeight="1" x14ac:dyDescent="0.25">
      <c r="A41" s="18"/>
      <c r="B41" s="18"/>
      <c r="C41" s="18"/>
      <c r="D41" s="7"/>
      <c r="E41" s="2"/>
      <c r="F41" s="234"/>
      <c r="G41" s="184"/>
      <c r="H41" s="184"/>
      <c r="I41" s="184"/>
      <c r="J41" s="184"/>
      <c r="K41" s="184"/>
      <c r="L41" s="184"/>
      <c r="M41" s="254"/>
      <c r="N41" s="1344">
        <v>3</v>
      </c>
      <c r="O41" s="1344"/>
      <c r="P41" s="1259"/>
      <c r="Q41" s="1261"/>
      <c r="R41" s="1339"/>
      <c r="S41" s="1291"/>
      <c r="T41" s="1339"/>
      <c r="U41" s="1291"/>
      <c r="V41" s="1339"/>
      <c r="W41" s="1291"/>
      <c r="X41" s="1339"/>
      <c r="Y41" s="1291"/>
      <c r="Z41" s="127" t="s">
        <v>5968</v>
      </c>
      <c r="AA41" s="1339"/>
      <c r="AB41" s="1291"/>
      <c r="AC41" s="1339"/>
      <c r="AD41" s="1291"/>
      <c r="AE41" s="1339"/>
      <c r="AF41" s="1291"/>
      <c r="AG41" s="1339"/>
      <c r="AH41" s="1291"/>
      <c r="AI41" s="2"/>
      <c r="AJ41" s="2"/>
      <c r="AK41" s="2"/>
      <c r="AL41" s="2"/>
      <c r="AM41" s="2"/>
      <c r="AN41" s="2"/>
    </row>
    <row r="42" spans="1:40" ht="20.100000000000001" customHeight="1" x14ac:dyDescent="0.25">
      <c r="A42" s="18"/>
      <c r="B42" s="18"/>
      <c r="C42" s="18"/>
      <c r="D42" s="7"/>
      <c r="E42" s="2"/>
      <c r="F42" s="222"/>
      <c r="G42" s="2"/>
      <c r="H42" s="2"/>
      <c r="I42" s="2"/>
      <c r="J42" s="2"/>
      <c r="K42" s="2"/>
      <c r="L42" s="2"/>
      <c r="M42" s="254"/>
      <c r="N42" s="1344">
        <v>4</v>
      </c>
      <c r="O42" s="1344"/>
      <c r="P42" s="1259"/>
      <c r="Q42" s="1261"/>
      <c r="R42" s="1339"/>
      <c r="S42" s="1291"/>
      <c r="T42" s="1339"/>
      <c r="U42" s="1291"/>
      <c r="V42" s="1339"/>
      <c r="W42" s="1291"/>
      <c r="X42" s="1339"/>
      <c r="Y42" s="1291"/>
      <c r="Z42" s="127" t="s">
        <v>5968</v>
      </c>
      <c r="AA42" s="1339"/>
      <c r="AB42" s="1291"/>
      <c r="AC42" s="1339"/>
      <c r="AD42" s="1291"/>
      <c r="AE42" s="1339"/>
      <c r="AF42" s="1291"/>
      <c r="AG42" s="1339"/>
      <c r="AH42" s="1291"/>
      <c r="AI42" s="2"/>
      <c r="AJ42" s="2"/>
      <c r="AK42" s="2"/>
      <c r="AL42" s="2"/>
      <c r="AM42" s="2"/>
      <c r="AN42" s="2"/>
    </row>
    <row r="43" spans="1:40" ht="20.100000000000001" customHeight="1" x14ac:dyDescent="0.25">
      <c r="A43" s="18"/>
      <c r="B43" s="18"/>
      <c r="C43" s="18"/>
      <c r="D43" s="7"/>
      <c r="E43" s="2"/>
      <c r="F43" s="236"/>
      <c r="G43" s="237"/>
      <c r="H43" s="237"/>
      <c r="I43" s="237"/>
      <c r="J43" s="237"/>
      <c r="K43" s="237"/>
      <c r="L43" s="237"/>
      <c r="M43" s="202"/>
      <c r="N43" s="1344">
        <v>5</v>
      </c>
      <c r="O43" s="1344"/>
      <c r="P43" s="1259"/>
      <c r="Q43" s="1261"/>
      <c r="R43" s="1339"/>
      <c r="S43" s="1291"/>
      <c r="T43" s="1339"/>
      <c r="U43" s="1291"/>
      <c r="V43" s="1339"/>
      <c r="W43" s="1291"/>
      <c r="X43" s="1339"/>
      <c r="Y43" s="1291"/>
      <c r="Z43" s="127" t="s">
        <v>5968</v>
      </c>
      <c r="AA43" s="1339"/>
      <c r="AB43" s="1291"/>
      <c r="AC43" s="1339"/>
      <c r="AD43" s="1291"/>
      <c r="AE43" s="1339"/>
      <c r="AF43" s="1291"/>
      <c r="AG43" s="1339"/>
      <c r="AH43" s="1291"/>
      <c r="AI43" s="2"/>
      <c r="AJ43" s="2"/>
      <c r="AK43" s="2"/>
      <c r="AL43" s="2"/>
      <c r="AM43" s="2"/>
      <c r="AN43" s="2"/>
    </row>
    <row r="44" spans="1:40" ht="20.100000000000001" customHeight="1" x14ac:dyDescent="0.25">
      <c r="A44" s="18"/>
      <c r="B44" s="18"/>
      <c r="C44" s="18"/>
      <c r="D44" s="7"/>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50.1" customHeight="1" x14ac:dyDescent="0.25">
      <c r="A45" s="18"/>
      <c r="B45" s="18"/>
      <c r="C45" s="18"/>
      <c r="D45" s="7"/>
      <c r="E45" s="2"/>
      <c r="F45" s="1149" t="s">
        <v>395</v>
      </c>
      <c r="G45" s="1094"/>
      <c r="H45" s="1094"/>
      <c r="I45" s="1094"/>
      <c r="J45" s="1094"/>
      <c r="K45" s="1094"/>
      <c r="L45" s="1104"/>
      <c r="M45" s="148" t="s">
        <v>186</v>
      </c>
      <c r="N45" s="1032"/>
      <c r="O45" s="1033"/>
      <c r="P45" s="1033"/>
      <c r="Q45" s="1033"/>
      <c r="R45" s="1033"/>
      <c r="S45" s="1033"/>
      <c r="T45" s="1033"/>
      <c r="U45" s="1033"/>
      <c r="V45" s="1033"/>
      <c r="W45" s="1033"/>
      <c r="X45" s="1033"/>
      <c r="Y45" s="1033"/>
      <c r="Z45" s="1033"/>
      <c r="AA45" s="1033"/>
      <c r="AB45" s="1033"/>
      <c r="AC45" s="1033"/>
      <c r="AD45" s="1033"/>
      <c r="AE45" s="1033"/>
      <c r="AF45" s="1033"/>
      <c r="AG45" s="1033"/>
      <c r="AH45" s="1033"/>
      <c r="AI45" s="1033"/>
      <c r="AJ45" s="1033"/>
      <c r="AK45" s="1033"/>
      <c r="AL45" s="1033"/>
      <c r="AM45" s="1034"/>
      <c r="AN45" s="49"/>
    </row>
    <row r="46" spans="1:40" ht="15" customHeight="1" x14ac:dyDescent="0.25">
      <c r="A46" s="18"/>
      <c r="B46" s="18"/>
      <c r="C46" s="18"/>
      <c r="D46" s="7"/>
      <c r="E46" s="2"/>
      <c r="F46" s="2"/>
      <c r="G46" s="2"/>
      <c r="H46" s="2"/>
      <c r="I46" s="2"/>
      <c r="J46" s="2"/>
      <c r="K46" s="2"/>
      <c r="L46" s="2"/>
      <c r="M46" s="2"/>
      <c r="N46" s="2"/>
      <c r="O46" s="2"/>
      <c r="P46" s="2"/>
      <c r="Q46" s="2"/>
      <c r="R46" s="2"/>
      <c r="S46" s="2"/>
      <c r="T46" s="2"/>
      <c r="U46" s="2"/>
      <c r="V46" s="249" t="str">
        <f>IF(M45="Não","Escreva acima a justivativa por não ter sido conduzido o teste de confiabilidade","")</f>
        <v/>
      </c>
      <c r="W46" s="2"/>
      <c r="X46" s="2"/>
      <c r="Y46" s="2"/>
      <c r="Z46" s="2"/>
      <c r="AA46" s="2"/>
      <c r="AB46" s="2"/>
      <c r="AC46" s="2"/>
      <c r="AD46" s="2"/>
      <c r="AE46" s="2"/>
      <c r="AF46" s="2"/>
      <c r="AG46" s="2"/>
      <c r="AH46" s="2"/>
      <c r="AI46" s="2"/>
      <c r="AJ46" s="2"/>
      <c r="AK46" s="2"/>
      <c r="AL46" s="2"/>
      <c r="AM46" s="2"/>
      <c r="AN46" s="2"/>
    </row>
    <row r="47" spans="1:40" ht="24.95" customHeight="1" x14ac:dyDescent="0.25">
      <c r="A47" s="18"/>
      <c r="B47" s="18"/>
      <c r="C47" s="18"/>
      <c r="D47" s="7"/>
      <c r="E47" s="2"/>
      <c r="F47" s="2"/>
      <c r="G47" s="2"/>
      <c r="H47" s="2"/>
      <c r="I47" s="2"/>
      <c r="J47" s="2"/>
      <c r="K47" s="2"/>
      <c r="L47" s="2"/>
      <c r="M47" s="2"/>
      <c r="N47" s="1241" t="s">
        <v>196</v>
      </c>
      <c r="O47" s="1241"/>
      <c r="P47" s="1241"/>
      <c r="Q47" s="1241"/>
      <c r="R47" s="1241"/>
      <c r="S47" s="1241" t="s">
        <v>197</v>
      </c>
      <c r="T47" s="1241"/>
      <c r="U47" s="1241"/>
      <c r="V47" s="1241"/>
      <c r="W47" s="1241"/>
      <c r="X47" s="2"/>
      <c r="Y47" s="2"/>
      <c r="Z47" s="2"/>
      <c r="AA47" s="2"/>
      <c r="AB47" s="2"/>
      <c r="AC47" s="2"/>
      <c r="AD47" s="2"/>
      <c r="AE47" s="2"/>
      <c r="AF47" s="2"/>
      <c r="AG47" s="2"/>
      <c r="AH47" s="2"/>
      <c r="AI47" s="2"/>
      <c r="AJ47" s="2"/>
      <c r="AK47" s="2"/>
      <c r="AL47" s="2"/>
      <c r="AM47" s="2"/>
      <c r="AN47" s="2"/>
    </row>
    <row r="48" spans="1:40" ht="24.95" customHeight="1" x14ac:dyDescent="0.25">
      <c r="A48" s="18"/>
      <c r="B48" s="18"/>
      <c r="C48" s="18"/>
      <c r="D48" s="7"/>
      <c r="E48" s="2"/>
      <c r="F48" s="1149" t="s">
        <v>7073</v>
      </c>
      <c r="G48" s="1094"/>
      <c r="H48" s="1094"/>
      <c r="I48" s="1094"/>
      <c r="J48" s="1094"/>
      <c r="K48" s="1094"/>
      <c r="L48" s="1104"/>
      <c r="M48" s="148" t="s">
        <v>186</v>
      </c>
      <c r="N48" s="1292"/>
      <c r="O48" s="1292"/>
      <c r="P48" s="1292"/>
      <c r="Q48" s="1292"/>
      <c r="R48" s="1292"/>
      <c r="S48" s="1292"/>
      <c r="T48" s="1292"/>
      <c r="U48" s="1292"/>
      <c r="V48" s="1292"/>
      <c r="W48" s="1292"/>
      <c r="X48" s="2"/>
      <c r="Y48" s="2"/>
      <c r="Z48" s="2"/>
      <c r="AA48" s="2"/>
      <c r="AB48" s="2"/>
      <c r="AC48" s="2"/>
      <c r="AD48" s="2"/>
      <c r="AE48" s="2"/>
      <c r="AF48" s="2"/>
      <c r="AG48" s="2"/>
      <c r="AH48" s="2"/>
      <c r="AI48" s="2"/>
      <c r="AJ48" s="2"/>
      <c r="AK48" s="2"/>
      <c r="AL48" s="2"/>
      <c r="AM48" s="2"/>
      <c r="AN48" s="2"/>
    </row>
    <row r="49" spans="1:40" ht="24.95" customHeight="1" x14ac:dyDescent="0.25">
      <c r="A49" s="18"/>
      <c r="B49" s="18"/>
      <c r="C49" s="18"/>
      <c r="D49" s="7"/>
      <c r="E49" s="2"/>
      <c r="F49" s="1149" t="s">
        <v>7074</v>
      </c>
      <c r="G49" s="1094"/>
      <c r="H49" s="1094"/>
      <c r="I49" s="1094"/>
      <c r="J49" s="1094"/>
      <c r="K49" s="1094"/>
      <c r="L49" s="1104"/>
      <c r="M49" s="276" t="s">
        <v>186</v>
      </c>
      <c r="N49" s="1352" t="s">
        <v>5968</v>
      </c>
      <c r="O49" s="1352"/>
      <c r="P49" s="1352"/>
      <c r="Q49" s="1352"/>
      <c r="R49" s="1352"/>
      <c r="S49" s="1351"/>
      <c r="T49" s="1351"/>
      <c r="U49" s="1351"/>
      <c r="V49" s="1351"/>
      <c r="W49" s="1351"/>
      <c r="X49" s="2"/>
      <c r="Y49" s="2"/>
      <c r="Z49" s="2"/>
      <c r="AA49" s="2"/>
      <c r="AB49" s="2"/>
      <c r="AC49" s="2"/>
      <c r="AD49" s="2"/>
      <c r="AE49" s="2"/>
      <c r="AF49" s="2"/>
      <c r="AG49" s="2"/>
      <c r="AH49" s="2"/>
      <c r="AI49" s="2"/>
      <c r="AJ49" s="2"/>
      <c r="AK49" s="2"/>
      <c r="AL49" s="2"/>
      <c r="AM49" s="2"/>
      <c r="AN49" s="2"/>
    </row>
    <row r="50" spans="1:40" ht="15" customHeight="1" x14ac:dyDescent="0.25">
      <c r="A50" s="18"/>
      <c r="B50" s="18"/>
      <c r="C50" s="18"/>
      <c r="D50" s="7"/>
      <c r="E50" s="2"/>
      <c r="F50" s="2"/>
      <c r="G50" s="2"/>
      <c r="H50" s="2"/>
      <c r="I50" s="2"/>
      <c r="J50" s="2"/>
      <c r="K50" s="2"/>
      <c r="L50" s="2"/>
      <c r="M50" s="2"/>
      <c r="N50" s="2"/>
      <c r="O50" s="2"/>
      <c r="P50" s="2"/>
      <c r="Q50" s="2"/>
      <c r="R50" s="2"/>
      <c r="S50" s="2"/>
      <c r="T50" s="2"/>
      <c r="U50" s="2"/>
      <c r="V50" s="249"/>
      <c r="W50" s="2"/>
      <c r="X50" s="2"/>
      <c r="Y50" s="2"/>
      <c r="Z50" s="2"/>
      <c r="AA50" s="2"/>
      <c r="AB50" s="2"/>
      <c r="AC50" s="2"/>
      <c r="AD50" s="2"/>
      <c r="AE50" s="2"/>
      <c r="AF50" s="2"/>
      <c r="AG50" s="2"/>
      <c r="AH50" s="2"/>
      <c r="AI50" s="2"/>
      <c r="AJ50" s="2"/>
      <c r="AK50" s="2"/>
      <c r="AL50" s="2"/>
      <c r="AM50" s="2"/>
      <c r="AN50" s="2"/>
    </row>
    <row r="51" spans="1:40" ht="20.100000000000001" customHeight="1" x14ac:dyDescent="0.25">
      <c r="A51" s="18"/>
      <c r="B51" s="18"/>
      <c r="C51" s="18"/>
      <c r="D51" s="7"/>
      <c r="E51" s="7"/>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ht="15" customHeight="1" x14ac:dyDescent="0.25">
      <c r="A52" s="18"/>
      <c r="B52" s="18"/>
      <c r="C52" s="18"/>
      <c r="D52" s="7"/>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ht="15" customHeight="1" x14ac:dyDescent="0.25">
      <c r="A53" s="18"/>
      <c r="B53" s="18"/>
      <c r="C53" s="18"/>
      <c r="D53" s="7"/>
      <c r="E53" s="2"/>
      <c r="F53" s="2"/>
      <c r="G53" s="244"/>
      <c r="H53" s="244"/>
      <c r="I53" s="244"/>
      <c r="J53" s="244"/>
      <c r="K53" s="244"/>
      <c r="L53" s="244"/>
      <c r="M53" s="244"/>
      <c r="N53" s="244"/>
      <c r="O53" s="244"/>
      <c r="P53" s="244"/>
      <c r="Q53" s="244"/>
      <c r="R53" s="245" t="s">
        <v>77</v>
      </c>
      <c r="S53" s="244"/>
      <c r="T53" s="244"/>
      <c r="U53" s="244"/>
      <c r="V53" s="244"/>
      <c r="W53" s="244"/>
      <c r="X53" s="244"/>
      <c r="Y53" s="244"/>
      <c r="Z53" s="244"/>
      <c r="AA53" s="244"/>
      <c r="AB53" s="244"/>
      <c r="AC53" s="244"/>
      <c r="AD53" s="244"/>
      <c r="AE53" s="244"/>
      <c r="AF53" s="244"/>
      <c r="AG53" s="244"/>
      <c r="AH53" s="244"/>
      <c r="AI53" s="244"/>
      <c r="AJ53" s="244"/>
      <c r="AK53" s="244"/>
      <c r="AL53" s="244"/>
      <c r="AM53" s="244"/>
      <c r="AN53" s="260"/>
    </row>
    <row r="54" spans="1:40" ht="15" customHeight="1" x14ac:dyDescent="0.25">
      <c r="A54" s="18"/>
      <c r="B54" s="18"/>
      <c r="C54" s="18"/>
      <c r="D54" s="7"/>
      <c r="E54" s="2"/>
      <c r="F54" s="2"/>
      <c r="G54" s="259"/>
      <c r="H54" s="259"/>
      <c r="I54" s="259"/>
      <c r="J54" s="259"/>
      <c r="K54" s="259"/>
      <c r="L54" s="259"/>
      <c r="M54" s="259"/>
      <c r="N54" s="259"/>
      <c r="O54" s="259"/>
      <c r="P54" s="259"/>
      <c r="Q54" s="259"/>
      <c r="R54" s="259"/>
      <c r="S54" s="259"/>
      <c r="T54" s="260"/>
      <c r="U54" s="260"/>
      <c r="V54" s="260"/>
      <c r="W54" s="260"/>
      <c r="X54" s="260"/>
      <c r="Y54" s="260"/>
      <c r="Z54" s="260"/>
      <c r="AA54" s="260"/>
      <c r="AB54" s="260"/>
      <c r="AC54" s="260"/>
      <c r="AD54" s="260"/>
      <c r="AE54" s="260"/>
      <c r="AF54" s="260"/>
      <c r="AG54" s="260"/>
      <c r="AH54" s="260"/>
      <c r="AI54" s="260"/>
      <c r="AJ54" s="260"/>
      <c r="AK54" s="260"/>
      <c r="AL54" s="260"/>
      <c r="AM54" s="260"/>
      <c r="AN54" s="260"/>
    </row>
    <row r="55" spans="1:40" ht="30" customHeight="1" x14ac:dyDescent="0.25">
      <c r="A55" s="18"/>
      <c r="B55" s="18"/>
      <c r="C55" s="18"/>
      <c r="D55" s="7"/>
      <c r="E55" s="2"/>
      <c r="F55" s="1149" t="s">
        <v>256</v>
      </c>
      <c r="G55" s="1094"/>
      <c r="H55" s="1094"/>
      <c r="I55" s="1094"/>
      <c r="J55" s="1094"/>
      <c r="K55" s="1094"/>
      <c r="L55" s="1104"/>
      <c r="M55" s="148" t="s">
        <v>186</v>
      </c>
      <c r="N55" s="1134"/>
      <c r="O55" s="1156"/>
      <c r="P55" s="1156"/>
      <c r="Q55" s="1156"/>
      <c r="R55" s="1156"/>
      <c r="S55" s="1135"/>
      <c r="T55" s="2"/>
      <c r="U55" s="2"/>
      <c r="V55" s="2"/>
      <c r="W55" s="2"/>
      <c r="X55" s="2"/>
      <c r="Y55" s="2"/>
      <c r="Z55" s="2"/>
      <c r="AA55" s="2"/>
      <c r="AB55" s="2"/>
      <c r="AC55" s="2"/>
      <c r="AD55" s="2"/>
      <c r="AE55" s="2"/>
      <c r="AF55" s="2"/>
      <c r="AG55" s="2"/>
      <c r="AH55" s="2"/>
      <c r="AI55" s="2"/>
      <c r="AJ55" s="2"/>
      <c r="AK55" s="2"/>
      <c r="AL55" s="2"/>
      <c r="AM55" s="2"/>
      <c r="AN55" s="2"/>
    </row>
    <row r="56" spans="1:40" ht="30" customHeight="1" x14ac:dyDescent="0.25">
      <c r="A56" s="18"/>
      <c r="B56" s="18"/>
      <c r="C56" s="18"/>
      <c r="D56" s="7"/>
      <c r="E56" s="2"/>
      <c r="F56" s="1149" t="s">
        <v>396</v>
      </c>
      <c r="G56" s="1094"/>
      <c r="H56" s="1094"/>
      <c r="I56" s="1094"/>
      <c r="J56" s="1094"/>
      <c r="K56" s="1094"/>
      <c r="L56" s="1104"/>
      <c r="M56" s="148" t="s">
        <v>186</v>
      </c>
      <c r="N56" s="1134"/>
      <c r="O56" s="1156"/>
      <c r="P56" s="1156"/>
      <c r="Q56" s="1156"/>
      <c r="R56" s="1156"/>
      <c r="S56" s="1135"/>
      <c r="T56" s="2"/>
      <c r="U56" s="2"/>
      <c r="V56" s="2"/>
      <c r="W56" s="2"/>
      <c r="X56" s="2"/>
      <c r="Y56" s="2"/>
      <c r="Z56" s="2"/>
      <c r="AA56" s="2"/>
      <c r="AB56" s="2"/>
      <c r="AC56" s="2"/>
      <c r="AD56" s="2"/>
      <c r="AE56" s="2"/>
      <c r="AF56" s="2"/>
      <c r="AG56" s="2"/>
      <c r="AH56" s="2"/>
      <c r="AI56" s="2"/>
      <c r="AJ56" s="2"/>
      <c r="AK56" s="2"/>
      <c r="AL56" s="2"/>
      <c r="AM56" s="2"/>
      <c r="AN56" s="2"/>
    </row>
    <row r="57" spans="1:40" ht="15" customHeight="1" x14ac:dyDescent="0.25">
      <c r="A57" s="18"/>
      <c r="B57" s="18"/>
      <c r="C57" s="18"/>
      <c r="D57" s="7"/>
      <c r="E57" s="2"/>
      <c r="F57" s="117"/>
      <c r="G57" s="117"/>
      <c r="H57" s="117"/>
      <c r="I57" s="117"/>
      <c r="J57" s="117"/>
      <c r="K57" s="117"/>
      <c r="L57" s="117"/>
      <c r="M57" s="241"/>
      <c r="N57" s="268"/>
      <c r="O57" s="268"/>
      <c r="P57" s="268"/>
      <c r="Q57" s="268"/>
      <c r="R57" s="268"/>
      <c r="S57" s="268"/>
      <c r="T57" s="2"/>
      <c r="U57" s="2"/>
      <c r="V57" s="2"/>
      <c r="W57" s="2"/>
      <c r="X57" s="2"/>
      <c r="Y57" s="2"/>
      <c r="Z57" s="2"/>
      <c r="AA57" s="2"/>
      <c r="AB57" s="2"/>
      <c r="AC57" s="2"/>
      <c r="AD57" s="2"/>
      <c r="AE57" s="2"/>
      <c r="AF57" s="2"/>
      <c r="AG57" s="2"/>
      <c r="AH57" s="2"/>
      <c r="AI57" s="2"/>
      <c r="AJ57" s="2"/>
      <c r="AK57" s="2"/>
      <c r="AL57" s="2"/>
      <c r="AM57" s="2"/>
      <c r="AN57" s="2"/>
    </row>
    <row r="58" spans="1:40" ht="20.100000000000001" customHeight="1" x14ac:dyDescent="0.25">
      <c r="A58" s="18"/>
      <c r="B58" s="18"/>
      <c r="C58" s="18"/>
      <c r="D58" s="7"/>
      <c r="E58" s="7"/>
      <c r="F58" s="269"/>
      <c r="G58" s="269"/>
      <c r="H58" s="269"/>
      <c r="I58" s="269"/>
      <c r="J58" s="269"/>
      <c r="K58" s="269"/>
      <c r="L58" s="269"/>
      <c r="M58" s="270"/>
      <c r="N58" s="271"/>
      <c r="O58" s="271"/>
      <c r="P58" s="271"/>
      <c r="Q58" s="271"/>
      <c r="R58" s="271"/>
      <c r="S58" s="271"/>
      <c r="T58" s="7"/>
      <c r="U58" s="7"/>
      <c r="V58" s="7"/>
      <c r="W58" s="7"/>
      <c r="X58" s="7"/>
      <c r="Y58" s="7"/>
      <c r="Z58" s="7"/>
      <c r="AA58" s="7"/>
      <c r="AB58" s="7"/>
      <c r="AC58" s="7"/>
      <c r="AD58" s="7"/>
      <c r="AE58" s="7"/>
      <c r="AF58" s="7"/>
      <c r="AG58" s="7"/>
      <c r="AH58" s="7"/>
      <c r="AI58" s="7"/>
      <c r="AJ58" s="7"/>
      <c r="AK58" s="7"/>
      <c r="AL58" s="7"/>
      <c r="AM58" s="7"/>
      <c r="AN58" s="7"/>
    </row>
    <row r="59" spans="1:40" ht="15" customHeight="1" x14ac:dyDescent="0.25">
      <c r="A59" s="18"/>
      <c r="B59" s="18"/>
      <c r="C59" s="18"/>
      <c r="D59" s="7"/>
      <c r="E59" s="2"/>
      <c r="F59" s="117"/>
      <c r="G59" s="117"/>
      <c r="H59" s="117"/>
      <c r="I59" s="117"/>
      <c r="J59" s="117"/>
      <c r="K59" s="117"/>
      <c r="L59" s="117"/>
      <c r="M59" s="241"/>
      <c r="N59" s="268"/>
      <c r="O59" s="268"/>
      <c r="P59" s="268"/>
      <c r="Q59" s="268"/>
      <c r="R59" s="268"/>
      <c r="S59" s="268"/>
      <c r="T59" s="2"/>
      <c r="U59" s="2"/>
      <c r="V59" s="2"/>
      <c r="W59" s="2"/>
      <c r="X59" s="2"/>
      <c r="Y59" s="2"/>
      <c r="Z59" s="2"/>
      <c r="AA59" s="2"/>
      <c r="AB59" s="2"/>
      <c r="AC59" s="2"/>
      <c r="AD59" s="2"/>
      <c r="AE59" s="2"/>
      <c r="AF59" s="2"/>
      <c r="AG59" s="2"/>
      <c r="AH59" s="2"/>
      <c r="AI59" s="2"/>
      <c r="AJ59" s="2"/>
      <c r="AK59" s="2"/>
      <c r="AL59" s="2"/>
      <c r="AM59" s="2"/>
      <c r="AN59" s="2"/>
    </row>
    <row r="60" spans="1:40" ht="20.100000000000001" customHeight="1" x14ac:dyDescent="0.25">
      <c r="A60" s="18"/>
      <c r="B60" s="18"/>
      <c r="C60" s="18"/>
      <c r="D60" s="7"/>
      <c r="E60" s="2"/>
      <c r="F60" s="118"/>
      <c r="G60" s="118"/>
      <c r="H60" s="118"/>
      <c r="I60" s="118"/>
      <c r="J60" s="118"/>
      <c r="K60" s="118"/>
      <c r="L60" s="118"/>
      <c r="M60" s="272"/>
      <c r="N60" s="273"/>
      <c r="O60" s="273"/>
      <c r="P60" s="273"/>
      <c r="Q60" s="273"/>
      <c r="R60" s="245" t="s">
        <v>329</v>
      </c>
      <c r="S60" s="244"/>
      <c r="T60" s="266"/>
      <c r="U60" s="244"/>
      <c r="V60" s="244"/>
      <c r="W60" s="244"/>
      <c r="X60" s="209"/>
      <c r="Y60" s="209"/>
      <c r="Z60" s="209"/>
      <c r="AA60" s="209"/>
      <c r="AB60" s="209"/>
      <c r="AC60" s="209"/>
      <c r="AD60" s="209"/>
      <c r="AE60" s="209"/>
      <c r="AF60" s="209"/>
      <c r="AG60" s="209"/>
      <c r="AH60" s="209"/>
      <c r="AI60" s="209"/>
      <c r="AJ60" s="209"/>
      <c r="AK60" s="209"/>
      <c r="AL60" s="209"/>
      <c r="AM60" s="209"/>
      <c r="AN60" s="209"/>
    </row>
    <row r="61" spans="1:40" ht="20.100000000000001" customHeight="1" x14ac:dyDescent="0.25">
      <c r="A61" s="18"/>
      <c r="B61" s="18"/>
      <c r="C61" s="18"/>
      <c r="D61" s="7"/>
      <c r="E61" s="2"/>
      <c r="F61" s="117"/>
      <c r="G61" s="117"/>
      <c r="H61" s="117"/>
      <c r="I61" s="117"/>
      <c r="J61" s="117"/>
      <c r="K61" s="117"/>
      <c r="L61" s="117"/>
      <c r="M61" s="241"/>
      <c r="N61" s="268"/>
      <c r="O61" s="268"/>
      <c r="P61" s="268"/>
      <c r="Q61" s="268"/>
      <c r="R61" s="268"/>
      <c r="S61" s="268"/>
      <c r="T61" s="2"/>
      <c r="U61" s="2"/>
      <c r="V61" s="2"/>
      <c r="W61" s="2"/>
      <c r="X61" s="2"/>
      <c r="Y61" s="2"/>
      <c r="Z61" s="2"/>
      <c r="AA61" s="2"/>
      <c r="AB61" s="2"/>
      <c r="AC61" s="2"/>
      <c r="AD61" s="1350" t="s">
        <v>5973</v>
      </c>
      <c r="AE61" s="1350"/>
      <c r="AF61" s="1350"/>
      <c r="AG61" s="1350"/>
      <c r="AH61" s="1350"/>
      <c r="AI61" s="1350"/>
      <c r="AJ61" s="1350"/>
      <c r="AK61" s="1350"/>
      <c r="AL61" s="2"/>
      <c r="AM61" s="2"/>
      <c r="AN61" s="2"/>
    </row>
    <row r="62" spans="1:40" ht="20.100000000000001" customHeight="1" x14ac:dyDescent="0.25">
      <c r="A62" s="18"/>
      <c r="B62" s="18"/>
      <c r="C62" s="18"/>
      <c r="D62" s="7"/>
      <c r="E62" s="2"/>
      <c r="F62" s="2"/>
      <c r="G62" s="2"/>
      <c r="H62" s="2"/>
      <c r="I62" s="2"/>
      <c r="J62" s="2"/>
      <c r="K62" s="2"/>
      <c r="L62" s="2"/>
      <c r="M62" s="2"/>
      <c r="N62" s="2"/>
      <c r="O62" s="2"/>
      <c r="P62" s="2"/>
      <c r="Q62" s="2"/>
      <c r="R62" s="1241" t="s">
        <v>196</v>
      </c>
      <c r="S62" s="1241"/>
      <c r="T62" s="1241"/>
      <c r="U62" s="1241"/>
      <c r="V62" s="1241" t="s">
        <v>197</v>
      </c>
      <c r="W62" s="1241"/>
      <c r="X62" s="1241"/>
      <c r="Y62" s="1241"/>
      <c r="Z62" s="2"/>
      <c r="AA62" s="2"/>
      <c r="AB62" s="216"/>
      <c r="AC62" s="216"/>
      <c r="AD62" s="103" t="str">
        <f>N47</f>
        <v>Injeção intradérmica</v>
      </c>
      <c r="AE62" s="94"/>
      <c r="AF62" s="94"/>
      <c r="AG62" s="94"/>
      <c r="AH62" s="94"/>
      <c r="AI62" s="103" t="str">
        <f>S47</f>
        <v>Aplicação tópica</v>
      </c>
      <c r="AJ62" s="94"/>
      <c r="AK62" s="94"/>
      <c r="AL62" s="2"/>
      <c r="AM62" s="2"/>
      <c r="AN62" s="2"/>
    </row>
    <row r="63" spans="1:40" ht="20.100000000000001" customHeight="1" x14ac:dyDescent="0.25">
      <c r="A63" s="18"/>
      <c r="B63" s="18"/>
      <c r="C63" s="18"/>
      <c r="D63" s="7"/>
      <c r="E63" s="2"/>
      <c r="F63" s="1193" t="s">
        <v>344</v>
      </c>
      <c r="G63" s="1194"/>
      <c r="H63" s="1194"/>
      <c r="I63" s="1194"/>
      <c r="J63" s="1194"/>
      <c r="K63" s="1194"/>
      <c r="L63" s="1264"/>
      <c r="M63" s="1345" t="s">
        <v>186</v>
      </c>
      <c r="N63" s="1286" t="s">
        <v>151</v>
      </c>
      <c r="O63" s="1286"/>
      <c r="P63" s="1286"/>
      <c r="Q63" s="1286"/>
      <c r="R63" s="1339"/>
      <c r="S63" s="1340"/>
      <c r="T63" s="1340"/>
      <c r="U63" s="1291"/>
      <c r="V63" s="1339"/>
      <c r="W63" s="1340"/>
      <c r="X63" s="1340"/>
      <c r="Y63" s="1291"/>
      <c r="Z63" s="2"/>
      <c r="AA63" s="2"/>
      <c r="AB63" s="2"/>
      <c r="AC63" s="2"/>
      <c r="AD63" s="1335" t="str" cm="1">
        <f t="array" aca="1" ref="AD63" ca="1">IF(INDIRECT("N48",1)="","-",INDIRECT("N48",1))</f>
        <v>-</v>
      </c>
      <c r="AE63" s="1335"/>
      <c r="AF63" s="1335"/>
      <c r="AG63" s="1335"/>
      <c r="AH63" s="94"/>
      <c r="AI63" s="1335" t="str" cm="1">
        <f t="array" aca="1" ref="AI63" ca="1">IF(INDIRECT("S48",1)="","-",INDIRECT("S48",1))</f>
        <v>-</v>
      </c>
      <c r="AJ63" s="1335"/>
      <c r="AK63" s="1335"/>
      <c r="AL63" s="2"/>
      <c r="AM63" s="2"/>
      <c r="AN63" s="274"/>
    </row>
    <row r="64" spans="1:40" ht="20.100000000000001" customHeight="1" x14ac:dyDescent="0.25">
      <c r="A64" s="18"/>
      <c r="B64" s="18"/>
      <c r="C64" s="18"/>
      <c r="D64" s="7"/>
      <c r="E64" s="2"/>
      <c r="F64" s="1196"/>
      <c r="G64" s="1121"/>
      <c r="H64" s="1121"/>
      <c r="I64" s="1121"/>
      <c r="J64" s="1121"/>
      <c r="K64" s="1121"/>
      <c r="L64" s="1353"/>
      <c r="M64" s="1346"/>
      <c r="N64" s="1286" t="s">
        <v>206</v>
      </c>
      <c r="O64" s="1286"/>
      <c r="P64" s="1286"/>
      <c r="Q64" s="1286"/>
      <c r="R64" s="1339"/>
      <c r="S64" s="1340"/>
      <c r="T64" s="1340"/>
      <c r="U64" s="1291"/>
      <c r="V64" s="1339"/>
      <c r="W64" s="1340"/>
      <c r="X64" s="1340"/>
      <c r="Y64" s="1291"/>
      <c r="Z64" s="2"/>
      <c r="AA64" s="2"/>
      <c r="AB64" s="2"/>
      <c r="AC64" s="2"/>
      <c r="AD64" s="2"/>
      <c r="AE64" s="2"/>
      <c r="AF64" s="2"/>
      <c r="AG64" s="2"/>
      <c r="AH64" s="2"/>
      <c r="AI64" s="2"/>
      <c r="AJ64" s="2"/>
      <c r="AK64" s="2"/>
      <c r="AL64" s="2"/>
      <c r="AM64" s="2"/>
      <c r="AN64" s="2"/>
    </row>
    <row r="65" spans="1:40" ht="20.100000000000001" customHeight="1" x14ac:dyDescent="0.25">
      <c r="A65" s="18"/>
      <c r="B65" s="18"/>
      <c r="C65" s="18"/>
      <c r="D65" s="7"/>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50.1" customHeight="1" x14ac:dyDescent="0.25">
      <c r="A66" s="18"/>
      <c r="B66" s="18"/>
      <c r="C66" s="18"/>
      <c r="D66" s="7"/>
      <c r="E66" s="2"/>
      <c r="F66" s="1149" t="s">
        <v>6035</v>
      </c>
      <c r="G66" s="1094"/>
      <c r="H66" s="1094"/>
      <c r="I66" s="1094"/>
      <c r="J66" s="1094"/>
      <c r="K66" s="1094"/>
      <c r="L66" s="1094"/>
      <c r="M66" s="148" t="s">
        <v>186</v>
      </c>
      <c r="N66" s="1032"/>
      <c r="O66" s="1033"/>
      <c r="P66" s="1033"/>
      <c r="Q66" s="1033"/>
      <c r="R66" s="1033"/>
      <c r="S66" s="1033"/>
      <c r="T66" s="1033"/>
      <c r="U66" s="1033"/>
      <c r="V66" s="1033"/>
      <c r="W66" s="1033"/>
      <c r="X66" s="1033"/>
      <c r="Y66" s="1033"/>
      <c r="Z66" s="1033"/>
      <c r="AA66" s="1033"/>
      <c r="AB66" s="1033"/>
      <c r="AC66" s="1033"/>
      <c r="AD66" s="1033"/>
      <c r="AE66" s="1033"/>
      <c r="AF66" s="1033"/>
      <c r="AG66" s="1033"/>
      <c r="AH66" s="1033"/>
      <c r="AI66" s="1033"/>
      <c r="AJ66" s="1033"/>
      <c r="AK66" s="1033"/>
      <c r="AL66" s="1033"/>
      <c r="AM66" s="1034"/>
      <c r="AN66" s="2"/>
    </row>
    <row r="67" spans="1:40" ht="50.1" customHeight="1" x14ac:dyDescent="0.25">
      <c r="A67" s="18"/>
      <c r="B67" s="18"/>
      <c r="C67" s="18"/>
      <c r="D67" s="7"/>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x14ac:dyDescent="0.25">
      <c r="A68" s="18"/>
      <c r="B68" s="18"/>
      <c r="C68" s="18"/>
      <c r="D68" s="7"/>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20.100000000000001" customHeight="1" x14ac:dyDescent="0.25">
      <c r="A69" s="18"/>
      <c r="B69" s="18"/>
      <c r="C69" s="18"/>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row>
    <row r="70" spans="1:40" ht="15" customHeight="1" x14ac:dyDescent="0.25">
      <c r="A70" s="18"/>
      <c r="B70" s="18"/>
      <c r="C70" s="18"/>
      <c r="D70" s="7"/>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20.100000000000001" customHeight="1" x14ac:dyDescent="0.25">
      <c r="A71" s="18"/>
      <c r="B71" s="18"/>
      <c r="C71" s="18"/>
      <c r="D71" s="7"/>
      <c r="E71" s="2"/>
      <c r="F71" s="118"/>
      <c r="G71" s="118"/>
      <c r="H71" s="118"/>
      <c r="I71" s="118"/>
      <c r="J71" s="118"/>
      <c r="K71" s="118"/>
      <c r="L71" s="118"/>
      <c r="M71" s="272"/>
      <c r="N71" s="273"/>
      <c r="O71" s="273"/>
      <c r="P71" s="273"/>
      <c r="Q71" s="273"/>
      <c r="R71" s="245" t="s">
        <v>330</v>
      </c>
      <c r="S71" s="244"/>
      <c r="T71" s="266"/>
      <c r="U71" s="244"/>
      <c r="V71" s="244"/>
      <c r="W71" s="244"/>
      <c r="X71" s="209"/>
      <c r="Y71" s="209"/>
      <c r="Z71" s="209"/>
      <c r="AA71" s="209"/>
      <c r="AB71" s="209"/>
      <c r="AC71" s="209"/>
      <c r="AD71" s="209"/>
      <c r="AE71" s="209"/>
      <c r="AF71" s="209"/>
      <c r="AG71" s="209"/>
      <c r="AH71" s="209"/>
      <c r="AI71" s="209"/>
      <c r="AJ71" s="209"/>
      <c r="AK71" s="209"/>
      <c r="AL71" s="209"/>
      <c r="AM71" s="209"/>
      <c r="AN71" s="209"/>
    </row>
    <row r="72" spans="1:40" ht="20.100000000000001" customHeight="1" x14ac:dyDescent="0.25">
      <c r="A72" s="18"/>
      <c r="B72" s="18"/>
      <c r="C72" s="18"/>
      <c r="D72" s="7"/>
      <c r="E72" s="2"/>
      <c r="F72" s="2"/>
      <c r="G72" s="2"/>
      <c r="H72" s="2"/>
      <c r="I72" s="2"/>
      <c r="J72" s="2"/>
      <c r="K72" s="2"/>
      <c r="L72" s="2"/>
      <c r="M72" s="2"/>
      <c r="N72" s="2"/>
      <c r="O72" s="2"/>
      <c r="P72" s="2"/>
      <c r="Q72" s="2"/>
      <c r="R72" s="2"/>
      <c r="S72" s="2"/>
      <c r="T72" s="2"/>
      <c r="U72" s="2"/>
      <c r="V72" s="2"/>
      <c r="W72" s="2"/>
      <c r="X72" s="2"/>
      <c r="Y72" s="2"/>
      <c r="Z72" s="2"/>
      <c r="AA72" s="2"/>
      <c r="AB72" s="2"/>
      <c r="AC72" s="2"/>
      <c r="AD72" s="1350" t="s">
        <v>5973</v>
      </c>
      <c r="AE72" s="1350"/>
      <c r="AF72" s="1350"/>
      <c r="AG72" s="1350"/>
      <c r="AH72" s="1350"/>
      <c r="AI72" s="1350"/>
      <c r="AJ72" s="1350"/>
      <c r="AK72" s="1350"/>
      <c r="AL72" s="2"/>
      <c r="AM72" s="2"/>
      <c r="AN72" s="2"/>
    </row>
    <row r="73" spans="1:40" ht="20.100000000000001" customHeight="1" x14ac:dyDescent="0.25">
      <c r="A73" s="18"/>
      <c r="B73" s="18"/>
      <c r="C73" s="18"/>
      <c r="D73" s="7"/>
      <c r="E73" s="2"/>
      <c r="F73" s="1149" t="s">
        <v>342</v>
      </c>
      <c r="G73" s="1094"/>
      <c r="H73" s="1094"/>
      <c r="I73" s="1094"/>
      <c r="J73" s="1094"/>
      <c r="K73" s="1094"/>
      <c r="L73" s="1104"/>
      <c r="M73" s="148" t="s">
        <v>186</v>
      </c>
      <c r="N73" s="1339"/>
      <c r="O73" s="1340"/>
      <c r="P73" s="1340"/>
      <c r="Q73" s="1340"/>
      <c r="R73" s="1340"/>
      <c r="S73" s="1291"/>
      <c r="T73" s="2"/>
      <c r="U73" s="2"/>
      <c r="V73" s="2"/>
      <c r="W73" s="2"/>
      <c r="X73" s="2"/>
      <c r="Y73" s="2"/>
      <c r="Z73" s="2"/>
      <c r="AA73" s="2"/>
      <c r="AB73" s="2"/>
      <c r="AC73" s="2"/>
      <c r="AD73" s="2"/>
      <c r="AE73" s="2"/>
      <c r="AF73" s="1335" cm="1">
        <f t="array" aca="1" ref="AF73" ca="1">INDIRECT("S49",1)</f>
        <v>0</v>
      </c>
      <c r="AG73" s="1335"/>
      <c r="AH73" s="1335"/>
      <c r="AI73" s="2"/>
      <c r="AJ73" s="2"/>
      <c r="AK73" s="2"/>
      <c r="AL73" s="2"/>
      <c r="AM73" s="2"/>
      <c r="AN73" s="274"/>
    </row>
    <row r="74" spans="1:40" ht="50.1" customHeight="1" x14ac:dyDescent="0.25">
      <c r="A74" s="18"/>
      <c r="B74" s="18"/>
      <c r="C74" s="18"/>
      <c r="D74" s="7"/>
      <c r="E74" s="2"/>
      <c r="F74" s="1149" t="s">
        <v>340</v>
      </c>
      <c r="G74" s="1094"/>
      <c r="H74" s="1094"/>
      <c r="I74" s="1094"/>
      <c r="J74" s="1094"/>
      <c r="K74" s="1094"/>
      <c r="L74" s="1094"/>
      <c r="M74" s="148" t="s">
        <v>186</v>
      </c>
      <c r="N74" s="1032"/>
      <c r="O74" s="1033"/>
      <c r="P74" s="1033"/>
      <c r="Q74" s="1033"/>
      <c r="R74" s="1033"/>
      <c r="S74" s="1033"/>
      <c r="T74" s="1033"/>
      <c r="U74" s="1033"/>
      <c r="V74" s="1033"/>
      <c r="W74" s="1033"/>
      <c r="X74" s="1033"/>
      <c r="Y74" s="1033"/>
      <c r="Z74" s="1033"/>
      <c r="AA74" s="1033"/>
      <c r="AB74" s="1033"/>
      <c r="AC74" s="1033"/>
      <c r="AD74" s="1033"/>
      <c r="AE74" s="1033"/>
      <c r="AF74" s="1033"/>
      <c r="AG74" s="1033"/>
      <c r="AH74" s="1033"/>
      <c r="AI74" s="1033"/>
      <c r="AJ74" s="1033"/>
      <c r="AK74" s="1033"/>
      <c r="AL74" s="1033"/>
      <c r="AM74" s="1034"/>
      <c r="AN74" s="2"/>
    </row>
    <row r="75" spans="1:40" ht="20.100000000000001" customHeight="1" x14ac:dyDescent="0.25">
      <c r="A75" s="18"/>
      <c r="B75" s="18"/>
      <c r="C75" s="18"/>
      <c r="D75" s="7"/>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30" customHeight="1" x14ac:dyDescent="0.25">
      <c r="A76" s="18"/>
      <c r="B76" s="18"/>
      <c r="C76" s="18"/>
      <c r="D76" s="7"/>
      <c r="E76" s="2"/>
      <c r="F76" s="1149" t="s">
        <v>188</v>
      </c>
      <c r="G76" s="1094"/>
      <c r="H76" s="1094"/>
      <c r="I76" s="1094"/>
      <c r="J76" s="1094"/>
      <c r="K76" s="1094"/>
      <c r="L76" s="1104"/>
      <c r="M76" s="148" t="s">
        <v>186</v>
      </c>
      <c r="N76" s="1336"/>
      <c r="O76" s="1337"/>
      <c r="P76" s="1337"/>
      <c r="Q76" s="1337"/>
      <c r="R76" s="1337"/>
      <c r="S76" s="1338"/>
      <c r="T76" s="2"/>
      <c r="U76" s="2"/>
      <c r="V76" s="2"/>
      <c r="W76" s="2"/>
      <c r="X76" s="2"/>
      <c r="Y76" s="2"/>
      <c r="Z76" s="2"/>
      <c r="AA76" s="2"/>
      <c r="AB76" s="2"/>
      <c r="AC76" s="2"/>
      <c r="AD76" s="2"/>
      <c r="AE76" s="2"/>
      <c r="AF76" s="2"/>
      <c r="AG76" s="2"/>
      <c r="AH76" s="2"/>
      <c r="AI76" s="2"/>
      <c r="AJ76" s="2"/>
      <c r="AK76" s="2"/>
      <c r="AL76" s="2"/>
      <c r="AM76" s="2"/>
      <c r="AN76" s="2"/>
    </row>
    <row r="77" spans="1:40" ht="50.1" customHeight="1" x14ac:dyDescent="0.25">
      <c r="A77" s="18"/>
      <c r="B77" s="18"/>
      <c r="C77" s="18"/>
      <c r="D77" s="7"/>
      <c r="E77" s="2"/>
      <c r="F77" s="1149" t="s">
        <v>32</v>
      </c>
      <c r="G77" s="1094"/>
      <c r="H77" s="1094"/>
      <c r="I77" s="1094"/>
      <c r="J77" s="1094"/>
      <c r="K77" s="1094"/>
      <c r="L77" s="1104"/>
      <c r="M77" s="148" t="s">
        <v>186</v>
      </c>
      <c r="N77" s="1032"/>
      <c r="O77" s="1033"/>
      <c r="P77" s="1033"/>
      <c r="Q77" s="1033"/>
      <c r="R77" s="1033"/>
      <c r="S77" s="1033"/>
      <c r="T77" s="1033"/>
      <c r="U77" s="1033"/>
      <c r="V77" s="1033"/>
      <c r="W77" s="1033"/>
      <c r="X77" s="1033"/>
      <c r="Y77" s="1033"/>
      <c r="Z77" s="1033"/>
      <c r="AA77" s="1033"/>
      <c r="AB77" s="1033"/>
      <c r="AC77" s="1033"/>
      <c r="AD77" s="1033"/>
      <c r="AE77" s="1033"/>
      <c r="AF77" s="1033"/>
      <c r="AG77" s="1033"/>
      <c r="AH77" s="1033"/>
      <c r="AI77" s="1033"/>
      <c r="AJ77" s="1033"/>
      <c r="AK77" s="1033"/>
      <c r="AL77" s="1033"/>
      <c r="AM77" s="1034"/>
      <c r="AN77" s="124"/>
    </row>
    <row r="78" spans="1:40" ht="30" customHeight="1" x14ac:dyDescent="0.25">
      <c r="A78" s="18"/>
      <c r="B78" s="18"/>
      <c r="C78" s="18"/>
      <c r="D78" s="7"/>
      <c r="E78" s="2"/>
      <c r="F78" s="1149" t="s">
        <v>228</v>
      </c>
      <c r="G78" s="1094"/>
      <c r="H78" s="1094"/>
      <c r="I78" s="1094"/>
      <c r="J78" s="1094"/>
      <c r="K78" s="1094"/>
      <c r="L78" s="1104"/>
      <c r="M78" s="148" t="s">
        <v>186</v>
      </c>
      <c r="N78" s="1341"/>
      <c r="O78" s="1342"/>
      <c r="P78" s="1342"/>
      <c r="Q78" s="1342"/>
      <c r="R78" s="1342"/>
      <c r="S78" s="1343"/>
      <c r="T78" s="2"/>
      <c r="U78" s="2"/>
      <c r="V78" s="2"/>
      <c r="W78" s="2"/>
      <c r="X78" s="2"/>
      <c r="Y78" s="2"/>
      <c r="Z78" s="2"/>
      <c r="AA78" s="2"/>
      <c r="AB78" s="2"/>
      <c r="AC78" s="2"/>
      <c r="AD78" s="2"/>
      <c r="AE78" s="2"/>
      <c r="AF78" s="2"/>
      <c r="AG78" s="2"/>
      <c r="AH78" s="2"/>
      <c r="AI78" s="2"/>
      <c r="AJ78" s="2"/>
      <c r="AK78" s="2"/>
      <c r="AL78" s="2"/>
      <c r="AM78" s="2"/>
      <c r="AN78" s="2"/>
    </row>
    <row r="79" spans="1:40" ht="30" customHeight="1" x14ac:dyDescent="0.25">
      <c r="A79" s="18"/>
      <c r="B79" s="18"/>
      <c r="C79" s="18"/>
      <c r="D79" s="7"/>
      <c r="E79" s="2"/>
      <c r="F79" s="1149" t="s">
        <v>229</v>
      </c>
      <c r="G79" s="1094"/>
      <c r="H79" s="1094"/>
      <c r="I79" s="1094"/>
      <c r="J79" s="1094"/>
      <c r="K79" s="1094"/>
      <c r="L79" s="1104"/>
      <c r="M79" s="148" t="s">
        <v>186</v>
      </c>
      <c r="N79" s="1341"/>
      <c r="O79" s="1342"/>
      <c r="P79" s="1342"/>
      <c r="Q79" s="1342"/>
      <c r="R79" s="1342"/>
      <c r="S79" s="1343"/>
      <c r="T79" s="2"/>
      <c r="U79" s="2"/>
      <c r="V79" s="2"/>
      <c r="W79" s="2"/>
      <c r="X79" s="2"/>
      <c r="Y79" s="2"/>
      <c r="Z79" s="2"/>
      <c r="AA79" s="2"/>
      <c r="AB79" s="2"/>
      <c r="AC79" s="2"/>
      <c r="AD79" s="2"/>
      <c r="AE79" s="2"/>
      <c r="AF79" s="2"/>
      <c r="AG79" s="2"/>
      <c r="AH79" s="2"/>
      <c r="AI79" s="2"/>
      <c r="AJ79" s="2"/>
      <c r="AK79" s="2"/>
      <c r="AL79" s="2"/>
      <c r="AM79" s="2"/>
      <c r="AN79" s="2"/>
    </row>
    <row r="80" spans="1:40" ht="15" customHeight="1" x14ac:dyDescent="0.25">
      <c r="A80" s="18"/>
      <c r="B80" s="18"/>
      <c r="C80" s="18"/>
      <c r="D80" s="7"/>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20.100000000000001" customHeight="1" x14ac:dyDescent="0.25">
      <c r="A81" s="18"/>
      <c r="B81" s="18"/>
      <c r="C81" s="18"/>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row>
    <row r="82" spans="1:40" ht="15" customHeight="1" x14ac:dyDescent="0.25">
      <c r="A82" s="18"/>
      <c r="B82" s="18"/>
      <c r="C82" s="18"/>
      <c r="D82" s="7"/>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ht="20.100000000000001" customHeight="1" x14ac:dyDescent="0.25">
      <c r="A83" s="18"/>
      <c r="B83" s="18"/>
      <c r="C83" s="18"/>
      <c r="D83" s="7"/>
      <c r="E83" s="2"/>
      <c r="F83" s="118"/>
      <c r="G83" s="118"/>
      <c r="H83" s="118"/>
      <c r="I83" s="118"/>
      <c r="J83" s="118"/>
      <c r="K83" s="118"/>
      <c r="L83" s="118"/>
      <c r="M83" s="272"/>
      <c r="N83" s="273"/>
      <c r="O83" s="273"/>
      <c r="P83" s="273"/>
      <c r="Q83" s="273"/>
      <c r="R83" s="245" t="s">
        <v>331</v>
      </c>
      <c r="S83" s="244"/>
      <c r="T83" s="266"/>
      <c r="U83" s="244"/>
      <c r="V83" s="244"/>
      <c r="W83" s="244"/>
      <c r="X83" s="209"/>
      <c r="Y83" s="209"/>
      <c r="Z83" s="209"/>
      <c r="AA83" s="209"/>
      <c r="AB83" s="209"/>
      <c r="AC83" s="209"/>
      <c r="AD83" s="209"/>
      <c r="AE83" s="209"/>
      <c r="AF83" s="209"/>
      <c r="AG83" s="209"/>
      <c r="AH83" s="209"/>
      <c r="AI83" s="209"/>
      <c r="AJ83" s="209"/>
      <c r="AK83" s="209"/>
      <c r="AL83" s="209"/>
      <c r="AM83" s="209"/>
      <c r="AN83" s="209"/>
    </row>
    <row r="84" spans="1:40" ht="20.100000000000001" customHeight="1" x14ac:dyDescent="0.25">
      <c r="A84" s="18"/>
      <c r="B84" s="18"/>
      <c r="C84" s="18"/>
      <c r="D84" s="7"/>
      <c r="E84" s="2"/>
      <c r="F84" s="247"/>
      <c r="G84" s="247"/>
      <c r="H84" s="247"/>
      <c r="I84" s="247"/>
      <c r="J84" s="247"/>
      <c r="K84" s="247"/>
      <c r="L84" s="247"/>
      <c r="M84" s="247"/>
      <c r="N84" s="247"/>
      <c r="O84" s="247"/>
      <c r="P84" s="247"/>
      <c r="Q84" s="247"/>
      <c r="R84" s="247"/>
      <c r="S84" s="247"/>
      <c r="T84" s="248"/>
      <c r="U84" s="2"/>
      <c r="V84" s="2"/>
      <c r="W84" s="2"/>
      <c r="X84" s="2"/>
      <c r="Y84" s="248"/>
      <c r="Z84" s="248"/>
      <c r="AA84" s="248"/>
      <c r="AB84" s="248"/>
      <c r="AC84" s="248"/>
      <c r="AD84" s="248"/>
      <c r="AE84" s="248"/>
      <c r="AF84" s="248"/>
      <c r="AG84" s="248"/>
      <c r="AH84" s="248"/>
      <c r="AI84" s="248"/>
      <c r="AJ84" s="248"/>
      <c r="AK84" s="248"/>
      <c r="AL84" s="248"/>
      <c r="AM84" s="248"/>
      <c r="AN84" s="260"/>
    </row>
    <row r="85" spans="1:40" ht="20.100000000000001" customHeight="1" x14ac:dyDescent="0.25">
      <c r="A85" s="18"/>
      <c r="B85" s="18"/>
      <c r="C85" s="18"/>
      <c r="D85" s="7"/>
      <c r="E85" s="2"/>
      <c r="F85" s="1149" t="s">
        <v>341</v>
      </c>
      <c r="G85" s="1094"/>
      <c r="H85" s="1094"/>
      <c r="I85" s="1094"/>
      <c r="J85" s="1094"/>
      <c r="K85" s="1094"/>
      <c r="L85" s="1104"/>
      <c r="M85" s="148" t="s">
        <v>186</v>
      </c>
      <c r="N85" s="1213"/>
      <c r="O85" s="1214"/>
      <c r="P85" s="1214"/>
      <c r="Q85" s="1214"/>
      <c r="R85" s="1214"/>
      <c r="S85" s="1190"/>
      <c r="T85" s="2"/>
      <c r="U85" s="2"/>
      <c r="V85" s="2"/>
      <c r="W85" s="2"/>
      <c r="X85" s="2"/>
      <c r="Y85" s="2"/>
      <c r="Z85" s="2"/>
      <c r="AA85" s="2"/>
      <c r="AB85" s="2"/>
      <c r="AC85" s="2"/>
      <c r="AD85" s="2"/>
      <c r="AE85" s="2"/>
      <c r="AF85" s="2"/>
      <c r="AG85" s="2"/>
      <c r="AH85" s="2"/>
      <c r="AI85" s="2"/>
      <c r="AJ85" s="2"/>
      <c r="AK85" s="2"/>
      <c r="AL85" s="2"/>
      <c r="AM85" s="2"/>
      <c r="AN85" s="2"/>
    </row>
    <row r="86" spans="1:40" ht="30" customHeight="1" x14ac:dyDescent="0.25">
      <c r="A86" s="18"/>
      <c r="B86" s="18"/>
      <c r="C86" s="18"/>
      <c r="D86" s="7"/>
      <c r="E86" s="2"/>
      <c r="F86" s="1149" t="s">
        <v>189</v>
      </c>
      <c r="G86" s="1094"/>
      <c r="H86" s="1094"/>
      <c r="I86" s="1094"/>
      <c r="J86" s="1094"/>
      <c r="K86" s="1094"/>
      <c r="L86" s="1104"/>
      <c r="M86" s="148" t="s">
        <v>186</v>
      </c>
      <c r="N86" s="1336"/>
      <c r="O86" s="1337"/>
      <c r="P86" s="1337"/>
      <c r="Q86" s="1337"/>
      <c r="R86" s="1337"/>
      <c r="S86" s="1338"/>
      <c r="T86" s="2"/>
      <c r="U86" s="2"/>
      <c r="V86" s="2"/>
      <c r="W86" s="2"/>
      <c r="X86" s="2"/>
      <c r="Y86" s="2"/>
      <c r="Z86" s="2"/>
      <c r="AA86" s="2"/>
      <c r="AB86" s="2"/>
      <c r="AC86" s="2"/>
      <c r="AD86" s="2"/>
      <c r="AE86" s="2"/>
      <c r="AF86" s="2"/>
      <c r="AG86" s="2"/>
      <c r="AH86" s="2"/>
      <c r="AI86" s="2"/>
      <c r="AJ86" s="2"/>
      <c r="AK86" s="2"/>
      <c r="AL86" s="2"/>
      <c r="AM86" s="2"/>
      <c r="AN86" s="2"/>
    </row>
    <row r="87" spans="1:40" ht="20.100000000000001" customHeight="1" x14ac:dyDescent="0.25">
      <c r="A87" s="18"/>
      <c r="B87" s="18"/>
      <c r="C87" s="18"/>
      <c r="D87" s="7"/>
      <c r="E87" s="2"/>
      <c r="F87" s="1149" t="s">
        <v>343</v>
      </c>
      <c r="G87" s="1094"/>
      <c r="H87" s="1094"/>
      <c r="I87" s="1094"/>
      <c r="J87" s="1094"/>
      <c r="K87" s="1094"/>
      <c r="L87" s="1104"/>
      <c r="M87" s="148" t="s">
        <v>186</v>
      </c>
      <c r="N87" s="1341"/>
      <c r="O87" s="1342"/>
      <c r="P87" s="1342"/>
      <c r="Q87" s="1342"/>
      <c r="R87" s="1342"/>
      <c r="S87" s="1343"/>
      <c r="T87" s="2"/>
      <c r="U87" s="2"/>
      <c r="V87" s="2"/>
      <c r="W87" s="2"/>
      <c r="X87" s="2"/>
      <c r="Y87" s="2"/>
      <c r="Z87" s="2"/>
      <c r="AA87" s="2"/>
      <c r="AB87" s="2"/>
      <c r="AC87" s="2"/>
      <c r="AD87" s="2"/>
      <c r="AE87" s="2"/>
      <c r="AF87" s="2"/>
      <c r="AG87" s="2"/>
      <c r="AH87" s="2"/>
      <c r="AI87" s="2"/>
      <c r="AJ87" s="2"/>
      <c r="AK87" s="2"/>
      <c r="AL87" s="2"/>
      <c r="AM87" s="2"/>
      <c r="AN87" s="2"/>
    </row>
    <row r="88" spans="1:40" ht="50.1" customHeight="1" x14ac:dyDescent="0.25">
      <c r="A88" s="18"/>
      <c r="B88" s="18"/>
      <c r="C88" s="18"/>
      <c r="D88" s="7"/>
      <c r="E88" s="2"/>
      <c r="F88" s="1149" t="s">
        <v>32</v>
      </c>
      <c r="G88" s="1094"/>
      <c r="H88" s="1094"/>
      <c r="I88" s="1094"/>
      <c r="J88" s="1094"/>
      <c r="K88" s="1094"/>
      <c r="L88" s="1104"/>
      <c r="M88" s="148" t="s">
        <v>186</v>
      </c>
      <c r="N88" s="1140"/>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2"/>
      <c r="AN88" s="4"/>
    </row>
    <row r="89" spans="1:40" ht="30" customHeight="1" x14ac:dyDescent="0.25">
      <c r="A89" s="18"/>
      <c r="B89" s="18"/>
      <c r="C89" s="18"/>
      <c r="D89" s="7"/>
      <c r="E89" s="2"/>
      <c r="F89" s="1149" t="s">
        <v>228</v>
      </c>
      <c r="G89" s="1094"/>
      <c r="H89" s="1094"/>
      <c r="I89" s="1094"/>
      <c r="J89" s="1094"/>
      <c r="K89" s="1094"/>
      <c r="L89" s="1104"/>
      <c r="M89" s="148" t="s">
        <v>186</v>
      </c>
      <c r="N89" s="1341"/>
      <c r="O89" s="1342"/>
      <c r="P89" s="1342"/>
      <c r="Q89" s="1342"/>
      <c r="R89" s="1342"/>
      <c r="S89" s="1343"/>
      <c r="T89" s="2"/>
      <c r="U89" s="2"/>
      <c r="V89" s="2"/>
      <c r="W89" s="2"/>
      <c r="X89" s="2"/>
      <c r="Y89" s="2"/>
      <c r="Z89" s="2"/>
      <c r="AA89" s="2"/>
      <c r="AB89" s="2"/>
      <c r="AC89" s="2"/>
      <c r="AD89" s="2"/>
      <c r="AE89" s="2"/>
      <c r="AF89" s="2"/>
      <c r="AG89" s="2"/>
      <c r="AH89" s="2"/>
      <c r="AI89" s="2"/>
      <c r="AJ89" s="2"/>
      <c r="AK89" s="2"/>
      <c r="AL89" s="2"/>
      <c r="AM89" s="2"/>
      <c r="AN89" s="2"/>
    </row>
    <row r="90" spans="1:40" ht="30" customHeight="1" x14ac:dyDescent="0.25">
      <c r="A90" s="18"/>
      <c r="B90" s="18"/>
      <c r="C90" s="18"/>
      <c r="D90" s="7"/>
      <c r="E90" s="2"/>
      <c r="F90" s="1149" t="s">
        <v>229</v>
      </c>
      <c r="G90" s="1094"/>
      <c r="H90" s="1094"/>
      <c r="I90" s="1094"/>
      <c r="J90" s="1094"/>
      <c r="K90" s="1094"/>
      <c r="L90" s="1104"/>
      <c r="M90" s="148" t="s">
        <v>186</v>
      </c>
      <c r="N90" s="1341"/>
      <c r="O90" s="1342"/>
      <c r="P90" s="1342"/>
      <c r="Q90" s="1342"/>
      <c r="R90" s="1342"/>
      <c r="S90" s="1343"/>
      <c r="T90" s="2"/>
      <c r="U90" s="2"/>
      <c r="V90" s="2"/>
      <c r="W90" s="2"/>
      <c r="X90" s="2"/>
      <c r="Y90" s="2"/>
      <c r="Z90" s="2"/>
      <c r="AA90" s="2"/>
      <c r="AB90" s="2"/>
      <c r="AC90" s="2"/>
      <c r="AD90" s="2"/>
      <c r="AE90" s="2"/>
      <c r="AF90" s="2"/>
      <c r="AG90" s="2"/>
      <c r="AH90" s="2"/>
      <c r="AI90" s="2"/>
      <c r="AJ90" s="2"/>
      <c r="AK90" s="2"/>
      <c r="AL90" s="2"/>
      <c r="AM90" s="2"/>
      <c r="AN90" s="2"/>
    </row>
    <row r="91" spans="1:40" ht="15" customHeight="1" x14ac:dyDescent="0.25">
      <c r="A91" s="18"/>
      <c r="B91" s="18"/>
      <c r="C91" s="18"/>
      <c r="D91" s="7"/>
      <c r="E91" s="2"/>
      <c r="F91" s="117"/>
      <c r="G91" s="117"/>
      <c r="H91" s="117"/>
      <c r="I91" s="117"/>
      <c r="J91" s="117"/>
      <c r="K91" s="117"/>
      <c r="L91" s="117"/>
      <c r="M91" s="241"/>
      <c r="N91" s="275"/>
      <c r="O91" s="275"/>
      <c r="P91" s="275"/>
      <c r="Q91" s="275"/>
      <c r="R91" s="275"/>
      <c r="S91" s="275"/>
      <c r="T91" s="2"/>
      <c r="U91" s="2"/>
      <c r="V91" s="2"/>
      <c r="W91" s="2"/>
      <c r="X91" s="2"/>
      <c r="Y91" s="2"/>
      <c r="Z91" s="2"/>
      <c r="AA91" s="2"/>
      <c r="AB91" s="2"/>
      <c r="AC91" s="2"/>
      <c r="AD91" s="2"/>
      <c r="AE91" s="2"/>
      <c r="AF91" s="2"/>
      <c r="AG91" s="2"/>
      <c r="AH91" s="2"/>
      <c r="AI91" s="2"/>
      <c r="AJ91" s="2"/>
      <c r="AK91" s="2"/>
      <c r="AL91" s="2"/>
      <c r="AM91" s="2"/>
      <c r="AN91" s="2"/>
    </row>
    <row r="92" spans="1:40" ht="20.100000000000001" customHeight="1" x14ac:dyDescent="0.25">
      <c r="A92" s="18"/>
      <c r="B92" s="18"/>
      <c r="C92" s="18"/>
      <c r="D92" s="7"/>
      <c r="E92" s="7"/>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ht="15" customHeight="1" x14ac:dyDescent="0.25">
      <c r="A93" s="18"/>
      <c r="B93" s="18"/>
      <c r="C93" s="18"/>
      <c r="D93" s="7"/>
      <c r="E93" s="2"/>
      <c r="F93" s="245"/>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60"/>
    </row>
    <row r="94" spans="1:40" ht="20.100000000000001" customHeight="1" x14ac:dyDescent="0.25">
      <c r="A94" s="18"/>
      <c r="B94" s="18"/>
      <c r="C94" s="18"/>
      <c r="D94" s="7"/>
      <c r="E94" s="2"/>
      <c r="F94" s="1067" t="s">
        <v>394</v>
      </c>
      <c r="G94" s="1068"/>
      <c r="H94" s="1068"/>
      <c r="I94" s="1068"/>
      <c r="J94" s="1068"/>
      <c r="K94" s="1068"/>
      <c r="L94" s="1069"/>
      <c r="M94" s="1076" t="s">
        <v>186</v>
      </c>
      <c r="N94" s="135"/>
      <c r="O94" s="136"/>
      <c r="P94" s="136"/>
      <c r="Q94" s="136"/>
      <c r="R94" s="137"/>
      <c r="S94" s="1079" t="s">
        <v>293</v>
      </c>
      <c r="T94" s="1064"/>
      <c r="U94" s="1064"/>
      <c r="V94" s="1064"/>
      <c r="W94" s="1064"/>
      <c r="X94" s="1064"/>
      <c r="Y94" s="1064"/>
      <c r="Z94" s="1064" t="s">
        <v>301</v>
      </c>
      <c r="AA94" s="1064"/>
      <c r="AB94" s="1064"/>
      <c r="AC94" s="1064"/>
      <c r="AD94" s="1064"/>
      <c r="AE94" s="1064"/>
      <c r="AF94" s="1064"/>
      <c r="AG94" s="1064"/>
      <c r="AH94" s="1064"/>
      <c r="AI94" s="1064" t="s">
        <v>302</v>
      </c>
      <c r="AJ94" s="1064"/>
      <c r="AK94" s="1064"/>
      <c r="AL94" s="1064"/>
      <c r="AM94" s="1065"/>
      <c r="AN94" s="2"/>
    </row>
    <row r="95" spans="1:40" ht="27" customHeight="1" x14ac:dyDescent="0.25">
      <c r="A95" s="18"/>
      <c r="B95" s="18"/>
      <c r="C95" s="18"/>
      <c r="D95" s="7"/>
      <c r="E95" s="2"/>
      <c r="F95" s="1070"/>
      <c r="G95" s="1071"/>
      <c r="H95" s="1071"/>
      <c r="I95" s="1071"/>
      <c r="J95" s="1071"/>
      <c r="K95" s="1071"/>
      <c r="L95" s="1072"/>
      <c r="M95" s="1077"/>
      <c r="N95" s="138"/>
      <c r="O95" s="1045" t="s">
        <v>219</v>
      </c>
      <c r="P95" s="1045"/>
      <c r="Q95" s="1045"/>
      <c r="R95" s="1046"/>
      <c r="S95" s="1042"/>
      <c r="T95" s="1043"/>
      <c r="U95" s="1043"/>
      <c r="V95" s="1043"/>
      <c r="W95" s="1043"/>
      <c r="X95" s="1043"/>
      <c r="Y95" s="1043"/>
      <c r="Z95" s="1044"/>
      <c r="AA95" s="1044"/>
      <c r="AB95" s="1044"/>
      <c r="AC95" s="1044"/>
      <c r="AD95" s="1044"/>
      <c r="AE95" s="1044"/>
      <c r="AF95" s="1044"/>
      <c r="AG95" s="1044"/>
      <c r="AH95" s="1044"/>
      <c r="AI95" s="1066"/>
      <c r="AJ95" s="1066"/>
      <c r="AK95" s="1066"/>
      <c r="AL95" s="1066"/>
      <c r="AM95" s="1066"/>
      <c r="AN95" s="2"/>
    </row>
    <row r="96" spans="1:40" ht="27" customHeight="1" x14ac:dyDescent="0.25">
      <c r="A96" s="18"/>
      <c r="B96" s="18"/>
      <c r="C96" s="18"/>
      <c r="D96" s="7"/>
      <c r="E96" s="2"/>
      <c r="F96" s="1070"/>
      <c r="G96" s="1071"/>
      <c r="H96" s="1071"/>
      <c r="I96" s="1071"/>
      <c r="J96" s="1071"/>
      <c r="K96" s="1071"/>
      <c r="L96" s="1072"/>
      <c r="M96" s="1077"/>
      <c r="N96" s="1"/>
      <c r="O96" s="138"/>
      <c r="P96" s="138"/>
      <c r="Q96" s="138"/>
      <c r="R96" s="139"/>
      <c r="S96" s="1042"/>
      <c r="T96" s="1043"/>
      <c r="U96" s="1043"/>
      <c r="V96" s="1043"/>
      <c r="W96" s="1043"/>
      <c r="X96" s="1043"/>
      <c r="Y96" s="1043"/>
      <c r="Z96" s="1044"/>
      <c r="AA96" s="1044"/>
      <c r="AB96" s="1044"/>
      <c r="AC96" s="1044"/>
      <c r="AD96" s="1044"/>
      <c r="AE96" s="1044"/>
      <c r="AF96" s="1044"/>
      <c r="AG96" s="1044"/>
      <c r="AH96" s="1044"/>
      <c r="AI96" s="1066"/>
      <c r="AJ96" s="1066"/>
      <c r="AK96" s="1066"/>
      <c r="AL96" s="1066"/>
      <c r="AM96" s="1066"/>
      <c r="AN96" s="2"/>
    </row>
    <row r="97" spans="1:40" ht="27" customHeight="1" x14ac:dyDescent="0.25">
      <c r="A97" s="18"/>
      <c r="B97" s="18"/>
      <c r="C97" s="18"/>
      <c r="D97" s="7"/>
      <c r="E97" s="2"/>
      <c r="F97" s="1070"/>
      <c r="G97" s="1071"/>
      <c r="H97" s="1071"/>
      <c r="I97" s="1071"/>
      <c r="J97" s="1071"/>
      <c r="K97" s="1071"/>
      <c r="L97" s="1072"/>
      <c r="M97" s="1077"/>
      <c r="N97" s="138"/>
      <c r="O97" s="1047" t="s">
        <v>280</v>
      </c>
      <c r="P97" s="1047"/>
      <c r="Q97" s="1047"/>
      <c r="R97" s="1048"/>
      <c r="S97" s="1042"/>
      <c r="T97" s="1043"/>
      <c r="U97" s="1043"/>
      <c r="V97" s="1043"/>
      <c r="W97" s="1043"/>
      <c r="X97" s="1043"/>
      <c r="Y97" s="1043"/>
      <c r="Z97" s="1044"/>
      <c r="AA97" s="1044"/>
      <c r="AB97" s="1044"/>
      <c r="AC97" s="1044"/>
      <c r="AD97" s="1044"/>
      <c r="AE97" s="1044"/>
      <c r="AF97" s="1044"/>
      <c r="AG97" s="1044"/>
      <c r="AH97" s="1044"/>
      <c r="AI97" s="1066"/>
      <c r="AJ97" s="1066"/>
      <c r="AK97" s="1066"/>
      <c r="AL97" s="1066"/>
      <c r="AM97" s="1066"/>
      <c r="AN97" s="2"/>
    </row>
    <row r="98" spans="1:40" ht="27" customHeight="1" x14ac:dyDescent="0.25">
      <c r="A98" s="18"/>
      <c r="B98" s="18"/>
      <c r="C98" s="18"/>
      <c r="D98" s="7"/>
      <c r="E98" s="2"/>
      <c r="F98" s="1073"/>
      <c r="G98" s="1074"/>
      <c r="H98" s="1074"/>
      <c r="I98" s="1074"/>
      <c r="J98" s="1074"/>
      <c r="K98" s="1074"/>
      <c r="L98" s="1075"/>
      <c r="M98" s="1078"/>
      <c r="N98" s="140"/>
      <c r="O98" s="140"/>
      <c r="P98" s="140"/>
      <c r="Q98" s="140"/>
      <c r="R98" s="141"/>
      <c r="S98" s="1042"/>
      <c r="T98" s="1043"/>
      <c r="U98" s="1043"/>
      <c r="V98" s="1043"/>
      <c r="W98" s="1043"/>
      <c r="X98" s="1043"/>
      <c r="Y98" s="1043"/>
      <c r="Z98" s="1044"/>
      <c r="AA98" s="1044"/>
      <c r="AB98" s="1044"/>
      <c r="AC98" s="1044"/>
      <c r="AD98" s="1044"/>
      <c r="AE98" s="1044"/>
      <c r="AF98" s="1044"/>
      <c r="AG98" s="1044"/>
      <c r="AH98" s="1044"/>
      <c r="AI98" s="1066"/>
      <c r="AJ98" s="1066"/>
      <c r="AK98" s="1066"/>
      <c r="AL98" s="1066"/>
      <c r="AM98" s="1066"/>
      <c r="AN98" s="2"/>
    </row>
    <row r="99" spans="1:40" ht="20.100000000000001" customHeight="1" x14ac:dyDescent="0.25">
      <c r="A99" s="18"/>
      <c r="B99" s="18"/>
      <c r="C99" s="18"/>
      <c r="D99" s="7"/>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20.100000000000001" customHeight="1" x14ac:dyDescent="0.25">
      <c r="A100" s="18"/>
      <c r="B100" s="18"/>
      <c r="C100" s="18"/>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row>
    <row r="101" spans="1:40" ht="20.100000000000001" customHeight="1" x14ac:dyDescent="0.25">
      <c r="A101" s="18"/>
      <c r="B101" s="18"/>
      <c r="C101" s="18"/>
      <c r="D101" s="7"/>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50.1" hidden="1" customHeight="1" x14ac:dyDescent="0.25">
      <c r="A102" s="18"/>
      <c r="B102" s="18"/>
      <c r="C102" s="18"/>
      <c r="D102" s="7"/>
      <c r="E102" s="2"/>
      <c r="AN102" s="2"/>
    </row>
    <row r="103" spans="1:40" ht="60" customHeight="1" x14ac:dyDescent="0.25">
      <c r="A103" s="18"/>
      <c r="B103" s="18"/>
      <c r="C103" s="18"/>
      <c r="D103" s="7"/>
      <c r="E103" s="2"/>
      <c r="F103" s="1008" t="s">
        <v>143</v>
      </c>
      <c r="G103" s="1009"/>
      <c r="H103" s="1009"/>
      <c r="I103" s="1009"/>
      <c r="J103" s="1009"/>
      <c r="K103" s="1009"/>
      <c r="L103" s="1009"/>
      <c r="M103" s="1010"/>
      <c r="N103" s="1032"/>
      <c r="O103" s="1033"/>
      <c r="P103" s="1033"/>
      <c r="Q103" s="1033"/>
      <c r="R103" s="1033"/>
      <c r="S103" s="1033"/>
      <c r="T103" s="1033"/>
      <c r="U103" s="1033"/>
      <c r="V103" s="1033"/>
      <c r="W103" s="1033"/>
      <c r="X103" s="1033"/>
      <c r="Y103" s="1033"/>
      <c r="Z103" s="1033"/>
      <c r="AA103" s="1033"/>
      <c r="AB103" s="1033"/>
      <c r="AC103" s="1033"/>
      <c r="AD103" s="1033"/>
      <c r="AE103" s="1033"/>
      <c r="AF103" s="1033"/>
      <c r="AG103" s="1033"/>
      <c r="AH103" s="1033"/>
      <c r="AI103" s="1033"/>
      <c r="AJ103" s="1033"/>
      <c r="AK103" s="1033"/>
      <c r="AL103" s="1033"/>
      <c r="AM103" s="1034"/>
      <c r="AN103" s="4"/>
    </row>
    <row r="104" spans="1:40" x14ac:dyDescent="0.25">
      <c r="A104" s="18"/>
      <c r="B104" s="18"/>
      <c r="C104" s="18"/>
      <c r="D104" s="7"/>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99.95" customHeight="1" x14ac:dyDescent="0.25">
      <c r="A105" s="18"/>
      <c r="B105" s="18"/>
      <c r="C105" s="18"/>
      <c r="D105" s="7"/>
      <c r="E105" s="2"/>
      <c r="F105" s="1008" t="s">
        <v>392</v>
      </c>
      <c r="G105" s="1009"/>
      <c r="H105" s="1009"/>
      <c r="I105" s="1009"/>
      <c r="J105" s="1009"/>
      <c r="K105" s="1009"/>
      <c r="L105" s="1041"/>
      <c r="M105" s="148" t="s">
        <v>186</v>
      </c>
      <c r="N105" s="1032"/>
      <c r="O105" s="1033"/>
      <c r="P105" s="1033"/>
      <c r="Q105" s="1033"/>
      <c r="R105" s="1033"/>
      <c r="S105" s="1033"/>
      <c r="T105" s="1033"/>
      <c r="U105" s="1033"/>
      <c r="V105" s="1033"/>
      <c r="W105" s="1033"/>
      <c r="X105" s="1033"/>
      <c r="Y105" s="1033"/>
      <c r="Z105" s="1033"/>
      <c r="AA105" s="1033"/>
      <c r="AB105" s="1033"/>
      <c r="AC105" s="1033"/>
      <c r="AD105" s="1033"/>
      <c r="AE105" s="1033"/>
      <c r="AF105" s="1033"/>
      <c r="AG105" s="1033"/>
      <c r="AH105" s="1033"/>
      <c r="AI105" s="1033"/>
      <c r="AJ105" s="1033"/>
      <c r="AK105" s="1033"/>
      <c r="AL105" s="1033"/>
      <c r="AM105" s="1034"/>
      <c r="AN105" s="4"/>
    </row>
    <row r="106" spans="1:40" x14ac:dyDescent="0.25">
      <c r="A106" s="18"/>
      <c r="B106" s="18"/>
      <c r="C106" s="18"/>
      <c r="D106" s="7"/>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sheetData>
  <sheetProtection algorithmName="SHA-512" hashValue="CdMDXp/mUc8wZRw7fAi/Avyq0POxR3EL5GsvfHZfsPQ2Q7NTyJdvd1LOcTRxowfH7zDFlJykNLzwxC+he55weA==" saltValue="dDQNhpWTUz4J0AfNhJ5c3Q==" spinCount="100000" sheet="1" objects="1" scenarios="1" formatColumns="0" formatRows="0"/>
  <mergeCells count="174">
    <mergeCell ref="F11:L11"/>
    <mergeCell ref="N11:AJ11"/>
    <mergeCell ref="F12:L12"/>
    <mergeCell ref="N12:S12"/>
    <mergeCell ref="F13:L13"/>
    <mergeCell ref="N13:AJ13"/>
    <mergeCell ref="AI2:AN7"/>
    <mergeCell ref="F10:L10"/>
    <mergeCell ref="N10:Z10"/>
    <mergeCell ref="AA10:AD10"/>
    <mergeCell ref="AF10:AJ10"/>
    <mergeCell ref="F2:AG6"/>
    <mergeCell ref="F7:J7"/>
    <mergeCell ref="AK11:AN11"/>
    <mergeCell ref="T17:Z17"/>
    <mergeCell ref="AB17:AJ17"/>
    <mergeCell ref="F14:M14"/>
    <mergeCell ref="N14:AJ14"/>
    <mergeCell ref="F15:M15"/>
    <mergeCell ref="N15:P15"/>
    <mergeCell ref="R15:X15"/>
    <mergeCell ref="Y15:AB15"/>
    <mergeCell ref="AD15:AJ15"/>
    <mergeCell ref="F18:L18"/>
    <mergeCell ref="N18:S18"/>
    <mergeCell ref="F24:L24"/>
    <mergeCell ref="N24:S24"/>
    <mergeCell ref="F26:L26"/>
    <mergeCell ref="N26:S26"/>
    <mergeCell ref="F16:L16"/>
    <mergeCell ref="N16:S16"/>
    <mergeCell ref="F17:L17"/>
    <mergeCell ref="N17:S17"/>
    <mergeCell ref="R37:Y37"/>
    <mergeCell ref="AA37:AH37"/>
    <mergeCell ref="N38:O38"/>
    <mergeCell ref="P38:Q38"/>
    <mergeCell ref="R38:S38"/>
    <mergeCell ref="T38:U38"/>
    <mergeCell ref="V38:W38"/>
    <mergeCell ref="X38:Y38"/>
    <mergeCell ref="AA38:AB38"/>
    <mergeCell ref="AC38:AD38"/>
    <mergeCell ref="AE38:AF38"/>
    <mergeCell ref="AG38:AH38"/>
    <mergeCell ref="AG39:AH39"/>
    <mergeCell ref="F40:L40"/>
    <mergeCell ref="N40:O40"/>
    <mergeCell ref="P40:Q40"/>
    <mergeCell ref="R40:S40"/>
    <mergeCell ref="T40:U40"/>
    <mergeCell ref="V40:W40"/>
    <mergeCell ref="X40:Y40"/>
    <mergeCell ref="AA40:AB40"/>
    <mergeCell ref="AC40:AD40"/>
    <mergeCell ref="AE40:AF40"/>
    <mergeCell ref="AG40:AH40"/>
    <mergeCell ref="N39:O39"/>
    <mergeCell ref="P39:Q39"/>
    <mergeCell ref="R39:S39"/>
    <mergeCell ref="T39:U39"/>
    <mergeCell ref="V39:W39"/>
    <mergeCell ref="X39:Y39"/>
    <mergeCell ref="AA39:AB39"/>
    <mergeCell ref="AC39:AD39"/>
    <mergeCell ref="AE39:AF39"/>
    <mergeCell ref="AG41:AH41"/>
    <mergeCell ref="N42:O42"/>
    <mergeCell ref="P42:Q42"/>
    <mergeCell ref="R42:S42"/>
    <mergeCell ref="T42:U42"/>
    <mergeCell ref="V42:W42"/>
    <mergeCell ref="X42:Y42"/>
    <mergeCell ref="AA42:AB42"/>
    <mergeCell ref="AC43:AD43"/>
    <mergeCell ref="AE43:AF43"/>
    <mergeCell ref="AG43:AH43"/>
    <mergeCell ref="N41:O41"/>
    <mergeCell ref="P41:Q41"/>
    <mergeCell ref="R41:S41"/>
    <mergeCell ref="T41:U41"/>
    <mergeCell ref="V41:W41"/>
    <mergeCell ref="X41:Y41"/>
    <mergeCell ref="AA41:AB41"/>
    <mergeCell ref="AC41:AD41"/>
    <mergeCell ref="AE41:AF41"/>
    <mergeCell ref="F45:L45"/>
    <mergeCell ref="N45:AM45"/>
    <mergeCell ref="N47:R47"/>
    <mergeCell ref="S47:W47"/>
    <mergeCell ref="AC42:AD42"/>
    <mergeCell ref="AE42:AF42"/>
    <mergeCell ref="AG42:AH42"/>
    <mergeCell ref="N43:O43"/>
    <mergeCell ref="P43:Q43"/>
    <mergeCell ref="R43:S43"/>
    <mergeCell ref="T43:U43"/>
    <mergeCell ref="V43:W43"/>
    <mergeCell ref="X43:Y43"/>
    <mergeCell ref="AA43:AB43"/>
    <mergeCell ref="F55:L55"/>
    <mergeCell ref="N55:S55"/>
    <mergeCell ref="F56:L56"/>
    <mergeCell ref="N56:S56"/>
    <mergeCell ref="AD61:AK61"/>
    <mergeCell ref="R62:U62"/>
    <mergeCell ref="V62:Y62"/>
    <mergeCell ref="F48:L48"/>
    <mergeCell ref="N48:R48"/>
    <mergeCell ref="S48:W48"/>
    <mergeCell ref="F49:L49"/>
    <mergeCell ref="N49:R49"/>
    <mergeCell ref="S49:W49"/>
    <mergeCell ref="AI63:AK63"/>
    <mergeCell ref="N64:Q64"/>
    <mergeCell ref="R64:U64"/>
    <mergeCell ref="V64:Y64"/>
    <mergeCell ref="F66:L66"/>
    <mergeCell ref="N66:AM66"/>
    <mergeCell ref="F63:L64"/>
    <mergeCell ref="M63:M64"/>
    <mergeCell ref="N63:Q63"/>
    <mergeCell ref="R63:U63"/>
    <mergeCell ref="V63:Y63"/>
    <mergeCell ref="AD63:AG63"/>
    <mergeCell ref="F74:L74"/>
    <mergeCell ref="N74:AM74"/>
    <mergeCell ref="F76:L76"/>
    <mergeCell ref="N76:S76"/>
    <mergeCell ref="F77:L77"/>
    <mergeCell ref="N77:AM77"/>
    <mergeCell ref="AD72:AK72"/>
    <mergeCell ref="F73:L73"/>
    <mergeCell ref="N73:S73"/>
    <mergeCell ref="AF73:AH73"/>
    <mergeCell ref="F86:L86"/>
    <mergeCell ref="N86:S86"/>
    <mergeCell ref="F87:L87"/>
    <mergeCell ref="N87:S87"/>
    <mergeCell ref="F88:L88"/>
    <mergeCell ref="N88:AM88"/>
    <mergeCell ref="F78:L78"/>
    <mergeCell ref="N78:S78"/>
    <mergeCell ref="F79:L79"/>
    <mergeCell ref="N79:S79"/>
    <mergeCell ref="F85:L85"/>
    <mergeCell ref="N85:S85"/>
    <mergeCell ref="Z94:AH94"/>
    <mergeCell ref="AI94:AM94"/>
    <mergeCell ref="O95:R95"/>
    <mergeCell ref="S95:Y95"/>
    <mergeCell ref="Z95:AH95"/>
    <mergeCell ref="AI95:AM95"/>
    <mergeCell ref="F89:L89"/>
    <mergeCell ref="N89:S89"/>
    <mergeCell ref="F90:L90"/>
    <mergeCell ref="N90:S90"/>
    <mergeCell ref="F94:L98"/>
    <mergeCell ref="M94:M98"/>
    <mergeCell ref="S94:Y94"/>
    <mergeCell ref="S96:Y96"/>
    <mergeCell ref="S98:Y98"/>
    <mergeCell ref="F105:L105"/>
    <mergeCell ref="N105:AM105"/>
    <mergeCell ref="Z98:AH98"/>
    <mergeCell ref="AI98:AM98"/>
    <mergeCell ref="F103:M103"/>
    <mergeCell ref="N103:AM103"/>
    <mergeCell ref="Z96:AH96"/>
    <mergeCell ref="AI96:AM96"/>
    <mergeCell ref="O97:R97"/>
    <mergeCell ref="S97:Y97"/>
    <mergeCell ref="Z97:AH97"/>
    <mergeCell ref="AI97:AM97"/>
  </mergeCells>
  <conditionalFormatting sqref="F7">
    <cfRule type="notContainsBlanks" dxfId="349" priority="1">
      <formula>LEN(TRIM(F7))&gt;0</formula>
    </cfRule>
  </conditionalFormatting>
  <conditionalFormatting sqref="F26:AM26 AH27:AM31 F32:AM32">
    <cfRule type="expression" dxfId="348" priority="16">
      <formula>$N$24&lt;&gt;"sim"</formula>
    </cfRule>
  </conditionalFormatting>
  <conditionalFormatting sqref="F86:AM90">
    <cfRule type="expression" dxfId="345" priority="8">
      <formula>$N$85&lt;&gt;"sim"</formula>
    </cfRule>
  </conditionalFormatting>
  <conditionalFormatting sqref="M10:M13">
    <cfRule type="expression" dxfId="344" priority="37">
      <formula>N10&lt;&gt;""</formula>
    </cfRule>
  </conditionalFormatting>
  <conditionalFormatting sqref="M16:M18">
    <cfRule type="expression" dxfId="343" priority="33">
      <formula>N16&lt;&gt;""</formula>
    </cfRule>
  </conditionalFormatting>
  <conditionalFormatting sqref="M24">
    <cfRule type="expression" dxfId="342" priority="32">
      <formula>N24&lt;&gt;""</formula>
    </cfRule>
  </conditionalFormatting>
  <conditionalFormatting sqref="M26">
    <cfRule type="expression" dxfId="341" priority="31">
      <formula>N26&lt;&gt;""</formula>
    </cfRule>
  </conditionalFormatting>
  <conditionalFormatting sqref="M40">
    <cfRule type="expression" dxfId="340" priority="3">
      <formula>OR($R$39&lt;&gt;"",$AA$39&lt;&gt;"")</formula>
    </cfRule>
  </conditionalFormatting>
  <conditionalFormatting sqref="M45">
    <cfRule type="expression" dxfId="339" priority="29">
      <formula>N45&lt;&gt;""</formula>
    </cfRule>
  </conditionalFormatting>
  <conditionalFormatting sqref="M48:M49">
    <cfRule type="expression" dxfId="338" priority="28">
      <formula>$S$49&lt;&gt;""</formula>
    </cfRule>
  </conditionalFormatting>
  <conditionalFormatting sqref="M55:M56">
    <cfRule type="expression" dxfId="337" priority="27">
      <formula>N55&lt;&gt;""</formula>
    </cfRule>
  </conditionalFormatting>
  <conditionalFormatting sqref="M63:M64">
    <cfRule type="expression" dxfId="336" priority="25">
      <formula>OR($R$63&lt;&gt;"",$V$63&lt;&gt;"")</formula>
    </cfRule>
  </conditionalFormatting>
  <conditionalFormatting sqref="M66">
    <cfRule type="expression" dxfId="335" priority="26">
      <formula>N66&lt;&gt;""</formula>
    </cfRule>
  </conditionalFormatting>
  <conditionalFormatting sqref="M73:M74">
    <cfRule type="expression" dxfId="334" priority="23">
      <formula>N73&lt;&gt;""</formula>
    </cfRule>
  </conditionalFormatting>
  <conditionalFormatting sqref="M76:M79">
    <cfRule type="expression" dxfId="333" priority="22">
      <formula>N76&lt;&gt;""</formula>
    </cfRule>
  </conditionalFormatting>
  <conditionalFormatting sqref="M85:M90">
    <cfRule type="expression" dxfId="332" priority="21">
      <formula>N85&lt;&gt;""</formula>
    </cfRule>
  </conditionalFormatting>
  <conditionalFormatting sqref="M105">
    <cfRule type="expression" dxfId="330" priority="19">
      <formula>N105&lt;&gt;""</formula>
    </cfRule>
  </conditionalFormatting>
  <conditionalFormatting sqref="Q15">
    <cfRule type="expression" dxfId="327" priority="34">
      <formula>R15&lt;&gt;""</formula>
    </cfRule>
  </conditionalFormatting>
  <conditionalFormatting sqref="AA17">
    <cfRule type="expression" dxfId="319" priority="4">
      <formula>AB17&lt;&gt;""</formula>
    </cfRule>
  </conditionalFormatting>
  <conditionalFormatting sqref="AC15">
    <cfRule type="expression" dxfId="318" priority="35">
      <formula>AD15&lt;&gt;""</formula>
    </cfRule>
  </conditionalFormatting>
  <conditionalFormatting sqref="AE10">
    <cfRule type="expression" dxfId="317" priority="36">
      <formula>AF10&lt;&gt;""</formula>
    </cfRule>
  </conditionalFormatting>
  <dataValidations count="23">
    <dataValidation allowBlank="1" showInputMessage="1" showErrorMessage="1" promptTitle="Ajuda" prompt="A conclusão deverá ser conforme está escrito no relatório do estudo._x000a_" sqref="F105:L105" xr:uid="{47DB5183-E9B8-4833-8EE7-7576A4258325}"/>
    <dataValidation allowBlank="1" showInputMessage="1" showErrorMessage="1" promptTitle="Ajuda" prompt="Informar apenas se o(s) desvio(s) afetam de algum modo a interpretação dos resultados" sqref="AI94:AM94" xr:uid="{85E09968-1331-4A1F-9628-8973C8340F72}"/>
    <dataValidation allowBlank="1" showInputMessage="1" showErrorMessage="1" promptTitle="Ajuda" prompt="Incluir a justificativa do porquê ocorreu desvio e qual é interpretação dos seus impactos frente aos resultados do estudos." sqref="Z94:AH94" xr:uid="{D9F27209-5B0C-4B43-853E-FAB97BD09C60}"/>
    <dataValidation allowBlank="1" showInputMessage="1" showErrorMessage="1" promptTitle="Ajuda" prompt="Descrição sucinta do desvio ocorrido._x000a__x000a_Caso tenha ocorrido mais do que quatro desvios, os demais deverão estar descritos na última linha e separados por ponto e vírgula" sqref="S94:Y94" xr:uid="{95626D5A-655F-440F-9086-C838E395B2D2}"/>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94:L98" xr:uid="{C5CECA1F-3F52-4C88-9CBC-4AF3CDECFCD6}"/>
    <dataValidation allowBlank="1" showInputMessage="1" showErrorMessage="1" promptTitle="Ajuda" prompt="A alteração da dose definida para o desafio, a partir do teste preliminar, deve ser justificada." sqref="F74:L74" xr:uid="{380515E8-7AFA-46BD-85BA-E8980CAA2525}"/>
    <dataValidation allowBlank="1" showInputMessage="1" showErrorMessage="1" promptTitle="Ajuda" prompt="A alteração da dose definida para indução, a partir do teste preliminar, deve ser justificada." sqref="F66:L66" xr:uid="{EA81210B-E596-4748-81BE-9F2BD870BDA6}"/>
    <dataValidation allowBlank="1" showInputMessage="1" showErrorMessage="1" promptTitle="Ajuda" prompt="Informar o número total de animais expostos a substância teste." sqref="F56:L56" xr:uid="{EA117825-9D79-485D-82DF-D1C5959F8A09}"/>
    <dataValidation allowBlank="1" showInputMessage="1" showErrorMessage="1" promptTitle="Ajuda" prompt="Informar somente os resultados, não se deve informar a metodologia. " sqref="F45:L45" xr:uid="{1E6166AD-7F2E-47B8-8ACC-85960055BA7E}"/>
    <dataValidation allowBlank="1" showInputMessage="1" showErrorMessage="1" promptTitle="Ajuda" prompt="Doses sem diluição são consideras como 100%._x000a__x000a_Os locais de 2 a 4 somente deverão ser preenchidos nos casos de terem sido testadas mais de uma dose no mesmo animal." sqref="R37:Y37 AA37:AH37" xr:uid="{2BC5B58D-61E0-401C-9599-73E4419A4B61}"/>
    <dataValidation allowBlank="1" showInputMessage="1" showErrorMessage="1" promptTitle="Ajuda" prompt="Deverá ser informada a concentração em % da substância teste. Sendo 100% quando esta for testada sem diluição" sqref="F40:L40" xr:uid="{C8C0C48D-713D-45B4-A0FB-5AED9CE064B0}"/>
    <dataValidation allowBlank="1" showInputMessage="1" showErrorMessage="1" promptTitle="Ajuda" prompt="Informar preferêncialmente a data de conclusão do estudo. " sqref="F26:L26" xr:uid="{52B8B441-EFC5-40F9-995E-34AE97EC3345}"/>
    <dataValidation allowBlank="1" showInputMessage="1" showErrorMessage="1" promptTitle="Ajuda" prompt="Data de início da exposição dos animais à substância teste" sqref="N15:P15" xr:uid="{44E93196-6807-487A-BC19-0E83A3A3D6FF}"/>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BC054B1C-EF8C-4464-BBBA-FC4FF5AEB491}"/>
    <dataValidation allowBlank="1" showInputMessage="1" showErrorMessage="1" promptTitle="Ajuda" prompt="Informar nome e estado/país do laboratório executor" sqref="F11:L11" xr:uid="{7EB575A5-2494-4B10-B5FF-8373FFC6AB1B}"/>
    <dataValidation allowBlank="1" showInputMessage="1" showErrorMessage="1" promptTitle="Ajuda" prompt="Código gerado pelo laboratório executor" sqref="AA10:AD10" xr:uid="{2165B1D4-6C4B-437B-9111-CAB6D6953A0C}"/>
    <dataValidation type="whole" operator="greaterThanOrEqual" allowBlank="1" showInputMessage="1" showErrorMessage="1" errorTitle="Valor inválido" error="O tempo em dias deve ser um número inteiro" sqref="N76:S76" xr:uid="{F2622F17-1FC5-4909-ABC4-2930BCA043EB}">
      <formula1>0</formula1>
    </dataValidation>
    <dataValidation type="date" operator="greaterThanOrEqual" allowBlank="1" showInputMessage="1" showErrorMessage="1" errorTitle="Data inválida" error="A data informada deve estar no formato dia/mês/ano, ex. 01/01/2022" sqref="N26:S26" xr:uid="{BF88ED50-B648-463E-AAE7-F48FB44553AD}">
      <formula1>1</formula1>
    </dataValidation>
    <dataValidation type="whole" operator="greaterThanOrEqual" allowBlank="1" showInputMessage="1" showErrorMessage="1" errorTitle="Valor inválido" error="O tempo em dias deve ser um  número inteiro" sqref="N86:S86" xr:uid="{F501E5F8-40B2-4E75-B1A6-5843157D1FFE}">
      <formula1>0</formula1>
    </dataValidation>
    <dataValidation type="whole" operator="greaterThanOrEqual" allowBlank="1" showInputMessage="1" showErrorMessage="1" errorTitle="Valor inválido" error="A quantidade de animais deve ser um número inteiro" sqref="N55:S56" xr:uid="{68AA97C8-5AB9-455F-83E5-5D92916521E6}">
      <formula1>0</formula1>
    </dataValidation>
    <dataValidation type="decimal" allowBlank="1" showInputMessage="1" showErrorMessage="1" errorTitle="Valor inválido" error="A dose deve estar entre 0 e 100%" sqref="N48:R48 R39:Y43 AA39:AH43 N89:S90 R63:Y64 N73:S73 N78:S79 N87:S87 S48:W49" xr:uid="{EC60850C-616C-49B7-AD21-8441774DED75}">
      <formula1>0</formula1>
      <formula2>1</formula2>
    </dataValidation>
    <dataValidation type="list" allowBlank="1" showInputMessage="1" showErrorMessage="1" errorTitle="Código inválido" error="Preencher os dados do certificado na guia &quot;Certificados&quot; antes de atribuí-lo a algum estudo" sqref="N16:S16" xr:uid="{D70EA718-96C5-46E6-A103-FEF4FBBE93EE}">
      <formula1>src_certificados</formula1>
    </dataValidation>
    <dataValidation type="custom" allowBlank="1" showInputMessage="1" showErrorMessage="1" errorTitle="Data inválida" error="A data de conclusão não pode ser anterior a data de início." sqref="AD15:AJ15" xr:uid="{87683DC3-4238-4B47-9A17-4957EF332236}">
      <formula1>R15&lt;=AD15</formula1>
    </dataValidation>
  </dataValidations>
  <hyperlinks>
    <hyperlink ref="F7" location="Alertas!G2" display="Alertas!G2" xr:uid="{88EF4C05-EDEA-4BD6-A81F-80F92A67F588}"/>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optn_desvios_sensib1">
              <controlPr defaultSize="0" autoFill="0" autoLine="0" autoPict="0">
                <anchor moveWithCells="1">
                  <from>
                    <xdr:col>13</xdr:col>
                    <xdr:colOff>19050</xdr:colOff>
                    <xdr:row>93</xdr:row>
                    <xdr:rowOff>228600</xdr:rowOff>
                  </from>
                  <to>
                    <xdr:col>17</xdr:col>
                    <xdr:colOff>247650</xdr:colOff>
                    <xdr:row>95</xdr:row>
                    <xdr:rowOff>38100</xdr:rowOff>
                  </to>
                </anchor>
              </controlPr>
            </control>
          </mc:Choice>
        </mc:AlternateContent>
        <mc:AlternateContent xmlns:mc="http://schemas.openxmlformats.org/markup-compatibility/2006">
          <mc:Choice Requires="x14">
            <control shapeId="63490" r:id="rId5" name="optn_desvios_sensib2">
              <controlPr defaultSize="0" autoFill="0" autoLine="0" autoPict="0">
                <anchor moveWithCells="1">
                  <from>
                    <xdr:col>13</xdr:col>
                    <xdr:colOff>19050</xdr:colOff>
                    <xdr:row>95</xdr:row>
                    <xdr:rowOff>314325</xdr:rowOff>
                  </from>
                  <to>
                    <xdr:col>17</xdr:col>
                    <xdr:colOff>247650</xdr:colOff>
                    <xdr:row>97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E6B0F1F1-A59F-4FDD-8157-E3A5E20917F8}">
            <xm:f>IF($V$63&lt;&gt;"",NOT(OR('Calculos(2)'!$AY$85=FALSE,'Calculos(2)'!$AZ$85=FALSE)),TRUE)</xm:f>
            <x14:dxf>
              <font>
                <color theme="0"/>
              </font>
              <fill>
                <patternFill>
                  <bgColor theme="0"/>
                </patternFill>
              </fill>
              <border>
                <left/>
                <right/>
                <top/>
                <vertical/>
                <horizontal/>
              </border>
            </x14:dxf>
          </x14:cfRule>
          <xm:sqref>F66:AM66</xm:sqref>
        </x14:conditionalFormatting>
        <x14:conditionalFormatting xmlns:xm="http://schemas.microsoft.com/office/excel/2006/main">
          <x14:cfRule type="expression" priority="10" id="{F78CAA15-F925-47F5-8A0D-A6215DC6FB3F}">
            <xm:f>IF($N$73&lt;&gt;"",'Calculos(2)'!$AZ$91,TRUE)</xm:f>
            <x14:dxf>
              <font>
                <color theme="0"/>
              </font>
              <fill>
                <patternFill>
                  <bgColor theme="0"/>
                </patternFill>
              </fill>
              <border>
                <left/>
                <right/>
                <bottom/>
                <vertical/>
                <horizontal/>
              </border>
            </x14:dxf>
          </x14:cfRule>
          <xm:sqref>F74:AM74</xm:sqref>
        </x14:conditionalFormatting>
        <x14:conditionalFormatting xmlns:xm="http://schemas.microsoft.com/office/excel/2006/main">
          <x14:cfRule type="expression" priority="18" id="{2B987D43-DCC4-411A-93FA-FEA807015269}">
            <xm:f>Respostas_usuario!$K$17&lt;&gt;0</xm:f>
            <x14:dxf>
              <font>
                <b/>
                <i val="0"/>
                <color rgb="FF00B050"/>
              </font>
            </x14:dxf>
          </x14:cfRule>
          <xm:sqref>M94:M98</xm:sqref>
        </x14:conditionalFormatting>
        <x14:conditionalFormatting xmlns:xm="http://schemas.microsoft.com/office/excel/2006/main">
          <x14:cfRule type="expression" priority="12" id="{D451EBD2-41BA-4447-B595-4494652BB766}">
            <xm:f>$N$18&lt;&gt;Tabelas_fonte!$AM$11</xm:f>
            <x14:dxf>
              <font>
                <color theme="0"/>
              </font>
              <fill>
                <patternFill>
                  <bgColor theme="0"/>
                </patternFill>
              </fill>
              <border>
                <left/>
                <right/>
                <top/>
                <bottom/>
                <vertical/>
                <horizontal/>
              </border>
            </x14:dxf>
          </x14:cfRule>
          <xm:sqref>N47</xm:sqref>
        </x14:conditionalFormatting>
        <x14:conditionalFormatting xmlns:xm="http://schemas.microsoft.com/office/excel/2006/main">
          <x14:cfRule type="expression" priority="15" id="{96A588B4-3176-41B7-B2D6-2473C11A9CC6}">
            <xm:f>$N$18&lt;&gt;Tabelas_fonte!$AM$11</xm:f>
            <x14:dxf>
              <font>
                <color theme="0" tint="-4.9989318521683403E-2"/>
              </font>
              <fill>
                <patternFill>
                  <bgColor theme="0" tint="-4.9989318521683403E-2"/>
                </patternFill>
              </fill>
              <border>
                <top/>
                <bottom style="thin">
                  <color theme="0" tint="-0.14996795556505021"/>
                </bottom>
                <vertical/>
                <horizontal/>
              </border>
            </x14:dxf>
          </x14:cfRule>
          <xm:sqref>N48:R49</xm:sqref>
        </x14:conditionalFormatting>
        <x14:conditionalFormatting xmlns:xm="http://schemas.microsoft.com/office/excel/2006/main">
          <x14:cfRule type="expression" priority="5" id="{F79AD26C-0CA6-4CCD-B8B2-B6A92259501D}">
            <xm:f>$N$18&lt;&gt;Tabelas_fonte!$AM$11</xm:f>
            <x14:dxf>
              <font>
                <color theme="0"/>
              </font>
              <fill>
                <patternFill>
                  <bgColor theme="0"/>
                </patternFill>
              </fill>
            </x14:dxf>
          </x14:cfRule>
          <xm:sqref>R62:U62</xm:sqref>
        </x14:conditionalFormatting>
        <x14:conditionalFormatting xmlns:xm="http://schemas.microsoft.com/office/excel/2006/main">
          <x14:cfRule type="expression" priority="14" id="{ABDD935B-3F06-45BE-A26D-5CA357AD146C}">
            <xm:f>$N$18&lt;&gt;Tabelas_fonte!$AM$11</xm:f>
            <x14:dxf>
              <font>
                <color theme="0" tint="-4.9989318521683403E-2"/>
              </font>
              <fill>
                <patternFill>
                  <bgColor theme="0" tint="-4.9989318521683403E-2"/>
                </patternFill>
              </fill>
              <border>
                <top/>
                <bottom style="thin">
                  <color theme="0" tint="-0.14996795556505021"/>
                </bottom>
                <vertical/>
                <horizontal/>
              </border>
            </x14:dxf>
          </x14:cfRule>
          <xm:sqref>R63:U64</xm:sqref>
        </x14:conditionalFormatting>
        <x14:conditionalFormatting xmlns:xm="http://schemas.microsoft.com/office/excel/2006/main">
          <x14:cfRule type="expression" priority="13" id="{CD29EA8C-F2E7-4946-8FE5-4BD1F6FE2998}">
            <xm:f>$N$18&lt;&gt;Tabelas_fonte!$AM$11</xm:f>
            <x14:dxf>
              <font>
                <color theme="0"/>
              </font>
              <fill>
                <patternFill>
                  <bgColor theme="0"/>
                </patternFill>
              </fill>
              <border>
                <left/>
                <right/>
                <top/>
                <bottom/>
                <vertical/>
                <horizontal/>
              </border>
            </x14:dxf>
          </x14:cfRule>
          <xm:sqref>R37:Y37</xm:sqref>
        </x14:conditionalFormatting>
        <x14:conditionalFormatting xmlns:xm="http://schemas.microsoft.com/office/excel/2006/main">
          <x14:cfRule type="expression" priority="6" id="{0059CD59-25F4-4D85-88A4-A3ADCFB9FE0A}">
            <xm:f>$N$18&lt;&gt;Tabelas_fonte!$AM$11</xm:f>
            <x14:dxf>
              <font>
                <color theme="0"/>
              </font>
              <fill>
                <patternFill>
                  <bgColor theme="0"/>
                </patternFill>
              </fill>
              <border>
                <right/>
                <top/>
                <bottom/>
                <vertical/>
                <horizontal/>
              </border>
            </x14:dxf>
          </x14:cfRule>
          <xm:sqref>R38:Y38</xm:sqref>
        </x14:conditionalFormatting>
        <x14:conditionalFormatting xmlns:xm="http://schemas.microsoft.com/office/excel/2006/main">
          <x14:cfRule type="expression" priority="7" id="{42EE1632-72D6-4683-810F-2B9A81FA57F1}">
            <xm:f>$N$18&lt;&gt;Tabelas_fonte!$AM$11</xm:f>
            <x14:dxf>
              <font>
                <color theme="0" tint="-4.9989318521683403E-2"/>
              </font>
              <fill>
                <patternFill>
                  <bgColor theme="0" tint="-4.9989318521683403E-2"/>
                </patternFill>
              </fill>
              <border>
                <right/>
                <top/>
                <bottom style="thin">
                  <color theme="0" tint="-0.14996795556505021"/>
                </bottom>
                <vertical/>
                <horizontal/>
              </border>
            </x14:dxf>
          </x14:cfRule>
          <xm:sqref>R39:Y43</xm:sqref>
        </x14:conditionalFormatting>
        <x14:conditionalFormatting xmlns:xm="http://schemas.microsoft.com/office/excel/2006/main">
          <x14:cfRule type="expression" priority="17" id="{526D8D2B-D9D0-4B54-A878-28E041DB9557}">
            <xm:f>Respostas_usuario!$K$17&lt;&gt;2</xm:f>
            <x14:dxf>
              <font>
                <color theme="0"/>
              </font>
              <fill>
                <patternFill>
                  <bgColor theme="0"/>
                </patternFill>
              </fill>
              <border>
                <right/>
                <top/>
                <bottom/>
                <vertical/>
                <horizontal/>
              </border>
            </x14:dxf>
          </x14:cfRule>
          <xm:sqref>S94:AM98</xm:sqref>
        </x14:conditionalFormatting>
        <x14:conditionalFormatting xmlns:xm="http://schemas.microsoft.com/office/excel/2006/main">
          <x14:cfRule type="expression" priority="9" id="{FB4729BB-727F-4206-B2C2-3517849A9E51}">
            <xm:f>IF($N$73&lt;&gt;"",'Calculos(2)'!$AZ$91,TRUE)</xm:f>
            <x14:dxf>
              <font>
                <color auto="1"/>
              </font>
              <fill>
                <patternFill>
                  <bgColor theme="0"/>
                </patternFill>
              </fill>
              <border>
                <right/>
                <bottom/>
                <vertical/>
                <horizontal/>
              </border>
            </x14:dxf>
          </x14:cfRule>
          <xm:sqref>T73:AM73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errorTitle="Valor inválido" error="A resposta deve ser Sim ou Não" xr:uid="{83B063A7-7ECF-4559-803F-A13820000996}">
          <x14:formula1>
            <xm:f>Tabelas_fonte!$Y$2:$Y$3</xm:f>
          </x14:formula1>
          <xm:sqref>AI95:AM98</xm:sqref>
        </x14:dataValidation>
        <x14:dataValidation type="list" allowBlank="1" showInputMessage="1" showErrorMessage="1" errorTitle="Valor inválido" error="o sexo informado deve ser Macho ou Fêmea" xr:uid="{17E6950F-86F1-4FB8-A74A-A5653330DB12}">
          <x14:formula1>
            <xm:f>Tabelas_fonte!$W$8:$W$9</xm:f>
          </x14:formula1>
          <xm:sqref>P39:Q43</xm:sqref>
        </x14:dataValidation>
        <x14:dataValidation type="list" allowBlank="1" showInputMessage="1" showErrorMessage="1" errorTitle="Valor inválido" error="Escolhe uma das opções disponíveis" xr:uid="{9B973761-2F4B-4282-8BF4-8624048639E8}">
          <x14:formula1>
            <xm:f>Tabelas_fonte!$AM$10:$AM$11</xm:f>
          </x14:formula1>
          <xm:sqref>N18:S18</xm:sqref>
        </x14:dataValidation>
        <x14:dataValidation type="list" allowBlank="1" showInputMessage="1" xr:uid="{48792EE9-D4FC-4CAE-B128-0AB6363E2058}">
          <x14:formula1>
            <xm:f>Tabelas_fonte!$AM$2:$AM$4</xm:f>
          </x14:formula1>
          <xm:sqref>N13:AJ13</xm:sqref>
        </x14:dataValidation>
        <x14:dataValidation type="list" allowBlank="1" showInputMessage="1" showErrorMessage="1" errorTitle="Resposta inválida" error="A resposta de ser Sim ou Não." xr:uid="{37D5BEDB-AA5C-4EFA-A31F-85D2185C0E68}">
          <x14:formula1>
            <xm:f>Tabelas_fonte!$Y$2:$Y$3</xm:f>
          </x14:formula1>
          <xm:sqref>N12:S12 N24:S24 N85:S85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2321D-1353-4D7C-9856-2E3D3E83FC18}">
  <sheetPr codeName="Planilha26">
    <tabColor theme="8" tint="0.59999389629810485"/>
    <outlinePr summaryBelow="0"/>
  </sheetPr>
  <dimension ref="A1:DN207"/>
  <sheetViews>
    <sheetView showGridLines="0" topLeftCell="D1" zoomScaleNormal="100" workbookViewId="0">
      <selection activeCell="D1" sqref="D1"/>
    </sheetView>
  </sheetViews>
  <sheetFormatPr defaultColWidth="0" defaultRowHeight="15" zeroHeight="1" outlineLevelRow="1" x14ac:dyDescent="0.25"/>
  <cols>
    <col min="1" max="3" width="2.7109375" style="20" hidden="1" customWidth="1"/>
    <col min="4" max="5" width="2.7109375" style="20" customWidth="1"/>
    <col min="6" max="13" width="4.7109375" style="20" customWidth="1"/>
    <col min="14" max="14" width="5.7109375" style="20" customWidth="1"/>
    <col min="15" max="57" width="4.7109375" style="20" customWidth="1"/>
    <col min="58" max="80" width="0" style="20" hidden="1" customWidth="1"/>
    <col min="81" max="16384" width="9.140625" style="20" hidden="1"/>
  </cols>
  <sheetData>
    <row r="1" spans="1:57" x14ac:dyDescent="0.25">
      <c r="A1" s="18"/>
      <c r="B1" s="18"/>
      <c r="C1" s="18"/>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spans="1:57" ht="15" customHeight="1" x14ac:dyDescent="0.25">
      <c r="A2" s="18"/>
      <c r="B2" s="18"/>
      <c r="C2" s="18"/>
      <c r="D2" s="1"/>
      <c r="E2" s="2"/>
      <c r="F2" s="1148" t="s">
        <v>366</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035" t="s">
        <v>0</v>
      </c>
      <c r="AJ2" s="1035"/>
      <c r="AK2" s="1035"/>
      <c r="AL2" s="1035"/>
      <c r="AM2" s="1035"/>
      <c r="AN2" s="1035"/>
      <c r="AO2" s="2"/>
      <c r="AP2" s="2"/>
      <c r="AQ2" s="2"/>
      <c r="AR2" s="2"/>
      <c r="AS2" s="2"/>
      <c r="AT2" s="2"/>
      <c r="AU2" s="2"/>
      <c r="AV2" s="2"/>
      <c r="AW2" s="2"/>
      <c r="AX2" s="2"/>
      <c r="AY2" s="2"/>
      <c r="AZ2" s="2"/>
      <c r="BA2" s="2"/>
      <c r="BB2" s="2"/>
      <c r="BC2" s="2"/>
      <c r="BD2" s="2"/>
      <c r="BE2" s="2"/>
    </row>
    <row r="3" spans="1:57" ht="15" customHeight="1" x14ac:dyDescent="0.25">
      <c r="A3" s="18"/>
      <c r="B3" s="18"/>
      <c r="C3" s="18"/>
      <c r="D3" s="1"/>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035"/>
      <c r="AJ3" s="1035"/>
      <c r="AK3" s="1035"/>
      <c r="AL3" s="1035"/>
      <c r="AM3" s="1035"/>
      <c r="AN3" s="1035"/>
      <c r="AO3" s="2"/>
      <c r="AP3" s="2"/>
      <c r="AQ3" s="2"/>
      <c r="AR3" s="2"/>
      <c r="AS3" s="2"/>
      <c r="AT3" s="2"/>
      <c r="AU3" s="2"/>
      <c r="AV3" s="2"/>
      <c r="AW3" s="2"/>
      <c r="AX3" s="2"/>
      <c r="AY3" s="2"/>
      <c r="AZ3" s="2"/>
      <c r="BA3" s="2"/>
      <c r="BB3" s="2"/>
      <c r="BC3" s="2"/>
      <c r="BD3" s="2"/>
      <c r="BE3" s="2"/>
    </row>
    <row r="4" spans="1:57" ht="15" customHeight="1" x14ac:dyDescent="0.25">
      <c r="A4" s="18"/>
      <c r="B4" s="18"/>
      <c r="C4" s="18"/>
      <c r="D4" s="1"/>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035"/>
      <c r="AJ4" s="1035"/>
      <c r="AK4" s="1035"/>
      <c r="AL4" s="1035"/>
      <c r="AM4" s="1035"/>
      <c r="AN4" s="1035"/>
      <c r="AO4" s="2"/>
      <c r="AP4" s="2"/>
      <c r="AQ4" s="2"/>
      <c r="AR4" s="2"/>
      <c r="AS4" s="2"/>
      <c r="AT4" s="2"/>
      <c r="AU4" s="2"/>
      <c r="AV4" s="2"/>
      <c r="AW4" s="2"/>
      <c r="AX4" s="2"/>
      <c r="AY4" s="2"/>
      <c r="AZ4" s="2"/>
      <c r="BA4" s="2"/>
      <c r="BB4" s="2"/>
      <c r="BC4" s="2"/>
      <c r="BD4" s="2"/>
      <c r="BE4" s="2"/>
    </row>
    <row r="5" spans="1:57" ht="15" customHeight="1" x14ac:dyDescent="0.25">
      <c r="A5" s="18"/>
      <c r="B5" s="18"/>
      <c r="C5" s="18"/>
      <c r="D5" s="1"/>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148"/>
      <c r="AI5" s="1035"/>
      <c r="AJ5" s="1035"/>
      <c r="AK5" s="1035"/>
      <c r="AL5" s="1035"/>
      <c r="AM5" s="1035"/>
      <c r="AN5" s="1035"/>
      <c r="AO5" s="2"/>
      <c r="AP5" s="2"/>
      <c r="AQ5" s="2"/>
      <c r="AR5" s="2"/>
      <c r="AS5" s="2"/>
      <c r="AT5" s="2"/>
      <c r="AU5" s="2"/>
      <c r="AV5" s="2"/>
      <c r="AW5" s="2"/>
      <c r="AX5" s="2"/>
      <c r="AY5" s="2"/>
      <c r="AZ5" s="2"/>
      <c r="BA5" s="2"/>
      <c r="BB5" s="2"/>
      <c r="BC5" s="2"/>
      <c r="BD5" s="2"/>
      <c r="BE5" s="2"/>
    </row>
    <row r="6" spans="1:57" ht="15" customHeight="1" x14ac:dyDescent="0.25">
      <c r="A6" s="18"/>
      <c r="B6" s="18"/>
      <c r="C6" s="18"/>
      <c r="D6" s="1"/>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148"/>
      <c r="AI6" s="1035"/>
      <c r="AJ6" s="1035"/>
      <c r="AK6" s="1035"/>
      <c r="AL6" s="1035"/>
      <c r="AM6" s="1035"/>
      <c r="AN6" s="1035"/>
      <c r="AO6" s="2"/>
      <c r="AP6" s="2"/>
      <c r="AQ6" s="2"/>
      <c r="AR6" s="73"/>
      <c r="AS6" s="2"/>
      <c r="AT6" s="2"/>
      <c r="AU6" s="2"/>
      <c r="AV6" s="2"/>
      <c r="AW6" s="2"/>
      <c r="AX6" s="2"/>
      <c r="AY6" s="2"/>
      <c r="AZ6" s="2"/>
      <c r="BA6" s="2"/>
      <c r="BB6" s="2"/>
      <c r="BC6" s="2"/>
      <c r="BD6" s="2"/>
      <c r="BE6" s="2"/>
    </row>
    <row r="7" spans="1:57" ht="20.100000000000001" customHeight="1" x14ac:dyDescent="0.25">
      <c r="A7" s="18"/>
      <c r="B7" s="18"/>
      <c r="C7" s="18"/>
      <c r="D7" s="1"/>
      <c r="E7" s="158"/>
      <c r="F7" s="1024" t="str">
        <f ca="1">Alertas!R17</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c r="AS7" s="2"/>
      <c r="AT7" s="2"/>
      <c r="AU7" s="2"/>
      <c r="AV7" s="2"/>
      <c r="AW7" s="2"/>
      <c r="AX7" s="2"/>
      <c r="AY7" s="2"/>
      <c r="AZ7" s="2"/>
      <c r="BA7" s="2"/>
      <c r="BB7" s="2"/>
      <c r="BC7" s="2"/>
      <c r="BD7" s="2"/>
      <c r="BE7" s="2"/>
    </row>
    <row r="8" spans="1:57" ht="15" customHeight="1" x14ac:dyDescent="0.25">
      <c r="A8" s="18"/>
      <c r="B8" s="18"/>
      <c r="C8" s="18"/>
      <c r="D8" s="1"/>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row>
    <row r="9" spans="1:57" ht="15" hidden="1" customHeight="1" x14ac:dyDescent="0.25">
      <c r="A9" s="18"/>
      <c r="B9" s="18"/>
      <c r="C9" s="18"/>
      <c r="D9" s="1"/>
      <c r="E9" s="7"/>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row>
    <row r="10" spans="1:57" ht="15" hidden="1" customHeight="1" x14ac:dyDescent="0.25">
      <c r="A10" s="18"/>
      <c r="B10" s="18"/>
      <c r="C10" s="18"/>
      <c r="D10" s="1"/>
      <c r="E10" s="7"/>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row>
    <row r="11" spans="1:57" ht="15" customHeight="1" x14ac:dyDescent="0.25">
      <c r="A11" s="18"/>
      <c r="B11" s="18"/>
      <c r="C11" s="18"/>
      <c r="D11" s="1"/>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row>
    <row r="12" spans="1:57" ht="30" customHeight="1" x14ac:dyDescent="0.25">
      <c r="A12" s="18"/>
      <c r="B12" s="18"/>
      <c r="C12" s="18"/>
      <c r="D12" s="1"/>
      <c r="E12" s="2"/>
      <c r="F12" s="1149" t="s">
        <v>30</v>
      </c>
      <c r="G12" s="1094"/>
      <c r="H12" s="1094"/>
      <c r="I12" s="1094"/>
      <c r="J12" s="1094"/>
      <c r="K12" s="1094"/>
      <c r="L12" s="1104"/>
      <c r="M12" s="148" t="s">
        <v>186</v>
      </c>
      <c r="N12" s="1032"/>
      <c r="O12" s="1033"/>
      <c r="P12" s="1033"/>
      <c r="Q12" s="1033"/>
      <c r="R12" s="1033"/>
      <c r="S12" s="1033"/>
      <c r="T12" s="1033"/>
      <c r="U12" s="1033"/>
      <c r="V12" s="1033"/>
      <c r="W12" s="1033"/>
      <c r="X12" s="1033"/>
      <c r="Y12" s="1033"/>
      <c r="Z12" s="1034"/>
      <c r="AA12" s="1008" t="s">
        <v>294</v>
      </c>
      <c r="AB12" s="1009"/>
      <c r="AC12" s="1009"/>
      <c r="AD12" s="1041"/>
      <c r="AE12" s="148" t="s">
        <v>186</v>
      </c>
      <c r="AF12" s="1032"/>
      <c r="AG12" s="1033"/>
      <c r="AH12" s="1033"/>
      <c r="AI12" s="1033"/>
      <c r="AJ12" s="1034"/>
      <c r="AK12" s="2"/>
      <c r="AL12" s="2"/>
      <c r="AM12" s="2"/>
      <c r="AN12" s="2"/>
      <c r="AO12" s="2"/>
      <c r="AP12" s="2"/>
      <c r="AQ12" s="2"/>
      <c r="AR12" s="2"/>
      <c r="AS12" s="2"/>
      <c r="AT12" s="2"/>
      <c r="AU12" s="2"/>
      <c r="AV12" s="2"/>
      <c r="AW12" s="2"/>
      <c r="AX12" s="2"/>
      <c r="AY12" s="2"/>
      <c r="AZ12" s="2"/>
      <c r="BA12" s="2"/>
      <c r="BB12" s="2"/>
      <c r="BC12" s="2"/>
      <c r="BD12" s="2"/>
      <c r="BE12" s="2"/>
    </row>
    <row r="13" spans="1:57" ht="60" customHeight="1" x14ac:dyDescent="0.25">
      <c r="A13" s="18"/>
      <c r="B13" s="18"/>
      <c r="C13" s="18"/>
      <c r="D13" s="1"/>
      <c r="E13" s="2"/>
      <c r="F13" s="1008" t="s">
        <v>7300</v>
      </c>
      <c r="G13" s="1009"/>
      <c r="H13" s="1009"/>
      <c r="I13" s="1009"/>
      <c r="J13" s="1009"/>
      <c r="K13" s="1009"/>
      <c r="L13" s="1041"/>
      <c r="M13" s="148" t="s">
        <v>186</v>
      </c>
      <c r="N13" s="1140"/>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2"/>
      <c r="AK13" s="1158" t="s">
        <v>271</v>
      </c>
      <c r="AL13" s="1159"/>
      <c r="AM13" s="1159"/>
      <c r="AN13" s="1159"/>
      <c r="AO13" s="2"/>
      <c r="AP13" s="2"/>
      <c r="AQ13" s="2"/>
      <c r="AR13" s="2"/>
      <c r="AS13" s="2"/>
      <c r="AT13" s="2"/>
      <c r="AU13" s="2"/>
      <c r="AV13" s="2"/>
      <c r="AW13" s="2"/>
      <c r="AX13" s="2"/>
      <c r="AY13" s="2"/>
      <c r="AZ13" s="2"/>
      <c r="BA13" s="2"/>
      <c r="BB13" s="2"/>
      <c r="BC13" s="2"/>
      <c r="BD13" s="2"/>
      <c r="BE13" s="2"/>
    </row>
    <row r="14" spans="1:57" ht="20.100000000000001" customHeight="1" x14ac:dyDescent="0.25">
      <c r="A14" s="18"/>
      <c r="B14" s="18"/>
      <c r="C14" s="18"/>
      <c r="D14" s="1"/>
      <c r="E14" s="2"/>
      <c r="F14" s="1008" t="s">
        <v>6029</v>
      </c>
      <c r="G14" s="1009"/>
      <c r="H14" s="1009"/>
      <c r="I14" s="1009"/>
      <c r="J14" s="1009"/>
      <c r="K14" s="1009"/>
      <c r="L14" s="1041"/>
      <c r="M14" s="148" t="s">
        <v>186</v>
      </c>
      <c r="N14" s="1147"/>
      <c r="O14" s="1096"/>
      <c r="P14" s="1096"/>
      <c r="Q14" s="1096"/>
      <c r="R14" s="1096"/>
      <c r="S14" s="1097"/>
      <c r="T14" s="160"/>
      <c r="U14" s="160"/>
      <c r="V14" s="160"/>
      <c r="W14" s="160"/>
      <c r="X14" s="160"/>
      <c r="Y14" s="160"/>
      <c r="Z14" s="160"/>
      <c r="AA14" s="175"/>
      <c r="AB14" s="175"/>
      <c r="AC14" s="175"/>
      <c r="AD14" s="175"/>
      <c r="AE14" s="175"/>
      <c r="AF14" s="160"/>
      <c r="AG14" s="160"/>
      <c r="AH14" s="160"/>
      <c r="AI14" s="160"/>
      <c r="AJ14" s="160"/>
      <c r="AK14" s="2"/>
      <c r="AL14" s="2"/>
      <c r="AM14" s="2"/>
      <c r="AN14" s="2"/>
      <c r="AO14" s="2"/>
      <c r="AP14" s="2"/>
      <c r="AQ14" s="2"/>
      <c r="AR14" s="2"/>
      <c r="AS14" s="2"/>
      <c r="AT14" s="2"/>
      <c r="AU14" s="2"/>
      <c r="AV14" s="2"/>
      <c r="AW14" s="2"/>
      <c r="AX14" s="2"/>
      <c r="AY14" s="2"/>
      <c r="AZ14" s="2"/>
      <c r="BA14" s="2"/>
      <c r="BB14" s="2"/>
      <c r="BC14" s="2"/>
      <c r="BD14" s="2"/>
      <c r="BE14" s="2"/>
    </row>
    <row r="15" spans="1:57" ht="20.100000000000001" customHeight="1" x14ac:dyDescent="0.25">
      <c r="A15" s="18"/>
      <c r="B15" s="18"/>
      <c r="C15" s="18"/>
      <c r="D15" s="1"/>
      <c r="E15" s="2"/>
      <c r="F15" s="1149" t="s">
        <v>218</v>
      </c>
      <c r="G15" s="1094"/>
      <c r="H15" s="1094"/>
      <c r="I15" s="1094"/>
      <c r="J15" s="1094"/>
      <c r="K15" s="1094"/>
      <c r="L15" s="1104"/>
      <c r="M15" s="148" t="s">
        <v>186</v>
      </c>
      <c r="N15" s="1432" t="s">
        <v>7040</v>
      </c>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4"/>
      <c r="AK15" s="2"/>
      <c r="AL15" s="2"/>
      <c r="AM15" s="2"/>
      <c r="AN15" s="2"/>
      <c r="AO15" s="2"/>
      <c r="AP15" s="2"/>
      <c r="AQ15" s="2"/>
      <c r="AR15" s="2"/>
      <c r="AS15" s="2"/>
      <c r="AT15" s="2"/>
      <c r="AU15" s="2"/>
      <c r="AV15" s="2"/>
      <c r="AW15" s="2"/>
      <c r="AX15" s="2"/>
      <c r="AY15" s="2"/>
      <c r="AZ15" s="2"/>
      <c r="BA15" s="2"/>
      <c r="BB15" s="2"/>
      <c r="BC15" s="2"/>
      <c r="BD15" s="2"/>
      <c r="BE15" s="2"/>
    </row>
    <row r="16" spans="1:57" ht="20.100000000000001" customHeight="1" x14ac:dyDescent="0.25">
      <c r="A16" s="18"/>
      <c r="B16" s="18"/>
      <c r="C16" s="18"/>
      <c r="D16" s="1"/>
      <c r="E16" s="2"/>
      <c r="F16" s="1149" t="s">
        <v>311</v>
      </c>
      <c r="G16" s="1094"/>
      <c r="H16" s="1094"/>
      <c r="I16" s="1094"/>
      <c r="J16" s="1094"/>
      <c r="K16" s="1094"/>
      <c r="L16" s="1094"/>
      <c r="M16" s="1150"/>
      <c r="N16" s="1276"/>
      <c r="O16" s="1277"/>
      <c r="P16" s="1277"/>
      <c r="Q16" s="1277"/>
      <c r="R16" s="1277"/>
      <c r="S16" s="1277"/>
      <c r="T16" s="1277"/>
      <c r="U16" s="1277"/>
      <c r="V16" s="1277"/>
      <c r="W16" s="1277"/>
      <c r="X16" s="1277"/>
      <c r="Y16" s="1277"/>
      <c r="Z16" s="1277"/>
      <c r="AA16" s="1277"/>
      <c r="AB16" s="1277"/>
      <c r="AC16" s="1277"/>
      <c r="AD16" s="1277"/>
      <c r="AE16" s="1277"/>
      <c r="AF16" s="1277"/>
      <c r="AG16" s="1277"/>
      <c r="AH16" s="1277"/>
      <c r="AI16" s="1277"/>
      <c r="AJ16" s="1278"/>
      <c r="AK16" s="2"/>
      <c r="AL16" s="2"/>
      <c r="AM16" s="2"/>
      <c r="AN16" s="2"/>
      <c r="AO16" s="2"/>
      <c r="AP16" s="2"/>
      <c r="AQ16" s="2"/>
      <c r="AR16" s="2"/>
      <c r="AS16" s="2"/>
      <c r="AT16" s="2"/>
      <c r="AU16" s="2"/>
      <c r="AV16" s="2"/>
      <c r="AW16" s="2"/>
      <c r="AX16" s="2"/>
      <c r="AY16" s="2"/>
      <c r="AZ16" s="2"/>
      <c r="BA16" s="2"/>
      <c r="BB16" s="2"/>
      <c r="BC16" s="2"/>
      <c r="BD16" s="2"/>
      <c r="BE16" s="2"/>
    </row>
    <row r="17" spans="1:57" ht="20.100000000000001" customHeight="1" x14ac:dyDescent="0.25">
      <c r="A17" s="18"/>
      <c r="B17" s="18"/>
      <c r="C17" s="18"/>
      <c r="D17" s="1"/>
      <c r="E17" s="2"/>
      <c r="F17" s="1008" t="s">
        <v>7301</v>
      </c>
      <c r="G17" s="1009"/>
      <c r="H17" s="1009"/>
      <c r="I17" s="1009"/>
      <c r="J17" s="1009"/>
      <c r="K17" s="1009"/>
      <c r="L17" s="1009"/>
      <c r="M17" s="1010"/>
      <c r="N17" s="1151" t="s">
        <v>6030</v>
      </c>
      <c r="O17" s="1088"/>
      <c r="P17" s="1089"/>
      <c r="Q17" s="148" t="s">
        <v>186</v>
      </c>
      <c r="R17" s="999"/>
      <c r="S17" s="1000"/>
      <c r="T17" s="1000"/>
      <c r="U17" s="1000"/>
      <c r="V17" s="1000"/>
      <c r="W17" s="1000"/>
      <c r="X17" s="1001"/>
      <c r="Y17" s="1008" t="s">
        <v>31</v>
      </c>
      <c r="Z17" s="1009"/>
      <c r="AA17" s="1009"/>
      <c r="AB17" s="1041"/>
      <c r="AC17" s="148" t="s">
        <v>186</v>
      </c>
      <c r="AD17" s="999"/>
      <c r="AE17" s="1000"/>
      <c r="AF17" s="1000"/>
      <c r="AG17" s="1000"/>
      <c r="AH17" s="1000"/>
      <c r="AI17" s="1000"/>
      <c r="AJ17" s="1001"/>
      <c r="AK17" s="2"/>
      <c r="AL17" s="2"/>
      <c r="AM17" s="2"/>
      <c r="AN17" s="2"/>
      <c r="AO17" s="2"/>
      <c r="AP17" s="2"/>
      <c r="AQ17" s="2"/>
      <c r="AR17" s="2"/>
      <c r="AS17" s="2"/>
      <c r="AT17" s="2"/>
      <c r="AU17" s="2"/>
      <c r="AV17" s="2"/>
      <c r="AW17" s="2"/>
      <c r="AX17" s="2"/>
      <c r="AY17" s="2"/>
      <c r="AZ17" s="2"/>
      <c r="BA17" s="2"/>
      <c r="BB17" s="2"/>
      <c r="BC17" s="2"/>
      <c r="BD17" s="2"/>
      <c r="BE17" s="2"/>
    </row>
    <row r="18" spans="1:57" ht="20.100000000000001" customHeight="1" x14ac:dyDescent="0.25">
      <c r="A18" s="18"/>
      <c r="B18" s="18"/>
      <c r="C18" s="18"/>
      <c r="D18" s="1"/>
      <c r="E18" s="2"/>
      <c r="F18" s="1008" t="s">
        <v>5720</v>
      </c>
      <c r="G18" s="1009"/>
      <c r="H18" s="1009"/>
      <c r="I18" s="1009"/>
      <c r="J18" s="1009"/>
      <c r="K18" s="1009"/>
      <c r="L18" s="1009"/>
      <c r="M18" s="148" t="s">
        <v>186</v>
      </c>
      <c r="N18" s="1445"/>
      <c r="O18" s="1446"/>
      <c r="P18" s="1446"/>
      <c r="Q18" s="1446"/>
      <c r="R18" s="1446"/>
      <c r="S18" s="1447"/>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row>
    <row r="19" spans="1:57" ht="20.100000000000001" customHeight="1" x14ac:dyDescent="0.25">
      <c r="A19" s="18"/>
      <c r="B19" s="18"/>
      <c r="C19" s="18"/>
      <c r="D19" s="1"/>
      <c r="E19" s="2"/>
      <c r="F19" s="2"/>
      <c r="G19" s="2"/>
      <c r="H19" s="2"/>
      <c r="I19" s="2"/>
      <c r="J19" s="2"/>
      <c r="K19" s="2"/>
      <c r="L19" s="2"/>
      <c r="M19" s="2"/>
      <c r="N19" s="2"/>
      <c r="O19" s="2"/>
      <c r="P19" s="2"/>
      <c r="Q19" s="2"/>
      <c r="R19" s="2"/>
      <c r="S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row>
    <row r="20" spans="1:57" ht="20.100000000000001" customHeight="1" x14ac:dyDescent="0.25">
      <c r="A20" s="18"/>
      <c r="B20" s="18"/>
      <c r="C20" s="18"/>
      <c r="D20" s="1"/>
      <c r="E20" s="2"/>
      <c r="F20" s="1084"/>
      <c r="G20" s="1084"/>
      <c r="H20" s="1084"/>
      <c r="I20" s="1084"/>
      <c r="J20" s="1084"/>
      <c r="K20" s="1084"/>
      <c r="L20" s="1084"/>
      <c r="M20" s="15"/>
      <c r="N20" s="1448"/>
      <c r="O20" s="1448"/>
      <c r="P20" s="1448"/>
      <c r="Q20" s="1448"/>
      <c r="R20" s="1448"/>
      <c r="S20" s="1448"/>
      <c r="T20" s="2"/>
      <c r="U20" s="2"/>
      <c r="V20" s="2"/>
      <c r="W20" s="153"/>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row>
    <row r="21" spans="1:57" ht="24.95" customHeight="1" x14ac:dyDescent="0.25">
      <c r="A21" s="18"/>
      <c r="B21" s="18"/>
      <c r="C21" s="18"/>
      <c r="D21" s="1"/>
      <c r="E21" s="2"/>
      <c r="F21" s="1149" t="s">
        <v>124</v>
      </c>
      <c r="G21" s="1094"/>
      <c r="H21" s="1094"/>
      <c r="I21" s="1094"/>
      <c r="J21" s="1094"/>
      <c r="K21" s="1094"/>
      <c r="L21" s="1104"/>
      <c r="M21" s="148" t="s">
        <v>186</v>
      </c>
      <c r="N21" s="981"/>
      <c r="O21" s="982"/>
      <c r="P21" s="982"/>
      <c r="Q21" s="982"/>
      <c r="R21" s="982"/>
      <c r="S21" s="1212"/>
      <c r="T21" s="2"/>
      <c r="U21" s="2"/>
      <c r="V21" s="2"/>
      <c r="W21" s="153"/>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row>
    <row r="22" spans="1:57" ht="20.100000000000001" hidden="1" customHeight="1" x14ac:dyDescent="0.25">
      <c r="A22" s="18"/>
      <c r="B22" s="18"/>
      <c r="C22" s="18"/>
      <c r="D22" s="1"/>
      <c r="E22" s="2"/>
      <c r="F22" s="2"/>
      <c r="G22" s="2"/>
      <c r="H22" s="2"/>
      <c r="I22" s="2"/>
      <c r="J22" s="2"/>
      <c r="K22" s="2"/>
      <c r="L22" s="2"/>
      <c r="M22" s="2"/>
      <c r="N22" s="2"/>
      <c r="O22" s="2"/>
      <c r="P22" s="2"/>
      <c r="Q22" s="2"/>
      <c r="R22" s="2"/>
      <c r="S22" s="2"/>
      <c r="T22" s="2"/>
      <c r="U22" s="2"/>
      <c r="V22" s="2"/>
      <c r="W22" s="153"/>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row>
    <row r="23" spans="1:57" ht="20.100000000000001" hidden="1" customHeight="1" x14ac:dyDescent="0.25">
      <c r="A23" s="18"/>
      <c r="B23" s="18"/>
      <c r="C23" s="18"/>
      <c r="D23" s="1"/>
      <c r="E23" s="2"/>
      <c r="AZ23" s="2"/>
      <c r="BA23" s="2"/>
      <c r="BB23" s="2"/>
      <c r="BC23" s="2"/>
      <c r="BD23" s="2"/>
      <c r="BE23" s="2"/>
    </row>
    <row r="24" spans="1:57" ht="20.100000000000001" customHeight="1" x14ac:dyDescent="0.25">
      <c r="A24" s="18"/>
      <c r="B24" s="18"/>
      <c r="C24" s="18"/>
      <c r="D24" s="1"/>
      <c r="E24" s="2"/>
      <c r="AZ24" s="2"/>
      <c r="BA24" s="2"/>
      <c r="BB24" s="2"/>
      <c r="BC24" s="2"/>
      <c r="BD24" s="2"/>
      <c r="BE24" s="2"/>
    </row>
    <row r="25" spans="1:57" ht="50.1" customHeight="1" x14ac:dyDescent="0.25">
      <c r="A25" s="18"/>
      <c r="B25" s="18"/>
      <c r="C25" s="18"/>
      <c r="D25" s="1"/>
      <c r="E25" s="2"/>
      <c r="F25" s="1149" t="s">
        <v>87</v>
      </c>
      <c r="G25" s="1094"/>
      <c r="H25" s="1094"/>
      <c r="I25" s="1094"/>
      <c r="J25" s="1094"/>
      <c r="K25" s="1094"/>
      <c r="L25" s="1104"/>
      <c r="M25" s="148" t="s">
        <v>186</v>
      </c>
      <c r="N25" s="1147"/>
      <c r="O25" s="1096"/>
      <c r="P25" s="1096"/>
      <c r="Q25" s="1096"/>
      <c r="R25" s="1096"/>
      <c r="S25" s="1097"/>
      <c r="BE25" s="2"/>
    </row>
    <row r="26" spans="1:57" ht="50.1" customHeight="1" x14ac:dyDescent="0.25">
      <c r="A26" s="18"/>
      <c r="B26" s="18"/>
      <c r="C26" s="18"/>
      <c r="D26" s="1"/>
      <c r="E26" s="2"/>
      <c r="F26" s="1149" t="s">
        <v>349</v>
      </c>
      <c r="G26" s="1094"/>
      <c r="H26" s="1094"/>
      <c r="I26" s="1094"/>
      <c r="J26" s="1094"/>
      <c r="K26" s="1094"/>
      <c r="L26" s="1094"/>
      <c r="M26" s="148" t="s">
        <v>186</v>
      </c>
      <c r="N26" s="1449"/>
      <c r="O26" s="1450"/>
      <c r="P26" s="1450"/>
      <c r="Q26" s="1450"/>
      <c r="R26" s="1450"/>
      <c r="S26" s="1451"/>
      <c r="BE26" s="2"/>
    </row>
    <row r="27" spans="1:57" ht="20.100000000000001" customHeight="1" x14ac:dyDescent="0.25">
      <c r="A27" s="18"/>
      <c r="B27" s="18"/>
      <c r="C27" s="18"/>
      <c r="D27" s="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0.100000000000001" customHeight="1" x14ac:dyDescent="0.25">
      <c r="A28" s="18"/>
      <c r="B28" s="18"/>
      <c r="C28" s="18"/>
      <c r="D28" s="1"/>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row>
    <row r="29" spans="1:57" ht="20.100000000000001" customHeight="1" x14ac:dyDescent="0.25">
      <c r="A29" s="18"/>
      <c r="B29" s="18"/>
      <c r="C29" s="18"/>
      <c r="D29" s="1"/>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row>
    <row r="30" spans="1:57" ht="30" customHeight="1" x14ac:dyDescent="0.25">
      <c r="A30" s="18"/>
      <c r="B30" s="18"/>
      <c r="C30" s="18"/>
      <c r="D30" s="1"/>
      <c r="E30" s="2"/>
      <c r="F30" s="1149" t="s">
        <v>350</v>
      </c>
      <c r="G30" s="1094"/>
      <c r="H30" s="1094"/>
      <c r="I30" s="1094"/>
      <c r="J30" s="1094"/>
      <c r="K30" s="1094"/>
      <c r="L30" s="1104"/>
      <c r="M30" s="181" t="s">
        <v>186</v>
      </c>
      <c r="N30" s="981"/>
      <c r="O30" s="982"/>
      <c r="P30" s="982"/>
      <c r="Q30" s="982"/>
      <c r="R30" s="982"/>
      <c r="S30" s="121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row>
    <row r="31" spans="1:57" ht="20.100000000000001" customHeight="1" x14ac:dyDescent="0.25">
      <c r="A31" s="18"/>
      <c r="B31" s="18"/>
      <c r="C31" s="18"/>
      <c r="D31" s="1"/>
      <c r="E31" s="2"/>
      <c r="F31" s="2"/>
      <c r="G31" s="2"/>
      <c r="H31" s="2"/>
      <c r="I31" s="2"/>
      <c r="J31" s="2"/>
      <c r="K31" s="2"/>
      <c r="L31" s="2"/>
      <c r="M31" s="2"/>
      <c r="N31" s="277" t="s">
        <v>248</v>
      </c>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row>
    <row r="32" spans="1:57" ht="15" customHeight="1" x14ac:dyDescent="0.25">
      <c r="A32" s="18"/>
      <c r="B32" s="18"/>
      <c r="C32" s="18"/>
      <c r="D32" s="1"/>
      <c r="E32" s="2"/>
      <c r="F32" s="2"/>
      <c r="G32" s="2"/>
      <c r="H32" s="2"/>
      <c r="I32" s="2"/>
      <c r="J32" s="2"/>
      <c r="K32" s="2"/>
      <c r="L32" s="2"/>
      <c r="M32" s="2"/>
      <c r="N32" s="2"/>
      <c r="O32" s="2"/>
      <c r="P32" s="2"/>
      <c r="Q32" s="2"/>
      <c r="R32" s="2"/>
      <c r="S32" s="2"/>
      <c r="T32" s="2"/>
      <c r="U32" s="2"/>
      <c r="V32" s="2"/>
      <c r="W32" s="2"/>
      <c r="X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row>
    <row r="33" spans="1:57" ht="20.100000000000001" customHeight="1" x14ac:dyDescent="0.25">
      <c r="A33" s="18"/>
      <c r="B33" s="18"/>
      <c r="C33" s="18"/>
      <c r="D33" s="1"/>
      <c r="E33" s="2"/>
      <c r="F33" s="2"/>
      <c r="G33" s="2"/>
      <c r="H33" s="2"/>
      <c r="I33" s="2"/>
      <c r="J33" s="1435" t="s">
        <v>207</v>
      </c>
      <c r="K33" s="1436"/>
      <c r="L33" s="1436"/>
      <c r="M33" s="1436"/>
      <c r="N33" s="1436"/>
      <c r="O33" s="1436"/>
      <c r="P33" s="1436"/>
      <c r="Q33" s="1436"/>
      <c r="R33" s="1436"/>
      <c r="S33" s="1436"/>
      <c r="T33" s="1436"/>
      <c r="U33" s="1436"/>
      <c r="V33" s="1436"/>
      <c r="W33" s="1436"/>
      <c r="X33" s="1436"/>
      <c r="Y33" s="1436"/>
      <c r="Z33" s="2"/>
      <c r="AA33" s="2"/>
      <c r="AB33" s="2"/>
      <c r="AC33" s="2"/>
      <c r="AD33" s="2"/>
      <c r="AE33" s="2"/>
      <c r="AF33" s="2"/>
      <c r="AG33" s="1436" t="s">
        <v>208</v>
      </c>
      <c r="AH33" s="1436"/>
      <c r="AI33" s="1436"/>
      <c r="AJ33" s="1436"/>
      <c r="AK33" s="1436"/>
      <c r="AL33" s="1436"/>
      <c r="AM33" s="1436"/>
      <c r="AN33" s="1436"/>
      <c r="AO33" s="1436"/>
      <c r="AP33" s="1436"/>
      <c r="AQ33" s="1436"/>
      <c r="AR33" s="1436"/>
      <c r="AS33" s="1436"/>
      <c r="AT33" s="1436"/>
      <c r="AU33" s="1436"/>
      <c r="AV33" s="1440"/>
      <c r="AW33" s="2"/>
      <c r="AX33" s="2"/>
      <c r="AY33" s="2"/>
      <c r="AZ33" s="2"/>
      <c r="BA33" s="2"/>
    </row>
    <row r="34" spans="1:57" ht="20.100000000000001" customHeight="1" x14ac:dyDescent="0.25">
      <c r="A34" s="18"/>
      <c r="B34" s="18"/>
      <c r="C34" s="18"/>
      <c r="D34" s="1"/>
      <c r="E34" s="2"/>
      <c r="F34" s="2"/>
      <c r="G34" s="2"/>
      <c r="H34" s="2"/>
      <c r="I34" s="2"/>
      <c r="J34" s="1437" t="s">
        <v>8098</v>
      </c>
      <c r="K34" s="1438"/>
      <c r="L34" s="1438"/>
      <c r="M34" s="1438"/>
      <c r="N34" s="1438"/>
      <c r="O34" s="1438"/>
      <c r="P34" s="1438"/>
      <c r="Q34" s="1438"/>
      <c r="R34" s="1437" t="s">
        <v>80</v>
      </c>
      <c r="S34" s="1438"/>
      <c r="T34" s="1438"/>
      <c r="U34" s="1438"/>
      <c r="V34" s="1438"/>
      <c r="W34" s="1438"/>
      <c r="X34" s="1438"/>
      <c r="Y34" s="1439"/>
      <c r="Z34" s="278"/>
      <c r="AA34" s="278"/>
      <c r="AB34" s="278"/>
      <c r="AC34" s="278"/>
      <c r="AD34" s="278"/>
      <c r="AE34" s="278"/>
      <c r="AF34" s="278"/>
      <c r="AG34" s="1437" t="s">
        <v>79</v>
      </c>
      <c r="AH34" s="1438"/>
      <c r="AI34" s="1438"/>
      <c r="AJ34" s="1438"/>
      <c r="AK34" s="1438"/>
      <c r="AL34" s="1438"/>
      <c r="AM34" s="1438"/>
      <c r="AN34" s="1439"/>
      <c r="AO34" s="1437" t="s">
        <v>80</v>
      </c>
      <c r="AP34" s="1438"/>
      <c r="AQ34" s="1438"/>
      <c r="AR34" s="1438"/>
      <c r="AS34" s="1438"/>
      <c r="AT34" s="1438"/>
      <c r="AU34" s="1438"/>
      <c r="AV34" s="1439"/>
      <c r="AW34" s="2"/>
      <c r="AX34" s="2"/>
      <c r="AY34" s="2"/>
      <c r="AZ34" s="2"/>
      <c r="BA34" s="2"/>
    </row>
    <row r="35" spans="1:57" ht="20.100000000000001" customHeight="1" x14ac:dyDescent="0.25">
      <c r="A35" s="18"/>
      <c r="B35" s="18"/>
      <c r="C35" s="18"/>
      <c r="D35" s="1"/>
      <c r="E35" s="2"/>
      <c r="F35" s="1366" t="s">
        <v>347</v>
      </c>
      <c r="G35" s="1367"/>
      <c r="H35" s="1367"/>
      <c r="I35" s="1368"/>
      <c r="J35" s="1366" t="s">
        <v>10</v>
      </c>
      <c r="K35" s="1367"/>
      <c r="L35" s="1367"/>
      <c r="M35" s="1368"/>
      <c r="N35" s="1366" t="s">
        <v>237</v>
      </c>
      <c r="O35" s="1367"/>
      <c r="P35" s="1367"/>
      <c r="Q35" s="1367"/>
      <c r="R35" s="1366" t="s">
        <v>10</v>
      </c>
      <c r="S35" s="1367"/>
      <c r="T35" s="1367"/>
      <c r="U35" s="1368"/>
      <c r="V35" s="1366" t="s">
        <v>237</v>
      </c>
      <c r="W35" s="1367"/>
      <c r="X35" s="1367"/>
      <c r="Y35" s="1368"/>
      <c r="Z35" s="2"/>
      <c r="AA35" s="2"/>
      <c r="AB35" s="2"/>
      <c r="AC35" s="1366" t="s">
        <v>347</v>
      </c>
      <c r="AD35" s="1367"/>
      <c r="AE35" s="1367"/>
      <c r="AF35" s="1368"/>
      <c r="AG35" s="1366" t="s">
        <v>10</v>
      </c>
      <c r="AH35" s="1367"/>
      <c r="AI35" s="1367"/>
      <c r="AJ35" s="1368"/>
      <c r="AK35" s="1366" t="s">
        <v>237</v>
      </c>
      <c r="AL35" s="1367"/>
      <c r="AM35" s="1367"/>
      <c r="AN35" s="1368"/>
      <c r="AO35" s="1366" t="s">
        <v>10</v>
      </c>
      <c r="AP35" s="1367"/>
      <c r="AQ35" s="1367"/>
      <c r="AR35" s="1368"/>
      <c r="AS35" s="1366" t="s">
        <v>237</v>
      </c>
      <c r="AT35" s="1367"/>
      <c r="AU35" s="1367"/>
      <c r="AV35" s="1368"/>
      <c r="AW35" s="2"/>
      <c r="AX35" s="2"/>
      <c r="AY35" s="2"/>
      <c r="AZ35" s="2"/>
      <c r="BA35" s="2"/>
    </row>
    <row r="36" spans="1:57" ht="20.100000000000001" customHeight="1" x14ac:dyDescent="0.25">
      <c r="A36" s="18"/>
      <c r="B36" s="18"/>
      <c r="C36" s="18"/>
      <c r="D36" s="1"/>
      <c r="E36" s="2"/>
      <c r="F36" s="1366" t="s">
        <v>5800</v>
      </c>
      <c r="G36" s="1367"/>
      <c r="H36" s="1367"/>
      <c r="I36" s="1368"/>
      <c r="J36" s="1429" t="s">
        <v>109</v>
      </c>
      <c r="K36" s="1430"/>
      <c r="L36" s="1429" t="s">
        <v>110</v>
      </c>
      <c r="M36" s="1430"/>
      <c r="N36" s="1429" t="s">
        <v>109</v>
      </c>
      <c r="O36" s="1430"/>
      <c r="P36" s="1429" t="s">
        <v>110</v>
      </c>
      <c r="Q36" s="1431"/>
      <c r="R36" s="1429" t="s">
        <v>109</v>
      </c>
      <c r="S36" s="1430"/>
      <c r="T36" s="1429" t="s">
        <v>110</v>
      </c>
      <c r="U36" s="1430"/>
      <c r="V36" s="1429" t="s">
        <v>109</v>
      </c>
      <c r="W36" s="1430"/>
      <c r="X36" s="1429" t="s">
        <v>110</v>
      </c>
      <c r="Y36" s="1430"/>
      <c r="Z36" s="2"/>
      <c r="AA36" s="2"/>
      <c r="AB36" s="2"/>
      <c r="AC36" s="1366" t="s">
        <v>5800</v>
      </c>
      <c r="AD36" s="1367"/>
      <c r="AE36" s="1367"/>
      <c r="AF36" s="1368"/>
      <c r="AG36" s="1429" t="s">
        <v>109</v>
      </c>
      <c r="AH36" s="1430"/>
      <c r="AI36" s="1429" t="s">
        <v>110</v>
      </c>
      <c r="AJ36" s="1430"/>
      <c r="AK36" s="1429" t="s">
        <v>109</v>
      </c>
      <c r="AL36" s="1430"/>
      <c r="AM36" s="1429" t="s">
        <v>110</v>
      </c>
      <c r="AN36" s="1430"/>
      <c r="AO36" s="1431" t="s">
        <v>109</v>
      </c>
      <c r="AP36" s="1430"/>
      <c r="AQ36" s="1429" t="s">
        <v>110</v>
      </c>
      <c r="AR36" s="1430"/>
      <c r="AS36" s="1429" t="s">
        <v>109</v>
      </c>
      <c r="AT36" s="1430"/>
      <c r="AU36" s="1429" t="s">
        <v>110</v>
      </c>
      <c r="AV36" s="1430"/>
      <c r="AW36" s="2"/>
      <c r="AX36" s="2"/>
      <c r="AY36" s="2"/>
      <c r="AZ36" s="2"/>
      <c r="BA36" s="2"/>
    </row>
    <row r="37" spans="1:57" ht="20.100000000000001" customHeight="1" x14ac:dyDescent="0.25">
      <c r="A37" s="18"/>
      <c r="B37" s="18"/>
      <c r="C37" s="18"/>
      <c r="D37" s="1"/>
      <c r="E37" s="2"/>
      <c r="F37" s="1366" t="s">
        <v>90</v>
      </c>
      <c r="G37" s="1367"/>
      <c r="H37" s="1367"/>
      <c r="I37" s="1368"/>
      <c r="J37" s="1218"/>
      <c r="K37" s="1220"/>
      <c r="L37" s="1218"/>
      <c r="M37" s="1220"/>
      <c r="N37" s="1218"/>
      <c r="O37" s="1220"/>
      <c r="P37" s="1218"/>
      <c r="Q37" s="1220"/>
      <c r="R37" s="1441"/>
      <c r="S37" s="1442"/>
      <c r="T37" s="1441"/>
      <c r="U37" s="1442"/>
      <c r="V37" s="1441"/>
      <c r="W37" s="1442"/>
      <c r="X37" s="1441"/>
      <c r="Y37" s="1442"/>
      <c r="Z37" s="2"/>
      <c r="AA37" s="2"/>
      <c r="AB37" s="2"/>
      <c r="AC37" s="1366" t="s">
        <v>90</v>
      </c>
      <c r="AD37" s="1367"/>
      <c r="AE37" s="1367"/>
      <c r="AF37" s="1368"/>
      <c r="AG37" s="1218"/>
      <c r="AH37" s="1220"/>
      <c r="AI37" s="1218"/>
      <c r="AJ37" s="1220"/>
      <c r="AK37" s="1218"/>
      <c r="AL37" s="1220"/>
      <c r="AM37" s="1218"/>
      <c r="AN37" s="1220"/>
      <c r="AO37" s="1441"/>
      <c r="AP37" s="1442"/>
      <c r="AQ37" s="1441"/>
      <c r="AR37" s="1442"/>
      <c r="AS37" s="1441"/>
      <c r="AT37" s="1442"/>
      <c r="AU37" s="1441"/>
      <c r="AV37" s="1442"/>
      <c r="AW37" s="2"/>
      <c r="AX37" s="2"/>
      <c r="AY37" s="2"/>
      <c r="AZ37" s="2"/>
      <c r="BA37" s="2"/>
    </row>
    <row r="38" spans="1:57" ht="20.100000000000001" customHeight="1" x14ac:dyDescent="0.25">
      <c r="A38" s="18"/>
      <c r="B38" s="18"/>
      <c r="C38" s="18"/>
      <c r="D38" s="1"/>
      <c r="E38" s="2"/>
      <c r="F38" s="1366" t="s">
        <v>91</v>
      </c>
      <c r="G38" s="1367"/>
      <c r="H38" s="1367"/>
      <c r="I38" s="1368"/>
      <c r="J38" s="1218"/>
      <c r="K38" s="1220"/>
      <c r="L38" s="1218"/>
      <c r="M38" s="1220"/>
      <c r="N38" s="1218"/>
      <c r="O38" s="1220"/>
      <c r="P38" s="1218"/>
      <c r="Q38" s="1220"/>
      <c r="R38" s="1441"/>
      <c r="S38" s="1442"/>
      <c r="T38" s="1441"/>
      <c r="U38" s="1442"/>
      <c r="V38" s="1441"/>
      <c r="W38" s="1442"/>
      <c r="X38" s="1441"/>
      <c r="Y38" s="1442"/>
      <c r="Z38" s="2"/>
      <c r="AA38" s="2"/>
      <c r="AB38" s="2"/>
      <c r="AC38" s="1366" t="s">
        <v>91</v>
      </c>
      <c r="AD38" s="1367"/>
      <c r="AE38" s="1367"/>
      <c r="AF38" s="1368"/>
      <c r="AG38" s="1218"/>
      <c r="AH38" s="1220"/>
      <c r="AI38" s="1218"/>
      <c r="AJ38" s="1220"/>
      <c r="AK38" s="1218"/>
      <c r="AL38" s="1220"/>
      <c r="AM38" s="1218"/>
      <c r="AN38" s="1220"/>
      <c r="AO38" s="1441"/>
      <c r="AP38" s="1442"/>
      <c r="AQ38" s="1441"/>
      <c r="AR38" s="1442"/>
      <c r="AS38" s="1441"/>
      <c r="AT38" s="1442"/>
      <c r="AU38" s="1441"/>
      <c r="AV38" s="1442"/>
      <c r="AW38" s="2"/>
      <c r="AX38" s="2"/>
      <c r="AY38" s="2"/>
      <c r="AZ38" s="2"/>
      <c r="BA38" s="2"/>
    </row>
    <row r="39" spans="1:57" ht="20.100000000000001" customHeight="1" x14ac:dyDescent="0.25">
      <c r="A39" s="18"/>
      <c r="B39" s="18"/>
      <c r="C39" s="18"/>
      <c r="D39" s="1"/>
      <c r="E39" s="2"/>
      <c r="F39" s="1366" t="s">
        <v>92</v>
      </c>
      <c r="G39" s="1367"/>
      <c r="H39" s="1367"/>
      <c r="I39" s="1368"/>
      <c r="J39" s="1218"/>
      <c r="K39" s="1220"/>
      <c r="L39" s="1218"/>
      <c r="M39" s="1220"/>
      <c r="N39" s="1218"/>
      <c r="O39" s="1220"/>
      <c r="P39" s="1218"/>
      <c r="Q39" s="1220"/>
      <c r="R39" s="1441"/>
      <c r="S39" s="1442"/>
      <c r="T39" s="1441"/>
      <c r="U39" s="1442"/>
      <c r="V39" s="1441"/>
      <c r="W39" s="1442"/>
      <c r="X39" s="1441"/>
      <c r="Y39" s="1442"/>
      <c r="Z39" s="2"/>
      <c r="AA39" s="2"/>
      <c r="AB39" s="2"/>
      <c r="AC39" s="1366" t="s">
        <v>92</v>
      </c>
      <c r="AD39" s="1367"/>
      <c r="AE39" s="1367"/>
      <c r="AF39" s="1368"/>
      <c r="AG39" s="1218"/>
      <c r="AH39" s="1220"/>
      <c r="AI39" s="1218"/>
      <c r="AJ39" s="1220"/>
      <c r="AK39" s="1218"/>
      <c r="AL39" s="1220"/>
      <c r="AM39" s="1218"/>
      <c r="AN39" s="1220"/>
      <c r="AO39" s="1441"/>
      <c r="AP39" s="1442"/>
      <c r="AQ39" s="1441"/>
      <c r="AR39" s="1442"/>
      <c r="AS39" s="1441"/>
      <c r="AT39" s="1442"/>
      <c r="AU39" s="1441"/>
      <c r="AV39" s="1442"/>
      <c r="AW39" s="2"/>
      <c r="AX39" s="2"/>
      <c r="AY39" s="2"/>
      <c r="AZ39" s="2"/>
      <c r="BA39" s="2"/>
    </row>
    <row r="40" spans="1:57" ht="20.100000000000001" customHeight="1" x14ac:dyDescent="0.25">
      <c r="A40" s="18"/>
      <c r="B40" s="18"/>
      <c r="C40" s="18"/>
      <c r="D40" s="1"/>
      <c r="E40" s="2"/>
      <c r="F40" s="1366" t="s">
        <v>93</v>
      </c>
      <c r="G40" s="1367"/>
      <c r="H40" s="1367"/>
      <c r="I40" s="1368"/>
      <c r="J40" s="1218"/>
      <c r="K40" s="1220"/>
      <c r="L40" s="1218"/>
      <c r="M40" s="1220"/>
      <c r="N40" s="1218"/>
      <c r="O40" s="1220"/>
      <c r="P40" s="1218"/>
      <c r="Q40" s="1220"/>
      <c r="R40" s="1441"/>
      <c r="S40" s="1442"/>
      <c r="T40" s="1441"/>
      <c r="U40" s="1442"/>
      <c r="V40" s="1441"/>
      <c r="W40" s="1442"/>
      <c r="X40" s="1441"/>
      <c r="Y40" s="1442"/>
      <c r="Z40" s="2"/>
      <c r="AA40" s="2"/>
      <c r="AB40" s="2"/>
      <c r="AC40" s="1366" t="s">
        <v>93</v>
      </c>
      <c r="AD40" s="1367"/>
      <c r="AE40" s="1367"/>
      <c r="AF40" s="1368"/>
      <c r="AG40" s="1218"/>
      <c r="AH40" s="1220"/>
      <c r="AI40" s="1218"/>
      <c r="AJ40" s="1220"/>
      <c r="AK40" s="1218"/>
      <c r="AL40" s="1220"/>
      <c r="AM40" s="1218"/>
      <c r="AN40" s="1220"/>
      <c r="AO40" s="1441"/>
      <c r="AP40" s="1442"/>
      <c r="AQ40" s="1441"/>
      <c r="AR40" s="1442"/>
      <c r="AS40" s="1441"/>
      <c r="AT40" s="1442"/>
      <c r="AU40" s="1441"/>
      <c r="AV40" s="1442"/>
      <c r="AW40" s="2"/>
      <c r="AX40" s="2"/>
      <c r="AY40" s="2"/>
      <c r="AZ40" s="2"/>
      <c r="BA40" s="2"/>
    </row>
    <row r="41" spans="1:57" ht="20.100000000000001" customHeight="1" x14ac:dyDescent="0.25">
      <c r="A41" s="18"/>
      <c r="B41" s="18"/>
      <c r="C41" s="18"/>
      <c r="D41" s="1"/>
      <c r="E41" s="2"/>
      <c r="F41" s="1366" t="s">
        <v>94</v>
      </c>
      <c r="G41" s="1367"/>
      <c r="H41" s="1367"/>
      <c r="I41" s="1368"/>
      <c r="J41" s="1218"/>
      <c r="K41" s="1220"/>
      <c r="L41" s="1218"/>
      <c r="M41" s="1220"/>
      <c r="N41" s="1218"/>
      <c r="O41" s="1220"/>
      <c r="P41" s="1218"/>
      <c r="Q41" s="1220"/>
      <c r="R41" s="1441"/>
      <c r="S41" s="1442"/>
      <c r="T41" s="1441"/>
      <c r="U41" s="1442"/>
      <c r="V41" s="1441"/>
      <c r="W41" s="1442"/>
      <c r="X41" s="1441"/>
      <c r="Y41" s="1442"/>
      <c r="Z41" s="2"/>
      <c r="AA41" s="2"/>
      <c r="AB41" s="2"/>
      <c r="AC41" s="1366" t="s">
        <v>94</v>
      </c>
      <c r="AD41" s="1367"/>
      <c r="AE41" s="1367"/>
      <c r="AF41" s="1368"/>
      <c r="AG41" s="1218"/>
      <c r="AH41" s="1220"/>
      <c r="AI41" s="1218"/>
      <c r="AJ41" s="1220"/>
      <c r="AK41" s="1218"/>
      <c r="AL41" s="1220"/>
      <c r="AM41" s="1218"/>
      <c r="AN41" s="1220"/>
      <c r="AO41" s="1441"/>
      <c r="AP41" s="1442"/>
      <c r="AQ41" s="1441"/>
      <c r="AR41" s="1442"/>
      <c r="AS41" s="1441"/>
      <c r="AT41" s="1442"/>
      <c r="AU41" s="1441"/>
      <c r="AV41" s="1442"/>
      <c r="AW41" s="2"/>
      <c r="AX41" s="2"/>
      <c r="AY41" s="2"/>
      <c r="AZ41" s="2"/>
      <c r="BA41" s="2"/>
    </row>
    <row r="42" spans="1:57" ht="20.100000000000001" customHeight="1" x14ac:dyDescent="0.25">
      <c r="A42" s="18"/>
      <c r="B42" s="18"/>
      <c r="C42" s="18"/>
      <c r="D42" s="1"/>
      <c r="E42" s="2"/>
      <c r="F42" s="1366" t="s">
        <v>95</v>
      </c>
      <c r="G42" s="1367"/>
      <c r="H42" s="1367"/>
      <c r="I42" s="1368"/>
      <c r="J42" s="1218"/>
      <c r="K42" s="1220"/>
      <c r="L42" s="1218"/>
      <c r="M42" s="1220"/>
      <c r="N42" s="1218"/>
      <c r="O42" s="1220"/>
      <c r="P42" s="1218"/>
      <c r="Q42" s="1220"/>
      <c r="R42" s="1441"/>
      <c r="S42" s="1442"/>
      <c r="T42" s="1441"/>
      <c r="U42" s="1442"/>
      <c r="V42" s="1441"/>
      <c r="W42" s="1442"/>
      <c r="X42" s="1441"/>
      <c r="Y42" s="1442"/>
      <c r="Z42" s="2"/>
      <c r="AA42" s="2"/>
      <c r="AB42" s="2"/>
      <c r="AC42" s="1366" t="s">
        <v>95</v>
      </c>
      <c r="AD42" s="1367"/>
      <c r="AE42" s="1367"/>
      <c r="AF42" s="1368"/>
      <c r="AG42" s="1218"/>
      <c r="AH42" s="1220"/>
      <c r="AI42" s="1218"/>
      <c r="AJ42" s="1220"/>
      <c r="AK42" s="1218"/>
      <c r="AL42" s="1220"/>
      <c r="AM42" s="1218"/>
      <c r="AN42" s="1220"/>
      <c r="AO42" s="1441"/>
      <c r="AP42" s="1442"/>
      <c r="AQ42" s="1441"/>
      <c r="AR42" s="1442"/>
      <c r="AS42" s="1441"/>
      <c r="AT42" s="1442"/>
      <c r="AU42" s="1441"/>
      <c r="AV42" s="1442"/>
      <c r="AW42" s="2"/>
      <c r="AX42" s="2"/>
      <c r="AY42" s="2"/>
      <c r="AZ42" s="2"/>
      <c r="BA42" s="2"/>
    </row>
    <row r="43" spans="1:57" ht="20.100000000000001" customHeight="1" x14ac:dyDescent="0.25">
      <c r="A43" s="18"/>
      <c r="B43" s="18"/>
      <c r="C43" s="18"/>
      <c r="D43" s="1"/>
      <c r="E43" s="2"/>
      <c r="F43" s="1366" t="s">
        <v>96</v>
      </c>
      <c r="G43" s="1367"/>
      <c r="H43" s="1367"/>
      <c r="I43" s="1368"/>
      <c r="J43" s="1218"/>
      <c r="K43" s="1220"/>
      <c r="L43" s="1218"/>
      <c r="M43" s="1220"/>
      <c r="N43" s="1218"/>
      <c r="O43" s="1220"/>
      <c r="P43" s="1218"/>
      <c r="Q43" s="1220"/>
      <c r="R43" s="1441"/>
      <c r="S43" s="1442"/>
      <c r="T43" s="1441"/>
      <c r="U43" s="1442"/>
      <c r="V43" s="1441"/>
      <c r="W43" s="1442"/>
      <c r="X43" s="1441"/>
      <c r="Y43" s="1442"/>
      <c r="Z43" s="2"/>
      <c r="AA43" s="2"/>
      <c r="AB43" s="2"/>
      <c r="AC43" s="1366" t="s">
        <v>96</v>
      </c>
      <c r="AD43" s="1367"/>
      <c r="AE43" s="1367"/>
      <c r="AF43" s="1368"/>
      <c r="AG43" s="1218"/>
      <c r="AH43" s="1220"/>
      <c r="AI43" s="1218"/>
      <c r="AJ43" s="1220"/>
      <c r="AK43" s="1218"/>
      <c r="AL43" s="1220"/>
      <c r="AM43" s="1218"/>
      <c r="AN43" s="1220"/>
      <c r="AO43" s="1441"/>
      <c r="AP43" s="1442"/>
      <c r="AQ43" s="1441"/>
      <c r="AR43" s="1442"/>
      <c r="AS43" s="1441"/>
      <c r="AT43" s="1442"/>
      <c r="AU43" s="1441"/>
      <c r="AV43" s="1442"/>
      <c r="AW43" s="2"/>
      <c r="AX43" s="2"/>
      <c r="AY43" s="2"/>
      <c r="AZ43" s="2"/>
      <c r="BA43" s="2"/>
    </row>
    <row r="44" spans="1:57" ht="20.100000000000001" customHeight="1" x14ac:dyDescent="0.25">
      <c r="A44" s="18"/>
      <c r="B44" s="18"/>
      <c r="C44" s="18"/>
      <c r="D44" s="1"/>
      <c r="E44" s="2"/>
      <c r="F44" s="1366" t="s">
        <v>97</v>
      </c>
      <c r="G44" s="1367"/>
      <c r="H44" s="1367"/>
      <c r="I44" s="1368"/>
      <c r="J44" s="1218"/>
      <c r="K44" s="1220"/>
      <c r="L44" s="1218"/>
      <c r="M44" s="1220"/>
      <c r="N44" s="1218"/>
      <c r="O44" s="1220"/>
      <c r="P44" s="1218"/>
      <c r="Q44" s="1220"/>
      <c r="R44" s="1441"/>
      <c r="S44" s="1442"/>
      <c r="T44" s="1441"/>
      <c r="U44" s="1442"/>
      <c r="V44" s="1441"/>
      <c r="W44" s="1442"/>
      <c r="X44" s="1441"/>
      <c r="Y44" s="1442"/>
      <c r="Z44" s="2"/>
      <c r="AA44" s="2"/>
      <c r="AB44" s="2"/>
      <c r="AC44" s="1366" t="s">
        <v>97</v>
      </c>
      <c r="AD44" s="1367"/>
      <c r="AE44" s="1367"/>
      <c r="AF44" s="1368"/>
      <c r="AG44" s="1218"/>
      <c r="AH44" s="1220"/>
      <c r="AI44" s="1218"/>
      <c r="AJ44" s="1220"/>
      <c r="AK44" s="1218"/>
      <c r="AL44" s="1220"/>
      <c r="AM44" s="1218"/>
      <c r="AN44" s="1220"/>
      <c r="AO44" s="1441"/>
      <c r="AP44" s="1442"/>
      <c r="AQ44" s="1441"/>
      <c r="AR44" s="1442"/>
      <c r="AS44" s="1441"/>
      <c r="AT44" s="1442"/>
      <c r="AU44" s="1441"/>
      <c r="AV44" s="1442"/>
      <c r="AW44" s="2"/>
      <c r="AX44" s="2"/>
      <c r="AY44" s="2"/>
      <c r="AZ44" s="2"/>
      <c r="BA44" s="2"/>
    </row>
    <row r="45" spans="1:57" ht="20.100000000000001" customHeight="1" x14ac:dyDescent="0.25">
      <c r="A45" s="18"/>
      <c r="B45" s="18"/>
      <c r="C45" s="18"/>
      <c r="D45" s="1"/>
      <c r="E45" s="2"/>
      <c r="F45" s="1366" t="s">
        <v>98</v>
      </c>
      <c r="G45" s="1367"/>
      <c r="H45" s="1367"/>
      <c r="I45" s="1368"/>
      <c r="J45" s="1218"/>
      <c r="K45" s="1220"/>
      <c r="L45" s="1218"/>
      <c r="M45" s="1220"/>
      <c r="N45" s="1218"/>
      <c r="O45" s="1220"/>
      <c r="P45" s="1218"/>
      <c r="Q45" s="1220"/>
      <c r="R45" s="1441"/>
      <c r="S45" s="1442"/>
      <c r="T45" s="1441"/>
      <c r="U45" s="1442"/>
      <c r="V45" s="1441"/>
      <c r="W45" s="1442"/>
      <c r="X45" s="1441"/>
      <c r="Y45" s="1442"/>
      <c r="Z45" s="2"/>
      <c r="AA45" s="2"/>
      <c r="AB45" s="2"/>
      <c r="AC45" s="1366" t="s">
        <v>98</v>
      </c>
      <c r="AD45" s="1367"/>
      <c r="AE45" s="1367"/>
      <c r="AF45" s="1368"/>
      <c r="AG45" s="1218"/>
      <c r="AH45" s="1220"/>
      <c r="AI45" s="1218"/>
      <c r="AJ45" s="1220"/>
      <c r="AK45" s="1218"/>
      <c r="AL45" s="1220"/>
      <c r="AM45" s="1218"/>
      <c r="AN45" s="1220"/>
      <c r="AO45" s="1441"/>
      <c r="AP45" s="1442"/>
      <c r="AQ45" s="1441"/>
      <c r="AR45" s="1442"/>
      <c r="AS45" s="1441"/>
      <c r="AT45" s="1442"/>
      <c r="AU45" s="1441"/>
      <c r="AV45" s="1442"/>
      <c r="AW45" s="2"/>
      <c r="AX45" s="2"/>
      <c r="AY45" s="2"/>
      <c r="AZ45" s="2"/>
      <c r="BA45" s="2"/>
    </row>
    <row r="46" spans="1:57" ht="20.100000000000001" customHeight="1" x14ac:dyDescent="0.25">
      <c r="A46" s="18"/>
      <c r="B46" s="18"/>
      <c r="C46" s="18"/>
      <c r="D46" s="1"/>
      <c r="E46" s="2"/>
      <c r="F46" s="1366" t="s">
        <v>99</v>
      </c>
      <c r="G46" s="1367"/>
      <c r="H46" s="1367"/>
      <c r="I46" s="1368"/>
      <c r="J46" s="1218"/>
      <c r="K46" s="1220"/>
      <c r="L46" s="1218"/>
      <c r="M46" s="1220"/>
      <c r="N46" s="1218"/>
      <c r="O46" s="1220"/>
      <c r="P46" s="1218"/>
      <c r="Q46" s="1220"/>
      <c r="R46" s="1441"/>
      <c r="S46" s="1442"/>
      <c r="T46" s="1441"/>
      <c r="U46" s="1442"/>
      <c r="V46" s="1441"/>
      <c r="W46" s="1442"/>
      <c r="X46" s="1441"/>
      <c r="Y46" s="1442"/>
      <c r="Z46" s="2"/>
      <c r="AA46" s="2"/>
      <c r="AB46" s="2"/>
      <c r="AC46" s="1366" t="s">
        <v>99</v>
      </c>
      <c r="AD46" s="1367"/>
      <c r="AE46" s="1367"/>
      <c r="AF46" s="1368"/>
      <c r="AG46" s="1218"/>
      <c r="AH46" s="1220"/>
      <c r="AI46" s="1218"/>
      <c r="AJ46" s="1220"/>
      <c r="AK46" s="1218"/>
      <c r="AL46" s="1220"/>
      <c r="AM46" s="1218"/>
      <c r="AN46" s="1220"/>
      <c r="AO46" s="1441"/>
      <c r="AP46" s="1442"/>
      <c r="AQ46" s="1441"/>
      <c r="AR46" s="1442"/>
      <c r="AS46" s="1441"/>
      <c r="AT46" s="1442"/>
      <c r="AU46" s="1441"/>
      <c r="AV46" s="1442"/>
      <c r="AW46" s="2"/>
      <c r="AX46" s="2"/>
      <c r="AY46" s="2"/>
      <c r="AZ46" s="2"/>
      <c r="BA46" s="2"/>
    </row>
    <row r="47" spans="1:57" ht="20.100000000000001" customHeight="1" x14ac:dyDescent="0.25">
      <c r="A47" s="18"/>
      <c r="B47" s="18"/>
      <c r="C47" s="18"/>
      <c r="D47" s="1"/>
      <c r="E47" s="2"/>
      <c r="F47" s="2"/>
      <c r="G47" s="2"/>
      <c r="H47" s="2"/>
      <c r="I47" s="2"/>
      <c r="J47" s="1425" t="s">
        <v>348</v>
      </c>
      <c r="K47" s="1425"/>
      <c r="L47" s="1425"/>
      <c r="M47" s="1425"/>
      <c r="N47" s="1425"/>
      <c r="O47" s="1425"/>
      <c r="P47" s="1425"/>
      <c r="Q47" s="1425"/>
      <c r="R47" s="1425"/>
      <c r="S47" s="1425"/>
      <c r="T47" s="1425"/>
      <c r="U47" s="1425"/>
      <c r="V47" s="1425"/>
      <c r="W47" s="1425"/>
      <c r="X47" s="1425"/>
      <c r="Y47" s="1425"/>
      <c r="Z47" s="1426"/>
      <c r="AA47" s="1426"/>
      <c r="AB47" s="1426"/>
      <c r="AC47" s="1425"/>
      <c r="AD47" s="1425"/>
      <c r="AE47" s="1425"/>
      <c r="AF47" s="1425"/>
      <c r="AG47" s="1425"/>
      <c r="AH47" s="1425"/>
      <c r="AI47" s="1425"/>
      <c r="AJ47" s="1425"/>
      <c r="AK47" s="1425"/>
      <c r="AL47" s="1425"/>
      <c r="AM47" s="1425"/>
      <c r="AN47" s="1425"/>
      <c r="AO47" s="1425"/>
      <c r="AP47" s="2"/>
      <c r="AQ47" s="2"/>
      <c r="AR47" s="2"/>
      <c r="AS47" s="2"/>
      <c r="AT47" s="2"/>
      <c r="AU47" s="2"/>
      <c r="AV47" s="2"/>
      <c r="AW47" s="2"/>
      <c r="AX47" s="2"/>
      <c r="AY47" s="2"/>
      <c r="AZ47" s="2"/>
      <c r="BA47" s="2"/>
      <c r="BB47" s="2"/>
      <c r="BC47" s="2"/>
      <c r="BD47" s="2"/>
      <c r="BE47" s="2"/>
    </row>
    <row r="48" spans="1:57" ht="20.100000000000001" customHeight="1" x14ac:dyDescent="0.25">
      <c r="A48" s="18"/>
      <c r="B48" s="18"/>
      <c r="C48" s="18"/>
      <c r="D48" s="1"/>
      <c r="E48" s="2"/>
      <c r="F48" s="2"/>
      <c r="G48" s="2"/>
      <c r="H48" s="2"/>
      <c r="I48" s="2"/>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426"/>
      <c r="AK48" s="1426"/>
      <c r="AL48" s="1426"/>
      <c r="AM48" s="1426"/>
      <c r="AN48" s="1426"/>
      <c r="AO48" s="1426"/>
      <c r="AP48" s="2"/>
      <c r="AQ48" s="2"/>
      <c r="AR48" s="2"/>
      <c r="AS48" s="2"/>
      <c r="AT48" s="2"/>
      <c r="AU48" s="2"/>
      <c r="AV48" s="2"/>
      <c r="AW48" s="2"/>
      <c r="AX48" s="2"/>
      <c r="AY48" s="2"/>
      <c r="AZ48" s="2"/>
      <c r="BA48" s="2"/>
      <c r="BB48" s="2"/>
      <c r="BC48" s="2"/>
      <c r="BD48" s="2"/>
      <c r="BE48" s="2"/>
    </row>
    <row r="49" spans="1:57" ht="20.100000000000001" customHeight="1" x14ac:dyDescent="0.25">
      <c r="A49" s="18"/>
      <c r="B49" s="18"/>
      <c r="C49" s="18"/>
      <c r="D49" s="1"/>
      <c r="E49" s="7"/>
      <c r="F49" s="7"/>
      <c r="G49" s="7"/>
      <c r="H49" s="7"/>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7"/>
      <c r="AP49" s="7"/>
      <c r="AQ49" s="7"/>
      <c r="AR49" s="7"/>
      <c r="AS49" s="7"/>
      <c r="AT49" s="7"/>
      <c r="AU49" s="7"/>
      <c r="AV49" s="7"/>
      <c r="AW49" s="7"/>
      <c r="AX49" s="7"/>
      <c r="AY49" s="7"/>
      <c r="AZ49" s="7"/>
      <c r="BA49" s="7"/>
      <c r="BB49" s="7"/>
      <c r="BC49" s="7"/>
      <c r="BD49" s="7"/>
      <c r="BE49" s="7"/>
    </row>
    <row r="50" spans="1:57" ht="20.100000000000001" hidden="1" customHeight="1" x14ac:dyDescent="0.25">
      <c r="A50" s="18"/>
      <c r="B50" s="18"/>
      <c r="C50" s="18"/>
      <c r="D50" s="1"/>
      <c r="E50" s="7"/>
      <c r="F50" s="2"/>
      <c r="G50" s="2"/>
      <c r="H50" s="2"/>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2"/>
      <c r="AP50" s="2"/>
      <c r="AQ50" s="2"/>
      <c r="AR50" s="2"/>
      <c r="AS50" s="2"/>
      <c r="AT50" s="2"/>
      <c r="AU50" s="2"/>
      <c r="AV50" s="2"/>
      <c r="AW50" s="2"/>
      <c r="AX50" s="2"/>
      <c r="AY50" s="2"/>
      <c r="AZ50" s="2"/>
      <c r="BA50" s="2"/>
      <c r="BB50" s="2"/>
      <c r="BC50" s="2"/>
      <c r="BD50" s="2"/>
      <c r="BE50" s="2"/>
    </row>
    <row r="51" spans="1:57" ht="20.100000000000001" customHeight="1" x14ac:dyDescent="0.25">
      <c r="A51" s="18"/>
      <c r="B51" s="18"/>
      <c r="C51" s="18"/>
      <c r="D51" s="1"/>
      <c r="E51" s="2"/>
      <c r="F51" s="2"/>
      <c r="G51" s="2"/>
      <c r="H51" s="2"/>
      <c r="I51" s="2"/>
      <c r="J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21.95" customHeight="1" x14ac:dyDescent="0.25">
      <c r="A52" s="18"/>
      <c r="B52" s="18"/>
      <c r="C52" s="18"/>
      <c r="D52" s="1"/>
      <c r="E52" s="2"/>
      <c r="F52" s="281" t="s">
        <v>8649</v>
      </c>
      <c r="G52" s="226" t="s">
        <v>8650</v>
      </c>
      <c r="H52" s="2"/>
      <c r="I52" s="2"/>
      <c r="J52" s="282"/>
      <c r="K52" s="226"/>
      <c r="L52" s="226"/>
      <c r="M52" s="226"/>
      <c r="N52" s="226"/>
      <c r="O52" s="226"/>
      <c r="P52" s="226"/>
      <c r="Q52" s="226"/>
      <c r="R52" s="283"/>
      <c r="S52" s="283"/>
      <c r="T52" s="283"/>
      <c r="U52" s="283"/>
      <c r="V52" s="283"/>
      <c r="W52" s="283"/>
      <c r="X52" s="283"/>
      <c r="Y52" s="283"/>
      <c r="Z52" s="283"/>
      <c r="AA52" s="283"/>
      <c r="AB52" s="283"/>
      <c r="AC52" s="283"/>
      <c r="AD52" s="283"/>
      <c r="AE52" s="283"/>
      <c r="AF52" s="283"/>
      <c r="AG52" s="283"/>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21.95" customHeight="1" outlineLevel="1" x14ac:dyDescent="0.25">
      <c r="A53" s="18"/>
      <c r="B53" s="18"/>
      <c r="C53" s="18"/>
      <c r="D53" s="1"/>
      <c r="E53" s="2"/>
      <c r="F53" s="1427" t="s">
        <v>8091</v>
      </c>
      <c r="G53" s="1427"/>
      <c r="H53" s="1427"/>
      <c r="I53" s="1428"/>
      <c r="J53" s="1464" t="s">
        <v>5741</v>
      </c>
      <c r="K53" s="1464"/>
      <c r="L53" s="1464"/>
      <c r="M53" s="1464"/>
      <c r="N53" s="1464"/>
      <c r="O53" s="1464"/>
      <c r="P53" s="1464"/>
      <c r="Q53" s="1464"/>
      <c r="R53" s="1358" t="s">
        <v>101</v>
      </c>
      <c r="S53" s="1358"/>
      <c r="T53" s="1358"/>
      <c r="U53" s="1358"/>
      <c r="V53" s="1358"/>
      <c r="W53" s="1358"/>
      <c r="X53" s="1358"/>
      <c r="Y53" s="1465"/>
      <c r="Z53" s="1466" t="s">
        <v>5743</v>
      </c>
      <c r="AA53" s="1466"/>
      <c r="AB53" s="1466"/>
      <c r="AC53" s="1466"/>
      <c r="AD53" s="1466"/>
      <c r="AE53" s="1466"/>
      <c r="AF53" s="1466"/>
      <c r="AG53" s="1467"/>
      <c r="AJ53" s="2"/>
    </row>
    <row r="54" spans="1:57" ht="21.95" customHeight="1" outlineLevel="1" x14ac:dyDescent="0.25">
      <c r="A54" s="18"/>
      <c r="B54" s="18"/>
      <c r="C54" s="18"/>
      <c r="D54" s="1"/>
      <c r="E54" s="2"/>
      <c r="F54" s="1427" t="s">
        <v>5802</v>
      </c>
      <c r="G54" s="1427"/>
      <c r="H54" s="1427"/>
      <c r="I54" s="1428"/>
      <c r="J54" s="1456" t="str">
        <f ca="1">Calculos!$CQ$11</f>
        <v>-</v>
      </c>
      <c r="K54" s="1457"/>
      <c r="L54" s="1457"/>
      <c r="M54" s="1457"/>
      <c r="N54" s="1457"/>
      <c r="O54" s="1457"/>
      <c r="P54" s="1457"/>
      <c r="Q54" s="1458"/>
      <c r="R54" s="1459" t="str">
        <f ca="1">Calculos!$CQ$16</f>
        <v>-</v>
      </c>
      <c r="S54" s="1460"/>
      <c r="T54" s="1460"/>
      <c r="U54" s="1460"/>
      <c r="V54" s="1460"/>
      <c r="W54" s="1460"/>
      <c r="X54" s="1460"/>
      <c r="Y54" s="1461"/>
      <c r="Z54" s="1462" t="str">
        <f ca="1">Calculos!$CQ$21</f>
        <v>-</v>
      </c>
      <c r="AA54" s="1462"/>
      <c r="AB54" s="1462"/>
      <c r="AC54" s="1462"/>
      <c r="AD54" s="1462"/>
      <c r="AE54" s="1462"/>
      <c r="AF54" s="1462"/>
      <c r="AG54" s="1463"/>
    </row>
    <row r="55" spans="1:57" ht="21.95" customHeight="1" outlineLevel="1" x14ac:dyDescent="0.25">
      <c r="A55" s="18"/>
      <c r="B55" s="18"/>
      <c r="C55" s="18"/>
      <c r="D55" s="1"/>
      <c r="E55" s="2"/>
      <c r="F55" s="1427" t="s">
        <v>8107</v>
      </c>
      <c r="G55" s="1427"/>
      <c r="H55" s="1427"/>
      <c r="I55" s="1428"/>
      <c r="J55" s="1384" t="s">
        <v>7273</v>
      </c>
      <c r="K55" s="1384"/>
      <c r="L55" s="1384"/>
      <c r="M55" s="1384"/>
      <c r="N55" s="1384" t="s">
        <v>7272</v>
      </c>
      <c r="O55" s="1384"/>
      <c r="P55" s="1384"/>
      <c r="Q55" s="1455"/>
      <c r="R55" s="1443" t="s">
        <v>7273</v>
      </c>
      <c r="S55" s="1384"/>
      <c r="T55" s="1384"/>
      <c r="U55" s="1384"/>
      <c r="V55" s="1384" t="s">
        <v>7272</v>
      </c>
      <c r="W55" s="1384"/>
      <c r="X55" s="1384"/>
      <c r="Y55" s="1455"/>
      <c r="Z55" s="1444" t="s">
        <v>7273</v>
      </c>
      <c r="AA55" s="1384"/>
      <c r="AB55" s="1384"/>
      <c r="AC55" s="1384"/>
      <c r="AD55" s="1384" t="s">
        <v>7272</v>
      </c>
      <c r="AE55" s="1384"/>
      <c r="AF55" s="1384"/>
      <c r="AG55" s="1384"/>
    </row>
    <row r="56" spans="1:57" ht="21.95" customHeight="1" outlineLevel="1" x14ac:dyDescent="0.25">
      <c r="A56" s="18"/>
      <c r="B56" s="18"/>
      <c r="C56" s="18"/>
      <c r="D56" s="1"/>
      <c r="E56" s="2"/>
      <c r="F56" s="1427" t="s">
        <v>8108</v>
      </c>
      <c r="G56" s="1427"/>
      <c r="H56" s="1427"/>
      <c r="I56" s="1428"/>
      <c r="J56" s="1394" t="s">
        <v>10</v>
      </c>
      <c r="K56" s="1394"/>
      <c r="L56" s="1394" t="s">
        <v>237</v>
      </c>
      <c r="M56" s="1394"/>
      <c r="N56" s="1421" t="s">
        <v>10</v>
      </c>
      <c r="O56" s="1421"/>
      <c r="P56" s="1421" t="s">
        <v>237</v>
      </c>
      <c r="Q56" s="1422"/>
      <c r="R56" s="1452" t="s">
        <v>10</v>
      </c>
      <c r="S56" s="1394"/>
      <c r="T56" s="1394" t="s">
        <v>237</v>
      </c>
      <c r="U56" s="1453"/>
      <c r="V56" s="1421" t="s">
        <v>10</v>
      </c>
      <c r="W56" s="1421"/>
      <c r="X56" s="1421" t="s">
        <v>237</v>
      </c>
      <c r="Y56" s="1422"/>
      <c r="Z56" s="1393" t="s">
        <v>10</v>
      </c>
      <c r="AA56" s="1394"/>
      <c r="AB56" s="1393" t="s">
        <v>237</v>
      </c>
      <c r="AC56" s="1394"/>
      <c r="AD56" s="1421" t="s">
        <v>10</v>
      </c>
      <c r="AE56" s="1421"/>
      <c r="AF56" s="1421" t="s">
        <v>237</v>
      </c>
      <c r="AG56" s="1421"/>
    </row>
    <row r="57" spans="1:57" ht="21.95" customHeight="1" outlineLevel="1" x14ac:dyDescent="0.25">
      <c r="A57" s="18"/>
      <c r="B57" s="18"/>
      <c r="C57" s="18"/>
      <c r="D57" s="1"/>
      <c r="E57" s="2"/>
      <c r="F57" s="1427" t="s">
        <v>90</v>
      </c>
      <c r="G57" s="1427"/>
      <c r="H57" s="1427"/>
      <c r="I57" s="1428"/>
      <c r="J57" s="1396" t="str">
        <f ca="1">Calculos!BI468</f>
        <v/>
      </c>
      <c r="K57" s="1369"/>
      <c r="L57" s="1369" t="str">
        <f ca="1">Calculos!BJ468</f>
        <v/>
      </c>
      <c r="M57" s="1370"/>
      <c r="N57" s="1396" t="str">
        <f ca="1">Calculos!BO468</f>
        <v/>
      </c>
      <c r="O57" s="1369"/>
      <c r="P57" s="1369" t="str">
        <f ca="1">Calculos!BP468</f>
        <v/>
      </c>
      <c r="Q57" s="1423"/>
      <c r="R57" s="1395" t="str">
        <f ca="1">Calculos!BK468</f>
        <v/>
      </c>
      <c r="S57" s="1369"/>
      <c r="T57" s="1369" t="str">
        <f ca="1">Calculos!BL468</f>
        <v/>
      </c>
      <c r="U57" s="1370"/>
      <c r="V57" s="1396" t="str">
        <f ca="1">Calculos!BQ468</f>
        <v/>
      </c>
      <c r="W57" s="1369"/>
      <c r="X57" s="1369" t="str">
        <f ca="1">Calculos!BR468</f>
        <v/>
      </c>
      <c r="Y57" s="1423"/>
      <c r="Z57" s="1369" t="str">
        <f ca="1">Calculos!BM468</f>
        <v/>
      </c>
      <c r="AA57" s="1369"/>
      <c r="AB57" s="1369" t="str">
        <f ca="1">Calculos!BN468</f>
        <v/>
      </c>
      <c r="AC57" s="1370"/>
      <c r="AD57" s="1369" t="str">
        <f ca="1">Calculos!BS468</f>
        <v/>
      </c>
      <c r="AE57" s="1369"/>
      <c r="AF57" s="1369" t="str">
        <f ca="1">Calculos!BT468</f>
        <v/>
      </c>
      <c r="AG57" s="1370"/>
      <c r="AI57" s="284" t="s">
        <v>8106</v>
      </c>
      <c r="AJ57" s="285"/>
      <c r="AK57" s="285"/>
      <c r="AL57" s="285"/>
      <c r="AM57" s="285"/>
      <c r="AN57" s="286"/>
      <c r="BE57" s="2"/>
    </row>
    <row r="58" spans="1:57" ht="21.95" customHeight="1" outlineLevel="1" x14ac:dyDescent="0.25">
      <c r="A58" s="18"/>
      <c r="B58" s="18"/>
      <c r="C58" s="18"/>
      <c r="D58" s="1"/>
      <c r="E58" s="2"/>
      <c r="F58" s="1427" t="s">
        <v>91</v>
      </c>
      <c r="G58" s="1427"/>
      <c r="H58" s="1427"/>
      <c r="I58" s="1428"/>
      <c r="J58" s="1389" t="str">
        <f ca="1">Calculos!BI469</f>
        <v/>
      </c>
      <c r="K58" s="1371"/>
      <c r="L58" s="1371" t="str">
        <f ca="1">Calculos!BJ469</f>
        <v/>
      </c>
      <c r="M58" s="1372"/>
      <c r="N58" s="1389" t="str">
        <f ca="1">Calculos!BO469</f>
        <v/>
      </c>
      <c r="O58" s="1371"/>
      <c r="P58" s="1371" t="str">
        <f ca="1">Calculos!BP469</f>
        <v/>
      </c>
      <c r="Q58" s="1390"/>
      <c r="R58" s="1391" t="str">
        <f ca="1">Calculos!BK469</f>
        <v/>
      </c>
      <c r="S58" s="1371"/>
      <c r="T58" s="1371" t="str">
        <f ca="1">Calculos!BL469</f>
        <v/>
      </c>
      <c r="U58" s="1372"/>
      <c r="V58" s="1389" t="str">
        <f ca="1">Calculos!BQ469</f>
        <v/>
      </c>
      <c r="W58" s="1371"/>
      <c r="X58" s="1371" t="str">
        <f ca="1">Calculos!BR469</f>
        <v/>
      </c>
      <c r="Y58" s="1390"/>
      <c r="Z58" s="1371" t="str">
        <f ca="1">Calculos!BM469</f>
        <v/>
      </c>
      <c r="AA58" s="1371"/>
      <c r="AB58" s="1371" t="str">
        <f ca="1">Calculos!BN469</f>
        <v/>
      </c>
      <c r="AC58" s="1372"/>
      <c r="AD58" s="1371" t="str">
        <f ca="1">Calculos!BS469</f>
        <v/>
      </c>
      <c r="AE58" s="1371"/>
      <c r="AF58" s="1371" t="str">
        <f ca="1">Calculos!BT469</f>
        <v/>
      </c>
      <c r="AG58" s="1372"/>
      <c r="AI58" s="287" t="s">
        <v>8105</v>
      </c>
      <c r="AJ58" s="288"/>
      <c r="AK58" s="288"/>
      <c r="AL58" s="288"/>
      <c r="AM58" s="288"/>
      <c r="AN58" s="289"/>
      <c r="AY58" s="2"/>
      <c r="AZ58" s="2"/>
      <c r="BA58" s="2"/>
      <c r="BB58" s="2"/>
      <c r="BC58" s="2"/>
      <c r="BD58" s="2"/>
      <c r="BE58" s="2"/>
    </row>
    <row r="59" spans="1:57" ht="21.95" customHeight="1" outlineLevel="1" x14ac:dyDescent="0.25">
      <c r="A59" s="18"/>
      <c r="B59" s="18"/>
      <c r="C59" s="18"/>
      <c r="D59" s="1"/>
      <c r="E59" s="2"/>
      <c r="F59" s="1427" t="s">
        <v>92</v>
      </c>
      <c r="G59" s="1427"/>
      <c r="H59" s="1427"/>
      <c r="I59" s="1428"/>
      <c r="J59" s="1389" t="str">
        <f ca="1">Calculos!BI470</f>
        <v/>
      </c>
      <c r="K59" s="1371"/>
      <c r="L59" s="1371" t="str">
        <f ca="1">Calculos!BJ470</f>
        <v/>
      </c>
      <c r="M59" s="1372"/>
      <c r="N59" s="1389" t="str">
        <f ca="1">Calculos!BO470</f>
        <v/>
      </c>
      <c r="O59" s="1371"/>
      <c r="P59" s="1371" t="str">
        <f ca="1">Calculos!BP470</f>
        <v/>
      </c>
      <c r="Q59" s="1390"/>
      <c r="R59" s="1391" t="str">
        <f ca="1">Calculos!BK470</f>
        <v/>
      </c>
      <c r="S59" s="1371"/>
      <c r="T59" s="1371" t="str">
        <f ca="1">Calculos!BL470</f>
        <v/>
      </c>
      <c r="U59" s="1372"/>
      <c r="V59" s="1389" t="str">
        <f ca="1">Calculos!BQ470</f>
        <v/>
      </c>
      <c r="W59" s="1371"/>
      <c r="X59" s="1371" t="str">
        <f ca="1">Calculos!BR470</f>
        <v/>
      </c>
      <c r="Y59" s="1390"/>
      <c r="Z59" s="1371" t="str">
        <f ca="1">Calculos!BM470</f>
        <v/>
      </c>
      <c r="AA59" s="1371"/>
      <c r="AB59" s="1371" t="str">
        <f ca="1">Calculos!BN470</f>
        <v/>
      </c>
      <c r="AC59" s="1372"/>
      <c r="AD59" s="1371" t="str">
        <f ca="1">Calculos!BS470</f>
        <v/>
      </c>
      <c r="AE59" s="1371"/>
      <c r="AF59" s="1371" t="str">
        <f ca="1">Calculos!BT470</f>
        <v/>
      </c>
      <c r="AG59" s="1372"/>
      <c r="AI59" s="290" t="s">
        <v>8094</v>
      </c>
      <c r="AJ59" s="291"/>
      <c r="AK59" s="291"/>
      <c r="AL59" s="291"/>
      <c r="AM59" s="291"/>
      <c r="AN59" s="292"/>
      <c r="AY59" s="2"/>
      <c r="AZ59" s="2"/>
      <c r="BA59" s="2"/>
      <c r="BB59" s="2"/>
      <c r="BC59" s="2"/>
      <c r="BD59" s="2"/>
      <c r="BE59" s="2"/>
    </row>
    <row r="60" spans="1:57" ht="21.95" customHeight="1" outlineLevel="1" x14ac:dyDescent="0.25">
      <c r="A60" s="18"/>
      <c r="B60" s="18"/>
      <c r="C60" s="18"/>
      <c r="D60" s="1"/>
      <c r="E60" s="2"/>
      <c r="F60" s="1427" t="s">
        <v>93</v>
      </c>
      <c r="G60" s="1427"/>
      <c r="H60" s="1427"/>
      <c r="I60" s="1428"/>
      <c r="J60" s="1389" t="str">
        <f ca="1">Calculos!BI471</f>
        <v/>
      </c>
      <c r="K60" s="1371"/>
      <c r="L60" s="1371" t="str">
        <f ca="1">Calculos!BJ471</f>
        <v/>
      </c>
      <c r="M60" s="1372"/>
      <c r="N60" s="1389" t="str">
        <f ca="1">Calculos!BO471</f>
        <v/>
      </c>
      <c r="O60" s="1371"/>
      <c r="P60" s="1371" t="str">
        <f ca="1">Calculos!BP471</f>
        <v/>
      </c>
      <c r="Q60" s="1390"/>
      <c r="R60" s="1391" t="str">
        <f ca="1">Calculos!BK471</f>
        <v/>
      </c>
      <c r="S60" s="1371"/>
      <c r="T60" s="1371" t="str">
        <f ca="1">Calculos!BL471</f>
        <v/>
      </c>
      <c r="U60" s="1372"/>
      <c r="V60" s="1389" t="str">
        <f ca="1">Calculos!BQ471</f>
        <v/>
      </c>
      <c r="W60" s="1371"/>
      <c r="X60" s="1371" t="str">
        <f ca="1">Calculos!BR471</f>
        <v/>
      </c>
      <c r="Y60" s="1390"/>
      <c r="Z60" s="1371" t="str">
        <f ca="1">Calculos!BM471</f>
        <v/>
      </c>
      <c r="AA60" s="1371"/>
      <c r="AB60" s="1371" t="str">
        <f ca="1">Calculos!BN471</f>
        <v/>
      </c>
      <c r="AC60" s="1372"/>
      <c r="AD60" s="1371" t="str">
        <f ca="1">Calculos!BS471</f>
        <v/>
      </c>
      <c r="AE60" s="1371"/>
      <c r="AF60" s="1371" t="str">
        <f ca="1">Calculos!BT471</f>
        <v/>
      </c>
      <c r="AG60" s="1372"/>
      <c r="AI60" s="293" t="s">
        <v>8095</v>
      </c>
      <c r="AJ60" s="294"/>
      <c r="AK60" s="294"/>
      <c r="AL60" s="294"/>
      <c r="AM60" s="294"/>
      <c r="AN60" s="295"/>
      <c r="AY60" s="2"/>
      <c r="AZ60" s="2"/>
      <c r="BA60" s="2"/>
      <c r="BB60" s="2"/>
      <c r="BC60" s="2"/>
      <c r="BD60" s="2"/>
      <c r="BE60" s="2"/>
    </row>
    <row r="61" spans="1:57" ht="21.95" customHeight="1" outlineLevel="1" x14ac:dyDescent="0.25">
      <c r="A61" s="18"/>
      <c r="B61" s="18"/>
      <c r="C61" s="18"/>
      <c r="D61" s="1"/>
      <c r="E61" s="2"/>
      <c r="F61" s="1427" t="s">
        <v>94</v>
      </c>
      <c r="G61" s="1427"/>
      <c r="H61" s="1427"/>
      <c r="I61" s="1428"/>
      <c r="J61" s="1389" t="str">
        <f ca="1">Calculos!BI472</f>
        <v/>
      </c>
      <c r="K61" s="1371"/>
      <c r="L61" s="1371" t="str">
        <f ca="1">Calculos!BJ472</f>
        <v/>
      </c>
      <c r="M61" s="1372"/>
      <c r="N61" s="1389" t="str">
        <f ca="1">Calculos!BO472</f>
        <v/>
      </c>
      <c r="O61" s="1371"/>
      <c r="P61" s="1371" t="str">
        <f ca="1">Calculos!BP472</f>
        <v/>
      </c>
      <c r="Q61" s="1390"/>
      <c r="R61" s="1391" t="str">
        <f ca="1">Calculos!BK472</f>
        <v/>
      </c>
      <c r="S61" s="1371"/>
      <c r="T61" s="1371" t="str">
        <f ca="1">Calculos!BL472</f>
        <v/>
      </c>
      <c r="U61" s="1372"/>
      <c r="V61" s="1389" t="str">
        <f ca="1">Calculos!BQ472</f>
        <v/>
      </c>
      <c r="W61" s="1371"/>
      <c r="X61" s="1371" t="str">
        <f ca="1">Calculos!BR472</f>
        <v/>
      </c>
      <c r="Y61" s="1390"/>
      <c r="Z61" s="1371" t="str">
        <f ca="1">Calculos!BM472</f>
        <v/>
      </c>
      <c r="AA61" s="1371"/>
      <c r="AB61" s="1371" t="str">
        <f ca="1">Calculos!BN472</f>
        <v/>
      </c>
      <c r="AC61" s="1372"/>
      <c r="AD61" s="1371" t="str">
        <f ca="1">Calculos!BS472</f>
        <v/>
      </c>
      <c r="AE61" s="1371"/>
      <c r="AF61" s="1371" t="str">
        <f ca="1">Calculos!BT472</f>
        <v/>
      </c>
      <c r="AG61" s="1372"/>
      <c r="AI61" s="296" t="s">
        <v>8096</v>
      </c>
      <c r="AJ61" s="297"/>
      <c r="AK61" s="297"/>
      <c r="AL61" s="297"/>
      <c r="AM61" s="297"/>
      <c r="AN61" s="298"/>
      <c r="AY61" s="2"/>
      <c r="AZ61" s="2"/>
      <c r="BA61" s="2"/>
      <c r="BB61" s="2"/>
      <c r="BC61" s="2"/>
      <c r="BD61" s="2"/>
      <c r="BE61" s="2"/>
    </row>
    <row r="62" spans="1:57" ht="21.95" customHeight="1" outlineLevel="1" x14ac:dyDescent="0.25">
      <c r="A62" s="18"/>
      <c r="B62" s="18"/>
      <c r="C62" s="18"/>
      <c r="D62" s="1"/>
      <c r="E62" s="2"/>
      <c r="F62" s="1427" t="s">
        <v>95</v>
      </c>
      <c r="G62" s="1427"/>
      <c r="H62" s="1427"/>
      <c r="I62" s="1428"/>
      <c r="J62" s="1389" t="str">
        <f ca="1">Calculos!BI473</f>
        <v/>
      </c>
      <c r="K62" s="1371"/>
      <c r="L62" s="1371" t="str">
        <f ca="1">Calculos!BJ473</f>
        <v/>
      </c>
      <c r="M62" s="1372"/>
      <c r="N62" s="1389" t="str">
        <f ca="1">Calculos!BO473</f>
        <v/>
      </c>
      <c r="O62" s="1371"/>
      <c r="P62" s="1371" t="str">
        <f ca="1">Calculos!BP473</f>
        <v/>
      </c>
      <c r="Q62" s="1390"/>
      <c r="R62" s="1391" t="str">
        <f ca="1">Calculos!BK473</f>
        <v/>
      </c>
      <c r="S62" s="1371"/>
      <c r="T62" s="1371" t="str">
        <f ca="1">Calculos!BL473</f>
        <v/>
      </c>
      <c r="U62" s="1372"/>
      <c r="V62" s="1389" t="str">
        <f ca="1">Calculos!BQ473</f>
        <v/>
      </c>
      <c r="W62" s="1371"/>
      <c r="X62" s="1371" t="str">
        <f ca="1">Calculos!BR473</f>
        <v/>
      </c>
      <c r="Y62" s="1390"/>
      <c r="Z62" s="1371" t="str">
        <f ca="1">Calculos!BM473</f>
        <v/>
      </c>
      <c r="AA62" s="1371"/>
      <c r="AB62" s="1371" t="str">
        <f ca="1">Calculos!BN473</f>
        <v/>
      </c>
      <c r="AC62" s="1372"/>
      <c r="AD62" s="1371" t="str">
        <f ca="1">Calculos!BS473</f>
        <v/>
      </c>
      <c r="AE62" s="1371"/>
      <c r="AF62" s="1371" t="str">
        <f ca="1">Calculos!BT473</f>
        <v/>
      </c>
      <c r="AG62" s="1372"/>
      <c r="AY62" s="2"/>
      <c r="AZ62" s="2"/>
      <c r="BA62" s="2"/>
      <c r="BB62" s="2"/>
      <c r="BC62" s="2"/>
      <c r="BD62" s="2"/>
      <c r="BE62" s="2"/>
    </row>
    <row r="63" spans="1:57" ht="21.95" customHeight="1" outlineLevel="1" x14ac:dyDescent="0.25">
      <c r="A63" s="18"/>
      <c r="B63" s="18"/>
      <c r="C63" s="18"/>
      <c r="D63" s="1"/>
      <c r="E63" s="2"/>
      <c r="F63" s="1427" t="s">
        <v>96</v>
      </c>
      <c r="G63" s="1427"/>
      <c r="H63" s="1427"/>
      <c r="I63" s="1428"/>
      <c r="J63" s="1389" t="str">
        <f ca="1">Calculos!BI474</f>
        <v/>
      </c>
      <c r="K63" s="1371"/>
      <c r="L63" s="1371" t="str">
        <f ca="1">Calculos!BJ474</f>
        <v/>
      </c>
      <c r="M63" s="1372"/>
      <c r="N63" s="1389" t="str">
        <f ca="1">Calculos!BO474</f>
        <v/>
      </c>
      <c r="O63" s="1371"/>
      <c r="P63" s="1371" t="str">
        <f ca="1">Calculos!BP474</f>
        <v/>
      </c>
      <c r="Q63" s="1390"/>
      <c r="R63" s="1391" t="str">
        <f ca="1">Calculos!BK474</f>
        <v/>
      </c>
      <c r="S63" s="1371"/>
      <c r="T63" s="1371" t="str">
        <f ca="1">Calculos!BL474</f>
        <v/>
      </c>
      <c r="U63" s="1372"/>
      <c r="V63" s="1389" t="str">
        <f ca="1">Calculos!BQ474</f>
        <v/>
      </c>
      <c r="W63" s="1371"/>
      <c r="X63" s="1371" t="str">
        <f ca="1">Calculos!BR474</f>
        <v/>
      </c>
      <c r="Y63" s="1390"/>
      <c r="Z63" s="1371" t="str">
        <f ca="1">Calculos!BM474</f>
        <v/>
      </c>
      <c r="AA63" s="1371"/>
      <c r="AB63" s="1371" t="str">
        <f ca="1">Calculos!BN474</f>
        <v/>
      </c>
      <c r="AC63" s="1372"/>
      <c r="AD63" s="1371" t="str">
        <f ca="1">Calculos!BS474</f>
        <v/>
      </c>
      <c r="AE63" s="1371"/>
      <c r="AF63" s="1371" t="str">
        <f ca="1">Calculos!BT474</f>
        <v/>
      </c>
      <c r="AG63" s="1372"/>
      <c r="AY63" s="2"/>
      <c r="AZ63" s="2"/>
      <c r="BA63" s="2"/>
      <c r="BB63" s="2"/>
      <c r="BC63" s="2"/>
      <c r="BD63" s="2"/>
      <c r="BE63" s="2"/>
    </row>
    <row r="64" spans="1:57" ht="21.95" customHeight="1" outlineLevel="1" x14ac:dyDescent="0.25">
      <c r="A64" s="18"/>
      <c r="B64" s="18"/>
      <c r="C64" s="18"/>
      <c r="D64" s="1"/>
      <c r="E64" s="2"/>
      <c r="F64" s="1427" t="s">
        <v>97</v>
      </c>
      <c r="G64" s="1427"/>
      <c r="H64" s="1427"/>
      <c r="I64" s="1428"/>
      <c r="J64" s="1389" t="str">
        <f ca="1">Calculos!BI475</f>
        <v/>
      </c>
      <c r="K64" s="1371"/>
      <c r="L64" s="1371" t="str">
        <f ca="1">Calculos!BJ475</f>
        <v/>
      </c>
      <c r="M64" s="1372"/>
      <c r="N64" s="1389" t="str">
        <f ca="1">Calculos!BO475</f>
        <v/>
      </c>
      <c r="O64" s="1371"/>
      <c r="P64" s="1371" t="str">
        <f ca="1">Calculos!BP475</f>
        <v/>
      </c>
      <c r="Q64" s="1390"/>
      <c r="R64" s="1391" t="str">
        <f ca="1">Calculos!BK475</f>
        <v/>
      </c>
      <c r="S64" s="1371"/>
      <c r="T64" s="1371" t="str">
        <f ca="1">Calculos!BL475</f>
        <v/>
      </c>
      <c r="U64" s="1372"/>
      <c r="V64" s="1389" t="str">
        <f ca="1">Calculos!BQ475</f>
        <v/>
      </c>
      <c r="W64" s="1371"/>
      <c r="X64" s="1371" t="str">
        <f ca="1">Calculos!BR475</f>
        <v/>
      </c>
      <c r="Y64" s="1390"/>
      <c r="Z64" s="1371" t="str">
        <f ca="1">Calculos!BM475</f>
        <v/>
      </c>
      <c r="AA64" s="1371"/>
      <c r="AB64" s="1371" t="str">
        <f ca="1">Calculos!BN475</f>
        <v/>
      </c>
      <c r="AC64" s="1372"/>
      <c r="AD64" s="1371" t="str">
        <f ca="1">Calculos!BS475</f>
        <v/>
      </c>
      <c r="AE64" s="1371"/>
      <c r="AF64" s="1371" t="str">
        <f ca="1">Calculos!BT475</f>
        <v/>
      </c>
      <c r="AG64" s="1372"/>
      <c r="AY64" s="2"/>
      <c r="AZ64" s="2"/>
      <c r="BA64" s="2"/>
      <c r="BB64" s="2"/>
      <c r="BC64" s="2"/>
      <c r="BD64" s="2"/>
      <c r="BE64" s="2"/>
    </row>
    <row r="65" spans="1:57" ht="21.95" customHeight="1" outlineLevel="1" x14ac:dyDescent="0.25">
      <c r="A65" s="18"/>
      <c r="B65" s="18"/>
      <c r="C65" s="18"/>
      <c r="D65" s="1"/>
      <c r="E65" s="2"/>
      <c r="F65" s="1427" t="s">
        <v>98</v>
      </c>
      <c r="G65" s="1427"/>
      <c r="H65" s="1427"/>
      <c r="I65" s="1428"/>
      <c r="J65" s="1389" t="str">
        <f ca="1">Calculos!BI476</f>
        <v/>
      </c>
      <c r="K65" s="1371"/>
      <c r="L65" s="1371" t="str">
        <f ca="1">Calculos!BJ476</f>
        <v/>
      </c>
      <c r="M65" s="1372"/>
      <c r="N65" s="1389" t="str">
        <f ca="1">Calculos!BO476</f>
        <v/>
      </c>
      <c r="O65" s="1371"/>
      <c r="P65" s="1371" t="str">
        <f ca="1">Calculos!BP476</f>
        <v/>
      </c>
      <c r="Q65" s="1390"/>
      <c r="R65" s="1391" t="str">
        <f ca="1">Calculos!BK476</f>
        <v/>
      </c>
      <c r="S65" s="1371"/>
      <c r="T65" s="1371" t="str">
        <f ca="1">Calculos!BL476</f>
        <v/>
      </c>
      <c r="U65" s="1372"/>
      <c r="V65" s="1389" t="str">
        <f ca="1">Calculos!BQ476</f>
        <v/>
      </c>
      <c r="W65" s="1371"/>
      <c r="X65" s="1371" t="str">
        <f ca="1">Calculos!BR476</f>
        <v/>
      </c>
      <c r="Y65" s="1390"/>
      <c r="Z65" s="1371" t="str">
        <f ca="1">Calculos!BM476</f>
        <v/>
      </c>
      <c r="AA65" s="1371"/>
      <c r="AB65" s="1371" t="str">
        <f ca="1">Calculos!BN476</f>
        <v/>
      </c>
      <c r="AC65" s="1372"/>
      <c r="AD65" s="1371" t="str">
        <f ca="1">Calculos!BS476</f>
        <v/>
      </c>
      <c r="AE65" s="1371"/>
      <c r="AF65" s="1371" t="str">
        <f ca="1">Calculos!BT476</f>
        <v/>
      </c>
      <c r="AG65" s="1372"/>
      <c r="AY65" s="2"/>
      <c r="AZ65" s="2"/>
      <c r="BA65" s="2"/>
      <c r="BB65" s="2"/>
      <c r="BC65" s="2"/>
      <c r="BD65" s="2"/>
      <c r="BE65" s="2"/>
    </row>
    <row r="66" spans="1:57" ht="21.95" customHeight="1" outlineLevel="1" x14ac:dyDescent="0.25">
      <c r="A66" s="18"/>
      <c r="B66" s="18"/>
      <c r="C66" s="18"/>
      <c r="D66" s="1"/>
      <c r="E66" s="2"/>
      <c r="F66" s="1427" t="s">
        <v>99</v>
      </c>
      <c r="G66" s="1427"/>
      <c r="H66" s="1427"/>
      <c r="I66" s="1428"/>
      <c r="J66" s="1397" t="str">
        <f ca="1">Calculos!BI477</f>
        <v/>
      </c>
      <c r="K66" s="1373"/>
      <c r="L66" s="1373" t="str">
        <f ca="1">Calculos!BJ477</f>
        <v/>
      </c>
      <c r="M66" s="1374"/>
      <c r="N66" s="1397" t="str">
        <f ca="1">Calculos!BO477</f>
        <v/>
      </c>
      <c r="O66" s="1373"/>
      <c r="P66" s="1373" t="str">
        <f ca="1">Calculos!BP477</f>
        <v/>
      </c>
      <c r="Q66" s="1420"/>
      <c r="R66" s="1398" t="str">
        <f ca="1">Calculos!BK477</f>
        <v/>
      </c>
      <c r="S66" s="1373"/>
      <c r="T66" s="1373" t="str">
        <f ca="1">Calculos!BL477</f>
        <v/>
      </c>
      <c r="U66" s="1374"/>
      <c r="V66" s="1397" t="str">
        <f ca="1">Calculos!BQ477</f>
        <v/>
      </c>
      <c r="W66" s="1373"/>
      <c r="X66" s="1373" t="str">
        <f ca="1">Calculos!BR477</f>
        <v/>
      </c>
      <c r="Y66" s="1420"/>
      <c r="Z66" s="1373" t="str">
        <f ca="1">Calculos!BM477</f>
        <v/>
      </c>
      <c r="AA66" s="1373"/>
      <c r="AB66" s="1373" t="str">
        <f ca="1">Calculos!BN477</f>
        <v/>
      </c>
      <c r="AC66" s="1374"/>
      <c r="AD66" s="1373" t="str">
        <f ca="1">Calculos!BS477</f>
        <v/>
      </c>
      <c r="AE66" s="1373"/>
      <c r="AF66" s="1373" t="str">
        <f ca="1">Calculos!BT477</f>
        <v/>
      </c>
      <c r="AG66" s="1374"/>
      <c r="AY66" s="2"/>
      <c r="AZ66" s="2"/>
      <c r="BA66" s="2"/>
      <c r="BB66" s="2"/>
      <c r="BC66" s="2"/>
      <c r="BD66" s="2"/>
      <c r="BE66" s="2"/>
    </row>
    <row r="67" spans="1:57" ht="21.95" customHeight="1" outlineLevel="1" x14ac:dyDescent="0.25">
      <c r="A67" s="18"/>
      <c r="B67" s="18"/>
      <c r="C67" s="18"/>
      <c r="D67" s="1"/>
      <c r="E67" s="2"/>
      <c r="F67" s="2"/>
      <c r="G67" s="2"/>
      <c r="H67" s="2"/>
      <c r="I67" s="2"/>
      <c r="J67" s="249" t="s">
        <v>6036</v>
      </c>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20.100000000000001" customHeight="1" x14ac:dyDescent="0.25">
      <c r="A68" s="18"/>
      <c r="B68" s="18"/>
      <c r="C68" s="18"/>
      <c r="D68" s="1"/>
      <c r="E68" s="7"/>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57" ht="20.100000000000001" customHeight="1" x14ac:dyDescent="0.25">
      <c r="A69" s="18"/>
      <c r="B69" s="18"/>
      <c r="C69" s="18"/>
      <c r="D69" s="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row>
    <row r="70" spans="1:57" ht="20.100000000000001" customHeight="1" x14ac:dyDescent="0.25">
      <c r="A70" s="18"/>
      <c r="B70" s="18"/>
      <c r="C70" s="18"/>
      <c r="D70" s="1"/>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20.100000000000001" customHeight="1" x14ac:dyDescent="0.25">
      <c r="A71" s="18"/>
      <c r="B71" s="18"/>
      <c r="C71" s="18"/>
      <c r="D71" s="1"/>
      <c r="E71" s="2"/>
      <c r="F71" s="1149" t="s">
        <v>89</v>
      </c>
      <c r="G71" s="1094"/>
      <c r="H71" s="1094"/>
      <c r="I71" s="1094"/>
      <c r="J71" s="1094"/>
      <c r="K71" s="1094"/>
      <c r="L71" s="1104"/>
      <c r="M71" s="148" t="s">
        <v>186</v>
      </c>
      <c r="N71" s="1259"/>
      <c r="O71" s="1260"/>
      <c r="P71" s="1260"/>
      <c r="Q71" s="1260"/>
      <c r="R71" s="1260"/>
      <c r="S71" s="1261"/>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20.100000000000001" customHeight="1" x14ac:dyDescent="0.25">
      <c r="A72" s="18"/>
      <c r="B72" s="18"/>
      <c r="C72" s="18"/>
      <c r="D72" s="1"/>
      <c r="E72" s="2"/>
      <c r="F72" s="1149" t="s">
        <v>352</v>
      </c>
      <c r="G72" s="1094"/>
      <c r="H72" s="1094"/>
      <c r="I72" s="1094"/>
      <c r="J72" s="1094"/>
      <c r="K72" s="1094"/>
      <c r="L72" s="1104"/>
      <c r="M72" s="148" t="s">
        <v>186</v>
      </c>
      <c r="N72" s="1259"/>
      <c r="O72" s="1260"/>
      <c r="P72" s="1260"/>
      <c r="Q72" s="1260"/>
      <c r="R72" s="1260"/>
      <c r="S72" s="1261"/>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30" customHeight="1" x14ac:dyDescent="0.25">
      <c r="A73" s="18"/>
      <c r="B73" s="18"/>
      <c r="C73" s="18"/>
      <c r="D73" s="1"/>
      <c r="E73" s="2"/>
      <c r="F73" s="1149" t="s">
        <v>130</v>
      </c>
      <c r="G73" s="1094"/>
      <c r="H73" s="1094"/>
      <c r="I73" s="1094"/>
      <c r="J73" s="1094"/>
      <c r="K73" s="1094"/>
      <c r="L73" s="1094"/>
      <c r="M73" s="148" t="s">
        <v>186</v>
      </c>
      <c r="N73" s="1417"/>
      <c r="O73" s="1418"/>
      <c r="P73" s="1418"/>
      <c r="Q73" s="1418"/>
      <c r="R73" s="1418"/>
      <c r="S73" s="1418"/>
      <c r="T73" s="1418"/>
      <c r="U73" s="1418"/>
      <c r="V73" s="1418"/>
      <c r="W73" s="1418"/>
      <c r="X73" s="1418"/>
      <c r="Y73" s="1418"/>
      <c r="Z73" s="1418"/>
      <c r="AA73" s="1418"/>
      <c r="AB73" s="1418"/>
      <c r="AC73" s="1418"/>
      <c r="AD73" s="1418"/>
      <c r="AE73" s="1418"/>
      <c r="AF73" s="1418"/>
      <c r="AG73" s="1418"/>
      <c r="AH73" s="1418"/>
      <c r="AI73" s="1418"/>
      <c r="AJ73" s="1418"/>
      <c r="AK73" s="1418"/>
      <c r="AL73" s="1418"/>
      <c r="AM73" s="1419"/>
      <c r="AN73" s="124"/>
      <c r="AO73" s="124"/>
      <c r="AP73" s="124"/>
      <c r="AQ73" s="124"/>
      <c r="AR73" s="124"/>
      <c r="AS73" s="124"/>
      <c r="AT73" s="124"/>
      <c r="AU73" s="124"/>
      <c r="AV73" s="124"/>
      <c r="AW73" s="124"/>
      <c r="AX73" s="124"/>
      <c r="AY73" s="124"/>
      <c r="AZ73" s="124"/>
      <c r="BA73" s="2"/>
      <c r="BB73" s="2"/>
      <c r="BC73" s="2"/>
      <c r="BD73" s="2"/>
      <c r="BE73" s="2"/>
    </row>
    <row r="74" spans="1:57" ht="20.100000000000001" customHeight="1" x14ac:dyDescent="0.25">
      <c r="A74" s="18"/>
      <c r="B74" s="18"/>
      <c r="C74" s="18"/>
      <c r="D74" s="1"/>
      <c r="E74" s="2"/>
      <c r="F74" s="1149" t="s">
        <v>83</v>
      </c>
      <c r="G74" s="1094"/>
      <c r="H74" s="1094"/>
      <c r="I74" s="1094"/>
      <c r="J74" s="1094"/>
      <c r="K74" s="1094"/>
      <c r="L74" s="1104"/>
      <c r="M74" s="148" t="s">
        <v>186</v>
      </c>
      <c r="N74" s="1413"/>
      <c r="O74" s="1414"/>
      <c r="P74" s="1414"/>
      <c r="Q74" s="1414"/>
      <c r="R74" s="1414"/>
      <c r="S74" s="1414"/>
      <c r="T74" s="1414"/>
      <c r="U74" s="1414"/>
      <c r="V74" s="1414"/>
      <c r="W74" s="1414"/>
      <c r="X74" s="1415"/>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20.100000000000001" customHeight="1" x14ac:dyDescent="0.25">
      <c r="A75" s="18"/>
      <c r="B75" s="18"/>
      <c r="C75" s="18"/>
      <c r="D75" s="1"/>
      <c r="E75" s="2"/>
      <c r="F75" s="1149" t="s">
        <v>100</v>
      </c>
      <c r="G75" s="1094"/>
      <c r="H75" s="1094"/>
      <c r="I75" s="1094"/>
      <c r="J75" s="1094"/>
      <c r="K75" s="1094"/>
      <c r="L75" s="1104"/>
      <c r="M75" s="148" t="s">
        <v>186</v>
      </c>
      <c r="N75" s="1413"/>
      <c r="O75" s="1414"/>
      <c r="P75" s="1414"/>
      <c r="Q75" s="1414"/>
      <c r="R75" s="1414"/>
      <c r="S75" s="1414"/>
      <c r="T75" s="1414"/>
      <c r="U75" s="1414"/>
      <c r="V75" s="1414"/>
      <c r="W75" s="1414"/>
      <c r="X75" s="1415"/>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20.100000000000001" hidden="1" customHeight="1" x14ac:dyDescent="0.25">
      <c r="A76" s="18"/>
      <c r="B76" s="18"/>
      <c r="C76" s="18"/>
      <c r="D76" s="1"/>
      <c r="E76" s="2"/>
      <c r="BE76" s="2"/>
    </row>
    <row r="77" spans="1:57" ht="20.100000000000001" hidden="1" customHeight="1" x14ac:dyDescent="0.25">
      <c r="A77" s="18"/>
      <c r="B77" s="18"/>
      <c r="C77" s="18"/>
      <c r="D77" s="1"/>
      <c r="E77" s="2"/>
      <c r="BE77" s="2"/>
    </row>
    <row r="78" spans="1:57" ht="20.100000000000001" hidden="1" customHeight="1" x14ac:dyDescent="0.25">
      <c r="A78" s="18"/>
      <c r="B78" s="18"/>
      <c r="C78" s="18"/>
      <c r="D78" s="1"/>
      <c r="E78" s="2"/>
      <c r="BE78" s="2"/>
    </row>
    <row r="79" spans="1:57" ht="20.100000000000001" hidden="1" customHeight="1" x14ac:dyDescent="0.25">
      <c r="A79" s="18"/>
      <c r="B79" s="18"/>
      <c r="C79" s="18"/>
      <c r="D79" s="1"/>
      <c r="E79" s="2"/>
      <c r="BE79" s="2"/>
    </row>
    <row r="80" spans="1:57" ht="20.100000000000001" hidden="1" customHeight="1" x14ac:dyDescent="0.25">
      <c r="A80" s="18"/>
      <c r="B80" s="18"/>
      <c r="C80" s="18"/>
      <c r="D80" s="1"/>
      <c r="E80" s="2"/>
      <c r="BE80" s="2"/>
    </row>
    <row r="81" spans="1:118" ht="20.100000000000001" hidden="1" customHeight="1" x14ac:dyDescent="0.25">
      <c r="A81" s="18"/>
      <c r="B81" s="18"/>
      <c r="C81" s="18"/>
      <c r="D81" s="1"/>
      <c r="E81" s="2"/>
      <c r="BE81" s="2"/>
    </row>
    <row r="82" spans="1:118" ht="20.100000000000001" hidden="1" customHeight="1" x14ac:dyDescent="0.25">
      <c r="A82" s="18"/>
      <c r="B82" s="18"/>
      <c r="C82" s="18"/>
      <c r="D82" s="1"/>
      <c r="E82" s="69"/>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3"/>
      <c r="AN82" s="3"/>
      <c r="AO82" s="3"/>
      <c r="AP82" s="3"/>
      <c r="AQ82" s="3"/>
      <c r="AR82" s="3"/>
      <c r="AS82" s="3"/>
      <c r="AT82" s="3"/>
      <c r="AU82" s="3"/>
      <c r="AV82" s="3"/>
      <c r="AW82" s="2"/>
      <c r="AX82" s="2"/>
      <c r="AY82" s="2"/>
      <c r="AZ82" s="2"/>
      <c r="BA82" s="2"/>
      <c r="BB82" s="2"/>
      <c r="BC82" s="2"/>
      <c r="BD82" s="2"/>
      <c r="BE82" s="2"/>
    </row>
    <row r="83" spans="1:118" ht="20.100000000000001" customHeight="1" x14ac:dyDescent="0.25">
      <c r="A83" s="18"/>
      <c r="B83" s="18"/>
      <c r="C83" s="18"/>
      <c r="D83" s="1"/>
      <c r="E83" s="2"/>
      <c r="BA83" s="2"/>
      <c r="BB83" s="2"/>
      <c r="BC83" s="2"/>
      <c r="BD83" s="2"/>
      <c r="BE83" s="2"/>
      <c r="CA83" s="299"/>
      <c r="CB83" s="299"/>
      <c r="CC83" s="299"/>
      <c r="CD83" s="299"/>
      <c r="CE83" s="300"/>
    </row>
    <row r="84" spans="1:118" ht="21.95" customHeight="1" x14ac:dyDescent="0.25">
      <c r="A84" s="18"/>
      <c r="B84" s="18"/>
      <c r="C84" s="18"/>
      <c r="D84" s="1"/>
      <c r="E84" s="2"/>
      <c r="F84" s="1403" t="s">
        <v>8530</v>
      </c>
      <c r="G84" s="1404"/>
      <c r="H84" s="1404"/>
      <c r="I84" s="1404"/>
      <c r="J84" s="1404"/>
      <c r="K84" s="1404"/>
      <c r="L84" s="1404"/>
      <c r="M84" s="1405"/>
      <c r="N84" s="1399" t="s">
        <v>90</v>
      </c>
      <c r="O84" s="1400"/>
      <c r="P84" s="1392" t="str">
        <f ca="1">Calculos!CP28</f>
        <v>---</v>
      </c>
      <c r="Q84" s="1392"/>
      <c r="R84" s="1392"/>
      <c r="S84" s="1392"/>
      <c r="T84" s="1412" t="s">
        <v>95</v>
      </c>
      <c r="U84" s="1412"/>
      <c r="V84" s="1412"/>
      <c r="W84" s="1412"/>
      <c r="X84" s="1412"/>
      <c r="Y84" s="1392" t="str">
        <f ca="1">Calculos!CR28</f>
        <v>---</v>
      </c>
      <c r="Z84" s="1392"/>
      <c r="AA84" s="1392"/>
      <c r="AB84" s="1392"/>
      <c r="AC84" s="2"/>
      <c r="AD84" s="2"/>
      <c r="AE84" s="2"/>
      <c r="AF84" s="2"/>
      <c r="AG84" s="2"/>
      <c r="AH84" s="2"/>
      <c r="AI84" s="2"/>
      <c r="AJ84" s="2"/>
      <c r="AK84" s="2"/>
      <c r="AL84" s="2"/>
      <c r="AM84" s="2"/>
      <c r="AN84" s="2"/>
      <c r="AO84" s="2"/>
      <c r="AP84" s="2"/>
      <c r="AQ84" s="2"/>
      <c r="AR84" s="2"/>
      <c r="AS84" s="2"/>
      <c r="AT84" s="3"/>
      <c r="AU84" s="3"/>
      <c r="AV84" s="3"/>
      <c r="AW84" s="2"/>
      <c r="AX84" s="2"/>
      <c r="AY84" s="2"/>
      <c r="AZ84" s="2"/>
      <c r="BA84" s="2"/>
      <c r="BB84" s="2"/>
      <c r="BC84" s="2"/>
      <c r="BD84" s="2"/>
      <c r="BE84" s="2"/>
      <c r="CA84" s="301"/>
      <c r="CB84" s="301"/>
      <c r="CC84" s="301"/>
      <c r="CD84" s="301"/>
      <c r="CE84" s="302"/>
      <c r="CF84" s="303"/>
      <c r="CG84" s="304"/>
      <c r="CH84" s="304"/>
      <c r="CI84" s="304"/>
      <c r="CJ84" s="305"/>
    </row>
    <row r="85" spans="1:118" ht="21.95" customHeight="1" x14ac:dyDescent="0.25">
      <c r="A85" s="18"/>
      <c r="B85" s="18"/>
      <c r="C85" s="18"/>
      <c r="D85" s="1"/>
      <c r="E85" s="2"/>
      <c r="F85" s="1406"/>
      <c r="G85" s="1383"/>
      <c r="H85" s="1383"/>
      <c r="I85" s="1383"/>
      <c r="J85" s="1383"/>
      <c r="K85" s="1383"/>
      <c r="L85" s="1383"/>
      <c r="M85" s="1407"/>
      <c r="N85" s="1401" t="s">
        <v>91</v>
      </c>
      <c r="O85" s="1402"/>
      <c r="P85" s="1392" t="str">
        <f ca="1">Calculos!CP29</f>
        <v>---</v>
      </c>
      <c r="Q85" s="1392"/>
      <c r="R85" s="1392"/>
      <c r="S85" s="1392"/>
      <c r="T85" s="1411" t="s">
        <v>96</v>
      </c>
      <c r="U85" s="1411"/>
      <c r="V85" s="1411"/>
      <c r="W85" s="1411"/>
      <c r="X85" s="1411"/>
      <c r="Y85" s="1392" t="str">
        <f ca="1">Calculos!CR29</f>
        <v>---</v>
      </c>
      <c r="Z85" s="1392"/>
      <c r="AA85" s="1392"/>
      <c r="AB85" s="1392"/>
      <c r="AC85" s="2"/>
      <c r="AD85" s="2"/>
      <c r="AE85" s="2"/>
      <c r="AF85" s="2"/>
      <c r="AG85" s="2"/>
      <c r="AH85" s="2"/>
      <c r="AI85" s="2"/>
      <c r="AJ85" s="2"/>
      <c r="AK85" s="2"/>
      <c r="AL85" s="2"/>
      <c r="AM85" s="2"/>
      <c r="AN85" s="2"/>
      <c r="AO85" s="2"/>
      <c r="AP85" s="2"/>
      <c r="AQ85" s="2"/>
      <c r="AR85" s="2"/>
      <c r="AS85" s="2"/>
      <c r="AT85" s="3"/>
      <c r="AU85" s="3"/>
      <c r="AV85" s="2"/>
      <c r="AW85" s="2"/>
      <c r="AX85" s="2"/>
      <c r="AY85" s="2"/>
      <c r="AZ85" s="2"/>
      <c r="BA85" s="2"/>
      <c r="BB85" s="2"/>
      <c r="BC85" s="2"/>
      <c r="BD85" s="2"/>
      <c r="BE85" s="2"/>
      <c r="CF85" s="303"/>
      <c r="CG85" s="304"/>
      <c r="CH85" s="304"/>
      <c r="CI85" s="304"/>
      <c r="CJ85" s="305"/>
      <c r="CU85" s="303"/>
      <c r="CW85" s="304"/>
      <c r="CX85" s="303"/>
      <c r="CY85" s="304"/>
      <c r="CZ85" s="304"/>
      <c r="DA85" s="304"/>
      <c r="DB85" s="305"/>
    </row>
    <row r="86" spans="1:118" ht="21.95" customHeight="1" x14ac:dyDescent="0.25">
      <c r="A86" s="18"/>
      <c r="B86" s="18"/>
      <c r="C86" s="18"/>
      <c r="D86" s="1"/>
      <c r="E86" s="2"/>
      <c r="F86" s="1406"/>
      <c r="G86" s="1383"/>
      <c r="H86" s="1383"/>
      <c r="I86" s="1383"/>
      <c r="J86" s="1383"/>
      <c r="K86" s="1383"/>
      <c r="L86" s="1383"/>
      <c r="M86" s="1407"/>
      <c r="N86" s="1401" t="s">
        <v>92</v>
      </c>
      <c r="O86" s="1402"/>
      <c r="P86" s="1392" t="str">
        <f ca="1">Calculos!CP30</f>
        <v>---</v>
      </c>
      <c r="Q86" s="1392"/>
      <c r="R86" s="1392"/>
      <c r="S86" s="1392"/>
      <c r="T86" s="1411" t="s">
        <v>97</v>
      </c>
      <c r="U86" s="1411"/>
      <c r="V86" s="1411"/>
      <c r="W86" s="1411"/>
      <c r="X86" s="1411"/>
      <c r="Y86" s="1392" t="str">
        <f ca="1">Calculos!CR30</f>
        <v>---</v>
      </c>
      <c r="Z86" s="1392"/>
      <c r="AA86" s="1392"/>
      <c r="AB86" s="1392"/>
      <c r="AC86" s="2"/>
      <c r="AD86" s="1387"/>
      <c r="AE86" s="1387"/>
      <c r="AF86" s="1387"/>
      <c r="AG86" s="1387"/>
      <c r="AH86" s="1387"/>
      <c r="AI86" s="1387"/>
      <c r="AJ86" s="1387"/>
      <c r="AK86" s="1387"/>
      <c r="AL86" s="3"/>
      <c r="AM86" s="2"/>
      <c r="AN86" s="2"/>
      <c r="AO86" s="2"/>
      <c r="AP86" s="2"/>
      <c r="AQ86" s="2"/>
      <c r="AR86" s="2"/>
      <c r="AS86" s="2"/>
      <c r="AT86" s="3"/>
      <c r="AU86" s="3"/>
      <c r="AV86" s="2"/>
      <c r="AW86" s="2"/>
      <c r="AX86" s="2"/>
      <c r="AY86" s="2"/>
      <c r="AZ86" s="2"/>
      <c r="BA86" s="2"/>
      <c r="BB86" s="2"/>
      <c r="BC86" s="2"/>
      <c r="BD86" s="2"/>
      <c r="BE86" s="124"/>
      <c r="CF86" s="303"/>
      <c r="CG86" s="304"/>
      <c r="CH86" s="304"/>
      <c r="CI86" s="304"/>
      <c r="CJ86" s="305"/>
      <c r="CU86" s="303"/>
      <c r="CW86" s="304"/>
      <c r="CX86" s="304"/>
      <c r="CY86" s="304"/>
      <c r="CZ86" s="305"/>
    </row>
    <row r="87" spans="1:118" ht="21.95" customHeight="1" x14ac:dyDescent="0.25">
      <c r="A87" s="18"/>
      <c r="B87" s="18"/>
      <c r="C87" s="18"/>
      <c r="D87" s="1"/>
      <c r="E87" s="2"/>
      <c r="F87" s="1406"/>
      <c r="G87" s="1383"/>
      <c r="H87" s="1383"/>
      <c r="I87" s="1383"/>
      <c r="J87" s="1383"/>
      <c r="K87" s="1383"/>
      <c r="L87" s="1383"/>
      <c r="M87" s="1407"/>
      <c r="N87" s="1401" t="s">
        <v>93</v>
      </c>
      <c r="O87" s="1402"/>
      <c r="P87" s="1392" t="str">
        <f ca="1">Calculos!CP31</f>
        <v>---</v>
      </c>
      <c r="Q87" s="1392"/>
      <c r="R87" s="1392"/>
      <c r="S87" s="1392"/>
      <c r="T87" s="1411" t="s">
        <v>98</v>
      </c>
      <c r="U87" s="1411"/>
      <c r="V87" s="1411"/>
      <c r="W87" s="1411"/>
      <c r="X87" s="1411"/>
      <c r="Y87" s="1392" t="str">
        <f ca="1">Calculos!CR31</f>
        <v>---</v>
      </c>
      <c r="Z87" s="1392"/>
      <c r="AA87" s="1392"/>
      <c r="AB87" s="1392"/>
      <c r="AC87" s="2"/>
      <c r="AD87" s="1387"/>
      <c r="AE87" s="1387"/>
      <c r="AF87" s="1387"/>
      <c r="AG87" s="1387"/>
      <c r="AH87" s="1387"/>
      <c r="AI87" s="1387"/>
      <c r="AJ87" s="1387"/>
      <c r="AK87" s="1387"/>
      <c r="AL87" s="3"/>
      <c r="AM87" s="2"/>
      <c r="AN87" s="2"/>
      <c r="AO87" s="2"/>
      <c r="AP87" s="2"/>
      <c r="AQ87" s="2"/>
      <c r="AR87" s="2"/>
      <c r="AS87" s="2"/>
      <c r="AT87" s="3"/>
      <c r="AU87" s="3"/>
      <c r="AV87" s="2"/>
      <c r="AW87" s="2"/>
      <c r="AX87" s="2"/>
      <c r="AY87" s="2"/>
      <c r="AZ87" s="2"/>
      <c r="BA87" s="2"/>
      <c r="BB87" s="2"/>
      <c r="BC87" s="2"/>
      <c r="BD87" s="2"/>
      <c r="BE87" s="2"/>
      <c r="CA87" s="301"/>
      <c r="CB87" s="301"/>
      <c r="CC87" s="301"/>
      <c r="CD87" s="301"/>
      <c r="CE87" s="302"/>
      <c r="CF87" s="303"/>
      <c r="CG87" s="304"/>
      <c r="CH87" s="304"/>
      <c r="CI87" s="304"/>
      <c r="CJ87" s="305"/>
      <c r="CU87" s="303"/>
      <c r="CW87" s="304"/>
      <c r="CX87" s="304"/>
      <c r="CY87" s="304"/>
      <c r="CZ87" s="305"/>
    </row>
    <row r="88" spans="1:118" ht="21.95" customHeight="1" x14ac:dyDescent="0.25">
      <c r="A88" s="18"/>
      <c r="B88" s="18"/>
      <c r="C88" s="18"/>
      <c r="D88" s="1"/>
      <c r="E88" s="2"/>
      <c r="F88" s="1408"/>
      <c r="G88" s="1409"/>
      <c r="H88" s="1409"/>
      <c r="I88" s="1409"/>
      <c r="J88" s="1409"/>
      <c r="K88" s="1409"/>
      <c r="L88" s="1409"/>
      <c r="M88" s="1410"/>
      <c r="N88" s="1360" t="s">
        <v>94</v>
      </c>
      <c r="O88" s="1424"/>
      <c r="P88" s="1392" t="str">
        <f ca="1">Calculos!CP32</f>
        <v>---</v>
      </c>
      <c r="Q88" s="1392"/>
      <c r="R88" s="1392"/>
      <c r="S88" s="1392"/>
      <c r="T88" s="1416" t="s">
        <v>99</v>
      </c>
      <c r="U88" s="1416"/>
      <c r="V88" s="1416"/>
      <c r="W88" s="1416"/>
      <c r="X88" s="1416"/>
      <c r="Y88" s="1392" t="str">
        <f ca="1">Calculos!CR32</f>
        <v>---</v>
      </c>
      <c r="Z88" s="1392"/>
      <c r="AA88" s="1392"/>
      <c r="AB88" s="1392"/>
      <c r="AC88" s="2"/>
      <c r="AD88" s="1387"/>
      <c r="AE88" s="1387"/>
      <c r="AF88" s="1387"/>
      <c r="AG88" s="1387"/>
      <c r="AH88" s="1387"/>
      <c r="AI88" s="1387"/>
      <c r="AJ88" s="1387"/>
      <c r="AK88" s="1387"/>
      <c r="AL88" s="3"/>
      <c r="AM88" s="2"/>
      <c r="AN88" s="2"/>
      <c r="AO88" s="2"/>
      <c r="AP88" s="2"/>
      <c r="AQ88" s="2"/>
      <c r="AR88" s="2"/>
      <c r="AS88" s="2"/>
      <c r="AT88" s="2"/>
      <c r="AU88" s="3"/>
      <c r="AV88" s="2"/>
      <c r="AW88" s="2"/>
      <c r="AX88" s="2"/>
      <c r="AY88" s="2"/>
      <c r="AZ88" s="2"/>
      <c r="BA88" s="2"/>
      <c r="BB88" s="2"/>
      <c r="BC88" s="2"/>
      <c r="BD88" s="2"/>
      <c r="BE88" s="2"/>
      <c r="CU88" s="303"/>
      <c r="CV88" s="304"/>
      <c r="CW88" s="304"/>
      <c r="CX88" s="304"/>
      <c r="CY88" s="305"/>
    </row>
    <row r="89" spans="1:118" s="313" customFormat="1" ht="39.950000000000003" customHeight="1" x14ac:dyDescent="0.3">
      <c r="A89" s="307"/>
      <c r="B89" s="307"/>
      <c r="C89" s="307"/>
      <c r="D89" s="1"/>
      <c r="E89" s="308"/>
      <c r="F89" s="281" t="s">
        <v>8649</v>
      </c>
      <c r="G89" s="226" t="s">
        <v>8651</v>
      </c>
      <c r="H89" s="308"/>
      <c r="I89" s="308"/>
      <c r="J89" s="308"/>
      <c r="K89" s="308"/>
      <c r="L89" s="308"/>
      <c r="M89" s="308"/>
      <c r="N89" s="309"/>
      <c r="O89" s="309"/>
      <c r="P89" s="309"/>
      <c r="Q89" s="309"/>
      <c r="R89" s="309"/>
      <c r="S89" s="309"/>
      <c r="T89" s="309"/>
      <c r="U89" s="310"/>
      <c r="V89" s="311"/>
      <c r="W89" s="311"/>
      <c r="X89" s="311"/>
      <c r="Y89" s="311"/>
      <c r="Z89" s="311"/>
      <c r="AA89" s="311"/>
      <c r="AB89" s="311"/>
      <c r="AC89" s="312"/>
      <c r="AD89" s="312"/>
      <c r="AE89" s="312"/>
      <c r="AF89" s="312"/>
      <c r="AG89" s="312"/>
      <c r="AH89" s="312"/>
      <c r="AI89" s="312"/>
      <c r="AJ89" s="312"/>
      <c r="AK89" s="312"/>
      <c r="AL89" s="312"/>
      <c r="AM89" s="312"/>
      <c r="AN89" s="312"/>
      <c r="AO89" s="312"/>
      <c r="AP89" s="312"/>
      <c r="AQ89" s="312"/>
      <c r="AR89" s="312"/>
      <c r="AS89" s="309"/>
      <c r="AT89" s="309"/>
      <c r="AU89" s="309"/>
      <c r="AV89" s="309"/>
      <c r="AW89" s="309"/>
      <c r="AX89" s="309"/>
      <c r="AY89" s="309"/>
      <c r="AZ89" s="309"/>
      <c r="BA89" s="309"/>
      <c r="BB89" s="309"/>
      <c r="BC89" s="309"/>
      <c r="BD89" s="309"/>
      <c r="BE89" s="309"/>
      <c r="CA89" s="1362" t="s">
        <v>90</v>
      </c>
      <c r="CB89" s="1363"/>
      <c r="CC89" s="1362" t="s">
        <v>90</v>
      </c>
      <c r="CD89" s="1363"/>
      <c r="CE89" s="1362" t="s">
        <v>91</v>
      </c>
      <c r="CF89" s="1363"/>
      <c r="CG89" s="1362" t="s">
        <v>91</v>
      </c>
      <c r="CH89" s="1363"/>
      <c r="CI89" s="1362" t="s">
        <v>92</v>
      </c>
      <c r="CJ89" s="1363"/>
      <c r="CK89" s="1362" t="s">
        <v>92</v>
      </c>
      <c r="CL89" s="1363"/>
      <c r="CM89" s="1362" t="s">
        <v>93</v>
      </c>
      <c r="CN89" s="1363"/>
      <c r="CO89" s="1362" t="s">
        <v>93</v>
      </c>
      <c r="CP89" s="1363"/>
      <c r="CQ89" s="1362" t="s">
        <v>94</v>
      </c>
      <c r="CR89" s="1363"/>
      <c r="CS89" s="1362" t="s">
        <v>94</v>
      </c>
      <c r="CT89" s="1363"/>
      <c r="CU89" s="1362" t="s">
        <v>95</v>
      </c>
      <c r="CV89" s="1363"/>
      <c r="CW89" s="1362" t="s">
        <v>95</v>
      </c>
      <c r="CX89" s="1363"/>
      <c r="CY89" s="1362" t="s">
        <v>96</v>
      </c>
      <c r="CZ89" s="1363"/>
      <c r="DA89" s="1362" t="s">
        <v>96</v>
      </c>
      <c r="DB89" s="1363"/>
      <c r="DC89" s="1362" t="s">
        <v>97</v>
      </c>
      <c r="DD89" s="1363"/>
      <c r="DE89" s="1362" t="s">
        <v>97</v>
      </c>
      <c r="DF89" s="1363"/>
      <c r="DG89" s="1362" t="s">
        <v>98</v>
      </c>
      <c r="DH89" s="1363"/>
      <c r="DI89" s="1362" t="s">
        <v>98</v>
      </c>
      <c r="DJ89" s="1363"/>
      <c r="DK89" s="1362" t="s">
        <v>8224</v>
      </c>
      <c r="DL89" s="1363"/>
      <c r="DM89" s="1362" t="s">
        <v>8224</v>
      </c>
      <c r="DN89" s="1363"/>
    </row>
    <row r="90" spans="1:118" ht="30" customHeight="1" outlineLevel="1" x14ac:dyDescent="0.25">
      <c r="A90" s="18"/>
      <c r="B90" s="18"/>
      <c r="C90" s="18"/>
      <c r="D90" s="1"/>
      <c r="E90" s="314"/>
      <c r="F90" s="2"/>
      <c r="G90" s="184"/>
      <c r="H90" s="184"/>
      <c r="I90" s="184"/>
      <c r="J90" s="184"/>
      <c r="K90" s="184"/>
      <c r="L90" s="184"/>
      <c r="M90" s="184"/>
      <c r="N90" s="27"/>
      <c r="O90" s="27"/>
      <c r="P90" s="27"/>
      <c r="Q90" s="1388" t="str">
        <f ca="1">IF(P84="---","-",N84)</f>
        <v>-</v>
      </c>
      <c r="R90" s="1388"/>
      <c r="S90" s="1388"/>
      <c r="T90" s="1388"/>
      <c r="U90" s="1385" t="str">
        <f ca="1">IF(P85="---","-",N85)</f>
        <v>-</v>
      </c>
      <c r="V90" s="1385"/>
      <c r="W90" s="1385"/>
      <c r="X90" s="1385"/>
      <c r="Y90" s="1385" t="str">
        <f ca="1">IF(P86="---","-",N86)</f>
        <v>-</v>
      </c>
      <c r="Z90" s="1385"/>
      <c r="AA90" s="1385"/>
      <c r="AB90" s="1385"/>
      <c r="AC90" s="1385" t="str">
        <f ca="1">IF(P87="---","-",N87)</f>
        <v>-</v>
      </c>
      <c r="AD90" s="1385"/>
      <c r="AE90" s="1385"/>
      <c r="AF90" s="1385"/>
      <c r="AG90" s="1385" t="str">
        <f ca="1">IF(P88="---","-",N88)</f>
        <v>-</v>
      </c>
      <c r="AH90" s="1385"/>
      <c r="AI90" s="1385"/>
      <c r="AJ90" s="1385"/>
      <c r="AK90" s="1385" t="str">
        <f ca="1">IF(Y84="---","-",T84)</f>
        <v>-</v>
      </c>
      <c r="AL90" s="1385"/>
      <c r="AM90" s="1385"/>
      <c r="AN90" s="1385"/>
      <c r="AO90" s="1385" t="str">
        <f ca="1">IF(Y85="---","-",T85)</f>
        <v>-</v>
      </c>
      <c r="AP90" s="1385"/>
      <c r="AQ90" s="1385"/>
      <c r="AR90" s="1385"/>
      <c r="AS90" s="1385" t="str">
        <f ca="1">IF(Y86="---","-",T86)</f>
        <v>-</v>
      </c>
      <c r="AT90" s="1385"/>
      <c r="AU90" s="1385"/>
      <c r="AV90" s="1385"/>
      <c r="AW90" s="1385" t="str">
        <f ca="1">IF(Y87="---","-",T87)</f>
        <v>-</v>
      </c>
      <c r="AX90" s="1385"/>
      <c r="AY90" s="1385"/>
      <c r="AZ90" s="1385"/>
      <c r="BA90" s="1385" t="str">
        <f ca="1">IF(Y88="---","-",T88)</f>
        <v>-</v>
      </c>
      <c r="BB90" s="1385"/>
      <c r="BC90" s="1385"/>
      <c r="BD90" s="1385"/>
      <c r="CA90" s="1355">
        <f>INT(RIGHT(VLOOKUP(CA89,Calculos!$BH$490:$BI$500,2,0),1))</f>
        <v>2</v>
      </c>
      <c r="CB90" s="1356"/>
      <c r="CC90" s="1355">
        <f>INT(RIGHT(VLOOKUP(CC89,Calculos!$BH$490:$BI$500,2,0),1))</f>
        <v>2</v>
      </c>
      <c r="CD90" s="1356"/>
      <c r="CE90" s="1355">
        <f>INT(RIGHT(VLOOKUP(CE89,Calculos!$BH$490:$BI$500,2,0),1))</f>
        <v>2</v>
      </c>
      <c r="CF90" s="1356"/>
      <c r="CG90" s="1355">
        <f>INT(RIGHT(VLOOKUP(CG89,Calculos!$BH$490:$BI$500,2,0),1))</f>
        <v>2</v>
      </c>
      <c r="CH90" s="1356"/>
      <c r="CI90" s="1355">
        <f>INT(RIGHT(VLOOKUP(CI89,Calculos!$BH$490:$BI$500,2,0),1))</f>
        <v>2</v>
      </c>
      <c r="CJ90" s="1356"/>
      <c r="CK90" s="1355">
        <f>INT(RIGHT(VLOOKUP(CK89,Calculos!$BH$490:$BI$500,2,0),1))</f>
        <v>2</v>
      </c>
      <c r="CL90" s="1356"/>
      <c r="CM90" s="1355">
        <f>INT(RIGHT(VLOOKUP(CM89,Calculos!$BH$490:$BI$500,2,0),1))</f>
        <v>2</v>
      </c>
      <c r="CN90" s="1356"/>
      <c r="CO90" s="1355">
        <f>INT(RIGHT(VLOOKUP(CO89,Calculos!$BH$490:$BI$500,2,0),1))</f>
        <v>2</v>
      </c>
      <c r="CP90" s="1356"/>
      <c r="CQ90" s="1355">
        <f>INT(RIGHT(VLOOKUP(CQ89,Calculos!$BH$490:$BI$500,2,0),1))</f>
        <v>2</v>
      </c>
      <c r="CR90" s="1356"/>
      <c r="CS90" s="1355">
        <f>INT(RIGHT(VLOOKUP(CS89,Calculos!$BH$490:$BI$500,2,0),1))</f>
        <v>2</v>
      </c>
      <c r="CT90" s="1356"/>
      <c r="CU90" s="1355">
        <f>INT(RIGHT(VLOOKUP(CU89,Calculos!$BH$490:$BI$500,2,0),1))</f>
        <v>3</v>
      </c>
      <c r="CV90" s="1356"/>
      <c r="CW90" s="1355">
        <f>INT(RIGHT(VLOOKUP(CW89,Calculos!$BH$490:$BI$500,2,0),1))</f>
        <v>3</v>
      </c>
      <c r="CX90" s="1356"/>
      <c r="CY90" s="1355">
        <f>INT(RIGHT(VLOOKUP(CY89,Calculos!$BH$490:$BI$500,2,0),1))</f>
        <v>3</v>
      </c>
      <c r="CZ90" s="1356"/>
      <c r="DA90" s="1355">
        <f>INT(RIGHT(VLOOKUP(DA89,Calculos!$BH$490:$BI$500,2,0),1))</f>
        <v>3</v>
      </c>
      <c r="DB90" s="1356"/>
      <c r="DC90" s="1355">
        <f>INT(RIGHT(VLOOKUP(DC89,Calculos!$BH$490:$BI$500,2,0),1))</f>
        <v>3</v>
      </c>
      <c r="DD90" s="1356"/>
      <c r="DE90" s="1355">
        <f>INT(RIGHT(VLOOKUP(DE89,Calculos!$BH$490:$BI$500,2,0),1))</f>
        <v>3</v>
      </c>
      <c r="DF90" s="1356"/>
      <c r="DG90" s="1355">
        <f>INT(RIGHT(VLOOKUP(DG89,Calculos!$BH$490:$BI$500,2,0),1))</f>
        <v>2</v>
      </c>
      <c r="DH90" s="1356"/>
      <c r="DI90" s="1355">
        <f>INT(RIGHT(VLOOKUP(DI89,Calculos!$BH$490:$BI$500,2,0),1))</f>
        <v>2</v>
      </c>
      <c r="DJ90" s="1356"/>
      <c r="DK90" s="1355">
        <f>INT(RIGHT(VLOOKUP(DK89,Calculos!$BH$490:$BI$500,2,0),1))</f>
        <v>2</v>
      </c>
      <c r="DL90" s="1356"/>
      <c r="DM90" s="1355">
        <f>INT(RIGHT(VLOOKUP(DM89,Calculos!$BH$490:$BI$500,2,0),1))</f>
        <v>2</v>
      </c>
      <c r="DN90" s="1356"/>
    </row>
    <row r="91" spans="1:118" ht="20.100000000000001" customHeight="1" outlineLevel="1" x14ac:dyDescent="0.25">
      <c r="A91" s="18"/>
      <c r="B91" s="18"/>
      <c r="C91" s="18"/>
      <c r="D91" s="1"/>
      <c r="E91" s="314"/>
      <c r="F91" s="2"/>
      <c r="G91" s="184"/>
      <c r="H91" s="184"/>
      <c r="I91" s="184"/>
      <c r="J91" s="184"/>
      <c r="K91" s="184"/>
      <c r="L91" s="184"/>
      <c r="M91" s="1386" t="s">
        <v>6037</v>
      </c>
      <c r="N91" s="1386"/>
      <c r="O91" s="1386"/>
      <c r="P91" s="1386"/>
      <c r="Q91" s="1357" t="s">
        <v>10</v>
      </c>
      <c r="R91" s="1358"/>
      <c r="S91" s="1358" t="s">
        <v>237</v>
      </c>
      <c r="T91" s="1359"/>
      <c r="U91" s="1357" t="s">
        <v>10</v>
      </c>
      <c r="V91" s="1358"/>
      <c r="W91" s="1358" t="s">
        <v>237</v>
      </c>
      <c r="X91" s="1359"/>
      <c r="Y91" s="1357" t="s">
        <v>10</v>
      </c>
      <c r="Z91" s="1358"/>
      <c r="AA91" s="1358" t="s">
        <v>237</v>
      </c>
      <c r="AB91" s="1359"/>
      <c r="AC91" s="1357" t="s">
        <v>10</v>
      </c>
      <c r="AD91" s="1358"/>
      <c r="AE91" s="1358" t="s">
        <v>237</v>
      </c>
      <c r="AF91" s="1359"/>
      <c r="AG91" s="1357" t="s">
        <v>10</v>
      </c>
      <c r="AH91" s="1358"/>
      <c r="AI91" s="1358" t="s">
        <v>237</v>
      </c>
      <c r="AJ91" s="1359"/>
      <c r="AK91" s="1357" t="s">
        <v>10</v>
      </c>
      <c r="AL91" s="1358"/>
      <c r="AM91" s="1358" t="s">
        <v>237</v>
      </c>
      <c r="AN91" s="1359"/>
      <c r="AO91" s="1357" t="s">
        <v>10</v>
      </c>
      <c r="AP91" s="1358"/>
      <c r="AQ91" s="1358" t="s">
        <v>237</v>
      </c>
      <c r="AR91" s="1359"/>
      <c r="AS91" s="1357" t="s">
        <v>10</v>
      </c>
      <c r="AT91" s="1358"/>
      <c r="AU91" s="1358" t="s">
        <v>237</v>
      </c>
      <c r="AV91" s="1359"/>
      <c r="AW91" s="1357" t="s">
        <v>10</v>
      </c>
      <c r="AX91" s="1358"/>
      <c r="AY91" s="1358" t="s">
        <v>237</v>
      </c>
      <c r="AZ91" s="1359"/>
      <c r="BA91" s="1357" t="s">
        <v>10</v>
      </c>
      <c r="BB91" s="1358"/>
      <c r="BC91" s="1358" t="s">
        <v>237</v>
      </c>
      <c r="BD91" s="1359"/>
      <c r="CA91" s="1357" t="s">
        <v>10</v>
      </c>
      <c r="CB91" s="1358"/>
      <c r="CC91" s="1358" t="s">
        <v>237</v>
      </c>
      <c r="CD91" s="1359"/>
      <c r="CE91" s="1357" t="s">
        <v>10</v>
      </c>
      <c r="CF91" s="1358"/>
      <c r="CG91" s="1358" t="s">
        <v>237</v>
      </c>
      <c r="CH91" s="1359"/>
      <c r="CI91" s="1357" t="s">
        <v>10</v>
      </c>
      <c r="CJ91" s="1358"/>
      <c r="CK91" s="1358" t="s">
        <v>237</v>
      </c>
      <c r="CL91" s="1359"/>
      <c r="CM91" s="1357" t="s">
        <v>10</v>
      </c>
      <c r="CN91" s="1358"/>
      <c r="CO91" s="1358" t="s">
        <v>237</v>
      </c>
      <c r="CP91" s="1359"/>
      <c r="CQ91" s="1357" t="s">
        <v>10</v>
      </c>
      <c r="CR91" s="1358"/>
      <c r="CS91" s="1358" t="s">
        <v>237</v>
      </c>
      <c r="CT91" s="1359"/>
      <c r="CU91" s="1357" t="s">
        <v>10</v>
      </c>
      <c r="CV91" s="1358"/>
      <c r="CW91" s="1358" t="s">
        <v>237</v>
      </c>
      <c r="CX91" s="1359"/>
      <c r="CY91" s="1357" t="s">
        <v>10</v>
      </c>
      <c r="CZ91" s="1358"/>
      <c r="DA91" s="1358" t="s">
        <v>237</v>
      </c>
      <c r="DB91" s="1359"/>
      <c r="DC91" s="1357" t="s">
        <v>10</v>
      </c>
      <c r="DD91" s="1358"/>
      <c r="DE91" s="1358" t="s">
        <v>237</v>
      </c>
      <c r="DF91" s="1359"/>
      <c r="DG91" s="1357" t="s">
        <v>10</v>
      </c>
      <c r="DH91" s="1358"/>
      <c r="DI91" s="1358" t="s">
        <v>237</v>
      </c>
      <c r="DJ91" s="1359"/>
      <c r="DK91" s="1357" t="s">
        <v>10</v>
      </c>
      <c r="DL91" s="1358"/>
      <c r="DM91" s="1358" t="s">
        <v>237</v>
      </c>
      <c r="DN91" s="1359"/>
    </row>
    <row r="92" spans="1:118" ht="20.100000000000001" customHeight="1" outlineLevel="1" x14ac:dyDescent="0.25">
      <c r="A92" s="18"/>
      <c r="B92" s="18"/>
      <c r="C92" s="18"/>
      <c r="D92" s="1"/>
      <c r="E92" s="314"/>
      <c r="F92" s="1377" t="s">
        <v>7101</v>
      </c>
      <c r="G92" s="1377"/>
      <c r="H92" s="1377"/>
      <c r="I92" s="1377"/>
      <c r="J92" s="1377"/>
      <c r="K92" s="1377"/>
      <c r="L92" s="1377"/>
      <c r="M92" s="1384" t="s">
        <v>7102</v>
      </c>
      <c r="N92" s="1384"/>
      <c r="O92" s="1384"/>
      <c r="P92" s="1384"/>
      <c r="Q92" s="1375" t="str">
        <f ca="1">Calculos!BO10</f>
        <v>-</v>
      </c>
      <c r="R92" s="1376"/>
      <c r="S92" s="1375" t="str">
        <f ca="1">Calculos!BO26</f>
        <v>-</v>
      </c>
      <c r="T92" s="1376"/>
      <c r="U92" s="1375" t="str">
        <f ca="1">Calculos!BO42</f>
        <v>-</v>
      </c>
      <c r="V92" s="1376"/>
      <c r="W92" s="1375" t="str">
        <f ca="1">Calculos!BO58</f>
        <v>-</v>
      </c>
      <c r="X92" s="1376"/>
      <c r="Y92" s="1375" t="str">
        <f ca="1">Calculos!BO74</f>
        <v>-</v>
      </c>
      <c r="Z92" s="1376"/>
      <c r="AA92" s="1375" t="str">
        <f ca="1">Calculos!BO90</f>
        <v>-</v>
      </c>
      <c r="AB92" s="1376"/>
      <c r="AC92" s="1375" t="str">
        <f ca="1">Calculos!BO106</f>
        <v>-</v>
      </c>
      <c r="AD92" s="1376"/>
      <c r="AE92" s="1375" t="str">
        <f ca="1">Calculos!BO122</f>
        <v>-</v>
      </c>
      <c r="AF92" s="1376"/>
      <c r="AG92" s="1375" t="str">
        <f ca="1">Calculos!BO138</f>
        <v>-</v>
      </c>
      <c r="AH92" s="1376"/>
      <c r="AI92" s="1375" t="str">
        <f ca="1">Calculos!BO154</f>
        <v>-</v>
      </c>
      <c r="AJ92" s="1376"/>
      <c r="AK92" s="1375" t="str">
        <f ca="1">Calculos!BO170</f>
        <v>-</v>
      </c>
      <c r="AL92" s="1376"/>
      <c r="AM92" s="1375" t="str">
        <f ca="1">Calculos!BO186</f>
        <v>-</v>
      </c>
      <c r="AN92" s="1376"/>
      <c r="AO92" s="1375" t="str">
        <f ca="1">Calculos!BO202</f>
        <v>-</v>
      </c>
      <c r="AP92" s="1376"/>
      <c r="AQ92" s="1375" t="str">
        <f ca="1">Calculos!BO218</f>
        <v>-</v>
      </c>
      <c r="AR92" s="1376"/>
      <c r="AS92" s="1375" t="str">
        <f ca="1">Calculos!BO234</f>
        <v>-</v>
      </c>
      <c r="AT92" s="1376"/>
      <c r="AU92" s="1375" t="str">
        <f ca="1">Calculos!BO250</f>
        <v>-</v>
      </c>
      <c r="AV92" s="1376"/>
      <c r="AW92" s="1375" t="str">
        <f ca="1">Calculos!BO266</f>
        <v>-</v>
      </c>
      <c r="AX92" s="1376"/>
      <c r="AY92" s="1375" t="str">
        <f ca="1">Calculos!BO282</f>
        <v>-</v>
      </c>
      <c r="AZ92" s="1376"/>
      <c r="BA92" s="1375" t="str">
        <f ca="1">Calculos!BO298</f>
        <v>-</v>
      </c>
      <c r="BB92" s="1376"/>
      <c r="BC92" s="1375" t="str">
        <f ca="1">Calculos!BO314</f>
        <v>-</v>
      </c>
      <c r="BD92" s="1376"/>
      <c r="CA92" s="1354">
        <f ca="1">IF(Q92="-",0,IF(Q92&gt;=CA$90,1,0))</f>
        <v>0</v>
      </c>
      <c r="CB92" s="1354"/>
      <c r="CC92" s="1354">
        <f t="shared" ref="CC92:CC103" ca="1" si="0">IF(S92="-",0,IF(S92&gt;=CC$90,1,0))</f>
        <v>0</v>
      </c>
      <c r="CD92" s="1354"/>
      <c r="CE92" s="1354">
        <f t="shared" ref="CE92:CE103" ca="1" si="1">IF(U92="-",0,IF(U92&gt;=CE$90,1,0))</f>
        <v>0</v>
      </c>
      <c r="CF92" s="1354"/>
      <c r="CG92" s="1354">
        <f t="shared" ref="CG92:CG103" ca="1" si="2">IF(W92="-",0,IF(W92&gt;=CG$90,1,0))</f>
        <v>0</v>
      </c>
      <c r="CH92" s="1354"/>
      <c r="CI92" s="1354">
        <f t="shared" ref="CI92:CI103" ca="1" si="3">IF(Y92="-",0,IF(Y92&gt;=CI$90,1,0))</f>
        <v>0</v>
      </c>
      <c r="CJ92" s="1354"/>
      <c r="CK92" s="1354">
        <f t="shared" ref="CK92:CK103" ca="1" si="4">IF(AA92="-",0,IF(AA92&gt;=CK$90,1,0))</f>
        <v>0</v>
      </c>
      <c r="CL92" s="1354"/>
      <c r="CM92" s="1354">
        <f t="shared" ref="CM92:CM103" ca="1" si="5">IF(AC92="-",0,IF(AC92&gt;=CM$90,1,0))</f>
        <v>0</v>
      </c>
      <c r="CN92" s="1354"/>
      <c r="CO92" s="1354">
        <f t="shared" ref="CO92:CO103" ca="1" si="6">IF(AE92="-",0,IF(AE92&gt;=CO$90,1,0))</f>
        <v>0</v>
      </c>
      <c r="CP92" s="1354"/>
      <c r="CQ92" s="1354">
        <f t="shared" ref="CQ92:CQ103" ca="1" si="7">IF(AG92="-",0,IF(AG92&gt;=CQ$90,1,0))</f>
        <v>0</v>
      </c>
      <c r="CR92" s="1354"/>
      <c r="CS92" s="1354">
        <f t="shared" ref="CS92:CS103" ca="1" si="8">IF(AI92="-",0,IF(AI92&gt;=CS$90,1,0))</f>
        <v>0</v>
      </c>
      <c r="CT92" s="1354"/>
      <c r="CU92" s="1354">
        <f t="shared" ref="CU92:CU103" ca="1" si="9">IF(AK92="-",0,IF(AK92&gt;=CU$90,1,0))</f>
        <v>0</v>
      </c>
      <c r="CV92" s="1354"/>
      <c r="CW92" s="1354">
        <f t="shared" ref="CW92:CW103" ca="1" si="10">IF(AM92="-",0,IF(AM92&gt;=CW$90,1,0))</f>
        <v>0</v>
      </c>
      <c r="CX92" s="1354"/>
      <c r="CY92" s="1354">
        <f t="shared" ref="CY92:CY103" ca="1" si="11">IF(AO92="-",0,IF(AO92&gt;=CY$90,1,0))</f>
        <v>0</v>
      </c>
      <c r="CZ92" s="1354"/>
      <c r="DA92" s="1354">
        <f t="shared" ref="DA92:DA103" ca="1" si="12">IF(AQ92="-",0,IF(AQ92&gt;=DA$90,1,0))</f>
        <v>0</v>
      </c>
      <c r="DB92" s="1354"/>
      <c r="DC92" s="1354">
        <f t="shared" ref="DC92:DC103" ca="1" si="13">IF(AS92="-",0,IF(AS92&gt;=DC$90,1,0))</f>
        <v>0</v>
      </c>
      <c r="DD92" s="1354"/>
      <c r="DE92" s="1354">
        <f t="shared" ref="DE92:DE103" ca="1" si="14">IF(AU92="-",0,IF(AU92&gt;=DE$90,1,0))</f>
        <v>0</v>
      </c>
      <c r="DF92" s="1354"/>
      <c r="DG92" s="1354">
        <f t="shared" ref="DG92:DG103" ca="1" si="15">IF(AW92="-",0,IF(AW92&gt;=DG$90,1,0))</f>
        <v>0</v>
      </c>
      <c r="DH92" s="1354"/>
      <c r="DI92" s="1354">
        <f t="shared" ref="DI92:DI103" ca="1" si="16">IF(AY92="-",0,IF(AY92&gt;=DI$90,1,0))</f>
        <v>0</v>
      </c>
      <c r="DJ92" s="1354"/>
      <c r="DK92" s="1354">
        <f t="shared" ref="DK92:DK103" ca="1" si="17">IF(BA92="-",0,IF(BA92&gt;=DK$90,1,0))</f>
        <v>0</v>
      </c>
      <c r="DL92" s="1354"/>
      <c r="DM92" s="1354">
        <f t="shared" ref="DM92:DM103" ca="1" si="18">IF(BC92="-",0,IF(BC92&gt;=DM$90,1,0))</f>
        <v>0</v>
      </c>
      <c r="DN92" s="1354"/>
    </row>
    <row r="93" spans="1:118" ht="20.100000000000001" customHeight="1" outlineLevel="1" x14ac:dyDescent="0.25">
      <c r="A93" s="18"/>
      <c r="B93" s="18"/>
      <c r="C93" s="18"/>
      <c r="D93" s="1"/>
      <c r="E93" s="314"/>
      <c r="F93" s="1377"/>
      <c r="G93" s="1377"/>
      <c r="H93" s="1377"/>
      <c r="I93" s="1377"/>
      <c r="J93" s="1377"/>
      <c r="K93" s="1377"/>
      <c r="L93" s="1377"/>
      <c r="M93" s="1384" t="s">
        <v>7104</v>
      </c>
      <c r="N93" s="1384"/>
      <c r="O93" s="1384"/>
      <c r="P93" s="1384"/>
      <c r="Q93" s="1375" t="str">
        <f ca="1">Calculos!BO11</f>
        <v>-</v>
      </c>
      <c r="R93" s="1376"/>
      <c r="S93" s="1375" t="str">
        <f ca="1">Calculos!BO27</f>
        <v>-</v>
      </c>
      <c r="T93" s="1376"/>
      <c r="U93" s="1375" t="str">
        <f ca="1">Calculos!BO43</f>
        <v>-</v>
      </c>
      <c r="V93" s="1376"/>
      <c r="W93" s="1375" t="str">
        <f ca="1">Calculos!BO59</f>
        <v>-</v>
      </c>
      <c r="X93" s="1376"/>
      <c r="Y93" s="1375" t="str">
        <f ca="1">Calculos!BO75</f>
        <v>-</v>
      </c>
      <c r="Z93" s="1376"/>
      <c r="AA93" s="1375" t="str">
        <f ca="1">Calculos!BO91</f>
        <v>-</v>
      </c>
      <c r="AB93" s="1376"/>
      <c r="AC93" s="1375" t="str">
        <f ca="1">Calculos!BO107</f>
        <v>-</v>
      </c>
      <c r="AD93" s="1376"/>
      <c r="AE93" s="1375" t="str">
        <f ca="1">Calculos!BO123</f>
        <v>-</v>
      </c>
      <c r="AF93" s="1376"/>
      <c r="AG93" s="1375" t="str">
        <f ca="1">Calculos!BO139</f>
        <v>-</v>
      </c>
      <c r="AH93" s="1376"/>
      <c r="AI93" s="1375" t="str">
        <f ca="1">Calculos!BO155</f>
        <v>-</v>
      </c>
      <c r="AJ93" s="1376"/>
      <c r="AK93" s="1375" t="str">
        <f ca="1">Calculos!BO171</f>
        <v>-</v>
      </c>
      <c r="AL93" s="1376"/>
      <c r="AM93" s="1375" t="str">
        <f ca="1">Calculos!BO187</f>
        <v>-</v>
      </c>
      <c r="AN93" s="1376"/>
      <c r="AO93" s="1375" t="str">
        <f ca="1">Calculos!BO203</f>
        <v>-</v>
      </c>
      <c r="AP93" s="1376"/>
      <c r="AQ93" s="1375" t="str">
        <f ca="1">Calculos!BO219</f>
        <v>-</v>
      </c>
      <c r="AR93" s="1376"/>
      <c r="AS93" s="1375" t="str">
        <f ca="1">Calculos!BO235</f>
        <v>-</v>
      </c>
      <c r="AT93" s="1376"/>
      <c r="AU93" s="1375" t="str">
        <f ca="1">Calculos!BO251</f>
        <v>-</v>
      </c>
      <c r="AV93" s="1376"/>
      <c r="AW93" s="1375" t="str">
        <f ca="1">Calculos!BO267</f>
        <v>-</v>
      </c>
      <c r="AX93" s="1376"/>
      <c r="AY93" s="1375" t="str">
        <f ca="1">Calculos!BO283</f>
        <v>-</v>
      </c>
      <c r="AZ93" s="1376"/>
      <c r="BA93" s="1375" t="str">
        <f ca="1">Calculos!BO299</f>
        <v>-</v>
      </c>
      <c r="BB93" s="1376"/>
      <c r="BC93" s="1375" t="str">
        <f ca="1">Calculos!BO315</f>
        <v>-</v>
      </c>
      <c r="BD93" s="1376"/>
      <c r="CA93" s="1354">
        <f t="shared" ref="CA93:CA103" ca="1" si="19">IF(Q93="-",0,IF(Q93&gt;=CA$90,1,0))</f>
        <v>0</v>
      </c>
      <c r="CB93" s="1354"/>
      <c r="CC93" s="1354">
        <f t="shared" ca="1" si="0"/>
        <v>0</v>
      </c>
      <c r="CD93" s="1354"/>
      <c r="CE93" s="1354">
        <f t="shared" ca="1" si="1"/>
        <v>0</v>
      </c>
      <c r="CF93" s="1354"/>
      <c r="CG93" s="1354">
        <f t="shared" ca="1" si="2"/>
        <v>0</v>
      </c>
      <c r="CH93" s="1354"/>
      <c r="CI93" s="1354">
        <f t="shared" ca="1" si="3"/>
        <v>0</v>
      </c>
      <c r="CJ93" s="1354"/>
      <c r="CK93" s="1354">
        <f t="shared" ca="1" si="4"/>
        <v>0</v>
      </c>
      <c r="CL93" s="1354"/>
      <c r="CM93" s="1354">
        <f t="shared" ca="1" si="5"/>
        <v>0</v>
      </c>
      <c r="CN93" s="1354"/>
      <c r="CO93" s="1354">
        <f t="shared" ca="1" si="6"/>
        <v>0</v>
      </c>
      <c r="CP93" s="1354"/>
      <c r="CQ93" s="1354">
        <f t="shared" ca="1" si="7"/>
        <v>0</v>
      </c>
      <c r="CR93" s="1354"/>
      <c r="CS93" s="1354">
        <f t="shared" ca="1" si="8"/>
        <v>0</v>
      </c>
      <c r="CT93" s="1354"/>
      <c r="CU93" s="1354">
        <f t="shared" ca="1" si="9"/>
        <v>0</v>
      </c>
      <c r="CV93" s="1354"/>
      <c r="CW93" s="1354">
        <f t="shared" ca="1" si="10"/>
        <v>0</v>
      </c>
      <c r="CX93" s="1354"/>
      <c r="CY93" s="1354">
        <f t="shared" ca="1" si="11"/>
        <v>0</v>
      </c>
      <c r="CZ93" s="1354"/>
      <c r="DA93" s="1354">
        <f t="shared" ca="1" si="12"/>
        <v>0</v>
      </c>
      <c r="DB93" s="1354"/>
      <c r="DC93" s="1354">
        <f t="shared" ca="1" si="13"/>
        <v>0</v>
      </c>
      <c r="DD93" s="1354"/>
      <c r="DE93" s="1354">
        <f t="shared" ca="1" si="14"/>
        <v>0</v>
      </c>
      <c r="DF93" s="1354"/>
      <c r="DG93" s="1354">
        <f t="shared" ca="1" si="15"/>
        <v>0</v>
      </c>
      <c r="DH93" s="1354"/>
      <c r="DI93" s="1354">
        <f t="shared" ca="1" si="16"/>
        <v>0</v>
      </c>
      <c r="DJ93" s="1354"/>
      <c r="DK93" s="1354">
        <f t="shared" ca="1" si="17"/>
        <v>0</v>
      </c>
      <c r="DL93" s="1354"/>
      <c r="DM93" s="1354">
        <f t="shared" ca="1" si="18"/>
        <v>0</v>
      </c>
      <c r="DN93" s="1354"/>
    </row>
    <row r="94" spans="1:118" ht="20.100000000000001" customHeight="1" outlineLevel="1" x14ac:dyDescent="0.25">
      <c r="A94" s="18"/>
      <c r="B94" s="18"/>
      <c r="C94" s="18"/>
      <c r="D94" s="1"/>
      <c r="E94" s="314"/>
      <c r="F94" s="1377"/>
      <c r="G94" s="1377"/>
      <c r="H94" s="1377"/>
      <c r="I94" s="1377"/>
      <c r="J94" s="1377"/>
      <c r="K94" s="1377"/>
      <c r="L94" s="1377"/>
      <c r="M94" s="1384" t="s">
        <v>7105</v>
      </c>
      <c r="N94" s="1384"/>
      <c r="O94" s="1384"/>
      <c r="P94" s="1384"/>
      <c r="Q94" s="1375" t="str">
        <f ca="1">Calculos!BO12</f>
        <v>-</v>
      </c>
      <c r="R94" s="1376"/>
      <c r="S94" s="1375" t="str">
        <f ca="1">Calculos!BO28</f>
        <v>-</v>
      </c>
      <c r="T94" s="1376"/>
      <c r="U94" s="1375" t="str">
        <f ca="1">Calculos!BO44</f>
        <v>-</v>
      </c>
      <c r="V94" s="1376"/>
      <c r="W94" s="1375" t="str">
        <f ca="1">Calculos!BO60</f>
        <v>-</v>
      </c>
      <c r="X94" s="1376"/>
      <c r="Y94" s="1375" t="str">
        <f ca="1">Calculos!BO76</f>
        <v>-</v>
      </c>
      <c r="Z94" s="1376"/>
      <c r="AA94" s="1375" t="str">
        <f ca="1">Calculos!BO92</f>
        <v>-</v>
      </c>
      <c r="AB94" s="1376"/>
      <c r="AC94" s="1375" t="str">
        <f ca="1">Calculos!BO108</f>
        <v>-</v>
      </c>
      <c r="AD94" s="1376"/>
      <c r="AE94" s="1375" t="str">
        <f ca="1">Calculos!BO124</f>
        <v>-</v>
      </c>
      <c r="AF94" s="1376"/>
      <c r="AG94" s="1375" t="str">
        <f ca="1">Calculos!BO140</f>
        <v>-</v>
      </c>
      <c r="AH94" s="1376"/>
      <c r="AI94" s="1375" t="str">
        <f ca="1">Calculos!BO156</f>
        <v>-</v>
      </c>
      <c r="AJ94" s="1376"/>
      <c r="AK94" s="1375" t="str">
        <f ca="1">Calculos!BO172</f>
        <v>-</v>
      </c>
      <c r="AL94" s="1376"/>
      <c r="AM94" s="1375" t="str">
        <f ca="1">Calculos!BO188</f>
        <v>-</v>
      </c>
      <c r="AN94" s="1376"/>
      <c r="AO94" s="1375" t="str">
        <f ca="1">Calculos!BO204</f>
        <v>-</v>
      </c>
      <c r="AP94" s="1376"/>
      <c r="AQ94" s="1375" t="str">
        <f ca="1">Calculos!BO220</f>
        <v>-</v>
      </c>
      <c r="AR94" s="1376"/>
      <c r="AS94" s="1375" t="str">
        <f ca="1">Calculos!BO236</f>
        <v>-</v>
      </c>
      <c r="AT94" s="1376"/>
      <c r="AU94" s="1375" t="str">
        <f ca="1">Calculos!BO252</f>
        <v>-</v>
      </c>
      <c r="AV94" s="1376"/>
      <c r="AW94" s="1375" t="str">
        <f ca="1">Calculos!BO268</f>
        <v>-</v>
      </c>
      <c r="AX94" s="1376"/>
      <c r="AY94" s="1375" t="str">
        <f ca="1">Calculos!BO284</f>
        <v>-</v>
      </c>
      <c r="AZ94" s="1376"/>
      <c r="BA94" s="1375" t="str">
        <f ca="1">Calculos!BO300</f>
        <v>-</v>
      </c>
      <c r="BB94" s="1376"/>
      <c r="BC94" s="1375" t="str">
        <f ca="1">Calculos!BO316</f>
        <v>-</v>
      </c>
      <c r="BD94" s="1376"/>
      <c r="CA94" s="1354">
        <f t="shared" ca="1" si="19"/>
        <v>0</v>
      </c>
      <c r="CB94" s="1354"/>
      <c r="CC94" s="1354">
        <f t="shared" ca="1" si="0"/>
        <v>0</v>
      </c>
      <c r="CD94" s="1354"/>
      <c r="CE94" s="1354">
        <f t="shared" ca="1" si="1"/>
        <v>0</v>
      </c>
      <c r="CF94" s="1354"/>
      <c r="CG94" s="1354">
        <f t="shared" ca="1" si="2"/>
        <v>0</v>
      </c>
      <c r="CH94" s="1354"/>
      <c r="CI94" s="1354">
        <f t="shared" ca="1" si="3"/>
        <v>0</v>
      </c>
      <c r="CJ94" s="1354"/>
      <c r="CK94" s="1354">
        <f t="shared" ca="1" si="4"/>
        <v>0</v>
      </c>
      <c r="CL94" s="1354"/>
      <c r="CM94" s="1354">
        <f t="shared" ca="1" si="5"/>
        <v>0</v>
      </c>
      <c r="CN94" s="1354"/>
      <c r="CO94" s="1354">
        <f t="shared" ca="1" si="6"/>
        <v>0</v>
      </c>
      <c r="CP94" s="1354"/>
      <c r="CQ94" s="1354">
        <f t="shared" ca="1" si="7"/>
        <v>0</v>
      </c>
      <c r="CR94" s="1354"/>
      <c r="CS94" s="1354">
        <f t="shared" ca="1" si="8"/>
        <v>0</v>
      </c>
      <c r="CT94" s="1354"/>
      <c r="CU94" s="1354">
        <f t="shared" ca="1" si="9"/>
        <v>0</v>
      </c>
      <c r="CV94" s="1354"/>
      <c r="CW94" s="1354">
        <f t="shared" ca="1" si="10"/>
        <v>0</v>
      </c>
      <c r="CX94" s="1354"/>
      <c r="CY94" s="1354">
        <f t="shared" ca="1" si="11"/>
        <v>0</v>
      </c>
      <c r="CZ94" s="1354"/>
      <c r="DA94" s="1354">
        <f t="shared" ca="1" si="12"/>
        <v>0</v>
      </c>
      <c r="DB94" s="1354"/>
      <c r="DC94" s="1354">
        <f t="shared" ca="1" si="13"/>
        <v>0</v>
      </c>
      <c r="DD94" s="1354"/>
      <c r="DE94" s="1354">
        <f t="shared" ca="1" si="14"/>
        <v>0</v>
      </c>
      <c r="DF94" s="1354"/>
      <c r="DG94" s="1354">
        <f t="shared" ca="1" si="15"/>
        <v>0</v>
      </c>
      <c r="DH94" s="1354"/>
      <c r="DI94" s="1354">
        <f t="shared" ca="1" si="16"/>
        <v>0</v>
      </c>
      <c r="DJ94" s="1354"/>
      <c r="DK94" s="1354">
        <f t="shared" ca="1" si="17"/>
        <v>0</v>
      </c>
      <c r="DL94" s="1354"/>
      <c r="DM94" s="1354">
        <f t="shared" ca="1" si="18"/>
        <v>0</v>
      </c>
      <c r="DN94" s="1354"/>
    </row>
    <row r="95" spans="1:118" ht="20.100000000000001" customHeight="1" outlineLevel="1" x14ac:dyDescent="0.25">
      <c r="A95" s="18"/>
      <c r="B95" s="18"/>
      <c r="C95" s="18"/>
      <c r="D95" s="1"/>
      <c r="E95" s="314"/>
      <c r="F95" s="1377"/>
      <c r="G95" s="1377"/>
      <c r="H95" s="1377"/>
      <c r="I95" s="1377"/>
      <c r="J95" s="1377"/>
      <c r="K95" s="1377"/>
      <c r="L95" s="1377"/>
      <c r="M95" s="1384" t="s">
        <v>7106</v>
      </c>
      <c r="N95" s="1384"/>
      <c r="O95" s="1384"/>
      <c r="P95" s="1384"/>
      <c r="Q95" s="1375" t="str">
        <f ca="1">Calculos!BO13</f>
        <v>-</v>
      </c>
      <c r="R95" s="1376"/>
      <c r="S95" s="1375" t="str">
        <f ca="1">Calculos!BO29</f>
        <v>-</v>
      </c>
      <c r="T95" s="1376"/>
      <c r="U95" s="1375" t="str">
        <f ca="1">Calculos!BO45</f>
        <v>-</v>
      </c>
      <c r="V95" s="1376"/>
      <c r="W95" s="1375" t="str">
        <f ca="1">Calculos!BO61</f>
        <v>-</v>
      </c>
      <c r="X95" s="1376"/>
      <c r="Y95" s="1375" t="str">
        <f ca="1">Calculos!BO77</f>
        <v>-</v>
      </c>
      <c r="Z95" s="1376"/>
      <c r="AA95" s="1375" t="str">
        <f ca="1">Calculos!BO93</f>
        <v>-</v>
      </c>
      <c r="AB95" s="1376"/>
      <c r="AC95" s="1375" t="str">
        <f ca="1">Calculos!BO109</f>
        <v>-</v>
      </c>
      <c r="AD95" s="1376"/>
      <c r="AE95" s="1375" t="str">
        <f ca="1">Calculos!BO125</f>
        <v>-</v>
      </c>
      <c r="AF95" s="1376"/>
      <c r="AG95" s="1375" t="str">
        <f ca="1">Calculos!BO141</f>
        <v>-</v>
      </c>
      <c r="AH95" s="1376"/>
      <c r="AI95" s="1375" t="str">
        <f ca="1">Calculos!BO157</f>
        <v>-</v>
      </c>
      <c r="AJ95" s="1376"/>
      <c r="AK95" s="1375" t="str">
        <f ca="1">Calculos!BO173</f>
        <v>-</v>
      </c>
      <c r="AL95" s="1376"/>
      <c r="AM95" s="1375" t="str">
        <f ca="1">Calculos!BO189</f>
        <v>-</v>
      </c>
      <c r="AN95" s="1376"/>
      <c r="AO95" s="1375" t="str">
        <f ca="1">Calculos!BO205</f>
        <v>-</v>
      </c>
      <c r="AP95" s="1376"/>
      <c r="AQ95" s="1375" t="str">
        <f ca="1">Calculos!BO221</f>
        <v>-</v>
      </c>
      <c r="AR95" s="1376"/>
      <c r="AS95" s="1375" t="str">
        <f ca="1">Calculos!BO237</f>
        <v>-</v>
      </c>
      <c r="AT95" s="1376"/>
      <c r="AU95" s="1375" t="str">
        <f ca="1">Calculos!BO253</f>
        <v>-</v>
      </c>
      <c r="AV95" s="1376"/>
      <c r="AW95" s="1375" t="str">
        <f ca="1">Calculos!BO269</f>
        <v>-</v>
      </c>
      <c r="AX95" s="1376"/>
      <c r="AY95" s="1375" t="str">
        <f ca="1">Calculos!BO285</f>
        <v>-</v>
      </c>
      <c r="AZ95" s="1376"/>
      <c r="BA95" s="1375" t="str">
        <f ca="1">Calculos!BO301</f>
        <v>-</v>
      </c>
      <c r="BB95" s="1376"/>
      <c r="BC95" s="1375" t="str">
        <f ca="1">Calculos!BO317</f>
        <v>-</v>
      </c>
      <c r="BD95" s="1376"/>
      <c r="CA95" s="1354">
        <f t="shared" ca="1" si="19"/>
        <v>0</v>
      </c>
      <c r="CB95" s="1354"/>
      <c r="CC95" s="1354">
        <f t="shared" ca="1" si="0"/>
        <v>0</v>
      </c>
      <c r="CD95" s="1354"/>
      <c r="CE95" s="1354">
        <f t="shared" ca="1" si="1"/>
        <v>0</v>
      </c>
      <c r="CF95" s="1354"/>
      <c r="CG95" s="1354">
        <f t="shared" ca="1" si="2"/>
        <v>0</v>
      </c>
      <c r="CH95" s="1354"/>
      <c r="CI95" s="1354">
        <f t="shared" ca="1" si="3"/>
        <v>0</v>
      </c>
      <c r="CJ95" s="1354"/>
      <c r="CK95" s="1354">
        <f t="shared" ca="1" si="4"/>
        <v>0</v>
      </c>
      <c r="CL95" s="1354"/>
      <c r="CM95" s="1354">
        <f t="shared" ca="1" si="5"/>
        <v>0</v>
      </c>
      <c r="CN95" s="1354"/>
      <c r="CO95" s="1354">
        <f t="shared" ca="1" si="6"/>
        <v>0</v>
      </c>
      <c r="CP95" s="1354"/>
      <c r="CQ95" s="1354">
        <f t="shared" ca="1" si="7"/>
        <v>0</v>
      </c>
      <c r="CR95" s="1354"/>
      <c r="CS95" s="1354">
        <f t="shared" ca="1" si="8"/>
        <v>0</v>
      </c>
      <c r="CT95" s="1354"/>
      <c r="CU95" s="1354">
        <f t="shared" ca="1" si="9"/>
        <v>0</v>
      </c>
      <c r="CV95" s="1354"/>
      <c r="CW95" s="1354">
        <f t="shared" ca="1" si="10"/>
        <v>0</v>
      </c>
      <c r="CX95" s="1354"/>
      <c r="CY95" s="1354">
        <f t="shared" ca="1" si="11"/>
        <v>0</v>
      </c>
      <c r="CZ95" s="1354"/>
      <c r="DA95" s="1354">
        <f t="shared" ca="1" si="12"/>
        <v>0</v>
      </c>
      <c r="DB95" s="1354"/>
      <c r="DC95" s="1354">
        <f t="shared" ca="1" si="13"/>
        <v>0</v>
      </c>
      <c r="DD95" s="1354"/>
      <c r="DE95" s="1354">
        <f t="shared" ca="1" si="14"/>
        <v>0</v>
      </c>
      <c r="DF95" s="1354"/>
      <c r="DG95" s="1354">
        <f t="shared" ca="1" si="15"/>
        <v>0</v>
      </c>
      <c r="DH95" s="1354"/>
      <c r="DI95" s="1354">
        <f t="shared" ca="1" si="16"/>
        <v>0</v>
      </c>
      <c r="DJ95" s="1354"/>
      <c r="DK95" s="1354">
        <f t="shared" ca="1" si="17"/>
        <v>0</v>
      </c>
      <c r="DL95" s="1354"/>
      <c r="DM95" s="1354">
        <f t="shared" ca="1" si="18"/>
        <v>0</v>
      </c>
      <c r="DN95" s="1354"/>
    </row>
    <row r="96" spans="1:118" ht="20.100000000000001" customHeight="1" outlineLevel="1" x14ac:dyDescent="0.25">
      <c r="A96" s="18"/>
      <c r="B96" s="18"/>
      <c r="C96" s="18"/>
      <c r="D96" s="1"/>
      <c r="E96" s="314"/>
      <c r="F96" s="1377"/>
      <c r="G96" s="1377"/>
      <c r="H96" s="1377"/>
      <c r="I96" s="1377"/>
      <c r="J96" s="1377"/>
      <c r="K96" s="1377"/>
      <c r="L96" s="1377"/>
      <c r="M96" s="1384" t="s">
        <v>7107</v>
      </c>
      <c r="N96" s="1384"/>
      <c r="O96" s="1384"/>
      <c r="P96" s="1384"/>
      <c r="Q96" s="1375" t="str">
        <f ca="1">Calculos!BO14</f>
        <v>-</v>
      </c>
      <c r="R96" s="1376"/>
      <c r="S96" s="1375" t="str">
        <f ca="1">Calculos!BO30</f>
        <v>-</v>
      </c>
      <c r="T96" s="1376"/>
      <c r="U96" s="1375" t="str">
        <f ca="1">Calculos!BO46</f>
        <v>-</v>
      </c>
      <c r="V96" s="1376"/>
      <c r="W96" s="1375" t="str">
        <f ca="1">Calculos!BO62</f>
        <v>-</v>
      </c>
      <c r="X96" s="1376"/>
      <c r="Y96" s="1375" t="str">
        <f ca="1">Calculos!BO78</f>
        <v>-</v>
      </c>
      <c r="Z96" s="1376"/>
      <c r="AA96" s="1375" t="str">
        <f ca="1">Calculos!BO94</f>
        <v>-</v>
      </c>
      <c r="AB96" s="1376"/>
      <c r="AC96" s="1375" t="str">
        <f ca="1">Calculos!BO110</f>
        <v>-</v>
      </c>
      <c r="AD96" s="1376"/>
      <c r="AE96" s="1375" t="str">
        <f ca="1">Calculos!BO126</f>
        <v>-</v>
      </c>
      <c r="AF96" s="1376"/>
      <c r="AG96" s="1375" t="str">
        <f ca="1">Calculos!BO142</f>
        <v>-</v>
      </c>
      <c r="AH96" s="1376"/>
      <c r="AI96" s="1375" t="str">
        <f ca="1">Calculos!BO158</f>
        <v>-</v>
      </c>
      <c r="AJ96" s="1376"/>
      <c r="AK96" s="1375" t="str">
        <f ca="1">Calculos!BO174</f>
        <v>-</v>
      </c>
      <c r="AL96" s="1376"/>
      <c r="AM96" s="1375" t="str">
        <f ca="1">Calculos!BO190</f>
        <v>-</v>
      </c>
      <c r="AN96" s="1376"/>
      <c r="AO96" s="1375" t="str">
        <f ca="1">Calculos!BO206</f>
        <v>-</v>
      </c>
      <c r="AP96" s="1376"/>
      <c r="AQ96" s="1375" t="str">
        <f ca="1">Calculos!BO222</f>
        <v>-</v>
      </c>
      <c r="AR96" s="1376"/>
      <c r="AS96" s="1375" t="str">
        <f ca="1">Calculos!BO238</f>
        <v>-</v>
      </c>
      <c r="AT96" s="1376"/>
      <c r="AU96" s="1375" t="str">
        <f ca="1">Calculos!BO254</f>
        <v>-</v>
      </c>
      <c r="AV96" s="1376"/>
      <c r="AW96" s="1375" t="str">
        <f ca="1">Calculos!BO270</f>
        <v>-</v>
      </c>
      <c r="AX96" s="1376"/>
      <c r="AY96" s="1375" t="str">
        <f ca="1">Calculos!BO286</f>
        <v>-</v>
      </c>
      <c r="AZ96" s="1376"/>
      <c r="BA96" s="1375" t="str">
        <f ca="1">Calculos!BO302</f>
        <v>-</v>
      </c>
      <c r="BB96" s="1376"/>
      <c r="BC96" s="1375" t="str">
        <f ca="1">Calculos!BO318</f>
        <v>-</v>
      </c>
      <c r="BD96" s="1376"/>
      <c r="CA96" s="1354">
        <f t="shared" ca="1" si="19"/>
        <v>0</v>
      </c>
      <c r="CB96" s="1354"/>
      <c r="CC96" s="1354">
        <f t="shared" ca="1" si="0"/>
        <v>0</v>
      </c>
      <c r="CD96" s="1354"/>
      <c r="CE96" s="1354">
        <f t="shared" ca="1" si="1"/>
        <v>0</v>
      </c>
      <c r="CF96" s="1354"/>
      <c r="CG96" s="1354">
        <f t="shared" ca="1" si="2"/>
        <v>0</v>
      </c>
      <c r="CH96" s="1354"/>
      <c r="CI96" s="1354">
        <f t="shared" ca="1" si="3"/>
        <v>0</v>
      </c>
      <c r="CJ96" s="1354"/>
      <c r="CK96" s="1354">
        <f t="shared" ca="1" si="4"/>
        <v>0</v>
      </c>
      <c r="CL96" s="1354"/>
      <c r="CM96" s="1354">
        <f t="shared" ca="1" si="5"/>
        <v>0</v>
      </c>
      <c r="CN96" s="1354"/>
      <c r="CO96" s="1354">
        <f t="shared" ca="1" si="6"/>
        <v>0</v>
      </c>
      <c r="CP96" s="1354"/>
      <c r="CQ96" s="1354">
        <f t="shared" ca="1" si="7"/>
        <v>0</v>
      </c>
      <c r="CR96" s="1354"/>
      <c r="CS96" s="1354">
        <f t="shared" ca="1" si="8"/>
        <v>0</v>
      </c>
      <c r="CT96" s="1354"/>
      <c r="CU96" s="1354">
        <f t="shared" ca="1" si="9"/>
        <v>0</v>
      </c>
      <c r="CV96" s="1354"/>
      <c r="CW96" s="1354">
        <f t="shared" ca="1" si="10"/>
        <v>0</v>
      </c>
      <c r="CX96" s="1354"/>
      <c r="CY96" s="1354">
        <f t="shared" ca="1" si="11"/>
        <v>0</v>
      </c>
      <c r="CZ96" s="1354"/>
      <c r="DA96" s="1354">
        <f t="shared" ca="1" si="12"/>
        <v>0</v>
      </c>
      <c r="DB96" s="1354"/>
      <c r="DC96" s="1354">
        <f t="shared" ca="1" si="13"/>
        <v>0</v>
      </c>
      <c r="DD96" s="1354"/>
      <c r="DE96" s="1354">
        <f t="shared" ca="1" si="14"/>
        <v>0</v>
      </c>
      <c r="DF96" s="1354"/>
      <c r="DG96" s="1354">
        <f t="shared" ca="1" si="15"/>
        <v>0</v>
      </c>
      <c r="DH96" s="1354"/>
      <c r="DI96" s="1354">
        <f t="shared" ca="1" si="16"/>
        <v>0</v>
      </c>
      <c r="DJ96" s="1354"/>
      <c r="DK96" s="1354">
        <f t="shared" ca="1" si="17"/>
        <v>0</v>
      </c>
      <c r="DL96" s="1354"/>
      <c r="DM96" s="1354">
        <f t="shared" ca="1" si="18"/>
        <v>0</v>
      </c>
      <c r="DN96" s="1354"/>
    </row>
    <row r="97" spans="1:118" ht="20.100000000000001" customHeight="1" outlineLevel="1" x14ac:dyDescent="0.25">
      <c r="A97" s="18"/>
      <c r="B97" s="18"/>
      <c r="C97" s="18"/>
      <c r="D97" s="1"/>
      <c r="E97" s="314"/>
      <c r="F97" s="1377"/>
      <c r="G97" s="1377"/>
      <c r="H97" s="1377"/>
      <c r="I97" s="1377"/>
      <c r="J97" s="1377"/>
      <c r="K97" s="1377"/>
      <c r="L97" s="1377"/>
      <c r="M97" s="1384" t="s">
        <v>7108</v>
      </c>
      <c r="N97" s="1384"/>
      <c r="O97" s="1384"/>
      <c r="P97" s="1384"/>
      <c r="Q97" s="1375" t="str">
        <f ca="1">Calculos!BO15</f>
        <v>-</v>
      </c>
      <c r="R97" s="1376"/>
      <c r="S97" s="1375" t="str">
        <f ca="1">Calculos!BO31</f>
        <v>-</v>
      </c>
      <c r="T97" s="1376"/>
      <c r="U97" s="1375" t="str">
        <f ca="1">Calculos!BO47</f>
        <v>-</v>
      </c>
      <c r="V97" s="1376"/>
      <c r="W97" s="1375" t="str">
        <f ca="1">Calculos!BO63</f>
        <v>-</v>
      </c>
      <c r="X97" s="1376"/>
      <c r="Y97" s="1375" t="str">
        <f ca="1">Calculos!BO79</f>
        <v>-</v>
      </c>
      <c r="Z97" s="1376"/>
      <c r="AA97" s="1375" t="str">
        <f ca="1">Calculos!BO95</f>
        <v>-</v>
      </c>
      <c r="AB97" s="1376"/>
      <c r="AC97" s="1375" t="str">
        <f ca="1">Calculos!BO111</f>
        <v>-</v>
      </c>
      <c r="AD97" s="1376"/>
      <c r="AE97" s="1375" t="str">
        <f ca="1">Calculos!BO127</f>
        <v>-</v>
      </c>
      <c r="AF97" s="1376"/>
      <c r="AG97" s="1375" t="str">
        <f ca="1">Calculos!BO143</f>
        <v>-</v>
      </c>
      <c r="AH97" s="1376"/>
      <c r="AI97" s="1375" t="str">
        <f ca="1">Calculos!BO159</f>
        <v>-</v>
      </c>
      <c r="AJ97" s="1376"/>
      <c r="AK97" s="1375" t="str">
        <f ca="1">Calculos!BO175</f>
        <v>-</v>
      </c>
      <c r="AL97" s="1376"/>
      <c r="AM97" s="1375" t="str">
        <f ca="1">Calculos!BO191</f>
        <v>-</v>
      </c>
      <c r="AN97" s="1376"/>
      <c r="AO97" s="1375" t="str">
        <f ca="1">Calculos!BO207</f>
        <v>-</v>
      </c>
      <c r="AP97" s="1376"/>
      <c r="AQ97" s="1375" t="str">
        <f ca="1">Calculos!BO223</f>
        <v>-</v>
      </c>
      <c r="AR97" s="1376"/>
      <c r="AS97" s="1375" t="str">
        <f ca="1">Calculos!BO239</f>
        <v>-</v>
      </c>
      <c r="AT97" s="1376"/>
      <c r="AU97" s="1375" t="str">
        <f ca="1">Calculos!BO255</f>
        <v>-</v>
      </c>
      <c r="AV97" s="1376"/>
      <c r="AW97" s="1375" t="str">
        <f ca="1">Calculos!BO271</f>
        <v>-</v>
      </c>
      <c r="AX97" s="1376"/>
      <c r="AY97" s="1375" t="str">
        <f ca="1">Calculos!BO287</f>
        <v>-</v>
      </c>
      <c r="AZ97" s="1376"/>
      <c r="BA97" s="1375" t="str">
        <f ca="1">Calculos!BO303</f>
        <v>-</v>
      </c>
      <c r="BB97" s="1376"/>
      <c r="BC97" s="1375" t="str">
        <f ca="1">Calculos!BO319</f>
        <v>-</v>
      </c>
      <c r="BD97" s="1376"/>
      <c r="CA97" s="1354">
        <f t="shared" ca="1" si="19"/>
        <v>0</v>
      </c>
      <c r="CB97" s="1354"/>
      <c r="CC97" s="1354">
        <f t="shared" ca="1" si="0"/>
        <v>0</v>
      </c>
      <c r="CD97" s="1354"/>
      <c r="CE97" s="1354">
        <f t="shared" ca="1" si="1"/>
        <v>0</v>
      </c>
      <c r="CF97" s="1354"/>
      <c r="CG97" s="1354">
        <f t="shared" ca="1" si="2"/>
        <v>0</v>
      </c>
      <c r="CH97" s="1354"/>
      <c r="CI97" s="1354">
        <f t="shared" ca="1" si="3"/>
        <v>0</v>
      </c>
      <c r="CJ97" s="1354"/>
      <c r="CK97" s="1354">
        <f t="shared" ca="1" si="4"/>
        <v>0</v>
      </c>
      <c r="CL97" s="1354"/>
      <c r="CM97" s="1354">
        <f t="shared" ca="1" si="5"/>
        <v>0</v>
      </c>
      <c r="CN97" s="1354"/>
      <c r="CO97" s="1354">
        <f t="shared" ca="1" si="6"/>
        <v>0</v>
      </c>
      <c r="CP97" s="1354"/>
      <c r="CQ97" s="1354">
        <f t="shared" ca="1" si="7"/>
        <v>0</v>
      </c>
      <c r="CR97" s="1354"/>
      <c r="CS97" s="1354">
        <f t="shared" ca="1" si="8"/>
        <v>0</v>
      </c>
      <c r="CT97" s="1354"/>
      <c r="CU97" s="1354">
        <f t="shared" ca="1" si="9"/>
        <v>0</v>
      </c>
      <c r="CV97" s="1354"/>
      <c r="CW97" s="1354">
        <f t="shared" ca="1" si="10"/>
        <v>0</v>
      </c>
      <c r="CX97" s="1354"/>
      <c r="CY97" s="1354">
        <f t="shared" ca="1" si="11"/>
        <v>0</v>
      </c>
      <c r="CZ97" s="1354"/>
      <c r="DA97" s="1354">
        <f t="shared" ca="1" si="12"/>
        <v>0</v>
      </c>
      <c r="DB97" s="1354"/>
      <c r="DC97" s="1354">
        <f t="shared" ca="1" si="13"/>
        <v>0</v>
      </c>
      <c r="DD97" s="1354"/>
      <c r="DE97" s="1354">
        <f t="shared" ca="1" si="14"/>
        <v>0</v>
      </c>
      <c r="DF97" s="1354"/>
      <c r="DG97" s="1354">
        <f t="shared" ca="1" si="15"/>
        <v>0</v>
      </c>
      <c r="DH97" s="1354"/>
      <c r="DI97" s="1354">
        <f t="shared" ca="1" si="16"/>
        <v>0</v>
      </c>
      <c r="DJ97" s="1354"/>
      <c r="DK97" s="1354">
        <f t="shared" ca="1" si="17"/>
        <v>0</v>
      </c>
      <c r="DL97" s="1354"/>
      <c r="DM97" s="1354">
        <f t="shared" ca="1" si="18"/>
        <v>0</v>
      </c>
      <c r="DN97" s="1354"/>
    </row>
    <row r="98" spans="1:118" ht="20.100000000000001" customHeight="1" outlineLevel="1" x14ac:dyDescent="0.25">
      <c r="A98" s="18"/>
      <c r="B98" s="18"/>
      <c r="C98" s="18"/>
      <c r="D98" s="1"/>
      <c r="E98" s="314"/>
      <c r="F98" s="1377"/>
      <c r="G98" s="1377"/>
      <c r="H98" s="1377"/>
      <c r="I98" s="1377"/>
      <c r="J98" s="1377"/>
      <c r="K98" s="1377"/>
      <c r="L98" s="1377"/>
      <c r="M98" s="1384" t="s">
        <v>7109</v>
      </c>
      <c r="N98" s="1384"/>
      <c r="O98" s="1384"/>
      <c r="P98" s="1384"/>
      <c r="Q98" s="1375" t="str">
        <f ca="1">Calculos!BO16</f>
        <v>-</v>
      </c>
      <c r="R98" s="1376"/>
      <c r="S98" s="1375" t="str">
        <f ca="1">Calculos!BO32</f>
        <v>-</v>
      </c>
      <c r="T98" s="1376"/>
      <c r="U98" s="1375" t="str">
        <f ca="1">Calculos!BO48</f>
        <v>-</v>
      </c>
      <c r="V98" s="1376"/>
      <c r="W98" s="1375" t="str">
        <f ca="1">Calculos!BO64</f>
        <v>-</v>
      </c>
      <c r="X98" s="1376"/>
      <c r="Y98" s="1375" t="str">
        <f ca="1">Calculos!BO80</f>
        <v>-</v>
      </c>
      <c r="Z98" s="1376"/>
      <c r="AA98" s="1375" t="str">
        <f ca="1">Calculos!BO96</f>
        <v>-</v>
      </c>
      <c r="AB98" s="1376"/>
      <c r="AC98" s="1375" t="str">
        <f ca="1">Calculos!BO112</f>
        <v>-</v>
      </c>
      <c r="AD98" s="1376"/>
      <c r="AE98" s="1375" t="str">
        <f ca="1">Calculos!BO128</f>
        <v>-</v>
      </c>
      <c r="AF98" s="1376"/>
      <c r="AG98" s="1375" t="str">
        <f ca="1">Calculos!BO144</f>
        <v>-</v>
      </c>
      <c r="AH98" s="1376"/>
      <c r="AI98" s="1375" t="str">
        <f ca="1">Calculos!BO160</f>
        <v>-</v>
      </c>
      <c r="AJ98" s="1376"/>
      <c r="AK98" s="1375" t="str">
        <f ca="1">Calculos!BO176</f>
        <v>-</v>
      </c>
      <c r="AL98" s="1376"/>
      <c r="AM98" s="1375" t="str">
        <f ca="1">Calculos!BO192</f>
        <v>-</v>
      </c>
      <c r="AN98" s="1376"/>
      <c r="AO98" s="1375" t="str">
        <f ca="1">Calculos!BO208</f>
        <v>-</v>
      </c>
      <c r="AP98" s="1376"/>
      <c r="AQ98" s="1375" t="str">
        <f ca="1">Calculos!BO224</f>
        <v>-</v>
      </c>
      <c r="AR98" s="1376"/>
      <c r="AS98" s="1375" t="str">
        <f ca="1">Calculos!BO240</f>
        <v>-</v>
      </c>
      <c r="AT98" s="1376"/>
      <c r="AU98" s="1375" t="str">
        <f ca="1">Calculos!BO256</f>
        <v>-</v>
      </c>
      <c r="AV98" s="1376"/>
      <c r="AW98" s="1375" t="str">
        <f ca="1">Calculos!BO272</f>
        <v>-</v>
      </c>
      <c r="AX98" s="1376"/>
      <c r="AY98" s="1375" t="str">
        <f ca="1">Calculos!BO288</f>
        <v>-</v>
      </c>
      <c r="AZ98" s="1376"/>
      <c r="BA98" s="1375" t="str">
        <f ca="1">Calculos!BO304</f>
        <v>-</v>
      </c>
      <c r="BB98" s="1376"/>
      <c r="BC98" s="1375" t="str">
        <f ca="1">Calculos!BO320</f>
        <v>-</v>
      </c>
      <c r="BD98" s="1376"/>
      <c r="CA98" s="1354">
        <f t="shared" ca="1" si="19"/>
        <v>0</v>
      </c>
      <c r="CB98" s="1354"/>
      <c r="CC98" s="1354">
        <f t="shared" ca="1" si="0"/>
        <v>0</v>
      </c>
      <c r="CD98" s="1354"/>
      <c r="CE98" s="1354">
        <f t="shared" ca="1" si="1"/>
        <v>0</v>
      </c>
      <c r="CF98" s="1354"/>
      <c r="CG98" s="1354">
        <f t="shared" ca="1" si="2"/>
        <v>0</v>
      </c>
      <c r="CH98" s="1354"/>
      <c r="CI98" s="1354">
        <f t="shared" ca="1" si="3"/>
        <v>0</v>
      </c>
      <c r="CJ98" s="1354"/>
      <c r="CK98" s="1354">
        <f t="shared" ca="1" si="4"/>
        <v>0</v>
      </c>
      <c r="CL98" s="1354"/>
      <c r="CM98" s="1354">
        <f t="shared" ca="1" si="5"/>
        <v>0</v>
      </c>
      <c r="CN98" s="1354"/>
      <c r="CO98" s="1354">
        <f t="shared" ca="1" si="6"/>
        <v>0</v>
      </c>
      <c r="CP98" s="1354"/>
      <c r="CQ98" s="1354">
        <f t="shared" ca="1" si="7"/>
        <v>0</v>
      </c>
      <c r="CR98" s="1354"/>
      <c r="CS98" s="1354">
        <f t="shared" ca="1" si="8"/>
        <v>0</v>
      </c>
      <c r="CT98" s="1354"/>
      <c r="CU98" s="1354">
        <f t="shared" ca="1" si="9"/>
        <v>0</v>
      </c>
      <c r="CV98" s="1354"/>
      <c r="CW98" s="1354">
        <f t="shared" ca="1" si="10"/>
        <v>0</v>
      </c>
      <c r="CX98" s="1354"/>
      <c r="CY98" s="1354">
        <f t="shared" ca="1" si="11"/>
        <v>0</v>
      </c>
      <c r="CZ98" s="1354"/>
      <c r="DA98" s="1354">
        <f t="shared" ca="1" si="12"/>
        <v>0</v>
      </c>
      <c r="DB98" s="1354"/>
      <c r="DC98" s="1354">
        <f t="shared" ca="1" si="13"/>
        <v>0</v>
      </c>
      <c r="DD98" s="1354"/>
      <c r="DE98" s="1354">
        <f t="shared" ca="1" si="14"/>
        <v>0</v>
      </c>
      <c r="DF98" s="1354"/>
      <c r="DG98" s="1354">
        <f t="shared" ca="1" si="15"/>
        <v>0</v>
      </c>
      <c r="DH98" s="1354"/>
      <c r="DI98" s="1354">
        <f t="shared" ca="1" si="16"/>
        <v>0</v>
      </c>
      <c r="DJ98" s="1354"/>
      <c r="DK98" s="1354">
        <f t="shared" ca="1" si="17"/>
        <v>0</v>
      </c>
      <c r="DL98" s="1354"/>
      <c r="DM98" s="1354">
        <f t="shared" ca="1" si="18"/>
        <v>0</v>
      </c>
      <c r="DN98" s="1354"/>
    </row>
    <row r="99" spans="1:118" ht="20.100000000000001" customHeight="1" outlineLevel="1" x14ac:dyDescent="0.25">
      <c r="A99" s="18"/>
      <c r="B99" s="18"/>
      <c r="C99" s="18"/>
      <c r="D99" s="1"/>
      <c r="E99" s="314"/>
      <c r="F99" s="1377"/>
      <c r="G99" s="1377"/>
      <c r="H99" s="1377"/>
      <c r="I99" s="1377"/>
      <c r="J99" s="1377"/>
      <c r="K99" s="1377"/>
      <c r="L99" s="1377"/>
      <c r="M99" s="1384" t="s">
        <v>7110</v>
      </c>
      <c r="N99" s="1384"/>
      <c r="O99" s="1384"/>
      <c r="P99" s="1384"/>
      <c r="Q99" s="1375" t="str">
        <f ca="1">Calculos!BO17</f>
        <v>-</v>
      </c>
      <c r="R99" s="1376"/>
      <c r="S99" s="1375" t="str">
        <f ca="1">Calculos!BO33</f>
        <v>-</v>
      </c>
      <c r="T99" s="1376"/>
      <c r="U99" s="1375" t="str">
        <f ca="1">Calculos!BO49</f>
        <v>-</v>
      </c>
      <c r="V99" s="1376"/>
      <c r="W99" s="1375" t="str">
        <f ca="1">Calculos!BO65</f>
        <v>-</v>
      </c>
      <c r="X99" s="1376"/>
      <c r="Y99" s="1375" t="str">
        <f ca="1">Calculos!BO81</f>
        <v>-</v>
      </c>
      <c r="Z99" s="1376"/>
      <c r="AA99" s="1375" t="str">
        <f ca="1">Calculos!BO97</f>
        <v>-</v>
      </c>
      <c r="AB99" s="1376"/>
      <c r="AC99" s="1375" t="str">
        <f ca="1">Calculos!BO113</f>
        <v>-</v>
      </c>
      <c r="AD99" s="1376"/>
      <c r="AE99" s="1375" t="str">
        <f ca="1">Calculos!BO129</f>
        <v>-</v>
      </c>
      <c r="AF99" s="1376"/>
      <c r="AG99" s="1375" t="str">
        <f ca="1">Calculos!BO145</f>
        <v>-</v>
      </c>
      <c r="AH99" s="1376"/>
      <c r="AI99" s="1375" t="str">
        <f ca="1">Calculos!BO161</f>
        <v>-</v>
      </c>
      <c r="AJ99" s="1376"/>
      <c r="AK99" s="1375" t="str">
        <f ca="1">Calculos!BO177</f>
        <v>-</v>
      </c>
      <c r="AL99" s="1376"/>
      <c r="AM99" s="1375" t="str">
        <f ca="1">Calculos!BO193</f>
        <v>-</v>
      </c>
      <c r="AN99" s="1376"/>
      <c r="AO99" s="1375" t="str">
        <f ca="1">Calculos!BO209</f>
        <v>-</v>
      </c>
      <c r="AP99" s="1376"/>
      <c r="AQ99" s="1375" t="str">
        <f ca="1">Calculos!BO225</f>
        <v>-</v>
      </c>
      <c r="AR99" s="1376"/>
      <c r="AS99" s="1375" t="str">
        <f ca="1">Calculos!BO241</f>
        <v>-</v>
      </c>
      <c r="AT99" s="1376"/>
      <c r="AU99" s="1375" t="str">
        <f ca="1">Calculos!BO257</f>
        <v>-</v>
      </c>
      <c r="AV99" s="1376"/>
      <c r="AW99" s="1375" t="str">
        <f ca="1">Calculos!BO273</f>
        <v>-</v>
      </c>
      <c r="AX99" s="1376"/>
      <c r="AY99" s="1375" t="str">
        <f ca="1">Calculos!BO289</f>
        <v>-</v>
      </c>
      <c r="AZ99" s="1376"/>
      <c r="BA99" s="1375" t="str">
        <f ca="1">Calculos!BO305</f>
        <v>-</v>
      </c>
      <c r="BB99" s="1376"/>
      <c r="BC99" s="1375" t="str">
        <f ca="1">Calculos!BO321</f>
        <v>-</v>
      </c>
      <c r="BD99" s="1376"/>
      <c r="CA99" s="1354">
        <f t="shared" ca="1" si="19"/>
        <v>0</v>
      </c>
      <c r="CB99" s="1354"/>
      <c r="CC99" s="1354">
        <f t="shared" ca="1" si="0"/>
        <v>0</v>
      </c>
      <c r="CD99" s="1354"/>
      <c r="CE99" s="1354">
        <f t="shared" ca="1" si="1"/>
        <v>0</v>
      </c>
      <c r="CF99" s="1354"/>
      <c r="CG99" s="1354">
        <f t="shared" ca="1" si="2"/>
        <v>0</v>
      </c>
      <c r="CH99" s="1354"/>
      <c r="CI99" s="1354">
        <f t="shared" ca="1" si="3"/>
        <v>0</v>
      </c>
      <c r="CJ99" s="1354"/>
      <c r="CK99" s="1354">
        <f t="shared" ca="1" si="4"/>
        <v>0</v>
      </c>
      <c r="CL99" s="1354"/>
      <c r="CM99" s="1354">
        <f t="shared" ca="1" si="5"/>
        <v>0</v>
      </c>
      <c r="CN99" s="1354"/>
      <c r="CO99" s="1354">
        <f t="shared" ca="1" si="6"/>
        <v>0</v>
      </c>
      <c r="CP99" s="1354"/>
      <c r="CQ99" s="1354">
        <f t="shared" ca="1" si="7"/>
        <v>0</v>
      </c>
      <c r="CR99" s="1354"/>
      <c r="CS99" s="1354">
        <f t="shared" ca="1" si="8"/>
        <v>0</v>
      </c>
      <c r="CT99" s="1354"/>
      <c r="CU99" s="1354">
        <f t="shared" ca="1" si="9"/>
        <v>0</v>
      </c>
      <c r="CV99" s="1354"/>
      <c r="CW99" s="1354">
        <f t="shared" ca="1" si="10"/>
        <v>0</v>
      </c>
      <c r="CX99" s="1354"/>
      <c r="CY99" s="1354">
        <f t="shared" ca="1" si="11"/>
        <v>0</v>
      </c>
      <c r="CZ99" s="1354"/>
      <c r="DA99" s="1354">
        <f t="shared" ca="1" si="12"/>
        <v>0</v>
      </c>
      <c r="DB99" s="1354"/>
      <c r="DC99" s="1354">
        <f t="shared" ca="1" si="13"/>
        <v>0</v>
      </c>
      <c r="DD99" s="1354"/>
      <c r="DE99" s="1354">
        <f t="shared" ca="1" si="14"/>
        <v>0</v>
      </c>
      <c r="DF99" s="1354"/>
      <c r="DG99" s="1354">
        <f t="shared" ca="1" si="15"/>
        <v>0</v>
      </c>
      <c r="DH99" s="1354"/>
      <c r="DI99" s="1354">
        <f t="shared" ca="1" si="16"/>
        <v>0</v>
      </c>
      <c r="DJ99" s="1354"/>
      <c r="DK99" s="1354">
        <f t="shared" ca="1" si="17"/>
        <v>0</v>
      </c>
      <c r="DL99" s="1354"/>
      <c r="DM99" s="1354">
        <f t="shared" ca="1" si="18"/>
        <v>0</v>
      </c>
      <c r="DN99" s="1354"/>
    </row>
    <row r="100" spans="1:118" ht="20.100000000000001" customHeight="1" outlineLevel="1" x14ac:dyDescent="0.25">
      <c r="A100" s="18"/>
      <c r="B100" s="18"/>
      <c r="C100" s="18"/>
      <c r="D100" s="1"/>
      <c r="E100" s="314"/>
      <c r="F100" s="1377"/>
      <c r="G100" s="1377"/>
      <c r="H100" s="1377"/>
      <c r="I100" s="1377"/>
      <c r="J100" s="1377"/>
      <c r="K100" s="1377"/>
      <c r="L100" s="1377"/>
      <c r="M100" s="1384" t="s">
        <v>7111</v>
      </c>
      <c r="N100" s="1384"/>
      <c r="O100" s="1384"/>
      <c r="P100" s="1384"/>
      <c r="Q100" s="1375" t="str">
        <f ca="1">Calculos!BO18</f>
        <v>-</v>
      </c>
      <c r="R100" s="1376"/>
      <c r="S100" s="1375" t="str">
        <f ca="1">Calculos!BO34</f>
        <v>-</v>
      </c>
      <c r="T100" s="1376"/>
      <c r="U100" s="1375" t="str">
        <f ca="1">Calculos!BO50</f>
        <v>-</v>
      </c>
      <c r="V100" s="1376"/>
      <c r="W100" s="1375" t="str">
        <f ca="1">Calculos!BO66</f>
        <v>-</v>
      </c>
      <c r="X100" s="1376"/>
      <c r="Y100" s="1375" t="str">
        <f ca="1">Calculos!BO82</f>
        <v>-</v>
      </c>
      <c r="Z100" s="1376"/>
      <c r="AA100" s="1375" t="str">
        <f ca="1">Calculos!BO98</f>
        <v>-</v>
      </c>
      <c r="AB100" s="1376"/>
      <c r="AC100" s="1375" t="str">
        <f ca="1">Calculos!BO114</f>
        <v>-</v>
      </c>
      <c r="AD100" s="1376"/>
      <c r="AE100" s="1375" t="str">
        <f ca="1">Calculos!BO130</f>
        <v>-</v>
      </c>
      <c r="AF100" s="1376"/>
      <c r="AG100" s="1375" t="str">
        <f ca="1">Calculos!BO146</f>
        <v>-</v>
      </c>
      <c r="AH100" s="1376"/>
      <c r="AI100" s="1375" t="str">
        <f ca="1">Calculos!BO162</f>
        <v>-</v>
      </c>
      <c r="AJ100" s="1376"/>
      <c r="AK100" s="1375" t="str">
        <f ca="1">Calculos!BO178</f>
        <v>-</v>
      </c>
      <c r="AL100" s="1376"/>
      <c r="AM100" s="1375" t="str">
        <f ca="1">Calculos!BO194</f>
        <v>-</v>
      </c>
      <c r="AN100" s="1376"/>
      <c r="AO100" s="1375" t="str">
        <f ca="1">Calculos!BO210</f>
        <v>-</v>
      </c>
      <c r="AP100" s="1376"/>
      <c r="AQ100" s="1375" t="str">
        <f ca="1">Calculos!BO226</f>
        <v>-</v>
      </c>
      <c r="AR100" s="1376"/>
      <c r="AS100" s="1375" t="str">
        <f ca="1">Calculos!BO242</f>
        <v>-</v>
      </c>
      <c r="AT100" s="1376"/>
      <c r="AU100" s="1375" t="str">
        <f ca="1">Calculos!BO258</f>
        <v>-</v>
      </c>
      <c r="AV100" s="1376"/>
      <c r="AW100" s="1375" t="str">
        <f ca="1">Calculos!BO274</f>
        <v>-</v>
      </c>
      <c r="AX100" s="1376"/>
      <c r="AY100" s="1375" t="str">
        <f ca="1">Calculos!BO290</f>
        <v>-</v>
      </c>
      <c r="AZ100" s="1376"/>
      <c r="BA100" s="1375" t="str">
        <f ca="1">Calculos!BO306</f>
        <v>-</v>
      </c>
      <c r="BB100" s="1376"/>
      <c r="BC100" s="1375" t="str">
        <f ca="1">Calculos!BO322</f>
        <v>-</v>
      </c>
      <c r="BD100" s="1376"/>
      <c r="CA100" s="1354">
        <f t="shared" ca="1" si="19"/>
        <v>0</v>
      </c>
      <c r="CB100" s="1354"/>
      <c r="CC100" s="1354">
        <f t="shared" ca="1" si="0"/>
        <v>0</v>
      </c>
      <c r="CD100" s="1354"/>
      <c r="CE100" s="1354">
        <f t="shared" ca="1" si="1"/>
        <v>0</v>
      </c>
      <c r="CF100" s="1354"/>
      <c r="CG100" s="1354">
        <f t="shared" ca="1" si="2"/>
        <v>0</v>
      </c>
      <c r="CH100" s="1354"/>
      <c r="CI100" s="1354">
        <f t="shared" ca="1" si="3"/>
        <v>0</v>
      </c>
      <c r="CJ100" s="1354"/>
      <c r="CK100" s="1354">
        <f t="shared" ca="1" si="4"/>
        <v>0</v>
      </c>
      <c r="CL100" s="1354"/>
      <c r="CM100" s="1354">
        <f t="shared" ca="1" si="5"/>
        <v>0</v>
      </c>
      <c r="CN100" s="1354"/>
      <c r="CO100" s="1354">
        <f t="shared" ca="1" si="6"/>
        <v>0</v>
      </c>
      <c r="CP100" s="1354"/>
      <c r="CQ100" s="1354">
        <f t="shared" ca="1" si="7"/>
        <v>0</v>
      </c>
      <c r="CR100" s="1354"/>
      <c r="CS100" s="1354">
        <f t="shared" ca="1" si="8"/>
        <v>0</v>
      </c>
      <c r="CT100" s="1354"/>
      <c r="CU100" s="1354">
        <f t="shared" ca="1" si="9"/>
        <v>0</v>
      </c>
      <c r="CV100" s="1354"/>
      <c r="CW100" s="1354">
        <f t="shared" ca="1" si="10"/>
        <v>0</v>
      </c>
      <c r="CX100" s="1354"/>
      <c r="CY100" s="1354">
        <f t="shared" ca="1" si="11"/>
        <v>0</v>
      </c>
      <c r="CZ100" s="1354"/>
      <c r="DA100" s="1354">
        <f t="shared" ca="1" si="12"/>
        <v>0</v>
      </c>
      <c r="DB100" s="1354"/>
      <c r="DC100" s="1354">
        <f t="shared" ca="1" si="13"/>
        <v>0</v>
      </c>
      <c r="DD100" s="1354"/>
      <c r="DE100" s="1354">
        <f t="shared" ca="1" si="14"/>
        <v>0</v>
      </c>
      <c r="DF100" s="1354"/>
      <c r="DG100" s="1354">
        <f t="shared" ca="1" si="15"/>
        <v>0</v>
      </c>
      <c r="DH100" s="1354"/>
      <c r="DI100" s="1354">
        <f t="shared" ca="1" si="16"/>
        <v>0</v>
      </c>
      <c r="DJ100" s="1354"/>
      <c r="DK100" s="1354">
        <f t="shared" ca="1" si="17"/>
        <v>0</v>
      </c>
      <c r="DL100" s="1354"/>
      <c r="DM100" s="1354">
        <f t="shared" ca="1" si="18"/>
        <v>0</v>
      </c>
      <c r="DN100" s="1354"/>
    </row>
    <row r="101" spans="1:118" ht="20.100000000000001" customHeight="1" outlineLevel="1" x14ac:dyDescent="0.25">
      <c r="A101" s="18"/>
      <c r="B101" s="18"/>
      <c r="C101" s="18"/>
      <c r="D101" s="1"/>
      <c r="E101" s="314"/>
      <c r="F101" s="1377"/>
      <c r="G101" s="1377"/>
      <c r="H101" s="1377"/>
      <c r="I101" s="1377"/>
      <c r="J101" s="1377"/>
      <c r="K101" s="1377"/>
      <c r="L101" s="1377"/>
      <c r="M101" s="1384" t="s">
        <v>7112</v>
      </c>
      <c r="N101" s="1384"/>
      <c r="O101" s="1384"/>
      <c r="P101" s="1384"/>
      <c r="Q101" s="1375" t="str">
        <f ca="1">Calculos!BO19</f>
        <v>-</v>
      </c>
      <c r="R101" s="1376"/>
      <c r="S101" s="1375" t="str">
        <f ca="1">Calculos!BO35</f>
        <v>-</v>
      </c>
      <c r="T101" s="1376"/>
      <c r="U101" s="1375" t="str">
        <f ca="1">Calculos!BO51</f>
        <v>-</v>
      </c>
      <c r="V101" s="1376"/>
      <c r="W101" s="1375" t="str">
        <f ca="1">Calculos!BO67</f>
        <v>-</v>
      </c>
      <c r="X101" s="1376"/>
      <c r="Y101" s="1375" t="str">
        <f ca="1">Calculos!BO83</f>
        <v>-</v>
      </c>
      <c r="Z101" s="1376"/>
      <c r="AA101" s="1375" t="str">
        <f ca="1">Calculos!BO99</f>
        <v>-</v>
      </c>
      <c r="AB101" s="1376"/>
      <c r="AC101" s="1375" t="str">
        <f ca="1">Calculos!BO115</f>
        <v>-</v>
      </c>
      <c r="AD101" s="1376"/>
      <c r="AE101" s="1375" t="str">
        <f ca="1">Calculos!BO131</f>
        <v>-</v>
      </c>
      <c r="AF101" s="1376"/>
      <c r="AG101" s="1375" t="str">
        <f ca="1">Calculos!BO147</f>
        <v>-</v>
      </c>
      <c r="AH101" s="1376"/>
      <c r="AI101" s="1375" t="str">
        <f ca="1">Calculos!BO163</f>
        <v>-</v>
      </c>
      <c r="AJ101" s="1376"/>
      <c r="AK101" s="1375" t="str">
        <f ca="1">Calculos!BO179</f>
        <v>-</v>
      </c>
      <c r="AL101" s="1376"/>
      <c r="AM101" s="1375" t="str">
        <f ca="1">Calculos!BO195</f>
        <v>-</v>
      </c>
      <c r="AN101" s="1376"/>
      <c r="AO101" s="1375" t="str">
        <f ca="1">Calculos!BO211</f>
        <v>-</v>
      </c>
      <c r="AP101" s="1376"/>
      <c r="AQ101" s="1375" t="str">
        <f ca="1">Calculos!BO227</f>
        <v>-</v>
      </c>
      <c r="AR101" s="1376"/>
      <c r="AS101" s="1375" t="str">
        <f ca="1">Calculos!BO243</f>
        <v>-</v>
      </c>
      <c r="AT101" s="1376"/>
      <c r="AU101" s="1375" t="str">
        <f ca="1">Calculos!BO259</f>
        <v>-</v>
      </c>
      <c r="AV101" s="1376"/>
      <c r="AW101" s="1375" t="str">
        <f ca="1">Calculos!BO275</f>
        <v>-</v>
      </c>
      <c r="AX101" s="1376"/>
      <c r="AY101" s="1375" t="str">
        <f ca="1">Calculos!BO291</f>
        <v>-</v>
      </c>
      <c r="AZ101" s="1376"/>
      <c r="BA101" s="1375" t="str">
        <f ca="1">Calculos!BO307</f>
        <v>-</v>
      </c>
      <c r="BB101" s="1376"/>
      <c r="BC101" s="1375" t="str">
        <f ca="1">Calculos!BO323</f>
        <v>-</v>
      </c>
      <c r="BD101" s="1376"/>
      <c r="CA101" s="1354">
        <f t="shared" ca="1" si="19"/>
        <v>0</v>
      </c>
      <c r="CB101" s="1354"/>
      <c r="CC101" s="1354">
        <f t="shared" ca="1" si="0"/>
        <v>0</v>
      </c>
      <c r="CD101" s="1354"/>
      <c r="CE101" s="1354">
        <f t="shared" ca="1" si="1"/>
        <v>0</v>
      </c>
      <c r="CF101" s="1354"/>
      <c r="CG101" s="1354">
        <f t="shared" ca="1" si="2"/>
        <v>0</v>
      </c>
      <c r="CH101" s="1354"/>
      <c r="CI101" s="1354">
        <f t="shared" ca="1" si="3"/>
        <v>0</v>
      </c>
      <c r="CJ101" s="1354"/>
      <c r="CK101" s="1354">
        <f t="shared" ca="1" si="4"/>
        <v>0</v>
      </c>
      <c r="CL101" s="1354"/>
      <c r="CM101" s="1354">
        <f t="shared" ca="1" si="5"/>
        <v>0</v>
      </c>
      <c r="CN101" s="1354"/>
      <c r="CO101" s="1354">
        <f t="shared" ca="1" si="6"/>
        <v>0</v>
      </c>
      <c r="CP101" s="1354"/>
      <c r="CQ101" s="1354">
        <f t="shared" ca="1" si="7"/>
        <v>0</v>
      </c>
      <c r="CR101" s="1354"/>
      <c r="CS101" s="1354">
        <f t="shared" ca="1" si="8"/>
        <v>0</v>
      </c>
      <c r="CT101" s="1354"/>
      <c r="CU101" s="1354">
        <f t="shared" ca="1" si="9"/>
        <v>0</v>
      </c>
      <c r="CV101" s="1354"/>
      <c r="CW101" s="1354">
        <f t="shared" ca="1" si="10"/>
        <v>0</v>
      </c>
      <c r="CX101" s="1354"/>
      <c r="CY101" s="1354">
        <f t="shared" ca="1" si="11"/>
        <v>0</v>
      </c>
      <c r="CZ101" s="1354"/>
      <c r="DA101" s="1354">
        <f t="shared" ca="1" si="12"/>
        <v>0</v>
      </c>
      <c r="DB101" s="1354"/>
      <c r="DC101" s="1354">
        <f t="shared" ca="1" si="13"/>
        <v>0</v>
      </c>
      <c r="DD101" s="1354"/>
      <c r="DE101" s="1354">
        <f t="shared" ca="1" si="14"/>
        <v>0</v>
      </c>
      <c r="DF101" s="1354"/>
      <c r="DG101" s="1354">
        <f t="shared" ca="1" si="15"/>
        <v>0</v>
      </c>
      <c r="DH101" s="1354"/>
      <c r="DI101" s="1354">
        <f t="shared" ca="1" si="16"/>
        <v>0</v>
      </c>
      <c r="DJ101" s="1354"/>
      <c r="DK101" s="1354">
        <f t="shared" ca="1" si="17"/>
        <v>0</v>
      </c>
      <c r="DL101" s="1354"/>
      <c r="DM101" s="1354">
        <f t="shared" ca="1" si="18"/>
        <v>0</v>
      </c>
      <c r="DN101" s="1354"/>
    </row>
    <row r="102" spans="1:118" ht="20.100000000000001" customHeight="1" outlineLevel="1" x14ac:dyDescent="0.25">
      <c r="A102" s="18"/>
      <c r="B102" s="18"/>
      <c r="C102" s="18"/>
      <c r="D102" s="1"/>
      <c r="E102" s="314"/>
      <c r="F102" s="1377"/>
      <c r="G102" s="1377"/>
      <c r="H102" s="1377"/>
      <c r="I102" s="1377"/>
      <c r="J102" s="1377"/>
      <c r="K102" s="1377"/>
      <c r="L102" s="1377"/>
      <c r="M102" s="1384" t="s">
        <v>7113</v>
      </c>
      <c r="N102" s="1384"/>
      <c r="O102" s="1384"/>
      <c r="P102" s="1384"/>
      <c r="Q102" s="1375" t="str">
        <f ca="1">Calculos!BO20</f>
        <v>-</v>
      </c>
      <c r="R102" s="1376"/>
      <c r="S102" s="1375" t="str">
        <f ca="1">Calculos!BO36</f>
        <v>-</v>
      </c>
      <c r="T102" s="1376"/>
      <c r="U102" s="1375" t="str">
        <f ca="1">Calculos!BO52</f>
        <v>-</v>
      </c>
      <c r="V102" s="1376"/>
      <c r="W102" s="1375" t="str">
        <f ca="1">Calculos!BO68</f>
        <v>-</v>
      </c>
      <c r="X102" s="1376"/>
      <c r="Y102" s="1375" t="str">
        <f ca="1">Calculos!BO84</f>
        <v>-</v>
      </c>
      <c r="Z102" s="1376"/>
      <c r="AA102" s="1375" t="str">
        <f ca="1">Calculos!BO100</f>
        <v>-</v>
      </c>
      <c r="AB102" s="1376"/>
      <c r="AC102" s="1375" t="str">
        <f ca="1">Calculos!BO116</f>
        <v>-</v>
      </c>
      <c r="AD102" s="1376"/>
      <c r="AE102" s="1375" t="str">
        <f ca="1">Calculos!BO132</f>
        <v>-</v>
      </c>
      <c r="AF102" s="1376"/>
      <c r="AG102" s="1375" t="str">
        <f ca="1">Calculos!BO148</f>
        <v>-</v>
      </c>
      <c r="AH102" s="1376"/>
      <c r="AI102" s="1375" t="str">
        <f ca="1">Calculos!BO164</f>
        <v>-</v>
      </c>
      <c r="AJ102" s="1376"/>
      <c r="AK102" s="1375" t="str">
        <f ca="1">Calculos!BO180</f>
        <v>-</v>
      </c>
      <c r="AL102" s="1376"/>
      <c r="AM102" s="1375" t="str">
        <f ca="1">Calculos!BO196</f>
        <v>-</v>
      </c>
      <c r="AN102" s="1376"/>
      <c r="AO102" s="1375" t="str">
        <f ca="1">Calculos!BO212</f>
        <v>-</v>
      </c>
      <c r="AP102" s="1376"/>
      <c r="AQ102" s="1375" t="str">
        <f ca="1">Calculos!BO228</f>
        <v>-</v>
      </c>
      <c r="AR102" s="1376"/>
      <c r="AS102" s="1375" t="str">
        <f ca="1">Calculos!BO244</f>
        <v>-</v>
      </c>
      <c r="AT102" s="1376"/>
      <c r="AU102" s="1375" t="str">
        <f ca="1">Calculos!BO260</f>
        <v>-</v>
      </c>
      <c r="AV102" s="1376"/>
      <c r="AW102" s="1375" t="str">
        <f ca="1">Calculos!BO276</f>
        <v>-</v>
      </c>
      <c r="AX102" s="1376"/>
      <c r="AY102" s="1375" t="str">
        <f ca="1">Calculos!BO292</f>
        <v>-</v>
      </c>
      <c r="AZ102" s="1376"/>
      <c r="BA102" s="1375" t="str">
        <f ca="1">Calculos!BO308</f>
        <v>-</v>
      </c>
      <c r="BB102" s="1376"/>
      <c r="BC102" s="1375" t="str">
        <f ca="1">Calculos!BO324</f>
        <v>-</v>
      </c>
      <c r="BD102" s="1376"/>
      <c r="CA102" s="1354">
        <f t="shared" ca="1" si="19"/>
        <v>0</v>
      </c>
      <c r="CB102" s="1354"/>
      <c r="CC102" s="1354">
        <f t="shared" ca="1" si="0"/>
        <v>0</v>
      </c>
      <c r="CD102" s="1354"/>
      <c r="CE102" s="1354">
        <f t="shared" ca="1" si="1"/>
        <v>0</v>
      </c>
      <c r="CF102" s="1354"/>
      <c r="CG102" s="1354">
        <f t="shared" ca="1" si="2"/>
        <v>0</v>
      </c>
      <c r="CH102" s="1354"/>
      <c r="CI102" s="1354">
        <f t="shared" ca="1" si="3"/>
        <v>0</v>
      </c>
      <c r="CJ102" s="1354"/>
      <c r="CK102" s="1354">
        <f t="shared" ca="1" si="4"/>
        <v>0</v>
      </c>
      <c r="CL102" s="1354"/>
      <c r="CM102" s="1354">
        <f t="shared" ca="1" si="5"/>
        <v>0</v>
      </c>
      <c r="CN102" s="1354"/>
      <c r="CO102" s="1354">
        <f t="shared" ca="1" si="6"/>
        <v>0</v>
      </c>
      <c r="CP102" s="1354"/>
      <c r="CQ102" s="1354">
        <f t="shared" ca="1" si="7"/>
        <v>0</v>
      </c>
      <c r="CR102" s="1354"/>
      <c r="CS102" s="1354">
        <f t="shared" ca="1" si="8"/>
        <v>0</v>
      </c>
      <c r="CT102" s="1354"/>
      <c r="CU102" s="1354">
        <f t="shared" ca="1" si="9"/>
        <v>0</v>
      </c>
      <c r="CV102" s="1354"/>
      <c r="CW102" s="1354">
        <f t="shared" ca="1" si="10"/>
        <v>0</v>
      </c>
      <c r="CX102" s="1354"/>
      <c r="CY102" s="1354">
        <f t="shared" ca="1" si="11"/>
        <v>0</v>
      </c>
      <c r="CZ102" s="1354"/>
      <c r="DA102" s="1354">
        <f t="shared" ca="1" si="12"/>
        <v>0</v>
      </c>
      <c r="DB102" s="1354"/>
      <c r="DC102" s="1354">
        <f t="shared" ca="1" si="13"/>
        <v>0</v>
      </c>
      <c r="DD102" s="1354"/>
      <c r="DE102" s="1354">
        <f t="shared" ca="1" si="14"/>
        <v>0</v>
      </c>
      <c r="DF102" s="1354"/>
      <c r="DG102" s="1354">
        <f t="shared" ca="1" si="15"/>
        <v>0</v>
      </c>
      <c r="DH102" s="1354"/>
      <c r="DI102" s="1354">
        <f t="shared" ca="1" si="16"/>
        <v>0</v>
      </c>
      <c r="DJ102" s="1354"/>
      <c r="DK102" s="1354">
        <f t="shared" ca="1" si="17"/>
        <v>0</v>
      </c>
      <c r="DL102" s="1354"/>
      <c r="DM102" s="1354">
        <f t="shared" ca="1" si="18"/>
        <v>0</v>
      </c>
      <c r="DN102" s="1354"/>
    </row>
    <row r="103" spans="1:118" ht="20.100000000000001" customHeight="1" outlineLevel="1" x14ac:dyDescent="0.25">
      <c r="A103" s="18"/>
      <c r="B103" s="18"/>
      <c r="C103" s="18"/>
      <c r="D103" s="1"/>
      <c r="E103" s="314"/>
      <c r="F103" s="1377"/>
      <c r="G103" s="1377"/>
      <c r="H103" s="1377"/>
      <c r="I103" s="1377"/>
      <c r="J103" s="1377"/>
      <c r="K103" s="1377"/>
      <c r="L103" s="1377"/>
      <c r="M103" s="1384" t="s">
        <v>80</v>
      </c>
      <c r="N103" s="1384"/>
      <c r="O103" s="1384"/>
      <c r="P103" s="1384"/>
      <c r="Q103" s="1375" t="str">
        <f ca="1">Calculos!BO21</f>
        <v>-</v>
      </c>
      <c r="R103" s="1376"/>
      <c r="S103" s="1375" t="str">
        <f ca="1">Calculos!BO37</f>
        <v>-</v>
      </c>
      <c r="T103" s="1376"/>
      <c r="U103" s="1375" t="str">
        <f ca="1">Calculos!BO53</f>
        <v>-</v>
      </c>
      <c r="V103" s="1376"/>
      <c r="W103" s="1375" t="str">
        <f ca="1">Calculos!BO69</f>
        <v>-</v>
      </c>
      <c r="X103" s="1376"/>
      <c r="Y103" s="1375" t="str">
        <f ca="1">Calculos!BO85</f>
        <v>-</v>
      </c>
      <c r="Z103" s="1376"/>
      <c r="AA103" s="1375" t="str">
        <f ca="1">Calculos!BO101</f>
        <v>-</v>
      </c>
      <c r="AB103" s="1376"/>
      <c r="AC103" s="1375" t="str">
        <f ca="1">Calculos!BO117</f>
        <v>-</v>
      </c>
      <c r="AD103" s="1376"/>
      <c r="AE103" s="1375" t="str">
        <f ca="1">Calculos!BO133</f>
        <v>-</v>
      </c>
      <c r="AF103" s="1376"/>
      <c r="AG103" s="1375" t="str">
        <f ca="1">Calculos!BO149</f>
        <v>-</v>
      </c>
      <c r="AH103" s="1376"/>
      <c r="AI103" s="1375" t="str">
        <f ca="1">Calculos!BO165</f>
        <v>-</v>
      </c>
      <c r="AJ103" s="1376"/>
      <c r="AK103" s="1375" t="str">
        <f ca="1">Calculos!BO181</f>
        <v>-</v>
      </c>
      <c r="AL103" s="1376"/>
      <c r="AM103" s="1375" t="str">
        <f ca="1">Calculos!BO197</f>
        <v>-</v>
      </c>
      <c r="AN103" s="1376"/>
      <c r="AO103" s="1375" t="str">
        <f ca="1">Calculos!BO213</f>
        <v>-</v>
      </c>
      <c r="AP103" s="1376"/>
      <c r="AQ103" s="1375" t="str">
        <f ca="1">Calculos!BO229</f>
        <v>-</v>
      </c>
      <c r="AR103" s="1376"/>
      <c r="AS103" s="1375" t="str">
        <f ca="1">Calculos!BO245</f>
        <v>-</v>
      </c>
      <c r="AT103" s="1376"/>
      <c r="AU103" s="1375" t="str">
        <f ca="1">Calculos!BO261</f>
        <v>-</v>
      </c>
      <c r="AV103" s="1376"/>
      <c r="AW103" s="1375" t="str">
        <f ca="1">Calculos!BO277</f>
        <v>-</v>
      </c>
      <c r="AX103" s="1376"/>
      <c r="AY103" s="1375" t="str">
        <f ca="1">Calculos!BO293</f>
        <v>-</v>
      </c>
      <c r="AZ103" s="1376"/>
      <c r="BA103" s="1375" t="str">
        <f ca="1">Calculos!BO309</f>
        <v>-</v>
      </c>
      <c r="BB103" s="1376"/>
      <c r="BC103" s="1375" t="str">
        <f ca="1">Calculos!BO325</f>
        <v>-</v>
      </c>
      <c r="BD103" s="1376"/>
      <c r="CA103" s="1354">
        <f t="shared" ca="1" si="19"/>
        <v>0</v>
      </c>
      <c r="CB103" s="1354"/>
      <c r="CC103" s="1354">
        <f t="shared" ca="1" si="0"/>
        <v>0</v>
      </c>
      <c r="CD103" s="1354"/>
      <c r="CE103" s="1354">
        <f t="shared" ca="1" si="1"/>
        <v>0</v>
      </c>
      <c r="CF103" s="1354"/>
      <c r="CG103" s="1354">
        <f t="shared" ca="1" si="2"/>
        <v>0</v>
      </c>
      <c r="CH103" s="1354"/>
      <c r="CI103" s="1354">
        <f t="shared" ca="1" si="3"/>
        <v>0</v>
      </c>
      <c r="CJ103" s="1354"/>
      <c r="CK103" s="1354">
        <f t="shared" ca="1" si="4"/>
        <v>0</v>
      </c>
      <c r="CL103" s="1354"/>
      <c r="CM103" s="1354">
        <f t="shared" ca="1" si="5"/>
        <v>0</v>
      </c>
      <c r="CN103" s="1354"/>
      <c r="CO103" s="1354">
        <f t="shared" ca="1" si="6"/>
        <v>0</v>
      </c>
      <c r="CP103" s="1354"/>
      <c r="CQ103" s="1354">
        <f t="shared" ca="1" si="7"/>
        <v>0</v>
      </c>
      <c r="CR103" s="1354"/>
      <c r="CS103" s="1354">
        <f t="shared" ca="1" si="8"/>
        <v>0</v>
      </c>
      <c r="CT103" s="1354"/>
      <c r="CU103" s="1354">
        <f t="shared" ca="1" si="9"/>
        <v>0</v>
      </c>
      <c r="CV103" s="1354"/>
      <c r="CW103" s="1354">
        <f t="shared" ca="1" si="10"/>
        <v>0</v>
      </c>
      <c r="CX103" s="1354"/>
      <c r="CY103" s="1354">
        <f t="shared" ca="1" si="11"/>
        <v>0</v>
      </c>
      <c r="CZ103" s="1354"/>
      <c r="DA103" s="1354">
        <f t="shared" ca="1" si="12"/>
        <v>0</v>
      </c>
      <c r="DB103" s="1354"/>
      <c r="DC103" s="1354">
        <f t="shared" ca="1" si="13"/>
        <v>0</v>
      </c>
      <c r="DD103" s="1354"/>
      <c r="DE103" s="1354">
        <f t="shared" ca="1" si="14"/>
        <v>0</v>
      </c>
      <c r="DF103" s="1354"/>
      <c r="DG103" s="1354">
        <f t="shared" ca="1" si="15"/>
        <v>0</v>
      </c>
      <c r="DH103" s="1354"/>
      <c r="DI103" s="1354">
        <f t="shared" ca="1" si="16"/>
        <v>0</v>
      </c>
      <c r="DJ103" s="1354"/>
      <c r="DK103" s="1354">
        <f t="shared" ca="1" si="17"/>
        <v>0</v>
      </c>
      <c r="DL103" s="1354"/>
      <c r="DM103" s="1354">
        <f t="shared" ca="1" si="18"/>
        <v>0</v>
      </c>
      <c r="DN103" s="1354"/>
    </row>
    <row r="104" spans="1:118" ht="30" customHeight="1" outlineLevel="1" x14ac:dyDescent="0.25">
      <c r="A104" s="18"/>
      <c r="B104" s="18"/>
      <c r="C104" s="18"/>
      <c r="D104" s="1"/>
      <c r="E104" s="314"/>
      <c r="F104" s="1377" t="s">
        <v>353</v>
      </c>
      <c r="G104" s="1377"/>
      <c r="H104" s="1377"/>
      <c r="I104" s="1377"/>
      <c r="J104" s="1377"/>
      <c r="K104" s="1377"/>
      <c r="L104" s="1377"/>
      <c r="M104" s="1377"/>
      <c r="N104" s="1377"/>
      <c r="O104" s="1377"/>
      <c r="P104" s="1377"/>
      <c r="Q104" s="1364" t="str">
        <f ca="1">Calculos!BK359</f>
        <v>-</v>
      </c>
      <c r="R104" s="1365"/>
      <c r="S104" s="1364" t="str">
        <f ca="1">Calculos!BL359</f>
        <v>-</v>
      </c>
      <c r="T104" s="1365"/>
      <c r="U104" s="1364" t="str">
        <f ca="1">Calculos!BM359</f>
        <v>-</v>
      </c>
      <c r="V104" s="1365"/>
      <c r="W104" s="1364" t="str">
        <f ca="1">Calculos!BN359</f>
        <v>-</v>
      </c>
      <c r="X104" s="1365"/>
      <c r="Y104" s="1364" t="str">
        <f ca="1">Calculos!BO359</f>
        <v>-</v>
      </c>
      <c r="Z104" s="1365"/>
      <c r="AA104" s="1364" t="str">
        <f ca="1">Calculos!BP359</f>
        <v>-</v>
      </c>
      <c r="AB104" s="1365"/>
      <c r="AC104" s="1364" t="str">
        <f ca="1">Calculos!BQ359</f>
        <v>-</v>
      </c>
      <c r="AD104" s="1365"/>
      <c r="AE104" s="1364" t="str">
        <f ca="1">Calculos!BR359</f>
        <v>-</v>
      </c>
      <c r="AF104" s="1365"/>
      <c r="AG104" s="1364" t="str">
        <f ca="1">Calculos!BS359</f>
        <v>-</v>
      </c>
      <c r="AH104" s="1365"/>
      <c r="AI104" s="1364" t="str">
        <f ca="1">Calculos!BT359</f>
        <v>-</v>
      </c>
      <c r="AJ104" s="1365"/>
      <c r="AK104" s="1364" t="str">
        <f ca="1">Calculos!BU359</f>
        <v>-</v>
      </c>
      <c r="AL104" s="1365"/>
      <c r="AM104" s="1364" t="str">
        <f ca="1">Calculos!BV359</f>
        <v>-</v>
      </c>
      <c r="AN104" s="1365"/>
      <c r="AO104" s="1364" t="str">
        <f ca="1">Calculos!BW359</f>
        <v>-</v>
      </c>
      <c r="AP104" s="1365"/>
      <c r="AQ104" s="1364" t="str">
        <f ca="1">Calculos!BX359</f>
        <v>-</v>
      </c>
      <c r="AR104" s="1365"/>
      <c r="AS104" s="1364" t="str">
        <f ca="1">Calculos!BY359</f>
        <v>-</v>
      </c>
      <c r="AT104" s="1365"/>
      <c r="AU104" s="1364" t="str">
        <f ca="1">Calculos!BZ359</f>
        <v>-</v>
      </c>
      <c r="AV104" s="1365"/>
      <c r="AW104" s="1364" t="str">
        <f ca="1">Calculos!CA359</f>
        <v>-</v>
      </c>
      <c r="AX104" s="1365"/>
      <c r="AY104" s="1364" t="str">
        <f ca="1">Calculos!CB359</f>
        <v>-</v>
      </c>
      <c r="AZ104" s="1365"/>
      <c r="BA104" s="1364" t="str">
        <f ca="1">Calculos!CC359</f>
        <v>-</v>
      </c>
      <c r="BB104" s="1365"/>
      <c r="BC104" s="1364" t="str">
        <f ca="1">Calculos!CD359</f>
        <v>-</v>
      </c>
      <c r="BD104" s="1365"/>
    </row>
    <row r="105" spans="1:118" ht="30" customHeight="1" outlineLevel="1" x14ac:dyDescent="0.25">
      <c r="A105" s="18"/>
      <c r="B105" s="18"/>
      <c r="C105" s="18"/>
      <c r="D105" s="1"/>
      <c r="E105" s="314"/>
      <c r="F105" s="1377" t="s">
        <v>6059</v>
      </c>
      <c r="G105" s="1377"/>
      <c r="H105" s="1377"/>
      <c r="I105" s="1377"/>
      <c r="J105" s="1377"/>
      <c r="K105" s="1377"/>
      <c r="L105" s="1377"/>
      <c r="M105" s="1377"/>
      <c r="N105" s="1377"/>
      <c r="O105" s="1377"/>
      <c r="P105" s="1377"/>
      <c r="Q105" s="1364" t="str">
        <f ca="1">Calculos!BK372</f>
        <v>-</v>
      </c>
      <c r="R105" s="1365"/>
      <c r="S105" s="1364" t="str">
        <f ca="1">Calculos!BL372</f>
        <v>-</v>
      </c>
      <c r="T105" s="1365"/>
      <c r="U105" s="1364" t="str">
        <f ca="1">Calculos!BM372</f>
        <v>-</v>
      </c>
      <c r="V105" s="1365"/>
      <c r="W105" s="1364" t="str">
        <f ca="1">Calculos!BN372</f>
        <v>-</v>
      </c>
      <c r="X105" s="1365"/>
      <c r="Y105" s="1364" t="str">
        <f ca="1">Calculos!BO372</f>
        <v>-</v>
      </c>
      <c r="Z105" s="1365"/>
      <c r="AA105" s="1364" t="str">
        <f ca="1">Calculos!BP372</f>
        <v>-</v>
      </c>
      <c r="AB105" s="1365"/>
      <c r="AC105" s="1364" t="str">
        <f ca="1">Calculos!BQ372</f>
        <v>-</v>
      </c>
      <c r="AD105" s="1365"/>
      <c r="AE105" s="1364" t="str">
        <f ca="1">Calculos!BR372</f>
        <v>-</v>
      </c>
      <c r="AF105" s="1365"/>
      <c r="AG105" s="1364" t="str">
        <f ca="1">Calculos!BS372</f>
        <v>-</v>
      </c>
      <c r="AH105" s="1365"/>
      <c r="AI105" s="1364" t="str">
        <f ca="1">Calculos!BT372</f>
        <v>-</v>
      </c>
      <c r="AJ105" s="1365"/>
      <c r="AK105" s="1364" t="str">
        <f ca="1">Calculos!BU372</f>
        <v>-</v>
      </c>
      <c r="AL105" s="1365"/>
      <c r="AM105" s="1364" t="str">
        <f ca="1">Calculos!BV372</f>
        <v>-</v>
      </c>
      <c r="AN105" s="1365"/>
      <c r="AO105" s="1364" t="str">
        <f ca="1">Calculos!BW372</f>
        <v>-</v>
      </c>
      <c r="AP105" s="1365"/>
      <c r="AQ105" s="1364" t="str">
        <f ca="1">Calculos!BX372</f>
        <v>-</v>
      </c>
      <c r="AR105" s="1365"/>
      <c r="AS105" s="1364" t="str">
        <f ca="1">Calculos!BY372</f>
        <v>-</v>
      </c>
      <c r="AT105" s="1365"/>
      <c r="AU105" s="1364" t="str">
        <f ca="1">Calculos!BZ372</f>
        <v>-</v>
      </c>
      <c r="AV105" s="1365"/>
      <c r="AW105" s="1364" t="str">
        <f ca="1">Calculos!CA372</f>
        <v>-</v>
      </c>
      <c r="AX105" s="1365"/>
      <c r="AY105" s="1364" t="str">
        <f ca="1">Calculos!CB372</f>
        <v>-</v>
      </c>
      <c r="AZ105" s="1365"/>
      <c r="BA105" s="1364" t="str">
        <f ca="1">Calculos!CC372</f>
        <v>-</v>
      </c>
      <c r="BB105" s="1365"/>
      <c r="BC105" s="1364" t="str">
        <f ca="1">Calculos!CD372</f>
        <v>-</v>
      </c>
      <c r="BD105" s="1365"/>
    </row>
    <row r="106" spans="1:118" ht="24.95" customHeight="1" outlineLevel="1" x14ac:dyDescent="0.25">
      <c r="A106" s="18"/>
      <c r="B106" s="18"/>
      <c r="C106" s="18"/>
      <c r="D106" s="1"/>
      <c r="E106" s="314"/>
      <c r="F106" s="314"/>
      <c r="G106" s="314"/>
      <c r="H106" s="314"/>
      <c r="I106" s="314"/>
      <c r="J106" s="314"/>
      <c r="K106" s="314"/>
      <c r="L106" s="314"/>
      <c r="M106" s="314"/>
      <c r="N106" s="2"/>
      <c r="O106" s="2"/>
      <c r="P106" s="2"/>
      <c r="Q106" s="249" t="s">
        <v>6036</v>
      </c>
      <c r="R106" s="2"/>
      <c r="S106" s="2"/>
      <c r="T106" s="2"/>
      <c r="U106" s="2"/>
      <c r="V106" s="2"/>
      <c r="W106" s="249"/>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118" ht="20.100000000000001" customHeight="1" x14ac:dyDescent="0.25">
      <c r="A107" s="18"/>
      <c r="B107" s="18"/>
      <c r="C107" s="18"/>
      <c r="D107" s="1"/>
      <c r="E107" s="7"/>
      <c r="F107" s="1"/>
      <c r="G107" s="1"/>
      <c r="H107" s="1"/>
      <c r="I107" s="1"/>
      <c r="J107" s="1"/>
      <c r="K107" s="1"/>
      <c r="L107" s="1"/>
      <c r="M107" s="1"/>
      <c r="N107" s="1"/>
      <c r="O107" s="1"/>
      <c r="P107" s="1"/>
      <c r="Q107" s="1"/>
      <c r="R107" s="1"/>
      <c r="S107" s="1"/>
      <c r="T107" s="1"/>
      <c r="U107" s="1"/>
      <c r="V107" s="1"/>
      <c r="W107" s="316"/>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row>
    <row r="108" spans="1:118" ht="20.100000000000001" customHeight="1" x14ac:dyDescent="0.25">
      <c r="A108" s="18"/>
      <c r="B108" s="18"/>
      <c r="C108" s="18"/>
      <c r="D108" s="1"/>
      <c r="E108" s="2"/>
      <c r="F108" s="2"/>
      <c r="G108" s="2"/>
      <c r="H108" s="2"/>
      <c r="I108" s="2"/>
      <c r="J108" s="2"/>
      <c r="K108" s="2"/>
      <c r="L108" s="2"/>
      <c r="M108" s="2"/>
      <c r="N108" s="2"/>
      <c r="O108" s="2"/>
      <c r="P108" s="2"/>
      <c r="Q108" s="2"/>
      <c r="R108" s="2"/>
      <c r="S108" s="2"/>
      <c r="T108" s="2"/>
      <c r="U108" s="2"/>
      <c r="V108" s="2"/>
      <c r="W108" s="249"/>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118" ht="20.100000000000001" customHeight="1" x14ac:dyDescent="0.25">
      <c r="A109" s="18"/>
      <c r="B109" s="18"/>
      <c r="C109" s="18"/>
      <c r="D109" s="1"/>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118" ht="20.100000000000001" customHeight="1" x14ac:dyDescent="0.25">
      <c r="A110" s="18"/>
      <c r="B110" s="18"/>
      <c r="C110" s="18"/>
      <c r="D110" s="1"/>
      <c r="E110" s="2"/>
      <c r="F110" s="1149" t="s">
        <v>89</v>
      </c>
      <c r="G110" s="1094"/>
      <c r="H110" s="1094"/>
      <c r="I110" s="1094"/>
      <c r="J110" s="1094"/>
      <c r="K110" s="1094"/>
      <c r="L110" s="1104"/>
      <c r="M110" s="148" t="s">
        <v>186</v>
      </c>
      <c r="N110" s="1259"/>
      <c r="O110" s="1260"/>
      <c r="P110" s="1260"/>
      <c r="Q110" s="1260"/>
      <c r="R110" s="1260"/>
      <c r="S110" s="1261"/>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118" ht="20.100000000000001" customHeight="1" x14ac:dyDescent="0.25">
      <c r="A111" s="18"/>
      <c r="B111" s="18"/>
      <c r="C111" s="18"/>
      <c r="D111" s="1"/>
      <c r="E111" s="2"/>
      <c r="F111" s="1149" t="s">
        <v>352</v>
      </c>
      <c r="G111" s="1094"/>
      <c r="H111" s="1094"/>
      <c r="I111" s="1094"/>
      <c r="J111" s="1094"/>
      <c r="K111" s="1094"/>
      <c r="L111" s="1104"/>
      <c r="M111" s="148" t="s">
        <v>186</v>
      </c>
      <c r="N111" s="1259"/>
      <c r="O111" s="1260"/>
      <c r="P111" s="1260"/>
      <c r="Q111" s="1260"/>
      <c r="R111" s="1260"/>
      <c r="S111" s="1261"/>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118" ht="30" customHeight="1" x14ac:dyDescent="0.25">
      <c r="A112" s="18"/>
      <c r="B112" s="18"/>
      <c r="C112" s="18"/>
      <c r="D112" s="1"/>
      <c r="E112" s="2"/>
      <c r="F112" s="1149" t="s">
        <v>130</v>
      </c>
      <c r="G112" s="1094"/>
      <c r="H112" s="1094"/>
      <c r="I112" s="1094"/>
      <c r="J112" s="1094"/>
      <c r="K112" s="1094"/>
      <c r="L112" s="1094"/>
      <c r="M112" s="148" t="s">
        <v>186</v>
      </c>
      <c r="N112" s="1417"/>
      <c r="O112" s="1418"/>
      <c r="P112" s="1418"/>
      <c r="Q112" s="1418"/>
      <c r="R112" s="1418"/>
      <c r="S112" s="1418"/>
      <c r="T112" s="1418"/>
      <c r="U112" s="1418"/>
      <c r="V112" s="1418"/>
      <c r="W112" s="1418"/>
      <c r="X112" s="1418"/>
      <c r="Y112" s="1418"/>
      <c r="Z112" s="1418"/>
      <c r="AA112" s="1418"/>
      <c r="AB112" s="1418"/>
      <c r="AC112" s="1418"/>
      <c r="AD112" s="1418"/>
      <c r="AE112" s="1418"/>
      <c r="AF112" s="1418"/>
      <c r="AG112" s="1418"/>
      <c r="AH112" s="1418"/>
      <c r="AI112" s="1418"/>
      <c r="AJ112" s="1418"/>
      <c r="AK112" s="1418"/>
      <c r="AL112" s="1418"/>
      <c r="AM112" s="1419"/>
      <c r="AN112" s="124"/>
      <c r="AO112" s="124"/>
      <c r="AP112" s="124"/>
      <c r="AQ112" s="124"/>
      <c r="AR112" s="124"/>
      <c r="AS112" s="124"/>
      <c r="AT112" s="124"/>
      <c r="AU112" s="124"/>
      <c r="AV112" s="124"/>
      <c r="AW112" s="124"/>
      <c r="AX112" s="124"/>
      <c r="AY112" s="124"/>
      <c r="AZ112" s="124"/>
      <c r="BA112" s="2"/>
      <c r="BB112" s="2"/>
      <c r="BC112" s="2"/>
      <c r="BD112" s="2"/>
      <c r="BE112" s="2"/>
    </row>
    <row r="113" spans="1:118" ht="20.100000000000001" customHeight="1" x14ac:dyDescent="0.25">
      <c r="A113" s="18"/>
      <c r="B113" s="18"/>
      <c r="C113" s="18"/>
      <c r="D113" s="1"/>
      <c r="E113" s="2"/>
      <c r="F113" s="1149" t="s">
        <v>83</v>
      </c>
      <c r="G113" s="1094"/>
      <c r="H113" s="1094"/>
      <c r="I113" s="1094"/>
      <c r="J113" s="1094"/>
      <c r="K113" s="1094"/>
      <c r="L113" s="1104"/>
      <c r="M113" s="148" t="s">
        <v>186</v>
      </c>
      <c r="N113" s="1413"/>
      <c r="O113" s="1414"/>
      <c r="P113" s="1414"/>
      <c r="Q113" s="1414"/>
      <c r="R113" s="1414"/>
      <c r="S113" s="1414"/>
      <c r="T113" s="1414"/>
      <c r="U113" s="1414"/>
      <c r="V113" s="1414"/>
      <c r="W113" s="1414"/>
      <c r="X113" s="1415"/>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118" ht="20.100000000000001" customHeight="1" x14ac:dyDescent="0.25">
      <c r="A114" s="18"/>
      <c r="B114" s="18"/>
      <c r="C114" s="18"/>
      <c r="D114" s="1"/>
      <c r="E114" s="2"/>
      <c r="F114" s="1149" t="s">
        <v>100</v>
      </c>
      <c r="G114" s="1094"/>
      <c r="H114" s="1094"/>
      <c r="I114" s="1094"/>
      <c r="J114" s="1094"/>
      <c r="K114" s="1094"/>
      <c r="L114" s="1104"/>
      <c r="M114" s="148" t="s">
        <v>186</v>
      </c>
      <c r="N114" s="1413"/>
      <c r="O114" s="1414"/>
      <c r="P114" s="1414"/>
      <c r="Q114" s="1414"/>
      <c r="R114" s="1414"/>
      <c r="S114" s="1414"/>
      <c r="T114" s="1414"/>
      <c r="U114" s="1414"/>
      <c r="V114" s="1414"/>
      <c r="W114" s="1414"/>
      <c r="X114" s="1415"/>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118" ht="20.100000000000001" hidden="1" customHeight="1" x14ac:dyDescent="0.25">
      <c r="A115" s="18"/>
      <c r="B115" s="18"/>
      <c r="C115" s="18"/>
      <c r="D115" s="1"/>
      <c r="E115" s="2"/>
    </row>
    <row r="116" spans="1:118" ht="20.100000000000001" hidden="1" customHeight="1" x14ac:dyDescent="0.25">
      <c r="A116" s="18"/>
      <c r="B116" s="18"/>
      <c r="C116" s="18"/>
      <c r="D116" s="1"/>
      <c r="E116" s="2"/>
    </row>
    <row r="117" spans="1:118" ht="20.100000000000001" hidden="1" customHeight="1" x14ac:dyDescent="0.25">
      <c r="A117" s="18"/>
      <c r="B117" s="18"/>
      <c r="C117" s="18"/>
      <c r="D117" s="1"/>
      <c r="E117" s="2"/>
    </row>
    <row r="118" spans="1:118" ht="20.100000000000001" hidden="1" customHeight="1" x14ac:dyDescent="0.25">
      <c r="A118" s="18"/>
      <c r="B118" s="18"/>
      <c r="C118" s="18"/>
      <c r="D118" s="1"/>
      <c r="E118" s="2"/>
    </row>
    <row r="119" spans="1:118" ht="20.100000000000001" hidden="1" customHeight="1" x14ac:dyDescent="0.25">
      <c r="A119" s="18"/>
      <c r="B119" s="18"/>
      <c r="C119" s="18"/>
      <c r="D119" s="1"/>
      <c r="E119" s="2"/>
    </row>
    <row r="120" spans="1:118" ht="20.100000000000001" hidden="1" customHeight="1" x14ac:dyDescent="0.25">
      <c r="A120" s="18"/>
      <c r="B120" s="18"/>
      <c r="C120" s="18"/>
      <c r="D120" s="1"/>
      <c r="E120" s="2"/>
    </row>
    <row r="121" spans="1:118" ht="20.100000000000001" hidden="1" customHeight="1" x14ac:dyDescent="0.25">
      <c r="A121" s="18"/>
      <c r="B121" s="18"/>
      <c r="C121" s="18"/>
      <c r="D121" s="1"/>
      <c r="E121" s="2"/>
    </row>
    <row r="122" spans="1:118" ht="20.100000000000001" customHeight="1" x14ac:dyDescent="0.25">
      <c r="A122" s="18"/>
      <c r="B122" s="18"/>
      <c r="C122" s="18"/>
      <c r="D122" s="1"/>
      <c r="E122" s="2"/>
      <c r="AW122" s="2"/>
      <c r="AX122" s="2"/>
      <c r="AY122" s="2"/>
      <c r="AZ122" s="2"/>
      <c r="BA122" s="2"/>
      <c r="BB122" s="2"/>
      <c r="BC122" s="2"/>
      <c r="BD122" s="2"/>
      <c r="BE122" s="2"/>
    </row>
    <row r="123" spans="1:118" ht="21.95" customHeight="1" x14ac:dyDescent="0.25">
      <c r="A123" s="18"/>
      <c r="B123" s="18"/>
      <c r="C123" s="18"/>
      <c r="D123" s="1"/>
      <c r="E123" s="2"/>
      <c r="F123" s="1403" t="s">
        <v>8530</v>
      </c>
      <c r="G123" s="1404"/>
      <c r="H123" s="1404"/>
      <c r="I123" s="1404"/>
      <c r="J123" s="1404"/>
      <c r="K123" s="1404"/>
      <c r="L123" s="1404"/>
      <c r="M123" s="1405"/>
      <c r="N123" s="1399" t="s">
        <v>90</v>
      </c>
      <c r="O123" s="1400"/>
      <c r="P123" s="1392" t="str">
        <f ca="1">Calculos!CP36</f>
        <v>---</v>
      </c>
      <c r="Q123" s="1392"/>
      <c r="R123" s="1392"/>
      <c r="S123" s="1392"/>
      <c r="T123" s="1412" t="s">
        <v>95</v>
      </c>
      <c r="U123" s="1412"/>
      <c r="V123" s="1412"/>
      <c r="W123" s="1412"/>
      <c r="X123" s="1412"/>
      <c r="Y123" s="1392" t="str">
        <f ca="1">Calculos!CR36</f>
        <v>---</v>
      </c>
      <c r="Z123" s="1392"/>
      <c r="AA123" s="1392"/>
      <c r="AB123" s="1392"/>
      <c r="AC123" s="2"/>
      <c r="AD123" s="2"/>
      <c r="AE123" s="2"/>
      <c r="AF123" s="2"/>
      <c r="AG123" s="2"/>
      <c r="AH123" s="2"/>
      <c r="AI123" s="2"/>
      <c r="AJ123" s="2"/>
      <c r="AK123" s="2"/>
      <c r="AL123" s="2"/>
      <c r="AM123" s="2"/>
      <c r="AN123" s="2"/>
      <c r="AO123" s="2"/>
      <c r="AP123" s="2"/>
      <c r="AQ123" s="2"/>
      <c r="AR123" s="2"/>
      <c r="AS123" s="2"/>
      <c r="AT123" s="2"/>
      <c r="AU123" s="3"/>
      <c r="AV123" s="3"/>
      <c r="AW123" s="2"/>
      <c r="AX123" s="2"/>
      <c r="AY123" s="2"/>
      <c r="AZ123" s="2"/>
      <c r="BA123" s="2"/>
      <c r="BB123" s="2"/>
      <c r="BC123" s="2"/>
      <c r="BD123" s="2"/>
      <c r="BE123" s="2"/>
    </row>
    <row r="124" spans="1:118" ht="21.95" customHeight="1" x14ac:dyDescent="0.25">
      <c r="A124" s="18"/>
      <c r="B124" s="18"/>
      <c r="C124" s="18"/>
      <c r="D124" s="1"/>
      <c r="E124" s="2"/>
      <c r="F124" s="1406"/>
      <c r="G124" s="1383"/>
      <c r="H124" s="1383"/>
      <c r="I124" s="1383"/>
      <c r="J124" s="1383"/>
      <c r="K124" s="1383"/>
      <c r="L124" s="1383"/>
      <c r="M124" s="1407"/>
      <c r="N124" s="1401" t="s">
        <v>91</v>
      </c>
      <c r="O124" s="1402"/>
      <c r="P124" s="1392" t="str">
        <f ca="1">Calculos!CP37</f>
        <v>---</v>
      </c>
      <c r="Q124" s="1392"/>
      <c r="R124" s="1392"/>
      <c r="S124" s="1392"/>
      <c r="T124" s="1411" t="s">
        <v>96</v>
      </c>
      <c r="U124" s="1411"/>
      <c r="V124" s="1411"/>
      <c r="W124" s="1411"/>
      <c r="X124" s="1411"/>
      <c r="Y124" s="1392" t="str">
        <f ca="1">Calculos!CR37</f>
        <v>---</v>
      </c>
      <c r="Z124" s="1392"/>
      <c r="AA124" s="1392"/>
      <c r="AB124" s="139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118" ht="21.95" customHeight="1" x14ac:dyDescent="0.25">
      <c r="A125" s="18"/>
      <c r="B125" s="18"/>
      <c r="C125" s="18"/>
      <c r="D125" s="1"/>
      <c r="E125" s="2"/>
      <c r="F125" s="1406"/>
      <c r="G125" s="1383"/>
      <c r="H125" s="1383"/>
      <c r="I125" s="1383"/>
      <c r="J125" s="1383"/>
      <c r="K125" s="1383"/>
      <c r="L125" s="1383"/>
      <c r="M125" s="1407"/>
      <c r="N125" s="1401" t="s">
        <v>92</v>
      </c>
      <c r="O125" s="1402"/>
      <c r="P125" s="1392" t="str">
        <f ca="1">Calculos!CP38</f>
        <v>---</v>
      </c>
      <c r="Q125" s="1392"/>
      <c r="R125" s="1392"/>
      <c r="S125" s="1392"/>
      <c r="T125" s="1411" t="s">
        <v>97</v>
      </c>
      <c r="U125" s="1411"/>
      <c r="V125" s="1411"/>
      <c r="W125" s="1411"/>
      <c r="X125" s="1411"/>
      <c r="Y125" s="1392" t="str">
        <f ca="1">Calculos!CR38</f>
        <v>---</v>
      </c>
      <c r="Z125" s="1392"/>
      <c r="AA125" s="1392"/>
      <c r="AB125" s="1392"/>
      <c r="AC125" s="2"/>
      <c r="AD125" s="1387"/>
      <c r="AE125" s="1387"/>
      <c r="AF125" s="1387"/>
      <c r="AG125" s="1387"/>
      <c r="AH125" s="1387"/>
      <c r="AI125" s="1387"/>
      <c r="AJ125" s="1387"/>
      <c r="AK125" s="1387"/>
      <c r="AL125" s="3"/>
      <c r="AM125" s="2"/>
      <c r="AN125" s="2"/>
      <c r="AO125" s="2"/>
      <c r="AP125" s="2"/>
      <c r="AQ125" s="2"/>
      <c r="AR125" s="2"/>
      <c r="AS125" s="2"/>
      <c r="AT125" s="2"/>
      <c r="AU125" s="2"/>
      <c r="AV125" s="2"/>
      <c r="AW125" s="2"/>
      <c r="AX125" s="2"/>
      <c r="AY125" s="2"/>
      <c r="AZ125" s="2"/>
      <c r="BA125" s="2"/>
      <c r="BB125" s="2"/>
      <c r="BC125" s="2"/>
      <c r="BD125" s="2"/>
      <c r="BE125" s="124"/>
    </row>
    <row r="126" spans="1:118" ht="21.95" customHeight="1" x14ac:dyDescent="0.25">
      <c r="A126" s="18"/>
      <c r="B126" s="18"/>
      <c r="C126" s="18"/>
      <c r="D126" s="1"/>
      <c r="E126" s="2"/>
      <c r="F126" s="1406"/>
      <c r="G126" s="1383"/>
      <c r="H126" s="1383"/>
      <c r="I126" s="1383"/>
      <c r="J126" s="1383"/>
      <c r="K126" s="1383"/>
      <c r="L126" s="1383"/>
      <c r="M126" s="1407"/>
      <c r="N126" s="1401" t="s">
        <v>93</v>
      </c>
      <c r="O126" s="1402"/>
      <c r="P126" s="1392" t="str">
        <f ca="1">Calculos!CP39</f>
        <v>---</v>
      </c>
      <c r="Q126" s="1392"/>
      <c r="R126" s="1392"/>
      <c r="S126" s="1392"/>
      <c r="T126" s="1411" t="s">
        <v>98</v>
      </c>
      <c r="U126" s="1411"/>
      <c r="V126" s="1411"/>
      <c r="W126" s="1411"/>
      <c r="X126" s="1411"/>
      <c r="Y126" s="1392" t="str">
        <f ca="1">Calculos!CR39</f>
        <v>---</v>
      </c>
      <c r="Z126" s="1392"/>
      <c r="AA126" s="1392"/>
      <c r="AB126" s="1392"/>
      <c r="AC126" s="2"/>
      <c r="AD126" s="1387"/>
      <c r="AE126" s="1387"/>
      <c r="AF126" s="1387"/>
      <c r="AG126" s="1387"/>
      <c r="AH126" s="1387"/>
      <c r="AI126" s="1387"/>
      <c r="AJ126" s="1387"/>
      <c r="AK126" s="1387"/>
      <c r="AL126" s="3"/>
      <c r="AM126" s="2"/>
      <c r="AN126" s="2"/>
      <c r="AO126" s="2"/>
      <c r="AP126" s="2"/>
      <c r="AQ126" s="2"/>
      <c r="AR126" s="2"/>
      <c r="AS126" s="2"/>
      <c r="AT126" s="2"/>
      <c r="AU126" s="2"/>
      <c r="AV126" s="2"/>
      <c r="AW126" s="2"/>
      <c r="AX126" s="2"/>
      <c r="AY126" s="2"/>
      <c r="AZ126" s="2"/>
      <c r="BA126" s="2"/>
      <c r="BB126" s="2"/>
      <c r="BC126" s="2"/>
      <c r="BD126" s="2"/>
      <c r="BE126" s="2"/>
    </row>
    <row r="127" spans="1:118" ht="21.95" customHeight="1" x14ac:dyDescent="0.25">
      <c r="A127" s="18"/>
      <c r="B127" s="18"/>
      <c r="C127" s="18"/>
      <c r="D127" s="1"/>
      <c r="E127" s="2"/>
      <c r="F127" s="1408"/>
      <c r="G127" s="1409"/>
      <c r="H127" s="1409"/>
      <c r="I127" s="1409"/>
      <c r="J127" s="1409"/>
      <c r="K127" s="1409"/>
      <c r="L127" s="1409"/>
      <c r="M127" s="1410"/>
      <c r="N127" s="1360" t="s">
        <v>94</v>
      </c>
      <c r="O127" s="1424"/>
      <c r="P127" s="1392" t="str">
        <f ca="1">Calculos!CP40</f>
        <v>---</v>
      </c>
      <c r="Q127" s="1392"/>
      <c r="R127" s="1392"/>
      <c r="S127" s="1392"/>
      <c r="T127" s="1416" t="s">
        <v>99</v>
      </c>
      <c r="U127" s="1416"/>
      <c r="V127" s="1416"/>
      <c r="W127" s="1416"/>
      <c r="X127" s="1416"/>
      <c r="Y127" s="1392" t="str">
        <f ca="1">Calculos!CR40</f>
        <v>---</v>
      </c>
      <c r="Z127" s="1392"/>
      <c r="AA127" s="1392"/>
      <c r="AB127" s="1392"/>
      <c r="AC127" s="2"/>
      <c r="AD127" s="1387"/>
      <c r="AE127" s="1387"/>
      <c r="AF127" s="1387"/>
      <c r="AG127" s="1387"/>
      <c r="AH127" s="1387"/>
      <c r="AI127" s="1387"/>
      <c r="AJ127" s="1387"/>
      <c r="AK127" s="1387"/>
      <c r="AL127" s="3"/>
      <c r="AM127" s="2"/>
      <c r="AN127" s="2"/>
      <c r="AO127" s="2"/>
      <c r="AP127" s="2"/>
      <c r="AQ127" s="2"/>
      <c r="AR127" s="2"/>
      <c r="AS127" s="2"/>
      <c r="AT127" s="2"/>
      <c r="AU127" s="2"/>
      <c r="AV127" s="2"/>
      <c r="AW127" s="2"/>
      <c r="AX127" s="2"/>
      <c r="AY127" s="2"/>
      <c r="AZ127" s="2"/>
      <c r="BA127" s="2"/>
      <c r="BB127" s="2"/>
      <c r="BC127" s="2"/>
      <c r="BD127" s="2"/>
      <c r="BE127" s="2"/>
    </row>
    <row r="128" spans="1:118" ht="39.950000000000003" customHeight="1" x14ac:dyDescent="0.25">
      <c r="A128" s="18"/>
      <c r="B128" s="18"/>
      <c r="C128" s="18"/>
      <c r="D128" s="1"/>
      <c r="E128" s="2"/>
      <c r="F128" s="281" t="s">
        <v>8649</v>
      </c>
      <c r="G128" s="226" t="s">
        <v>8651</v>
      </c>
      <c r="H128" s="314"/>
      <c r="I128" s="314"/>
      <c r="J128" s="314"/>
      <c r="K128" s="314"/>
      <c r="L128" s="314"/>
      <c r="M128" s="314"/>
      <c r="N128" s="2"/>
      <c r="O128" s="2"/>
      <c r="P128" s="2"/>
      <c r="Q128" s="317"/>
      <c r="R128" s="317"/>
      <c r="S128" s="317"/>
      <c r="T128" s="317"/>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7"/>
      <c r="AQ128" s="317"/>
      <c r="AR128" s="317"/>
      <c r="AS128" s="317"/>
      <c r="AT128" s="317"/>
      <c r="AU128" s="317"/>
      <c r="AV128" s="317"/>
      <c r="AW128" s="317"/>
      <c r="AX128" s="317"/>
      <c r="AY128" s="317"/>
      <c r="AZ128" s="317"/>
      <c r="BA128" s="317"/>
      <c r="BB128" s="317"/>
      <c r="BC128" s="317"/>
      <c r="BD128" s="317"/>
      <c r="BE128" s="2"/>
      <c r="CA128" s="1360" t="s">
        <v>90</v>
      </c>
      <c r="CB128" s="1361"/>
      <c r="CC128" s="1360" t="s">
        <v>90</v>
      </c>
      <c r="CD128" s="1361"/>
      <c r="CE128" s="1360" t="s">
        <v>91</v>
      </c>
      <c r="CF128" s="1361"/>
      <c r="CG128" s="1360" t="s">
        <v>91</v>
      </c>
      <c r="CH128" s="1361"/>
      <c r="CI128" s="1360" t="s">
        <v>92</v>
      </c>
      <c r="CJ128" s="1361"/>
      <c r="CK128" s="1360" t="s">
        <v>92</v>
      </c>
      <c r="CL128" s="1361"/>
      <c r="CM128" s="1360" t="s">
        <v>93</v>
      </c>
      <c r="CN128" s="1361"/>
      <c r="CO128" s="1360" t="s">
        <v>93</v>
      </c>
      <c r="CP128" s="1361"/>
      <c r="CQ128" s="1360" t="s">
        <v>94</v>
      </c>
      <c r="CR128" s="1361"/>
      <c r="CS128" s="1360" t="s">
        <v>94</v>
      </c>
      <c r="CT128" s="1361"/>
      <c r="CU128" s="1360" t="s">
        <v>95</v>
      </c>
      <c r="CV128" s="1361"/>
      <c r="CW128" s="1360" t="s">
        <v>95</v>
      </c>
      <c r="CX128" s="1361"/>
      <c r="CY128" s="1360" t="s">
        <v>96</v>
      </c>
      <c r="CZ128" s="1361"/>
      <c r="DA128" s="1360" t="s">
        <v>96</v>
      </c>
      <c r="DB128" s="1361"/>
      <c r="DC128" s="1360" t="s">
        <v>97</v>
      </c>
      <c r="DD128" s="1361"/>
      <c r="DE128" s="1360" t="s">
        <v>97</v>
      </c>
      <c r="DF128" s="1361"/>
      <c r="DG128" s="1360" t="s">
        <v>98</v>
      </c>
      <c r="DH128" s="1361"/>
      <c r="DI128" s="1360" t="s">
        <v>98</v>
      </c>
      <c r="DJ128" s="1361"/>
      <c r="DK128" s="1360" t="s">
        <v>8224</v>
      </c>
      <c r="DL128" s="1361"/>
      <c r="DM128" s="1360" t="s">
        <v>8224</v>
      </c>
      <c r="DN128" s="1361"/>
    </row>
    <row r="129" spans="1:118" ht="30" customHeight="1" outlineLevel="1" x14ac:dyDescent="0.25">
      <c r="A129" s="18"/>
      <c r="B129" s="18"/>
      <c r="C129" s="18"/>
      <c r="D129" s="1"/>
      <c r="E129" s="2"/>
      <c r="F129" s="2"/>
      <c r="G129" s="184"/>
      <c r="H129" s="184"/>
      <c r="I129" s="184"/>
      <c r="J129" s="184"/>
      <c r="K129" s="184"/>
      <c r="L129" s="184"/>
      <c r="M129" s="184"/>
      <c r="N129" s="27"/>
      <c r="O129" s="27"/>
      <c r="P129" s="27"/>
      <c r="Q129" s="1388" t="str">
        <f ca="1">IF(P123="---","-",N123)</f>
        <v>-</v>
      </c>
      <c r="R129" s="1388"/>
      <c r="S129" s="1388"/>
      <c r="T129" s="1388"/>
      <c r="U129" s="1385" t="str">
        <f ca="1">IF(P124="---","-",N124)</f>
        <v>-</v>
      </c>
      <c r="V129" s="1385"/>
      <c r="W129" s="1385"/>
      <c r="X129" s="1385"/>
      <c r="Y129" s="1385" t="str">
        <f ca="1">IF(P125="---","-",N125)</f>
        <v>-</v>
      </c>
      <c r="Z129" s="1385"/>
      <c r="AA129" s="1385"/>
      <c r="AB129" s="1385"/>
      <c r="AC129" s="1385" t="str">
        <f ca="1">IF(P126="---","-",N126)</f>
        <v>-</v>
      </c>
      <c r="AD129" s="1385"/>
      <c r="AE129" s="1385"/>
      <c r="AF129" s="1385"/>
      <c r="AG129" s="1385" t="str">
        <f ca="1">IF(P127="---","-",N127)</f>
        <v>-</v>
      </c>
      <c r="AH129" s="1385"/>
      <c r="AI129" s="1385"/>
      <c r="AJ129" s="1385"/>
      <c r="AK129" s="1385" t="str">
        <f ca="1">IF(Y123="---","-",T123)</f>
        <v>-</v>
      </c>
      <c r="AL129" s="1385"/>
      <c r="AM129" s="1385"/>
      <c r="AN129" s="1385"/>
      <c r="AO129" s="1385" t="str">
        <f ca="1">IF(Y124="---","-",T124)</f>
        <v>-</v>
      </c>
      <c r="AP129" s="1385"/>
      <c r="AQ129" s="1385"/>
      <c r="AR129" s="1385"/>
      <c r="AS129" s="1385" t="str">
        <f ca="1">IF(Y125="---","-",T125)</f>
        <v>-</v>
      </c>
      <c r="AT129" s="1385"/>
      <c r="AU129" s="1385"/>
      <c r="AV129" s="1385"/>
      <c r="AW129" s="1385" t="str">
        <f ca="1">IF(Y126="---","-",T126)</f>
        <v>-</v>
      </c>
      <c r="AX129" s="1385"/>
      <c r="AY129" s="1385"/>
      <c r="AZ129" s="1385"/>
      <c r="BA129" s="1385" t="str">
        <f ca="1">IF(Y127="---","-",T127)</f>
        <v>-</v>
      </c>
      <c r="BB129" s="1385"/>
      <c r="BC129" s="1385"/>
      <c r="BD129" s="1385"/>
      <c r="CA129" s="1355">
        <f>INT(RIGHT(VLOOKUP(CA128,Calculos!$BH$490:$BI$500,2,0),1))</f>
        <v>2</v>
      </c>
      <c r="CB129" s="1356"/>
      <c r="CC129" s="1355">
        <f>INT(RIGHT(VLOOKUP(CC128,Calculos!$BH$490:$BI$500,2,0),1))</f>
        <v>2</v>
      </c>
      <c r="CD129" s="1356"/>
      <c r="CE129" s="1355">
        <f>INT(RIGHT(VLOOKUP(CE128,Calculos!$BH$490:$BI$500,2,0),1))</f>
        <v>2</v>
      </c>
      <c r="CF129" s="1356"/>
      <c r="CG129" s="1355">
        <f>INT(RIGHT(VLOOKUP(CG128,Calculos!$BH$490:$BI$500,2,0),1))</f>
        <v>2</v>
      </c>
      <c r="CH129" s="1356"/>
      <c r="CI129" s="1355">
        <f>INT(RIGHT(VLOOKUP(CI128,Calculos!$BH$490:$BI$500,2,0),1))</f>
        <v>2</v>
      </c>
      <c r="CJ129" s="1356"/>
      <c r="CK129" s="1355">
        <f>INT(RIGHT(VLOOKUP(CK128,Calculos!$BH$490:$BI$500,2,0),1))</f>
        <v>2</v>
      </c>
      <c r="CL129" s="1356"/>
      <c r="CM129" s="1355">
        <f>INT(RIGHT(VLOOKUP(CM128,Calculos!$BH$490:$BI$500,2,0),1))</f>
        <v>2</v>
      </c>
      <c r="CN129" s="1356"/>
      <c r="CO129" s="1355">
        <f>INT(RIGHT(VLOOKUP(CO128,Calculos!$BH$490:$BI$500,2,0),1))</f>
        <v>2</v>
      </c>
      <c r="CP129" s="1356"/>
      <c r="CQ129" s="1355">
        <f>INT(RIGHT(VLOOKUP(CQ128,Calculos!$BH$490:$BI$500,2,0),1))</f>
        <v>2</v>
      </c>
      <c r="CR129" s="1356"/>
      <c r="CS129" s="1355">
        <f>INT(RIGHT(VLOOKUP(CS128,Calculos!$BH$490:$BI$500,2,0),1))</f>
        <v>2</v>
      </c>
      <c r="CT129" s="1356"/>
      <c r="CU129" s="1355">
        <f>INT(RIGHT(VLOOKUP(CU128,Calculos!$BH$490:$BI$500,2,0),1))</f>
        <v>3</v>
      </c>
      <c r="CV129" s="1356"/>
      <c r="CW129" s="1355">
        <f>INT(RIGHT(VLOOKUP(CW128,Calculos!$BH$490:$BI$500,2,0),1))</f>
        <v>3</v>
      </c>
      <c r="CX129" s="1356"/>
      <c r="CY129" s="1355">
        <f>INT(RIGHT(VLOOKUP(CY128,Calculos!$BH$490:$BI$500,2,0),1))</f>
        <v>3</v>
      </c>
      <c r="CZ129" s="1356"/>
      <c r="DA129" s="1355">
        <f>INT(RIGHT(VLOOKUP(DA128,Calculos!$BH$490:$BI$500,2,0),1))</f>
        <v>3</v>
      </c>
      <c r="DB129" s="1356"/>
      <c r="DC129" s="1355">
        <f>INT(RIGHT(VLOOKUP(DC128,Calculos!$BH$490:$BI$500,2,0),1))</f>
        <v>3</v>
      </c>
      <c r="DD129" s="1356"/>
      <c r="DE129" s="1355">
        <f>INT(RIGHT(VLOOKUP(DE128,Calculos!$BH$490:$BI$500,2,0),1))</f>
        <v>3</v>
      </c>
      <c r="DF129" s="1356"/>
      <c r="DG129" s="1355">
        <f>INT(RIGHT(VLOOKUP(DG128,Calculos!$BH$490:$BI$500,2,0),1))</f>
        <v>2</v>
      </c>
      <c r="DH129" s="1356"/>
      <c r="DI129" s="1355">
        <f>INT(RIGHT(VLOOKUP(DI128,Calculos!$BH$490:$BI$500,2,0),1))</f>
        <v>2</v>
      </c>
      <c r="DJ129" s="1356"/>
      <c r="DK129" s="1355">
        <f>INT(RIGHT(VLOOKUP(DK128,Calculos!$BH$490:$BI$500,2,0),1))</f>
        <v>2</v>
      </c>
      <c r="DL129" s="1356"/>
      <c r="DM129" s="1355">
        <f>INT(RIGHT(VLOOKUP(DM128,Calculos!$BH$490:$BI$500,2,0),1))</f>
        <v>2</v>
      </c>
      <c r="DN129" s="1356"/>
    </row>
    <row r="130" spans="1:118" ht="30" customHeight="1" outlineLevel="1" x14ac:dyDescent="0.25">
      <c r="A130" s="18"/>
      <c r="B130" s="18"/>
      <c r="C130" s="18"/>
      <c r="D130" s="1"/>
      <c r="E130" s="2"/>
      <c r="F130" s="2"/>
      <c r="G130" s="184"/>
      <c r="H130" s="184"/>
      <c r="I130" s="184"/>
      <c r="J130" s="184"/>
      <c r="K130" s="184"/>
      <c r="L130" s="184"/>
      <c r="M130" s="1386" t="s">
        <v>6037</v>
      </c>
      <c r="N130" s="1386"/>
      <c r="O130" s="1386"/>
      <c r="P130" s="1386"/>
      <c r="Q130" s="1357" t="s">
        <v>10</v>
      </c>
      <c r="R130" s="1358"/>
      <c r="S130" s="1358" t="s">
        <v>237</v>
      </c>
      <c r="T130" s="1359"/>
      <c r="U130" s="1357" t="s">
        <v>10</v>
      </c>
      <c r="V130" s="1358"/>
      <c r="W130" s="1358" t="s">
        <v>237</v>
      </c>
      <c r="X130" s="1359"/>
      <c r="Y130" s="1357" t="s">
        <v>10</v>
      </c>
      <c r="Z130" s="1358"/>
      <c r="AA130" s="1358" t="s">
        <v>237</v>
      </c>
      <c r="AB130" s="1359"/>
      <c r="AC130" s="1357" t="s">
        <v>10</v>
      </c>
      <c r="AD130" s="1358"/>
      <c r="AE130" s="1358" t="s">
        <v>237</v>
      </c>
      <c r="AF130" s="1359"/>
      <c r="AG130" s="1357" t="s">
        <v>10</v>
      </c>
      <c r="AH130" s="1358"/>
      <c r="AI130" s="1358" t="s">
        <v>237</v>
      </c>
      <c r="AJ130" s="1359"/>
      <c r="AK130" s="1357" t="s">
        <v>10</v>
      </c>
      <c r="AL130" s="1358"/>
      <c r="AM130" s="1358" t="s">
        <v>237</v>
      </c>
      <c r="AN130" s="1359"/>
      <c r="AO130" s="1357" t="s">
        <v>10</v>
      </c>
      <c r="AP130" s="1358"/>
      <c r="AQ130" s="1358" t="s">
        <v>237</v>
      </c>
      <c r="AR130" s="1359"/>
      <c r="AS130" s="1357" t="s">
        <v>10</v>
      </c>
      <c r="AT130" s="1358"/>
      <c r="AU130" s="1358" t="s">
        <v>237</v>
      </c>
      <c r="AV130" s="1359"/>
      <c r="AW130" s="1357" t="s">
        <v>10</v>
      </c>
      <c r="AX130" s="1358"/>
      <c r="AY130" s="1358" t="s">
        <v>237</v>
      </c>
      <c r="AZ130" s="1359"/>
      <c r="BA130" s="1357" t="s">
        <v>10</v>
      </c>
      <c r="BB130" s="1358"/>
      <c r="BC130" s="1358" t="s">
        <v>237</v>
      </c>
      <c r="BD130" s="1359"/>
      <c r="CA130" s="1357" t="s">
        <v>10</v>
      </c>
      <c r="CB130" s="1358"/>
      <c r="CC130" s="1358" t="s">
        <v>237</v>
      </c>
      <c r="CD130" s="1359"/>
      <c r="CE130" s="1357" t="s">
        <v>10</v>
      </c>
      <c r="CF130" s="1358"/>
      <c r="CG130" s="1358" t="s">
        <v>237</v>
      </c>
      <c r="CH130" s="1359"/>
      <c r="CI130" s="1357" t="s">
        <v>10</v>
      </c>
      <c r="CJ130" s="1358"/>
      <c r="CK130" s="1358" t="s">
        <v>237</v>
      </c>
      <c r="CL130" s="1359"/>
      <c r="CM130" s="1357" t="s">
        <v>10</v>
      </c>
      <c r="CN130" s="1358"/>
      <c r="CO130" s="1358" t="s">
        <v>237</v>
      </c>
      <c r="CP130" s="1359"/>
      <c r="CQ130" s="1357" t="s">
        <v>10</v>
      </c>
      <c r="CR130" s="1358"/>
      <c r="CS130" s="1358" t="s">
        <v>237</v>
      </c>
      <c r="CT130" s="1359"/>
      <c r="CU130" s="1357" t="s">
        <v>10</v>
      </c>
      <c r="CV130" s="1358"/>
      <c r="CW130" s="1358" t="s">
        <v>237</v>
      </c>
      <c r="CX130" s="1359"/>
      <c r="CY130" s="1357" t="s">
        <v>10</v>
      </c>
      <c r="CZ130" s="1358"/>
      <c r="DA130" s="1358" t="s">
        <v>237</v>
      </c>
      <c r="DB130" s="1359"/>
      <c r="DC130" s="1357" t="s">
        <v>10</v>
      </c>
      <c r="DD130" s="1358"/>
      <c r="DE130" s="1358" t="s">
        <v>237</v>
      </c>
      <c r="DF130" s="1359"/>
      <c r="DG130" s="1357" t="s">
        <v>10</v>
      </c>
      <c r="DH130" s="1358"/>
      <c r="DI130" s="1358" t="s">
        <v>237</v>
      </c>
      <c r="DJ130" s="1359"/>
      <c r="DK130" s="1357" t="s">
        <v>10</v>
      </c>
      <c r="DL130" s="1358"/>
      <c r="DM130" s="1358" t="s">
        <v>237</v>
      </c>
      <c r="DN130" s="1359"/>
    </row>
    <row r="131" spans="1:118" ht="20.100000000000001" customHeight="1" outlineLevel="1" x14ac:dyDescent="0.25">
      <c r="A131" s="18"/>
      <c r="B131" s="18"/>
      <c r="C131" s="18"/>
      <c r="D131" s="1"/>
      <c r="E131" s="2"/>
      <c r="F131" s="1377" t="s">
        <v>239</v>
      </c>
      <c r="G131" s="1377"/>
      <c r="H131" s="1377"/>
      <c r="I131" s="1377"/>
      <c r="J131" s="1377"/>
      <c r="K131" s="1377"/>
      <c r="L131" s="1377"/>
      <c r="M131" s="1384" t="s">
        <v>7102</v>
      </c>
      <c r="N131" s="1384"/>
      <c r="O131" s="1384"/>
      <c r="P131" s="1384"/>
      <c r="Q131" s="1375" t="str">
        <f ca="1">Calculos!BZ10</f>
        <v>-</v>
      </c>
      <c r="R131" s="1376"/>
      <c r="S131" s="1375" t="str">
        <f ca="1">Calculos!BZ26</f>
        <v>-</v>
      </c>
      <c r="T131" s="1376"/>
      <c r="U131" s="1375" t="str">
        <f ca="1">Calculos!BZ42</f>
        <v>-</v>
      </c>
      <c r="V131" s="1376"/>
      <c r="W131" s="1375" t="str">
        <f ca="1">Calculos!BZ58</f>
        <v>-</v>
      </c>
      <c r="X131" s="1376"/>
      <c r="Y131" s="1375" t="str">
        <f ca="1">Calculos!BZ74</f>
        <v>-</v>
      </c>
      <c r="Z131" s="1376"/>
      <c r="AA131" s="1375" t="str">
        <f ca="1">Calculos!BZ90</f>
        <v>-</v>
      </c>
      <c r="AB131" s="1376"/>
      <c r="AC131" s="1375" t="str">
        <f ca="1">Calculos!BZ106</f>
        <v>-</v>
      </c>
      <c r="AD131" s="1376"/>
      <c r="AE131" s="1375" t="str">
        <f ca="1">Calculos!BZ122</f>
        <v>-</v>
      </c>
      <c r="AF131" s="1376"/>
      <c r="AG131" s="1375" t="str">
        <f ca="1">Calculos!BZ138</f>
        <v>-</v>
      </c>
      <c r="AH131" s="1376"/>
      <c r="AI131" s="1375" t="str">
        <f ca="1">Calculos!BZ154</f>
        <v>-</v>
      </c>
      <c r="AJ131" s="1376"/>
      <c r="AK131" s="1375" t="str">
        <f ca="1">Calculos!BZ170</f>
        <v>-</v>
      </c>
      <c r="AL131" s="1376"/>
      <c r="AM131" s="1375" t="str">
        <f ca="1">Calculos!BZ186</f>
        <v>-</v>
      </c>
      <c r="AN131" s="1376"/>
      <c r="AO131" s="1375" t="str">
        <f ca="1">Calculos!BZ202</f>
        <v>-</v>
      </c>
      <c r="AP131" s="1376"/>
      <c r="AQ131" s="1375" t="str">
        <f ca="1">Calculos!BZ218</f>
        <v>-</v>
      </c>
      <c r="AR131" s="1376"/>
      <c r="AS131" s="1375" t="str">
        <f ca="1">Calculos!BZ234</f>
        <v>-</v>
      </c>
      <c r="AT131" s="1376"/>
      <c r="AU131" s="1375" t="str">
        <f ca="1">Calculos!BZ250</f>
        <v>-</v>
      </c>
      <c r="AV131" s="1376"/>
      <c r="AW131" s="1375" t="str">
        <f ca="1">Calculos!BZ266</f>
        <v>-</v>
      </c>
      <c r="AX131" s="1376"/>
      <c r="AY131" s="1375" t="str">
        <f ca="1">Calculos!BZ282</f>
        <v>-</v>
      </c>
      <c r="AZ131" s="1376"/>
      <c r="BA131" s="1375" t="str">
        <f ca="1">Calculos!BZ298</f>
        <v>-</v>
      </c>
      <c r="BB131" s="1376"/>
      <c r="BC131" s="1375" t="str">
        <f ca="1">Calculos!BZ314</f>
        <v>-</v>
      </c>
      <c r="BD131" s="1376"/>
      <c r="CA131" s="1354">
        <f ca="1">IF(Q131="-",0,IF(Q131&gt;=CA$90,1,0))</f>
        <v>0</v>
      </c>
      <c r="CB131" s="1354"/>
      <c r="CC131" s="1354">
        <f t="shared" ref="CC131:CC142" ca="1" si="20">IF(S131="-",0,IF(S131&gt;=CC$90,1,0))</f>
        <v>0</v>
      </c>
      <c r="CD131" s="1354"/>
      <c r="CE131" s="1354">
        <f t="shared" ref="CE131:CE142" ca="1" si="21">IF(U131="-",0,IF(U131&gt;=CE$90,1,0))</f>
        <v>0</v>
      </c>
      <c r="CF131" s="1354"/>
      <c r="CG131" s="1354">
        <f t="shared" ref="CG131:CG142" ca="1" si="22">IF(W131="-",0,IF(W131&gt;=CG$90,1,0))</f>
        <v>0</v>
      </c>
      <c r="CH131" s="1354"/>
      <c r="CI131" s="1354">
        <f t="shared" ref="CI131:CI142" ca="1" si="23">IF(Y131="-",0,IF(Y131&gt;=CI$90,1,0))</f>
        <v>0</v>
      </c>
      <c r="CJ131" s="1354"/>
      <c r="CK131" s="1354">
        <f t="shared" ref="CK131:CK142" ca="1" si="24">IF(AA131="-",0,IF(AA131&gt;=CK$90,1,0))</f>
        <v>0</v>
      </c>
      <c r="CL131" s="1354"/>
      <c r="CM131" s="1354">
        <f t="shared" ref="CM131:CM142" ca="1" si="25">IF(AC131="-",0,IF(AC131&gt;=CM$90,1,0))</f>
        <v>0</v>
      </c>
      <c r="CN131" s="1354"/>
      <c r="CO131" s="1354">
        <f t="shared" ref="CO131:CO142" ca="1" si="26">IF(AE131="-",0,IF(AE131&gt;=CO$90,1,0))</f>
        <v>0</v>
      </c>
      <c r="CP131" s="1354"/>
      <c r="CQ131" s="1354">
        <f t="shared" ref="CQ131:CQ142" ca="1" si="27">IF(AG131="-",0,IF(AG131&gt;=CQ$90,1,0))</f>
        <v>0</v>
      </c>
      <c r="CR131" s="1354"/>
      <c r="CS131" s="1354">
        <f t="shared" ref="CS131:CS142" ca="1" si="28">IF(AI131="-",0,IF(AI131&gt;=CS$90,1,0))</f>
        <v>0</v>
      </c>
      <c r="CT131" s="1354"/>
      <c r="CU131" s="1354">
        <f t="shared" ref="CU131:CU142" ca="1" si="29">IF(AK131="-",0,IF(AK131&gt;=CU$90,1,0))</f>
        <v>0</v>
      </c>
      <c r="CV131" s="1354"/>
      <c r="CW131" s="1354">
        <f t="shared" ref="CW131:CW142" ca="1" si="30">IF(AM131="-",0,IF(AM131&gt;=CW$90,1,0))</f>
        <v>0</v>
      </c>
      <c r="CX131" s="1354"/>
      <c r="CY131" s="1354">
        <f t="shared" ref="CY131:CY142" ca="1" si="31">IF(AO131="-",0,IF(AO131&gt;=CY$90,1,0))</f>
        <v>0</v>
      </c>
      <c r="CZ131" s="1354"/>
      <c r="DA131" s="1354">
        <f t="shared" ref="DA131:DA142" ca="1" si="32">IF(AQ131="-",0,IF(AQ131&gt;=DA$90,1,0))</f>
        <v>0</v>
      </c>
      <c r="DB131" s="1354"/>
      <c r="DC131" s="1354">
        <f t="shared" ref="DC131:DC142" ca="1" si="33">IF(AS131="-",0,IF(AS131&gt;=DC$90,1,0))</f>
        <v>0</v>
      </c>
      <c r="DD131" s="1354"/>
      <c r="DE131" s="1354">
        <f t="shared" ref="DE131:DE142" ca="1" si="34">IF(AU131="-",0,IF(AU131&gt;=DE$90,1,0))</f>
        <v>0</v>
      </c>
      <c r="DF131" s="1354"/>
      <c r="DG131" s="1354">
        <f t="shared" ref="DG131:DG142" ca="1" si="35">IF(AW131="-",0,IF(AW131&gt;=DG$90,1,0))</f>
        <v>0</v>
      </c>
      <c r="DH131" s="1354"/>
      <c r="DI131" s="1354">
        <f t="shared" ref="DI131:DI142" ca="1" si="36">IF(AY131="-",0,IF(AY131&gt;=DI$90,1,0))</f>
        <v>0</v>
      </c>
      <c r="DJ131" s="1354"/>
      <c r="DK131" s="1354">
        <f t="shared" ref="DK131:DK142" ca="1" si="37">IF(BA131="-",0,IF(BA131&gt;=DK$90,1,0))</f>
        <v>0</v>
      </c>
      <c r="DL131" s="1354"/>
      <c r="DM131" s="1354">
        <f t="shared" ref="DM131:DM142" ca="1" si="38">IF(BC131="-",0,IF(BC131&gt;=DM$90,1,0))</f>
        <v>0</v>
      </c>
      <c r="DN131" s="1354"/>
    </row>
    <row r="132" spans="1:118" ht="20.100000000000001" customHeight="1" outlineLevel="1" x14ac:dyDescent="0.25">
      <c r="A132" s="18"/>
      <c r="B132" s="18"/>
      <c r="C132" s="18"/>
      <c r="D132" s="1"/>
      <c r="E132" s="2"/>
      <c r="F132" s="1377"/>
      <c r="G132" s="1377"/>
      <c r="H132" s="1377"/>
      <c r="I132" s="1377"/>
      <c r="J132" s="1377"/>
      <c r="K132" s="1377"/>
      <c r="L132" s="1377"/>
      <c r="M132" s="1384" t="s">
        <v>7104</v>
      </c>
      <c r="N132" s="1384"/>
      <c r="O132" s="1384"/>
      <c r="P132" s="1384"/>
      <c r="Q132" s="1375" t="str">
        <f ca="1">Calculos!BZ11</f>
        <v>-</v>
      </c>
      <c r="R132" s="1376"/>
      <c r="S132" s="1375" t="str">
        <f ca="1">Calculos!BZ27</f>
        <v>-</v>
      </c>
      <c r="T132" s="1376"/>
      <c r="U132" s="1375" t="str">
        <f ca="1">Calculos!BZ43</f>
        <v>-</v>
      </c>
      <c r="V132" s="1376"/>
      <c r="W132" s="1375" t="str">
        <f ca="1">Calculos!BZ59</f>
        <v>-</v>
      </c>
      <c r="X132" s="1376"/>
      <c r="Y132" s="1375" t="str">
        <f ca="1">Calculos!BZ75</f>
        <v>-</v>
      </c>
      <c r="Z132" s="1376"/>
      <c r="AA132" s="1375" t="str">
        <f ca="1">Calculos!BZ91</f>
        <v>-</v>
      </c>
      <c r="AB132" s="1376"/>
      <c r="AC132" s="1375" t="str">
        <f ca="1">Calculos!BZ107</f>
        <v>-</v>
      </c>
      <c r="AD132" s="1376"/>
      <c r="AE132" s="1375" t="str">
        <f ca="1">Calculos!BZ123</f>
        <v>-</v>
      </c>
      <c r="AF132" s="1376"/>
      <c r="AG132" s="1375" t="str">
        <f ca="1">Calculos!BZ139</f>
        <v>-</v>
      </c>
      <c r="AH132" s="1376"/>
      <c r="AI132" s="1375" t="str">
        <f ca="1">Calculos!BZ155</f>
        <v>-</v>
      </c>
      <c r="AJ132" s="1376"/>
      <c r="AK132" s="1375" t="str">
        <f ca="1">Calculos!BZ171</f>
        <v>-</v>
      </c>
      <c r="AL132" s="1376"/>
      <c r="AM132" s="1375" t="str">
        <f ca="1">Calculos!BZ187</f>
        <v>-</v>
      </c>
      <c r="AN132" s="1376"/>
      <c r="AO132" s="1375" t="str">
        <f ca="1">Calculos!BZ203</f>
        <v>-</v>
      </c>
      <c r="AP132" s="1376"/>
      <c r="AQ132" s="1375" t="str">
        <f ca="1">Calculos!BZ219</f>
        <v>-</v>
      </c>
      <c r="AR132" s="1376"/>
      <c r="AS132" s="1375" t="str">
        <f ca="1">Calculos!BZ235</f>
        <v>-</v>
      </c>
      <c r="AT132" s="1376"/>
      <c r="AU132" s="1375" t="str">
        <f ca="1">Calculos!BZ251</f>
        <v>-</v>
      </c>
      <c r="AV132" s="1376"/>
      <c r="AW132" s="1375" t="str">
        <f ca="1">Calculos!BZ267</f>
        <v>-</v>
      </c>
      <c r="AX132" s="1376"/>
      <c r="AY132" s="1375" t="str">
        <f ca="1">Calculos!BZ283</f>
        <v>-</v>
      </c>
      <c r="AZ132" s="1376"/>
      <c r="BA132" s="1375" t="str">
        <f ca="1">Calculos!BZ299</f>
        <v>-</v>
      </c>
      <c r="BB132" s="1376"/>
      <c r="BC132" s="1375" t="str">
        <f ca="1">Calculos!BZ315</f>
        <v>-</v>
      </c>
      <c r="BD132" s="1376"/>
      <c r="CA132" s="1354">
        <f t="shared" ref="CA132:CA142" ca="1" si="39">IF(Q132="-",0,IF(Q132&gt;=CA$90,1,0))</f>
        <v>0</v>
      </c>
      <c r="CB132" s="1354"/>
      <c r="CC132" s="1354">
        <f t="shared" ca="1" si="20"/>
        <v>0</v>
      </c>
      <c r="CD132" s="1354"/>
      <c r="CE132" s="1354">
        <f t="shared" ca="1" si="21"/>
        <v>0</v>
      </c>
      <c r="CF132" s="1354"/>
      <c r="CG132" s="1354">
        <f t="shared" ca="1" si="22"/>
        <v>0</v>
      </c>
      <c r="CH132" s="1354"/>
      <c r="CI132" s="1354">
        <f t="shared" ca="1" si="23"/>
        <v>0</v>
      </c>
      <c r="CJ132" s="1354"/>
      <c r="CK132" s="1354">
        <f t="shared" ca="1" si="24"/>
        <v>0</v>
      </c>
      <c r="CL132" s="1354"/>
      <c r="CM132" s="1354">
        <f t="shared" ca="1" si="25"/>
        <v>0</v>
      </c>
      <c r="CN132" s="1354"/>
      <c r="CO132" s="1354">
        <f t="shared" ca="1" si="26"/>
        <v>0</v>
      </c>
      <c r="CP132" s="1354"/>
      <c r="CQ132" s="1354">
        <f t="shared" ca="1" si="27"/>
        <v>0</v>
      </c>
      <c r="CR132" s="1354"/>
      <c r="CS132" s="1354">
        <f t="shared" ca="1" si="28"/>
        <v>0</v>
      </c>
      <c r="CT132" s="1354"/>
      <c r="CU132" s="1354">
        <f t="shared" ca="1" si="29"/>
        <v>0</v>
      </c>
      <c r="CV132" s="1354"/>
      <c r="CW132" s="1354">
        <f t="shared" ca="1" si="30"/>
        <v>0</v>
      </c>
      <c r="CX132" s="1354"/>
      <c r="CY132" s="1354">
        <f t="shared" ca="1" si="31"/>
        <v>0</v>
      </c>
      <c r="CZ132" s="1354"/>
      <c r="DA132" s="1354">
        <f t="shared" ca="1" si="32"/>
        <v>0</v>
      </c>
      <c r="DB132" s="1354"/>
      <c r="DC132" s="1354">
        <f t="shared" ca="1" si="33"/>
        <v>0</v>
      </c>
      <c r="DD132" s="1354"/>
      <c r="DE132" s="1354">
        <f t="shared" ca="1" si="34"/>
        <v>0</v>
      </c>
      <c r="DF132" s="1354"/>
      <c r="DG132" s="1354">
        <f t="shared" ca="1" si="35"/>
        <v>0</v>
      </c>
      <c r="DH132" s="1354"/>
      <c r="DI132" s="1354">
        <f t="shared" ca="1" si="36"/>
        <v>0</v>
      </c>
      <c r="DJ132" s="1354"/>
      <c r="DK132" s="1354">
        <f t="shared" ca="1" si="37"/>
        <v>0</v>
      </c>
      <c r="DL132" s="1354"/>
      <c r="DM132" s="1354">
        <f t="shared" ca="1" si="38"/>
        <v>0</v>
      </c>
      <c r="DN132" s="1354"/>
    </row>
    <row r="133" spans="1:118" ht="20.100000000000001" customHeight="1" outlineLevel="1" x14ac:dyDescent="0.25">
      <c r="A133" s="18"/>
      <c r="B133" s="18"/>
      <c r="C133" s="18"/>
      <c r="D133" s="1"/>
      <c r="E133" s="2"/>
      <c r="F133" s="1377"/>
      <c r="G133" s="1377"/>
      <c r="H133" s="1377"/>
      <c r="I133" s="1377"/>
      <c r="J133" s="1377"/>
      <c r="K133" s="1377"/>
      <c r="L133" s="1377"/>
      <c r="M133" s="1384" t="s">
        <v>7105</v>
      </c>
      <c r="N133" s="1384"/>
      <c r="O133" s="1384"/>
      <c r="P133" s="1384"/>
      <c r="Q133" s="1375" t="str">
        <f ca="1">Calculos!BZ12</f>
        <v>-</v>
      </c>
      <c r="R133" s="1376"/>
      <c r="S133" s="1375" t="str">
        <f ca="1">Calculos!BZ28</f>
        <v>-</v>
      </c>
      <c r="T133" s="1376"/>
      <c r="U133" s="1375" t="str">
        <f ca="1">Calculos!BZ44</f>
        <v>-</v>
      </c>
      <c r="V133" s="1376"/>
      <c r="W133" s="1375" t="str">
        <f ca="1">Calculos!BZ60</f>
        <v>-</v>
      </c>
      <c r="X133" s="1376"/>
      <c r="Y133" s="1375" t="str">
        <f ca="1">Calculos!BZ76</f>
        <v>-</v>
      </c>
      <c r="Z133" s="1376"/>
      <c r="AA133" s="1375" t="str">
        <f ca="1">Calculos!BZ92</f>
        <v>-</v>
      </c>
      <c r="AB133" s="1376"/>
      <c r="AC133" s="1375" t="str">
        <f ca="1">Calculos!BZ108</f>
        <v>-</v>
      </c>
      <c r="AD133" s="1376"/>
      <c r="AE133" s="1375" t="str">
        <f ca="1">Calculos!BZ124</f>
        <v>-</v>
      </c>
      <c r="AF133" s="1376"/>
      <c r="AG133" s="1375" t="str">
        <f ca="1">Calculos!BZ140</f>
        <v>-</v>
      </c>
      <c r="AH133" s="1376"/>
      <c r="AI133" s="1375" t="str">
        <f ca="1">Calculos!BZ156</f>
        <v>-</v>
      </c>
      <c r="AJ133" s="1376"/>
      <c r="AK133" s="1375" t="str">
        <f ca="1">Calculos!BZ172</f>
        <v>-</v>
      </c>
      <c r="AL133" s="1376"/>
      <c r="AM133" s="1375" t="str">
        <f ca="1">Calculos!BZ188</f>
        <v>-</v>
      </c>
      <c r="AN133" s="1376"/>
      <c r="AO133" s="1375" t="str">
        <f ca="1">Calculos!BZ204</f>
        <v>-</v>
      </c>
      <c r="AP133" s="1376"/>
      <c r="AQ133" s="1375" t="str">
        <f ca="1">Calculos!BZ220</f>
        <v>-</v>
      </c>
      <c r="AR133" s="1376"/>
      <c r="AS133" s="1375" t="str">
        <f ca="1">Calculos!BZ236</f>
        <v>-</v>
      </c>
      <c r="AT133" s="1376"/>
      <c r="AU133" s="1375" t="str">
        <f ca="1">Calculos!BZ252</f>
        <v>-</v>
      </c>
      <c r="AV133" s="1376"/>
      <c r="AW133" s="1375" t="str">
        <f ca="1">Calculos!BZ268</f>
        <v>-</v>
      </c>
      <c r="AX133" s="1376"/>
      <c r="AY133" s="1375" t="str">
        <f ca="1">Calculos!BZ284</f>
        <v>-</v>
      </c>
      <c r="AZ133" s="1376"/>
      <c r="BA133" s="1375" t="str">
        <f ca="1">Calculos!BZ300</f>
        <v>-</v>
      </c>
      <c r="BB133" s="1376"/>
      <c r="BC133" s="1375" t="str">
        <f ca="1">Calculos!BZ316</f>
        <v>-</v>
      </c>
      <c r="BD133" s="1376"/>
      <c r="CA133" s="1354">
        <f t="shared" ca="1" si="39"/>
        <v>0</v>
      </c>
      <c r="CB133" s="1354"/>
      <c r="CC133" s="1354">
        <f t="shared" ca="1" si="20"/>
        <v>0</v>
      </c>
      <c r="CD133" s="1354"/>
      <c r="CE133" s="1354">
        <f t="shared" ca="1" si="21"/>
        <v>0</v>
      </c>
      <c r="CF133" s="1354"/>
      <c r="CG133" s="1354">
        <f t="shared" ca="1" si="22"/>
        <v>0</v>
      </c>
      <c r="CH133" s="1354"/>
      <c r="CI133" s="1354">
        <f t="shared" ca="1" si="23"/>
        <v>0</v>
      </c>
      <c r="CJ133" s="1354"/>
      <c r="CK133" s="1354">
        <f t="shared" ca="1" si="24"/>
        <v>0</v>
      </c>
      <c r="CL133" s="1354"/>
      <c r="CM133" s="1354">
        <f t="shared" ca="1" si="25"/>
        <v>0</v>
      </c>
      <c r="CN133" s="1354"/>
      <c r="CO133" s="1354">
        <f t="shared" ca="1" si="26"/>
        <v>0</v>
      </c>
      <c r="CP133" s="1354"/>
      <c r="CQ133" s="1354">
        <f t="shared" ca="1" si="27"/>
        <v>0</v>
      </c>
      <c r="CR133" s="1354"/>
      <c r="CS133" s="1354">
        <f t="shared" ca="1" si="28"/>
        <v>0</v>
      </c>
      <c r="CT133" s="1354"/>
      <c r="CU133" s="1354">
        <f t="shared" ca="1" si="29"/>
        <v>0</v>
      </c>
      <c r="CV133" s="1354"/>
      <c r="CW133" s="1354">
        <f t="shared" ca="1" si="30"/>
        <v>0</v>
      </c>
      <c r="CX133" s="1354"/>
      <c r="CY133" s="1354">
        <f t="shared" ca="1" si="31"/>
        <v>0</v>
      </c>
      <c r="CZ133" s="1354"/>
      <c r="DA133" s="1354">
        <f t="shared" ca="1" si="32"/>
        <v>0</v>
      </c>
      <c r="DB133" s="1354"/>
      <c r="DC133" s="1354">
        <f t="shared" ca="1" si="33"/>
        <v>0</v>
      </c>
      <c r="DD133" s="1354"/>
      <c r="DE133" s="1354">
        <f t="shared" ca="1" si="34"/>
        <v>0</v>
      </c>
      <c r="DF133" s="1354"/>
      <c r="DG133" s="1354">
        <f t="shared" ca="1" si="35"/>
        <v>0</v>
      </c>
      <c r="DH133" s="1354"/>
      <c r="DI133" s="1354">
        <f t="shared" ca="1" si="36"/>
        <v>0</v>
      </c>
      <c r="DJ133" s="1354"/>
      <c r="DK133" s="1354">
        <f t="shared" ca="1" si="37"/>
        <v>0</v>
      </c>
      <c r="DL133" s="1354"/>
      <c r="DM133" s="1354">
        <f t="shared" ca="1" si="38"/>
        <v>0</v>
      </c>
      <c r="DN133" s="1354"/>
    </row>
    <row r="134" spans="1:118" ht="20.100000000000001" customHeight="1" outlineLevel="1" x14ac:dyDescent="0.25">
      <c r="A134" s="18"/>
      <c r="B134" s="18"/>
      <c r="C134" s="18"/>
      <c r="D134" s="1"/>
      <c r="E134" s="2"/>
      <c r="F134" s="1377"/>
      <c r="G134" s="1377"/>
      <c r="H134" s="1377"/>
      <c r="I134" s="1377"/>
      <c r="J134" s="1377"/>
      <c r="K134" s="1377"/>
      <c r="L134" s="1377"/>
      <c r="M134" s="1384" t="s">
        <v>7106</v>
      </c>
      <c r="N134" s="1384"/>
      <c r="O134" s="1384"/>
      <c r="P134" s="1384"/>
      <c r="Q134" s="1375" t="str">
        <f ca="1">Calculos!BZ13</f>
        <v>-</v>
      </c>
      <c r="R134" s="1376"/>
      <c r="S134" s="1375" t="str">
        <f ca="1">Calculos!BZ29</f>
        <v>-</v>
      </c>
      <c r="T134" s="1376"/>
      <c r="U134" s="1375" t="str">
        <f ca="1">Calculos!BZ45</f>
        <v>-</v>
      </c>
      <c r="V134" s="1376"/>
      <c r="W134" s="1375" t="str">
        <f ca="1">Calculos!BZ61</f>
        <v>-</v>
      </c>
      <c r="X134" s="1376"/>
      <c r="Y134" s="1375" t="str">
        <f ca="1">Calculos!BZ77</f>
        <v>-</v>
      </c>
      <c r="Z134" s="1376"/>
      <c r="AA134" s="1375" t="str">
        <f ca="1">Calculos!BZ93</f>
        <v>-</v>
      </c>
      <c r="AB134" s="1376"/>
      <c r="AC134" s="1375" t="str">
        <f ca="1">Calculos!BZ109</f>
        <v>-</v>
      </c>
      <c r="AD134" s="1376"/>
      <c r="AE134" s="1375" t="str">
        <f ca="1">Calculos!BZ125</f>
        <v>-</v>
      </c>
      <c r="AF134" s="1376"/>
      <c r="AG134" s="1375" t="str">
        <f ca="1">Calculos!BZ141</f>
        <v>-</v>
      </c>
      <c r="AH134" s="1376"/>
      <c r="AI134" s="1375" t="str">
        <f ca="1">Calculos!BZ157</f>
        <v>-</v>
      </c>
      <c r="AJ134" s="1376"/>
      <c r="AK134" s="1375" t="str">
        <f ca="1">Calculos!BZ173</f>
        <v>-</v>
      </c>
      <c r="AL134" s="1376"/>
      <c r="AM134" s="1375" t="str">
        <f ca="1">Calculos!BZ189</f>
        <v>-</v>
      </c>
      <c r="AN134" s="1376"/>
      <c r="AO134" s="1375" t="str">
        <f ca="1">Calculos!BZ205</f>
        <v>-</v>
      </c>
      <c r="AP134" s="1376"/>
      <c r="AQ134" s="1375" t="str">
        <f ca="1">Calculos!BZ221</f>
        <v>-</v>
      </c>
      <c r="AR134" s="1376"/>
      <c r="AS134" s="1375" t="str">
        <f ca="1">Calculos!BZ237</f>
        <v>-</v>
      </c>
      <c r="AT134" s="1376"/>
      <c r="AU134" s="1375" t="str">
        <f ca="1">Calculos!BZ253</f>
        <v>-</v>
      </c>
      <c r="AV134" s="1376"/>
      <c r="AW134" s="1375" t="str">
        <f ca="1">Calculos!BZ269</f>
        <v>-</v>
      </c>
      <c r="AX134" s="1376"/>
      <c r="AY134" s="1375" t="str">
        <f ca="1">Calculos!BZ285</f>
        <v>-</v>
      </c>
      <c r="AZ134" s="1376"/>
      <c r="BA134" s="1375" t="str">
        <f ca="1">Calculos!BZ301</f>
        <v>-</v>
      </c>
      <c r="BB134" s="1376"/>
      <c r="BC134" s="1375" t="str">
        <f ca="1">Calculos!BZ317</f>
        <v>-</v>
      </c>
      <c r="BD134" s="1376"/>
      <c r="CA134" s="1354">
        <f t="shared" ca="1" si="39"/>
        <v>0</v>
      </c>
      <c r="CB134" s="1354"/>
      <c r="CC134" s="1354">
        <f t="shared" ca="1" si="20"/>
        <v>0</v>
      </c>
      <c r="CD134" s="1354"/>
      <c r="CE134" s="1354">
        <f t="shared" ca="1" si="21"/>
        <v>0</v>
      </c>
      <c r="CF134" s="1354"/>
      <c r="CG134" s="1354">
        <f t="shared" ca="1" si="22"/>
        <v>0</v>
      </c>
      <c r="CH134" s="1354"/>
      <c r="CI134" s="1354">
        <f t="shared" ca="1" si="23"/>
        <v>0</v>
      </c>
      <c r="CJ134" s="1354"/>
      <c r="CK134" s="1354">
        <f t="shared" ca="1" si="24"/>
        <v>0</v>
      </c>
      <c r="CL134" s="1354"/>
      <c r="CM134" s="1354">
        <f t="shared" ca="1" si="25"/>
        <v>0</v>
      </c>
      <c r="CN134" s="1354"/>
      <c r="CO134" s="1354">
        <f t="shared" ca="1" si="26"/>
        <v>0</v>
      </c>
      <c r="CP134" s="1354"/>
      <c r="CQ134" s="1354">
        <f t="shared" ca="1" si="27"/>
        <v>0</v>
      </c>
      <c r="CR134" s="1354"/>
      <c r="CS134" s="1354">
        <f t="shared" ca="1" si="28"/>
        <v>0</v>
      </c>
      <c r="CT134" s="1354"/>
      <c r="CU134" s="1354">
        <f t="shared" ca="1" si="29"/>
        <v>0</v>
      </c>
      <c r="CV134" s="1354"/>
      <c r="CW134" s="1354">
        <f t="shared" ca="1" si="30"/>
        <v>0</v>
      </c>
      <c r="CX134" s="1354"/>
      <c r="CY134" s="1354">
        <f t="shared" ca="1" si="31"/>
        <v>0</v>
      </c>
      <c r="CZ134" s="1354"/>
      <c r="DA134" s="1354">
        <f t="shared" ca="1" si="32"/>
        <v>0</v>
      </c>
      <c r="DB134" s="1354"/>
      <c r="DC134" s="1354">
        <f t="shared" ca="1" si="33"/>
        <v>0</v>
      </c>
      <c r="DD134" s="1354"/>
      <c r="DE134" s="1354">
        <f t="shared" ca="1" si="34"/>
        <v>0</v>
      </c>
      <c r="DF134" s="1354"/>
      <c r="DG134" s="1354">
        <f t="shared" ca="1" si="35"/>
        <v>0</v>
      </c>
      <c r="DH134" s="1354"/>
      <c r="DI134" s="1354">
        <f t="shared" ca="1" si="36"/>
        <v>0</v>
      </c>
      <c r="DJ134" s="1354"/>
      <c r="DK134" s="1354">
        <f t="shared" ca="1" si="37"/>
        <v>0</v>
      </c>
      <c r="DL134" s="1354"/>
      <c r="DM134" s="1354">
        <f t="shared" ca="1" si="38"/>
        <v>0</v>
      </c>
      <c r="DN134" s="1354"/>
    </row>
    <row r="135" spans="1:118" ht="20.100000000000001" customHeight="1" outlineLevel="1" x14ac:dyDescent="0.25">
      <c r="A135" s="18"/>
      <c r="B135" s="18"/>
      <c r="C135" s="18"/>
      <c r="D135" s="1"/>
      <c r="E135" s="2"/>
      <c r="F135" s="1377"/>
      <c r="G135" s="1377"/>
      <c r="H135" s="1377"/>
      <c r="I135" s="1377"/>
      <c r="J135" s="1377"/>
      <c r="K135" s="1377"/>
      <c r="L135" s="1377"/>
      <c r="M135" s="1384" t="s">
        <v>7107</v>
      </c>
      <c r="N135" s="1384"/>
      <c r="O135" s="1384"/>
      <c r="P135" s="1384"/>
      <c r="Q135" s="1375" t="str">
        <f ca="1">Calculos!BZ14</f>
        <v>-</v>
      </c>
      <c r="R135" s="1376"/>
      <c r="S135" s="1375" t="str">
        <f ca="1">Calculos!BZ30</f>
        <v>-</v>
      </c>
      <c r="T135" s="1376"/>
      <c r="U135" s="1375" t="str">
        <f ca="1">Calculos!BZ46</f>
        <v>-</v>
      </c>
      <c r="V135" s="1376"/>
      <c r="W135" s="1375" t="str">
        <f ca="1">Calculos!BZ62</f>
        <v>-</v>
      </c>
      <c r="X135" s="1376"/>
      <c r="Y135" s="1375" t="str">
        <f ca="1">Calculos!BZ78</f>
        <v>-</v>
      </c>
      <c r="Z135" s="1376"/>
      <c r="AA135" s="1375" t="str">
        <f ca="1">Calculos!BZ94</f>
        <v>-</v>
      </c>
      <c r="AB135" s="1376"/>
      <c r="AC135" s="1375" t="str">
        <f ca="1">Calculos!BZ110</f>
        <v>-</v>
      </c>
      <c r="AD135" s="1376"/>
      <c r="AE135" s="1375" t="str">
        <f ca="1">Calculos!BZ126</f>
        <v>-</v>
      </c>
      <c r="AF135" s="1376"/>
      <c r="AG135" s="1375" t="str">
        <f ca="1">Calculos!BZ142</f>
        <v>-</v>
      </c>
      <c r="AH135" s="1376"/>
      <c r="AI135" s="1375" t="str">
        <f ca="1">Calculos!BZ158</f>
        <v>-</v>
      </c>
      <c r="AJ135" s="1376"/>
      <c r="AK135" s="1375" t="str">
        <f ca="1">Calculos!BZ174</f>
        <v>-</v>
      </c>
      <c r="AL135" s="1376"/>
      <c r="AM135" s="1375" t="str">
        <f ca="1">Calculos!BZ190</f>
        <v>-</v>
      </c>
      <c r="AN135" s="1376"/>
      <c r="AO135" s="1375" t="str">
        <f ca="1">Calculos!BZ206</f>
        <v>-</v>
      </c>
      <c r="AP135" s="1376"/>
      <c r="AQ135" s="1375" t="str">
        <f ca="1">Calculos!BZ222</f>
        <v>-</v>
      </c>
      <c r="AR135" s="1376"/>
      <c r="AS135" s="1375" t="str">
        <f ca="1">Calculos!BZ238</f>
        <v>-</v>
      </c>
      <c r="AT135" s="1376"/>
      <c r="AU135" s="1375" t="str">
        <f ca="1">Calculos!BZ254</f>
        <v>-</v>
      </c>
      <c r="AV135" s="1376"/>
      <c r="AW135" s="1375" t="str">
        <f ca="1">Calculos!BZ270</f>
        <v>-</v>
      </c>
      <c r="AX135" s="1376"/>
      <c r="AY135" s="1375" t="str">
        <f ca="1">Calculos!BZ286</f>
        <v>-</v>
      </c>
      <c r="AZ135" s="1376"/>
      <c r="BA135" s="1375" t="str">
        <f ca="1">Calculos!BZ302</f>
        <v>-</v>
      </c>
      <c r="BB135" s="1376"/>
      <c r="BC135" s="1375" t="str">
        <f ca="1">Calculos!BZ318</f>
        <v>-</v>
      </c>
      <c r="BD135" s="1376"/>
      <c r="CA135" s="1354">
        <f t="shared" ca="1" si="39"/>
        <v>0</v>
      </c>
      <c r="CB135" s="1354"/>
      <c r="CC135" s="1354">
        <f t="shared" ca="1" si="20"/>
        <v>0</v>
      </c>
      <c r="CD135" s="1354"/>
      <c r="CE135" s="1354">
        <f t="shared" ca="1" si="21"/>
        <v>0</v>
      </c>
      <c r="CF135" s="1354"/>
      <c r="CG135" s="1354">
        <f t="shared" ca="1" si="22"/>
        <v>0</v>
      </c>
      <c r="CH135" s="1354"/>
      <c r="CI135" s="1354">
        <f t="shared" ca="1" si="23"/>
        <v>0</v>
      </c>
      <c r="CJ135" s="1354"/>
      <c r="CK135" s="1354">
        <f t="shared" ca="1" si="24"/>
        <v>0</v>
      </c>
      <c r="CL135" s="1354"/>
      <c r="CM135" s="1354">
        <f t="shared" ca="1" si="25"/>
        <v>0</v>
      </c>
      <c r="CN135" s="1354"/>
      <c r="CO135" s="1354">
        <f t="shared" ca="1" si="26"/>
        <v>0</v>
      </c>
      <c r="CP135" s="1354"/>
      <c r="CQ135" s="1354">
        <f t="shared" ca="1" si="27"/>
        <v>0</v>
      </c>
      <c r="CR135" s="1354"/>
      <c r="CS135" s="1354">
        <f t="shared" ca="1" si="28"/>
        <v>0</v>
      </c>
      <c r="CT135" s="1354"/>
      <c r="CU135" s="1354">
        <f t="shared" ca="1" si="29"/>
        <v>0</v>
      </c>
      <c r="CV135" s="1354"/>
      <c r="CW135" s="1354">
        <f t="shared" ca="1" si="30"/>
        <v>0</v>
      </c>
      <c r="CX135" s="1354"/>
      <c r="CY135" s="1354">
        <f t="shared" ca="1" si="31"/>
        <v>0</v>
      </c>
      <c r="CZ135" s="1354"/>
      <c r="DA135" s="1354">
        <f t="shared" ca="1" si="32"/>
        <v>0</v>
      </c>
      <c r="DB135" s="1354"/>
      <c r="DC135" s="1354">
        <f t="shared" ca="1" si="33"/>
        <v>0</v>
      </c>
      <c r="DD135" s="1354"/>
      <c r="DE135" s="1354">
        <f t="shared" ca="1" si="34"/>
        <v>0</v>
      </c>
      <c r="DF135" s="1354"/>
      <c r="DG135" s="1354">
        <f t="shared" ca="1" si="35"/>
        <v>0</v>
      </c>
      <c r="DH135" s="1354"/>
      <c r="DI135" s="1354">
        <f t="shared" ca="1" si="36"/>
        <v>0</v>
      </c>
      <c r="DJ135" s="1354"/>
      <c r="DK135" s="1354">
        <f t="shared" ca="1" si="37"/>
        <v>0</v>
      </c>
      <c r="DL135" s="1354"/>
      <c r="DM135" s="1354">
        <f t="shared" ca="1" si="38"/>
        <v>0</v>
      </c>
      <c r="DN135" s="1354"/>
    </row>
    <row r="136" spans="1:118" ht="20.100000000000001" customHeight="1" outlineLevel="1" x14ac:dyDescent="0.25">
      <c r="A136" s="18"/>
      <c r="B136" s="18"/>
      <c r="C136" s="18"/>
      <c r="D136" s="1"/>
      <c r="E136" s="2"/>
      <c r="F136" s="1377"/>
      <c r="G136" s="1377"/>
      <c r="H136" s="1377"/>
      <c r="I136" s="1377"/>
      <c r="J136" s="1377"/>
      <c r="K136" s="1377"/>
      <c r="L136" s="1377"/>
      <c r="M136" s="1384" t="s">
        <v>7108</v>
      </c>
      <c r="N136" s="1384"/>
      <c r="O136" s="1384"/>
      <c r="P136" s="1384"/>
      <c r="Q136" s="1375" t="str">
        <f ca="1">Calculos!BZ15</f>
        <v>-</v>
      </c>
      <c r="R136" s="1376"/>
      <c r="S136" s="1375" t="str">
        <f ca="1">Calculos!BZ31</f>
        <v>-</v>
      </c>
      <c r="T136" s="1376"/>
      <c r="U136" s="1375" t="str">
        <f ca="1">Calculos!BZ47</f>
        <v>-</v>
      </c>
      <c r="V136" s="1376"/>
      <c r="W136" s="1375" t="str">
        <f ca="1">Calculos!BZ63</f>
        <v>-</v>
      </c>
      <c r="X136" s="1376"/>
      <c r="Y136" s="1375" t="str">
        <f ca="1">Calculos!BZ79</f>
        <v>-</v>
      </c>
      <c r="Z136" s="1376"/>
      <c r="AA136" s="1375" t="str">
        <f ca="1">Calculos!BZ95</f>
        <v>-</v>
      </c>
      <c r="AB136" s="1376"/>
      <c r="AC136" s="1375" t="str">
        <f ca="1">Calculos!BZ111</f>
        <v>-</v>
      </c>
      <c r="AD136" s="1376"/>
      <c r="AE136" s="1375" t="str">
        <f ca="1">Calculos!BZ127</f>
        <v>-</v>
      </c>
      <c r="AF136" s="1376"/>
      <c r="AG136" s="1375" t="str">
        <f ca="1">Calculos!BZ143</f>
        <v>-</v>
      </c>
      <c r="AH136" s="1376"/>
      <c r="AI136" s="1375" t="str">
        <f ca="1">Calculos!BZ159</f>
        <v>-</v>
      </c>
      <c r="AJ136" s="1376"/>
      <c r="AK136" s="1375" t="str">
        <f ca="1">Calculos!BZ175</f>
        <v>-</v>
      </c>
      <c r="AL136" s="1376"/>
      <c r="AM136" s="1375" t="str">
        <f ca="1">Calculos!BZ191</f>
        <v>-</v>
      </c>
      <c r="AN136" s="1376"/>
      <c r="AO136" s="1375" t="str">
        <f ca="1">Calculos!BZ207</f>
        <v>-</v>
      </c>
      <c r="AP136" s="1376"/>
      <c r="AQ136" s="1375" t="str">
        <f ca="1">Calculos!BZ223</f>
        <v>-</v>
      </c>
      <c r="AR136" s="1376"/>
      <c r="AS136" s="1375" t="str">
        <f ca="1">Calculos!BZ239</f>
        <v>-</v>
      </c>
      <c r="AT136" s="1376"/>
      <c r="AU136" s="1375" t="str">
        <f ca="1">Calculos!BZ255</f>
        <v>-</v>
      </c>
      <c r="AV136" s="1376"/>
      <c r="AW136" s="1375" t="str">
        <f ca="1">Calculos!BZ271</f>
        <v>-</v>
      </c>
      <c r="AX136" s="1376"/>
      <c r="AY136" s="1375" t="str">
        <f ca="1">Calculos!BZ287</f>
        <v>-</v>
      </c>
      <c r="AZ136" s="1376"/>
      <c r="BA136" s="1375" t="str">
        <f ca="1">Calculos!BZ303</f>
        <v>-</v>
      </c>
      <c r="BB136" s="1376"/>
      <c r="BC136" s="1375" t="str">
        <f ca="1">Calculos!BZ319</f>
        <v>-</v>
      </c>
      <c r="BD136" s="1376"/>
      <c r="CA136" s="1354">
        <f t="shared" ca="1" si="39"/>
        <v>0</v>
      </c>
      <c r="CB136" s="1354"/>
      <c r="CC136" s="1354">
        <f t="shared" ca="1" si="20"/>
        <v>0</v>
      </c>
      <c r="CD136" s="1354"/>
      <c r="CE136" s="1354">
        <f t="shared" ca="1" si="21"/>
        <v>0</v>
      </c>
      <c r="CF136" s="1354"/>
      <c r="CG136" s="1354">
        <f t="shared" ca="1" si="22"/>
        <v>0</v>
      </c>
      <c r="CH136" s="1354"/>
      <c r="CI136" s="1354">
        <f t="shared" ca="1" si="23"/>
        <v>0</v>
      </c>
      <c r="CJ136" s="1354"/>
      <c r="CK136" s="1354">
        <f t="shared" ca="1" si="24"/>
        <v>0</v>
      </c>
      <c r="CL136" s="1354"/>
      <c r="CM136" s="1354">
        <f t="shared" ca="1" si="25"/>
        <v>0</v>
      </c>
      <c r="CN136" s="1354"/>
      <c r="CO136" s="1354">
        <f t="shared" ca="1" si="26"/>
        <v>0</v>
      </c>
      <c r="CP136" s="1354"/>
      <c r="CQ136" s="1354">
        <f t="shared" ca="1" si="27"/>
        <v>0</v>
      </c>
      <c r="CR136" s="1354"/>
      <c r="CS136" s="1354">
        <f t="shared" ca="1" si="28"/>
        <v>0</v>
      </c>
      <c r="CT136" s="1354"/>
      <c r="CU136" s="1354">
        <f t="shared" ca="1" si="29"/>
        <v>0</v>
      </c>
      <c r="CV136" s="1354"/>
      <c r="CW136" s="1354">
        <f t="shared" ca="1" si="30"/>
        <v>0</v>
      </c>
      <c r="CX136" s="1354"/>
      <c r="CY136" s="1354">
        <f t="shared" ca="1" si="31"/>
        <v>0</v>
      </c>
      <c r="CZ136" s="1354"/>
      <c r="DA136" s="1354">
        <f t="shared" ca="1" si="32"/>
        <v>0</v>
      </c>
      <c r="DB136" s="1354"/>
      <c r="DC136" s="1354">
        <f t="shared" ca="1" si="33"/>
        <v>0</v>
      </c>
      <c r="DD136" s="1354"/>
      <c r="DE136" s="1354">
        <f t="shared" ca="1" si="34"/>
        <v>0</v>
      </c>
      <c r="DF136" s="1354"/>
      <c r="DG136" s="1354">
        <f t="shared" ca="1" si="35"/>
        <v>0</v>
      </c>
      <c r="DH136" s="1354"/>
      <c r="DI136" s="1354">
        <f t="shared" ca="1" si="36"/>
        <v>0</v>
      </c>
      <c r="DJ136" s="1354"/>
      <c r="DK136" s="1354">
        <f t="shared" ca="1" si="37"/>
        <v>0</v>
      </c>
      <c r="DL136" s="1354"/>
      <c r="DM136" s="1354">
        <f t="shared" ca="1" si="38"/>
        <v>0</v>
      </c>
      <c r="DN136" s="1354"/>
    </row>
    <row r="137" spans="1:118" ht="20.100000000000001" customHeight="1" outlineLevel="1" x14ac:dyDescent="0.25">
      <c r="A137" s="18"/>
      <c r="B137" s="18"/>
      <c r="C137" s="18"/>
      <c r="D137" s="1"/>
      <c r="E137" s="2"/>
      <c r="F137" s="1377"/>
      <c r="G137" s="1377"/>
      <c r="H137" s="1377"/>
      <c r="I137" s="1377"/>
      <c r="J137" s="1377"/>
      <c r="K137" s="1377"/>
      <c r="L137" s="1377"/>
      <c r="M137" s="1384" t="s">
        <v>7109</v>
      </c>
      <c r="N137" s="1384"/>
      <c r="O137" s="1384"/>
      <c r="P137" s="1384"/>
      <c r="Q137" s="1375" t="str">
        <f ca="1">Calculos!BZ16</f>
        <v>-</v>
      </c>
      <c r="R137" s="1376"/>
      <c r="S137" s="1375" t="str">
        <f ca="1">Calculos!BZ32</f>
        <v>-</v>
      </c>
      <c r="T137" s="1376"/>
      <c r="U137" s="1375" t="str">
        <f ca="1">Calculos!BZ48</f>
        <v>-</v>
      </c>
      <c r="V137" s="1376"/>
      <c r="W137" s="1375" t="str">
        <f ca="1">Calculos!BZ64</f>
        <v>-</v>
      </c>
      <c r="X137" s="1376"/>
      <c r="Y137" s="1375" t="str">
        <f ca="1">Calculos!BZ80</f>
        <v>-</v>
      </c>
      <c r="Z137" s="1376"/>
      <c r="AA137" s="1375" t="str">
        <f ca="1">Calculos!BZ96</f>
        <v>-</v>
      </c>
      <c r="AB137" s="1376"/>
      <c r="AC137" s="1375" t="str">
        <f ca="1">Calculos!BZ112</f>
        <v>-</v>
      </c>
      <c r="AD137" s="1376"/>
      <c r="AE137" s="1375" t="str">
        <f ca="1">Calculos!BZ128</f>
        <v>-</v>
      </c>
      <c r="AF137" s="1376"/>
      <c r="AG137" s="1375" t="str">
        <f ca="1">Calculos!BZ144</f>
        <v>-</v>
      </c>
      <c r="AH137" s="1376"/>
      <c r="AI137" s="1375" t="str">
        <f ca="1">Calculos!BZ160</f>
        <v>-</v>
      </c>
      <c r="AJ137" s="1376"/>
      <c r="AK137" s="1375" t="str">
        <f ca="1">Calculos!BZ176</f>
        <v>-</v>
      </c>
      <c r="AL137" s="1376"/>
      <c r="AM137" s="1375" t="str">
        <f ca="1">Calculos!BZ192</f>
        <v>-</v>
      </c>
      <c r="AN137" s="1376"/>
      <c r="AO137" s="1375" t="str">
        <f ca="1">Calculos!BZ208</f>
        <v>-</v>
      </c>
      <c r="AP137" s="1376"/>
      <c r="AQ137" s="1375" t="str">
        <f ca="1">Calculos!BZ224</f>
        <v>-</v>
      </c>
      <c r="AR137" s="1376"/>
      <c r="AS137" s="1375" t="str">
        <f ca="1">Calculos!BZ240</f>
        <v>-</v>
      </c>
      <c r="AT137" s="1376"/>
      <c r="AU137" s="1375" t="str">
        <f ca="1">Calculos!BZ256</f>
        <v>-</v>
      </c>
      <c r="AV137" s="1376"/>
      <c r="AW137" s="1375" t="str">
        <f ca="1">Calculos!BZ272</f>
        <v>-</v>
      </c>
      <c r="AX137" s="1376"/>
      <c r="AY137" s="1375" t="str">
        <f ca="1">Calculos!BZ288</f>
        <v>-</v>
      </c>
      <c r="AZ137" s="1376"/>
      <c r="BA137" s="1375" t="str">
        <f ca="1">Calculos!BZ304</f>
        <v>-</v>
      </c>
      <c r="BB137" s="1376"/>
      <c r="BC137" s="1375" t="str">
        <f ca="1">Calculos!BZ320</f>
        <v>-</v>
      </c>
      <c r="BD137" s="1376"/>
      <c r="CA137" s="1354">
        <f t="shared" ca="1" si="39"/>
        <v>0</v>
      </c>
      <c r="CB137" s="1354"/>
      <c r="CC137" s="1354">
        <f t="shared" ca="1" si="20"/>
        <v>0</v>
      </c>
      <c r="CD137" s="1354"/>
      <c r="CE137" s="1354">
        <f t="shared" ca="1" si="21"/>
        <v>0</v>
      </c>
      <c r="CF137" s="1354"/>
      <c r="CG137" s="1354">
        <f t="shared" ca="1" si="22"/>
        <v>0</v>
      </c>
      <c r="CH137" s="1354"/>
      <c r="CI137" s="1354">
        <f t="shared" ca="1" si="23"/>
        <v>0</v>
      </c>
      <c r="CJ137" s="1354"/>
      <c r="CK137" s="1354">
        <f t="shared" ca="1" si="24"/>
        <v>0</v>
      </c>
      <c r="CL137" s="1354"/>
      <c r="CM137" s="1354">
        <f t="shared" ca="1" si="25"/>
        <v>0</v>
      </c>
      <c r="CN137" s="1354"/>
      <c r="CO137" s="1354">
        <f t="shared" ca="1" si="26"/>
        <v>0</v>
      </c>
      <c r="CP137" s="1354"/>
      <c r="CQ137" s="1354">
        <f t="shared" ca="1" si="27"/>
        <v>0</v>
      </c>
      <c r="CR137" s="1354"/>
      <c r="CS137" s="1354">
        <f t="shared" ca="1" si="28"/>
        <v>0</v>
      </c>
      <c r="CT137" s="1354"/>
      <c r="CU137" s="1354">
        <f t="shared" ca="1" si="29"/>
        <v>0</v>
      </c>
      <c r="CV137" s="1354"/>
      <c r="CW137" s="1354">
        <f t="shared" ca="1" si="30"/>
        <v>0</v>
      </c>
      <c r="CX137" s="1354"/>
      <c r="CY137" s="1354">
        <f t="shared" ca="1" si="31"/>
        <v>0</v>
      </c>
      <c r="CZ137" s="1354"/>
      <c r="DA137" s="1354">
        <f t="shared" ca="1" si="32"/>
        <v>0</v>
      </c>
      <c r="DB137" s="1354"/>
      <c r="DC137" s="1354">
        <f t="shared" ca="1" si="33"/>
        <v>0</v>
      </c>
      <c r="DD137" s="1354"/>
      <c r="DE137" s="1354">
        <f t="shared" ca="1" si="34"/>
        <v>0</v>
      </c>
      <c r="DF137" s="1354"/>
      <c r="DG137" s="1354">
        <f t="shared" ca="1" si="35"/>
        <v>0</v>
      </c>
      <c r="DH137" s="1354"/>
      <c r="DI137" s="1354">
        <f t="shared" ca="1" si="36"/>
        <v>0</v>
      </c>
      <c r="DJ137" s="1354"/>
      <c r="DK137" s="1354">
        <f t="shared" ca="1" si="37"/>
        <v>0</v>
      </c>
      <c r="DL137" s="1354"/>
      <c r="DM137" s="1354">
        <f t="shared" ca="1" si="38"/>
        <v>0</v>
      </c>
      <c r="DN137" s="1354"/>
    </row>
    <row r="138" spans="1:118" ht="20.100000000000001" customHeight="1" outlineLevel="1" x14ac:dyDescent="0.25">
      <c r="A138" s="18"/>
      <c r="B138" s="18"/>
      <c r="C138" s="18"/>
      <c r="D138" s="1"/>
      <c r="E138" s="2"/>
      <c r="F138" s="1377"/>
      <c r="G138" s="1377"/>
      <c r="H138" s="1377"/>
      <c r="I138" s="1377"/>
      <c r="J138" s="1377"/>
      <c r="K138" s="1377"/>
      <c r="L138" s="1377"/>
      <c r="M138" s="1384" t="s">
        <v>7110</v>
      </c>
      <c r="N138" s="1384"/>
      <c r="O138" s="1384"/>
      <c r="P138" s="1384"/>
      <c r="Q138" s="1375" t="str">
        <f ca="1">Calculos!BZ17</f>
        <v>-</v>
      </c>
      <c r="R138" s="1376"/>
      <c r="S138" s="1375" t="str">
        <f ca="1">Calculos!BZ33</f>
        <v>-</v>
      </c>
      <c r="T138" s="1376"/>
      <c r="U138" s="1375" t="str">
        <f ca="1">Calculos!BZ49</f>
        <v>-</v>
      </c>
      <c r="V138" s="1376"/>
      <c r="W138" s="1375" t="str">
        <f ca="1">Calculos!BZ65</f>
        <v>-</v>
      </c>
      <c r="X138" s="1376"/>
      <c r="Y138" s="1375" t="str">
        <f ca="1">Calculos!BZ81</f>
        <v>-</v>
      </c>
      <c r="Z138" s="1376"/>
      <c r="AA138" s="1375" t="str">
        <f ca="1">Calculos!BZ97</f>
        <v>-</v>
      </c>
      <c r="AB138" s="1376"/>
      <c r="AC138" s="1375" t="str">
        <f ca="1">Calculos!BZ113</f>
        <v>-</v>
      </c>
      <c r="AD138" s="1376"/>
      <c r="AE138" s="1375" t="str">
        <f ca="1">Calculos!BZ129</f>
        <v>-</v>
      </c>
      <c r="AF138" s="1376"/>
      <c r="AG138" s="1375" t="str">
        <f ca="1">Calculos!BZ145</f>
        <v>-</v>
      </c>
      <c r="AH138" s="1376"/>
      <c r="AI138" s="1375" t="str">
        <f ca="1">Calculos!BZ161</f>
        <v>-</v>
      </c>
      <c r="AJ138" s="1376"/>
      <c r="AK138" s="1375" t="str">
        <f ca="1">Calculos!BZ177</f>
        <v>-</v>
      </c>
      <c r="AL138" s="1376"/>
      <c r="AM138" s="1375" t="str">
        <f ca="1">Calculos!BZ193</f>
        <v>-</v>
      </c>
      <c r="AN138" s="1376"/>
      <c r="AO138" s="1375" t="str">
        <f ca="1">Calculos!BZ209</f>
        <v>-</v>
      </c>
      <c r="AP138" s="1376"/>
      <c r="AQ138" s="1375" t="str">
        <f ca="1">Calculos!BZ225</f>
        <v>-</v>
      </c>
      <c r="AR138" s="1376"/>
      <c r="AS138" s="1375" t="str">
        <f ca="1">Calculos!BZ241</f>
        <v>-</v>
      </c>
      <c r="AT138" s="1376"/>
      <c r="AU138" s="1375" t="str">
        <f ca="1">Calculos!BZ257</f>
        <v>-</v>
      </c>
      <c r="AV138" s="1376"/>
      <c r="AW138" s="1375" t="str">
        <f ca="1">Calculos!BZ273</f>
        <v>-</v>
      </c>
      <c r="AX138" s="1376"/>
      <c r="AY138" s="1375" t="str">
        <f ca="1">Calculos!BZ289</f>
        <v>-</v>
      </c>
      <c r="AZ138" s="1376"/>
      <c r="BA138" s="1375" t="str">
        <f ca="1">Calculos!BZ305</f>
        <v>-</v>
      </c>
      <c r="BB138" s="1376"/>
      <c r="BC138" s="1375" t="str">
        <f ca="1">Calculos!BZ321</f>
        <v>-</v>
      </c>
      <c r="BD138" s="1376"/>
      <c r="CA138" s="1354">
        <f t="shared" ca="1" si="39"/>
        <v>0</v>
      </c>
      <c r="CB138" s="1354"/>
      <c r="CC138" s="1354">
        <f t="shared" ca="1" si="20"/>
        <v>0</v>
      </c>
      <c r="CD138" s="1354"/>
      <c r="CE138" s="1354">
        <f t="shared" ca="1" si="21"/>
        <v>0</v>
      </c>
      <c r="CF138" s="1354"/>
      <c r="CG138" s="1354">
        <f t="shared" ca="1" si="22"/>
        <v>0</v>
      </c>
      <c r="CH138" s="1354"/>
      <c r="CI138" s="1354">
        <f t="shared" ca="1" si="23"/>
        <v>0</v>
      </c>
      <c r="CJ138" s="1354"/>
      <c r="CK138" s="1354">
        <f t="shared" ca="1" si="24"/>
        <v>0</v>
      </c>
      <c r="CL138" s="1354"/>
      <c r="CM138" s="1354">
        <f t="shared" ca="1" si="25"/>
        <v>0</v>
      </c>
      <c r="CN138" s="1354"/>
      <c r="CO138" s="1354">
        <f t="shared" ca="1" si="26"/>
        <v>0</v>
      </c>
      <c r="CP138" s="1354"/>
      <c r="CQ138" s="1354">
        <f t="shared" ca="1" si="27"/>
        <v>0</v>
      </c>
      <c r="CR138" s="1354"/>
      <c r="CS138" s="1354">
        <f t="shared" ca="1" si="28"/>
        <v>0</v>
      </c>
      <c r="CT138" s="1354"/>
      <c r="CU138" s="1354">
        <f t="shared" ca="1" si="29"/>
        <v>0</v>
      </c>
      <c r="CV138" s="1354"/>
      <c r="CW138" s="1354">
        <f t="shared" ca="1" si="30"/>
        <v>0</v>
      </c>
      <c r="CX138" s="1354"/>
      <c r="CY138" s="1354">
        <f t="shared" ca="1" si="31"/>
        <v>0</v>
      </c>
      <c r="CZ138" s="1354"/>
      <c r="DA138" s="1354">
        <f t="shared" ca="1" si="32"/>
        <v>0</v>
      </c>
      <c r="DB138" s="1354"/>
      <c r="DC138" s="1354">
        <f t="shared" ca="1" si="33"/>
        <v>0</v>
      </c>
      <c r="DD138" s="1354"/>
      <c r="DE138" s="1354">
        <f t="shared" ca="1" si="34"/>
        <v>0</v>
      </c>
      <c r="DF138" s="1354"/>
      <c r="DG138" s="1354">
        <f t="shared" ca="1" si="35"/>
        <v>0</v>
      </c>
      <c r="DH138" s="1354"/>
      <c r="DI138" s="1354">
        <f t="shared" ca="1" si="36"/>
        <v>0</v>
      </c>
      <c r="DJ138" s="1354"/>
      <c r="DK138" s="1354">
        <f t="shared" ca="1" si="37"/>
        <v>0</v>
      </c>
      <c r="DL138" s="1354"/>
      <c r="DM138" s="1354">
        <f t="shared" ca="1" si="38"/>
        <v>0</v>
      </c>
      <c r="DN138" s="1354"/>
    </row>
    <row r="139" spans="1:118" ht="20.100000000000001" customHeight="1" outlineLevel="1" x14ac:dyDescent="0.25">
      <c r="A139" s="18"/>
      <c r="B139" s="18"/>
      <c r="C139" s="18"/>
      <c r="D139" s="1"/>
      <c r="E139" s="2"/>
      <c r="F139" s="1377"/>
      <c r="G139" s="1377"/>
      <c r="H139" s="1377"/>
      <c r="I139" s="1377"/>
      <c r="J139" s="1377"/>
      <c r="K139" s="1377"/>
      <c r="L139" s="1377"/>
      <c r="M139" s="1384" t="s">
        <v>7111</v>
      </c>
      <c r="N139" s="1384"/>
      <c r="O139" s="1384"/>
      <c r="P139" s="1384"/>
      <c r="Q139" s="1375" t="str">
        <f ca="1">Calculos!BZ18</f>
        <v>-</v>
      </c>
      <c r="R139" s="1376"/>
      <c r="S139" s="1375" t="str">
        <f ca="1">Calculos!BZ34</f>
        <v>-</v>
      </c>
      <c r="T139" s="1376"/>
      <c r="U139" s="1375" t="str">
        <f ca="1">Calculos!BZ50</f>
        <v>-</v>
      </c>
      <c r="V139" s="1376"/>
      <c r="W139" s="1375" t="str">
        <f ca="1">Calculos!BZ66</f>
        <v>-</v>
      </c>
      <c r="X139" s="1376"/>
      <c r="Y139" s="1375" t="str">
        <f ca="1">Calculos!BZ82</f>
        <v>-</v>
      </c>
      <c r="Z139" s="1376"/>
      <c r="AA139" s="1375" t="str">
        <f ca="1">Calculos!BZ98</f>
        <v>-</v>
      </c>
      <c r="AB139" s="1376"/>
      <c r="AC139" s="1375" t="str">
        <f ca="1">Calculos!BZ114</f>
        <v>-</v>
      </c>
      <c r="AD139" s="1376"/>
      <c r="AE139" s="1375" t="str">
        <f ca="1">Calculos!BZ130</f>
        <v>-</v>
      </c>
      <c r="AF139" s="1376"/>
      <c r="AG139" s="1375" t="str">
        <f ca="1">Calculos!BZ146</f>
        <v>-</v>
      </c>
      <c r="AH139" s="1376"/>
      <c r="AI139" s="1375" t="str">
        <f ca="1">Calculos!BZ162</f>
        <v>-</v>
      </c>
      <c r="AJ139" s="1376"/>
      <c r="AK139" s="1375" t="str">
        <f ca="1">Calculos!BZ178</f>
        <v>-</v>
      </c>
      <c r="AL139" s="1376"/>
      <c r="AM139" s="1375" t="str">
        <f ca="1">Calculos!BZ194</f>
        <v>-</v>
      </c>
      <c r="AN139" s="1376"/>
      <c r="AO139" s="1375" t="str">
        <f ca="1">Calculos!BZ210</f>
        <v>-</v>
      </c>
      <c r="AP139" s="1376"/>
      <c r="AQ139" s="1375" t="str">
        <f ca="1">Calculos!BZ226</f>
        <v>-</v>
      </c>
      <c r="AR139" s="1376"/>
      <c r="AS139" s="1375" t="str">
        <f ca="1">Calculos!BZ242</f>
        <v>-</v>
      </c>
      <c r="AT139" s="1376"/>
      <c r="AU139" s="1375" t="str">
        <f ca="1">Calculos!BZ258</f>
        <v>-</v>
      </c>
      <c r="AV139" s="1376"/>
      <c r="AW139" s="1375" t="str">
        <f ca="1">Calculos!BZ274</f>
        <v>-</v>
      </c>
      <c r="AX139" s="1376"/>
      <c r="AY139" s="1375" t="str">
        <f ca="1">Calculos!BZ290</f>
        <v>-</v>
      </c>
      <c r="AZ139" s="1376"/>
      <c r="BA139" s="1375" t="str">
        <f ca="1">Calculos!BZ306</f>
        <v>-</v>
      </c>
      <c r="BB139" s="1376"/>
      <c r="BC139" s="1375" t="str">
        <f ca="1">Calculos!BZ322</f>
        <v>-</v>
      </c>
      <c r="BD139" s="1376"/>
      <c r="CA139" s="1354">
        <f t="shared" ca="1" si="39"/>
        <v>0</v>
      </c>
      <c r="CB139" s="1354"/>
      <c r="CC139" s="1354">
        <f t="shared" ca="1" si="20"/>
        <v>0</v>
      </c>
      <c r="CD139" s="1354"/>
      <c r="CE139" s="1354">
        <f t="shared" ca="1" si="21"/>
        <v>0</v>
      </c>
      <c r="CF139" s="1354"/>
      <c r="CG139" s="1354">
        <f t="shared" ca="1" si="22"/>
        <v>0</v>
      </c>
      <c r="CH139" s="1354"/>
      <c r="CI139" s="1354">
        <f t="shared" ca="1" si="23"/>
        <v>0</v>
      </c>
      <c r="CJ139" s="1354"/>
      <c r="CK139" s="1354">
        <f t="shared" ca="1" si="24"/>
        <v>0</v>
      </c>
      <c r="CL139" s="1354"/>
      <c r="CM139" s="1354">
        <f t="shared" ca="1" si="25"/>
        <v>0</v>
      </c>
      <c r="CN139" s="1354"/>
      <c r="CO139" s="1354">
        <f t="shared" ca="1" si="26"/>
        <v>0</v>
      </c>
      <c r="CP139" s="1354"/>
      <c r="CQ139" s="1354">
        <f t="shared" ca="1" si="27"/>
        <v>0</v>
      </c>
      <c r="CR139" s="1354"/>
      <c r="CS139" s="1354">
        <f t="shared" ca="1" si="28"/>
        <v>0</v>
      </c>
      <c r="CT139" s="1354"/>
      <c r="CU139" s="1354">
        <f t="shared" ca="1" si="29"/>
        <v>0</v>
      </c>
      <c r="CV139" s="1354"/>
      <c r="CW139" s="1354">
        <f t="shared" ca="1" si="30"/>
        <v>0</v>
      </c>
      <c r="CX139" s="1354"/>
      <c r="CY139" s="1354">
        <f t="shared" ca="1" si="31"/>
        <v>0</v>
      </c>
      <c r="CZ139" s="1354"/>
      <c r="DA139" s="1354">
        <f t="shared" ca="1" si="32"/>
        <v>0</v>
      </c>
      <c r="DB139" s="1354"/>
      <c r="DC139" s="1354">
        <f t="shared" ca="1" si="33"/>
        <v>0</v>
      </c>
      <c r="DD139" s="1354"/>
      <c r="DE139" s="1354">
        <f t="shared" ca="1" si="34"/>
        <v>0</v>
      </c>
      <c r="DF139" s="1354"/>
      <c r="DG139" s="1354">
        <f t="shared" ca="1" si="35"/>
        <v>0</v>
      </c>
      <c r="DH139" s="1354"/>
      <c r="DI139" s="1354">
        <f t="shared" ca="1" si="36"/>
        <v>0</v>
      </c>
      <c r="DJ139" s="1354"/>
      <c r="DK139" s="1354">
        <f t="shared" ca="1" si="37"/>
        <v>0</v>
      </c>
      <c r="DL139" s="1354"/>
      <c r="DM139" s="1354">
        <f t="shared" ca="1" si="38"/>
        <v>0</v>
      </c>
      <c r="DN139" s="1354"/>
    </row>
    <row r="140" spans="1:118" ht="20.100000000000001" customHeight="1" outlineLevel="1" x14ac:dyDescent="0.25">
      <c r="A140" s="18"/>
      <c r="B140" s="18"/>
      <c r="C140" s="18"/>
      <c r="D140" s="1"/>
      <c r="E140" s="2"/>
      <c r="F140" s="1377"/>
      <c r="G140" s="1377"/>
      <c r="H140" s="1377"/>
      <c r="I140" s="1377"/>
      <c r="J140" s="1377"/>
      <c r="K140" s="1377"/>
      <c r="L140" s="1377"/>
      <c r="M140" s="1384" t="s">
        <v>7112</v>
      </c>
      <c r="N140" s="1384"/>
      <c r="O140" s="1384"/>
      <c r="P140" s="1384"/>
      <c r="Q140" s="1375" t="str">
        <f ca="1">Calculos!BZ19</f>
        <v>-</v>
      </c>
      <c r="R140" s="1376"/>
      <c r="S140" s="1375" t="str">
        <f ca="1">Calculos!BZ35</f>
        <v>-</v>
      </c>
      <c r="T140" s="1376"/>
      <c r="U140" s="1375" t="str">
        <f ca="1">Calculos!BZ51</f>
        <v>-</v>
      </c>
      <c r="V140" s="1376"/>
      <c r="W140" s="1375" t="str">
        <f ca="1">Calculos!BZ67</f>
        <v>-</v>
      </c>
      <c r="X140" s="1376"/>
      <c r="Y140" s="1375" t="str">
        <f ca="1">Calculos!BZ83</f>
        <v>-</v>
      </c>
      <c r="Z140" s="1376"/>
      <c r="AA140" s="1375" t="str">
        <f ca="1">Calculos!BZ99</f>
        <v>-</v>
      </c>
      <c r="AB140" s="1376"/>
      <c r="AC140" s="1375" t="str">
        <f ca="1">Calculos!BZ115</f>
        <v>-</v>
      </c>
      <c r="AD140" s="1376"/>
      <c r="AE140" s="1375" t="str">
        <f ca="1">Calculos!BZ131</f>
        <v>-</v>
      </c>
      <c r="AF140" s="1376"/>
      <c r="AG140" s="1375" t="str">
        <f ca="1">Calculos!BZ147</f>
        <v>-</v>
      </c>
      <c r="AH140" s="1376"/>
      <c r="AI140" s="1375" t="str">
        <f ca="1">Calculos!BZ163</f>
        <v>-</v>
      </c>
      <c r="AJ140" s="1376"/>
      <c r="AK140" s="1375" t="str">
        <f ca="1">Calculos!BZ179</f>
        <v>-</v>
      </c>
      <c r="AL140" s="1376"/>
      <c r="AM140" s="1375" t="str">
        <f ca="1">Calculos!BZ195</f>
        <v>-</v>
      </c>
      <c r="AN140" s="1376"/>
      <c r="AO140" s="1375" t="str">
        <f ca="1">Calculos!BZ211</f>
        <v>-</v>
      </c>
      <c r="AP140" s="1376"/>
      <c r="AQ140" s="1375" t="str">
        <f ca="1">Calculos!BZ227</f>
        <v>-</v>
      </c>
      <c r="AR140" s="1376"/>
      <c r="AS140" s="1375" t="str">
        <f ca="1">Calculos!BZ243</f>
        <v>-</v>
      </c>
      <c r="AT140" s="1376"/>
      <c r="AU140" s="1375" t="str">
        <f ca="1">Calculos!BZ259</f>
        <v>-</v>
      </c>
      <c r="AV140" s="1376"/>
      <c r="AW140" s="1375" t="str">
        <f ca="1">Calculos!BZ275</f>
        <v>-</v>
      </c>
      <c r="AX140" s="1376"/>
      <c r="AY140" s="1375" t="str">
        <f ca="1">Calculos!BZ291</f>
        <v>-</v>
      </c>
      <c r="AZ140" s="1376"/>
      <c r="BA140" s="1375" t="str">
        <f ca="1">Calculos!BZ307</f>
        <v>-</v>
      </c>
      <c r="BB140" s="1376"/>
      <c r="BC140" s="1375" t="str">
        <f ca="1">Calculos!BZ323</f>
        <v>-</v>
      </c>
      <c r="BD140" s="1376"/>
      <c r="CA140" s="1354">
        <f t="shared" ca="1" si="39"/>
        <v>0</v>
      </c>
      <c r="CB140" s="1354"/>
      <c r="CC140" s="1354">
        <f t="shared" ca="1" si="20"/>
        <v>0</v>
      </c>
      <c r="CD140" s="1354"/>
      <c r="CE140" s="1354">
        <f t="shared" ca="1" si="21"/>
        <v>0</v>
      </c>
      <c r="CF140" s="1354"/>
      <c r="CG140" s="1354">
        <f t="shared" ca="1" si="22"/>
        <v>0</v>
      </c>
      <c r="CH140" s="1354"/>
      <c r="CI140" s="1354">
        <f t="shared" ca="1" si="23"/>
        <v>0</v>
      </c>
      <c r="CJ140" s="1354"/>
      <c r="CK140" s="1354">
        <f t="shared" ca="1" si="24"/>
        <v>0</v>
      </c>
      <c r="CL140" s="1354"/>
      <c r="CM140" s="1354">
        <f t="shared" ca="1" si="25"/>
        <v>0</v>
      </c>
      <c r="CN140" s="1354"/>
      <c r="CO140" s="1354">
        <f t="shared" ca="1" si="26"/>
        <v>0</v>
      </c>
      <c r="CP140" s="1354"/>
      <c r="CQ140" s="1354">
        <f t="shared" ca="1" si="27"/>
        <v>0</v>
      </c>
      <c r="CR140" s="1354"/>
      <c r="CS140" s="1354">
        <f t="shared" ca="1" si="28"/>
        <v>0</v>
      </c>
      <c r="CT140" s="1354"/>
      <c r="CU140" s="1354">
        <f t="shared" ca="1" si="29"/>
        <v>0</v>
      </c>
      <c r="CV140" s="1354"/>
      <c r="CW140" s="1354">
        <f t="shared" ca="1" si="30"/>
        <v>0</v>
      </c>
      <c r="CX140" s="1354"/>
      <c r="CY140" s="1354">
        <f t="shared" ca="1" si="31"/>
        <v>0</v>
      </c>
      <c r="CZ140" s="1354"/>
      <c r="DA140" s="1354">
        <f t="shared" ca="1" si="32"/>
        <v>0</v>
      </c>
      <c r="DB140" s="1354"/>
      <c r="DC140" s="1354">
        <f t="shared" ca="1" si="33"/>
        <v>0</v>
      </c>
      <c r="DD140" s="1354"/>
      <c r="DE140" s="1354">
        <f t="shared" ca="1" si="34"/>
        <v>0</v>
      </c>
      <c r="DF140" s="1354"/>
      <c r="DG140" s="1354">
        <f t="shared" ca="1" si="35"/>
        <v>0</v>
      </c>
      <c r="DH140" s="1354"/>
      <c r="DI140" s="1354">
        <f t="shared" ca="1" si="36"/>
        <v>0</v>
      </c>
      <c r="DJ140" s="1354"/>
      <c r="DK140" s="1354">
        <f t="shared" ca="1" si="37"/>
        <v>0</v>
      </c>
      <c r="DL140" s="1354"/>
      <c r="DM140" s="1354">
        <f t="shared" ca="1" si="38"/>
        <v>0</v>
      </c>
      <c r="DN140" s="1354"/>
    </row>
    <row r="141" spans="1:118" ht="20.100000000000001" customHeight="1" outlineLevel="1" x14ac:dyDescent="0.25">
      <c r="A141" s="18"/>
      <c r="B141" s="18"/>
      <c r="C141" s="18"/>
      <c r="D141" s="1"/>
      <c r="E141" s="2"/>
      <c r="F141" s="1377"/>
      <c r="G141" s="1377"/>
      <c r="H141" s="1377"/>
      <c r="I141" s="1377"/>
      <c r="J141" s="1377"/>
      <c r="K141" s="1377"/>
      <c r="L141" s="1377"/>
      <c r="M141" s="1384" t="s">
        <v>7113</v>
      </c>
      <c r="N141" s="1384"/>
      <c r="O141" s="1384"/>
      <c r="P141" s="1384"/>
      <c r="Q141" s="1375" t="str">
        <f ca="1">Calculos!BZ20</f>
        <v>-</v>
      </c>
      <c r="R141" s="1376"/>
      <c r="S141" s="1375" t="str">
        <f ca="1">Calculos!BZ36</f>
        <v>-</v>
      </c>
      <c r="T141" s="1376"/>
      <c r="U141" s="1375" t="str">
        <f ca="1">Calculos!BZ52</f>
        <v>-</v>
      </c>
      <c r="V141" s="1376"/>
      <c r="W141" s="1375" t="str">
        <f ca="1">Calculos!BZ68</f>
        <v>-</v>
      </c>
      <c r="X141" s="1376"/>
      <c r="Y141" s="1375" t="str">
        <f ca="1">Calculos!BZ84</f>
        <v>-</v>
      </c>
      <c r="Z141" s="1376"/>
      <c r="AA141" s="1375" t="str">
        <f ca="1">Calculos!BZ100</f>
        <v>-</v>
      </c>
      <c r="AB141" s="1376"/>
      <c r="AC141" s="1375" t="str">
        <f ca="1">Calculos!BZ116</f>
        <v>-</v>
      </c>
      <c r="AD141" s="1376"/>
      <c r="AE141" s="1375" t="str">
        <f ca="1">Calculos!BZ132</f>
        <v>-</v>
      </c>
      <c r="AF141" s="1376"/>
      <c r="AG141" s="1375" t="str">
        <f ca="1">Calculos!BZ148</f>
        <v>-</v>
      </c>
      <c r="AH141" s="1376"/>
      <c r="AI141" s="1375" t="str">
        <f ca="1">Calculos!BZ164</f>
        <v>-</v>
      </c>
      <c r="AJ141" s="1376"/>
      <c r="AK141" s="1375" t="str">
        <f ca="1">Calculos!BZ180</f>
        <v>-</v>
      </c>
      <c r="AL141" s="1376"/>
      <c r="AM141" s="1375" t="str">
        <f ca="1">Calculos!BZ196</f>
        <v>-</v>
      </c>
      <c r="AN141" s="1376"/>
      <c r="AO141" s="1375" t="str">
        <f ca="1">Calculos!BZ212</f>
        <v>-</v>
      </c>
      <c r="AP141" s="1376"/>
      <c r="AQ141" s="1375" t="str">
        <f ca="1">Calculos!BZ228</f>
        <v>-</v>
      </c>
      <c r="AR141" s="1376"/>
      <c r="AS141" s="1375" t="str">
        <f ca="1">Calculos!BZ244</f>
        <v>-</v>
      </c>
      <c r="AT141" s="1376"/>
      <c r="AU141" s="1375" t="str">
        <f ca="1">Calculos!BZ260</f>
        <v>-</v>
      </c>
      <c r="AV141" s="1376"/>
      <c r="AW141" s="1375" t="str">
        <f ca="1">Calculos!BZ276</f>
        <v>-</v>
      </c>
      <c r="AX141" s="1376"/>
      <c r="AY141" s="1375" t="str">
        <f ca="1">Calculos!BZ292</f>
        <v>-</v>
      </c>
      <c r="AZ141" s="1376"/>
      <c r="BA141" s="1375" t="str">
        <f ca="1">Calculos!BZ308</f>
        <v>-</v>
      </c>
      <c r="BB141" s="1376"/>
      <c r="BC141" s="1375" t="str">
        <f ca="1">Calculos!BZ324</f>
        <v>-</v>
      </c>
      <c r="BD141" s="1376"/>
      <c r="CA141" s="1354">
        <f t="shared" ca="1" si="39"/>
        <v>0</v>
      </c>
      <c r="CB141" s="1354"/>
      <c r="CC141" s="1354">
        <f t="shared" ca="1" si="20"/>
        <v>0</v>
      </c>
      <c r="CD141" s="1354"/>
      <c r="CE141" s="1354">
        <f t="shared" ca="1" si="21"/>
        <v>0</v>
      </c>
      <c r="CF141" s="1354"/>
      <c r="CG141" s="1354">
        <f t="shared" ca="1" si="22"/>
        <v>0</v>
      </c>
      <c r="CH141" s="1354"/>
      <c r="CI141" s="1354">
        <f t="shared" ca="1" si="23"/>
        <v>0</v>
      </c>
      <c r="CJ141" s="1354"/>
      <c r="CK141" s="1354">
        <f t="shared" ca="1" si="24"/>
        <v>0</v>
      </c>
      <c r="CL141" s="1354"/>
      <c r="CM141" s="1354">
        <f t="shared" ca="1" si="25"/>
        <v>0</v>
      </c>
      <c r="CN141" s="1354"/>
      <c r="CO141" s="1354">
        <f t="shared" ca="1" si="26"/>
        <v>0</v>
      </c>
      <c r="CP141" s="1354"/>
      <c r="CQ141" s="1354">
        <f t="shared" ca="1" si="27"/>
        <v>0</v>
      </c>
      <c r="CR141" s="1354"/>
      <c r="CS141" s="1354">
        <f t="shared" ca="1" si="28"/>
        <v>0</v>
      </c>
      <c r="CT141" s="1354"/>
      <c r="CU141" s="1354">
        <f t="shared" ca="1" si="29"/>
        <v>0</v>
      </c>
      <c r="CV141" s="1354"/>
      <c r="CW141" s="1354">
        <f t="shared" ca="1" si="30"/>
        <v>0</v>
      </c>
      <c r="CX141" s="1354"/>
      <c r="CY141" s="1354">
        <f t="shared" ca="1" si="31"/>
        <v>0</v>
      </c>
      <c r="CZ141" s="1354"/>
      <c r="DA141" s="1354">
        <f t="shared" ca="1" si="32"/>
        <v>0</v>
      </c>
      <c r="DB141" s="1354"/>
      <c r="DC141" s="1354">
        <f t="shared" ca="1" si="33"/>
        <v>0</v>
      </c>
      <c r="DD141" s="1354"/>
      <c r="DE141" s="1354">
        <f t="shared" ca="1" si="34"/>
        <v>0</v>
      </c>
      <c r="DF141" s="1354"/>
      <c r="DG141" s="1354">
        <f t="shared" ca="1" si="35"/>
        <v>0</v>
      </c>
      <c r="DH141" s="1354"/>
      <c r="DI141" s="1354">
        <f t="shared" ca="1" si="36"/>
        <v>0</v>
      </c>
      <c r="DJ141" s="1354"/>
      <c r="DK141" s="1354">
        <f t="shared" ca="1" si="37"/>
        <v>0</v>
      </c>
      <c r="DL141" s="1354"/>
      <c r="DM141" s="1354">
        <f t="shared" ca="1" si="38"/>
        <v>0</v>
      </c>
      <c r="DN141" s="1354"/>
    </row>
    <row r="142" spans="1:118" ht="20.100000000000001" customHeight="1" outlineLevel="1" x14ac:dyDescent="0.25">
      <c r="A142" s="18"/>
      <c r="B142" s="18"/>
      <c r="C142" s="18"/>
      <c r="D142" s="1"/>
      <c r="E142" s="2"/>
      <c r="F142" s="1377"/>
      <c r="G142" s="1377"/>
      <c r="H142" s="1377"/>
      <c r="I142" s="1377"/>
      <c r="J142" s="1377"/>
      <c r="K142" s="1377"/>
      <c r="L142" s="1377"/>
      <c r="M142" s="1384" t="s">
        <v>80</v>
      </c>
      <c r="N142" s="1384"/>
      <c r="O142" s="1384"/>
      <c r="P142" s="1384"/>
      <c r="Q142" s="1375" t="str">
        <f ca="1">Calculos!BZ21</f>
        <v>-</v>
      </c>
      <c r="R142" s="1376"/>
      <c r="S142" s="1375" t="str">
        <f ca="1">Calculos!BZ37</f>
        <v>-</v>
      </c>
      <c r="T142" s="1376"/>
      <c r="U142" s="1375" t="str">
        <f ca="1">Calculos!BZ53</f>
        <v>-</v>
      </c>
      <c r="V142" s="1376"/>
      <c r="W142" s="1375" t="str">
        <f ca="1">Calculos!BZ69</f>
        <v>-</v>
      </c>
      <c r="X142" s="1376"/>
      <c r="Y142" s="1375" t="str">
        <f ca="1">Calculos!BZ85</f>
        <v>-</v>
      </c>
      <c r="Z142" s="1376"/>
      <c r="AA142" s="1375" t="str">
        <f ca="1">Calculos!BZ101</f>
        <v>-</v>
      </c>
      <c r="AB142" s="1376"/>
      <c r="AC142" s="1375" t="str">
        <f ca="1">Calculos!BZ117</f>
        <v>-</v>
      </c>
      <c r="AD142" s="1376"/>
      <c r="AE142" s="1375" t="str">
        <f ca="1">Calculos!BZ133</f>
        <v>-</v>
      </c>
      <c r="AF142" s="1376"/>
      <c r="AG142" s="1375" t="str">
        <f ca="1">Calculos!BZ149</f>
        <v>-</v>
      </c>
      <c r="AH142" s="1376"/>
      <c r="AI142" s="1375" t="str">
        <f ca="1">Calculos!BZ165</f>
        <v>-</v>
      </c>
      <c r="AJ142" s="1376"/>
      <c r="AK142" s="1375" t="str">
        <f ca="1">Calculos!BZ181</f>
        <v>-</v>
      </c>
      <c r="AL142" s="1376"/>
      <c r="AM142" s="1375" t="str">
        <f ca="1">Calculos!BZ197</f>
        <v>-</v>
      </c>
      <c r="AN142" s="1376"/>
      <c r="AO142" s="1375" t="str">
        <f ca="1">Calculos!BZ213</f>
        <v>-</v>
      </c>
      <c r="AP142" s="1376"/>
      <c r="AQ142" s="1375" t="str">
        <f ca="1">Calculos!BZ229</f>
        <v>-</v>
      </c>
      <c r="AR142" s="1376"/>
      <c r="AS142" s="1375" t="str">
        <f ca="1">Calculos!BZ245</f>
        <v>-</v>
      </c>
      <c r="AT142" s="1376"/>
      <c r="AU142" s="1375" t="str">
        <f ca="1">Calculos!BZ261</f>
        <v>-</v>
      </c>
      <c r="AV142" s="1376"/>
      <c r="AW142" s="1375" t="str">
        <f ca="1">Calculos!BZ277</f>
        <v>-</v>
      </c>
      <c r="AX142" s="1376"/>
      <c r="AY142" s="1375" t="str">
        <f ca="1">Calculos!BZ293</f>
        <v>-</v>
      </c>
      <c r="AZ142" s="1376"/>
      <c r="BA142" s="1375" t="str">
        <f ca="1">Calculos!BZ309</f>
        <v>-</v>
      </c>
      <c r="BB142" s="1376"/>
      <c r="BC142" s="1375" t="str">
        <f ca="1">Calculos!BZ325</f>
        <v>-</v>
      </c>
      <c r="BD142" s="1376"/>
      <c r="CA142" s="1354">
        <f t="shared" ca="1" si="39"/>
        <v>0</v>
      </c>
      <c r="CB142" s="1354"/>
      <c r="CC142" s="1354">
        <f t="shared" ca="1" si="20"/>
        <v>0</v>
      </c>
      <c r="CD142" s="1354"/>
      <c r="CE142" s="1354">
        <f t="shared" ca="1" si="21"/>
        <v>0</v>
      </c>
      <c r="CF142" s="1354"/>
      <c r="CG142" s="1354">
        <f t="shared" ca="1" si="22"/>
        <v>0</v>
      </c>
      <c r="CH142" s="1354"/>
      <c r="CI142" s="1354">
        <f t="shared" ca="1" si="23"/>
        <v>0</v>
      </c>
      <c r="CJ142" s="1354"/>
      <c r="CK142" s="1354">
        <f t="shared" ca="1" si="24"/>
        <v>0</v>
      </c>
      <c r="CL142" s="1354"/>
      <c r="CM142" s="1354">
        <f t="shared" ca="1" si="25"/>
        <v>0</v>
      </c>
      <c r="CN142" s="1354"/>
      <c r="CO142" s="1354">
        <f t="shared" ca="1" si="26"/>
        <v>0</v>
      </c>
      <c r="CP142" s="1354"/>
      <c r="CQ142" s="1354">
        <f t="shared" ca="1" si="27"/>
        <v>0</v>
      </c>
      <c r="CR142" s="1354"/>
      <c r="CS142" s="1354">
        <f t="shared" ca="1" si="28"/>
        <v>0</v>
      </c>
      <c r="CT142" s="1354"/>
      <c r="CU142" s="1354">
        <f t="shared" ca="1" si="29"/>
        <v>0</v>
      </c>
      <c r="CV142" s="1354"/>
      <c r="CW142" s="1354">
        <f t="shared" ca="1" si="30"/>
        <v>0</v>
      </c>
      <c r="CX142" s="1354"/>
      <c r="CY142" s="1354">
        <f t="shared" ca="1" si="31"/>
        <v>0</v>
      </c>
      <c r="CZ142" s="1354"/>
      <c r="DA142" s="1354">
        <f t="shared" ca="1" si="32"/>
        <v>0</v>
      </c>
      <c r="DB142" s="1354"/>
      <c r="DC142" s="1354">
        <f t="shared" ca="1" si="33"/>
        <v>0</v>
      </c>
      <c r="DD142" s="1354"/>
      <c r="DE142" s="1354">
        <f t="shared" ca="1" si="34"/>
        <v>0</v>
      </c>
      <c r="DF142" s="1354"/>
      <c r="DG142" s="1354">
        <f t="shared" ca="1" si="35"/>
        <v>0</v>
      </c>
      <c r="DH142" s="1354"/>
      <c r="DI142" s="1354">
        <f t="shared" ca="1" si="36"/>
        <v>0</v>
      </c>
      <c r="DJ142" s="1354"/>
      <c r="DK142" s="1354">
        <f t="shared" ca="1" si="37"/>
        <v>0</v>
      </c>
      <c r="DL142" s="1354"/>
      <c r="DM142" s="1354">
        <f t="shared" ca="1" si="38"/>
        <v>0</v>
      </c>
      <c r="DN142" s="1354"/>
    </row>
    <row r="143" spans="1:118" ht="30" customHeight="1" outlineLevel="1" x14ac:dyDescent="0.25">
      <c r="A143" s="18"/>
      <c r="B143" s="18"/>
      <c r="C143" s="18"/>
      <c r="D143" s="1"/>
      <c r="E143" s="2"/>
      <c r="F143" s="1377" t="s">
        <v>353</v>
      </c>
      <c r="G143" s="1377"/>
      <c r="H143" s="1377"/>
      <c r="I143" s="1377"/>
      <c r="J143" s="1377"/>
      <c r="K143" s="1377"/>
      <c r="L143" s="1377"/>
      <c r="M143" s="1377"/>
      <c r="N143" s="1377"/>
      <c r="O143" s="1377"/>
      <c r="P143" s="1377"/>
      <c r="Q143" s="1364" t="str">
        <f ca="1">Calculos!BK360</f>
        <v>-</v>
      </c>
      <c r="R143" s="1365"/>
      <c r="S143" s="1364" t="str">
        <f ca="1">Calculos!BL360</f>
        <v>-</v>
      </c>
      <c r="T143" s="1365"/>
      <c r="U143" s="1364" t="str">
        <f ca="1">Calculos!BM360</f>
        <v>-</v>
      </c>
      <c r="V143" s="1365"/>
      <c r="W143" s="1364" t="str">
        <f ca="1">Calculos!BN360</f>
        <v>-</v>
      </c>
      <c r="X143" s="1365"/>
      <c r="Y143" s="1364" t="str">
        <f ca="1">Calculos!BO360</f>
        <v>-</v>
      </c>
      <c r="Z143" s="1365"/>
      <c r="AA143" s="1364" t="str">
        <f ca="1">Calculos!BP360</f>
        <v>-</v>
      </c>
      <c r="AB143" s="1365"/>
      <c r="AC143" s="1364" t="str">
        <f ca="1">Calculos!BQ360</f>
        <v>-</v>
      </c>
      <c r="AD143" s="1365"/>
      <c r="AE143" s="1364" t="str">
        <f ca="1">Calculos!BR360</f>
        <v>-</v>
      </c>
      <c r="AF143" s="1365"/>
      <c r="AG143" s="1364" t="str">
        <f ca="1">Calculos!BS360</f>
        <v>-</v>
      </c>
      <c r="AH143" s="1365"/>
      <c r="AI143" s="1364" t="str">
        <f ca="1">Calculos!BT360</f>
        <v>-</v>
      </c>
      <c r="AJ143" s="1365"/>
      <c r="AK143" s="1364" t="str">
        <f ca="1">Calculos!BU360</f>
        <v>-</v>
      </c>
      <c r="AL143" s="1365"/>
      <c r="AM143" s="1364" t="str">
        <f ca="1">Calculos!BV360</f>
        <v>-</v>
      </c>
      <c r="AN143" s="1365"/>
      <c r="AO143" s="1364" t="str">
        <f ca="1">Calculos!BW360</f>
        <v>-</v>
      </c>
      <c r="AP143" s="1365"/>
      <c r="AQ143" s="1364" t="str">
        <f ca="1">Calculos!BX360</f>
        <v>-</v>
      </c>
      <c r="AR143" s="1365"/>
      <c r="AS143" s="1364" t="str">
        <f ca="1">Calculos!BY360</f>
        <v>-</v>
      </c>
      <c r="AT143" s="1365"/>
      <c r="AU143" s="1364" t="str">
        <f ca="1">Calculos!BZ360</f>
        <v>-</v>
      </c>
      <c r="AV143" s="1365"/>
      <c r="AW143" s="1364" t="str">
        <f ca="1">Calculos!CA360</f>
        <v>-</v>
      </c>
      <c r="AX143" s="1365"/>
      <c r="AY143" s="1364" t="str">
        <f ca="1">Calculos!CB360</f>
        <v>-</v>
      </c>
      <c r="AZ143" s="1365"/>
      <c r="BA143" s="1364" t="str">
        <f ca="1">Calculos!CC360</f>
        <v>-</v>
      </c>
      <c r="BB143" s="1365"/>
      <c r="BC143" s="1364" t="str">
        <f ca="1">Calculos!CD360</f>
        <v>-</v>
      </c>
      <c r="BD143" s="1365"/>
    </row>
    <row r="144" spans="1:118" ht="30" customHeight="1" outlineLevel="1" x14ac:dyDescent="0.25">
      <c r="A144" s="18"/>
      <c r="B144" s="18"/>
      <c r="C144" s="18"/>
      <c r="D144" s="1"/>
      <c r="E144" s="2"/>
      <c r="F144" s="1377" t="s">
        <v>6059</v>
      </c>
      <c r="G144" s="1377"/>
      <c r="H144" s="1377"/>
      <c r="I144" s="1377"/>
      <c r="J144" s="1377"/>
      <c r="K144" s="1377"/>
      <c r="L144" s="1377"/>
      <c r="M144" s="1377"/>
      <c r="N144" s="1377"/>
      <c r="O144" s="1377"/>
      <c r="P144" s="1377"/>
      <c r="Q144" s="1364" t="str">
        <f ca="1">Calculos!BK373</f>
        <v>-</v>
      </c>
      <c r="R144" s="1365"/>
      <c r="S144" s="1364" t="str">
        <f ca="1">Calculos!BL373</f>
        <v>-</v>
      </c>
      <c r="T144" s="1365"/>
      <c r="U144" s="1364" t="str">
        <f ca="1">Calculos!BM373</f>
        <v>-</v>
      </c>
      <c r="V144" s="1365"/>
      <c r="W144" s="1364" t="str">
        <f ca="1">Calculos!BN373</f>
        <v>-</v>
      </c>
      <c r="X144" s="1365"/>
      <c r="Y144" s="1364" t="str">
        <f ca="1">Calculos!BO373</f>
        <v>-</v>
      </c>
      <c r="Z144" s="1365"/>
      <c r="AA144" s="1364" t="str">
        <f ca="1">Calculos!BP373</f>
        <v>-</v>
      </c>
      <c r="AB144" s="1365"/>
      <c r="AC144" s="1364" t="str">
        <f ca="1">Calculos!BQ373</f>
        <v>-</v>
      </c>
      <c r="AD144" s="1365"/>
      <c r="AE144" s="1364" t="str">
        <f ca="1">Calculos!BR373</f>
        <v>-</v>
      </c>
      <c r="AF144" s="1365"/>
      <c r="AG144" s="1364" t="str">
        <f ca="1">Calculos!BS373</f>
        <v>-</v>
      </c>
      <c r="AH144" s="1365"/>
      <c r="AI144" s="1364" t="str">
        <f ca="1">Calculos!BT373</f>
        <v>-</v>
      </c>
      <c r="AJ144" s="1365"/>
      <c r="AK144" s="1364" t="str">
        <f ca="1">Calculos!BU373</f>
        <v>-</v>
      </c>
      <c r="AL144" s="1365"/>
      <c r="AM144" s="1364" t="str">
        <f ca="1">Calculos!BV373</f>
        <v>-</v>
      </c>
      <c r="AN144" s="1365"/>
      <c r="AO144" s="1364" t="str">
        <f ca="1">Calculos!BW373</f>
        <v>-</v>
      </c>
      <c r="AP144" s="1365"/>
      <c r="AQ144" s="1364" t="str">
        <f ca="1">Calculos!BX373</f>
        <v>-</v>
      </c>
      <c r="AR144" s="1365"/>
      <c r="AS144" s="1364" t="str">
        <f ca="1">Calculos!BY373</f>
        <v>-</v>
      </c>
      <c r="AT144" s="1365"/>
      <c r="AU144" s="1364" t="str">
        <f ca="1">Calculos!BZ373</f>
        <v>-</v>
      </c>
      <c r="AV144" s="1365"/>
      <c r="AW144" s="1364" t="str">
        <f ca="1">Calculos!CA373</f>
        <v>-</v>
      </c>
      <c r="AX144" s="1365"/>
      <c r="AY144" s="1364" t="str">
        <f ca="1">Calculos!CB373</f>
        <v>-</v>
      </c>
      <c r="AZ144" s="1365"/>
      <c r="BA144" s="1364" t="str">
        <f ca="1">Calculos!CC373</f>
        <v>-</v>
      </c>
      <c r="BB144" s="1365"/>
      <c r="BC144" s="1364" t="str">
        <f ca="1">Calculos!CD373</f>
        <v>-</v>
      </c>
      <c r="BD144" s="1365"/>
    </row>
    <row r="145" spans="1:57" ht="24.95" customHeight="1" outlineLevel="1" x14ac:dyDescent="0.25">
      <c r="A145" s="18"/>
      <c r="B145" s="18"/>
      <c r="C145" s="18"/>
      <c r="D145" s="1"/>
      <c r="E145" s="2"/>
      <c r="F145" s="314"/>
      <c r="G145" s="314"/>
      <c r="H145" s="314"/>
      <c r="I145" s="314"/>
      <c r="J145" s="314"/>
      <c r="K145" s="314"/>
      <c r="L145" s="314"/>
      <c r="M145" s="314"/>
      <c r="N145" s="2"/>
      <c r="O145" s="2"/>
      <c r="P145" s="2"/>
      <c r="Q145" s="249" t="s">
        <v>6036</v>
      </c>
      <c r="R145" s="2"/>
      <c r="S145" s="2"/>
      <c r="T145" s="2"/>
      <c r="U145" s="2"/>
      <c r="V145" s="2"/>
      <c r="W145" s="249"/>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20.100000000000001" customHeight="1" x14ac:dyDescent="0.25">
      <c r="A146" s="18"/>
      <c r="B146" s="18"/>
      <c r="C146" s="18"/>
      <c r="D146" s="1"/>
      <c r="E146" s="7"/>
      <c r="F146" s="1"/>
      <c r="G146" s="1"/>
      <c r="H146" s="1"/>
      <c r="I146" s="1"/>
      <c r="J146" s="1"/>
      <c r="K146" s="1"/>
      <c r="L146" s="1"/>
      <c r="M146" s="1"/>
      <c r="N146" s="1"/>
      <c r="O146" s="1"/>
      <c r="P146" s="1"/>
      <c r="Q146" s="1"/>
      <c r="R146" s="1"/>
      <c r="S146" s="1"/>
      <c r="T146" s="1"/>
      <c r="U146" s="1"/>
      <c r="V146" s="1"/>
      <c r="W146" s="316"/>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row>
    <row r="147" spans="1:57" ht="20.100000000000001" customHeight="1" x14ac:dyDescent="0.25">
      <c r="A147" s="18"/>
      <c r="B147" s="18"/>
      <c r="C147" s="18"/>
      <c r="D147" s="1"/>
      <c r="E147" s="2"/>
      <c r="F147" s="2"/>
      <c r="G147" s="2"/>
      <c r="H147" s="2"/>
      <c r="I147" s="2"/>
      <c r="J147" s="2"/>
      <c r="K147" s="2"/>
      <c r="L147" s="2"/>
      <c r="M147" s="2"/>
      <c r="N147" s="2"/>
      <c r="O147" s="2"/>
      <c r="P147" s="2"/>
      <c r="Q147" s="2"/>
      <c r="R147" s="2"/>
      <c r="S147" s="2"/>
      <c r="T147" s="2"/>
      <c r="U147" s="2"/>
      <c r="V147" s="2"/>
      <c r="W147" s="249"/>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20.100000000000001" customHeight="1" x14ac:dyDescent="0.25">
      <c r="A148" s="18"/>
      <c r="B148" s="18"/>
      <c r="C148" s="18"/>
      <c r="D148" s="1"/>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20.100000000000001" customHeight="1" x14ac:dyDescent="0.25">
      <c r="A149" s="18"/>
      <c r="B149" s="18"/>
      <c r="C149" s="18"/>
      <c r="D149" s="1"/>
      <c r="E149" s="2"/>
      <c r="F149" s="1149" t="s">
        <v>89</v>
      </c>
      <c r="G149" s="1094"/>
      <c r="H149" s="1094"/>
      <c r="I149" s="1094"/>
      <c r="J149" s="1094"/>
      <c r="K149" s="1094"/>
      <c r="L149" s="1104"/>
      <c r="M149" s="148"/>
      <c r="N149" s="1259"/>
      <c r="O149" s="1260"/>
      <c r="P149" s="1260"/>
      <c r="Q149" s="1260"/>
      <c r="R149" s="1260"/>
      <c r="S149" s="1261"/>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30" customHeight="1" x14ac:dyDescent="0.25">
      <c r="A150" s="18"/>
      <c r="B150" s="18"/>
      <c r="C150" s="18"/>
      <c r="D150" s="1"/>
      <c r="E150" s="2"/>
      <c r="F150" s="1149" t="s">
        <v>352</v>
      </c>
      <c r="G150" s="1094"/>
      <c r="H150" s="1094"/>
      <c r="I150" s="1094"/>
      <c r="J150" s="1094"/>
      <c r="K150" s="1094"/>
      <c r="L150" s="1104"/>
      <c r="M150" s="148" t="s">
        <v>186</v>
      </c>
      <c r="N150" s="1259"/>
      <c r="O150" s="1260"/>
      <c r="P150" s="1260"/>
      <c r="Q150" s="1260"/>
      <c r="R150" s="1260"/>
      <c r="S150" s="1261"/>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30" customHeight="1" x14ac:dyDescent="0.25">
      <c r="A151" s="18"/>
      <c r="B151" s="18"/>
      <c r="C151" s="18"/>
      <c r="D151" s="1"/>
      <c r="E151" s="2"/>
      <c r="F151" s="1149" t="s">
        <v>130</v>
      </c>
      <c r="G151" s="1094"/>
      <c r="H151" s="1094"/>
      <c r="I151" s="1094"/>
      <c r="J151" s="1094"/>
      <c r="K151" s="1094"/>
      <c r="L151" s="1094"/>
      <c r="M151" s="148" t="s">
        <v>186</v>
      </c>
      <c r="N151" s="1417"/>
      <c r="O151" s="1418"/>
      <c r="P151" s="1418"/>
      <c r="Q151" s="1418"/>
      <c r="R151" s="1418"/>
      <c r="S151" s="1418"/>
      <c r="T151" s="1418"/>
      <c r="U151" s="1418"/>
      <c r="V151" s="1418"/>
      <c r="W151" s="1418"/>
      <c r="X151" s="1418"/>
      <c r="Y151" s="1418"/>
      <c r="Z151" s="1418"/>
      <c r="AA151" s="1418"/>
      <c r="AB151" s="1418"/>
      <c r="AC151" s="1418"/>
      <c r="AD151" s="1418"/>
      <c r="AE151" s="1418"/>
      <c r="AF151" s="1418"/>
      <c r="AG151" s="1418"/>
      <c r="AH151" s="1418"/>
      <c r="AI151" s="1418"/>
      <c r="AJ151" s="1418"/>
      <c r="AK151" s="1418"/>
      <c r="AL151" s="1418"/>
      <c r="AM151" s="1419"/>
      <c r="AN151" s="124"/>
      <c r="AO151" s="124"/>
      <c r="AP151" s="124"/>
      <c r="AQ151" s="124"/>
      <c r="AR151" s="124"/>
      <c r="AS151" s="124"/>
      <c r="AT151" s="124"/>
      <c r="AU151" s="124"/>
      <c r="AV151" s="124"/>
      <c r="AW151" s="124"/>
      <c r="AX151" s="124"/>
      <c r="AY151" s="124"/>
      <c r="AZ151" s="124"/>
      <c r="BA151" s="2"/>
      <c r="BB151" s="2"/>
      <c r="BC151" s="2"/>
      <c r="BD151" s="2"/>
      <c r="BE151" s="2"/>
    </row>
    <row r="152" spans="1:57" ht="20.100000000000001" customHeight="1" x14ac:dyDescent="0.25">
      <c r="A152" s="18"/>
      <c r="B152" s="18"/>
      <c r="C152" s="18"/>
      <c r="D152" s="1"/>
      <c r="E152" s="2"/>
      <c r="F152" s="1149" t="s">
        <v>83</v>
      </c>
      <c r="G152" s="1094"/>
      <c r="H152" s="1094"/>
      <c r="I152" s="1094"/>
      <c r="J152" s="1094"/>
      <c r="K152" s="1094"/>
      <c r="L152" s="1104"/>
      <c r="M152" s="148" t="s">
        <v>186</v>
      </c>
      <c r="N152" s="1413"/>
      <c r="O152" s="1414"/>
      <c r="P152" s="1414"/>
      <c r="Q152" s="1414"/>
      <c r="R152" s="1414"/>
      <c r="S152" s="1414"/>
      <c r="T152" s="1414"/>
      <c r="U152" s="1414"/>
      <c r="V152" s="1414"/>
      <c r="W152" s="1414"/>
      <c r="X152" s="1415"/>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20.100000000000001" customHeight="1" x14ac:dyDescent="0.25">
      <c r="A153" s="18"/>
      <c r="B153" s="18"/>
      <c r="C153" s="18"/>
      <c r="D153" s="1"/>
      <c r="E153" s="2"/>
      <c r="F153" s="1149" t="s">
        <v>100</v>
      </c>
      <c r="G153" s="1094"/>
      <c r="H153" s="1094"/>
      <c r="I153" s="1094"/>
      <c r="J153" s="1094"/>
      <c r="K153" s="1094"/>
      <c r="L153" s="1104"/>
      <c r="M153" s="148" t="s">
        <v>186</v>
      </c>
      <c r="N153" s="1413"/>
      <c r="O153" s="1414"/>
      <c r="P153" s="1414"/>
      <c r="Q153" s="1414"/>
      <c r="R153" s="1414"/>
      <c r="S153" s="1414"/>
      <c r="T153" s="1414"/>
      <c r="U153" s="1414"/>
      <c r="V153" s="1414"/>
      <c r="W153" s="1414"/>
      <c r="X153" s="1415"/>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20.100000000000001" hidden="1" customHeight="1" x14ac:dyDescent="0.25">
      <c r="A154" s="18"/>
      <c r="B154" s="18"/>
      <c r="C154" s="18"/>
      <c r="D154" s="1"/>
      <c r="E154" s="2"/>
    </row>
    <row r="155" spans="1:57" ht="20.100000000000001" hidden="1" customHeight="1" x14ac:dyDescent="0.25">
      <c r="A155" s="18"/>
      <c r="B155" s="18"/>
      <c r="C155" s="18"/>
      <c r="D155" s="1"/>
      <c r="E155" s="2"/>
    </row>
    <row r="156" spans="1:57" ht="20.100000000000001" hidden="1" customHeight="1" x14ac:dyDescent="0.25">
      <c r="A156" s="18"/>
      <c r="B156" s="18"/>
      <c r="C156" s="18"/>
      <c r="D156" s="1"/>
      <c r="E156" s="2"/>
    </row>
    <row r="157" spans="1:57" ht="20.100000000000001" hidden="1" customHeight="1" x14ac:dyDescent="0.25">
      <c r="A157" s="18"/>
      <c r="B157" s="18"/>
      <c r="C157" s="18"/>
      <c r="D157" s="1"/>
      <c r="E157" s="2"/>
    </row>
    <row r="158" spans="1:57" ht="20.100000000000001" hidden="1" customHeight="1" x14ac:dyDescent="0.25">
      <c r="A158" s="18"/>
      <c r="B158" s="18"/>
      <c r="C158" s="18"/>
      <c r="D158" s="1"/>
      <c r="E158" s="2"/>
    </row>
    <row r="159" spans="1:57" ht="20.100000000000001" hidden="1" customHeight="1" x14ac:dyDescent="0.25">
      <c r="A159" s="18"/>
      <c r="B159" s="18"/>
      <c r="C159" s="18"/>
      <c r="D159" s="1"/>
      <c r="E159" s="2"/>
    </row>
    <row r="160" spans="1:57" ht="20.100000000000001" hidden="1" customHeight="1" x14ac:dyDescent="0.25">
      <c r="A160" s="18"/>
      <c r="B160" s="18"/>
      <c r="C160" s="18"/>
      <c r="D160" s="1"/>
      <c r="E160" s="2"/>
    </row>
    <row r="161" spans="1:118" ht="20.100000000000001" customHeight="1" x14ac:dyDescent="0.25">
      <c r="A161" s="18"/>
      <c r="B161" s="18"/>
      <c r="C161" s="18"/>
      <c r="D161" s="1"/>
      <c r="E161" s="2"/>
      <c r="AN161" s="3"/>
      <c r="AO161" s="3"/>
      <c r="AP161" s="3"/>
      <c r="AQ161" s="3"/>
      <c r="AR161" s="3"/>
      <c r="AS161" s="3"/>
      <c r="AT161" s="3"/>
      <c r="AU161" s="3"/>
      <c r="AV161" s="3"/>
      <c r="AW161" s="2"/>
      <c r="AX161" s="2"/>
      <c r="AY161" s="2"/>
      <c r="AZ161" s="2"/>
      <c r="BA161" s="2"/>
      <c r="BB161" s="2"/>
      <c r="BC161" s="2"/>
      <c r="BD161" s="2"/>
      <c r="BE161" s="2"/>
    </row>
    <row r="162" spans="1:118" ht="21.95" customHeight="1" x14ac:dyDescent="0.25">
      <c r="A162" s="18"/>
      <c r="B162" s="18"/>
      <c r="C162" s="18"/>
      <c r="D162" s="1"/>
      <c r="E162" s="2"/>
      <c r="F162" s="1403" t="s">
        <v>8530</v>
      </c>
      <c r="G162" s="1404"/>
      <c r="H162" s="1404"/>
      <c r="I162" s="1404"/>
      <c r="J162" s="1404"/>
      <c r="K162" s="1404"/>
      <c r="L162" s="1404"/>
      <c r="M162" s="1405"/>
      <c r="N162" s="1399" t="s">
        <v>90</v>
      </c>
      <c r="O162" s="1400"/>
      <c r="P162" s="1392" t="str">
        <f ca="1">Calculos!CP44</f>
        <v>---</v>
      </c>
      <c r="Q162" s="1392"/>
      <c r="R162" s="1392"/>
      <c r="S162" s="1392"/>
      <c r="T162" s="1412" t="s">
        <v>95</v>
      </c>
      <c r="U162" s="1412"/>
      <c r="V162" s="1412"/>
      <c r="W162" s="1412"/>
      <c r="X162" s="1412"/>
      <c r="Y162" s="1392" t="str">
        <f ca="1">Calculos!CR44</f>
        <v>---</v>
      </c>
      <c r="Z162" s="1392"/>
      <c r="AA162" s="1392"/>
      <c r="AB162" s="1392"/>
      <c r="AC162" s="2"/>
      <c r="AD162" s="2"/>
      <c r="AE162" s="2"/>
      <c r="AF162" s="2"/>
      <c r="AG162" s="2"/>
      <c r="AH162" s="2"/>
      <c r="AI162" s="2"/>
      <c r="AJ162" s="2"/>
      <c r="AK162" s="2"/>
      <c r="AL162" s="2"/>
      <c r="AM162" s="2"/>
      <c r="AN162" s="2"/>
      <c r="AO162" s="2"/>
      <c r="AP162" s="2"/>
      <c r="AQ162" s="2"/>
      <c r="AR162" s="2"/>
      <c r="AS162" s="2"/>
      <c r="AT162" s="2"/>
      <c r="AU162" s="3"/>
      <c r="AV162" s="3"/>
      <c r="AW162" s="2"/>
      <c r="AX162" s="2"/>
      <c r="AY162" s="2"/>
      <c r="AZ162" s="2"/>
      <c r="BA162" s="2"/>
      <c r="BB162" s="2"/>
      <c r="BC162" s="2"/>
      <c r="BD162" s="2"/>
      <c r="BE162" s="2"/>
    </row>
    <row r="163" spans="1:118" ht="21.95" customHeight="1" x14ac:dyDescent="0.25">
      <c r="A163" s="18"/>
      <c r="B163" s="18"/>
      <c r="C163" s="18"/>
      <c r="D163" s="1"/>
      <c r="E163" s="2"/>
      <c r="F163" s="1406"/>
      <c r="G163" s="1383"/>
      <c r="H163" s="1383"/>
      <c r="I163" s="1383"/>
      <c r="J163" s="1383"/>
      <c r="K163" s="1383"/>
      <c r="L163" s="1383"/>
      <c r="M163" s="1407"/>
      <c r="N163" s="1401" t="s">
        <v>91</v>
      </c>
      <c r="O163" s="1402"/>
      <c r="P163" s="1392" t="str">
        <f ca="1">Calculos!CP45</f>
        <v>---</v>
      </c>
      <c r="Q163" s="1392"/>
      <c r="R163" s="1392"/>
      <c r="S163" s="1392"/>
      <c r="T163" s="1411" t="s">
        <v>96</v>
      </c>
      <c r="U163" s="1411"/>
      <c r="V163" s="1411"/>
      <c r="W163" s="1411"/>
      <c r="X163" s="1411"/>
      <c r="Y163" s="1392" t="str">
        <f ca="1">Calculos!CR45</f>
        <v>---</v>
      </c>
      <c r="Z163" s="1392"/>
      <c r="AA163" s="1392"/>
      <c r="AB163" s="139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118" ht="21.95" customHeight="1" x14ac:dyDescent="0.25">
      <c r="A164" s="18"/>
      <c r="B164" s="18"/>
      <c r="C164" s="18"/>
      <c r="D164" s="1"/>
      <c r="E164" s="2"/>
      <c r="F164" s="1406"/>
      <c r="G164" s="1383"/>
      <c r="H164" s="1383"/>
      <c r="I164" s="1383"/>
      <c r="J164" s="1383"/>
      <c r="K164" s="1383"/>
      <c r="L164" s="1383"/>
      <c r="M164" s="1407"/>
      <c r="N164" s="1401" t="s">
        <v>92</v>
      </c>
      <c r="O164" s="1402"/>
      <c r="P164" s="1392" t="str">
        <f ca="1">Calculos!CP46</f>
        <v>---</v>
      </c>
      <c r="Q164" s="1392"/>
      <c r="R164" s="1392"/>
      <c r="S164" s="1392"/>
      <c r="T164" s="1411" t="s">
        <v>97</v>
      </c>
      <c r="U164" s="1411"/>
      <c r="V164" s="1411"/>
      <c r="W164" s="1411"/>
      <c r="X164" s="1411"/>
      <c r="Y164" s="1392" t="str">
        <f ca="1">Calculos!CR46</f>
        <v>---</v>
      </c>
      <c r="Z164" s="1392"/>
      <c r="AA164" s="1392"/>
      <c r="AB164" s="1392"/>
      <c r="AC164" s="2"/>
      <c r="AD164" s="1387"/>
      <c r="AE164" s="1387"/>
      <c r="AF164" s="1387"/>
      <c r="AG164" s="1387"/>
      <c r="AH164" s="1387"/>
      <c r="AI164" s="1387"/>
      <c r="AJ164" s="1387"/>
      <c r="AK164" s="1387"/>
      <c r="AL164" s="3"/>
      <c r="AM164" s="2"/>
      <c r="AN164" s="2"/>
      <c r="AO164" s="2"/>
      <c r="AP164" s="2"/>
      <c r="AQ164" s="2"/>
      <c r="AR164" s="2"/>
      <c r="AS164" s="2"/>
      <c r="AT164" s="2"/>
      <c r="AU164" s="2"/>
      <c r="AV164" s="2"/>
      <c r="AW164" s="2"/>
      <c r="AX164" s="2"/>
      <c r="AY164" s="2"/>
      <c r="AZ164" s="2"/>
      <c r="BA164" s="2"/>
      <c r="BB164" s="2"/>
      <c r="BC164" s="2"/>
      <c r="BD164" s="2"/>
      <c r="BE164" s="124"/>
    </row>
    <row r="165" spans="1:118" ht="21.95" customHeight="1" x14ac:dyDescent="0.25">
      <c r="A165" s="18"/>
      <c r="B165" s="18"/>
      <c r="C165" s="18"/>
      <c r="D165" s="1"/>
      <c r="E165" s="2"/>
      <c r="F165" s="1406"/>
      <c r="G165" s="1383"/>
      <c r="H165" s="1383"/>
      <c r="I165" s="1383"/>
      <c r="J165" s="1383"/>
      <c r="K165" s="1383"/>
      <c r="L165" s="1383"/>
      <c r="M165" s="1407"/>
      <c r="N165" s="1401" t="s">
        <v>93</v>
      </c>
      <c r="O165" s="1402"/>
      <c r="P165" s="1392" t="str">
        <f ca="1">Calculos!CP47</f>
        <v>---</v>
      </c>
      <c r="Q165" s="1392"/>
      <c r="R165" s="1392"/>
      <c r="S165" s="1392"/>
      <c r="T165" s="1411" t="s">
        <v>98</v>
      </c>
      <c r="U165" s="1411"/>
      <c r="V165" s="1411"/>
      <c r="W165" s="1411"/>
      <c r="X165" s="1411"/>
      <c r="Y165" s="1392" t="str">
        <f ca="1">Calculos!CR47</f>
        <v>---</v>
      </c>
      <c r="Z165" s="1392"/>
      <c r="AA165" s="1392"/>
      <c r="AB165" s="1392"/>
      <c r="AC165" s="2"/>
      <c r="AD165" s="1387"/>
      <c r="AE165" s="1387"/>
      <c r="AF165" s="1387"/>
      <c r="AG165" s="1387"/>
      <c r="AH165" s="1387"/>
      <c r="AI165" s="1387"/>
      <c r="AJ165" s="1387"/>
      <c r="AK165" s="1387"/>
      <c r="AL165" s="3"/>
      <c r="AM165" s="2"/>
      <c r="AN165" s="2"/>
      <c r="AO165" s="2"/>
      <c r="AP165" s="2"/>
      <c r="AQ165" s="2"/>
      <c r="AR165" s="2"/>
      <c r="AS165" s="2"/>
      <c r="AT165" s="2"/>
      <c r="AU165" s="2"/>
      <c r="AV165" s="2"/>
      <c r="AW165" s="2"/>
      <c r="AX165" s="2"/>
      <c r="AY165" s="2"/>
      <c r="AZ165" s="2"/>
      <c r="BA165" s="2"/>
      <c r="BB165" s="2"/>
      <c r="BC165" s="2"/>
      <c r="BD165" s="2"/>
      <c r="BE165" s="2"/>
    </row>
    <row r="166" spans="1:118" ht="21.95" customHeight="1" x14ac:dyDescent="0.25">
      <c r="A166" s="18"/>
      <c r="B166" s="18"/>
      <c r="C166" s="18"/>
      <c r="D166" s="1"/>
      <c r="E166" s="2"/>
      <c r="F166" s="1408"/>
      <c r="G166" s="1409"/>
      <c r="H166" s="1409"/>
      <c r="I166" s="1409"/>
      <c r="J166" s="1409"/>
      <c r="K166" s="1409"/>
      <c r="L166" s="1409"/>
      <c r="M166" s="1410"/>
      <c r="N166" s="1360" t="s">
        <v>94</v>
      </c>
      <c r="O166" s="1424"/>
      <c r="P166" s="1392" t="str">
        <f ca="1">Calculos!CP48</f>
        <v>---</v>
      </c>
      <c r="Q166" s="1392"/>
      <c r="R166" s="1392"/>
      <c r="S166" s="1392"/>
      <c r="T166" s="1416" t="s">
        <v>99</v>
      </c>
      <c r="U166" s="1416"/>
      <c r="V166" s="1416"/>
      <c r="W166" s="1416"/>
      <c r="X166" s="1416"/>
      <c r="Y166" s="1392" t="str">
        <f ca="1">Calculos!CR48</f>
        <v>---</v>
      </c>
      <c r="Z166" s="1392"/>
      <c r="AA166" s="1392"/>
      <c r="AB166" s="1392"/>
      <c r="AC166" s="2"/>
      <c r="AD166" s="1387"/>
      <c r="AE166" s="1387"/>
      <c r="AF166" s="1387"/>
      <c r="AG166" s="1387"/>
      <c r="AH166" s="1387"/>
      <c r="AI166" s="1387"/>
      <c r="AJ166" s="1387"/>
      <c r="AK166" s="1387"/>
      <c r="AL166" s="3"/>
      <c r="AM166" s="2"/>
      <c r="AN166" s="2"/>
      <c r="AO166" s="2"/>
      <c r="AP166" s="2"/>
      <c r="AQ166" s="2"/>
      <c r="AR166" s="2"/>
      <c r="AS166" s="2"/>
      <c r="AT166" s="2"/>
      <c r="AU166" s="2"/>
      <c r="AV166" s="2"/>
      <c r="AW166" s="2"/>
      <c r="AX166" s="2"/>
      <c r="AY166" s="2"/>
      <c r="AZ166" s="2"/>
      <c r="BA166" s="2"/>
      <c r="BB166" s="2"/>
      <c r="BC166" s="2"/>
      <c r="BD166" s="2"/>
      <c r="BE166" s="2"/>
    </row>
    <row r="167" spans="1:118" ht="39.950000000000003" customHeight="1" x14ac:dyDescent="0.25">
      <c r="A167" s="18"/>
      <c r="B167" s="18"/>
      <c r="C167" s="18"/>
      <c r="D167" s="1"/>
      <c r="E167" s="2"/>
      <c r="F167" s="281" t="s">
        <v>8649</v>
      </c>
      <c r="G167" s="226" t="s">
        <v>8651</v>
      </c>
      <c r="H167" s="314"/>
      <c r="I167" s="314"/>
      <c r="J167" s="314"/>
      <c r="K167" s="314"/>
      <c r="L167" s="314"/>
      <c r="M167" s="314"/>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CA167" s="1360" t="s">
        <v>90</v>
      </c>
      <c r="CB167" s="1361"/>
      <c r="CC167" s="1360" t="s">
        <v>90</v>
      </c>
      <c r="CD167" s="1361"/>
      <c r="CE167" s="1360" t="s">
        <v>91</v>
      </c>
      <c r="CF167" s="1361"/>
      <c r="CG167" s="1360" t="s">
        <v>91</v>
      </c>
      <c r="CH167" s="1361"/>
      <c r="CI167" s="1360" t="s">
        <v>92</v>
      </c>
      <c r="CJ167" s="1361"/>
      <c r="CK167" s="1360" t="s">
        <v>92</v>
      </c>
      <c r="CL167" s="1361"/>
      <c r="CM167" s="1360" t="s">
        <v>93</v>
      </c>
      <c r="CN167" s="1361"/>
      <c r="CO167" s="1360" t="s">
        <v>93</v>
      </c>
      <c r="CP167" s="1361"/>
      <c r="CQ167" s="1360" t="s">
        <v>94</v>
      </c>
      <c r="CR167" s="1361"/>
      <c r="CS167" s="1360" t="s">
        <v>94</v>
      </c>
      <c r="CT167" s="1361"/>
      <c r="CU167" s="1360" t="s">
        <v>95</v>
      </c>
      <c r="CV167" s="1361"/>
      <c r="CW167" s="1360" t="s">
        <v>95</v>
      </c>
      <c r="CX167" s="1361"/>
      <c r="CY167" s="1360" t="s">
        <v>96</v>
      </c>
      <c r="CZ167" s="1361"/>
      <c r="DA167" s="1360" t="s">
        <v>96</v>
      </c>
      <c r="DB167" s="1361"/>
      <c r="DC167" s="1360" t="s">
        <v>97</v>
      </c>
      <c r="DD167" s="1361"/>
      <c r="DE167" s="1360" t="s">
        <v>97</v>
      </c>
      <c r="DF167" s="1361"/>
      <c r="DG167" s="1360" t="s">
        <v>98</v>
      </c>
      <c r="DH167" s="1361"/>
      <c r="DI167" s="1360" t="s">
        <v>98</v>
      </c>
      <c r="DJ167" s="1361"/>
      <c r="DK167" s="1360" t="s">
        <v>8224</v>
      </c>
      <c r="DL167" s="1361"/>
      <c r="DM167" s="1360" t="s">
        <v>8224</v>
      </c>
      <c r="DN167" s="1361"/>
    </row>
    <row r="168" spans="1:118" ht="30" customHeight="1" outlineLevel="1" x14ac:dyDescent="0.25">
      <c r="A168" s="18"/>
      <c r="B168" s="18"/>
      <c r="C168" s="18"/>
      <c r="D168" s="1"/>
      <c r="E168" s="2"/>
      <c r="F168" s="2"/>
      <c r="G168" s="184"/>
      <c r="H168" s="184"/>
      <c r="I168" s="184"/>
      <c r="J168" s="184"/>
      <c r="K168" s="184"/>
      <c r="L168" s="184"/>
      <c r="M168" s="184"/>
      <c r="N168" s="27"/>
      <c r="O168" s="27"/>
      <c r="P168" s="27"/>
      <c r="Q168" s="1388" t="str">
        <f ca="1">IF(P162="---","-",N162)</f>
        <v>-</v>
      </c>
      <c r="R168" s="1388"/>
      <c r="S168" s="1388"/>
      <c r="T168" s="1388"/>
      <c r="U168" s="1385" t="str">
        <f ca="1">IF(P163="---","-",N163)</f>
        <v>-</v>
      </c>
      <c r="V168" s="1385"/>
      <c r="W168" s="1385"/>
      <c r="X168" s="1385"/>
      <c r="Y168" s="1385" t="str">
        <f ca="1">IF(P164="---","-",N164)</f>
        <v>-</v>
      </c>
      <c r="Z168" s="1385"/>
      <c r="AA168" s="1385"/>
      <c r="AB168" s="1385"/>
      <c r="AC168" s="1385" t="str">
        <f ca="1">IF(P165="---","-",N165)</f>
        <v>-</v>
      </c>
      <c r="AD168" s="1385"/>
      <c r="AE168" s="1385"/>
      <c r="AF168" s="1385"/>
      <c r="AG168" s="1385" t="str">
        <f ca="1">IF(P166="---","-",N166)</f>
        <v>-</v>
      </c>
      <c r="AH168" s="1385"/>
      <c r="AI168" s="1385"/>
      <c r="AJ168" s="1385"/>
      <c r="AK168" s="1385" t="str">
        <f ca="1">IF(Y162="---","-",T162)</f>
        <v>-</v>
      </c>
      <c r="AL168" s="1385"/>
      <c r="AM168" s="1385"/>
      <c r="AN168" s="1385"/>
      <c r="AO168" s="1385" t="str">
        <f ca="1">IF(Y163="---","-",T163)</f>
        <v>-</v>
      </c>
      <c r="AP168" s="1385"/>
      <c r="AQ168" s="1385"/>
      <c r="AR168" s="1385"/>
      <c r="AS168" s="1385" t="str">
        <f ca="1">IF(Y164="---","-",T164)</f>
        <v>-</v>
      </c>
      <c r="AT168" s="1385"/>
      <c r="AU168" s="1385"/>
      <c r="AV168" s="1385"/>
      <c r="AW168" s="1385" t="str">
        <f ca="1">IF(Y165="---","-",T165)</f>
        <v>-</v>
      </c>
      <c r="AX168" s="1385"/>
      <c r="AY168" s="1385"/>
      <c r="AZ168" s="1385"/>
      <c r="BA168" s="1385" t="str">
        <f ca="1">IF(Y166="---","-",T166)</f>
        <v>-</v>
      </c>
      <c r="BB168" s="1385"/>
      <c r="BC168" s="1385"/>
      <c r="BD168" s="1385"/>
      <c r="CA168" s="1355">
        <f>INT(RIGHT(VLOOKUP(CA167,Calculos!$BH$490:$BI$500,2,0),1))</f>
        <v>2</v>
      </c>
      <c r="CB168" s="1356"/>
      <c r="CC168" s="1355">
        <f>INT(RIGHT(VLOOKUP(CC167,Calculos!$BH$490:$BI$500,2,0),1))</f>
        <v>2</v>
      </c>
      <c r="CD168" s="1356"/>
      <c r="CE168" s="1355">
        <f>INT(RIGHT(VLOOKUP(CE167,Calculos!$BH$490:$BI$500,2,0),1))</f>
        <v>2</v>
      </c>
      <c r="CF168" s="1356"/>
      <c r="CG168" s="1355">
        <f>INT(RIGHT(VLOOKUP(CG167,Calculos!$BH$490:$BI$500,2,0),1))</f>
        <v>2</v>
      </c>
      <c r="CH168" s="1356"/>
      <c r="CI168" s="1355">
        <f>INT(RIGHT(VLOOKUP(CI167,Calculos!$BH$490:$BI$500,2,0),1))</f>
        <v>2</v>
      </c>
      <c r="CJ168" s="1356"/>
      <c r="CK168" s="1355">
        <f>INT(RIGHT(VLOOKUP(CK167,Calculos!$BH$490:$BI$500,2,0),1))</f>
        <v>2</v>
      </c>
      <c r="CL168" s="1356"/>
      <c r="CM168" s="1355">
        <f>INT(RIGHT(VLOOKUP(CM167,Calculos!$BH$490:$BI$500,2,0),1))</f>
        <v>2</v>
      </c>
      <c r="CN168" s="1356"/>
      <c r="CO168" s="1355">
        <f>INT(RIGHT(VLOOKUP(CO167,Calculos!$BH$490:$BI$500,2,0),1))</f>
        <v>2</v>
      </c>
      <c r="CP168" s="1356"/>
      <c r="CQ168" s="1355">
        <f>INT(RIGHT(VLOOKUP(CQ167,Calculos!$BH$490:$BI$500,2,0),1))</f>
        <v>2</v>
      </c>
      <c r="CR168" s="1356"/>
      <c r="CS168" s="1355">
        <f>INT(RIGHT(VLOOKUP(CS167,Calculos!$BH$490:$BI$500,2,0),1))</f>
        <v>2</v>
      </c>
      <c r="CT168" s="1356"/>
      <c r="CU168" s="1355">
        <f>INT(RIGHT(VLOOKUP(CU167,Calculos!$BH$490:$BI$500,2,0),1))</f>
        <v>3</v>
      </c>
      <c r="CV168" s="1356"/>
      <c r="CW168" s="1355">
        <f>INT(RIGHT(VLOOKUP(CW167,Calculos!$BH$490:$BI$500,2,0),1))</f>
        <v>3</v>
      </c>
      <c r="CX168" s="1356"/>
      <c r="CY168" s="1355">
        <f>INT(RIGHT(VLOOKUP(CY167,Calculos!$BH$490:$BI$500,2,0),1))</f>
        <v>3</v>
      </c>
      <c r="CZ168" s="1356"/>
      <c r="DA168" s="1355">
        <f>INT(RIGHT(VLOOKUP(DA167,Calculos!$BH$490:$BI$500,2,0),1))</f>
        <v>3</v>
      </c>
      <c r="DB168" s="1356"/>
      <c r="DC168" s="1355">
        <f>INT(RIGHT(VLOOKUP(DC167,Calculos!$BH$490:$BI$500,2,0),1))</f>
        <v>3</v>
      </c>
      <c r="DD168" s="1356"/>
      <c r="DE168" s="1355">
        <f>INT(RIGHT(VLOOKUP(DE167,Calculos!$BH$490:$BI$500,2,0),1))</f>
        <v>3</v>
      </c>
      <c r="DF168" s="1356"/>
      <c r="DG168" s="1355">
        <f>INT(RIGHT(VLOOKUP(DG167,Calculos!$BH$490:$BI$500,2,0),1))</f>
        <v>2</v>
      </c>
      <c r="DH168" s="1356"/>
      <c r="DI168" s="1355">
        <f>INT(RIGHT(VLOOKUP(DI167,Calculos!$BH$490:$BI$500,2,0),1))</f>
        <v>2</v>
      </c>
      <c r="DJ168" s="1356"/>
      <c r="DK168" s="1355">
        <f>INT(RIGHT(VLOOKUP(DK167,Calculos!$BH$490:$BI$500,2,0),1))</f>
        <v>2</v>
      </c>
      <c r="DL168" s="1356"/>
      <c r="DM168" s="1355">
        <f>INT(RIGHT(VLOOKUP(DM167,Calculos!$BH$490:$BI$500,2,0),1))</f>
        <v>2</v>
      </c>
      <c r="DN168" s="1356"/>
    </row>
    <row r="169" spans="1:118" ht="30" customHeight="1" outlineLevel="1" x14ac:dyDescent="0.25">
      <c r="A169" s="18"/>
      <c r="B169" s="18"/>
      <c r="C169" s="18"/>
      <c r="D169" s="1"/>
      <c r="E169" s="2"/>
      <c r="F169" s="2"/>
      <c r="G169" s="184"/>
      <c r="H169" s="184"/>
      <c r="I169" s="184"/>
      <c r="J169" s="184"/>
      <c r="K169" s="184"/>
      <c r="L169" s="184"/>
      <c r="M169" s="1386" t="s">
        <v>6037</v>
      </c>
      <c r="N169" s="1386"/>
      <c r="O169" s="1386"/>
      <c r="P169" s="1386"/>
      <c r="Q169" s="1357" t="s">
        <v>10</v>
      </c>
      <c r="R169" s="1358"/>
      <c r="S169" s="1358" t="s">
        <v>237</v>
      </c>
      <c r="T169" s="1359"/>
      <c r="U169" s="1357" t="s">
        <v>10</v>
      </c>
      <c r="V169" s="1358"/>
      <c r="W169" s="1358" t="s">
        <v>237</v>
      </c>
      <c r="X169" s="1359"/>
      <c r="Y169" s="1357" t="s">
        <v>10</v>
      </c>
      <c r="Z169" s="1358"/>
      <c r="AA169" s="1358" t="s">
        <v>237</v>
      </c>
      <c r="AB169" s="1359"/>
      <c r="AC169" s="1357" t="s">
        <v>10</v>
      </c>
      <c r="AD169" s="1358"/>
      <c r="AE169" s="1358" t="s">
        <v>237</v>
      </c>
      <c r="AF169" s="1359"/>
      <c r="AG169" s="1357" t="s">
        <v>10</v>
      </c>
      <c r="AH169" s="1358"/>
      <c r="AI169" s="1358" t="s">
        <v>237</v>
      </c>
      <c r="AJ169" s="1359"/>
      <c r="AK169" s="1357" t="s">
        <v>10</v>
      </c>
      <c r="AL169" s="1358"/>
      <c r="AM169" s="1358" t="s">
        <v>237</v>
      </c>
      <c r="AN169" s="1359"/>
      <c r="AO169" s="1357" t="s">
        <v>10</v>
      </c>
      <c r="AP169" s="1358"/>
      <c r="AQ169" s="1358" t="s">
        <v>237</v>
      </c>
      <c r="AR169" s="1359"/>
      <c r="AS169" s="1357" t="s">
        <v>10</v>
      </c>
      <c r="AT169" s="1358"/>
      <c r="AU169" s="1358" t="s">
        <v>237</v>
      </c>
      <c r="AV169" s="1359"/>
      <c r="AW169" s="1357" t="s">
        <v>10</v>
      </c>
      <c r="AX169" s="1358"/>
      <c r="AY169" s="1358" t="s">
        <v>237</v>
      </c>
      <c r="AZ169" s="1359"/>
      <c r="BA169" s="1357" t="s">
        <v>10</v>
      </c>
      <c r="BB169" s="1358"/>
      <c r="BC169" s="1358" t="s">
        <v>237</v>
      </c>
      <c r="BD169" s="1359"/>
      <c r="CA169" s="1357" t="s">
        <v>10</v>
      </c>
      <c r="CB169" s="1358"/>
      <c r="CC169" s="1358" t="s">
        <v>237</v>
      </c>
      <c r="CD169" s="1359"/>
      <c r="CE169" s="1357" t="s">
        <v>10</v>
      </c>
      <c r="CF169" s="1358"/>
      <c r="CG169" s="1358" t="s">
        <v>237</v>
      </c>
      <c r="CH169" s="1359"/>
      <c r="CI169" s="1357" t="s">
        <v>10</v>
      </c>
      <c r="CJ169" s="1358"/>
      <c r="CK169" s="1358" t="s">
        <v>237</v>
      </c>
      <c r="CL169" s="1359"/>
      <c r="CM169" s="1357" t="s">
        <v>10</v>
      </c>
      <c r="CN169" s="1358"/>
      <c r="CO169" s="1358" t="s">
        <v>237</v>
      </c>
      <c r="CP169" s="1359"/>
      <c r="CQ169" s="1357" t="s">
        <v>10</v>
      </c>
      <c r="CR169" s="1358"/>
      <c r="CS169" s="1358" t="s">
        <v>237</v>
      </c>
      <c r="CT169" s="1359"/>
      <c r="CU169" s="1357" t="s">
        <v>10</v>
      </c>
      <c r="CV169" s="1358"/>
      <c r="CW169" s="1358" t="s">
        <v>237</v>
      </c>
      <c r="CX169" s="1359"/>
      <c r="CY169" s="1357" t="s">
        <v>10</v>
      </c>
      <c r="CZ169" s="1358"/>
      <c r="DA169" s="1358" t="s">
        <v>237</v>
      </c>
      <c r="DB169" s="1359"/>
      <c r="DC169" s="1357" t="s">
        <v>10</v>
      </c>
      <c r="DD169" s="1358"/>
      <c r="DE169" s="1358" t="s">
        <v>237</v>
      </c>
      <c r="DF169" s="1359"/>
      <c r="DG169" s="1357" t="s">
        <v>10</v>
      </c>
      <c r="DH169" s="1358"/>
      <c r="DI169" s="1358" t="s">
        <v>237</v>
      </c>
      <c r="DJ169" s="1359"/>
      <c r="DK169" s="1357" t="s">
        <v>10</v>
      </c>
      <c r="DL169" s="1358"/>
      <c r="DM169" s="1358" t="s">
        <v>237</v>
      </c>
      <c r="DN169" s="1359"/>
    </row>
    <row r="170" spans="1:118" ht="20.100000000000001" customHeight="1" outlineLevel="1" x14ac:dyDescent="0.25">
      <c r="A170" s="18"/>
      <c r="B170" s="18"/>
      <c r="C170" s="18"/>
      <c r="D170" s="1"/>
      <c r="E170" s="2"/>
      <c r="F170" s="1377" t="s">
        <v>239</v>
      </c>
      <c r="G170" s="1377"/>
      <c r="H170" s="1377"/>
      <c r="I170" s="1377"/>
      <c r="J170" s="1377"/>
      <c r="K170" s="1377"/>
      <c r="L170" s="1377"/>
      <c r="M170" s="1384" t="s">
        <v>7102</v>
      </c>
      <c r="N170" s="1384"/>
      <c r="O170" s="1384"/>
      <c r="P170" s="1384"/>
      <c r="Q170" s="1375" t="str">
        <f ca="1">Calculos!CK10</f>
        <v>-</v>
      </c>
      <c r="R170" s="1376"/>
      <c r="S170" s="1375" t="str">
        <f ca="1">Calculos!CK26</f>
        <v>-</v>
      </c>
      <c r="T170" s="1376"/>
      <c r="U170" s="1375" t="str">
        <f ca="1">Calculos!CK42</f>
        <v>-</v>
      </c>
      <c r="V170" s="1376"/>
      <c r="W170" s="1375" t="str">
        <f ca="1">Calculos!CK58</f>
        <v>-</v>
      </c>
      <c r="X170" s="1376"/>
      <c r="Y170" s="1375" t="str">
        <f ca="1">Calculos!CK74</f>
        <v>-</v>
      </c>
      <c r="Z170" s="1376"/>
      <c r="AA170" s="1375" t="str">
        <f ca="1">Calculos!CK90</f>
        <v>-</v>
      </c>
      <c r="AB170" s="1376"/>
      <c r="AC170" s="1375" t="str">
        <f ca="1">Calculos!CK106</f>
        <v>-</v>
      </c>
      <c r="AD170" s="1376"/>
      <c r="AE170" s="1375" t="str">
        <f ca="1">Calculos!CK122</f>
        <v>-</v>
      </c>
      <c r="AF170" s="1376"/>
      <c r="AG170" s="1375" t="str">
        <f ca="1">Calculos!CK138</f>
        <v>-</v>
      </c>
      <c r="AH170" s="1376"/>
      <c r="AI170" s="1375" t="str">
        <f ca="1">Calculos!CK154</f>
        <v>-</v>
      </c>
      <c r="AJ170" s="1376"/>
      <c r="AK170" s="1375" t="str">
        <f ca="1">Calculos!CK170</f>
        <v>-</v>
      </c>
      <c r="AL170" s="1376"/>
      <c r="AM170" s="1375" t="str">
        <f ca="1">Calculos!CK186</f>
        <v>-</v>
      </c>
      <c r="AN170" s="1376"/>
      <c r="AO170" s="1375" t="str">
        <f ca="1">Calculos!CK202</f>
        <v>-</v>
      </c>
      <c r="AP170" s="1376"/>
      <c r="AQ170" s="1375" t="str">
        <f ca="1">Calculos!CK218</f>
        <v>-</v>
      </c>
      <c r="AR170" s="1376"/>
      <c r="AS170" s="1375" t="str">
        <f ca="1">Calculos!CK234</f>
        <v>-</v>
      </c>
      <c r="AT170" s="1376"/>
      <c r="AU170" s="1375" t="str">
        <f ca="1">Calculos!CK250</f>
        <v>-</v>
      </c>
      <c r="AV170" s="1376"/>
      <c r="AW170" s="1375" t="str">
        <f ca="1">Calculos!CK266</f>
        <v>-</v>
      </c>
      <c r="AX170" s="1376"/>
      <c r="AY170" s="1375" t="str">
        <f ca="1">Calculos!CK282</f>
        <v>-</v>
      </c>
      <c r="AZ170" s="1376"/>
      <c r="BA170" s="1375" t="str">
        <f ca="1">Calculos!CK298</f>
        <v>-</v>
      </c>
      <c r="BB170" s="1376"/>
      <c r="BC170" s="1375" t="str">
        <f ca="1">Calculos!CK314</f>
        <v>-</v>
      </c>
      <c r="BD170" s="1376"/>
      <c r="CA170" s="1354">
        <f ca="1">IF(Q170="-",0,IF(Q170&gt;=CA$90,1,0))</f>
        <v>0</v>
      </c>
      <c r="CB170" s="1354"/>
      <c r="CC170" s="1354">
        <f t="shared" ref="CC170:CC181" ca="1" si="40">IF(S170="-",0,IF(S170&gt;=CC$90,1,0))</f>
        <v>0</v>
      </c>
      <c r="CD170" s="1354"/>
      <c r="CE170" s="1354">
        <f t="shared" ref="CE170:CE181" ca="1" si="41">IF(U170="-",0,IF(U170&gt;=CE$90,1,0))</f>
        <v>0</v>
      </c>
      <c r="CF170" s="1354"/>
      <c r="CG170" s="1354">
        <f t="shared" ref="CG170:CG181" ca="1" si="42">IF(W170="-",0,IF(W170&gt;=CG$90,1,0))</f>
        <v>0</v>
      </c>
      <c r="CH170" s="1354"/>
      <c r="CI170" s="1354">
        <f t="shared" ref="CI170:CI181" ca="1" si="43">IF(Y170="-",0,IF(Y170&gt;=CI$90,1,0))</f>
        <v>0</v>
      </c>
      <c r="CJ170" s="1354"/>
      <c r="CK170" s="1354">
        <f t="shared" ref="CK170:CK181" ca="1" si="44">IF(AA170="-",0,IF(AA170&gt;=CK$90,1,0))</f>
        <v>0</v>
      </c>
      <c r="CL170" s="1354"/>
      <c r="CM170" s="1354">
        <f t="shared" ref="CM170:CM181" ca="1" si="45">IF(AC170="-",0,IF(AC170&gt;=CM$90,1,0))</f>
        <v>0</v>
      </c>
      <c r="CN170" s="1354"/>
      <c r="CO170" s="1354">
        <f t="shared" ref="CO170:CO181" ca="1" si="46">IF(AE170="-",0,IF(AE170&gt;=CO$90,1,0))</f>
        <v>0</v>
      </c>
      <c r="CP170" s="1354"/>
      <c r="CQ170" s="1354">
        <f t="shared" ref="CQ170:CQ181" ca="1" si="47">IF(AG170="-",0,IF(AG170&gt;=CQ$90,1,0))</f>
        <v>0</v>
      </c>
      <c r="CR170" s="1354"/>
      <c r="CS170" s="1354">
        <f t="shared" ref="CS170:CS181" ca="1" si="48">IF(AI170="-",0,IF(AI170&gt;=CS$90,1,0))</f>
        <v>0</v>
      </c>
      <c r="CT170" s="1354"/>
      <c r="CU170" s="1354">
        <f t="shared" ref="CU170:CU181" ca="1" si="49">IF(AK170="-",0,IF(AK170&gt;=CU$90,1,0))</f>
        <v>0</v>
      </c>
      <c r="CV170" s="1354"/>
      <c r="CW170" s="1354">
        <f t="shared" ref="CW170:CW181" ca="1" si="50">IF(AM170="-",0,IF(AM170&gt;=CW$90,1,0))</f>
        <v>0</v>
      </c>
      <c r="CX170" s="1354"/>
      <c r="CY170" s="1354">
        <f t="shared" ref="CY170:CY181" ca="1" si="51">IF(AO170="-",0,IF(AO170&gt;=CY$90,1,0))</f>
        <v>0</v>
      </c>
      <c r="CZ170" s="1354"/>
      <c r="DA170" s="1354">
        <f t="shared" ref="DA170:DA181" ca="1" si="52">IF(AQ170="-",0,IF(AQ170&gt;=DA$90,1,0))</f>
        <v>0</v>
      </c>
      <c r="DB170" s="1354"/>
      <c r="DC170" s="1354">
        <f t="shared" ref="DC170:DC181" ca="1" si="53">IF(AS170="-",0,IF(AS170&gt;=DC$90,1,0))</f>
        <v>0</v>
      </c>
      <c r="DD170" s="1354"/>
      <c r="DE170" s="1354">
        <f t="shared" ref="DE170:DE181" ca="1" si="54">IF(AU170="-",0,IF(AU170&gt;=DE$90,1,0))</f>
        <v>0</v>
      </c>
      <c r="DF170" s="1354"/>
      <c r="DG170" s="1354">
        <f t="shared" ref="DG170:DG181" ca="1" si="55">IF(AW170="-",0,IF(AW170&gt;=DG$90,1,0))</f>
        <v>0</v>
      </c>
      <c r="DH170" s="1354"/>
      <c r="DI170" s="1354">
        <f t="shared" ref="DI170:DI181" ca="1" si="56">IF(AY170="-",0,IF(AY170&gt;=DI$90,1,0))</f>
        <v>0</v>
      </c>
      <c r="DJ170" s="1354"/>
      <c r="DK170" s="1354">
        <f t="shared" ref="DK170:DK181" ca="1" si="57">IF(BA170="-",0,IF(BA170&gt;=DK$90,1,0))</f>
        <v>0</v>
      </c>
      <c r="DL170" s="1354"/>
      <c r="DM170" s="1354">
        <f t="shared" ref="DM170:DM181" ca="1" si="58">IF(BC170="-",0,IF(BC170&gt;=DM$90,1,0))</f>
        <v>0</v>
      </c>
      <c r="DN170" s="1354"/>
    </row>
    <row r="171" spans="1:118" ht="20.100000000000001" customHeight="1" outlineLevel="1" x14ac:dyDescent="0.25">
      <c r="A171" s="18"/>
      <c r="B171" s="18"/>
      <c r="C171" s="18"/>
      <c r="D171" s="1"/>
      <c r="E171" s="2"/>
      <c r="F171" s="1377"/>
      <c r="G171" s="1377"/>
      <c r="H171" s="1377"/>
      <c r="I171" s="1377"/>
      <c r="J171" s="1377"/>
      <c r="K171" s="1377"/>
      <c r="L171" s="1377"/>
      <c r="M171" s="1384" t="s">
        <v>7104</v>
      </c>
      <c r="N171" s="1384"/>
      <c r="O171" s="1384"/>
      <c r="P171" s="1384"/>
      <c r="Q171" s="1375" t="str">
        <f ca="1">Calculos!CK11</f>
        <v>-</v>
      </c>
      <c r="R171" s="1376"/>
      <c r="S171" s="1375" t="str">
        <f ca="1">Calculos!CK27</f>
        <v>-</v>
      </c>
      <c r="T171" s="1376"/>
      <c r="U171" s="1375" t="str">
        <f ca="1">Calculos!CK43</f>
        <v>-</v>
      </c>
      <c r="V171" s="1376"/>
      <c r="W171" s="1375" t="str">
        <f ca="1">Calculos!CK59</f>
        <v>-</v>
      </c>
      <c r="X171" s="1376"/>
      <c r="Y171" s="1375" t="str">
        <f ca="1">Calculos!CK75</f>
        <v>-</v>
      </c>
      <c r="Z171" s="1376"/>
      <c r="AA171" s="1375" t="str">
        <f ca="1">Calculos!CK91</f>
        <v>-</v>
      </c>
      <c r="AB171" s="1376"/>
      <c r="AC171" s="1375" t="str">
        <f ca="1">Calculos!CK107</f>
        <v>-</v>
      </c>
      <c r="AD171" s="1376"/>
      <c r="AE171" s="1375" t="str">
        <f ca="1">Calculos!CK123</f>
        <v>-</v>
      </c>
      <c r="AF171" s="1376"/>
      <c r="AG171" s="1375" t="str">
        <f ca="1">Calculos!CK139</f>
        <v>-</v>
      </c>
      <c r="AH171" s="1376"/>
      <c r="AI171" s="1375" t="str">
        <f ca="1">Calculos!CK155</f>
        <v>-</v>
      </c>
      <c r="AJ171" s="1376"/>
      <c r="AK171" s="1375" t="str">
        <f ca="1">Calculos!CK171</f>
        <v>-</v>
      </c>
      <c r="AL171" s="1376"/>
      <c r="AM171" s="1375" t="str">
        <f ca="1">Calculos!CK187</f>
        <v>-</v>
      </c>
      <c r="AN171" s="1376"/>
      <c r="AO171" s="1375" t="str">
        <f ca="1">Calculos!CK203</f>
        <v>-</v>
      </c>
      <c r="AP171" s="1376"/>
      <c r="AQ171" s="1375" t="str">
        <f ca="1">Calculos!CK219</f>
        <v>-</v>
      </c>
      <c r="AR171" s="1376"/>
      <c r="AS171" s="1375" t="str">
        <f ca="1">Calculos!CK235</f>
        <v>-</v>
      </c>
      <c r="AT171" s="1376"/>
      <c r="AU171" s="1375" t="str">
        <f ca="1">Calculos!CK251</f>
        <v>-</v>
      </c>
      <c r="AV171" s="1376"/>
      <c r="AW171" s="1375" t="str">
        <f ca="1">Calculos!CK267</f>
        <v>-</v>
      </c>
      <c r="AX171" s="1376"/>
      <c r="AY171" s="1375" t="str">
        <f ca="1">Calculos!CK283</f>
        <v>-</v>
      </c>
      <c r="AZ171" s="1376"/>
      <c r="BA171" s="1375" t="str">
        <f ca="1">Calculos!CK299</f>
        <v>-</v>
      </c>
      <c r="BB171" s="1376"/>
      <c r="BC171" s="1375" t="str">
        <f ca="1">Calculos!CK315</f>
        <v>-</v>
      </c>
      <c r="BD171" s="1376"/>
      <c r="CA171" s="1354">
        <f t="shared" ref="CA171:CA181" ca="1" si="59">IF(Q171="-",0,IF(Q171&gt;=CA$90,1,0))</f>
        <v>0</v>
      </c>
      <c r="CB171" s="1354"/>
      <c r="CC171" s="1354">
        <f t="shared" ca="1" si="40"/>
        <v>0</v>
      </c>
      <c r="CD171" s="1354"/>
      <c r="CE171" s="1354">
        <f t="shared" ca="1" si="41"/>
        <v>0</v>
      </c>
      <c r="CF171" s="1354"/>
      <c r="CG171" s="1354">
        <f t="shared" ca="1" si="42"/>
        <v>0</v>
      </c>
      <c r="CH171" s="1354"/>
      <c r="CI171" s="1354">
        <f t="shared" ca="1" si="43"/>
        <v>0</v>
      </c>
      <c r="CJ171" s="1354"/>
      <c r="CK171" s="1354">
        <f t="shared" ca="1" si="44"/>
        <v>0</v>
      </c>
      <c r="CL171" s="1354"/>
      <c r="CM171" s="1354">
        <f t="shared" ca="1" si="45"/>
        <v>0</v>
      </c>
      <c r="CN171" s="1354"/>
      <c r="CO171" s="1354">
        <f t="shared" ca="1" si="46"/>
        <v>0</v>
      </c>
      <c r="CP171" s="1354"/>
      <c r="CQ171" s="1354">
        <f t="shared" ca="1" si="47"/>
        <v>0</v>
      </c>
      <c r="CR171" s="1354"/>
      <c r="CS171" s="1354">
        <f t="shared" ca="1" si="48"/>
        <v>0</v>
      </c>
      <c r="CT171" s="1354"/>
      <c r="CU171" s="1354">
        <f t="shared" ca="1" si="49"/>
        <v>0</v>
      </c>
      <c r="CV171" s="1354"/>
      <c r="CW171" s="1354">
        <f t="shared" ca="1" si="50"/>
        <v>0</v>
      </c>
      <c r="CX171" s="1354"/>
      <c r="CY171" s="1354">
        <f t="shared" ca="1" si="51"/>
        <v>0</v>
      </c>
      <c r="CZ171" s="1354"/>
      <c r="DA171" s="1354">
        <f t="shared" ca="1" si="52"/>
        <v>0</v>
      </c>
      <c r="DB171" s="1354"/>
      <c r="DC171" s="1354">
        <f t="shared" ca="1" si="53"/>
        <v>0</v>
      </c>
      <c r="DD171" s="1354"/>
      <c r="DE171" s="1354">
        <f t="shared" ca="1" si="54"/>
        <v>0</v>
      </c>
      <c r="DF171" s="1354"/>
      <c r="DG171" s="1354">
        <f t="shared" ca="1" si="55"/>
        <v>0</v>
      </c>
      <c r="DH171" s="1354"/>
      <c r="DI171" s="1354">
        <f t="shared" ca="1" si="56"/>
        <v>0</v>
      </c>
      <c r="DJ171" s="1354"/>
      <c r="DK171" s="1354">
        <f t="shared" ca="1" si="57"/>
        <v>0</v>
      </c>
      <c r="DL171" s="1354"/>
      <c r="DM171" s="1354">
        <f t="shared" ca="1" si="58"/>
        <v>0</v>
      </c>
      <c r="DN171" s="1354"/>
    </row>
    <row r="172" spans="1:118" ht="20.100000000000001" customHeight="1" outlineLevel="1" x14ac:dyDescent="0.25">
      <c r="A172" s="18"/>
      <c r="B172" s="18"/>
      <c r="C172" s="18"/>
      <c r="D172" s="1"/>
      <c r="E172" s="2"/>
      <c r="F172" s="1377"/>
      <c r="G172" s="1377"/>
      <c r="H172" s="1377"/>
      <c r="I172" s="1377"/>
      <c r="J172" s="1377"/>
      <c r="K172" s="1377"/>
      <c r="L172" s="1377"/>
      <c r="M172" s="1384" t="s">
        <v>7105</v>
      </c>
      <c r="N172" s="1384"/>
      <c r="O172" s="1384"/>
      <c r="P172" s="1384"/>
      <c r="Q172" s="1375" t="str">
        <f ca="1">Calculos!CK12</f>
        <v>-</v>
      </c>
      <c r="R172" s="1376"/>
      <c r="S172" s="1375" t="str">
        <f ca="1">Calculos!CK28</f>
        <v>-</v>
      </c>
      <c r="T172" s="1376"/>
      <c r="U172" s="1375" t="str">
        <f ca="1">Calculos!CK44</f>
        <v>-</v>
      </c>
      <c r="V172" s="1376"/>
      <c r="W172" s="1375" t="str">
        <f ca="1">Calculos!CK60</f>
        <v>-</v>
      </c>
      <c r="X172" s="1376"/>
      <c r="Y172" s="1375" t="str">
        <f ca="1">Calculos!CK76</f>
        <v>-</v>
      </c>
      <c r="Z172" s="1376"/>
      <c r="AA172" s="1375" t="str">
        <f ca="1">Calculos!CK92</f>
        <v>-</v>
      </c>
      <c r="AB172" s="1376"/>
      <c r="AC172" s="1375" t="str">
        <f ca="1">Calculos!CK108</f>
        <v>-</v>
      </c>
      <c r="AD172" s="1376"/>
      <c r="AE172" s="1375" t="str">
        <f ca="1">Calculos!CK124</f>
        <v>-</v>
      </c>
      <c r="AF172" s="1376"/>
      <c r="AG172" s="1375" t="str">
        <f ca="1">Calculos!CK140</f>
        <v>-</v>
      </c>
      <c r="AH172" s="1376"/>
      <c r="AI172" s="1375" t="str">
        <f ca="1">Calculos!CK156</f>
        <v>-</v>
      </c>
      <c r="AJ172" s="1376"/>
      <c r="AK172" s="1375" t="str">
        <f ca="1">Calculos!CK172</f>
        <v>-</v>
      </c>
      <c r="AL172" s="1376"/>
      <c r="AM172" s="1375" t="str">
        <f ca="1">Calculos!CK188</f>
        <v>-</v>
      </c>
      <c r="AN172" s="1376"/>
      <c r="AO172" s="1375" t="str">
        <f ca="1">Calculos!CK204</f>
        <v>-</v>
      </c>
      <c r="AP172" s="1376"/>
      <c r="AQ172" s="1375" t="str">
        <f ca="1">Calculos!CK220</f>
        <v>-</v>
      </c>
      <c r="AR172" s="1376"/>
      <c r="AS172" s="1375" t="str">
        <f ca="1">Calculos!CK236</f>
        <v>-</v>
      </c>
      <c r="AT172" s="1376"/>
      <c r="AU172" s="1375" t="str">
        <f ca="1">Calculos!CK252</f>
        <v>-</v>
      </c>
      <c r="AV172" s="1376"/>
      <c r="AW172" s="1375" t="str">
        <f ca="1">Calculos!CK268</f>
        <v>-</v>
      </c>
      <c r="AX172" s="1376"/>
      <c r="AY172" s="1375" t="str">
        <f ca="1">Calculos!CK284</f>
        <v>-</v>
      </c>
      <c r="AZ172" s="1376"/>
      <c r="BA172" s="1375" t="str">
        <f ca="1">Calculos!CK300</f>
        <v>-</v>
      </c>
      <c r="BB172" s="1376"/>
      <c r="BC172" s="1375" t="str">
        <f ca="1">Calculos!CK316</f>
        <v>-</v>
      </c>
      <c r="BD172" s="1376"/>
      <c r="CA172" s="1354">
        <f t="shared" ca="1" si="59"/>
        <v>0</v>
      </c>
      <c r="CB172" s="1354"/>
      <c r="CC172" s="1354">
        <f t="shared" ca="1" si="40"/>
        <v>0</v>
      </c>
      <c r="CD172" s="1354"/>
      <c r="CE172" s="1354">
        <f t="shared" ca="1" si="41"/>
        <v>0</v>
      </c>
      <c r="CF172" s="1354"/>
      <c r="CG172" s="1354">
        <f t="shared" ca="1" si="42"/>
        <v>0</v>
      </c>
      <c r="CH172" s="1354"/>
      <c r="CI172" s="1354">
        <f t="shared" ca="1" si="43"/>
        <v>0</v>
      </c>
      <c r="CJ172" s="1354"/>
      <c r="CK172" s="1354">
        <f t="shared" ca="1" si="44"/>
        <v>0</v>
      </c>
      <c r="CL172" s="1354"/>
      <c r="CM172" s="1354">
        <f t="shared" ca="1" si="45"/>
        <v>0</v>
      </c>
      <c r="CN172" s="1354"/>
      <c r="CO172" s="1354">
        <f t="shared" ca="1" si="46"/>
        <v>0</v>
      </c>
      <c r="CP172" s="1354"/>
      <c r="CQ172" s="1354">
        <f t="shared" ca="1" si="47"/>
        <v>0</v>
      </c>
      <c r="CR172" s="1354"/>
      <c r="CS172" s="1354">
        <f t="shared" ca="1" si="48"/>
        <v>0</v>
      </c>
      <c r="CT172" s="1354"/>
      <c r="CU172" s="1354">
        <f t="shared" ca="1" si="49"/>
        <v>0</v>
      </c>
      <c r="CV172" s="1354"/>
      <c r="CW172" s="1354">
        <f t="shared" ca="1" si="50"/>
        <v>0</v>
      </c>
      <c r="CX172" s="1354"/>
      <c r="CY172" s="1354">
        <f t="shared" ca="1" si="51"/>
        <v>0</v>
      </c>
      <c r="CZ172" s="1354"/>
      <c r="DA172" s="1354">
        <f t="shared" ca="1" si="52"/>
        <v>0</v>
      </c>
      <c r="DB172" s="1354"/>
      <c r="DC172" s="1354">
        <f t="shared" ca="1" si="53"/>
        <v>0</v>
      </c>
      <c r="DD172" s="1354"/>
      <c r="DE172" s="1354">
        <f t="shared" ca="1" si="54"/>
        <v>0</v>
      </c>
      <c r="DF172" s="1354"/>
      <c r="DG172" s="1354">
        <f t="shared" ca="1" si="55"/>
        <v>0</v>
      </c>
      <c r="DH172" s="1354"/>
      <c r="DI172" s="1354">
        <f t="shared" ca="1" si="56"/>
        <v>0</v>
      </c>
      <c r="DJ172" s="1354"/>
      <c r="DK172" s="1354">
        <f t="shared" ca="1" si="57"/>
        <v>0</v>
      </c>
      <c r="DL172" s="1354"/>
      <c r="DM172" s="1354">
        <f t="shared" ca="1" si="58"/>
        <v>0</v>
      </c>
      <c r="DN172" s="1354"/>
    </row>
    <row r="173" spans="1:118" ht="20.100000000000001" customHeight="1" outlineLevel="1" x14ac:dyDescent="0.25">
      <c r="A173" s="18"/>
      <c r="B173" s="18"/>
      <c r="C173" s="18"/>
      <c r="D173" s="1"/>
      <c r="E173" s="2"/>
      <c r="F173" s="1377"/>
      <c r="G173" s="1377"/>
      <c r="H173" s="1377"/>
      <c r="I173" s="1377"/>
      <c r="J173" s="1377"/>
      <c r="K173" s="1377"/>
      <c r="L173" s="1377"/>
      <c r="M173" s="1384" t="s">
        <v>7106</v>
      </c>
      <c r="N173" s="1384"/>
      <c r="O173" s="1384"/>
      <c r="P173" s="1384"/>
      <c r="Q173" s="1375" t="str">
        <f ca="1">Calculos!CK13</f>
        <v>-</v>
      </c>
      <c r="R173" s="1376"/>
      <c r="S173" s="1375" t="str">
        <f ca="1">Calculos!CK29</f>
        <v>-</v>
      </c>
      <c r="T173" s="1376"/>
      <c r="U173" s="1375" t="str">
        <f ca="1">Calculos!CK45</f>
        <v>-</v>
      </c>
      <c r="V173" s="1376"/>
      <c r="W173" s="1375" t="str">
        <f ca="1">Calculos!CK61</f>
        <v>-</v>
      </c>
      <c r="X173" s="1376"/>
      <c r="Y173" s="1375" t="str">
        <f ca="1">Calculos!CK77</f>
        <v>-</v>
      </c>
      <c r="Z173" s="1376"/>
      <c r="AA173" s="1375" t="str">
        <f ca="1">Calculos!CK93</f>
        <v>-</v>
      </c>
      <c r="AB173" s="1376"/>
      <c r="AC173" s="1375" t="str">
        <f ca="1">Calculos!CK109</f>
        <v>-</v>
      </c>
      <c r="AD173" s="1376"/>
      <c r="AE173" s="1375" t="str">
        <f ca="1">Calculos!CK125</f>
        <v>-</v>
      </c>
      <c r="AF173" s="1376"/>
      <c r="AG173" s="1375" t="str">
        <f ca="1">Calculos!CK141</f>
        <v>-</v>
      </c>
      <c r="AH173" s="1376"/>
      <c r="AI173" s="1375" t="str">
        <f ca="1">Calculos!CK157</f>
        <v>-</v>
      </c>
      <c r="AJ173" s="1376"/>
      <c r="AK173" s="1375" t="str">
        <f ca="1">Calculos!CK173</f>
        <v>-</v>
      </c>
      <c r="AL173" s="1376"/>
      <c r="AM173" s="1375" t="str">
        <f ca="1">Calculos!CK189</f>
        <v>-</v>
      </c>
      <c r="AN173" s="1376"/>
      <c r="AO173" s="1375" t="str">
        <f ca="1">Calculos!CK205</f>
        <v>-</v>
      </c>
      <c r="AP173" s="1376"/>
      <c r="AQ173" s="1375" t="str">
        <f ca="1">Calculos!CK221</f>
        <v>-</v>
      </c>
      <c r="AR173" s="1376"/>
      <c r="AS173" s="1375" t="str">
        <f ca="1">Calculos!CK237</f>
        <v>-</v>
      </c>
      <c r="AT173" s="1376"/>
      <c r="AU173" s="1375" t="str">
        <f ca="1">Calculos!CK253</f>
        <v>-</v>
      </c>
      <c r="AV173" s="1376"/>
      <c r="AW173" s="1375" t="str">
        <f ca="1">Calculos!CK269</f>
        <v>-</v>
      </c>
      <c r="AX173" s="1376"/>
      <c r="AY173" s="1375" t="str">
        <f ca="1">Calculos!CK285</f>
        <v>-</v>
      </c>
      <c r="AZ173" s="1376"/>
      <c r="BA173" s="1375" t="str">
        <f ca="1">Calculos!CK301</f>
        <v>-</v>
      </c>
      <c r="BB173" s="1376"/>
      <c r="BC173" s="1375" t="str">
        <f ca="1">Calculos!CK317</f>
        <v>-</v>
      </c>
      <c r="BD173" s="1376"/>
      <c r="CA173" s="1354">
        <f t="shared" ca="1" si="59"/>
        <v>0</v>
      </c>
      <c r="CB173" s="1354"/>
      <c r="CC173" s="1354">
        <f t="shared" ca="1" si="40"/>
        <v>0</v>
      </c>
      <c r="CD173" s="1354"/>
      <c r="CE173" s="1354">
        <f t="shared" ca="1" si="41"/>
        <v>0</v>
      </c>
      <c r="CF173" s="1354"/>
      <c r="CG173" s="1354">
        <f t="shared" ca="1" si="42"/>
        <v>0</v>
      </c>
      <c r="CH173" s="1354"/>
      <c r="CI173" s="1354">
        <f t="shared" ca="1" si="43"/>
        <v>0</v>
      </c>
      <c r="CJ173" s="1354"/>
      <c r="CK173" s="1354">
        <f t="shared" ca="1" si="44"/>
        <v>0</v>
      </c>
      <c r="CL173" s="1354"/>
      <c r="CM173" s="1354">
        <f t="shared" ca="1" si="45"/>
        <v>0</v>
      </c>
      <c r="CN173" s="1354"/>
      <c r="CO173" s="1354">
        <f t="shared" ca="1" si="46"/>
        <v>0</v>
      </c>
      <c r="CP173" s="1354"/>
      <c r="CQ173" s="1354">
        <f t="shared" ca="1" si="47"/>
        <v>0</v>
      </c>
      <c r="CR173" s="1354"/>
      <c r="CS173" s="1354">
        <f t="shared" ca="1" si="48"/>
        <v>0</v>
      </c>
      <c r="CT173" s="1354"/>
      <c r="CU173" s="1354">
        <f t="shared" ca="1" si="49"/>
        <v>0</v>
      </c>
      <c r="CV173" s="1354"/>
      <c r="CW173" s="1354">
        <f t="shared" ca="1" si="50"/>
        <v>0</v>
      </c>
      <c r="CX173" s="1354"/>
      <c r="CY173" s="1354">
        <f t="shared" ca="1" si="51"/>
        <v>0</v>
      </c>
      <c r="CZ173" s="1354"/>
      <c r="DA173" s="1354">
        <f t="shared" ca="1" si="52"/>
        <v>0</v>
      </c>
      <c r="DB173" s="1354"/>
      <c r="DC173" s="1354">
        <f t="shared" ca="1" si="53"/>
        <v>0</v>
      </c>
      <c r="DD173" s="1354"/>
      <c r="DE173" s="1354">
        <f t="shared" ca="1" si="54"/>
        <v>0</v>
      </c>
      <c r="DF173" s="1354"/>
      <c r="DG173" s="1354">
        <f t="shared" ca="1" si="55"/>
        <v>0</v>
      </c>
      <c r="DH173" s="1354"/>
      <c r="DI173" s="1354">
        <f t="shared" ca="1" si="56"/>
        <v>0</v>
      </c>
      <c r="DJ173" s="1354"/>
      <c r="DK173" s="1354">
        <f t="shared" ca="1" si="57"/>
        <v>0</v>
      </c>
      <c r="DL173" s="1354"/>
      <c r="DM173" s="1354">
        <f t="shared" ca="1" si="58"/>
        <v>0</v>
      </c>
      <c r="DN173" s="1354"/>
    </row>
    <row r="174" spans="1:118" ht="20.100000000000001" customHeight="1" outlineLevel="1" x14ac:dyDescent="0.25">
      <c r="A174" s="18"/>
      <c r="B174" s="18"/>
      <c r="C174" s="18"/>
      <c r="D174" s="1"/>
      <c r="E174" s="2"/>
      <c r="F174" s="1377"/>
      <c r="G174" s="1377"/>
      <c r="H174" s="1377"/>
      <c r="I174" s="1377"/>
      <c r="J174" s="1377"/>
      <c r="K174" s="1377"/>
      <c r="L174" s="1377"/>
      <c r="M174" s="1384" t="s">
        <v>7107</v>
      </c>
      <c r="N174" s="1384"/>
      <c r="O174" s="1384"/>
      <c r="P174" s="1384"/>
      <c r="Q174" s="1375" t="str">
        <f ca="1">Calculos!CK14</f>
        <v>-</v>
      </c>
      <c r="R174" s="1376"/>
      <c r="S174" s="1375" t="str">
        <f ca="1">Calculos!CK30</f>
        <v>-</v>
      </c>
      <c r="T174" s="1376"/>
      <c r="U174" s="1375" t="str">
        <f ca="1">Calculos!CK46</f>
        <v>-</v>
      </c>
      <c r="V174" s="1376"/>
      <c r="W174" s="1375" t="str">
        <f ca="1">Calculos!CK62</f>
        <v>-</v>
      </c>
      <c r="X174" s="1376"/>
      <c r="Y174" s="1375" t="str">
        <f ca="1">Calculos!CK78</f>
        <v>-</v>
      </c>
      <c r="Z174" s="1376"/>
      <c r="AA174" s="1375" t="str">
        <f ca="1">Calculos!CK94</f>
        <v>-</v>
      </c>
      <c r="AB174" s="1376"/>
      <c r="AC174" s="1375" t="str">
        <f ca="1">Calculos!CK110</f>
        <v>-</v>
      </c>
      <c r="AD174" s="1376"/>
      <c r="AE174" s="1375" t="str">
        <f ca="1">Calculos!CK126</f>
        <v>-</v>
      </c>
      <c r="AF174" s="1376"/>
      <c r="AG174" s="1375" t="str">
        <f ca="1">Calculos!CK142</f>
        <v>-</v>
      </c>
      <c r="AH174" s="1376"/>
      <c r="AI174" s="1375" t="str">
        <f ca="1">Calculos!CK158</f>
        <v>-</v>
      </c>
      <c r="AJ174" s="1376"/>
      <c r="AK174" s="1375" t="str">
        <f ca="1">Calculos!CK174</f>
        <v>-</v>
      </c>
      <c r="AL174" s="1376"/>
      <c r="AM174" s="1375" t="str">
        <f ca="1">Calculos!CK190</f>
        <v>-</v>
      </c>
      <c r="AN174" s="1376"/>
      <c r="AO174" s="1375" t="str">
        <f ca="1">Calculos!CK206</f>
        <v>-</v>
      </c>
      <c r="AP174" s="1376"/>
      <c r="AQ174" s="1375" t="str">
        <f ca="1">Calculos!CK222</f>
        <v>-</v>
      </c>
      <c r="AR174" s="1376"/>
      <c r="AS174" s="1375" t="str">
        <f ca="1">Calculos!CK238</f>
        <v>-</v>
      </c>
      <c r="AT174" s="1376"/>
      <c r="AU174" s="1375" t="str">
        <f ca="1">Calculos!CK254</f>
        <v>-</v>
      </c>
      <c r="AV174" s="1376"/>
      <c r="AW174" s="1375" t="str">
        <f ca="1">Calculos!CK270</f>
        <v>-</v>
      </c>
      <c r="AX174" s="1376"/>
      <c r="AY174" s="1375" t="str">
        <f ca="1">Calculos!CK286</f>
        <v>-</v>
      </c>
      <c r="AZ174" s="1376"/>
      <c r="BA174" s="1375" t="str">
        <f ca="1">Calculos!CK302</f>
        <v>-</v>
      </c>
      <c r="BB174" s="1376"/>
      <c r="BC174" s="1375" t="str">
        <f ca="1">Calculos!CK318</f>
        <v>-</v>
      </c>
      <c r="BD174" s="1376"/>
      <c r="CA174" s="1354">
        <f t="shared" ca="1" si="59"/>
        <v>0</v>
      </c>
      <c r="CB174" s="1354"/>
      <c r="CC174" s="1354">
        <f t="shared" ca="1" si="40"/>
        <v>0</v>
      </c>
      <c r="CD174" s="1354"/>
      <c r="CE174" s="1354">
        <f t="shared" ca="1" si="41"/>
        <v>0</v>
      </c>
      <c r="CF174" s="1354"/>
      <c r="CG174" s="1354">
        <f t="shared" ca="1" si="42"/>
        <v>0</v>
      </c>
      <c r="CH174" s="1354"/>
      <c r="CI174" s="1354">
        <f t="shared" ca="1" si="43"/>
        <v>0</v>
      </c>
      <c r="CJ174" s="1354"/>
      <c r="CK174" s="1354">
        <f t="shared" ca="1" si="44"/>
        <v>0</v>
      </c>
      <c r="CL174" s="1354"/>
      <c r="CM174" s="1354">
        <f t="shared" ca="1" si="45"/>
        <v>0</v>
      </c>
      <c r="CN174" s="1354"/>
      <c r="CO174" s="1354">
        <f t="shared" ca="1" si="46"/>
        <v>0</v>
      </c>
      <c r="CP174" s="1354"/>
      <c r="CQ174" s="1354">
        <f t="shared" ca="1" si="47"/>
        <v>0</v>
      </c>
      <c r="CR174" s="1354"/>
      <c r="CS174" s="1354">
        <f t="shared" ca="1" si="48"/>
        <v>0</v>
      </c>
      <c r="CT174" s="1354"/>
      <c r="CU174" s="1354">
        <f t="shared" ca="1" si="49"/>
        <v>0</v>
      </c>
      <c r="CV174" s="1354"/>
      <c r="CW174" s="1354">
        <f t="shared" ca="1" si="50"/>
        <v>0</v>
      </c>
      <c r="CX174" s="1354"/>
      <c r="CY174" s="1354">
        <f t="shared" ca="1" si="51"/>
        <v>0</v>
      </c>
      <c r="CZ174" s="1354"/>
      <c r="DA174" s="1354">
        <f t="shared" ca="1" si="52"/>
        <v>0</v>
      </c>
      <c r="DB174" s="1354"/>
      <c r="DC174" s="1354">
        <f t="shared" ca="1" si="53"/>
        <v>0</v>
      </c>
      <c r="DD174" s="1354"/>
      <c r="DE174" s="1354">
        <f t="shared" ca="1" si="54"/>
        <v>0</v>
      </c>
      <c r="DF174" s="1354"/>
      <c r="DG174" s="1354">
        <f t="shared" ca="1" si="55"/>
        <v>0</v>
      </c>
      <c r="DH174" s="1354"/>
      <c r="DI174" s="1354">
        <f t="shared" ca="1" si="56"/>
        <v>0</v>
      </c>
      <c r="DJ174" s="1354"/>
      <c r="DK174" s="1354">
        <f t="shared" ca="1" si="57"/>
        <v>0</v>
      </c>
      <c r="DL174" s="1354"/>
      <c r="DM174" s="1354">
        <f t="shared" ca="1" si="58"/>
        <v>0</v>
      </c>
      <c r="DN174" s="1354"/>
    </row>
    <row r="175" spans="1:118" ht="20.100000000000001" customHeight="1" outlineLevel="1" x14ac:dyDescent="0.25">
      <c r="A175" s="18"/>
      <c r="B175" s="18"/>
      <c r="C175" s="18"/>
      <c r="D175" s="1"/>
      <c r="E175" s="2"/>
      <c r="F175" s="1377"/>
      <c r="G175" s="1377"/>
      <c r="H175" s="1377"/>
      <c r="I175" s="1377"/>
      <c r="J175" s="1377"/>
      <c r="K175" s="1377"/>
      <c r="L175" s="1377"/>
      <c r="M175" s="1384" t="s">
        <v>7108</v>
      </c>
      <c r="N175" s="1384"/>
      <c r="O175" s="1384"/>
      <c r="P175" s="1384"/>
      <c r="Q175" s="1375" t="str">
        <f ca="1">Calculos!CK15</f>
        <v>-</v>
      </c>
      <c r="R175" s="1376"/>
      <c r="S175" s="1375" t="str">
        <f ca="1">Calculos!CK31</f>
        <v>-</v>
      </c>
      <c r="T175" s="1376"/>
      <c r="U175" s="1375" t="str">
        <f ca="1">Calculos!CK47</f>
        <v>-</v>
      </c>
      <c r="V175" s="1376"/>
      <c r="W175" s="1375" t="str">
        <f ca="1">Calculos!CK63</f>
        <v>-</v>
      </c>
      <c r="X175" s="1376"/>
      <c r="Y175" s="1375" t="str">
        <f ca="1">Calculos!CK79</f>
        <v>-</v>
      </c>
      <c r="Z175" s="1376"/>
      <c r="AA175" s="1375" t="str">
        <f ca="1">Calculos!CK95</f>
        <v>-</v>
      </c>
      <c r="AB175" s="1376"/>
      <c r="AC175" s="1375" t="str">
        <f ca="1">Calculos!CK111</f>
        <v>-</v>
      </c>
      <c r="AD175" s="1376"/>
      <c r="AE175" s="1375" t="str">
        <f ca="1">Calculos!CK127</f>
        <v>-</v>
      </c>
      <c r="AF175" s="1376"/>
      <c r="AG175" s="1375" t="str">
        <f ca="1">Calculos!CK143</f>
        <v>-</v>
      </c>
      <c r="AH175" s="1376"/>
      <c r="AI175" s="1375" t="str">
        <f ca="1">Calculos!CK159</f>
        <v>-</v>
      </c>
      <c r="AJ175" s="1376"/>
      <c r="AK175" s="1375" t="str">
        <f ca="1">Calculos!CK175</f>
        <v>-</v>
      </c>
      <c r="AL175" s="1376"/>
      <c r="AM175" s="1375" t="str">
        <f ca="1">Calculos!CK191</f>
        <v>-</v>
      </c>
      <c r="AN175" s="1376"/>
      <c r="AO175" s="1375" t="str">
        <f ca="1">Calculos!CK207</f>
        <v>-</v>
      </c>
      <c r="AP175" s="1376"/>
      <c r="AQ175" s="1375" t="str">
        <f ca="1">Calculos!CK223</f>
        <v>-</v>
      </c>
      <c r="AR175" s="1376"/>
      <c r="AS175" s="1375" t="str">
        <f ca="1">Calculos!CK239</f>
        <v>-</v>
      </c>
      <c r="AT175" s="1376"/>
      <c r="AU175" s="1375" t="str">
        <f ca="1">Calculos!CK255</f>
        <v>-</v>
      </c>
      <c r="AV175" s="1376"/>
      <c r="AW175" s="1375" t="str">
        <f ca="1">Calculos!CK271</f>
        <v>-</v>
      </c>
      <c r="AX175" s="1376"/>
      <c r="AY175" s="1375" t="str">
        <f ca="1">Calculos!CK287</f>
        <v>-</v>
      </c>
      <c r="AZ175" s="1376"/>
      <c r="BA175" s="1375" t="str">
        <f ca="1">Calculos!CK303</f>
        <v>-</v>
      </c>
      <c r="BB175" s="1376"/>
      <c r="BC175" s="1375" t="str">
        <f ca="1">Calculos!CK319</f>
        <v>-</v>
      </c>
      <c r="BD175" s="1376"/>
      <c r="CA175" s="1354">
        <f t="shared" ca="1" si="59"/>
        <v>0</v>
      </c>
      <c r="CB175" s="1354"/>
      <c r="CC175" s="1354">
        <f t="shared" ca="1" si="40"/>
        <v>0</v>
      </c>
      <c r="CD175" s="1354"/>
      <c r="CE175" s="1354">
        <f t="shared" ca="1" si="41"/>
        <v>0</v>
      </c>
      <c r="CF175" s="1354"/>
      <c r="CG175" s="1354">
        <f t="shared" ca="1" si="42"/>
        <v>0</v>
      </c>
      <c r="CH175" s="1354"/>
      <c r="CI175" s="1354">
        <f t="shared" ca="1" si="43"/>
        <v>0</v>
      </c>
      <c r="CJ175" s="1354"/>
      <c r="CK175" s="1354">
        <f t="shared" ca="1" si="44"/>
        <v>0</v>
      </c>
      <c r="CL175" s="1354"/>
      <c r="CM175" s="1354">
        <f t="shared" ca="1" si="45"/>
        <v>0</v>
      </c>
      <c r="CN175" s="1354"/>
      <c r="CO175" s="1354">
        <f t="shared" ca="1" si="46"/>
        <v>0</v>
      </c>
      <c r="CP175" s="1354"/>
      <c r="CQ175" s="1354">
        <f t="shared" ca="1" si="47"/>
        <v>0</v>
      </c>
      <c r="CR175" s="1354"/>
      <c r="CS175" s="1354">
        <f t="shared" ca="1" si="48"/>
        <v>0</v>
      </c>
      <c r="CT175" s="1354"/>
      <c r="CU175" s="1354">
        <f t="shared" ca="1" si="49"/>
        <v>0</v>
      </c>
      <c r="CV175" s="1354"/>
      <c r="CW175" s="1354">
        <f t="shared" ca="1" si="50"/>
        <v>0</v>
      </c>
      <c r="CX175" s="1354"/>
      <c r="CY175" s="1354">
        <f t="shared" ca="1" si="51"/>
        <v>0</v>
      </c>
      <c r="CZ175" s="1354"/>
      <c r="DA175" s="1354">
        <f t="shared" ca="1" si="52"/>
        <v>0</v>
      </c>
      <c r="DB175" s="1354"/>
      <c r="DC175" s="1354">
        <f t="shared" ca="1" si="53"/>
        <v>0</v>
      </c>
      <c r="DD175" s="1354"/>
      <c r="DE175" s="1354">
        <f t="shared" ca="1" si="54"/>
        <v>0</v>
      </c>
      <c r="DF175" s="1354"/>
      <c r="DG175" s="1354">
        <f t="shared" ca="1" si="55"/>
        <v>0</v>
      </c>
      <c r="DH175" s="1354"/>
      <c r="DI175" s="1354">
        <f t="shared" ca="1" si="56"/>
        <v>0</v>
      </c>
      <c r="DJ175" s="1354"/>
      <c r="DK175" s="1354">
        <f t="shared" ca="1" si="57"/>
        <v>0</v>
      </c>
      <c r="DL175" s="1354"/>
      <c r="DM175" s="1354">
        <f t="shared" ca="1" si="58"/>
        <v>0</v>
      </c>
      <c r="DN175" s="1354"/>
    </row>
    <row r="176" spans="1:118" ht="20.100000000000001" customHeight="1" outlineLevel="1" x14ac:dyDescent="0.25">
      <c r="A176" s="18"/>
      <c r="B176" s="18"/>
      <c r="C176" s="18"/>
      <c r="D176" s="1"/>
      <c r="E176" s="2"/>
      <c r="F176" s="1377"/>
      <c r="G176" s="1377"/>
      <c r="H176" s="1377"/>
      <c r="I176" s="1377"/>
      <c r="J176" s="1377"/>
      <c r="K176" s="1377"/>
      <c r="L176" s="1377"/>
      <c r="M176" s="1384" t="s">
        <v>7109</v>
      </c>
      <c r="N176" s="1384"/>
      <c r="O176" s="1384"/>
      <c r="P176" s="1384"/>
      <c r="Q176" s="1375" t="str">
        <f ca="1">Calculos!CK16</f>
        <v>-</v>
      </c>
      <c r="R176" s="1376"/>
      <c r="S176" s="1375" t="str">
        <f ca="1">Calculos!CK32</f>
        <v>-</v>
      </c>
      <c r="T176" s="1376"/>
      <c r="U176" s="1375" t="str">
        <f ca="1">Calculos!CK48</f>
        <v>-</v>
      </c>
      <c r="V176" s="1376"/>
      <c r="W176" s="1375" t="str">
        <f ca="1">Calculos!CK64</f>
        <v>-</v>
      </c>
      <c r="X176" s="1376"/>
      <c r="Y176" s="1375" t="str">
        <f ca="1">Calculos!CK80</f>
        <v>-</v>
      </c>
      <c r="Z176" s="1376"/>
      <c r="AA176" s="1375" t="str">
        <f ca="1">Calculos!CK96</f>
        <v>-</v>
      </c>
      <c r="AB176" s="1376"/>
      <c r="AC176" s="1375" t="str">
        <f ca="1">Calculos!CK112</f>
        <v>-</v>
      </c>
      <c r="AD176" s="1376"/>
      <c r="AE176" s="1375" t="str">
        <f ca="1">Calculos!CK128</f>
        <v>-</v>
      </c>
      <c r="AF176" s="1376"/>
      <c r="AG176" s="1375" t="str">
        <f ca="1">Calculos!CK144</f>
        <v>-</v>
      </c>
      <c r="AH176" s="1376"/>
      <c r="AI176" s="1375" t="str">
        <f ca="1">Calculos!CK160</f>
        <v>-</v>
      </c>
      <c r="AJ176" s="1376"/>
      <c r="AK176" s="1375" t="str">
        <f ca="1">Calculos!CK176</f>
        <v>-</v>
      </c>
      <c r="AL176" s="1376"/>
      <c r="AM176" s="1375" t="str">
        <f ca="1">Calculos!CK192</f>
        <v>-</v>
      </c>
      <c r="AN176" s="1376"/>
      <c r="AO176" s="1375" t="str">
        <f ca="1">Calculos!CK208</f>
        <v>-</v>
      </c>
      <c r="AP176" s="1376"/>
      <c r="AQ176" s="1375" t="str">
        <f ca="1">Calculos!CK224</f>
        <v>-</v>
      </c>
      <c r="AR176" s="1376"/>
      <c r="AS176" s="1375" t="str">
        <f ca="1">Calculos!CK240</f>
        <v>-</v>
      </c>
      <c r="AT176" s="1376"/>
      <c r="AU176" s="1375" t="str">
        <f ca="1">Calculos!CK256</f>
        <v>-</v>
      </c>
      <c r="AV176" s="1376"/>
      <c r="AW176" s="1375" t="str">
        <f ca="1">Calculos!CK272</f>
        <v>-</v>
      </c>
      <c r="AX176" s="1376"/>
      <c r="AY176" s="1375" t="str">
        <f ca="1">Calculos!CK288</f>
        <v>-</v>
      </c>
      <c r="AZ176" s="1376"/>
      <c r="BA176" s="1375" t="str">
        <f ca="1">Calculos!CK304</f>
        <v>-</v>
      </c>
      <c r="BB176" s="1376"/>
      <c r="BC176" s="1375" t="str">
        <f ca="1">Calculos!CK320</f>
        <v>-</v>
      </c>
      <c r="BD176" s="1376"/>
      <c r="CA176" s="1354">
        <f t="shared" ca="1" si="59"/>
        <v>0</v>
      </c>
      <c r="CB176" s="1354"/>
      <c r="CC176" s="1354">
        <f t="shared" ca="1" si="40"/>
        <v>0</v>
      </c>
      <c r="CD176" s="1354"/>
      <c r="CE176" s="1354">
        <f t="shared" ca="1" si="41"/>
        <v>0</v>
      </c>
      <c r="CF176" s="1354"/>
      <c r="CG176" s="1354">
        <f t="shared" ca="1" si="42"/>
        <v>0</v>
      </c>
      <c r="CH176" s="1354"/>
      <c r="CI176" s="1354">
        <f t="shared" ca="1" si="43"/>
        <v>0</v>
      </c>
      <c r="CJ176" s="1354"/>
      <c r="CK176" s="1354">
        <f t="shared" ca="1" si="44"/>
        <v>0</v>
      </c>
      <c r="CL176" s="1354"/>
      <c r="CM176" s="1354">
        <f t="shared" ca="1" si="45"/>
        <v>0</v>
      </c>
      <c r="CN176" s="1354"/>
      <c r="CO176" s="1354">
        <f t="shared" ca="1" si="46"/>
        <v>0</v>
      </c>
      <c r="CP176" s="1354"/>
      <c r="CQ176" s="1354">
        <f t="shared" ca="1" si="47"/>
        <v>0</v>
      </c>
      <c r="CR176" s="1354"/>
      <c r="CS176" s="1354">
        <f t="shared" ca="1" si="48"/>
        <v>0</v>
      </c>
      <c r="CT176" s="1354"/>
      <c r="CU176" s="1354">
        <f t="shared" ca="1" si="49"/>
        <v>0</v>
      </c>
      <c r="CV176" s="1354"/>
      <c r="CW176" s="1354">
        <f t="shared" ca="1" si="50"/>
        <v>0</v>
      </c>
      <c r="CX176" s="1354"/>
      <c r="CY176" s="1354">
        <f t="shared" ca="1" si="51"/>
        <v>0</v>
      </c>
      <c r="CZ176" s="1354"/>
      <c r="DA176" s="1354">
        <f t="shared" ca="1" si="52"/>
        <v>0</v>
      </c>
      <c r="DB176" s="1354"/>
      <c r="DC176" s="1354">
        <f t="shared" ca="1" si="53"/>
        <v>0</v>
      </c>
      <c r="DD176" s="1354"/>
      <c r="DE176" s="1354">
        <f t="shared" ca="1" si="54"/>
        <v>0</v>
      </c>
      <c r="DF176" s="1354"/>
      <c r="DG176" s="1354">
        <f t="shared" ca="1" si="55"/>
        <v>0</v>
      </c>
      <c r="DH176" s="1354"/>
      <c r="DI176" s="1354">
        <f t="shared" ca="1" si="56"/>
        <v>0</v>
      </c>
      <c r="DJ176" s="1354"/>
      <c r="DK176" s="1354">
        <f t="shared" ca="1" si="57"/>
        <v>0</v>
      </c>
      <c r="DL176" s="1354"/>
      <c r="DM176" s="1354">
        <f t="shared" ca="1" si="58"/>
        <v>0</v>
      </c>
      <c r="DN176" s="1354"/>
    </row>
    <row r="177" spans="1:118" ht="20.100000000000001" customHeight="1" outlineLevel="1" x14ac:dyDescent="0.25">
      <c r="A177" s="18"/>
      <c r="B177" s="18"/>
      <c r="C177" s="18"/>
      <c r="D177" s="1"/>
      <c r="E177" s="2"/>
      <c r="F177" s="1377"/>
      <c r="G177" s="1377"/>
      <c r="H177" s="1377"/>
      <c r="I177" s="1377"/>
      <c r="J177" s="1377"/>
      <c r="K177" s="1377"/>
      <c r="L177" s="1377"/>
      <c r="M177" s="1384" t="s">
        <v>7110</v>
      </c>
      <c r="N177" s="1384"/>
      <c r="O177" s="1384"/>
      <c r="P177" s="1384"/>
      <c r="Q177" s="1375" t="str">
        <f ca="1">Calculos!CK17</f>
        <v>-</v>
      </c>
      <c r="R177" s="1376"/>
      <c r="S177" s="1375" t="str">
        <f ca="1">Calculos!CK33</f>
        <v>-</v>
      </c>
      <c r="T177" s="1376"/>
      <c r="U177" s="1375" t="str">
        <f ca="1">Calculos!CK49</f>
        <v>-</v>
      </c>
      <c r="V177" s="1376"/>
      <c r="W177" s="1375" t="str">
        <f ca="1">Calculos!CK65</f>
        <v>-</v>
      </c>
      <c r="X177" s="1376"/>
      <c r="Y177" s="1375" t="str">
        <f ca="1">Calculos!CK81</f>
        <v>-</v>
      </c>
      <c r="Z177" s="1376"/>
      <c r="AA177" s="1375" t="str">
        <f ca="1">Calculos!CK97</f>
        <v>-</v>
      </c>
      <c r="AB177" s="1376"/>
      <c r="AC177" s="1375" t="str">
        <f ca="1">Calculos!CK113</f>
        <v>-</v>
      </c>
      <c r="AD177" s="1376"/>
      <c r="AE177" s="1375" t="str">
        <f ca="1">Calculos!CK129</f>
        <v>-</v>
      </c>
      <c r="AF177" s="1376"/>
      <c r="AG177" s="1375" t="str">
        <f ca="1">Calculos!CK145</f>
        <v>-</v>
      </c>
      <c r="AH177" s="1376"/>
      <c r="AI177" s="1375" t="str">
        <f ca="1">Calculos!CK161</f>
        <v>-</v>
      </c>
      <c r="AJ177" s="1376"/>
      <c r="AK177" s="1375" t="str">
        <f ca="1">Calculos!CK177</f>
        <v>-</v>
      </c>
      <c r="AL177" s="1376"/>
      <c r="AM177" s="1375" t="str">
        <f ca="1">Calculos!CK193</f>
        <v>-</v>
      </c>
      <c r="AN177" s="1376"/>
      <c r="AO177" s="1375" t="str">
        <f ca="1">Calculos!CK209</f>
        <v>-</v>
      </c>
      <c r="AP177" s="1376"/>
      <c r="AQ177" s="1375" t="str">
        <f ca="1">Calculos!CK225</f>
        <v>-</v>
      </c>
      <c r="AR177" s="1376"/>
      <c r="AS177" s="1375" t="str">
        <f ca="1">Calculos!CK241</f>
        <v>-</v>
      </c>
      <c r="AT177" s="1376"/>
      <c r="AU177" s="1375" t="str">
        <f ca="1">Calculos!CK257</f>
        <v>-</v>
      </c>
      <c r="AV177" s="1376"/>
      <c r="AW177" s="1375" t="str">
        <f ca="1">Calculos!CK273</f>
        <v>-</v>
      </c>
      <c r="AX177" s="1376"/>
      <c r="AY177" s="1375" t="str">
        <f ca="1">Calculos!CK289</f>
        <v>-</v>
      </c>
      <c r="AZ177" s="1376"/>
      <c r="BA177" s="1375" t="str">
        <f ca="1">Calculos!CK305</f>
        <v>-</v>
      </c>
      <c r="BB177" s="1376"/>
      <c r="BC177" s="1375" t="str">
        <f ca="1">Calculos!CK321</f>
        <v>-</v>
      </c>
      <c r="BD177" s="1376"/>
      <c r="CA177" s="1354">
        <f t="shared" ca="1" si="59"/>
        <v>0</v>
      </c>
      <c r="CB177" s="1354"/>
      <c r="CC177" s="1354">
        <f t="shared" ca="1" si="40"/>
        <v>0</v>
      </c>
      <c r="CD177" s="1354"/>
      <c r="CE177" s="1354">
        <f t="shared" ca="1" si="41"/>
        <v>0</v>
      </c>
      <c r="CF177" s="1354"/>
      <c r="CG177" s="1354">
        <f t="shared" ca="1" si="42"/>
        <v>0</v>
      </c>
      <c r="CH177" s="1354"/>
      <c r="CI177" s="1354">
        <f t="shared" ca="1" si="43"/>
        <v>0</v>
      </c>
      <c r="CJ177" s="1354"/>
      <c r="CK177" s="1354">
        <f t="shared" ca="1" si="44"/>
        <v>0</v>
      </c>
      <c r="CL177" s="1354"/>
      <c r="CM177" s="1354">
        <f t="shared" ca="1" si="45"/>
        <v>0</v>
      </c>
      <c r="CN177" s="1354"/>
      <c r="CO177" s="1354">
        <f t="shared" ca="1" si="46"/>
        <v>0</v>
      </c>
      <c r="CP177" s="1354"/>
      <c r="CQ177" s="1354">
        <f t="shared" ca="1" si="47"/>
        <v>0</v>
      </c>
      <c r="CR177" s="1354"/>
      <c r="CS177" s="1354">
        <f t="shared" ca="1" si="48"/>
        <v>0</v>
      </c>
      <c r="CT177" s="1354"/>
      <c r="CU177" s="1354">
        <f t="shared" ca="1" si="49"/>
        <v>0</v>
      </c>
      <c r="CV177" s="1354"/>
      <c r="CW177" s="1354">
        <f t="shared" ca="1" si="50"/>
        <v>0</v>
      </c>
      <c r="CX177" s="1354"/>
      <c r="CY177" s="1354">
        <f t="shared" ca="1" si="51"/>
        <v>0</v>
      </c>
      <c r="CZ177" s="1354"/>
      <c r="DA177" s="1354">
        <f t="shared" ca="1" si="52"/>
        <v>0</v>
      </c>
      <c r="DB177" s="1354"/>
      <c r="DC177" s="1354">
        <f t="shared" ca="1" si="53"/>
        <v>0</v>
      </c>
      <c r="DD177" s="1354"/>
      <c r="DE177" s="1354">
        <f t="shared" ca="1" si="54"/>
        <v>0</v>
      </c>
      <c r="DF177" s="1354"/>
      <c r="DG177" s="1354">
        <f t="shared" ca="1" si="55"/>
        <v>0</v>
      </c>
      <c r="DH177" s="1354"/>
      <c r="DI177" s="1354">
        <f t="shared" ca="1" si="56"/>
        <v>0</v>
      </c>
      <c r="DJ177" s="1354"/>
      <c r="DK177" s="1354">
        <f t="shared" ca="1" si="57"/>
        <v>0</v>
      </c>
      <c r="DL177" s="1354"/>
      <c r="DM177" s="1354">
        <f t="shared" ca="1" si="58"/>
        <v>0</v>
      </c>
      <c r="DN177" s="1354"/>
    </row>
    <row r="178" spans="1:118" ht="20.100000000000001" customHeight="1" outlineLevel="1" x14ac:dyDescent="0.25">
      <c r="A178" s="18"/>
      <c r="B178" s="18"/>
      <c r="C178" s="18"/>
      <c r="D178" s="1"/>
      <c r="E178" s="2"/>
      <c r="F178" s="1377"/>
      <c r="G178" s="1377"/>
      <c r="H178" s="1377"/>
      <c r="I178" s="1377"/>
      <c r="J178" s="1377"/>
      <c r="K178" s="1377"/>
      <c r="L178" s="1377"/>
      <c r="M178" s="1384" t="s">
        <v>7111</v>
      </c>
      <c r="N178" s="1384"/>
      <c r="O178" s="1384"/>
      <c r="P178" s="1384"/>
      <c r="Q178" s="1375" t="str">
        <f ca="1">Calculos!CK18</f>
        <v>-</v>
      </c>
      <c r="R178" s="1376"/>
      <c r="S178" s="1375" t="str">
        <f ca="1">Calculos!CK34</f>
        <v>-</v>
      </c>
      <c r="T178" s="1376"/>
      <c r="U178" s="1375" t="str">
        <f ca="1">Calculos!CK50</f>
        <v>-</v>
      </c>
      <c r="V178" s="1376"/>
      <c r="W178" s="1375" t="str">
        <f ca="1">Calculos!CK66</f>
        <v>-</v>
      </c>
      <c r="X178" s="1376"/>
      <c r="Y178" s="1375" t="str">
        <f ca="1">Calculos!CK82</f>
        <v>-</v>
      </c>
      <c r="Z178" s="1376"/>
      <c r="AA178" s="1375" t="str">
        <f ca="1">Calculos!CK98</f>
        <v>-</v>
      </c>
      <c r="AB178" s="1376"/>
      <c r="AC178" s="1375" t="str">
        <f ca="1">Calculos!CK114</f>
        <v>-</v>
      </c>
      <c r="AD178" s="1376"/>
      <c r="AE178" s="1375" t="str">
        <f ca="1">Calculos!CK130</f>
        <v>-</v>
      </c>
      <c r="AF178" s="1376"/>
      <c r="AG178" s="1375" t="str">
        <f ca="1">Calculos!CK146</f>
        <v>-</v>
      </c>
      <c r="AH178" s="1376"/>
      <c r="AI178" s="1375" t="str">
        <f ca="1">Calculos!CK162</f>
        <v>-</v>
      </c>
      <c r="AJ178" s="1376"/>
      <c r="AK178" s="1375" t="str">
        <f ca="1">Calculos!CK178</f>
        <v>-</v>
      </c>
      <c r="AL178" s="1376"/>
      <c r="AM178" s="1375" t="str">
        <f ca="1">Calculos!CK194</f>
        <v>-</v>
      </c>
      <c r="AN178" s="1376"/>
      <c r="AO178" s="1375" t="str">
        <f ca="1">Calculos!CK210</f>
        <v>-</v>
      </c>
      <c r="AP178" s="1376"/>
      <c r="AQ178" s="1375" t="str">
        <f ca="1">Calculos!CK226</f>
        <v>-</v>
      </c>
      <c r="AR178" s="1376"/>
      <c r="AS178" s="1375" t="str">
        <f ca="1">Calculos!CK242</f>
        <v>-</v>
      </c>
      <c r="AT178" s="1376"/>
      <c r="AU178" s="1375" t="str">
        <f ca="1">Calculos!CK258</f>
        <v>-</v>
      </c>
      <c r="AV178" s="1376"/>
      <c r="AW178" s="1375" t="str">
        <f ca="1">Calculos!CK274</f>
        <v>-</v>
      </c>
      <c r="AX178" s="1376"/>
      <c r="AY178" s="1375" t="str">
        <f ca="1">Calculos!CK290</f>
        <v>-</v>
      </c>
      <c r="AZ178" s="1376"/>
      <c r="BA178" s="1375" t="str">
        <f ca="1">Calculos!CK306</f>
        <v>-</v>
      </c>
      <c r="BB178" s="1376"/>
      <c r="BC178" s="1375" t="str">
        <f ca="1">Calculos!CK322</f>
        <v>-</v>
      </c>
      <c r="BD178" s="1376"/>
      <c r="CA178" s="1354">
        <f t="shared" ca="1" si="59"/>
        <v>0</v>
      </c>
      <c r="CB178" s="1354"/>
      <c r="CC178" s="1354">
        <f t="shared" ca="1" si="40"/>
        <v>0</v>
      </c>
      <c r="CD178" s="1354"/>
      <c r="CE178" s="1354">
        <f t="shared" ca="1" si="41"/>
        <v>0</v>
      </c>
      <c r="CF178" s="1354"/>
      <c r="CG178" s="1354">
        <f t="shared" ca="1" si="42"/>
        <v>0</v>
      </c>
      <c r="CH178" s="1354"/>
      <c r="CI178" s="1354">
        <f t="shared" ca="1" si="43"/>
        <v>0</v>
      </c>
      <c r="CJ178" s="1354"/>
      <c r="CK178" s="1354">
        <f t="shared" ca="1" si="44"/>
        <v>0</v>
      </c>
      <c r="CL178" s="1354"/>
      <c r="CM178" s="1354">
        <f t="shared" ca="1" si="45"/>
        <v>0</v>
      </c>
      <c r="CN178" s="1354"/>
      <c r="CO178" s="1354">
        <f t="shared" ca="1" si="46"/>
        <v>0</v>
      </c>
      <c r="CP178" s="1354"/>
      <c r="CQ178" s="1354">
        <f t="shared" ca="1" si="47"/>
        <v>0</v>
      </c>
      <c r="CR178" s="1354"/>
      <c r="CS178" s="1354">
        <f t="shared" ca="1" si="48"/>
        <v>0</v>
      </c>
      <c r="CT178" s="1354"/>
      <c r="CU178" s="1354">
        <f t="shared" ca="1" si="49"/>
        <v>0</v>
      </c>
      <c r="CV178" s="1354"/>
      <c r="CW178" s="1354">
        <f t="shared" ca="1" si="50"/>
        <v>0</v>
      </c>
      <c r="CX178" s="1354"/>
      <c r="CY178" s="1354">
        <f t="shared" ca="1" si="51"/>
        <v>0</v>
      </c>
      <c r="CZ178" s="1354"/>
      <c r="DA178" s="1354">
        <f t="shared" ca="1" si="52"/>
        <v>0</v>
      </c>
      <c r="DB178" s="1354"/>
      <c r="DC178" s="1354">
        <f t="shared" ca="1" si="53"/>
        <v>0</v>
      </c>
      <c r="DD178" s="1354"/>
      <c r="DE178" s="1354">
        <f t="shared" ca="1" si="54"/>
        <v>0</v>
      </c>
      <c r="DF178" s="1354"/>
      <c r="DG178" s="1354">
        <f t="shared" ca="1" si="55"/>
        <v>0</v>
      </c>
      <c r="DH178" s="1354"/>
      <c r="DI178" s="1354">
        <f t="shared" ca="1" si="56"/>
        <v>0</v>
      </c>
      <c r="DJ178" s="1354"/>
      <c r="DK178" s="1354">
        <f t="shared" ca="1" si="57"/>
        <v>0</v>
      </c>
      <c r="DL178" s="1354"/>
      <c r="DM178" s="1354">
        <f t="shared" ca="1" si="58"/>
        <v>0</v>
      </c>
      <c r="DN178" s="1354"/>
    </row>
    <row r="179" spans="1:118" ht="20.100000000000001" customHeight="1" outlineLevel="1" x14ac:dyDescent="0.25">
      <c r="A179" s="18"/>
      <c r="B179" s="18"/>
      <c r="C179" s="18"/>
      <c r="D179" s="1"/>
      <c r="E179" s="2"/>
      <c r="F179" s="1377"/>
      <c r="G179" s="1377"/>
      <c r="H179" s="1377"/>
      <c r="I179" s="1377"/>
      <c r="J179" s="1377"/>
      <c r="K179" s="1377"/>
      <c r="L179" s="1377"/>
      <c r="M179" s="1384" t="s">
        <v>7112</v>
      </c>
      <c r="N179" s="1384"/>
      <c r="O179" s="1384"/>
      <c r="P179" s="1384"/>
      <c r="Q179" s="1375" t="str">
        <f ca="1">Calculos!CK19</f>
        <v>-</v>
      </c>
      <c r="R179" s="1376"/>
      <c r="S179" s="1375" t="str">
        <f ca="1">Calculos!CK35</f>
        <v>-</v>
      </c>
      <c r="T179" s="1376"/>
      <c r="U179" s="1375" t="str">
        <f ca="1">Calculos!CK51</f>
        <v>-</v>
      </c>
      <c r="V179" s="1376"/>
      <c r="W179" s="1375" t="str">
        <f ca="1">Calculos!CK67</f>
        <v>-</v>
      </c>
      <c r="X179" s="1376"/>
      <c r="Y179" s="1375" t="str">
        <f ca="1">Calculos!CK83</f>
        <v>-</v>
      </c>
      <c r="Z179" s="1376"/>
      <c r="AA179" s="1375" t="str">
        <f ca="1">Calculos!CK99</f>
        <v>-</v>
      </c>
      <c r="AB179" s="1376"/>
      <c r="AC179" s="1375" t="str">
        <f ca="1">Calculos!CK115</f>
        <v>-</v>
      </c>
      <c r="AD179" s="1376"/>
      <c r="AE179" s="1375" t="str">
        <f ca="1">Calculos!CK131</f>
        <v>-</v>
      </c>
      <c r="AF179" s="1376"/>
      <c r="AG179" s="1375" t="str">
        <f ca="1">Calculos!CK147</f>
        <v>-</v>
      </c>
      <c r="AH179" s="1376"/>
      <c r="AI179" s="1375" t="str">
        <f ca="1">Calculos!CK163</f>
        <v>-</v>
      </c>
      <c r="AJ179" s="1376"/>
      <c r="AK179" s="1375" t="str">
        <f ca="1">Calculos!CK179</f>
        <v>-</v>
      </c>
      <c r="AL179" s="1376"/>
      <c r="AM179" s="1375" t="str">
        <f ca="1">Calculos!CK195</f>
        <v>-</v>
      </c>
      <c r="AN179" s="1376"/>
      <c r="AO179" s="1375" t="str">
        <f ca="1">Calculos!CK211</f>
        <v>-</v>
      </c>
      <c r="AP179" s="1376"/>
      <c r="AQ179" s="1375" t="str">
        <f ca="1">Calculos!CK227</f>
        <v>-</v>
      </c>
      <c r="AR179" s="1376"/>
      <c r="AS179" s="1375" t="str">
        <f ca="1">Calculos!CK243</f>
        <v>-</v>
      </c>
      <c r="AT179" s="1376"/>
      <c r="AU179" s="1375" t="str">
        <f ca="1">Calculos!CK259</f>
        <v>-</v>
      </c>
      <c r="AV179" s="1376"/>
      <c r="AW179" s="1375" t="str">
        <f ca="1">Calculos!CK275</f>
        <v>-</v>
      </c>
      <c r="AX179" s="1376"/>
      <c r="AY179" s="1375" t="str">
        <f ca="1">Calculos!CK291</f>
        <v>-</v>
      </c>
      <c r="AZ179" s="1376"/>
      <c r="BA179" s="1375" t="str">
        <f ca="1">Calculos!CK307</f>
        <v>-</v>
      </c>
      <c r="BB179" s="1376"/>
      <c r="BC179" s="1375" t="str">
        <f ca="1">Calculos!CK323</f>
        <v>-</v>
      </c>
      <c r="BD179" s="1376"/>
      <c r="CA179" s="1354">
        <f t="shared" ca="1" si="59"/>
        <v>0</v>
      </c>
      <c r="CB179" s="1354"/>
      <c r="CC179" s="1354">
        <f t="shared" ca="1" si="40"/>
        <v>0</v>
      </c>
      <c r="CD179" s="1354"/>
      <c r="CE179" s="1354">
        <f t="shared" ca="1" si="41"/>
        <v>0</v>
      </c>
      <c r="CF179" s="1354"/>
      <c r="CG179" s="1354">
        <f t="shared" ca="1" si="42"/>
        <v>0</v>
      </c>
      <c r="CH179" s="1354"/>
      <c r="CI179" s="1354">
        <f t="shared" ca="1" si="43"/>
        <v>0</v>
      </c>
      <c r="CJ179" s="1354"/>
      <c r="CK179" s="1354">
        <f t="shared" ca="1" si="44"/>
        <v>0</v>
      </c>
      <c r="CL179" s="1354"/>
      <c r="CM179" s="1354">
        <f t="shared" ca="1" si="45"/>
        <v>0</v>
      </c>
      <c r="CN179" s="1354"/>
      <c r="CO179" s="1354">
        <f t="shared" ca="1" si="46"/>
        <v>0</v>
      </c>
      <c r="CP179" s="1354"/>
      <c r="CQ179" s="1354">
        <f t="shared" ca="1" si="47"/>
        <v>0</v>
      </c>
      <c r="CR179" s="1354"/>
      <c r="CS179" s="1354">
        <f t="shared" ca="1" si="48"/>
        <v>0</v>
      </c>
      <c r="CT179" s="1354"/>
      <c r="CU179" s="1354">
        <f t="shared" ca="1" si="49"/>
        <v>0</v>
      </c>
      <c r="CV179" s="1354"/>
      <c r="CW179" s="1354">
        <f t="shared" ca="1" si="50"/>
        <v>0</v>
      </c>
      <c r="CX179" s="1354"/>
      <c r="CY179" s="1354">
        <f t="shared" ca="1" si="51"/>
        <v>0</v>
      </c>
      <c r="CZ179" s="1354"/>
      <c r="DA179" s="1354">
        <f t="shared" ca="1" si="52"/>
        <v>0</v>
      </c>
      <c r="DB179" s="1354"/>
      <c r="DC179" s="1354">
        <f t="shared" ca="1" si="53"/>
        <v>0</v>
      </c>
      <c r="DD179" s="1354"/>
      <c r="DE179" s="1354">
        <f t="shared" ca="1" si="54"/>
        <v>0</v>
      </c>
      <c r="DF179" s="1354"/>
      <c r="DG179" s="1354">
        <f t="shared" ca="1" si="55"/>
        <v>0</v>
      </c>
      <c r="DH179" s="1354"/>
      <c r="DI179" s="1354">
        <f t="shared" ca="1" si="56"/>
        <v>0</v>
      </c>
      <c r="DJ179" s="1354"/>
      <c r="DK179" s="1354">
        <f t="shared" ca="1" si="57"/>
        <v>0</v>
      </c>
      <c r="DL179" s="1354"/>
      <c r="DM179" s="1354">
        <f t="shared" ca="1" si="58"/>
        <v>0</v>
      </c>
      <c r="DN179" s="1354"/>
    </row>
    <row r="180" spans="1:118" ht="20.100000000000001" customHeight="1" outlineLevel="1" x14ac:dyDescent="0.25">
      <c r="A180" s="18"/>
      <c r="B180" s="18"/>
      <c r="C180" s="18"/>
      <c r="D180" s="1"/>
      <c r="E180" s="2"/>
      <c r="F180" s="1377"/>
      <c r="G180" s="1377"/>
      <c r="H180" s="1377"/>
      <c r="I180" s="1377"/>
      <c r="J180" s="1377"/>
      <c r="K180" s="1377"/>
      <c r="L180" s="1377"/>
      <c r="M180" s="1384" t="s">
        <v>7113</v>
      </c>
      <c r="N180" s="1384"/>
      <c r="O180" s="1384"/>
      <c r="P180" s="1384"/>
      <c r="Q180" s="1375" t="str">
        <f ca="1">Calculos!CK20</f>
        <v>-</v>
      </c>
      <c r="R180" s="1376"/>
      <c r="S180" s="1375" t="str">
        <f ca="1">Calculos!CK36</f>
        <v>-</v>
      </c>
      <c r="T180" s="1376"/>
      <c r="U180" s="1375" t="str">
        <f ca="1">Calculos!CK52</f>
        <v>-</v>
      </c>
      <c r="V180" s="1376"/>
      <c r="W180" s="1375" t="str">
        <f ca="1">Calculos!CK68</f>
        <v>-</v>
      </c>
      <c r="X180" s="1376"/>
      <c r="Y180" s="1375" t="str">
        <f ca="1">Calculos!CK84</f>
        <v>-</v>
      </c>
      <c r="Z180" s="1376"/>
      <c r="AA180" s="1375" t="str">
        <f ca="1">Calculos!CK100</f>
        <v>-</v>
      </c>
      <c r="AB180" s="1376"/>
      <c r="AC180" s="1375" t="str">
        <f ca="1">Calculos!CK116</f>
        <v>-</v>
      </c>
      <c r="AD180" s="1376"/>
      <c r="AE180" s="1375" t="str">
        <f ca="1">Calculos!CK132</f>
        <v>-</v>
      </c>
      <c r="AF180" s="1376"/>
      <c r="AG180" s="1375" t="str">
        <f ca="1">Calculos!CK148</f>
        <v>-</v>
      </c>
      <c r="AH180" s="1376"/>
      <c r="AI180" s="1375" t="str">
        <f ca="1">Calculos!CK164</f>
        <v>-</v>
      </c>
      <c r="AJ180" s="1376"/>
      <c r="AK180" s="1375" t="str">
        <f ca="1">Calculos!CK180</f>
        <v>-</v>
      </c>
      <c r="AL180" s="1376"/>
      <c r="AM180" s="1375" t="str">
        <f ca="1">Calculos!CK196</f>
        <v>-</v>
      </c>
      <c r="AN180" s="1376"/>
      <c r="AO180" s="1375" t="str">
        <f ca="1">Calculos!CK212</f>
        <v>-</v>
      </c>
      <c r="AP180" s="1376"/>
      <c r="AQ180" s="1375" t="str">
        <f ca="1">Calculos!CK228</f>
        <v>-</v>
      </c>
      <c r="AR180" s="1376"/>
      <c r="AS180" s="1375" t="str">
        <f ca="1">Calculos!CK244</f>
        <v>-</v>
      </c>
      <c r="AT180" s="1376"/>
      <c r="AU180" s="1375" t="str">
        <f ca="1">Calculos!CK260</f>
        <v>-</v>
      </c>
      <c r="AV180" s="1376"/>
      <c r="AW180" s="1375" t="str">
        <f ca="1">Calculos!CK276</f>
        <v>-</v>
      </c>
      <c r="AX180" s="1376"/>
      <c r="AY180" s="1375" t="str">
        <f ca="1">Calculos!CK292</f>
        <v>-</v>
      </c>
      <c r="AZ180" s="1376"/>
      <c r="BA180" s="1375" t="str">
        <f ca="1">Calculos!CK308</f>
        <v>-</v>
      </c>
      <c r="BB180" s="1376"/>
      <c r="BC180" s="1375" t="str">
        <f ca="1">Calculos!CK324</f>
        <v>-</v>
      </c>
      <c r="BD180" s="1376"/>
      <c r="CA180" s="1354">
        <f t="shared" ca="1" si="59"/>
        <v>0</v>
      </c>
      <c r="CB180" s="1354"/>
      <c r="CC180" s="1354">
        <f t="shared" ca="1" si="40"/>
        <v>0</v>
      </c>
      <c r="CD180" s="1354"/>
      <c r="CE180" s="1354">
        <f t="shared" ca="1" si="41"/>
        <v>0</v>
      </c>
      <c r="CF180" s="1354"/>
      <c r="CG180" s="1354">
        <f t="shared" ca="1" si="42"/>
        <v>0</v>
      </c>
      <c r="CH180" s="1354"/>
      <c r="CI180" s="1354">
        <f t="shared" ca="1" si="43"/>
        <v>0</v>
      </c>
      <c r="CJ180" s="1354"/>
      <c r="CK180" s="1354">
        <f t="shared" ca="1" si="44"/>
        <v>0</v>
      </c>
      <c r="CL180" s="1354"/>
      <c r="CM180" s="1354">
        <f t="shared" ca="1" si="45"/>
        <v>0</v>
      </c>
      <c r="CN180" s="1354"/>
      <c r="CO180" s="1354">
        <f t="shared" ca="1" si="46"/>
        <v>0</v>
      </c>
      <c r="CP180" s="1354"/>
      <c r="CQ180" s="1354">
        <f t="shared" ca="1" si="47"/>
        <v>0</v>
      </c>
      <c r="CR180" s="1354"/>
      <c r="CS180" s="1354">
        <f t="shared" ca="1" si="48"/>
        <v>0</v>
      </c>
      <c r="CT180" s="1354"/>
      <c r="CU180" s="1354">
        <f t="shared" ca="1" si="49"/>
        <v>0</v>
      </c>
      <c r="CV180" s="1354"/>
      <c r="CW180" s="1354">
        <f t="shared" ca="1" si="50"/>
        <v>0</v>
      </c>
      <c r="CX180" s="1354"/>
      <c r="CY180" s="1354">
        <f t="shared" ca="1" si="51"/>
        <v>0</v>
      </c>
      <c r="CZ180" s="1354"/>
      <c r="DA180" s="1354">
        <f t="shared" ca="1" si="52"/>
        <v>0</v>
      </c>
      <c r="DB180" s="1354"/>
      <c r="DC180" s="1354">
        <f t="shared" ca="1" si="53"/>
        <v>0</v>
      </c>
      <c r="DD180" s="1354"/>
      <c r="DE180" s="1354">
        <f t="shared" ca="1" si="54"/>
        <v>0</v>
      </c>
      <c r="DF180" s="1354"/>
      <c r="DG180" s="1354">
        <f t="shared" ca="1" si="55"/>
        <v>0</v>
      </c>
      <c r="DH180" s="1354"/>
      <c r="DI180" s="1354">
        <f t="shared" ca="1" si="56"/>
        <v>0</v>
      </c>
      <c r="DJ180" s="1354"/>
      <c r="DK180" s="1354">
        <f t="shared" ca="1" si="57"/>
        <v>0</v>
      </c>
      <c r="DL180" s="1354"/>
      <c r="DM180" s="1354">
        <f t="shared" ca="1" si="58"/>
        <v>0</v>
      </c>
      <c r="DN180" s="1354"/>
    </row>
    <row r="181" spans="1:118" ht="20.100000000000001" customHeight="1" outlineLevel="1" x14ac:dyDescent="0.25">
      <c r="A181" s="18"/>
      <c r="B181" s="18"/>
      <c r="C181" s="18"/>
      <c r="D181" s="1"/>
      <c r="E181" s="2"/>
      <c r="F181" s="1377"/>
      <c r="G181" s="1377"/>
      <c r="H181" s="1377"/>
      <c r="I181" s="1377"/>
      <c r="J181" s="1377"/>
      <c r="K181" s="1377"/>
      <c r="L181" s="1377"/>
      <c r="M181" s="1384" t="s">
        <v>80</v>
      </c>
      <c r="N181" s="1384"/>
      <c r="O181" s="1384"/>
      <c r="P181" s="1384"/>
      <c r="Q181" s="1375" t="str">
        <f ca="1">Calculos!CK21</f>
        <v>-</v>
      </c>
      <c r="R181" s="1376"/>
      <c r="S181" s="1375" t="str">
        <f ca="1">Calculos!CK37</f>
        <v>-</v>
      </c>
      <c r="T181" s="1376"/>
      <c r="U181" s="1375" t="str">
        <f ca="1">Calculos!CK53</f>
        <v>-</v>
      </c>
      <c r="V181" s="1376"/>
      <c r="W181" s="1375" t="str">
        <f ca="1">Calculos!CK69</f>
        <v>-</v>
      </c>
      <c r="X181" s="1376"/>
      <c r="Y181" s="1375" t="str">
        <f ca="1">Calculos!CK85</f>
        <v>-</v>
      </c>
      <c r="Z181" s="1376"/>
      <c r="AA181" s="1375" t="str">
        <f ca="1">Calculos!CK101</f>
        <v>-</v>
      </c>
      <c r="AB181" s="1376"/>
      <c r="AC181" s="1375" t="str">
        <f ca="1">Calculos!CK117</f>
        <v>-</v>
      </c>
      <c r="AD181" s="1376"/>
      <c r="AE181" s="1375" t="str">
        <f ca="1">Calculos!CK133</f>
        <v>-</v>
      </c>
      <c r="AF181" s="1376"/>
      <c r="AG181" s="1375" t="str">
        <f ca="1">Calculos!CK149</f>
        <v>-</v>
      </c>
      <c r="AH181" s="1376"/>
      <c r="AI181" s="1375" t="str">
        <f ca="1">Calculos!CK165</f>
        <v>-</v>
      </c>
      <c r="AJ181" s="1376"/>
      <c r="AK181" s="1375" t="str">
        <f ca="1">Calculos!CK181</f>
        <v>-</v>
      </c>
      <c r="AL181" s="1376"/>
      <c r="AM181" s="1375" t="str">
        <f ca="1">Calculos!CK197</f>
        <v>-</v>
      </c>
      <c r="AN181" s="1376"/>
      <c r="AO181" s="1375" t="str">
        <f ca="1">Calculos!CK213</f>
        <v>-</v>
      </c>
      <c r="AP181" s="1376"/>
      <c r="AQ181" s="1375" t="str">
        <f ca="1">Calculos!CK229</f>
        <v>-</v>
      </c>
      <c r="AR181" s="1376"/>
      <c r="AS181" s="1375" t="str">
        <f ca="1">Calculos!CK245</f>
        <v>-</v>
      </c>
      <c r="AT181" s="1376"/>
      <c r="AU181" s="1375" t="str">
        <f ca="1">Calculos!CK261</f>
        <v>-</v>
      </c>
      <c r="AV181" s="1376"/>
      <c r="AW181" s="1375" t="str">
        <f ca="1">Calculos!CK277</f>
        <v>-</v>
      </c>
      <c r="AX181" s="1376"/>
      <c r="AY181" s="1375" t="str">
        <f ca="1">Calculos!CK293</f>
        <v>-</v>
      </c>
      <c r="AZ181" s="1376"/>
      <c r="BA181" s="1375" t="str">
        <f ca="1">Calculos!CK309</f>
        <v>-</v>
      </c>
      <c r="BB181" s="1376"/>
      <c r="BC181" s="1375" t="str">
        <f ca="1">Calculos!CK325</f>
        <v>-</v>
      </c>
      <c r="BD181" s="1376"/>
      <c r="CA181" s="1354">
        <f t="shared" ca="1" si="59"/>
        <v>0</v>
      </c>
      <c r="CB181" s="1354"/>
      <c r="CC181" s="1354">
        <f t="shared" ca="1" si="40"/>
        <v>0</v>
      </c>
      <c r="CD181" s="1354"/>
      <c r="CE181" s="1354">
        <f t="shared" ca="1" si="41"/>
        <v>0</v>
      </c>
      <c r="CF181" s="1354"/>
      <c r="CG181" s="1354">
        <f t="shared" ca="1" si="42"/>
        <v>0</v>
      </c>
      <c r="CH181" s="1354"/>
      <c r="CI181" s="1354">
        <f t="shared" ca="1" si="43"/>
        <v>0</v>
      </c>
      <c r="CJ181" s="1354"/>
      <c r="CK181" s="1354">
        <f t="shared" ca="1" si="44"/>
        <v>0</v>
      </c>
      <c r="CL181" s="1354"/>
      <c r="CM181" s="1354">
        <f t="shared" ca="1" si="45"/>
        <v>0</v>
      </c>
      <c r="CN181" s="1354"/>
      <c r="CO181" s="1354">
        <f t="shared" ca="1" si="46"/>
        <v>0</v>
      </c>
      <c r="CP181" s="1354"/>
      <c r="CQ181" s="1354">
        <f t="shared" ca="1" si="47"/>
        <v>0</v>
      </c>
      <c r="CR181" s="1354"/>
      <c r="CS181" s="1354">
        <f t="shared" ca="1" si="48"/>
        <v>0</v>
      </c>
      <c r="CT181" s="1354"/>
      <c r="CU181" s="1354">
        <f t="shared" ca="1" si="49"/>
        <v>0</v>
      </c>
      <c r="CV181" s="1354"/>
      <c r="CW181" s="1354">
        <f t="shared" ca="1" si="50"/>
        <v>0</v>
      </c>
      <c r="CX181" s="1354"/>
      <c r="CY181" s="1354">
        <f t="shared" ca="1" si="51"/>
        <v>0</v>
      </c>
      <c r="CZ181" s="1354"/>
      <c r="DA181" s="1354">
        <f t="shared" ca="1" si="52"/>
        <v>0</v>
      </c>
      <c r="DB181" s="1354"/>
      <c r="DC181" s="1354">
        <f t="shared" ca="1" si="53"/>
        <v>0</v>
      </c>
      <c r="DD181" s="1354"/>
      <c r="DE181" s="1354">
        <f t="shared" ca="1" si="54"/>
        <v>0</v>
      </c>
      <c r="DF181" s="1354"/>
      <c r="DG181" s="1354">
        <f t="shared" ca="1" si="55"/>
        <v>0</v>
      </c>
      <c r="DH181" s="1354"/>
      <c r="DI181" s="1354">
        <f t="shared" ca="1" si="56"/>
        <v>0</v>
      </c>
      <c r="DJ181" s="1354"/>
      <c r="DK181" s="1354">
        <f t="shared" ca="1" si="57"/>
        <v>0</v>
      </c>
      <c r="DL181" s="1354"/>
      <c r="DM181" s="1354">
        <f t="shared" ca="1" si="58"/>
        <v>0</v>
      </c>
      <c r="DN181" s="1354"/>
    </row>
    <row r="182" spans="1:118" ht="30" customHeight="1" outlineLevel="1" x14ac:dyDescent="0.25">
      <c r="A182" s="18"/>
      <c r="B182" s="18"/>
      <c r="C182" s="18"/>
      <c r="D182" s="1"/>
      <c r="E182" s="2"/>
      <c r="F182" s="1377" t="s">
        <v>353</v>
      </c>
      <c r="G182" s="1377"/>
      <c r="H182" s="1377"/>
      <c r="I182" s="1377"/>
      <c r="J182" s="1377"/>
      <c r="K182" s="1377"/>
      <c r="L182" s="1377"/>
      <c r="M182" s="1377"/>
      <c r="N182" s="1377"/>
      <c r="O182" s="1377"/>
      <c r="P182" s="1377"/>
      <c r="Q182" s="1364" t="str">
        <f ca="1">Calculos!BK361</f>
        <v>-</v>
      </c>
      <c r="R182" s="1365"/>
      <c r="S182" s="1364" t="str">
        <f ca="1">Calculos!BL361</f>
        <v>-</v>
      </c>
      <c r="T182" s="1365"/>
      <c r="U182" s="1364" t="str">
        <f ca="1">Calculos!BM361</f>
        <v>-</v>
      </c>
      <c r="V182" s="1365"/>
      <c r="W182" s="1364" t="str">
        <f ca="1">Calculos!BN361</f>
        <v>-</v>
      </c>
      <c r="X182" s="1365"/>
      <c r="Y182" s="1364" t="str">
        <f ca="1">Calculos!BO361</f>
        <v>-</v>
      </c>
      <c r="Z182" s="1365"/>
      <c r="AA182" s="1364" t="str">
        <f ca="1">Calculos!BP361</f>
        <v>-</v>
      </c>
      <c r="AB182" s="1365"/>
      <c r="AC182" s="1364" t="str">
        <f ca="1">Calculos!BQ361</f>
        <v>-</v>
      </c>
      <c r="AD182" s="1365"/>
      <c r="AE182" s="1364" t="str">
        <f ca="1">Calculos!BR361</f>
        <v>-</v>
      </c>
      <c r="AF182" s="1365"/>
      <c r="AG182" s="1364" t="str">
        <f ca="1">Calculos!BS361</f>
        <v>-</v>
      </c>
      <c r="AH182" s="1365"/>
      <c r="AI182" s="1364" t="str">
        <f ca="1">Calculos!BT361</f>
        <v>-</v>
      </c>
      <c r="AJ182" s="1365"/>
      <c r="AK182" s="1364" t="str">
        <f ca="1">Calculos!BU361</f>
        <v>-</v>
      </c>
      <c r="AL182" s="1365"/>
      <c r="AM182" s="1364" t="str">
        <f ca="1">Calculos!BV361</f>
        <v>-</v>
      </c>
      <c r="AN182" s="1365"/>
      <c r="AO182" s="1364" t="str">
        <f ca="1">Calculos!BW361</f>
        <v>-</v>
      </c>
      <c r="AP182" s="1365"/>
      <c r="AQ182" s="1364" t="str">
        <f ca="1">Calculos!BX361</f>
        <v>-</v>
      </c>
      <c r="AR182" s="1365"/>
      <c r="AS182" s="1364" t="str">
        <f ca="1">Calculos!BY361</f>
        <v>-</v>
      </c>
      <c r="AT182" s="1365"/>
      <c r="AU182" s="1364" t="str">
        <f ca="1">Calculos!BZ361</f>
        <v>-</v>
      </c>
      <c r="AV182" s="1365"/>
      <c r="AW182" s="1364" t="str">
        <f ca="1">Calculos!CA361</f>
        <v>-</v>
      </c>
      <c r="AX182" s="1365"/>
      <c r="AY182" s="1364" t="str">
        <f ca="1">Calculos!CB361</f>
        <v>-</v>
      </c>
      <c r="AZ182" s="1365"/>
      <c r="BA182" s="1364" t="str">
        <f ca="1">Calculos!CC361</f>
        <v>-</v>
      </c>
      <c r="BB182" s="1365"/>
      <c r="BC182" s="1364" t="str">
        <f ca="1">Calculos!CD361</f>
        <v>-</v>
      </c>
      <c r="BD182" s="1365"/>
    </row>
    <row r="183" spans="1:118" ht="30" customHeight="1" outlineLevel="1" x14ac:dyDescent="0.25">
      <c r="A183" s="18"/>
      <c r="B183" s="18"/>
      <c r="C183" s="18"/>
      <c r="D183" s="1"/>
      <c r="E183" s="2"/>
      <c r="F183" s="1377" t="s">
        <v>6059</v>
      </c>
      <c r="G183" s="1377"/>
      <c r="H183" s="1377"/>
      <c r="I183" s="1377"/>
      <c r="J183" s="1377"/>
      <c r="K183" s="1377"/>
      <c r="L183" s="1377"/>
      <c r="M183" s="1377"/>
      <c r="N183" s="1377"/>
      <c r="O183" s="1377"/>
      <c r="P183" s="1377"/>
      <c r="Q183" s="1364" t="str">
        <f ca="1">Calculos!BK374</f>
        <v>-</v>
      </c>
      <c r="R183" s="1365"/>
      <c r="S183" s="1364" t="str">
        <f ca="1">Calculos!BL374</f>
        <v>-</v>
      </c>
      <c r="T183" s="1365"/>
      <c r="U183" s="1364" t="str">
        <f ca="1">Calculos!BM374</f>
        <v>-</v>
      </c>
      <c r="V183" s="1365"/>
      <c r="W183" s="1364" t="str">
        <f ca="1">Calculos!BN374</f>
        <v>-</v>
      </c>
      <c r="X183" s="1365"/>
      <c r="Y183" s="1364" t="str">
        <f ca="1">Calculos!BO374</f>
        <v>-</v>
      </c>
      <c r="Z183" s="1365"/>
      <c r="AA183" s="1364" t="str">
        <f ca="1">Calculos!BP374</f>
        <v>-</v>
      </c>
      <c r="AB183" s="1365"/>
      <c r="AC183" s="1364" t="str">
        <f ca="1">Calculos!BQ374</f>
        <v>-</v>
      </c>
      <c r="AD183" s="1365"/>
      <c r="AE183" s="1364" t="str">
        <f ca="1">Calculos!BR374</f>
        <v>-</v>
      </c>
      <c r="AF183" s="1365"/>
      <c r="AG183" s="1364" t="str">
        <f ca="1">Calculos!BS374</f>
        <v>-</v>
      </c>
      <c r="AH183" s="1365"/>
      <c r="AI183" s="1364" t="str">
        <f ca="1">Calculos!BT374</f>
        <v>-</v>
      </c>
      <c r="AJ183" s="1365"/>
      <c r="AK183" s="1364" t="str">
        <f ca="1">Calculos!BU374</f>
        <v>-</v>
      </c>
      <c r="AL183" s="1365"/>
      <c r="AM183" s="1364" t="str">
        <f ca="1">Calculos!BV374</f>
        <v>-</v>
      </c>
      <c r="AN183" s="1365"/>
      <c r="AO183" s="1364" t="str">
        <f ca="1">Calculos!BW374</f>
        <v>-</v>
      </c>
      <c r="AP183" s="1365"/>
      <c r="AQ183" s="1364" t="str">
        <f ca="1">Calculos!BX374</f>
        <v>-</v>
      </c>
      <c r="AR183" s="1365"/>
      <c r="AS183" s="1364" t="str">
        <f ca="1">Calculos!BY374</f>
        <v>-</v>
      </c>
      <c r="AT183" s="1365"/>
      <c r="AU183" s="1364" t="str">
        <f ca="1">Calculos!BZ374</f>
        <v>-</v>
      </c>
      <c r="AV183" s="1365"/>
      <c r="AW183" s="1364" t="str">
        <f ca="1">Calculos!CA374</f>
        <v>-</v>
      </c>
      <c r="AX183" s="1365"/>
      <c r="AY183" s="1364" t="str">
        <f ca="1">Calculos!CB374</f>
        <v>-</v>
      </c>
      <c r="AZ183" s="1365"/>
      <c r="BA183" s="1364" t="str">
        <f ca="1">Calculos!CC374</f>
        <v>-</v>
      </c>
      <c r="BB183" s="1365"/>
      <c r="BC183" s="1364" t="str">
        <f ca="1">Calculos!CD374</f>
        <v>-</v>
      </c>
      <c r="BD183" s="1365"/>
    </row>
    <row r="184" spans="1:118" ht="20.100000000000001" customHeight="1" outlineLevel="1" x14ac:dyDescent="0.25">
      <c r="A184" s="18"/>
      <c r="B184" s="18"/>
      <c r="C184" s="18"/>
      <c r="D184" s="1"/>
      <c r="E184" s="2"/>
      <c r="F184" s="314"/>
      <c r="G184" s="314"/>
      <c r="H184" s="314"/>
      <c r="I184" s="314"/>
      <c r="J184" s="314"/>
      <c r="K184" s="314"/>
      <c r="L184" s="314"/>
      <c r="M184" s="314"/>
      <c r="N184" s="2"/>
      <c r="O184" s="2"/>
      <c r="P184" s="2"/>
      <c r="Q184" s="249" t="s">
        <v>6036</v>
      </c>
      <c r="R184" s="2"/>
      <c r="S184" s="2"/>
      <c r="T184" s="2"/>
      <c r="U184" s="2"/>
      <c r="V184" s="2"/>
      <c r="W184" s="249"/>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118" ht="20.100000000000001" customHeight="1" x14ac:dyDescent="0.25">
      <c r="A185" s="18"/>
      <c r="B185" s="18"/>
      <c r="C185" s="18"/>
      <c r="D185" s="1"/>
      <c r="E185" s="7"/>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row>
    <row r="186" spans="1:118" ht="20.100000000000001" customHeight="1" x14ac:dyDescent="0.25">
      <c r="A186" s="18"/>
      <c r="B186" s="18"/>
      <c r="C186" s="18"/>
      <c r="D186" s="1"/>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118" ht="20.100000000000001" customHeight="1" x14ac:dyDescent="0.25">
      <c r="A187" s="18"/>
      <c r="B187" s="18"/>
      <c r="C187" s="18"/>
      <c r="D187" s="1"/>
      <c r="E187" s="2"/>
      <c r="F187" s="245"/>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
      <c r="AO187" s="2"/>
      <c r="AP187" s="2"/>
      <c r="AQ187" s="2"/>
      <c r="AR187" s="2"/>
      <c r="AS187" s="2"/>
      <c r="AT187" s="2"/>
      <c r="AU187" s="2"/>
      <c r="AV187" s="2"/>
      <c r="AW187" s="2"/>
      <c r="AX187" s="2"/>
      <c r="AY187" s="2"/>
      <c r="AZ187" s="2"/>
      <c r="BA187" s="2"/>
      <c r="BB187" s="2"/>
      <c r="BC187" s="2"/>
      <c r="BD187" s="2"/>
      <c r="BE187" s="2"/>
    </row>
    <row r="188" spans="1:118" ht="30" customHeight="1" x14ac:dyDescent="0.25">
      <c r="A188" s="18"/>
      <c r="B188" s="18"/>
      <c r="C188" s="18"/>
      <c r="D188" s="1"/>
      <c r="E188" s="2"/>
      <c r="F188" s="1067" t="s">
        <v>296</v>
      </c>
      <c r="G188" s="1068"/>
      <c r="H188" s="1068"/>
      <c r="I188" s="1068"/>
      <c r="J188" s="1068"/>
      <c r="K188" s="1068"/>
      <c r="L188" s="1069"/>
      <c r="M188" s="1076" t="s">
        <v>186</v>
      </c>
      <c r="N188" s="135"/>
      <c r="O188" s="136"/>
      <c r="P188" s="136"/>
      <c r="Q188" s="136"/>
      <c r="R188" s="137"/>
      <c r="S188" s="1079" t="s">
        <v>293</v>
      </c>
      <c r="T188" s="1064"/>
      <c r="U188" s="1064"/>
      <c r="V188" s="1064"/>
      <c r="W188" s="1064"/>
      <c r="X188" s="1064"/>
      <c r="Y188" s="1064"/>
      <c r="Z188" s="1064" t="s">
        <v>301</v>
      </c>
      <c r="AA188" s="1064"/>
      <c r="AB188" s="1064"/>
      <c r="AC188" s="1064"/>
      <c r="AD188" s="1064"/>
      <c r="AE188" s="1064"/>
      <c r="AF188" s="1064"/>
      <c r="AG188" s="1064"/>
      <c r="AH188" s="1064"/>
      <c r="AI188" s="1064" t="s">
        <v>302</v>
      </c>
      <c r="AJ188" s="1064"/>
      <c r="AK188" s="1064"/>
      <c r="AL188" s="1064"/>
      <c r="AM188" s="1065"/>
      <c r="AN188" s="2"/>
      <c r="AO188" s="2"/>
      <c r="AP188" s="2"/>
      <c r="AQ188" s="2"/>
      <c r="AR188" s="2"/>
      <c r="AS188" s="2"/>
      <c r="AT188" s="2"/>
      <c r="AU188" s="2"/>
      <c r="AV188" s="2"/>
      <c r="AW188" s="2"/>
      <c r="AX188" s="2"/>
      <c r="AY188" s="2"/>
      <c r="AZ188" s="2"/>
      <c r="BA188" s="2"/>
      <c r="BB188" s="2"/>
      <c r="BC188" s="2"/>
      <c r="BD188" s="2"/>
      <c r="BE188" s="2"/>
    </row>
    <row r="189" spans="1:118" ht="27" customHeight="1" x14ac:dyDescent="0.25">
      <c r="A189" s="18"/>
      <c r="B189" s="18"/>
      <c r="C189" s="18"/>
      <c r="D189" s="1"/>
      <c r="E189" s="2"/>
      <c r="F189" s="1070"/>
      <c r="G189" s="1071"/>
      <c r="H189" s="1071"/>
      <c r="I189" s="1071"/>
      <c r="J189" s="1071"/>
      <c r="K189" s="1071"/>
      <c r="L189" s="1072"/>
      <c r="M189" s="1077"/>
      <c r="N189" s="138"/>
      <c r="O189" s="1045" t="s">
        <v>219</v>
      </c>
      <c r="P189" s="1045"/>
      <c r="Q189" s="1045"/>
      <c r="R189" s="1046"/>
      <c r="S189" s="1042"/>
      <c r="T189" s="1043"/>
      <c r="U189" s="1043"/>
      <c r="V189" s="1043"/>
      <c r="W189" s="1043"/>
      <c r="X189" s="1043"/>
      <c r="Y189" s="1043"/>
      <c r="Z189" s="1044"/>
      <c r="AA189" s="1044"/>
      <c r="AB189" s="1044"/>
      <c r="AC189" s="1044"/>
      <c r="AD189" s="1044"/>
      <c r="AE189" s="1044"/>
      <c r="AF189" s="1044"/>
      <c r="AG189" s="1044"/>
      <c r="AH189" s="1044"/>
      <c r="AI189" s="1066"/>
      <c r="AJ189" s="1066"/>
      <c r="AK189" s="1066"/>
      <c r="AL189" s="1066"/>
      <c r="AM189" s="1066"/>
      <c r="AN189" s="2"/>
      <c r="AO189" s="2"/>
      <c r="AP189" s="2"/>
      <c r="AQ189" s="2"/>
      <c r="AR189" s="2"/>
      <c r="AS189" s="2"/>
      <c r="AT189" s="2"/>
      <c r="AU189" s="2"/>
      <c r="AV189" s="2"/>
      <c r="AW189" s="2"/>
      <c r="AX189" s="2"/>
      <c r="AY189" s="2"/>
      <c r="AZ189" s="2"/>
      <c r="BA189" s="2"/>
      <c r="BB189" s="2"/>
      <c r="BC189" s="2"/>
      <c r="BD189" s="2"/>
      <c r="BE189" s="2"/>
    </row>
    <row r="190" spans="1:118" ht="27" customHeight="1" x14ac:dyDescent="0.25">
      <c r="A190" s="18"/>
      <c r="B190" s="18"/>
      <c r="C190" s="18"/>
      <c r="D190" s="1"/>
      <c r="E190" s="2"/>
      <c r="F190" s="1070"/>
      <c r="G190" s="1071"/>
      <c r="H190" s="1071"/>
      <c r="I190" s="1071"/>
      <c r="J190" s="1071"/>
      <c r="K190" s="1071"/>
      <c r="L190" s="1072"/>
      <c r="M190" s="1077"/>
      <c r="N190" s="1"/>
      <c r="O190" s="138"/>
      <c r="P190" s="138"/>
      <c r="Q190" s="138"/>
      <c r="R190" s="139"/>
      <c r="S190" s="1042"/>
      <c r="T190" s="1043"/>
      <c r="U190" s="1043"/>
      <c r="V190" s="1043"/>
      <c r="W190" s="1043"/>
      <c r="X190" s="1043"/>
      <c r="Y190" s="1043"/>
      <c r="Z190" s="1044"/>
      <c r="AA190" s="1044"/>
      <c r="AB190" s="1044"/>
      <c r="AC190" s="1044"/>
      <c r="AD190" s="1044"/>
      <c r="AE190" s="1044"/>
      <c r="AF190" s="1044"/>
      <c r="AG190" s="1044"/>
      <c r="AH190" s="1044"/>
      <c r="AI190" s="1066"/>
      <c r="AJ190" s="1066"/>
      <c r="AK190" s="1066"/>
      <c r="AL190" s="1066"/>
      <c r="AM190" s="1066"/>
      <c r="AN190" s="2"/>
      <c r="AO190" s="2"/>
      <c r="AP190" s="2"/>
      <c r="AQ190" s="2"/>
      <c r="AR190" s="2"/>
      <c r="AS190" s="2"/>
      <c r="AT190" s="2"/>
      <c r="AU190" s="2"/>
      <c r="AV190" s="2"/>
      <c r="AW190" s="2"/>
      <c r="AX190" s="2"/>
      <c r="AY190" s="2"/>
      <c r="AZ190" s="2"/>
      <c r="BA190" s="2"/>
      <c r="BB190" s="2"/>
      <c r="BC190" s="2"/>
      <c r="BD190" s="2"/>
      <c r="BE190" s="2"/>
    </row>
    <row r="191" spans="1:118" ht="27" customHeight="1" x14ac:dyDescent="0.25">
      <c r="A191" s="18"/>
      <c r="B191" s="18"/>
      <c r="C191" s="18"/>
      <c r="D191" s="1"/>
      <c r="E191" s="2"/>
      <c r="F191" s="1070"/>
      <c r="G191" s="1071"/>
      <c r="H191" s="1071"/>
      <c r="I191" s="1071"/>
      <c r="J191" s="1071"/>
      <c r="K191" s="1071"/>
      <c r="L191" s="1072"/>
      <c r="M191" s="1077"/>
      <c r="N191" s="138"/>
      <c r="O191" s="1047" t="s">
        <v>280</v>
      </c>
      <c r="P191" s="1047"/>
      <c r="Q191" s="1047"/>
      <c r="R191" s="1048"/>
      <c r="S191" s="1042"/>
      <c r="T191" s="1043"/>
      <c r="U191" s="1043"/>
      <c r="V191" s="1043"/>
      <c r="W191" s="1043"/>
      <c r="X191" s="1043"/>
      <c r="Y191" s="1043"/>
      <c r="Z191" s="1044"/>
      <c r="AA191" s="1044"/>
      <c r="AB191" s="1044"/>
      <c r="AC191" s="1044"/>
      <c r="AD191" s="1044"/>
      <c r="AE191" s="1044"/>
      <c r="AF191" s="1044"/>
      <c r="AG191" s="1044"/>
      <c r="AH191" s="1044"/>
      <c r="AI191" s="1066"/>
      <c r="AJ191" s="1066"/>
      <c r="AK191" s="1066"/>
      <c r="AL191" s="1066"/>
      <c r="AM191" s="1066"/>
      <c r="AN191" s="2"/>
      <c r="AO191" s="2"/>
      <c r="AP191" s="2"/>
      <c r="AQ191" s="2"/>
      <c r="AR191" s="2"/>
      <c r="AS191" s="2"/>
      <c r="AT191" s="2"/>
      <c r="AU191" s="2"/>
      <c r="AV191" s="2"/>
      <c r="AW191" s="2"/>
      <c r="AX191" s="2"/>
      <c r="AY191" s="2"/>
      <c r="AZ191" s="2"/>
      <c r="BA191" s="2"/>
      <c r="BB191" s="2"/>
      <c r="BC191" s="2"/>
      <c r="BD191" s="2"/>
      <c r="BE191" s="2"/>
    </row>
    <row r="192" spans="1:118" ht="27" customHeight="1" x14ac:dyDescent="0.25">
      <c r="A192" s="18"/>
      <c r="B192" s="18"/>
      <c r="C192" s="18"/>
      <c r="D192" s="1"/>
      <c r="E192" s="2"/>
      <c r="F192" s="1073"/>
      <c r="G192" s="1074"/>
      <c r="H192" s="1074"/>
      <c r="I192" s="1074"/>
      <c r="J192" s="1074"/>
      <c r="K192" s="1074"/>
      <c r="L192" s="1075"/>
      <c r="M192" s="1078"/>
      <c r="N192" s="140"/>
      <c r="O192" s="140"/>
      <c r="P192" s="140"/>
      <c r="Q192" s="140"/>
      <c r="R192" s="141"/>
      <c r="S192" s="1042"/>
      <c r="T192" s="1043"/>
      <c r="U192" s="1043"/>
      <c r="V192" s="1043"/>
      <c r="W192" s="1043"/>
      <c r="X192" s="1043"/>
      <c r="Y192" s="1043"/>
      <c r="Z192" s="1044"/>
      <c r="AA192" s="1044"/>
      <c r="AB192" s="1044"/>
      <c r="AC192" s="1044"/>
      <c r="AD192" s="1044"/>
      <c r="AE192" s="1044"/>
      <c r="AF192" s="1044"/>
      <c r="AG192" s="1044"/>
      <c r="AH192" s="1044"/>
      <c r="AI192" s="1066"/>
      <c r="AJ192" s="1066"/>
      <c r="AK192" s="1066"/>
      <c r="AL192" s="1066"/>
      <c r="AM192" s="1066"/>
      <c r="AN192" s="2"/>
      <c r="AO192" s="2"/>
      <c r="AP192" s="2"/>
      <c r="AQ192" s="2"/>
      <c r="AR192" s="2"/>
      <c r="AS192" s="2"/>
      <c r="AT192" s="2"/>
      <c r="AU192" s="2"/>
      <c r="AV192" s="2"/>
      <c r="AW192" s="2"/>
      <c r="AX192" s="2"/>
      <c r="AY192" s="2"/>
      <c r="AZ192" s="2"/>
      <c r="BA192" s="2"/>
      <c r="BB192" s="2"/>
      <c r="BC192" s="2"/>
      <c r="BD192" s="2"/>
      <c r="BE192" s="2"/>
    </row>
    <row r="193" spans="1:57" ht="15" customHeight="1" x14ac:dyDescent="0.25">
      <c r="A193" s="18"/>
      <c r="B193" s="18"/>
      <c r="C193" s="18"/>
      <c r="D193" s="1"/>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20.100000000000001" customHeight="1" x14ac:dyDescent="0.25">
      <c r="A194" s="18"/>
      <c r="B194" s="18"/>
      <c r="C194" s="18"/>
      <c r="D194" s="1"/>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row>
    <row r="195" spans="1:57" ht="15" customHeight="1" x14ac:dyDescent="0.25">
      <c r="A195" s="18"/>
      <c r="B195" s="18"/>
      <c r="C195" s="18"/>
      <c r="D195" s="1"/>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20.100000000000001" hidden="1" customHeight="1" x14ac:dyDescent="0.25">
      <c r="A196" s="18"/>
      <c r="B196" s="18"/>
      <c r="C196" s="18"/>
      <c r="D196" s="1"/>
      <c r="E196" s="2"/>
      <c r="BD196" s="2"/>
      <c r="BE196" s="2"/>
    </row>
    <row r="197" spans="1:57" ht="60" customHeight="1" x14ac:dyDescent="0.25">
      <c r="A197" s="18"/>
      <c r="B197" s="18"/>
      <c r="C197" s="18"/>
      <c r="D197" s="1"/>
      <c r="E197" s="2"/>
      <c r="F197" s="1008" t="s">
        <v>143</v>
      </c>
      <c r="G197" s="1009"/>
      <c r="H197" s="1009"/>
      <c r="I197" s="1009"/>
      <c r="J197" s="1009"/>
      <c r="K197" s="1009"/>
      <c r="L197" s="1009"/>
      <c r="M197" s="1010"/>
      <c r="N197" s="1032"/>
      <c r="O197" s="1033"/>
      <c r="P197" s="1033"/>
      <c r="Q197" s="1033"/>
      <c r="R197" s="1033"/>
      <c r="S197" s="1033"/>
      <c r="T197" s="1033"/>
      <c r="U197" s="1033"/>
      <c r="V197" s="1033"/>
      <c r="W197" s="1033"/>
      <c r="X197" s="1033"/>
      <c r="Y197" s="1033"/>
      <c r="Z197" s="1033"/>
      <c r="AA197" s="1033"/>
      <c r="AB197" s="1033"/>
      <c r="AC197" s="1033"/>
      <c r="AD197" s="1033"/>
      <c r="AE197" s="1033"/>
      <c r="AF197" s="1033"/>
      <c r="AG197" s="1033"/>
      <c r="AH197" s="1033"/>
      <c r="AI197" s="1033"/>
      <c r="AJ197" s="1033"/>
      <c r="AK197" s="1033"/>
      <c r="AL197" s="1033"/>
      <c r="AM197" s="1034"/>
      <c r="AN197" s="2"/>
      <c r="AO197" s="2"/>
      <c r="AP197" s="2"/>
      <c r="AQ197" s="2"/>
      <c r="AR197" s="2"/>
      <c r="AS197" s="2"/>
      <c r="AT197" s="2"/>
      <c r="AU197" s="2"/>
      <c r="AV197" s="2"/>
      <c r="AW197" s="2"/>
      <c r="AX197" s="2"/>
      <c r="AY197" s="2"/>
      <c r="AZ197" s="2"/>
      <c r="BA197" s="2"/>
      <c r="BB197" s="2"/>
      <c r="BC197" s="2"/>
      <c r="BD197" s="2"/>
      <c r="BE197" s="2"/>
    </row>
    <row r="198" spans="1:57" ht="15" customHeight="1" x14ac:dyDescent="0.25">
      <c r="A198" s="18"/>
      <c r="B198" s="18"/>
      <c r="C198" s="18"/>
      <c r="D198" s="1"/>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20.100000000000001" customHeight="1" x14ac:dyDescent="0.25">
      <c r="A199" s="18"/>
      <c r="B199" s="18"/>
      <c r="C199" s="18"/>
      <c r="D199" s="1"/>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row>
    <row r="200" spans="1:57" ht="15" customHeight="1" x14ac:dyDescent="0.25">
      <c r="A200" s="18"/>
      <c r="B200" s="18"/>
      <c r="C200" s="18"/>
      <c r="D200" s="1"/>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30" customHeight="1" x14ac:dyDescent="0.25">
      <c r="A201" s="18"/>
      <c r="B201" s="18"/>
      <c r="C201" s="18"/>
      <c r="D201" s="1"/>
      <c r="E201" s="2"/>
      <c r="G201" s="250"/>
      <c r="H201" s="250"/>
      <c r="I201" s="250"/>
      <c r="J201" s="250"/>
      <c r="K201" s="250"/>
      <c r="L201" s="250"/>
      <c r="M201" s="196"/>
      <c r="N201" s="1454"/>
      <c r="O201" s="1454"/>
      <c r="P201" s="1454"/>
      <c r="Q201" s="1383" t="s">
        <v>209</v>
      </c>
      <c r="R201" s="1383"/>
      <c r="S201" s="1383"/>
      <c r="T201" s="1383"/>
      <c r="U201" s="1383"/>
      <c r="V201" s="1383" t="s">
        <v>250</v>
      </c>
      <c r="W201" s="1383"/>
      <c r="X201" s="1383"/>
      <c r="Y201" s="1383"/>
      <c r="Z201" s="1383" t="s">
        <v>251</v>
      </c>
      <c r="AA201" s="1383"/>
      <c r="AB201" s="1383"/>
      <c r="AC201" s="1383"/>
      <c r="AD201" s="1383"/>
      <c r="AE201" s="1383"/>
      <c r="AF201" s="1383"/>
      <c r="AG201" s="1383"/>
      <c r="AH201" s="1383" t="s">
        <v>252</v>
      </c>
      <c r="AI201" s="1383"/>
      <c r="AJ201" s="1383"/>
      <c r="AK201" s="1383"/>
      <c r="AL201" s="1383"/>
      <c r="AM201" s="1383"/>
      <c r="AN201" s="2"/>
      <c r="AO201" s="2"/>
      <c r="AP201" s="2"/>
      <c r="AQ201" s="2"/>
      <c r="AR201" s="2"/>
      <c r="AS201" s="2"/>
      <c r="AT201" s="2"/>
      <c r="AU201" s="2"/>
      <c r="AV201" s="2"/>
      <c r="AW201" s="2"/>
      <c r="AX201" s="2"/>
      <c r="AY201" s="2"/>
      <c r="AZ201" s="2"/>
      <c r="BA201" s="2"/>
      <c r="BB201" s="2"/>
      <c r="BC201" s="2"/>
      <c r="BD201" s="2"/>
      <c r="BE201" s="2"/>
    </row>
    <row r="202" spans="1:57" ht="27" customHeight="1" x14ac:dyDescent="0.25">
      <c r="A202" s="18"/>
      <c r="B202" s="18"/>
      <c r="C202" s="18"/>
      <c r="D202" s="1"/>
      <c r="E202" s="2"/>
      <c r="F202" s="1280" t="s">
        <v>7039</v>
      </c>
      <c r="G202" s="1378"/>
      <c r="H202" s="1378"/>
      <c r="I202" s="1378"/>
      <c r="J202" s="1378"/>
      <c r="K202" s="1378"/>
      <c r="L202" s="1378"/>
      <c r="M202" s="318" t="s">
        <v>186</v>
      </c>
      <c r="N202" s="985" t="s">
        <v>88</v>
      </c>
      <c r="O202" s="985"/>
      <c r="P202" s="986"/>
      <c r="Q202" s="1066"/>
      <c r="R202" s="1066"/>
      <c r="S202" s="1066"/>
      <c r="T202" s="1066"/>
      <c r="U202" s="1066"/>
      <c r="V202" s="1066"/>
      <c r="W202" s="1066"/>
      <c r="X202" s="1066"/>
      <c r="Y202" s="1066"/>
      <c r="Z202" s="1044"/>
      <c r="AA202" s="1044"/>
      <c r="AB202" s="1044"/>
      <c r="AC202" s="1044"/>
      <c r="AD202" s="1044"/>
      <c r="AE202" s="1044"/>
      <c r="AF202" s="1044"/>
      <c r="AG202" s="1044"/>
      <c r="AH202" s="1066"/>
      <c r="AI202" s="1066"/>
      <c r="AJ202" s="1066"/>
      <c r="AK202" s="1066"/>
      <c r="AL202" s="1066"/>
      <c r="AM202" s="1066"/>
      <c r="AN202" s="2"/>
      <c r="AO202" s="2"/>
      <c r="AP202" s="2"/>
      <c r="AQ202" s="2"/>
      <c r="AR202" s="2"/>
      <c r="AS202" s="2"/>
      <c r="AT202" s="2"/>
      <c r="AU202" s="2"/>
      <c r="AV202" s="2"/>
      <c r="AW202" s="2"/>
      <c r="AX202" s="2"/>
      <c r="AY202" s="2"/>
      <c r="AZ202" s="2"/>
      <c r="BA202" s="2"/>
      <c r="BB202" s="2"/>
      <c r="BC202" s="2"/>
      <c r="BD202" s="2"/>
      <c r="BE202" s="2"/>
    </row>
    <row r="203" spans="1:57" ht="27" customHeight="1" x14ac:dyDescent="0.25">
      <c r="A203" s="18"/>
      <c r="B203" s="18"/>
      <c r="C203" s="18"/>
      <c r="D203" s="1"/>
      <c r="E203" s="2"/>
      <c r="F203" s="1379"/>
      <c r="G203" s="1380"/>
      <c r="H203" s="1380"/>
      <c r="I203" s="1380"/>
      <c r="J203" s="1380"/>
      <c r="K203" s="1380"/>
      <c r="L203" s="1380"/>
      <c r="M203" s="319" t="s">
        <v>186</v>
      </c>
      <c r="N203" s="985" t="s">
        <v>101</v>
      </c>
      <c r="O203" s="985"/>
      <c r="P203" s="986"/>
      <c r="Q203" s="973"/>
      <c r="R203" s="974"/>
      <c r="S203" s="974"/>
      <c r="T203" s="974"/>
      <c r="U203" s="975"/>
      <c r="V203" s="1066"/>
      <c r="W203" s="1066"/>
      <c r="X203" s="1066"/>
      <c r="Y203" s="1066"/>
      <c r="Z203" s="1044"/>
      <c r="AA203" s="1044"/>
      <c r="AB203" s="1044"/>
      <c r="AC203" s="1044"/>
      <c r="AD203" s="1044"/>
      <c r="AE203" s="1044"/>
      <c r="AF203" s="1044"/>
      <c r="AG203" s="1044"/>
      <c r="AH203" s="1066"/>
      <c r="AI203" s="1066"/>
      <c r="AJ203" s="1066"/>
      <c r="AK203" s="1066"/>
      <c r="AL203" s="1066"/>
      <c r="AM203" s="1066"/>
      <c r="AN203" s="2"/>
      <c r="AO203" s="2"/>
      <c r="AP203" s="2"/>
      <c r="AQ203" s="2"/>
      <c r="AR203" s="2"/>
      <c r="AS203" s="2"/>
      <c r="AT203" s="2"/>
      <c r="AU203" s="2"/>
      <c r="AV203" s="2"/>
      <c r="AW203" s="2"/>
      <c r="AX203" s="2"/>
      <c r="AY203" s="2"/>
      <c r="AZ203" s="2"/>
      <c r="BA203" s="2"/>
      <c r="BB203" s="2"/>
      <c r="BC203" s="2"/>
      <c r="BD203" s="2"/>
      <c r="BE203" s="2"/>
    </row>
    <row r="204" spans="1:57" ht="27" customHeight="1" x14ac:dyDescent="0.25">
      <c r="A204" s="18"/>
      <c r="B204" s="18"/>
      <c r="C204" s="18"/>
      <c r="D204" s="1"/>
      <c r="E204" s="2"/>
      <c r="F204" s="1381"/>
      <c r="G204" s="1382"/>
      <c r="H204" s="1382"/>
      <c r="I204" s="1382"/>
      <c r="J204" s="1382"/>
      <c r="K204" s="1382"/>
      <c r="L204" s="1382"/>
      <c r="M204" s="320" t="s">
        <v>186</v>
      </c>
      <c r="N204" s="984" t="s">
        <v>120</v>
      </c>
      <c r="O204" s="985"/>
      <c r="P204" s="986"/>
      <c r="Q204" s="973"/>
      <c r="R204" s="974"/>
      <c r="S204" s="974"/>
      <c r="T204" s="974"/>
      <c r="U204" s="975"/>
      <c r="V204" s="1066"/>
      <c r="W204" s="1066"/>
      <c r="X204" s="1066"/>
      <c r="Y204" s="1066"/>
      <c r="Z204" s="1044"/>
      <c r="AA204" s="1044"/>
      <c r="AB204" s="1044"/>
      <c r="AC204" s="1044"/>
      <c r="AD204" s="1044"/>
      <c r="AE204" s="1044"/>
      <c r="AF204" s="1044"/>
      <c r="AG204" s="1044"/>
      <c r="AH204" s="1066"/>
      <c r="AI204" s="1066"/>
      <c r="AJ204" s="1066"/>
      <c r="AK204" s="1066"/>
      <c r="AL204" s="1066"/>
      <c r="AM204" s="1066"/>
      <c r="AN204" s="2"/>
      <c r="AO204" s="2"/>
      <c r="AP204" s="2"/>
      <c r="AQ204" s="2"/>
      <c r="AR204" s="2"/>
      <c r="AS204" s="2"/>
      <c r="AT204" s="2"/>
      <c r="AU204" s="2"/>
      <c r="AV204" s="2"/>
      <c r="AW204" s="2"/>
      <c r="AX204" s="2"/>
      <c r="AY204" s="2"/>
      <c r="AZ204" s="2"/>
      <c r="BA204" s="2"/>
      <c r="BB204" s="2"/>
      <c r="BC204" s="2"/>
      <c r="BD204" s="2"/>
      <c r="BE204" s="2"/>
    </row>
    <row r="205" spans="1:57" x14ac:dyDescent="0.25">
      <c r="A205" s="18"/>
      <c r="B205" s="18"/>
      <c r="C205" s="18"/>
      <c r="D205" s="1"/>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99.95" customHeight="1" x14ac:dyDescent="0.25">
      <c r="A206" s="18"/>
      <c r="B206" s="18"/>
      <c r="C206" s="18"/>
      <c r="D206" s="1"/>
      <c r="E206" s="2"/>
      <c r="F206" s="1008" t="s">
        <v>297</v>
      </c>
      <c r="G206" s="1009"/>
      <c r="H206" s="1009"/>
      <c r="I206" s="1009"/>
      <c r="J206" s="1009"/>
      <c r="K206" s="1009"/>
      <c r="L206" s="1041"/>
      <c r="M206" s="181" t="s">
        <v>186</v>
      </c>
      <c r="N206" s="1032"/>
      <c r="O206" s="1033"/>
      <c r="P206" s="1033"/>
      <c r="Q206" s="1033"/>
      <c r="R206" s="1033"/>
      <c r="S206" s="1033"/>
      <c r="T206" s="1033"/>
      <c r="U206" s="1033"/>
      <c r="V206" s="1033"/>
      <c r="W206" s="1033"/>
      <c r="X206" s="1033"/>
      <c r="Y206" s="1033"/>
      <c r="Z206" s="1033"/>
      <c r="AA206" s="1033"/>
      <c r="AB206" s="1033"/>
      <c r="AC206" s="1033"/>
      <c r="AD206" s="1033"/>
      <c r="AE206" s="1033"/>
      <c r="AF206" s="1033"/>
      <c r="AG206" s="1033"/>
      <c r="AH206" s="1033"/>
      <c r="AI206" s="1033"/>
      <c r="AJ206" s="1033"/>
      <c r="AK206" s="1033"/>
      <c r="AL206" s="1033"/>
      <c r="AM206" s="1034"/>
      <c r="AN206" s="1100" t="s">
        <v>271</v>
      </c>
      <c r="AO206" s="1101"/>
      <c r="AP206" s="1101"/>
      <c r="AQ206" s="1101"/>
      <c r="AR206" s="2"/>
      <c r="AS206" s="2"/>
      <c r="AT206" s="2"/>
      <c r="AU206" s="2"/>
      <c r="AV206" s="2"/>
      <c r="AW206" s="2"/>
      <c r="AX206" s="2"/>
      <c r="AY206" s="2"/>
      <c r="AZ206" s="2"/>
      <c r="BA206" s="2"/>
      <c r="BB206" s="2"/>
      <c r="BC206" s="2"/>
      <c r="BD206" s="2"/>
      <c r="BE206" s="2"/>
    </row>
    <row r="207" spans="1:57" ht="15" customHeight="1" x14ac:dyDescent="0.25">
      <c r="A207" s="18"/>
      <c r="B207" s="18"/>
      <c r="C207" s="18"/>
      <c r="D207" s="1"/>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sheetData>
  <sheetProtection algorithmName="SHA-512" hashValue="R95jsP35fnKGv5bXjXBnEyecztYNJ0PEVFXe6qSCYel2tma68Qb82X5o6fu8R9q78+w20NLeWghOv28LWmC33Q==" saltValue="KVBlZe2GvkXONLklUNTn6w==" spinCount="100000" sheet="1" objects="1" scenarios="1" formatColumns="0" formatRows="0"/>
  <mergeCells count="2425">
    <mergeCell ref="AK13:AN13"/>
    <mergeCell ref="AU36:AV36"/>
    <mergeCell ref="AM39:AN39"/>
    <mergeCell ref="AI40:AJ40"/>
    <mergeCell ref="AK40:AL40"/>
    <mergeCell ref="AM40:AN40"/>
    <mergeCell ref="AO40:AP40"/>
    <mergeCell ref="AQ40:AR40"/>
    <mergeCell ref="AS40:AT40"/>
    <mergeCell ref="AU40:AV40"/>
    <mergeCell ref="P38:Q38"/>
    <mergeCell ref="AM37:AN37"/>
    <mergeCell ref="AO37:AP37"/>
    <mergeCell ref="AK38:AL38"/>
    <mergeCell ref="AU37:AV37"/>
    <mergeCell ref="J38:K38"/>
    <mergeCell ref="L38:M38"/>
    <mergeCell ref="AU38:AV38"/>
    <mergeCell ref="AU39:AV39"/>
    <mergeCell ref="R38:S38"/>
    <mergeCell ref="R37:S37"/>
    <mergeCell ref="AC37:AF37"/>
    <mergeCell ref="AC38:AF38"/>
    <mergeCell ref="AC39:AF39"/>
    <mergeCell ref="AS37:AT37"/>
    <mergeCell ref="N38:O38"/>
    <mergeCell ref="AK39:AL39"/>
    <mergeCell ref="AQ37:AR37"/>
    <mergeCell ref="AK37:AL37"/>
    <mergeCell ref="AO36:AP36"/>
    <mergeCell ref="AO39:AP39"/>
    <mergeCell ref="AQ39:AR39"/>
    <mergeCell ref="F35:I35"/>
    <mergeCell ref="F36:I36"/>
    <mergeCell ref="AC35:AF35"/>
    <mergeCell ref="F40:I40"/>
    <mergeCell ref="J41:K41"/>
    <mergeCell ref="L41:M41"/>
    <mergeCell ref="V41:W41"/>
    <mergeCell ref="J39:K39"/>
    <mergeCell ref="L39:M39"/>
    <mergeCell ref="N39:O39"/>
    <mergeCell ref="P39:Q39"/>
    <mergeCell ref="R39:S39"/>
    <mergeCell ref="AG38:AH38"/>
    <mergeCell ref="AG35:AJ35"/>
    <mergeCell ref="AG37:AH37"/>
    <mergeCell ref="N41:O41"/>
    <mergeCell ref="P41:Q41"/>
    <mergeCell ref="AI38:AJ38"/>
    <mergeCell ref="J35:M35"/>
    <mergeCell ref="X40:Y40"/>
    <mergeCell ref="AI37:AJ37"/>
    <mergeCell ref="AG36:AH36"/>
    <mergeCell ref="AI36:AJ36"/>
    <mergeCell ref="T38:U38"/>
    <mergeCell ref="V38:W38"/>
    <mergeCell ref="X38:Y38"/>
    <mergeCell ref="AC36:AF36"/>
    <mergeCell ref="T39:U39"/>
    <mergeCell ref="V39:W39"/>
    <mergeCell ref="F38:I38"/>
    <mergeCell ref="F39:I39"/>
    <mergeCell ref="R36:S36"/>
    <mergeCell ref="AS36:AT36"/>
    <mergeCell ref="AQ45:AR45"/>
    <mergeCell ref="AS45:AT45"/>
    <mergeCell ref="X45:Y45"/>
    <mergeCell ref="AM38:AN38"/>
    <mergeCell ref="AK36:AL36"/>
    <mergeCell ref="F123:M127"/>
    <mergeCell ref="F162:M166"/>
    <mergeCell ref="F54:I54"/>
    <mergeCell ref="N55:Q55"/>
    <mergeCell ref="J54:Q54"/>
    <mergeCell ref="V55:Y55"/>
    <mergeCell ref="R54:Y54"/>
    <mergeCell ref="AD55:AG55"/>
    <mergeCell ref="Z54:AG54"/>
    <mergeCell ref="F53:I53"/>
    <mergeCell ref="F55:I55"/>
    <mergeCell ref="J53:Q53"/>
    <mergeCell ref="R53:Y53"/>
    <mergeCell ref="Z53:AG53"/>
    <mergeCell ref="R44:S44"/>
    <mergeCell ref="AG40:AH40"/>
    <mergeCell ref="R40:S40"/>
    <mergeCell ref="AS39:AT39"/>
    <mergeCell ref="T36:U36"/>
    <mergeCell ref="V36:W36"/>
    <mergeCell ref="X36:Y36"/>
    <mergeCell ref="T37:U37"/>
    <mergeCell ref="V37:W37"/>
    <mergeCell ref="AQ36:AR36"/>
    <mergeCell ref="AO38:AP38"/>
    <mergeCell ref="AQ38:AR38"/>
    <mergeCell ref="AU42:AV42"/>
    <mergeCell ref="AS46:AT46"/>
    <mergeCell ref="AS43:AT43"/>
    <mergeCell ref="AU43:AV43"/>
    <mergeCell ref="AU44:AV44"/>
    <mergeCell ref="AU45:AV45"/>
    <mergeCell ref="AK44:AL44"/>
    <mergeCell ref="AM44:AN44"/>
    <mergeCell ref="AO44:AP44"/>
    <mergeCell ref="AQ44:AR44"/>
    <mergeCell ref="AS44:AT44"/>
    <mergeCell ref="AG45:AH45"/>
    <mergeCell ref="AI45:AJ45"/>
    <mergeCell ref="AK45:AL45"/>
    <mergeCell ref="AM45:AN45"/>
    <mergeCell ref="S104:T104"/>
    <mergeCell ref="AU41:AV41"/>
    <mergeCell ref="AO45:AP45"/>
    <mergeCell ref="AQ41:AR41"/>
    <mergeCell ref="AO46:AP46"/>
    <mergeCell ref="AU46:AV46"/>
    <mergeCell ref="AG46:AH46"/>
    <mergeCell ref="AQ42:AR42"/>
    <mergeCell ref="AS42:AT42"/>
    <mergeCell ref="AM42:AN42"/>
    <mergeCell ref="AO42:AP42"/>
    <mergeCell ref="AO43:AP43"/>
    <mergeCell ref="AQ43:AR43"/>
    <mergeCell ref="AS41:AT41"/>
    <mergeCell ref="P87:S87"/>
    <mergeCell ref="T65:U65"/>
    <mergeCell ref="AF62:AG62"/>
    <mergeCell ref="AS38:AT38"/>
    <mergeCell ref="AG39:AH39"/>
    <mergeCell ref="AI39:AJ39"/>
    <mergeCell ref="AQ46:AR46"/>
    <mergeCell ref="AG41:AH41"/>
    <mergeCell ref="AI41:AJ41"/>
    <mergeCell ref="AK41:AL41"/>
    <mergeCell ref="AM41:AN41"/>
    <mergeCell ref="AO41:AP41"/>
    <mergeCell ref="AG42:AH42"/>
    <mergeCell ref="AI42:AJ42"/>
    <mergeCell ref="AC40:AF40"/>
    <mergeCell ref="AC41:AF41"/>
    <mergeCell ref="AG43:AH43"/>
    <mergeCell ref="AI43:AJ43"/>
    <mergeCell ref="AK43:AL43"/>
    <mergeCell ref="AM43:AN43"/>
    <mergeCell ref="AK46:AL46"/>
    <mergeCell ref="AK42:AL42"/>
    <mergeCell ref="AI46:AJ46"/>
    <mergeCell ref="AM46:AN46"/>
    <mergeCell ref="T44:U44"/>
    <mergeCell ref="V44:W44"/>
    <mergeCell ref="AM36:AN36"/>
    <mergeCell ref="V45:W45"/>
    <mergeCell ref="T43:U43"/>
    <mergeCell ref="AG44:AH44"/>
    <mergeCell ref="AI44:AJ44"/>
    <mergeCell ref="AB56:AC56"/>
    <mergeCell ref="X43:Y43"/>
    <mergeCell ref="T40:U40"/>
    <mergeCell ref="F37:I37"/>
    <mergeCell ref="Y124:AB124"/>
    <mergeCell ref="J42:K42"/>
    <mergeCell ref="L42:M42"/>
    <mergeCell ref="N42:O42"/>
    <mergeCell ref="P42:Q42"/>
    <mergeCell ref="X41:Y41"/>
    <mergeCell ref="R42:S42"/>
    <mergeCell ref="T42:U42"/>
    <mergeCell ref="V42:W42"/>
    <mergeCell ref="X42:Y42"/>
    <mergeCell ref="J43:K43"/>
    <mergeCell ref="L43:M43"/>
    <mergeCell ref="N43:O43"/>
    <mergeCell ref="P43:Q43"/>
    <mergeCell ref="F110:L110"/>
    <mergeCell ref="F111:L111"/>
    <mergeCell ref="J55:M55"/>
    <mergeCell ref="J58:K58"/>
    <mergeCell ref="V43:W43"/>
    <mergeCell ref="J44:K44"/>
    <mergeCell ref="N45:O45"/>
    <mergeCell ref="F41:I41"/>
    <mergeCell ref="R45:S45"/>
    <mergeCell ref="L44:M44"/>
    <mergeCell ref="N44:O44"/>
    <mergeCell ref="P44:Q44"/>
    <mergeCell ref="J45:K45"/>
    <mergeCell ref="L45:M45"/>
    <mergeCell ref="N203:P203"/>
    <mergeCell ref="Q203:U203"/>
    <mergeCell ref="N204:P204"/>
    <mergeCell ref="Q204:U204"/>
    <mergeCell ref="P124:S124"/>
    <mergeCell ref="BC138:BD138"/>
    <mergeCell ref="BC169:BD169"/>
    <mergeCell ref="AU170:AV170"/>
    <mergeCell ref="AW170:AX170"/>
    <mergeCell ref="AY170:AZ170"/>
    <mergeCell ref="BA170:BB170"/>
    <mergeCell ref="BC170:BD170"/>
    <mergeCell ref="AS171:AT171"/>
    <mergeCell ref="AW175:AX175"/>
    <mergeCell ref="AY175:AZ175"/>
    <mergeCell ref="BA175:BB175"/>
    <mergeCell ref="BC175:BD175"/>
    <mergeCell ref="N149:S149"/>
    <mergeCell ref="BA130:BB130"/>
    <mergeCell ref="BC130:BD130"/>
    <mergeCell ref="W131:X131"/>
    <mergeCell ref="AQ133:AR133"/>
    <mergeCell ref="AS133:AT133"/>
    <mergeCell ref="Z189:AH189"/>
    <mergeCell ref="X44:Y44"/>
    <mergeCell ref="N201:P201"/>
    <mergeCell ref="Q201:U201"/>
    <mergeCell ref="AQ131:AR131"/>
    <mergeCell ref="AS131:AT131"/>
    <mergeCell ref="AC131:AD131"/>
    <mergeCell ref="BC176:BD176"/>
    <mergeCell ref="AE130:AF130"/>
    <mergeCell ref="AG133:AH133"/>
    <mergeCell ref="AI133:AJ133"/>
    <mergeCell ref="AW139:AX139"/>
    <mergeCell ref="N162:O162"/>
    <mergeCell ref="N58:O58"/>
    <mergeCell ref="N202:P202"/>
    <mergeCell ref="Q202:U202"/>
    <mergeCell ref="N125:O125"/>
    <mergeCell ref="P162:S162"/>
    <mergeCell ref="AW131:AX131"/>
    <mergeCell ref="N112:AM112"/>
    <mergeCell ref="N150:S150"/>
    <mergeCell ref="N166:O166"/>
    <mergeCell ref="T164:X164"/>
    <mergeCell ref="Y164:AB164"/>
    <mergeCell ref="N163:O163"/>
    <mergeCell ref="Y163:AB163"/>
    <mergeCell ref="Z60:AA60"/>
    <mergeCell ref="Q91:R91"/>
    <mergeCell ref="Q92:R92"/>
    <mergeCell ref="Q101:R101"/>
    <mergeCell ref="P59:Q59"/>
    <mergeCell ref="P62:Q62"/>
    <mergeCell ref="AB59:AC59"/>
    <mergeCell ref="AI190:AM190"/>
    <mergeCell ref="F46:I46"/>
    <mergeCell ref="Y126:AB126"/>
    <mergeCell ref="P56:Q56"/>
    <mergeCell ref="AA136:AB136"/>
    <mergeCell ref="R46:S46"/>
    <mergeCell ref="T46:U46"/>
    <mergeCell ref="V46:W46"/>
    <mergeCell ref="R64:S64"/>
    <mergeCell ref="AK132:AL132"/>
    <mergeCell ref="N127:O127"/>
    <mergeCell ref="AD56:AE56"/>
    <mergeCell ref="AF56:AG56"/>
    <mergeCell ref="AF60:AG60"/>
    <mergeCell ref="AB66:AC66"/>
    <mergeCell ref="AF61:AG61"/>
    <mergeCell ref="Z64:AA64"/>
    <mergeCell ref="AB64:AC64"/>
    <mergeCell ref="AG130:AH130"/>
    <mergeCell ref="AI130:AJ130"/>
    <mergeCell ref="S133:T133"/>
    <mergeCell ref="U133:V133"/>
    <mergeCell ref="Q134:R134"/>
    <mergeCell ref="M133:P133"/>
    <mergeCell ref="F114:L114"/>
    <mergeCell ref="Q133:R133"/>
    <mergeCell ref="M134:P134"/>
    <mergeCell ref="S101:T101"/>
    <mergeCell ref="N110:S110"/>
    <mergeCell ref="P126:S126"/>
    <mergeCell ref="M131:P131"/>
    <mergeCell ref="Q131:R131"/>
    <mergeCell ref="M98:P98"/>
    <mergeCell ref="AI189:AM189"/>
    <mergeCell ref="F113:L113"/>
    <mergeCell ref="AY176:AZ176"/>
    <mergeCell ref="BA176:BB176"/>
    <mergeCell ref="AK133:AL133"/>
    <mergeCell ref="AM133:AN133"/>
    <mergeCell ref="AO133:AP133"/>
    <mergeCell ref="P166:S166"/>
    <mergeCell ref="T166:X166"/>
    <mergeCell ref="N164:O164"/>
    <mergeCell ref="P165:S165"/>
    <mergeCell ref="T165:X165"/>
    <mergeCell ref="Y165:AB165"/>
    <mergeCell ref="N165:O165"/>
    <mergeCell ref="BA138:BB138"/>
    <mergeCell ref="N152:X152"/>
    <mergeCell ref="N153:X153"/>
    <mergeCell ref="W170:X170"/>
    <mergeCell ref="Y170:Z170"/>
    <mergeCell ref="AA170:AB170"/>
    <mergeCell ref="AC170:AD170"/>
    <mergeCell ref="AE170:AF170"/>
    <mergeCell ref="AO170:AP170"/>
    <mergeCell ref="AQ170:AR170"/>
    <mergeCell ref="M175:P175"/>
    <mergeCell ref="Q175:R175"/>
    <mergeCell ref="AW176:AX176"/>
    <mergeCell ref="AW136:AX136"/>
    <mergeCell ref="AY136:AZ136"/>
    <mergeCell ref="BA136:BB136"/>
    <mergeCell ref="AU133:AV133"/>
    <mergeCell ref="P164:S164"/>
    <mergeCell ref="F12:L12"/>
    <mergeCell ref="P84:S84"/>
    <mergeCell ref="N111:S111"/>
    <mergeCell ref="N14:S14"/>
    <mergeCell ref="N17:P17"/>
    <mergeCell ref="N18:S18"/>
    <mergeCell ref="F16:M16"/>
    <mergeCell ref="AA12:AD12"/>
    <mergeCell ref="N20:S20"/>
    <mergeCell ref="R35:U35"/>
    <mergeCell ref="N26:S26"/>
    <mergeCell ref="V40:W40"/>
    <mergeCell ref="J56:K56"/>
    <mergeCell ref="L56:M56"/>
    <mergeCell ref="R56:S56"/>
    <mergeCell ref="T56:U56"/>
    <mergeCell ref="L37:M37"/>
    <mergeCell ref="N37:O37"/>
    <mergeCell ref="P37:Q37"/>
    <mergeCell ref="R41:S41"/>
    <mergeCell ref="T41:U41"/>
    <mergeCell ref="V35:Y35"/>
    <mergeCell ref="X39:Y39"/>
    <mergeCell ref="P45:Q45"/>
    <mergeCell ref="F56:I56"/>
    <mergeCell ref="R43:S43"/>
    <mergeCell ref="F61:I61"/>
    <mergeCell ref="F62:I62"/>
    <mergeCell ref="F63:I63"/>
    <mergeCell ref="F64:I64"/>
    <mergeCell ref="F65:I65"/>
    <mergeCell ref="N25:S25"/>
    <mergeCell ref="X37:Y37"/>
    <mergeCell ref="N56:O56"/>
    <mergeCell ref="AF12:AJ12"/>
    <mergeCell ref="F13:L13"/>
    <mergeCell ref="J37:K37"/>
    <mergeCell ref="N13:AJ13"/>
    <mergeCell ref="F14:L14"/>
    <mergeCell ref="X46:Y46"/>
    <mergeCell ref="Z63:AA63"/>
    <mergeCell ref="AB63:AC63"/>
    <mergeCell ref="J64:K64"/>
    <mergeCell ref="N64:O64"/>
    <mergeCell ref="V57:W57"/>
    <mergeCell ref="X57:Y57"/>
    <mergeCell ref="AD57:AE57"/>
    <mergeCell ref="AF57:AG57"/>
    <mergeCell ref="J63:K63"/>
    <mergeCell ref="F17:M17"/>
    <mergeCell ref="N60:O60"/>
    <mergeCell ref="N46:O46"/>
    <mergeCell ref="P46:Q46"/>
    <mergeCell ref="R55:U55"/>
    <mergeCell ref="Z55:AC55"/>
    <mergeCell ref="R59:S59"/>
    <mergeCell ref="T57:U57"/>
    <mergeCell ref="Z57:AA57"/>
    <mergeCell ref="AB57:AC57"/>
    <mergeCell ref="R58:S58"/>
    <mergeCell ref="T58:U58"/>
    <mergeCell ref="Z58:AA58"/>
    <mergeCell ref="F42:I42"/>
    <mergeCell ref="T45:U45"/>
    <mergeCell ref="AI2:AN7"/>
    <mergeCell ref="N21:S21"/>
    <mergeCell ref="N16:AJ16"/>
    <mergeCell ref="R17:X17"/>
    <mergeCell ref="Y17:AB17"/>
    <mergeCell ref="AD17:AJ17"/>
    <mergeCell ref="N12:Z12"/>
    <mergeCell ref="J36:K36"/>
    <mergeCell ref="L36:M36"/>
    <mergeCell ref="N35:Q35"/>
    <mergeCell ref="N36:O36"/>
    <mergeCell ref="P36:Q36"/>
    <mergeCell ref="F18:L18"/>
    <mergeCell ref="F20:L20"/>
    <mergeCell ref="F21:L21"/>
    <mergeCell ref="F25:L25"/>
    <mergeCell ref="F26:L26"/>
    <mergeCell ref="F30:L30"/>
    <mergeCell ref="F15:L15"/>
    <mergeCell ref="N15:AJ15"/>
    <mergeCell ref="N30:S30"/>
    <mergeCell ref="F2:AH6"/>
    <mergeCell ref="F7:J7"/>
    <mergeCell ref="J33:Y33"/>
    <mergeCell ref="J34:Q34"/>
    <mergeCell ref="R34:Y34"/>
    <mergeCell ref="AG33:AV33"/>
    <mergeCell ref="AG34:AN34"/>
    <mergeCell ref="AO34:AV34"/>
    <mergeCell ref="AK35:AN35"/>
    <mergeCell ref="AO35:AR35"/>
    <mergeCell ref="AS35:AV35"/>
    <mergeCell ref="N206:AM206"/>
    <mergeCell ref="F206:L206"/>
    <mergeCell ref="S192:Y192"/>
    <mergeCell ref="Z192:AH192"/>
    <mergeCell ref="AH201:AM201"/>
    <mergeCell ref="AH202:AM202"/>
    <mergeCell ref="AK171:AL171"/>
    <mergeCell ref="AM171:AN171"/>
    <mergeCell ref="AC173:AD173"/>
    <mergeCell ref="AE173:AF173"/>
    <mergeCell ref="AG173:AH173"/>
    <mergeCell ref="AI173:AJ173"/>
    <mergeCell ref="AK173:AL173"/>
    <mergeCell ref="AM173:AN173"/>
    <mergeCell ref="M174:P174"/>
    <mergeCell ref="Q174:R174"/>
    <mergeCell ref="Z190:AH190"/>
    <mergeCell ref="AN206:AQ206"/>
    <mergeCell ref="F170:L181"/>
    <mergeCell ref="M170:P170"/>
    <mergeCell ref="Q170:R170"/>
    <mergeCell ref="S170:T170"/>
    <mergeCell ref="U170:V170"/>
    <mergeCell ref="S191:Y191"/>
    <mergeCell ref="F197:M197"/>
    <mergeCell ref="W175:X175"/>
    <mergeCell ref="Y175:Z175"/>
    <mergeCell ref="AA175:AB175"/>
    <mergeCell ref="AC175:AD175"/>
    <mergeCell ref="AE175:AF175"/>
    <mergeCell ref="AG175:AH175"/>
    <mergeCell ref="AI175:AJ175"/>
    <mergeCell ref="F149:L149"/>
    <mergeCell ref="F150:L150"/>
    <mergeCell ref="F151:L151"/>
    <mergeCell ref="N151:AM151"/>
    <mergeCell ref="F152:L152"/>
    <mergeCell ref="P127:S127"/>
    <mergeCell ref="J40:K40"/>
    <mergeCell ref="L40:M40"/>
    <mergeCell ref="N40:O40"/>
    <mergeCell ref="P40:Q40"/>
    <mergeCell ref="F43:I43"/>
    <mergeCell ref="J46:K46"/>
    <mergeCell ref="L46:M46"/>
    <mergeCell ref="T84:X84"/>
    <mergeCell ref="T85:X85"/>
    <mergeCell ref="T86:X86"/>
    <mergeCell ref="T87:X87"/>
    <mergeCell ref="N88:O88"/>
    <mergeCell ref="N71:S71"/>
    <mergeCell ref="F44:I44"/>
    <mergeCell ref="M138:P138"/>
    <mergeCell ref="Q138:R138"/>
    <mergeCell ref="J47:AO48"/>
    <mergeCell ref="F57:I57"/>
    <mergeCell ref="F58:I58"/>
    <mergeCell ref="F59:I59"/>
    <mergeCell ref="F60:I60"/>
    <mergeCell ref="F66:I66"/>
    <mergeCell ref="J59:K59"/>
    <mergeCell ref="F104:P104"/>
    <mergeCell ref="F105:P105"/>
    <mergeCell ref="AE131:AF131"/>
    <mergeCell ref="F45:I45"/>
    <mergeCell ref="J61:K61"/>
    <mergeCell ref="N61:O61"/>
    <mergeCell ref="J62:K62"/>
    <mergeCell ref="T66:U66"/>
    <mergeCell ref="M103:P103"/>
    <mergeCell ref="Q97:R97"/>
    <mergeCell ref="S97:T97"/>
    <mergeCell ref="Q98:R98"/>
    <mergeCell ref="S98:T98"/>
    <mergeCell ref="Q99:R99"/>
    <mergeCell ref="Q96:R96"/>
    <mergeCell ref="S96:T96"/>
    <mergeCell ref="P66:Q66"/>
    <mergeCell ref="V66:W66"/>
    <mergeCell ref="X66:Y66"/>
    <mergeCell ref="N113:X113"/>
    <mergeCell ref="M100:P100"/>
    <mergeCell ref="M101:P101"/>
    <mergeCell ref="Q104:R104"/>
    <mergeCell ref="V62:W62"/>
    <mergeCell ref="X62:Y62"/>
    <mergeCell ref="V58:W58"/>
    <mergeCell ref="X60:Y60"/>
    <mergeCell ref="V56:W56"/>
    <mergeCell ref="X56:Y56"/>
    <mergeCell ref="P57:Q57"/>
    <mergeCell ref="X61:Y61"/>
    <mergeCell ref="M92:P92"/>
    <mergeCell ref="N65:O65"/>
    <mergeCell ref="P86:S86"/>
    <mergeCell ref="R65:S65"/>
    <mergeCell ref="M99:P99"/>
    <mergeCell ref="F75:L75"/>
    <mergeCell ref="Y130:Z130"/>
    <mergeCell ref="U98:V98"/>
    <mergeCell ref="U105:V105"/>
    <mergeCell ref="W105:X105"/>
    <mergeCell ref="Y105:Z105"/>
    <mergeCell ref="M91:P91"/>
    <mergeCell ref="F71:L71"/>
    <mergeCell ref="W92:X92"/>
    <mergeCell ref="Y92:Z92"/>
    <mergeCell ref="AA105:AB105"/>
    <mergeCell ref="S99:T99"/>
    <mergeCell ref="U103:V103"/>
    <mergeCell ref="W103:X103"/>
    <mergeCell ref="Y103:Z103"/>
    <mergeCell ref="AA103:AB103"/>
    <mergeCell ref="F112:L112"/>
    <mergeCell ref="F131:L142"/>
    <mergeCell ref="P125:S125"/>
    <mergeCell ref="N114:X114"/>
    <mergeCell ref="N124:O124"/>
    <mergeCell ref="Y136:Z136"/>
    <mergeCell ref="S138:T138"/>
    <mergeCell ref="U138:V138"/>
    <mergeCell ref="W138:X138"/>
    <mergeCell ref="Y138:Z138"/>
    <mergeCell ref="AC103:AD103"/>
    <mergeCell ref="M102:P102"/>
    <mergeCell ref="T124:X124"/>
    <mergeCell ref="T127:X127"/>
    <mergeCell ref="Y127:AB127"/>
    <mergeCell ref="T126:X126"/>
    <mergeCell ref="S136:T136"/>
    <mergeCell ref="W133:X133"/>
    <mergeCell ref="Y133:Z133"/>
    <mergeCell ref="AC136:AD136"/>
    <mergeCell ref="AE103:AF103"/>
    <mergeCell ref="V65:W65"/>
    <mergeCell ref="X65:Y65"/>
    <mergeCell ref="Y86:AB86"/>
    <mergeCell ref="Y87:AB87"/>
    <mergeCell ref="Y88:AB88"/>
    <mergeCell ref="P85:S85"/>
    <mergeCell ref="AA94:AB94"/>
    <mergeCell ref="T88:X88"/>
    <mergeCell ref="N75:X75"/>
    <mergeCell ref="N73:AM73"/>
    <mergeCell ref="Q105:R105"/>
    <mergeCell ref="S105:T105"/>
    <mergeCell ref="AI188:AM188"/>
    <mergeCell ref="S189:Y189"/>
    <mergeCell ref="S190:Y190"/>
    <mergeCell ref="Y166:AB166"/>
    <mergeCell ref="Q102:R102"/>
    <mergeCell ref="Y131:Z131"/>
    <mergeCell ref="AG92:AH92"/>
    <mergeCell ref="AG137:AH137"/>
    <mergeCell ref="AI137:AJ137"/>
    <mergeCell ref="AK137:AL137"/>
    <mergeCell ref="AM137:AN137"/>
    <mergeCell ref="U136:V136"/>
    <mergeCell ref="W136:X136"/>
    <mergeCell ref="AI136:AJ136"/>
    <mergeCell ref="AK136:AL136"/>
    <mergeCell ref="AM136:AN136"/>
    <mergeCell ref="S175:T175"/>
    <mergeCell ref="U175:V175"/>
    <mergeCell ref="N126:O126"/>
    <mergeCell ref="AD62:AE62"/>
    <mergeCell ref="P63:Q63"/>
    <mergeCell ref="S92:T92"/>
    <mergeCell ref="Q93:R93"/>
    <mergeCell ref="S93:T93"/>
    <mergeCell ref="Q94:R94"/>
    <mergeCell ref="AD65:AE65"/>
    <mergeCell ref="AD66:AE66"/>
    <mergeCell ref="Q95:R95"/>
    <mergeCell ref="S95:T95"/>
    <mergeCell ref="N74:X74"/>
    <mergeCell ref="U96:V96"/>
    <mergeCell ref="W96:X96"/>
    <mergeCell ref="P123:S123"/>
    <mergeCell ref="T123:X123"/>
    <mergeCell ref="Y123:AB123"/>
    <mergeCell ref="N123:O123"/>
    <mergeCell ref="AD63:AE63"/>
    <mergeCell ref="Y85:AB85"/>
    <mergeCell ref="AC92:AD92"/>
    <mergeCell ref="AE92:AF92"/>
    <mergeCell ref="Z66:AA66"/>
    <mergeCell ref="AF65:AG65"/>
    <mergeCell ref="AD86:AK88"/>
    <mergeCell ref="N86:O86"/>
    <mergeCell ref="AA92:AB92"/>
    <mergeCell ref="W94:X94"/>
    <mergeCell ref="Y94:Z94"/>
    <mergeCell ref="M94:P94"/>
    <mergeCell ref="N87:O87"/>
    <mergeCell ref="N72:S72"/>
    <mergeCell ref="U92:V92"/>
    <mergeCell ref="AD164:AK166"/>
    <mergeCell ref="Q168:T168"/>
    <mergeCell ref="U168:X168"/>
    <mergeCell ref="P163:S163"/>
    <mergeCell ref="T163:X163"/>
    <mergeCell ref="Y168:AB168"/>
    <mergeCell ref="AC168:AF168"/>
    <mergeCell ref="AK168:AN168"/>
    <mergeCell ref="F153:L153"/>
    <mergeCell ref="N197:AM197"/>
    <mergeCell ref="S188:Y188"/>
    <mergeCell ref="Y125:AB125"/>
    <mergeCell ref="T162:X162"/>
    <mergeCell ref="Y162:AB162"/>
    <mergeCell ref="T125:X125"/>
    <mergeCell ref="AG103:AH103"/>
    <mergeCell ref="AI103:AJ103"/>
    <mergeCell ref="AK103:AL103"/>
    <mergeCell ref="AM103:AN103"/>
    <mergeCell ref="AI131:AJ131"/>
    <mergeCell ref="AK131:AL131"/>
    <mergeCell ref="AM131:AN131"/>
    <mergeCell ref="M130:P130"/>
    <mergeCell ref="Q130:R130"/>
    <mergeCell ref="S130:T130"/>
    <mergeCell ref="U130:V130"/>
    <mergeCell ref="W130:X130"/>
    <mergeCell ref="Z188:AH188"/>
    <mergeCell ref="AA130:AB130"/>
    <mergeCell ref="AC137:AD137"/>
    <mergeCell ref="AE137:AF137"/>
    <mergeCell ref="AG131:AH131"/>
    <mergeCell ref="AB58:AC58"/>
    <mergeCell ref="Z59:AA59"/>
    <mergeCell ref="T59:U59"/>
    <mergeCell ref="AF66:AG66"/>
    <mergeCell ref="V63:W63"/>
    <mergeCell ref="X63:Y63"/>
    <mergeCell ref="R63:S63"/>
    <mergeCell ref="T63:U63"/>
    <mergeCell ref="N62:O62"/>
    <mergeCell ref="N59:O59"/>
    <mergeCell ref="AB60:AC60"/>
    <mergeCell ref="Z61:AA61"/>
    <mergeCell ref="AB61:AC61"/>
    <mergeCell ref="Z62:AA62"/>
    <mergeCell ref="AB62:AC62"/>
    <mergeCell ref="Z65:AA65"/>
    <mergeCell ref="P65:Q65"/>
    <mergeCell ref="R60:S60"/>
    <mergeCell ref="R62:S62"/>
    <mergeCell ref="AF63:AG63"/>
    <mergeCell ref="P64:Q64"/>
    <mergeCell ref="V64:W64"/>
    <mergeCell ref="X64:Y64"/>
    <mergeCell ref="AD64:AE64"/>
    <mergeCell ref="AF64:AG64"/>
    <mergeCell ref="T60:U60"/>
    <mergeCell ref="T62:U62"/>
    <mergeCell ref="X58:Y58"/>
    <mergeCell ref="AD60:AE60"/>
    <mergeCell ref="AB65:AC65"/>
    <mergeCell ref="P61:Q61"/>
    <mergeCell ref="V61:W61"/>
    <mergeCell ref="Z56:AA56"/>
    <mergeCell ref="R57:S57"/>
    <mergeCell ref="J60:K60"/>
    <mergeCell ref="J57:K57"/>
    <mergeCell ref="N57:O57"/>
    <mergeCell ref="N66:O66"/>
    <mergeCell ref="R66:S66"/>
    <mergeCell ref="F72:L72"/>
    <mergeCell ref="F73:L73"/>
    <mergeCell ref="F74:L74"/>
    <mergeCell ref="F92:L103"/>
    <mergeCell ref="J65:K65"/>
    <mergeCell ref="J66:K66"/>
    <mergeCell ref="Q90:T90"/>
    <mergeCell ref="U90:X90"/>
    <mergeCell ref="S91:T91"/>
    <mergeCell ref="U91:V91"/>
    <mergeCell ref="W91:X91"/>
    <mergeCell ref="Q100:R100"/>
    <mergeCell ref="S100:T100"/>
    <mergeCell ref="M93:P93"/>
    <mergeCell ref="N84:O84"/>
    <mergeCell ref="N85:O85"/>
    <mergeCell ref="Y84:AB84"/>
    <mergeCell ref="S102:T102"/>
    <mergeCell ref="Q103:R103"/>
    <mergeCell ref="S103:T103"/>
    <mergeCell ref="F84:M88"/>
    <mergeCell ref="T64:U64"/>
    <mergeCell ref="M95:P95"/>
    <mergeCell ref="M96:P96"/>
    <mergeCell ref="M97:P97"/>
    <mergeCell ref="AD61:AE61"/>
    <mergeCell ref="AG96:AH96"/>
    <mergeCell ref="AC94:AD94"/>
    <mergeCell ref="N63:O63"/>
    <mergeCell ref="P60:Q60"/>
    <mergeCell ref="V60:W60"/>
    <mergeCell ref="Y96:Z96"/>
    <mergeCell ref="AA96:AB96"/>
    <mergeCell ref="S94:T94"/>
    <mergeCell ref="R61:S61"/>
    <mergeCell ref="T61:U61"/>
    <mergeCell ref="AD58:AE58"/>
    <mergeCell ref="P88:S88"/>
    <mergeCell ref="AY91:AZ91"/>
    <mergeCell ref="BA91:BB91"/>
    <mergeCell ref="BC91:BD91"/>
    <mergeCell ref="Y90:AB90"/>
    <mergeCell ref="AC90:AF90"/>
    <mergeCell ref="AG90:AJ90"/>
    <mergeCell ref="AK90:AN90"/>
    <mergeCell ref="AO90:AR90"/>
    <mergeCell ref="AS90:AV90"/>
    <mergeCell ref="AW90:AZ90"/>
    <mergeCell ref="BA90:BD90"/>
    <mergeCell ref="Y91:Z91"/>
    <mergeCell ref="AA91:AB91"/>
    <mergeCell ref="AC91:AD91"/>
    <mergeCell ref="AE91:AF91"/>
    <mergeCell ref="AG91:AH91"/>
    <mergeCell ref="AI91:AJ91"/>
    <mergeCell ref="AK91:AL91"/>
    <mergeCell ref="AO91:AP91"/>
    <mergeCell ref="AM91:AN91"/>
    <mergeCell ref="AQ91:AR91"/>
    <mergeCell ref="AS91:AT91"/>
    <mergeCell ref="AU91:AV91"/>
    <mergeCell ref="AW91:AX91"/>
    <mergeCell ref="AF58:AG58"/>
    <mergeCell ref="V59:W59"/>
    <mergeCell ref="X59:Y59"/>
    <mergeCell ref="AD59:AE59"/>
    <mergeCell ref="AF59:AG59"/>
    <mergeCell ref="P58:Q58"/>
    <mergeCell ref="AQ99:AR99"/>
    <mergeCell ref="AS99:AT99"/>
    <mergeCell ref="AU99:AV99"/>
    <mergeCell ref="AW99:AX99"/>
    <mergeCell ref="AY99:AZ99"/>
    <mergeCell ref="BA99:BB99"/>
    <mergeCell ref="W98:X98"/>
    <mergeCell ref="Y98:Z98"/>
    <mergeCell ref="AA98:AB98"/>
    <mergeCell ref="AC98:AD98"/>
    <mergeCell ref="AE98:AF98"/>
    <mergeCell ref="AG98:AH98"/>
    <mergeCell ref="AI98:AJ98"/>
    <mergeCell ref="AK98:AL98"/>
    <mergeCell ref="AM98:AN98"/>
    <mergeCell ref="AO98:AP98"/>
    <mergeCell ref="AQ98:AR98"/>
    <mergeCell ref="AS98:AT98"/>
    <mergeCell ref="AU98:AV98"/>
    <mergeCell ref="AW98:AX98"/>
    <mergeCell ref="AY98:AZ98"/>
    <mergeCell ref="BA98:BB98"/>
    <mergeCell ref="AE99:AF99"/>
    <mergeCell ref="AG99:AH99"/>
    <mergeCell ref="BC92:BD92"/>
    <mergeCell ref="U93:V93"/>
    <mergeCell ref="W93:X93"/>
    <mergeCell ref="Y93:Z93"/>
    <mergeCell ref="AA93:AB93"/>
    <mergeCell ref="AC93:AD93"/>
    <mergeCell ref="AE93:AF93"/>
    <mergeCell ref="AG93:AH93"/>
    <mergeCell ref="AI93:AJ93"/>
    <mergeCell ref="AK93:AL93"/>
    <mergeCell ref="AM93:AN93"/>
    <mergeCell ref="AO93:AP93"/>
    <mergeCell ref="AQ93:AR93"/>
    <mergeCell ref="AS93:AT93"/>
    <mergeCell ref="AU93:AV93"/>
    <mergeCell ref="AW93:AX93"/>
    <mergeCell ref="AI92:AJ92"/>
    <mergeCell ref="AK92:AL92"/>
    <mergeCell ref="AY93:AZ93"/>
    <mergeCell ref="BA93:BB93"/>
    <mergeCell ref="BC93:BD93"/>
    <mergeCell ref="AM92:AN92"/>
    <mergeCell ref="AO92:AP92"/>
    <mergeCell ref="AY92:AZ92"/>
    <mergeCell ref="BA92:BB92"/>
    <mergeCell ref="AQ92:AR92"/>
    <mergeCell ref="AS92:AT92"/>
    <mergeCell ref="AU92:AV92"/>
    <mergeCell ref="AW92:AX92"/>
    <mergeCell ref="BC94:BD94"/>
    <mergeCell ref="U95:V95"/>
    <mergeCell ref="W95:X95"/>
    <mergeCell ref="Y95:Z95"/>
    <mergeCell ref="AA95:AB95"/>
    <mergeCell ref="AC95:AD95"/>
    <mergeCell ref="AE95:AF95"/>
    <mergeCell ref="AG95:AH95"/>
    <mergeCell ref="AI95:AJ95"/>
    <mergeCell ref="AK95:AL95"/>
    <mergeCell ref="AM95:AN95"/>
    <mergeCell ref="AO95:AP95"/>
    <mergeCell ref="AQ95:AR95"/>
    <mergeCell ref="AS95:AT95"/>
    <mergeCell ref="AU95:AV95"/>
    <mergeCell ref="AW95:AX95"/>
    <mergeCell ref="AY95:AZ95"/>
    <mergeCell ref="BA95:BB95"/>
    <mergeCell ref="BC95:BD95"/>
    <mergeCell ref="AI94:AJ94"/>
    <mergeCell ref="AK94:AL94"/>
    <mergeCell ref="AM94:AN94"/>
    <mergeCell ref="AO94:AP94"/>
    <mergeCell ref="AE94:AF94"/>
    <mergeCell ref="AG94:AH94"/>
    <mergeCell ref="AY94:AZ94"/>
    <mergeCell ref="BA94:BB94"/>
    <mergeCell ref="AQ94:AR94"/>
    <mergeCell ref="AS94:AT94"/>
    <mergeCell ref="AU94:AV94"/>
    <mergeCell ref="AW94:AX94"/>
    <mergeCell ref="U94:V94"/>
    <mergeCell ref="BC98:BD98"/>
    <mergeCell ref="AI96:AJ96"/>
    <mergeCell ref="AK96:AL96"/>
    <mergeCell ref="AM96:AN96"/>
    <mergeCell ref="AO96:AP96"/>
    <mergeCell ref="AQ96:AR96"/>
    <mergeCell ref="AS96:AT96"/>
    <mergeCell ref="AU96:AV96"/>
    <mergeCell ref="AW96:AX96"/>
    <mergeCell ref="AY96:AZ96"/>
    <mergeCell ref="BA96:BB96"/>
    <mergeCell ref="BC96:BD96"/>
    <mergeCell ref="U97:V97"/>
    <mergeCell ref="W97:X97"/>
    <mergeCell ref="Y97:Z97"/>
    <mergeCell ref="AA97:AB97"/>
    <mergeCell ref="AC97:AD97"/>
    <mergeCell ref="AE97:AF97"/>
    <mergeCell ref="AG97:AH97"/>
    <mergeCell ref="AI97:AJ97"/>
    <mergeCell ref="AK97:AL97"/>
    <mergeCell ref="AM97:AN97"/>
    <mergeCell ref="AO97:AP97"/>
    <mergeCell ref="AQ97:AR97"/>
    <mergeCell ref="AS97:AT97"/>
    <mergeCell ref="AU97:AV97"/>
    <mergeCell ref="AW97:AX97"/>
    <mergeCell ref="AY97:AZ97"/>
    <mergeCell ref="BA97:BB97"/>
    <mergeCell ref="BC97:BD97"/>
    <mergeCell ref="AC96:AD96"/>
    <mergeCell ref="AE96:AF96"/>
    <mergeCell ref="AU101:AV101"/>
    <mergeCell ref="AW101:AX101"/>
    <mergeCell ref="AY101:AZ101"/>
    <mergeCell ref="BA101:BB101"/>
    <mergeCell ref="BC99:BD99"/>
    <mergeCell ref="U100:V100"/>
    <mergeCell ref="W100:X100"/>
    <mergeCell ref="Y100:Z100"/>
    <mergeCell ref="AA100:AB100"/>
    <mergeCell ref="AC100:AD100"/>
    <mergeCell ref="AE100:AF100"/>
    <mergeCell ref="AG100:AH100"/>
    <mergeCell ref="AI100:AJ100"/>
    <mergeCell ref="AK100:AL100"/>
    <mergeCell ref="AM100:AN100"/>
    <mergeCell ref="AO100:AP100"/>
    <mergeCell ref="AQ100:AR100"/>
    <mergeCell ref="AS100:AT100"/>
    <mergeCell ref="AU100:AV100"/>
    <mergeCell ref="AW100:AX100"/>
    <mergeCell ref="AY100:AZ100"/>
    <mergeCell ref="BA100:BB100"/>
    <mergeCell ref="BC100:BD100"/>
    <mergeCell ref="U99:V99"/>
    <mergeCell ref="W99:X99"/>
    <mergeCell ref="Y99:Z99"/>
    <mergeCell ref="AA99:AB99"/>
    <mergeCell ref="AC99:AD99"/>
    <mergeCell ref="AI99:AJ99"/>
    <mergeCell ref="AK99:AL99"/>
    <mergeCell ref="AM99:AN99"/>
    <mergeCell ref="AO99:AP99"/>
    <mergeCell ref="BC101:BD101"/>
    <mergeCell ref="U102:V102"/>
    <mergeCell ref="W102:X102"/>
    <mergeCell ref="Y102:Z102"/>
    <mergeCell ref="AA102:AB102"/>
    <mergeCell ref="AC102:AD102"/>
    <mergeCell ref="AE102:AF102"/>
    <mergeCell ref="AG102:AH102"/>
    <mergeCell ref="AI102:AJ102"/>
    <mergeCell ref="AK102:AL102"/>
    <mergeCell ref="AM102:AN102"/>
    <mergeCell ref="AO102:AP102"/>
    <mergeCell ref="AQ102:AR102"/>
    <mergeCell ref="AS102:AT102"/>
    <mergeCell ref="AU102:AV102"/>
    <mergeCell ref="AW102:AX102"/>
    <mergeCell ref="AY102:AZ102"/>
    <mergeCell ref="BA102:BB102"/>
    <mergeCell ref="BC102:BD102"/>
    <mergeCell ref="U101:V101"/>
    <mergeCell ref="W101:X101"/>
    <mergeCell ref="Y101:Z101"/>
    <mergeCell ref="AA101:AB101"/>
    <mergeCell ref="AC101:AD101"/>
    <mergeCell ref="AE101:AF101"/>
    <mergeCell ref="AG101:AH101"/>
    <mergeCell ref="AI101:AJ101"/>
    <mergeCell ref="AK101:AL101"/>
    <mergeCell ref="AM101:AN101"/>
    <mergeCell ref="AO101:AP101"/>
    <mergeCell ref="AQ101:AR101"/>
    <mergeCell ref="AS101:AT101"/>
    <mergeCell ref="AO103:AP103"/>
    <mergeCell ref="AQ103:AR103"/>
    <mergeCell ref="AS103:AT103"/>
    <mergeCell ref="AU103:AV103"/>
    <mergeCell ref="AW103:AX103"/>
    <mergeCell ref="AY103:AZ103"/>
    <mergeCell ref="BA103:BB103"/>
    <mergeCell ref="BA105:BB105"/>
    <mergeCell ref="BC105:BD105"/>
    <mergeCell ref="AD125:AK127"/>
    <mergeCell ref="Q129:T129"/>
    <mergeCell ref="U129:X129"/>
    <mergeCell ref="Y129:AB129"/>
    <mergeCell ref="AC129:AF129"/>
    <mergeCell ref="AG129:AJ129"/>
    <mergeCell ref="AK129:AN129"/>
    <mergeCell ref="AO129:AR129"/>
    <mergeCell ref="AS129:AV129"/>
    <mergeCell ref="AW129:AZ129"/>
    <mergeCell ref="BA129:BD129"/>
    <mergeCell ref="BC103:BD103"/>
    <mergeCell ref="U104:V104"/>
    <mergeCell ref="W104:X104"/>
    <mergeCell ref="Y104:Z104"/>
    <mergeCell ref="AA104:AB104"/>
    <mergeCell ref="AC104:AD104"/>
    <mergeCell ref="AE104:AF104"/>
    <mergeCell ref="AG104:AH104"/>
    <mergeCell ref="AI104:AJ104"/>
    <mergeCell ref="AK104:AL104"/>
    <mergeCell ref="AM104:AN104"/>
    <mergeCell ref="AO104:AP104"/>
    <mergeCell ref="AQ104:AR104"/>
    <mergeCell ref="AS104:AT104"/>
    <mergeCell ref="AU104:AV104"/>
    <mergeCell ref="AW104:AX104"/>
    <mergeCell ref="AY104:AZ104"/>
    <mergeCell ref="BA104:BB104"/>
    <mergeCell ref="BC104:BD104"/>
    <mergeCell ref="AO130:AP130"/>
    <mergeCell ref="AQ130:AR130"/>
    <mergeCell ref="AS130:AT130"/>
    <mergeCell ref="AU130:AV130"/>
    <mergeCell ref="AC105:AD105"/>
    <mergeCell ref="AE105:AF105"/>
    <mergeCell ref="AG105:AH105"/>
    <mergeCell ref="AI105:AJ105"/>
    <mergeCell ref="AK105:AL105"/>
    <mergeCell ref="AM105:AN105"/>
    <mergeCell ref="AO105:AP105"/>
    <mergeCell ref="AQ105:AR105"/>
    <mergeCell ref="AS105:AT105"/>
    <mergeCell ref="AU105:AV105"/>
    <mergeCell ref="AW130:AX130"/>
    <mergeCell ref="AW105:AX105"/>
    <mergeCell ref="AY130:AZ130"/>
    <mergeCell ref="AY105:AZ105"/>
    <mergeCell ref="AM130:AN130"/>
    <mergeCell ref="AC130:AD130"/>
    <mergeCell ref="AK130:AL130"/>
    <mergeCell ref="AW133:AX133"/>
    <mergeCell ref="AY133:AZ133"/>
    <mergeCell ref="AA133:AB133"/>
    <mergeCell ref="AC133:AD133"/>
    <mergeCell ref="AE133:AF133"/>
    <mergeCell ref="BA131:BB131"/>
    <mergeCell ref="BC131:BD131"/>
    <mergeCell ref="M132:P132"/>
    <mergeCell ref="Q132:R132"/>
    <mergeCell ref="S132:T132"/>
    <mergeCell ref="U132:V132"/>
    <mergeCell ref="W132:X132"/>
    <mergeCell ref="Y132:Z132"/>
    <mergeCell ref="AA132:AB132"/>
    <mergeCell ref="AC132:AD132"/>
    <mergeCell ref="AM132:AN132"/>
    <mergeCell ref="AO132:AP132"/>
    <mergeCell ref="AQ132:AR132"/>
    <mergeCell ref="AS132:AT132"/>
    <mergeCell ref="AU132:AV132"/>
    <mergeCell ref="AW132:AX132"/>
    <mergeCell ref="AY132:AZ132"/>
    <mergeCell ref="BA132:BB132"/>
    <mergeCell ref="BC132:BD132"/>
    <mergeCell ref="AY131:AZ131"/>
    <mergeCell ref="AO131:AP131"/>
    <mergeCell ref="AA131:AB131"/>
    <mergeCell ref="BA133:BB133"/>
    <mergeCell ref="AW137:AX137"/>
    <mergeCell ref="AY137:AZ137"/>
    <mergeCell ref="BA137:BB137"/>
    <mergeCell ref="BC137:BD137"/>
    <mergeCell ref="M136:P136"/>
    <mergeCell ref="Q136:R136"/>
    <mergeCell ref="BC136:BD136"/>
    <mergeCell ref="AI132:AJ132"/>
    <mergeCell ref="AU131:AV131"/>
    <mergeCell ref="S131:T131"/>
    <mergeCell ref="U131:V131"/>
    <mergeCell ref="BC133:BD133"/>
    <mergeCell ref="AE132:AF132"/>
    <mergeCell ref="AG132:AH132"/>
    <mergeCell ref="AY135:AZ135"/>
    <mergeCell ref="BA135:BB135"/>
    <mergeCell ref="BC135:BD135"/>
    <mergeCell ref="S134:T134"/>
    <mergeCell ref="U134:V134"/>
    <mergeCell ref="W134:X134"/>
    <mergeCell ref="Y134:Z134"/>
    <mergeCell ref="AA134:AB134"/>
    <mergeCell ref="AC134:AD134"/>
    <mergeCell ref="AE134:AF134"/>
    <mergeCell ref="AG134:AH134"/>
    <mergeCell ref="AI134:AJ134"/>
    <mergeCell ref="AK134:AL134"/>
    <mergeCell ref="AM134:AN134"/>
    <mergeCell ref="AO134:AP134"/>
    <mergeCell ref="AQ134:AR134"/>
    <mergeCell ref="AS134:AT134"/>
    <mergeCell ref="AU134:AV134"/>
    <mergeCell ref="AW134:AX134"/>
    <mergeCell ref="AY134:AZ134"/>
    <mergeCell ref="BA134:BB134"/>
    <mergeCell ref="BC134:BD134"/>
    <mergeCell ref="M135:P135"/>
    <mergeCell ref="Q135:R135"/>
    <mergeCell ref="S135:T135"/>
    <mergeCell ref="U135:V135"/>
    <mergeCell ref="W135:X135"/>
    <mergeCell ref="Y135:Z135"/>
    <mergeCell ref="AA135:AB135"/>
    <mergeCell ref="AC135:AD135"/>
    <mergeCell ref="AE135:AF135"/>
    <mergeCell ref="AG135:AH135"/>
    <mergeCell ref="AI135:AJ135"/>
    <mergeCell ref="AK135:AL135"/>
    <mergeCell ref="AM135:AN135"/>
    <mergeCell ref="AO135:AP135"/>
    <mergeCell ref="AQ135:AR135"/>
    <mergeCell ref="AS135:AT135"/>
    <mergeCell ref="AU135:AV135"/>
    <mergeCell ref="AW135:AX135"/>
    <mergeCell ref="AO136:AP136"/>
    <mergeCell ref="AQ136:AR136"/>
    <mergeCell ref="AA138:AB138"/>
    <mergeCell ref="AC138:AD138"/>
    <mergeCell ref="AE138:AF138"/>
    <mergeCell ref="AG138:AH138"/>
    <mergeCell ref="AI138:AJ138"/>
    <mergeCell ref="AK138:AL138"/>
    <mergeCell ref="AM138:AN138"/>
    <mergeCell ref="AO138:AP138"/>
    <mergeCell ref="AQ138:AR138"/>
    <mergeCell ref="AS138:AT138"/>
    <mergeCell ref="AU138:AV138"/>
    <mergeCell ref="M137:P137"/>
    <mergeCell ref="Q137:R137"/>
    <mergeCell ref="S137:T137"/>
    <mergeCell ref="U137:V137"/>
    <mergeCell ref="W137:X137"/>
    <mergeCell ref="Y137:Z137"/>
    <mergeCell ref="AA137:AB137"/>
    <mergeCell ref="AO137:AP137"/>
    <mergeCell ref="AQ137:AR137"/>
    <mergeCell ref="AS137:AT137"/>
    <mergeCell ref="AU137:AV137"/>
    <mergeCell ref="AS136:AT136"/>
    <mergeCell ref="AU136:AV136"/>
    <mergeCell ref="AE136:AF136"/>
    <mergeCell ref="AG136:AH136"/>
    <mergeCell ref="AW140:AX140"/>
    <mergeCell ref="AY140:AZ140"/>
    <mergeCell ref="AY139:AZ139"/>
    <mergeCell ref="AW138:AX138"/>
    <mergeCell ref="BA140:BB140"/>
    <mergeCell ref="BC140:BD140"/>
    <mergeCell ref="M139:P139"/>
    <mergeCell ref="Q139:R139"/>
    <mergeCell ref="S139:T139"/>
    <mergeCell ref="U139:V139"/>
    <mergeCell ref="W139:X139"/>
    <mergeCell ref="Y139:Z139"/>
    <mergeCell ref="AA139:AB139"/>
    <mergeCell ref="AC139:AD139"/>
    <mergeCell ref="AE139:AF139"/>
    <mergeCell ref="AG139:AH139"/>
    <mergeCell ref="AI139:AJ139"/>
    <mergeCell ref="AK139:AL139"/>
    <mergeCell ref="AM139:AN139"/>
    <mergeCell ref="AO139:AP139"/>
    <mergeCell ref="AQ139:AR139"/>
    <mergeCell ref="AS139:AT139"/>
    <mergeCell ref="AU139:AV139"/>
    <mergeCell ref="AY138:AZ138"/>
    <mergeCell ref="AY142:AZ142"/>
    <mergeCell ref="BA142:BB142"/>
    <mergeCell ref="BC142:BD142"/>
    <mergeCell ref="M141:P141"/>
    <mergeCell ref="Q141:R141"/>
    <mergeCell ref="S141:T141"/>
    <mergeCell ref="U141:V141"/>
    <mergeCell ref="W141:X141"/>
    <mergeCell ref="Y141:Z141"/>
    <mergeCell ref="AA141:AB141"/>
    <mergeCell ref="AC141:AD141"/>
    <mergeCell ref="AE141:AF141"/>
    <mergeCell ref="AG141:AH141"/>
    <mergeCell ref="BA139:BB139"/>
    <mergeCell ref="BC139:BD139"/>
    <mergeCell ref="M140:P140"/>
    <mergeCell ref="Q140:R140"/>
    <mergeCell ref="S140:T140"/>
    <mergeCell ref="U140:V140"/>
    <mergeCell ref="W140:X140"/>
    <mergeCell ref="Y140:Z140"/>
    <mergeCell ref="AA140:AB140"/>
    <mergeCell ref="AC140:AD140"/>
    <mergeCell ref="AE140:AF140"/>
    <mergeCell ref="AG140:AH140"/>
    <mergeCell ref="AI140:AJ140"/>
    <mergeCell ref="AK140:AL140"/>
    <mergeCell ref="AM140:AN140"/>
    <mergeCell ref="AO140:AP140"/>
    <mergeCell ref="AQ140:AR140"/>
    <mergeCell ref="AS140:AT140"/>
    <mergeCell ref="AU140:AV140"/>
    <mergeCell ref="AW141:AX141"/>
    <mergeCell ref="AY141:AZ141"/>
    <mergeCell ref="BA141:BB141"/>
    <mergeCell ref="AI141:AJ141"/>
    <mergeCell ref="AK141:AL141"/>
    <mergeCell ref="AM141:AN141"/>
    <mergeCell ref="AO141:AP141"/>
    <mergeCell ref="AQ141:AR141"/>
    <mergeCell ref="AS141:AT141"/>
    <mergeCell ref="AU141:AV141"/>
    <mergeCell ref="AW143:AX143"/>
    <mergeCell ref="AY143:AZ143"/>
    <mergeCell ref="BA143:BB143"/>
    <mergeCell ref="BC141:BD141"/>
    <mergeCell ref="M142:P142"/>
    <mergeCell ref="Q142:R142"/>
    <mergeCell ref="S142:T142"/>
    <mergeCell ref="U142:V142"/>
    <mergeCell ref="W142:X142"/>
    <mergeCell ref="Y142:Z142"/>
    <mergeCell ref="AA142:AB142"/>
    <mergeCell ref="AC142:AD142"/>
    <mergeCell ref="AE142:AF142"/>
    <mergeCell ref="AG142:AH142"/>
    <mergeCell ref="AI142:AJ142"/>
    <mergeCell ref="AK142:AL142"/>
    <mergeCell ref="AM142:AN142"/>
    <mergeCell ref="AO142:AP142"/>
    <mergeCell ref="AQ142:AR142"/>
    <mergeCell ref="AS142:AT142"/>
    <mergeCell ref="AU142:AV142"/>
    <mergeCell ref="AW142:AX142"/>
    <mergeCell ref="AO144:AP144"/>
    <mergeCell ref="AQ144:AR144"/>
    <mergeCell ref="AS144:AT144"/>
    <mergeCell ref="AU144:AV144"/>
    <mergeCell ref="AW144:AX144"/>
    <mergeCell ref="AY144:AZ144"/>
    <mergeCell ref="BA144:BB144"/>
    <mergeCell ref="BC144:BD144"/>
    <mergeCell ref="F143:P143"/>
    <mergeCell ref="Q143:R143"/>
    <mergeCell ref="S143:T143"/>
    <mergeCell ref="U143:V143"/>
    <mergeCell ref="W143:X143"/>
    <mergeCell ref="Y143:Z143"/>
    <mergeCell ref="AA143:AB143"/>
    <mergeCell ref="AC143:AD143"/>
    <mergeCell ref="AE143:AF143"/>
    <mergeCell ref="AG143:AH143"/>
    <mergeCell ref="AI143:AJ143"/>
    <mergeCell ref="AK143:AL143"/>
    <mergeCell ref="AM143:AN143"/>
    <mergeCell ref="AO143:AP143"/>
    <mergeCell ref="AQ143:AR143"/>
    <mergeCell ref="AS143:AT143"/>
    <mergeCell ref="AU143:AV143"/>
    <mergeCell ref="AE144:AF144"/>
    <mergeCell ref="AG144:AH144"/>
    <mergeCell ref="AI144:AJ144"/>
    <mergeCell ref="AK144:AL144"/>
    <mergeCell ref="AM144:AN144"/>
    <mergeCell ref="BC143:BD143"/>
    <mergeCell ref="F144:P144"/>
    <mergeCell ref="AO168:AR168"/>
    <mergeCell ref="AS168:AV168"/>
    <mergeCell ref="AW168:AZ168"/>
    <mergeCell ref="BA168:BD168"/>
    <mergeCell ref="M169:P169"/>
    <mergeCell ref="Q169:R169"/>
    <mergeCell ref="S169:T169"/>
    <mergeCell ref="U169:V169"/>
    <mergeCell ref="W169:X169"/>
    <mergeCell ref="Y169:Z169"/>
    <mergeCell ref="AA169:AB169"/>
    <mergeCell ref="AC169:AD169"/>
    <mergeCell ref="AE169:AF169"/>
    <mergeCell ref="AG169:AH169"/>
    <mergeCell ref="AI169:AJ169"/>
    <mergeCell ref="AK169:AL169"/>
    <mergeCell ref="AM169:AN169"/>
    <mergeCell ref="AO169:AP169"/>
    <mergeCell ref="AQ169:AR169"/>
    <mergeCell ref="AS169:AT169"/>
    <mergeCell ref="AU169:AV169"/>
    <mergeCell ref="AW169:AX169"/>
    <mergeCell ref="AY169:AZ169"/>
    <mergeCell ref="BA169:BB169"/>
    <mergeCell ref="AG168:AJ168"/>
    <mergeCell ref="AS170:AT170"/>
    <mergeCell ref="M171:P171"/>
    <mergeCell ref="Q171:R171"/>
    <mergeCell ref="S171:T171"/>
    <mergeCell ref="U171:V171"/>
    <mergeCell ref="W171:X171"/>
    <mergeCell ref="Y171:Z171"/>
    <mergeCell ref="AA171:AB171"/>
    <mergeCell ref="AC171:AD171"/>
    <mergeCell ref="AE171:AF171"/>
    <mergeCell ref="AG171:AH171"/>
    <mergeCell ref="AI171:AJ171"/>
    <mergeCell ref="AO171:AP171"/>
    <mergeCell ref="AQ171:AR171"/>
    <mergeCell ref="AC174:AD174"/>
    <mergeCell ref="AE174:AF174"/>
    <mergeCell ref="AG174:AH174"/>
    <mergeCell ref="AI174:AJ174"/>
    <mergeCell ref="AK174:AL174"/>
    <mergeCell ref="AM174:AN174"/>
    <mergeCell ref="AO174:AP174"/>
    <mergeCell ref="AQ174:AR174"/>
    <mergeCell ref="AS174:AT174"/>
    <mergeCell ref="AG170:AH170"/>
    <mergeCell ref="AI170:AJ170"/>
    <mergeCell ref="AK170:AL170"/>
    <mergeCell ref="AM170:AN170"/>
    <mergeCell ref="AU171:AV171"/>
    <mergeCell ref="AW171:AX171"/>
    <mergeCell ref="AY171:AZ171"/>
    <mergeCell ref="BA171:BB171"/>
    <mergeCell ref="BC171:BD171"/>
    <mergeCell ref="M172:P172"/>
    <mergeCell ref="Q172:R172"/>
    <mergeCell ref="S172:T172"/>
    <mergeCell ref="U172:V172"/>
    <mergeCell ref="W172:X172"/>
    <mergeCell ref="Y172:Z172"/>
    <mergeCell ref="AA172:AB172"/>
    <mergeCell ref="AC172:AD172"/>
    <mergeCell ref="AE172:AF172"/>
    <mergeCell ref="AG172:AH172"/>
    <mergeCell ref="AI172:AJ172"/>
    <mergeCell ref="AK172:AL172"/>
    <mergeCell ref="AM172:AN172"/>
    <mergeCell ref="AO172:AP172"/>
    <mergeCell ref="AQ172:AR172"/>
    <mergeCell ref="AS172:AT172"/>
    <mergeCell ref="AU172:AV172"/>
    <mergeCell ref="AW172:AX172"/>
    <mergeCell ref="AY172:AZ172"/>
    <mergeCell ref="BA172:BB172"/>
    <mergeCell ref="BC172:BD172"/>
    <mergeCell ref="AU174:AV174"/>
    <mergeCell ref="AW174:AX174"/>
    <mergeCell ref="AY174:AZ174"/>
    <mergeCell ref="BA174:BB174"/>
    <mergeCell ref="BC174:BD174"/>
    <mergeCell ref="M173:P173"/>
    <mergeCell ref="Q173:R173"/>
    <mergeCell ref="S173:T173"/>
    <mergeCell ref="U173:V173"/>
    <mergeCell ref="W173:X173"/>
    <mergeCell ref="Y173:Z173"/>
    <mergeCell ref="AA173:AB173"/>
    <mergeCell ref="AO173:AP173"/>
    <mergeCell ref="AQ173:AR173"/>
    <mergeCell ref="AS173:AT173"/>
    <mergeCell ref="AU173:AV173"/>
    <mergeCell ref="AW173:AX173"/>
    <mergeCell ref="AY173:AZ173"/>
    <mergeCell ref="BA173:BB173"/>
    <mergeCell ref="BC173:BD173"/>
    <mergeCell ref="S174:T174"/>
    <mergeCell ref="U174:V174"/>
    <mergeCell ref="W174:X174"/>
    <mergeCell ref="Y174:Z174"/>
    <mergeCell ref="AA174:AB174"/>
    <mergeCell ref="AK175:AL175"/>
    <mergeCell ref="AM175:AN175"/>
    <mergeCell ref="AO175:AP175"/>
    <mergeCell ref="AQ175:AR175"/>
    <mergeCell ref="AS175:AT175"/>
    <mergeCell ref="AU175:AV175"/>
    <mergeCell ref="M176:P176"/>
    <mergeCell ref="Q176:R176"/>
    <mergeCell ref="S176:T176"/>
    <mergeCell ref="U176:V176"/>
    <mergeCell ref="W176:X176"/>
    <mergeCell ref="Y176:Z176"/>
    <mergeCell ref="AA176:AB176"/>
    <mergeCell ref="AC176:AD176"/>
    <mergeCell ref="AE176:AF176"/>
    <mergeCell ref="AG176:AH176"/>
    <mergeCell ref="AI176:AJ176"/>
    <mergeCell ref="AK176:AL176"/>
    <mergeCell ref="AM176:AN176"/>
    <mergeCell ref="AO176:AP176"/>
    <mergeCell ref="AQ176:AR176"/>
    <mergeCell ref="AS176:AT176"/>
    <mergeCell ref="AU176:AV176"/>
    <mergeCell ref="AY178:AZ178"/>
    <mergeCell ref="BA178:BB178"/>
    <mergeCell ref="BC178:BD178"/>
    <mergeCell ref="M177:P177"/>
    <mergeCell ref="Q177:R177"/>
    <mergeCell ref="S177:T177"/>
    <mergeCell ref="U177:V177"/>
    <mergeCell ref="W177:X177"/>
    <mergeCell ref="Y177:Z177"/>
    <mergeCell ref="AA177:AB177"/>
    <mergeCell ref="AC177:AD177"/>
    <mergeCell ref="AE177:AF177"/>
    <mergeCell ref="AG177:AH177"/>
    <mergeCell ref="AI177:AJ177"/>
    <mergeCell ref="AK177:AL177"/>
    <mergeCell ref="AM177:AN177"/>
    <mergeCell ref="AO177:AP177"/>
    <mergeCell ref="AQ177:AR177"/>
    <mergeCell ref="AS177:AT177"/>
    <mergeCell ref="AU177:AV177"/>
    <mergeCell ref="AC179:AD179"/>
    <mergeCell ref="AE179:AF179"/>
    <mergeCell ref="AG179:AH179"/>
    <mergeCell ref="AI179:AJ179"/>
    <mergeCell ref="AK179:AL179"/>
    <mergeCell ref="AM179:AN179"/>
    <mergeCell ref="AO179:AP179"/>
    <mergeCell ref="AQ179:AR179"/>
    <mergeCell ref="AS179:AT179"/>
    <mergeCell ref="AU179:AV179"/>
    <mergeCell ref="AW177:AX177"/>
    <mergeCell ref="AY177:AZ177"/>
    <mergeCell ref="BA177:BB177"/>
    <mergeCell ref="BC177:BD177"/>
    <mergeCell ref="M178:P178"/>
    <mergeCell ref="Q178:R178"/>
    <mergeCell ref="S178:T178"/>
    <mergeCell ref="U178:V178"/>
    <mergeCell ref="W178:X178"/>
    <mergeCell ref="Y178:Z178"/>
    <mergeCell ref="AA178:AB178"/>
    <mergeCell ref="AC178:AD178"/>
    <mergeCell ref="AE178:AF178"/>
    <mergeCell ref="AG178:AH178"/>
    <mergeCell ref="AI178:AJ178"/>
    <mergeCell ref="AK178:AL178"/>
    <mergeCell ref="AM178:AN178"/>
    <mergeCell ref="AO178:AP178"/>
    <mergeCell ref="AQ178:AR178"/>
    <mergeCell ref="AS178:AT178"/>
    <mergeCell ref="AU178:AV178"/>
    <mergeCell ref="AW178:AX178"/>
    <mergeCell ref="AW179:AX179"/>
    <mergeCell ref="AY179:AZ179"/>
    <mergeCell ref="BA179:BB179"/>
    <mergeCell ref="BC179:BD179"/>
    <mergeCell ref="M180:P180"/>
    <mergeCell ref="Q180:R180"/>
    <mergeCell ref="S180:T180"/>
    <mergeCell ref="U180:V180"/>
    <mergeCell ref="W180:X180"/>
    <mergeCell ref="Y180:Z180"/>
    <mergeCell ref="AA180:AB180"/>
    <mergeCell ref="AC180:AD180"/>
    <mergeCell ref="AE180:AF180"/>
    <mergeCell ref="AG180:AH180"/>
    <mergeCell ref="AI180:AJ180"/>
    <mergeCell ref="AK180:AL180"/>
    <mergeCell ref="AM180:AN180"/>
    <mergeCell ref="AO180:AP180"/>
    <mergeCell ref="AQ180:AR180"/>
    <mergeCell ref="AS180:AT180"/>
    <mergeCell ref="AU180:AV180"/>
    <mergeCell ref="AW180:AX180"/>
    <mergeCell ref="AY180:AZ180"/>
    <mergeCell ref="BA180:BB180"/>
    <mergeCell ref="BC180:BD180"/>
    <mergeCell ref="M179:P179"/>
    <mergeCell ref="Q179:R179"/>
    <mergeCell ref="S179:T179"/>
    <mergeCell ref="U179:V179"/>
    <mergeCell ref="W179:X179"/>
    <mergeCell ref="Y179:Z179"/>
    <mergeCell ref="AA179:AB179"/>
    <mergeCell ref="M181:P181"/>
    <mergeCell ref="Q181:R181"/>
    <mergeCell ref="S181:T181"/>
    <mergeCell ref="U181:V181"/>
    <mergeCell ref="W181:X181"/>
    <mergeCell ref="Y181:Z181"/>
    <mergeCell ref="AA181:AB181"/>
    <mergeCell ref="AC181:AD181"/>
    <mergeCell ref="AE181:AF181"/>
    <mergeCell ref="AG181:AH181"/>
    <mergeCell ref="AI181:AJ181"/>
    <mergeCell ref="AK181:AL181"/>
    <mergeCell ref="AM181:AN181"/>
    <mergeCell ref="AO181:AP181"/>
    <mergeCell ref="AQ181:AR181"/>
    <mergeCell ref="AS181:AT181"/>
    <mergeCell ref="AU181:AV181"/>
    <mergeCell ref="O189:R189"/>
    <mergeCell ref="O191:R191"/>
    <mergeCell ref="F202:L204"/>
    <mergeCell ref="F183:P183"/>
    <mergeCell ref="Q183:R183"/>
    <mergeCell ref="S183:T183"/>
    <mergeCell ref="U183:V183"/>
    <mergeCell ref="W183:X183"/>
    <mergeCell ref="Y183:Z183"/>
    <mergeCell ref="AA183:AB183"/>
    <mergeCell ref="AC183:AD183"/>
    <mergeCell ref="AE183:AF183"/>
    <mergeCell ref="AG183:AH183"/>
    <mergeCell ref="AI183:AJ183"/>
    <mergeCell ref="AK183:AL183"/>
    <mergeCell ref="AM183:AN183"/>
    <mergeCell ref="AO183:AP183"/>
    <mergeCell ref="AH203:AM203"/>
    <mergeCell ref="AH204:AM204"/>
    <mergeCell ref="V201:Y201"/>
    <mergeCell ref="V202:Y202"/>
    <mergeCell ref="V203:Y203"/>
    <mergeCell ref="V204:Y204"/>
    <mergeCell ref="Z201:AG201"/>
    <mergeCell ref="Z202:AG202"/>
    <mergeCell ref="Z203:AG203"/>
    <mergeCell ref="Z204:AG204"/>
    <mergeCell ref="F188:L192"/>
    <mergeCell ref="M188:M192"/>
    <mergeCell ref="Z191:AH191"/>
    <mergeCell ref="AI191:AM191"/>
    <mergeCell ref="AI192:AM192"/>
    <mergeCell ref="AW183:AX183"/>
    <mergeCell ref="AY183:AZ183"/>
    <mergeCell ref="BA183:BB183"/>
    <mergeCell ref="BC183:BD183"/>
    <mergeCell ref="AQ183:AR183"/>
    <mergeCell ref="AS183:AT183"/>
    <mergeCell ref="AU183:AV183"/>
    <mergeCell ref="AW181:AX181"/>
    <mergeCell ref="AY181:AZ181"/>
    <mergeCell ref="BA181:BB181"/>
    <mergeCell ref="BC181:BD181"/>
    <mergeCell ref="F182:P182"/>
    <mergeCell ref="Q182:R182"/>
    <mergeCell ref="S182:T182"/>
    <mergeCell ref="U182:V182"/>
    <mergeCell ref="W182:X182"/>
    <mergeCell ref="Y182:Z182"/>
    <mergeCell ref="AA182:AB182"/>
    <mergeCell ref="AC182:AD182"/>
    <mergeCell ref="AE182:AF182"/>
    <mergeCell ref="AG182:AH182"/>
    <mergeCell ref="AI182:AJ182"/>
    <mergeCell ref="AK182:AL182"/>
    <mergeCell ref="AM182:AN182"/>
    <mergeCell ref="AO182:AP182"/>
    <mergeCell ref="AQ182:AR182"/>
    <mergeCell ref="AS182:AT182"/>
    <mergeCell ref="AU182:AV182"/>
    <mergeCell ref="AW182:AX182"/>
    <mergeCell ref="AY182:AZ182"/>
    <mergeCell ref="BA182:BB182"/>
    <mergeCell ref="BC182:BD182"/>
    <mergeCell ref="DI91:DJ91"/>
    <mergeCell ref="DK91:DL91"/>
    <mergeCell ref="DM91:DN91"/>
    <mergeCell ref="DA90:DB90"/>
    <mergeCell ref="DC90:DD90"/>
    <mergeCell ref="AC42:AF42"/>
    <mergeCell ref="AC43:AF43"/>
    <mergeCell ref="AC44:AF44"/>
    <mergeCell ref="AC45:AF45"/>
    <mergeCell ref="AC46:AF46"/>
    <mergeCell ref="L57:M57"/>
    <mergeCell ref="L58:M58"/>
    <mergeCell ref="L59:M59"/>
    <mergeCell ref="L60:M60"/>
    <mergeCell ref="L61:M61"/>
    <mergeCell ref="L62:M62"/>
    <mergeCell ref="L63:M63"/>
    <mergeCell ref="L64:M64"/>
    <mergeCell ref="L65:M65"/>
    <mergeCell ref="L66:M66"/>
    <mergeCell ref="CO90:CP90"/>
    <mergeCell ref="CQ90:CR90"/>
    <mergeCell ref="CS90:CT90"/>
    <mergeCell ref="CU90:CV90"/>
    <mergeCell ref="CW90:CX90"/>
    <mergeCell ref="CY90:CZ90"/>
    <mergeCell ref="CC90:CD90"/>
    <mergeCell ref="CE90:CF90"/>
    <mergeCell ref="CG90:CH90"/>
    <mergeCell ref="CI90:CJ90"/>
    <mergeCell ref="CK90:CL90"/>
    <mergeCell ref="CM90:CN90"/>
    <mergeCell ref="Q144:R144"/>
    <mergeCell ref="S144:T144"/>
    <mergeCell ref="U144:V144"/>
    <mergeCell ref="W144:X144"/>
    <mergeCell ref="Y144:Z144"/>
    <mergeCell ref="AA144:AB144"/>
    <mergeCell ref="AC144:AD144"/>
    <mergeCell ref="CS92:CT92"/>
    <mergeCell ref="CU92:CV92"/>
    <mergeCell ref="CW92:CX92"/>
    <mergeCell ref="CY92:CZ92"/>
    <mergeCell ref="DA92:DB92"/>
    <mergeCell ref="DC92:DD92"/>
    <mergeCell ref="DE92:DF92"/>
    <mergeCell ref="DG92:DH92"/>
    <mergeCell ref="CA91:CB91"/>
    <mergeCell ref="CC91:CD91"/>
    <mergeCell ref="CE91:CF91"/>
    <mergeCell ref="CG91:CH91"/>
    <mergeCell ref="CI91:CJ91"/>
    <mergeCell ref="CK91:CL91"/>
    <mergeCell ref="CM91:CN91"/>
    <mergeCell ref="CO91:CP91"/>
    <mergeCell ref="CQ91:CR91"/>
    <mergeCell ref="CS91:CT91"/>
    <mergeCell ref="CU91:CV91"/>
    <mergeCell ref="CW91:CX91"/>
    <mergeCell ref="CY91:CZ91"/>
    <mergeCell ref="DA91:DB91"/>
    <mergeCell ref="DC91:DD91"/>
    <mergeCell ref="DE91:DF91"/>
    <mergeCell ref="DG91:DH91"/>
    <mergeCell ref="DI92:DJ92"/>
    <mergeCell ref="DK92:DL92"/>
    <mergeCell ref="DM92:DN92"/>
    <mergeCell ref="CA93:CB93"/>
    <mergeCell ref="CC93:CD93"/>
    <mergeCell ref="CE93:CF93"/>
    <mergeCell ref="CG93:CH93"/>
    <mergeCell ref="CI93:CJ93"/>
    <mergeCell ref="CK93:CL93"/>
    <mergeCell ref="CM93:CN93"/>
    <mergeCell ref="CO93:CP93"/>
    <mergeCell ref="CQ93:CR93"/>
    <mergeCell ref="CS93:CT93"/>
    <mergeCell ref="CU93:CV93"/>
    <mergeCell ref="CW93:CX93"/>
    <mergeCell ref="CY93:CZ93"/>
    <mergeCell ref="DA93:DB93"/>
    <mergeCell ref="DC93:DD93"/>
    <mergeCell ref="DE93:DF93"/>
    <mergeCell ref="DG93:DH93"/>
    <mergeCell ref="DI93:DJ93"/>
    <mergeCell ref="DK93:DL93"/>
    <mergeCell ref="DM93:DN93"/>
    <mergeCell ref="CA92:CB92"/>
    <mergeCell ref="CC92:CD92"/>
    <mergeCell ref="CE92:CF92"/>
    <mergeCell ref="CG92:CH92"/>
    <mergeCell ref="CI92:CJ92"/>
    <mergeCell ref="CK92:CL92"/>
    <mergeCell ref="CM92:CN92"/>
    <mergeCell ref="CO92:CP92"/>
    <mergeCell ref="CQ92:CR92"/>
    <mergeCell ref="DK94:DL94"/>
    <mergeCell ref="DM94:DN94"/>
    <mergeCell ref="CA95:CB95"/>
    <mergeCell ref="CC95:CD95"/>
    <mergeCell ref="CE95:CF95"/>
    <mergeCell ref="CG95:CH95"/>
    <mergeCell ref="CI95:CJ95"/>
    <mergeCell ref="CK95:CL95"/>
    <mergeCell ref="CM95:CN95"/>
    <mergeCell ref="CO95:CP95"/>
    <mergeCell ref="CQ95:CR95"/>
    <mergeCell ref="CS95:CT95"/>
    <mergeCell ref="CU95:CV95"/>
    <mergeCell ref="CW95:CX95"/>
    <mergeCell ref="CY95:CZ95"/>
    <mergeCell ref="DA95:DB95"/>
    <mergeCell ref="DC95:DD95"/>
    <mergeCell ref="DE95:DF95"/>
    <mergeCell ref="DG95:DH95"/>
    <mergeCell ref="DI95:DJ95"/>
    <mergeCell ref="DK95:DL95"/>
    <mergeCell ref="DM95:DN95"/>
    <mergeCell ref="CA94:CB94"/>
    <mergeCell ref="CC94:CD94"/>
    <mergeCell ref="CE94:CF94"/>
    <mergeCell ref="CG94:CH94"/>
    <mergeCell ref="CI94:CJ94"/>
    <mergeCell ref="CK94:CL94"/>
    <mergeCell ref="CM94:CN94"/>
    <mergeCell ref="CO94:CP94"/>
    <mergeCell ref="CQ94:CR94"/>
    <mergeCell ref="CS94:CT94"/>
    <mergeCell ref="CC96:CD96"/>
    <mergeCell ref="CE96:CF96"/>
    <mergeCell ref="CG96:CH96"/>
    <mergeCell ref="CI96:CJ96"/>
    <mergeCell ref="CK96:CL96"/>
    <mergeCell ref="CM96:CN96"/>
    <mergeCell ref="CO96:CP96"/>
    <mergeCell ref="CQ96:CR96"/>
    <mergeCell ref="CS96:CT96"/>
    <mergeCell ref="CU96:CV96"/>
    <mergeCell ref="CW96:CX96"/>
    <mergeCell ref="CY96:CZ96"/>
    <mergeCell ref="DA96:DB96"/>
    <mergeCell ref="DC96:DD96"/>
    <mergeCell ref="DE96:DF96"/>
    <mergeCell ref="DG96:DH96"/>
    <mergeCell ref="DI94:DJ94"/>
    <mergeCell ref="CU94:CV94"/>
    <mergeCell ref="CW94:CX94"/>
    <mergeCell ref="CY94:CZ94"/>
    <mergeCell ref="DA94:DB94"/>
    <mergeCell ref="DC94:DD94"/>
    <mergeCell ref="DE94:DF94"/>
    <mergeCell ref="DG94:DH94"/>
    <mergeCell ref="CS98:CT98"/>
    <mergeCell ref="CU98:CV98"/>
    <mergeCell ref="CW98:CX98"/>
    <mergeCell ref="CY98:CZ98"/>
    <mergeCell ref="DA98:DB98"/>
    <mergeCell ref="DC98:DD98"/>
    <mergeCell ref="DE98:DF98"/>
    <mergeCell ref="DG98:DH98"/>
    <mergeCell ref="DI96:DJ96"/>
    <mergeCell ref="DK96:DL96"/>
    <mergeCell ref="DM96:DN96"/>
    <mergeCell ref="CA97:CB97"/>
    <mergeCell ref="CC97:CD97"/>
    <mergeCell ref="CE97:CF97"/>
    <mergeCell ref="CG97:CH97"/>
    <mergeCell ref="CI97:CJ97"/>
    <mergeCell ref="CK97:CL97"/>
    <mergeCell ref="CM97:CN97"/>
    <mergeCell ref="CO97:CP97"/>
    <mergeCell ref="CQ97:CR97"/>
    <mergeCell ref="CS97:CT97"/>
    <mergeCell ref="CU97:CV97"/>
    <mergeCell ref="CW97:CX97"/>
    <mergeCell ref="CY97:CZ97"/>
    <mergeCell ref="DA97:DB97"/>
    <mergeCell ref="DC97:DD97"/>
    <mergeCell ref="DE97:DF97"/>
    <mergeCell ref="DG97:DH97"/>
    <mergeCell ref="DI97:DJ97"/>
    <mergeCell ref="DK97:DL97"/>
    <mergeCell ref="DM97:DN97"/>
    <mergeCell ref="CA96:CB96"/>
    <mergeCell ref="DI98:DJ98"/>
    <mergeCell ref="DK98:DL98"/>
    <mergeCell ref="DM98:DN98"/>
    <mergeCell ref="CA99:CB99"/>
    <mergeCell ref="CC99:CD99"/>
    <mergeCell ref="CE99:CF99"/>
    <mergeCell ref="CG99:CH99"/>
    <mergeCell ref="CI99:CJ99"/>
    <mergeCell ref="CK99:CL99"/>
    <mergeCell ref="CM99:CN99"/>
    <mergeCell ref="CO99:CP99"/>
    <mergeCell ref="CQ99:CR99"/>
    <mergeCell ref="CS99:CT99"/>
    <mergeCell ref="CU99:CV99"/>
    <mergeCell ref="CW99:CX99"/>
    <mergeCell ref="CY99:CZ99"/>
    <mergeCell ref="DA99:DB99"/>
    <mergeCell ref="DC99:DD99"/>
    <mergeCell ref="DE99:DF99"/>
    <mergeCell ref="DG99:DH99"/>
    <mergeCell ref="DI99:DJ99"/>
    <mergeCell ref="DK99:DL99"/>
    <mergeCell ref="DM99:DN99"/>
    <mergeCell ref="CA98:CB98"/>
    <mergeCell ref="CC98:CD98"/>
    <mergeCell ref="CE98:CF98"/>
    <mergeCell ref="CG98:CH98"/>
    <mergeCell ref="CI98:CJ98"/>
    <mergeCell ref="CK98:CL98"/>
    <mergeCell ref="CM98:CN98"/>
    <mergeCell ref="CO98:CP98"/>
    <mergeCell ref="CQ98:CR98"/>
    <mergeCell ref="CA100:CB100"/>
    <mergeCell ref="CC100:CD100"/>
    <mergeCell ref="CE100:CF100"/>
    <mergeCell ref="CG100:CH100"/>
    <mergeCell ref="CI100:CJ100"/>
    <mergeCell ref="CK100:CL100"/>
    <mergeCell ref="CM100:CN100"/>
    <mergeCell ref="CO100:CP100"/>
    <mergeCell ref="CQ100:CR100"/>
    <mergeCell ref="CS100:CT100"/>
    <mergeCell ref="CU100:CV100"/>
    <mergeCell ref="CW100:CX100"/>
    <mergeCell ref="CY100:CZ100"/>
    <mergeCell ref="DA100:DB100"/>
    <mergeCell ref="DC100:DD100"/>
    <mergeCell ref="DE100:DF100"/>
    <mergeCell ref="DG100:DH100"/>
    <mergeCell ref="CA101:CB101"/>
    <mergeCell ref="CC101:CD101"/>
    <mergeCell ref="CE101:CF101"/>
    <mergeCell ref="CG101:CH101"/>
    <mergeCell ref="CI101:CJ101"/>
    <mergeCell ref="CK101:CL101"/>
    <mergeCell ref="CM101:CN101"/>
    <mergeCell ref="CO101:CP101"/>
    <mergeCell ref="CQ101:CR101"/>
    <mergeCell ref="CS101:CT101"/>
    <mergeCell ref="CU101:CV101"/>
    <mergeCell ref="CW101:CX101"/>
    <mergeCell ref="CY101:CZ101"/>
    <mergeCell ref="DA101:DB101"/>
    <mergeCell ref="DC101:DD101"/>
    <mergeCell ref="DE101:DF101"/>
    <mergeCell ref="DG101:DH101"/>
    <mergeCell ref="CG102:CH102"/>
    <mergeCell ref="CI102:CJ102"/>
    <mergeCell ref="CK102:CL102"/>
    <mergeCell ref="CM102:CN102"/>
    <mergeCell ref="CO102:CP102"/>
    <mergeCell ref="CQ102:CR102"/>
    <mergeCell ref="CS102:CT102"/>
    <mergeCell ref="CU102:CV102"/>
    <mergeCell ref="CW102:CX102"/>
    <mergeCell ref="CY102:CZ102"/>
    <mergeCell ref="DA102:DB102"/>
    <mergeCell ref="DC102:DD102"/>
    <mergeCell ref="DE102:DF102"/>
    <mergeCell ref="DG102:DH102"/>
    <mergeCell ref="DI100:DJ100"/>
    <mergeCell ref="DK100:DL100"/>
    <mergeCell ref="DM100:DN100"/>
    <mergeCell ref="DI101:DJ101"/>
    <mergeCell ref="DK101:DL101"/>
    <mergeCell ref="DM101:DN101"/>
    <mergeCell ref="DI102:DJ102"/>
    <mergeCell ref="DK102:DL102"/>
    <mergeCell ref="DM102:DN102"/>
    <mergeCell ref="CA103:CB103"/>
    <mergeCell ref="CC103:CD103"/>
    <mergeCell ref="CE103:CF103"/>
    <mergeCell ref="CG103:CH103"/>
    <mergeCell ref="CI103:CJ103"/>
    <mergeCell ref="CK103:CL103"/>
    <mergeCell ref="CM103:CN103"/>
    <mergeCell ref="CO103:CP103"/>
    <mergeCell ref="CQ103:CR103"/>
    <mergeCell ref="CS103:CT103"/>
    <mergeCell ref="CU103:CV103"/>
    <mergeCell ref="CW103:CX103"/>
    <mergeCell ref="CY103:CZ103"/>
    <mergeCell ref="DA103:DB103"/>
    <mergeCell ref="DC103:DD103"/>
    <mergeCell ref="DE103:DF103"/>
    <mergeCell ref="DG103:DH103"/>
    <mergeCell ref="DI103:DJ103"/>
    <mergeCell ref="DK103:DL103"/>
    <mergeCell ref="DM103:DN103"/>
    <mergeCell ref="CA102:CB102"/>
    <mergeCell ref="CC102:CD102"/>
    <mergeCell ref="CE102:CF102"/>
    <mergeCell ref="DE90:DF90"/>
    <mergeCell ref="DG90:DH90"/>
    <mergeCell ref="DI90:DJ90"/>
    <mergeCell ref="DK90:DL90"/>
    <mergeCell ref="DM90:DN90"/>
    <mergeCell ref="CA89:CB89"/>
    <mergeCell ref="CC89:CD89"/>
    <mergeCell ref="CE89:CF89"/>
    <mergeCell ref="CG89:CH89"/>
    <mergeCell ref="CI89:CJ89"/>
    <mergeCell ref="CK89:CL89"/>
    <mergeCell ref="CM89:CN89"/>
    <mergeCell ref="CO89:CP89"/>
    <mergeCell ref="CQ89:CR89"/>
    <mergeCell ref="CS89:CT89"/>
    <mergeCell ref="CU89:CV89"/>
    <mergeCell ref="CW89:CX89"/>
    <mergeCell ref="CY89:CZ89"/>
    <mergeCell ref="DA89:DB89"/>
    <mergeCell ref="DC89:DD89"/>
    <mergeCell ref="DE89:DF89"/>
    <mergeCell ref="DG89:DH89"/>
    <mergeCell ref="DI89:DJ89"/>
    <mergeCell ref="DK89:DL89"/>
    <mergeCell ref="DM89:DN89"/>
    <mergeCell ref="CA90:CB90"/>
    <mergeCell ref="DI128:DJ128"/>
    <mergeCell ref="DK128:DL128"/>
    <mergeCell ref="DM128:DN128"/>
    <mergeCell ref="CA129:CB129"/>
    <mergeCell ref="CC129:CD129"/>
    <mergeCell ref="CE129:CF129"/>
    <mergeCell ref="CG129:CH129"/>
    <mergeCell ref="CI129:CJ129"/>
    <mergeCell ref="CK129:CL129"/>
    <mergeCell ref="CM129:CN129"/>
    <mergeCell ref="CO129:CP129"/>
    <mergeCell ref="CQ129:CR129"/>
    <mergeCell ref="CS129:CT129"/>
    <mergeCell ref="CU129:CV129"/>
    <mergeCell ref="CW129:CX129"/>
    <mergeCell ref="CY129:CZ129"/>
    <mergeCell ref="DA129:DB129"/>
    <mergeCell ref="DC129:DD129"/>
    <mergeCell ref="DE129:DF129"/>
    <mergeCell ref="DG129:DH129"/>
    <mergeCell ref="DI129:DJ129"/>
    <mergeCell ref="DK129:DL129"/>
    <mergeCell ref="DM129:DN129"/>
    <mergeCell ref="CA128:CB128"/>
    <mergeCell ref="CC128:CD128"/>
    <mergeCell ref="CE128:CF128"/>
    <mergeCell ref="CG128:CH128"/>
    <mergeCell ref="CI128:CJ128"/>
    <mergeCell ref="CK128:CL128"/>
    <mergeCell ref="CM128:CN128"/>
    <mergeCell ref="CO128:CP128"/>
    <mergeCell ref="CQ128:CR128"/>
    <mergeCell ref="CC130:CD130"/>
    <mergeCell ref="CE130:CF130"/>
    <mergeCell ref="CG130:CH130"/>
    <mergeCell ref="CI130:CJ130"/>
    <mergeCell ref="CK130:CL130"/>
    <mergeCell ref="CM130:CN130"/>
    <mergeCell ref="CO130:CP130"/>
    <mergeCell ref="CQ130:CR130"/>
    <mergeCell ref="CS130:CT130"/>
    <mergeCell ref="CU130:CV130"/>
    <mergeCell ref="CW130:CX130"/>
    <mergeCell ref="CY130:CZ130"/>
    <mergeCell ref="DA130:DB130"/>
    <mergeCell ref="DC130:DD130"/>
    <mergeCell ref="DE130:DF130"/>
    <mergeCell ref="DG130:DH130"/>
    <mergeCell ref="DG128:DH128"/>
    <mergeCell ref="CS128:CT128"/>
    <mergeCell ref="CU128:CV128"/>
    <mergeCell ref="CW128:CX128"/>
    <mergeCell ref="CY128:CZ128"/>
    <mergeCell ref="DA128:DB128"/>
    <mergeCell ref="DC128:DD128"/>
    <mergeCell ref="DE128:DF128"/>
    <mergeCell ref="CS132:CT132"/>
    <mergeCell ref="CU132:CV132"/>
    <mergeCell ref="CW132:CX132"/>
    <mergeCell ref="CY132:CZ132"/>
    <mergeCell ref="DA132:DB132"/>
    <mergeCell ref="DC132:DD132"/>
    <mergeCell ref="DE132:DF132"/>
    <mergeCell ref="DG132:DH132"/>
    <mergeCell ref="DI130:DJ130"/>
    <mergeCell ref="DK130:DL130"/>
    <mergeCell ref="DM130:DN130"/>
    <mergeCell ref="CA131:CB131"/>
    <mergeCell ref="CC131:CD131"/>
    <mergeCell ref="CE131:CF131"/>
    <mergeCell ref="CG131:CH131"/>
    <mergeCell ref="CI131:CJ131"/>
    <mergeCell ref="CK131:CL131"/>
    <mergeCell ref="CM131:CN131"/>
    <mergeCell ref="CO131:CP131"/>
    <mergeCell ref="CQ131:CR131"/>
    <mergeCell ref="CS131:CT131"/>
    <mergeCell ref="CU131:CV131"/>
    <mergeCell ref="CW131:CX131"/>
    <mergeCell ref="CY131:CZ131"/>
    <mergeCell ref="DA131:DB131"/>
    <mergeCell ref="DC131:DD131"/>
    <mergeCell ref="DE131:DF131"/>
    <mergeCell ref="DG131:DH131"/>
    <mergeCell ref="DI131:DJ131"/>
    <mergeCell ref="DK131:DL131"/>
    <mergeCell ref="DM131:DN131"/>
    <mergeCell ref="CA130:CB130"/>
    <mergeCell ref="DI132:DJ132"/>
    <mergeCell ref="DK132:DL132"/>
    <mergeCell ref="DM132:DN132"/>
    <mergeCell ref="CA133:CB133"/>
    <mergeCell ref="CC133:CD133"/>
    <mergeCell ref="CE133:CF133"/>
    <mergeCell ref="CG133:CH133"/>
    <mergeCell ref="CI133:CJ133"/>
    <mergeCell ref="CK133:CL133"/>
    <mergeCell ref="CM133:CN133"/>
    <mergeCell ref="CO133:CP133"/>
    <mergeCell ref="CQ133:CR133"/>
    <mergeCell ref="CS133:CT133"/>
    <mergeCell ref="CU133:CV133"/>
    <mergeCell ref="CW133:CX133"/>
    <mergeCell ref="CY133:CZ133"/>
    <mergeCell ref="DA133:DB133"/>
    <mergeCell ref="DC133:DD133"/>
    <mergeCell ref="DE133:DF133"/>
    <mergeCell ref="DG133:DH133"/>
    <mergeCell ref="DI133:DJ133"/>
    <mergeCell ref="DK133:DL133"/>
    <mergeCell ref="DM133:DN133"/>
    <mergeCell ref="CA132:CB132"/>
    <mergeCell ref="CC132:CD132"/>
    <mergeCell ref="CE132:CF132"/>
    <mergeCell ref="CG132:CH132"/>
    <mergeCell ref="CI132:CJ132"/>
    <mergeCell ref="CK132:CL132"/>
    <mergeCell ref="CM132:CN132"/>
    <mergeCell ref="CO132:CP132"/>
    <mergeCell ref="CQ132:CR132"/>
    <mergeCell ref="DK134:DL134"/>
    <mergeCell ref="DM134:DN134"/>
    <mergeCell ref="CA135:CB135"/>
    <mergeCell ref="CC135:CD135"/>
    <mergeCell ref="CE135:CF135"/>
    <mergeCell ref="CG135:CH135"/>
    <mergeCell ref="CI135:CJ135"/>
    <mergeCell ref="CK135:CL135"/>
    <mergeCell ref="CM135:CN135"/>
    <mergeCell ref="CO135:CP135"/>
    <mergeCell ref="CQ135:CR135"/>
    <mergeCell ref="CS135:CT135"/>
    <mergeCell ref="CU135:CV135"/>
    <mergeCell ref="CW135:CX135"/>
    <mergeCell ref="CY135:CZ135"/>
    <mergeCell ref="DA135:DB135"/>
    <mergeCell ref="DC135:DD135"/>
    <mergeCell ref="DE135:DF135"/>
    <mergeCell ref="DG135:DH135"/>
    <mergeCell ref="DI135:DJ135"/>
    <mergeCell ref="DK135:DL135"/>
    <mergeCell ref="DM135:DN135"/>
    <mergeCell ref="CA134:CB134"/>
    <mergeCell ref="CC134:CD134"/>
    <mergeCell ref="CE134:CF134"/>
    <mergeCell ref="CG134:CH134"/>
    <mergeCell ref="CI134:CJ134"/>
    <mergeCell ref="CK134:CL134"/>
    <mergeCell ref="CM134:CN134"/>
    <mergeCell ref="CO134:CP134"/>
    <mergeCell ref="CQ134:CR134"/>
    <mergeCell ref="CS134:CT134"/>
    <mergeCell ref="CC136:CD136"/>
    <mergeCell ref="CE136:CF136"/>
    <mergeCell ref="CG136:CH136"/>
    <mergeCell ref="CI136:CJ136"/>
    <mergeCell ref="CK136:CL136"/>
    <mergeCell ref="CM136:CN136"/>
    <mergeCell ref="CO136:CP136"/>
    <mergeCell ref="CQ136:CR136"/>
    <mergeCell ref="CS136:CT136"/>
    <mergeCell ref="CU136:CV136"/>
    <mergeCell ref="CW136:CX136"/>
    <mergeCell ref="CY136:CZ136"/>
    <mergeCell ref="DA136:DB136"/>
    <mergeCell ref="DC136:DD136"/>
    <mergeCell ref="DE136:DF136"/>
    <mergeCell ref="DG136:DH136"/>
    <mergeCell ref="DI134:DJ134"/>
    <mergeCell ref="CU134:CV134"/>
    <mergeCell ref="CW134:CX134"/>
    <mergeCell ref="CY134:CZ134"/>
    <mergeCell ref="DA134:DB134"/>
    <mergeCell ref="DC134:DD134"/>
    <mergeCell ref="DE134:DF134"/>
    <mergeCell ref="DG134:DH134"/>
    <mergeCell ref="CS138:CT138"/>
    <mergeCell ref="CU138:CV138"/>
    <mergeCell ref="CW138:CX138"/>
    <mergeCell ref="CY138:CZ138"/>
    <mergeCell ref="DA138:DB138"/>
    <mergeCell ref="DC138:DD138"/>
    <mergeCell ref="DE138:DF138"/>
    <mergeCell ref="DG138:DH138"/>
    <mergeCell ref="DI136:DJ136"/>
    <mergeCell ref="DK136:DL136"/>
    <mergeCell ref="DM136:DN136"/>
    <mergeCell ref="CA137:CB137"/>
    <mergeCell ref="CC137:CD137"/>
    <mergeCell ref="CE137:CF137"/>
    <mergeCell ref="CG137:CH137"/>
    <mergeCell ref="CI137:CJ137"/>
    <mergeCell ref="CK137:CL137"/>
    <mergeCell ref="CM137:CN137"/>
    <mergeCell ref="CO137:CP137"/>
    <mergeCell ref="CQ137:CR137"/>
    <mergeCell ref="CS137:CT137"/>
    <mergeCell ref="CU137:CV137"/>
    <mergeCell ref="CW137:CX137"/>
    <mergeCell ref="CY137:CZ137"/>
    <mergeCell ref="DA137:DB137"/>
    <mergeCell ref="DC137:DD137"/>
    <mergeCell ref="DE137:DF137"/>
    <mergeCell ref="DG137:DH137"/>
    <mergeCell ref="DI137:DJ137"/>
    <mergeCell ref="DK137:DL137"/>
    <mergeCell ref="DM137:DN137"/>
    <mergeCell ref="CA136:CB136"/>
    <mergeCell ref="DI138:DJ138"/>
    <mergeCell ref="DK138:DL138"/>
    <mergeCell ref="DM138:DN138"/>
    <mergeCell ref="CA139:CB139"/>
    <mergeCell ref="CC139:CD139"/>
    <mergeCell ref="CE139:CF139"/>
    <mergeCell ref="CG139:CH139"/>
    <mergeCell ref="CI139:CJ139"/>
    <mergeCell ref="CK139:CL139"/>
    <mergeCell ref="CM139:CN139"/>
    <mergeCell ref="CO139:CP139"/>
    <mergeCell ref="CQ139:CR139"/>
    <mergeCell ref="CS139:CT139"/>
    <mergeCell ref="CU139:CV139"/>
    <mergeCell ref="CW139:CX139"/>
    <mergeCell ref="CY139:CZ139"/>
    <mergeCell ref="DA139:DB139"/>
    <mergeCell ref="DC139:DD139"/>
    <mergeCell ref="DE139:DF139"/>
    <mergeCell ref="DG139:DH139"/>
    <mergeCell ref="DI139:DJ139"/>
    <mergeCell ref="DK139:DL139"/>
    <mergeCell ref="DM139:DN139"/>
    <mergeCell ref="CA138:CB138"/>
    <mergeCell ref="CC138:CD138"/>
    <mergeCell ref="CE138:CF138"/>
    <mergeCell ref="CG138:CH138"/>
    <mergeCell ref="CI138:CJ138"/>
    <mergeCell ref="CK138:CL138"/>
    <mergeCell ref="CM138:CN138"/>
    <mergeCell ref="CO138:CP138"/>
    <mergeCell ref="CQ138:CR138"/>
    <mergeCell ref="DK140:DL140"/>
    <mergeCell ref="DM140:DN140"/>
    <mergeCell ref="CA141:CB141"/>
    <mergeCell ref="CC141:CD141"/>
    <mergeCell ref="CE141:CF141"/>
    <mergeCell ref="CG141:CH141"/>
    <mergeCell ref="CI141:CJ141"/>
    <mergeCell ref="CK141:CL141"/>
    <mergeCell ref="CM141:CN141"/>
    <mergeCell ref="CO141:CP141"/>
    <mergeCell ref="CQ141:CR141"/>
    <mergeCell ref="CS141:CT141"/>
    <mergeCell ref="CU141:CV141"/>
    <mergeCell ref="CW141:CX141"/>
    <mergeCell ref="CY141:CZ141"/>
    <mergeCell ref="DA141:DB141"/>
    <mergeCell ref="DC141:DD141"/>
    <mergeCell ref="DE141:DF141"/>
    <mergeCell ref="DG141:DH141"/>
    <mergeCell ref="DI141:DJ141"/>
    <mergeCell ref="DK141:DL141"/>
    <mergeCell ref="DM141:DN141"/>
    <mergeCell ref="CA140:CB140"/>
    <mergeCell ref="CC140:CD140"/>
    <mergeCell ref="CE140:CF140"/>
    <mergeCell ref="CG140:CH140"/>
    <mergeCell ref="CI140:CJ140"/>
    <mergeCell ref="CK140:CL140"/>
    <mergeCell ref="CM140:CN140"/>
    <mergeCell ref="CO140:CP140"/>
    <mergeCell ref="CQ140:CR140"/>
    <mergeCell ref="CS140:CT140"/>
    <mergeCell ref="CC142:CD142"/>
    <mergeCell ref="CE142:CF142"/>
    <mergeCell ref="CG142:CH142"/>
    <mergeCell ref="CI142:CJ142"/>
    <mergeCell ref="CK142:CL142"/>
    <mergeCell ref="CM142:CN142"/>
    <mergeCell ref="CO142:CP142"/>
    <mergeCell ref="CQ142:CR142"/>
    <mergeCell ref="CS142:CT142"/>
    <mergeCell ref="CU142:CV142"/>
    <mergeCell ref="CW142:CX142"/>
    <mergeCell ref="CY142:CZ142"/>
    <mergeCell ref="DA142:DB142"/>
    <mergeCell ref="DC142:DD142"/>
    <mergeCell ref="DE142:DF142"/>
    <mergeCell ref="DG142:DH142"/>
    <mergeCell ref="DI140:DJ140"/>
    <mergeCell ref="CU140:CV140"/>
    <mergeCell ref="CW140:CX140"/>
    <mergeCell ref="CY140:CZ140"/>
    <mergeCell ref="DA140:DB140"/>
    <mergeCell ref="DC140:DD140"/>
    <mergeCell ref="DE140:DF140"/>
    <mergeCell ref="DG140:DH140"/>
    <mergeCell ref="CS168:CT168"/>
    <mergeCell ref="CU168:CV168"/>
    <mergeCell ref="CW168:CX168"/>
    <mergeCell ref="CY168:CZ168"/>
    <mergeCell ref="DA168:DB168"/>
    <mergeCell ref="DC168:DD168"/>
    <mergeCell ref="DE168:DF168"/>
    <mergeCell ref="DG168:DH168"/>
    <mergeCell ref="DI142:DJ142"/>
    <mergeCell ref="DK142:DL142"/>
    <mergeCell ref="DM142:DN142"/>
    <mergeCell ref="CA167:CB167"/>
    <mergeCell ref="CC167:CD167"/>
    <mergeCell ref="CE167:CF167"/>
    <mergeCell ref="CG167:CH167"/>
    <mergeCell ref="CI167:CJ167"/>
    <mergeCell ref="CK167:CL167"/>
    <mergeCell ref="CM167:CN167"/>
    <mergeCell ref="CO167:CP167"/>
    <mergeCell ref="CQ167:CR167"/>
    <mergeCell ref="CS167:CT167"/>
    <mergeCell ref="CU167:CV167"/>
    <mergeCell ref="CW167:CX167"/>
    <mergeCell ref="CY167:CZ167"/>
    <mergeCell ref="DA167:DB167"/>
    <mergeCell ref="DC167:DD167"/>
    <mergeCell ref="DE167:DF167"/>
    <mergeCell ref="DG167:DH167"/>
    <mergeCell ref="DI167:DJ167"/>
    <mergeCell ref="DK167:DL167"/>
    <mergeCell ref="DM167:DN167"/>
    <mergeCell ref="CA142:CB142"/>
    <mergeCell ref="DI168:DJ168"/>
    <mergeCell ref="DK168:DL168"/>
    <mergeCell ref="DM168:DN168"/>
    <mergeCell ref="CA169:CB169"/>
    <mergeCell ref="CC169:CD169"/>
    <mergeCell ref="CE169:CF169"/>
    <mergeCell ref="CG169:CH169"/>
    <mergeCell ref="CI169:CJ169"/>
    <mergeCell ref="CK169:CL169"/>
    <mergeCell ref="CM169:CN169"/>
    <mergeCell ref="CO169:CP169"/>
    <mergeCell ref="CQ169:CR169"/>
    <mergeCell ref="CS169:CT169"/>
    <mergeCell ref="CU169:CV169"/>
    <mergeCell ref="CW169:CX169"/>
    <mergeCell ref="CY169:CZ169"/>
    <mergeCell ref="DA169:DB169"/>
    <mergeCell ref="DC169:DD169"/>
    <mergeCell ref="DE169:DF169"/>
    <mergeCell ref="DG169:DH169"/>
    <mergeCell ref="DI169:DJ169"/>
    <mergeCell ref="DK169:DL169"/>
    <mergeCell ref="DM169:DN169"/>
    <mergeCell ref="CA168:CB168"/>
    <mergeCell ref="CC168:CD168"/>
    <mergeCell ref="CE168:CF168"/>
    <mergeCell ref="CG168:CH168"/>
    <mergeCell ref="CI168:CJ168"/>
    <mergeCell ref="CK168:CL168"/>
    <mergeCell ref="CM168:CN168"/>
    <mergeCell ref="CO168:CP168"/>
    <mergeCell ref="CQ168:CR168"/>
    <mergeCell ref="DK170:DL170"/>
    <mergeCell ref="DM170:DN170"/>
    <mergeCell ref="CA171:CB171"/>
    <mergeCell ref="CC171:CD171"/>
    <mergeCell ref="CE171:CF171"/>
    <mergeCell ref="CG171:CH171"/>
    <mergeCell ref="CI171:CJ171"/>
    <mergeCell ref="CK171:CL171"/>
    <mergeCell ref="CM171:CN171"/>
    <mergeCell ref="CO171:CP171"/>
    <mergeCell ref="CQ171:CR171"/>
    <mergeCell ref="CS171:CT171"/>
    <mergeCell ref="CU171:CV171"/>
    <mergeCell ref="CW171:CX171"/>
    <mergeCell ref="CY171:CZ171"/>
    <mergeCell ref="DA171:DB171"/>
    <mergeCell ref="DC171:DD171"/>
    <mergeCell ref="DE171:DF171"/>
    <mergeCell ref="DG171:DH171"/>
    <mergeCell ref="DI171:DJ171"/>
    <mergeCell ref="DK171:DL171"/>
    <mergeCell ref="DM171:DN171"/>
    <mergeCell ref="CA170:CB170"/>
    <mergeCell ref="CC170:CD170"/>
    <mergeCell ref="CE170:CF170"/>
    <mergeCell ref="CG170:CH170"/>
    <mergeCell ref="CI170:CJ170"/>
    <mergeCell ref="CK170:CL170"/>
    <mergeCell ref="CM170:CN170"/>
    <mergeCell ref="CO170:CP170"/>
    <mergeCell ref="CQ170:CR170"/>
    <mergeCell ref="CS170:CT170"/>
    <mergeCell ref="CC172:CD172"/>
    <mergeCell ref="CE172:CF172"/>
    <mergeCell ref="CG172:CH172"/>
    <mergeCell ref="CI172:CJ172"/>
    <mergeCell ref="CK172:CL172"/>
    <mergeCell ref="CM172:CN172"/>
    <mergeCell ref="CO172:CP172"/>
    <mergeCell ref="CQ172:CR172"/>
    <mergeCell ref="CS172:CT172"/>
    <mergeCell ref="CU172:CV172"/>
    <mergeCell ref="CW172:CX172"/>
    <mergeCell ref="CY172:CZ172"/>
    <mergeCell ref="DA172:DB172"/>
    <mergeCell ref="DC172:DD172"/>
    <mergeCell ref="DE172:DF172"/>
    <mergeCell ref="DG172:DH172"/>
    <mergeCell ref="DI170:DJ170"/>
    <mergeCell ref="CU170:CV170"/>
    <mergeCell ref="CW170:CX170"/>
    <mergeCell ref="CY170:CZ170"/>
    <mergeCell ref="DA170:DB170"/>
    <mergeCell ref="DC170:DD170"/>
    <mergeCell ref="DE170:DF170"/>
    <mergeCell ref="DG170:DH170"/>
    <mergeCell ref="CS174:CT174"/>
    <mergeCell ref="CU174:CV174"/>
    <mergeCell ref="CW174:CX174"/>
    <mergeCell ref="CY174:CZ174"/>
    <mergeCell ref="DA174:DB174"/>
    <mergeCell ref="DC174:DD174"/>
    <mergeCell ref="DE174:DF174"/>
    <mergeCell ref="DG174:DH174"/>
    <mergeCell ref="DI172:DJ172"/>
    <mergeCell ref="DK172:DL172"/>
    <mergeCell ref="DM172:DN172"/>
    <mergeCell ref="CA173:CB173"/>
    <mergeCell ref="CC173:CD173"/>
    <mergeCell ref="CE173:CF173"/>
    <mergeCell ref="CG173:CH173"/>
    <mergeCell ref="CI173:CJ173"/>
    <mergeCell ref="CK173:CL173"/>
    <mergeCell ref="CM173:CN173"/>
    <mergeCell ref="CO173:CP173"/>
    <mergeCell ref="CQ173:CR173"/>
    <mergeCell ref="CS173:CT173"/>
    <mergeCell ref="CU173:CV173"/>
    <mergeCell ref="CW173:CX173"/>
    <mergeCell ref="CY173:CZ173"/>
    <mergeCell ref="DA173:DB173"/>
    <mergeCell ref="DC173:DD173"/>
    <mergeCell ref="DE173:DF173"/>
    <mergeCell ref="DG173:DH173"/>
    <mergeCell ref="DI173:DJ173"/>
    <mergeCell ref="DK173:DL173"/>
    <mergeCell ref="DM173:DN173"/>
    <mergeCell ref="CA172:CB172"/>
    <mergeCell ref="DI174:DJ174"/>
    <mergeCell ref="DK174:DL174"/>
    <mergeCell ref="DM174:DN174"/>
    <mergeCell ref="CA175:CB175"/>
    <mergeCell ref="CC175:CD175"/>
    <mergeCell ref="CE175:CF175"/>
    <mergeCell ref="CG175:CH175"/>
    <mergeCell ref="CI175:CJ175"/>
    <mergeCell ref="CK175:CL175"/>
    <mergeCell ref="CM175:CN175"/>
    <mergeCell ref="CO175:CP175"/>
    <mergeCell ref="CQ175:CR175"/>
    <mergeCell ref="CS175:CT175"/>
    <mergeCell ref="CU175:CV175"/>
    <mergeCell ref="CW175:CX175"/>
    <mergeCell ref="CY175:CZ175"/>
    <mergeCell ref="DA175:DB175"/>
    <mergeCell ref="DC175:DD175"/>
    <mergeCell ref="DE175:DF175"/>
    <mergeCell ref="DG175:DH175"/>
    <mergeCell ref="DI175:DJ175"/>
    <mergeCell ref="DK175:DL175"/>
    <mergeCell ref="DM175:DN175"/>
    <mergeCell ref="CA174:CB174"/>
    <mergeCell ref="CC174:CD174"/>
    <mergeCell ref="CE174:CF174"/>
    <mergeCell ref="CG174:CH174"/>
    <mergeCell ref="CI174:CJ174"/>
    <mergeCell ref="CK174:CL174"/>
    <mergeCell ref="CM174:CN174"/>
    <mergeCell ref="CO174:CP174"/>
    <mergeCell ref="CQ174:CR174"/>
    <mergeCell ref="DK176:DL176"/>
    <mergeCell ref="DM176:DN176"/>
    <mergeCell ref="CA177:CB177"/>
    <mergeCell ref="CC177:CD177"/>
    <mergeCell ref="CE177:CF177"/>
    <mergeCell ref="CG177:CH177"/>
    <mergeCell ref="CI177:CJ177"/>
    <mergeCell ref="CK177:CL177"/>
    <mergeCell ref="CM177:CN177"/>
    <mergeCell ref="CO177:CP177"/>
    <mergeCell ref="CQ177:CR177"/>
    <mergeCell ref="CS177:CT177"/>
    <mergeCell ref="CU177:CV177"/>
    <mergeCell ref="CW177:CX177"/>
    <mergeCell ref="CY177:CZ177"/>
    <mergeCell ref="DA177:DB177"/>
    <mergeCell ref="DC177:DD177"/>
    <mergeCell ref="DE177:DF177"/>
    <mergeCell ref="DG177:DH177"/>
    <mergeCell ref="DI177:DJ177"/>
    <mergeCell ref="DK177:DL177"/>
    <mergeCell ref="DM177:DN177"/>
    <mergeCell ref="CA176:CB176"/>
    <mergeCell ref="CC176:CD176"/>
    <mergeCell ref="CE176:CF176"/>
    <mergeCell ref="CG176:CH176"/>
    <mergeCell ref="CI176:CJ176"/>
    <mergeCell ref="CK176:CL176"/>
    <mergeCell ref="CM176:CN176"/>
    <mergeCell ref="CO176:CP176"/>
    <mergeCell ref="CQ176:CR176"/>
    <mergeCell ref="CS176:CT176"/>
    <mergeCell ref="CC178:CD178"/>
    <mergeCell ref="CE178:CF178"/>
    <mergeCell ref="CG178:CH178"/>
    <mergeCell ref="CI178:CJ178"/>
    <mergeCell ref="CK178:CL178"/>
    <mergeCell ref="CM178:CN178"/>
    <mergeCell ref="CO178:CP178"/>
    <mergeCell ref="CQ178:CR178"/>
    <mergeCell ref="CS178:CT178"/>
    <mergeCell ref="CU178:CV178"/>
    <mergeCell ref="CW178:CX178"/>
    <mergeCell ref="CY178:CZ178"/>
    <mergeCell ref="DA178:DB178"/>
    <mergeCell ref="DC178:DD178"/>
    <mergeCell ref="DE178:DF178"/>
    <mergeCell ref="DG178:DH178"/>
    <mergeCell ref="DI176:DJ176"/>
    <mergeCell ref="CU176:CV176"/>
    <mergeCell ref="CW176:CX176"/>
    <mergeCell ref="CY176:CZ176"/>
    <mergeCell ref="DA176:DB176"/>
    <mergeCell ref="DC176:DD176"/>
    <mergeCell ref="DE176:DF176"/>
    <mergeCell ref="DG176:DH176"/>
    <mergeCell ref="CS180:CT180"/>
    <mergeCell ref="CU180:CV180"/>
    <mergeCell ref="CW180:CX180"/>
    <mergeCell ref="CY180:CZ180"/>
    <mergeCell ref="DA180:DB180"/>
    <mergeCell ref="DC180:DD180"/>
    <mergeCell ref="DE180:DF180"/>
    <mergeCell ref="DG180:DH180"/>
    <mergeCell ref="DI178:DJ178"/>
    <mergeCell ref="DK178:DL178"/>
    <mergeCell ref="DM178:DN178"/>
    <mergeCell ref="CA179:CB179"/>
    <mergeCell ref="CC179:CD179"/>
    <mergeCell ref="CE179:CF179"/>
    <mergeCell ref="CG179:CH179"/>
    <mergeCell ref="CI179:CJ179"/>
    <mergeCell ref="CK179:CL179"/>
    <mergeCell ref="CM179:CN179"/>
    <mergeCell ref="CO179:CP179"/>
    <mergeCell ref="CQ179:CR179"/>
    <mergeCell ref="CS179:CT179"/>
    <mergeCell ref="CU179:CV179"/>
    <mergeCell ref="CW179:CX179"/>
    <mergeCell ref="CY179:CZ179"/>
    <mergeCell ref="DA179:DB179"/>
    <mergeCell ref="DC179:DD179"/>
    <mergeCell ref="DE179:DF179"/>
    <mergeCell ref="DG179:DH179"/>
    <mergeCell ref="DI179:DJ179"/>
    <mergeCell ref="DK179:DL179"/>
    <mergeCell ref="DM179:DN179"/>
    <mergeCell ref="CA178:CB178"/>
    <mergeCell ref="DI180:DJ180"/>
    <mergeCell ref="DK180:DL180"/>
    <mergeCell ref="DM180:DN180"/>
    <mergeCell ref="CA181:CB181"/>
    <mergeCell ref="CC181:CD181"/>
    <mergeCell ref="CE181:CF181"/>
    <mergeCell ref="CG181:CH181"/>
    <mergeCell ref="CI181:CJ181"/>
    <mergeCell ref="CK181:CL181"/>
    <mergeCell ref="CM181:CN181"/>
    <mergeCell ref="CO181:CP181"/>
    <mergeCell ref="CQ181:CR181"/>
    <mergeCell ref="CS181:CT181"/>
    <mergeCell ref="CU181:CV181"/>
    <mergeCell ref="CW181:CX181"/>
    <mergeCell ref="CY181:CZ181"/>
    <mergeCell ref="DA181:DB181"/>
    <mergeCell ref="DC181:DD181"/>
    <mergeCell ref="DE181:DF181"/>
    <mergeCell ref="DG181:DH181"/>
    <mergeCell ref="DI181:DJ181"/>
    <mergeCell ref="DK181:DL181"/>
    <mergeCell ref="DM181:DN181"/>
    <mergeCell ref="CA180:CB180"/>
    <mergeCell ref="CC180:CD180"/>
    <mergeCell ref="CE180:CF180"/>
    <mergeCell ref="CG180:CH180"/>
    <mergeCell ref="CI180:CJ180"/>
    <mergeCell ref="CK180:CL180"/>
    <mergeCell ref="CM180:CN180"/>
    <mergeCell ref="CO180:CP180"/>
    <mergeCell ref="CQ180:CR180"/>
  </mergeCells>
  <phoneticPr fontId="23" type="noConversion"/>
  <conditionalFormatting sqref="F7">
    <cfRule type="notContainsBlanks" dxfId="316" priority="3">
      <formula>LEN(TRIM(F7))&gt;0</formula>
    </cfRule>
  </conditionalFormatting>
  <conditionalFormatting sqref="F26:S26">
    <cfRule type="expression" dxfId="314" priority="65">
      <formula>$N$25&lt;&gt;"Sim"</formula>
    </cfRule>
  </conditionalFormatting>
  <conditionalFormatting sqref="F72:BE106">
    <cfRule type="expression" dxfId="309" priority="74">
      <formula>$N$71=""</formula>
    </cfRule>
  </conditionalFormatting>
  <conditionalFormatting sqref="F111:BE145">
    <cfRule type="expression" dxfId="308" priority="69">
      <formula>$N$110=""</formula>
    </cfRule>
  </conditionalFormatting>
  <conditionalFormatting sqref="F150:BE184">
    <cfRule type="expression" dxfId="307" priority="67">
      <formula>$N$149=""</formula>
    </cfRule>
  </conditionalFormatting>
  <conditionalFormatting sqref="M12:M15">
    <cfRule type="expression" dxfId="298" priority="410">
      <formula>N12&lt;&gt;""</formula>
    </cfRule>
  </conditionalFormatting>
  <conditionalFormatting sqref="M18">
    <cfRule type="expression" dxfId="297" priority="407">
      <formula>N18&lt;&gt;""</formula>
    </cfRule>
  </conditionalFormatting>
  <conditionalFormatting sqref="M20:M21 M25">
    <cfRule type="expression" dxfId="296" priority="406">
      <formula>N20&lt;&gt;""</formula>
    </cfRule>
  </conditionalFormatting>
  <conditionalFormatting sqref="M30">
    <cfRule type="expression" dxfId="295" priority="66">
      <formula>$N$30&lt;&gt;""</formula>
    </cfRule>
  </conditionalFormatting>
  <conditionalFormatting sqref="M71:M75">
    <cfRule type="expression" dxfId="294" priority="124">
      <formula>N71&lt;&gt;""</formula>
    </cfRule>
  </conditionalFormatting>
  <conditionalFormatting sqref="M110:M114">
    <cfRule type="expression" dxfId="293" priority="115">
      <formula>N110&lt;&gt;""</formula>
    </cfRule>
  </conditionalFormatting>
  <conditionalFormatting sqref="M150:M153">
    <cfRule type="expression" dxfId="292" priority="106">
      <formula>N150&lt;&gt;""</formula>
    </cfRule>
  </conditionalFormatting>
  <conditionalFormatting sqref="M202">
    <cfRule type="expression" dxfId="290" priority="94">
      <formula>$Q202&lt;&gt;""</formula>
    </cfRule>
  </conditionalFormatting>
  <conditionalFormatting sqref="M203">
    <cfRule type="expression" dxfId="289" priority="89">
      <formula>$Q$203&lt;&gt;""</formula>
    </cfRule>
    <cfRule type="expression" dxfId="288" priority="88">
      <formula>$N$110=""</formula>
    </cfRule>
  </conditionalFormatting>
  <conditionalFormatting sqref="M204">
    <cfRule type="expression" dxfId="287" priority="87">
      <formula>$N$149=""</formula>
    </cfRule>
    <cfRule type="expression" dxfId="286" priority="91">
      <formula>$Q$204&lt;&gt;""</formula>
    </cfRule>
  </conditionalFormatting>
  <conditionalFormatting sqref="M206">
    <cfRule type="expression" dxfId="285" priority="86">
      <formula>N206&lt;&gt;""</formula>
    </cfRule>
  </conditionalFormatting>
  <conditionalFormatting sqref="N202:AM202">
    <cfRule type="expression" dxfId="280" priority="93">
      <formula>$N$71=""</formula>
    </cfRule>
  </conditionalFormatting>
  <conditionalFormatting sqref="N203:AM203">
    <cfRule type="expression" dxfId="279" priority="90">
      <formula>$N$110=""</formula>
    </cfRule>
  </conditionalFormatting>
  <conditionalFormatting sqref="N204:AM204">
    <cfRule type="expression" dxfId="278" priority="92">
      <formula>$N$149=""</formula>
    </cfRule>
  </conditionalFormatting>
  <conditionalFormatting sqref="Q17">
    <cfRule type="expression" dxfId="273" priority="133">
      <formula>R17&lt;&gt;""</formula>
    </cfRule>
  </conditionalFormatting>
  <conditionalFormatting sqref="Q92:BD103">
    <cfRule type="expression" dxfId="272" priority="81">
      <formula>CA92=1</formula>
    </cfRule>
  </conditionalFormatting>
  <conditionalFormatting sqref="Q105:BD105 Q144:BD144 Q183:BD183">
    <cfRule type="expression" dxfId="271" priority="99">
      <formula>NOT(ISERROR(SEARCH("Não"&amp;CHAR(10),Q105,1)))</formula>
    </cfRule>
  </conditionalFormatting>
  <conditionalFormatting sqref="Q131:BD142">
    <cfRule type="expression" dxfId="270" priority="64">
      <formula>CA131=1</formula>
    </cfRule>
  </conditionalFormatting>
  <conditionalFormatting sqref="Q170:BD181">
    <cfRule type="expression" dxfId="269" priority="62">
      <formula>CA170=1</formula>
    </cfRule>
  </conditionalFormatting>
  <conditionalFormatting sqref="Y75:BD75">
    <cfRule type="expression" dxfId="245" priority="161">
      <formula>$N76&lt;&gt;"Sim"</formula>
    </cfRule>
  </conditionalFormatting>
  <conditionalFormatting sqref="Y114:BD114">
    <cfRule type="expression" dxfId="244" priority="154">
      <formula>$N115&lt;&gt;"Sim"</formula>
    </cfRule>
  </conditionalFormatting>
  <conditionalFormatting sqref="Y153:BD153">
    <cfRule type="expression" dxfId="243" priority="153">
      <formula>$N154&lt;&gt;"Sim"</formula>
    </cfRule>
  </conditionalFormatting>
  <conditionalFormatting sqref="Z201:AM201">
    <cfRule type="expression" dxfId="238" priority="135">
      <formula>COUNTIF($V202:$Y204,"sim")=0</formula>
    </cfRule>
  </conditionalFormatting>
  <conditionalFormatting sqref="Z202:AM204">
    <cfRule type="expression" dxfId="237" priority="134">
      <formula>$V202&lt;&gt;"sim"</formula>
    </cfRule>
  </conditionalFormatting>
  <conditionalFormatting sqref="AC17">
    <cfRule type="expression" dxfId="232" priority="408">
      <formula>AD17&lt;&gt;""</formula>
    </cfRule>
  </conditionalFormatting>
  <conditionalFormatting sqref="AE12">
    <cfRule type="expression" dxfId="226" priority="409">
      <formula>AF12&lt;&gt;""</formula>
    </cfRule>
  </conditionalFormatting>
  <conditionalFormatting sqref="CV91:CV103">
    <cfRule type="expression" dxfId="221" priority="80">
      <formula>$N$71=""</formula>
    </cfRule>
  </conditionalFormatting>
  <conditionalFormatting sqref="CV130:CV142">
    <cfRule type="expression" dxfId="220" priority="72">
      <formula>$N$71=""</formula>
    </cfRule>
  </conditionalFormatting>
  <conditionalFormatting sqref="CV169:CV181">
    <cfRule type="expression" dxfId="219" priority="70">
      <formula>$N$71=""</formula>
    </cfRule>
  </conditionalFormatting>
  <dataValidations count="16">
    <dataValidation type="custom" allowBlank="1" showInputMessage="1" showErrorMessage="1" errorTitle="Data inválida" error="A data de conclusão não pode ser anterior a data de início." sqref="AD17:AJ17" xr:uid="{DBC2899F-6B19-4C75-993F-C33059AFAB22}">
      <formula1>R17&lt;=AD17</formula1>
    </dataValidation>
    <dataValidation type="list" allowBlank="1" showInputMessage="1" showErrorMessage="1" errorTitle="Código inválido" error="Preencher os dados do certificado na guia &quot;Certificados&quot; antes de atribuí-lo a algum estudo" sqref="N18:S18" xr:uid="{173CDD97-1372-4563-BF73-F4A506472BAC}">
      <formula1>src_certificados</formula1>
    </dataValidation>
    <dataValidation type="whole" operator="greaterThanOrEqual" allowBlank="1" showInputMessage="1" showErrorMessage="1" errorTitle="Valor inválido" error="Os valores devem ser somente em números inteiros. _x000a_Lembre-se: para resultados como &gt;X, preencher somente o campo de Mínimo" sqref="J37:Y46 AG37:AV46" xr:uid="{83EEABBF-8037-40D9-974E-9E06D6428462}">
      <formula1>0</formula1>
    </dataValidation>
    <dataValidation allowBlank="1" showInputMessage="1" showErrorMessage="1" promptTitle="Ajuda" prompt="Data de início da exposição dos animais à substância teste" sqref="N17:P17" xr:uid="{EDC6E76B-ACC4-4871-B748-A419739EABDC}"/>
    <dataValidation allowBlank="1" showInputMessage="1" showErrorMessage="1" promptTitle="Ajuda" prompt="Código gerado pelo laboratório executor" sqref="AA12:AD12" xr:uid="{A9ACED43-7528-488B-A3FC-045921FBE69B}"/>
    <dataValidation allowBlank="1" showInputMessage="1" showErrorMessage="1" promptTitle="Ajuda" prompt="Informar nome e estado/país do laboratório executor" sqref="F13:L13" xr:uid="{900610EC-8E98-486D-B90C-A5C416E03A3F}"/>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6:M16" xr:uid="{B4696F89-D4AC-4181-BF40-7B35DB891CE8}"/>
    <dataValidation allowBlank="1" showInputMessage="1" showErrorMessage="1" promptTitle="Ajuda" prompt="1. Preencher a faixa de variação dos controles com os valores mínimos e máximos encontrados. Não deve ser utilizada a média._x000a__x000a_2. Quando o valor do controle histórico for apresentado como &quot;&gt;X&quot; preencher apenas no campo destinado ao valor mínimo. " sqref="F30:L30" xr:uid="{2BDE7867-A37B-4444-A8B2-29D3F9D89F1C}"/>
    <dataValidation allowBlank="1" showInputMessage="1" showErrorMessage="1" promptTitle="Ajuda" prompt="O método informado para os controles históricos deve corresponder ao(s) método(s) utilizado(s) no estudo." sqref="N31" xr:uid="{B1E59D0E-4FAF-44BF-9414-440AFD608DF8}"/>
    <dataValidation allowBlank="1" showInputMessage="1" showErrorMessage="1" promptTitle="Ajuda" prompt="Colunas com o símbolo de menos &quot;-&quot; correspondem a cepas testadas sem a fração S9._x000a__x000a_Colunas com o símbolo de mais &quot;+&quot; correspondem a cepas testadas com a fração S9." sqref="M130:P130 F56:I56 M91:P91 M169:P169" xr:uid="{8F1CAFB7-7832-4488-9E59-BEC620F24E6D}"/>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188:L192" xr:uid="{EFEE5877-5EC1-43B5-8492-EEB984F932DF}"/>
    <dataValidation allowBlank="1" showInputMessage="1" showErrorMessage="1" promptTitle="Ajuda" prompt="Descrição sucinta do desvio ocorrido._x000a__x000a_Caso tenha ocorrido mais do que quatro desvios, os demais deverão estar descritos na última linha e separados por ponto e vírgula" sqref="S188:Y188" xr:uid="{EDFD2A37-B8EF-4C96-966A-E7EE2AD1D1AB}"/>
    <dataValidation allowBlank="1" showInputMessage="1" showErrorMessage="1" promptTitle="Ajuda" prompt="Incluir a justificativa do porquê ocorreu desvio e qual é interpretação dos seus impactos frente aos resultados do estudos." sqref="Z188:AH188" xr:uid="{8ECA9D91-74BF-4C52-B2C8-37C64ED249A3}"/>
    <dataValidation allowBlank="1" showInputMessage="1" showErrorMessage="1" promptTitle="Ajuda" prompt="Informar apenas se o(s) desvio(s) afetam de algum modo a interpretação dos resultados" sqref="AI188:AM188" xr:uid="{E3F51994-431C-4E3E-ADD4-0E0FF5855505}"/>
    <dataValidation allowBlank="1" showInputMessage="1" showErrorMessage="1" promptTitle="Ajuda" prompt="A conclusão deverá ser conforme está escrito no relatório do estudo._x000a_" sqref="F206:L206" xr:uid="{22398E13-A34B-432A-9BA5-D078832F0E4A}"/>
    <dataValidation allowBlank="1" showInputMessage="1" showErrorMessage="1" promptTitle="Orientação" prompt="Campos marcados em vermelho indicam cepas em que a RM foi acima do valor limite (resultado positivo)." sqref="F92:L103" xr:uid="{43B94583-5414-4E76-A1CE-B0C2FDF181F4}"/>
  </dataValidations>
  <hyperlinks>
    <hyperlink ref="F7" location="Alertas!G2" display="Alertas!G2" xr:uid="{4818D706-DB37-4A21-98DD-97781F818B7B}"/>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115" r:id="rId4" name="optn_desvios_ames1">
              <controlPr defaultSize="0" autoFill="0" autoLine="0" autoPict="0">
                <anchor moveWithCells="1">
                  <from>
                    <xdr:col>13</xdr:col>
                    <xdr:colOff>28575</xdr:colOff>
                    <xdr:row>187</xdr:row>
                    <xdr:rowOff>352425</xdr:rowOff>
                  </from>
                  <to>
                    <xdr:col>17</xdr:col>
                    <xdr:colOff>257175</xdr:colOff>
                    <xdr:row>189</xdr:row>
                    <xdr:rowOff>28575</xdr:rowOff>
                  </to>
                </anchor>
              </controlPr>
            </control>
          </mc:Choice>
        </mc:AlternateContent>
        <mc:AlternateContent xmlns:mc="http://schemas.openxmlformats.org/markup-compatibility/2006">
          <mc:Choice Requires="x14">
            <control shapeId="41114" r:id="rId5" name="optn_desvios_ames2">
              <controlPr defaultSize="0" autoFill="0" autoLine="0" autoPict="0">
                <anchor moveWithCells="1">
                  <from>
                    <xdr:col>13</xdr:col>
                    <xdr:colOff>28575</xdr:colOff>
                    <xdr:row>189</xdr:row>
                    <xdr:rowOff>314325</xdr:rowOff>
                  </from>
                  <to>
                    <xdr:col>17</xdr:col>
                    <xdr:colOff>257175</xdr:colOff>
                    <xdr:row>191</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6" id="{E6FA5DBD-EDE4-47A2-9536-00501B5EFCB2}">
            <xm:f>NOT(OR($N$30=Tabelas_fonte!$AO$25,$N$30=Tabelas_fonte!$AO$27))</xm:f>
            <x14:dxf>
              <font>
                <color theme="0"/>
              </font>
              <fill>
                <patternFill>
                  <bgColor theme="0"/>
                </patternFill>
              </fill>
              <border>
                <left/>
                <right/>
                <top/>
                <bottom/>
                <vertical/>
                <horizontal/>
              </border>
            </x14:dxf>
          </x14:cfRule>
          <xm:sqref>F35:I36</xm:sqref>
        </x14:conditionalFormatting>
        <x14:conditionalFormatting xmlns:xm="http://schemas.microsoft.com/office/excel/2006/main">
          <x14:cfRule type="expression" priority="401" id="{5CFE80A1-D7CA-4794-A886-277CA6FB729D}">
            <xm:f>NOT(OR($N$30=Tabelas_fonte!$AO$25,$N$30=Tabelas_fonte!$AO$27))</xm:f>
            <x14:dxf>
              <font>
                <color theme="0"/>
              </font>
              <fill>
                <patternFill>
                  <bgColor theme="0"/>
                </patternFill>
              </fill>
              <border>
                <left/>
                <right/>
                <top/>
                <bottom/>
                <vertical/>
                <horizontal/>
              </border>
            </x14:dxf>
          </x14:cfRule>
          <xm:sqref>F33:Y46</xm:sqref>
        </x14:conditionalFormatting>
        <x14:conditionalFormatting xmlns:xm="http://schemas.microsoft.com/office/excel/2006/main">
          <x14:cfRule type="expression" priority="102" id="{A94FDB0D-72D7-482D-A7E7-D7FC270DEDE7}">
            <xm:f>IF(NOT(ISERROR(SEARCH("definitivo",$N71,1))), IF($N72=Tabelas_fonte!$AO$44,TRUE,FALSE),TRUE)</xm:f>
            <x14:dxf>
              <font>
                <color theme="0"/>
              </font>
              <fill>
                <patternFill>
                  <bgColor theme="0"/>
                </patternFill>
              </fill>
              <border>
                <left/>
                <right/>
                <vertical/>
                <horizontal/>
              </border>
            </x14:dxf>
          </x14:cfRule>
          <xm:sqref>F73:AM73</xm:sqref>
        </x14:conditionalFormatting>
        <x14:conditionalFormatting xmlns:xm="http://schemas.microsoft.com/office/excel/2006/main">
          <x14:cfRule type="expression" priority="101" id="{B664C7FE-5966-43AD-9201-7B460E94DAB0}">
            <xm:f>IF(NOT(ISERROR(SEARCH("definitivo",$N110,1))), IF($N111=Tabelas_fonte!$AO$44,TRUE,FALSE),TRUE)</xm:f>
            <x14:dxf>
              <font>
                <color theme="0"/>
              </font>
              <fill>
                <patternFill>
                  <bgColor theme="0"/>
                </patternFill>
              </fill>
              <border>
                <left/>
                <right/>
                <vertical/>
                <horizontal/>
              </border>
            </x14:dxf>
          </x14:cfRule>
          <xm:sqref>F112:AM112</xm:sqref>
        </x14:conditionalFormatting>
        <x14:conditionalFormatting xmlns:xm="http://schemas.microsoft.com/office/excel/2006/main">
          <x14:cfRule type="expression" priority="100" id="{83411133-A73D-48F3-9B16-88A1AA37A1AD}">
            <xm:f>IF(NOT(ISERROR(SEARCH("definitivo",$N149,1))), IF($N150=Tabelas_fonte!$AO$44,TRUE,FALSE),TRUE)</xm:f>
            <x14:dxf>
              <font>
                <color theme="0"/>
              </font>
              <fill>
                <patternFill>
                  <bgColor theme="0"/>
                </patternFill>
              </fill>
              <border>
                <left/>
                <right/>
                <vertical/>
                <horizontal/>
              </border>
            </x14:dxf>
          </x14:cfRule>
          <xm:sqref>F151:AM151</xm:sqref>
        </x14:conditionalFormatting>
        <x14:conditionalFormatting xmlns:xm="http://schemas.microsoft.com/office/excel/2006/main">
          <x14:cfRule type="expression" priority="56" id="{4B8752FC-37EB-4BC5-8B3A-3D7334FBA2D1}">
            <xm:f>Calculos!$BP414=3</xm:f>
            <x14:dxf>
              <font>
                <color theme="0"/>
              </font>
              <fill>
                <patternFill>
                  <bgColor theme="0" tint="-0.499984740745262"/>
                </patternFill>
              </fill>
            </x14:dxf>
          </x14:cfRule>
          <x14:cfRule type="expression" priority="57" id="{5254E3CF-F4AE-4474-9228-DADFF21B8D73}">
            <xm:f>Calculos!$BP414=2</xm:f>
            <x14:dxf>
              <fill>
                <patternFill>
                  <bgColor theme="5" tint="0.39994506668294322"/>
                </patternFill>
              </fill>
            </x14:dxf>
          </x14:cfRule>
          <x14:cfRule type="expression" priority="58" id="{801B79A7-9639-407A-9F7F-69A8C472C613}">
            <xm:f>Calculos!$BP414=1</xm:f>
            <x14:dxf>
              <fill>
                <patternFill>
                  <bgColor theme="7" tint="0.79998168889431442"/>
                </patternFill>
              </fill>
            </x14:dxf>
          </x14:cfRule>
          <x14:cfRule type="expression" priority="59" id="{11F53BF5-DA5D-41E8-9311-9AF0E17695F0}">
            <xm:f>Calculos!$BP414=0</xm:f>
            <x14:dxf>
              <fill>
                <patternFill>
                  <bgColor theme="9" tint="0.79998168889431442"/>
                </patternFill>
              </fill>
            </x14:dxf>
          </x14:cfRule>
          <xm:sqref>J57:K66</xm:sqref>
        </x14:conditionalFormatting>
        <x14:conditionalFormatting xmlns:xm="http://schemas.microsoft.com/office/excel/2006/main">
          <x14:cfRule type="expression" priority="48" id="{A8AED06F-4F6A-4543-9E7A-D757E331A6A3}">
            <xm:f>Calculos!$BQ414=3</xm:f>
            <x14:dxf>
              <font>
                <color theme="0"/>
              </font>
              <fill>
                <patternFill>
                  <bgColor theme="0" tint="-0.499984740745262"/>
                </patternFill>
              </fill>
            </x14:dxf>
          </x14:cfRule>
          <x14:cfRule type="expression" priority="49" id="{35B4CA5F-2978-4E45-AD3D-0E07B29ECB38}">
            <xm:f>Calculos!$BQ414=2</xm:f>
            <x14:dxf>
              <fill>
                <patternFill>
                  <bgColor theme="5" tint="0.39994506668294322"/>
                </patternFill>
              </fill>
            </x14:dxf>
          </x14:cfRule>
          <x14:cfRule type="expression" priority="50" id="{645F0612-93BB-4BC8-A4EB-54BB3F164C3D}">
            <xm:f>Calculos!$BQ414=1</xm:f>
            <x14:dxf>
              <fill>
                <patternFill>
                  <bgColor theme="7" tint="0.79998168889431442"/>
                </patternFill>
              </fill>
            </x14:dxf>
          </x14:cfRule>
          <x14:cfRule type="expression" priority="51" id="{97DC4FDA-81D3-4A48-8F86-A056012AC962}">
            <xm:f>Calculos!$BQ414=0</xm:f>
            <x14:dxf>
              <fill>
                <patternFill>
                  <bgColor theme="9" tint="0.79998168889431442"/>
                </patternFill>
              </fill>
            </x14:dxf>
          </x14:cfRule>
          <xm:sqref>L57:L66</xm:sqref>
        </x14:conditionalFormatting>
        <x14:conditionalFormatting xmlns:xm="http://schemas.microsoft.com/office/excel/2006/main">
          <x14:cfRule type="expression" priority="96" id="{04C20B10-6FCD-4D99-B488-7AFFE4186417}">
            <xm:f>Respostas_usuario!$K$18&lt;&gt;0</xm:f>
            <x14:dxf>
              <font>
                <b/>
                <i val="0"/>
                <color rgb="FF00B050"/>
              </font>
            </x14:dxf>
          </x14:cfRule>
          <xm:sqref>M188:M192</xm:sqref>
        </x14:conditionalFormatting>
        <x14:conditionalFormatting xmlns:xm="http://schemas.microsoft.com/office/excel/2006/main">
          <x14:cfRule type="expression" priority="40" id="{DEFACCA0-1E7C-45DE-8BAA-8E0061A68B9D}">
            <xm:f>Calculos!$CA414=3</xm:f>
            <x14:dxf>
              <font>
                <color theme="0"/>
              </font>
              <fill>
                <patternFill>
                  <bgColor theme="0" tint="-0.499984740745262"/>
                </patternFill>
              </fill>
            </x14:dxf>
          </x14:cfRule>
          <x14:cfRule type="expression" priority="42" id="{FF7797B9-F72E-4149-A80A-FC88E616A76F}">
            <xm:f>Calculos!$CA414=1</xm:f>
            <x14:dxf>
              <fill>
                <patternFill>
                  <bgColor theme="7" tint="0.79998168889431442"/>
                </patternFill>
              </fill>
            </x14:dxf>
          </x14:cfRule>
          <x14:cfRule type="expression" priority="43" id="{110A547D-67DD-4198-8893-342EABBF6B73}">
            <xm:f>Calculos!$CA414=0</xm:f>
            <x14:dxf>
              <fill>
                <patternFill>
                  <bgColor theme="9" tint="0.79998168889431442"/>
                </patternFill>
              </fill>
            </x14:dxf>
          </x14:cfRule>
          <x14:cfRule type="expression" priority="41" id="{BF069BBB-8ED3-4D37-91C1-5F5B9A613148}">
            <xm:f>Calculos!$CA414=2</xm:f>
            <x14:dxf>
              <fill>
                <patternFill>
                  <bgColor theme="5" tint="0.39994506668294322"/>
                </patternFill>
              </fill>
            </x14:dxf>
          </x14:cfRule>
          <xm:sqref>N57:N66</xm:sqref>
        </x14:conditionalFormatting>
        <x14:conditionalFormatting xmlns:xm="http://schemas.microsoft.com/office/excel/2006/main">
          <x14:cfRule type="expression" priority="29" id="{5183C635-F3CE-4591-B73F-4E3A0E91B533}">
            <xm:f>Calculos!$CB414=2</xm:f>
            <x14:dxf>
              <fill>
                <patternFill>
                  <bgColor theme="5" tint="0.39994506668294322"/>
                </patternFill>
              </fill>
            </x14:dxf>
          </x14:cfRule>
          <x14:cfRule type="expression" priority="30" id="{2D37D547-B1FE-4B44-AFB1-B03CA534A66B}">
            <xm:f>Calculos!$CB414=1</xm:f>
            <x14:dxf>
              <fill>
                <patternFill>
                  <bgColor theme="7" tint="0.79998168889431442"/>
                </patternFill>
              </fill>
            </x14:dxf>
          </x14:cfRule>
          <x14:cfRule type="expression" priority="31" id="{43855845-8C27-45C5-A489-4A37885EFC74}">
            <xm:f>Calculos!$CB414=0</xm:f>
            <x14:dxf>
              <fill>
                <patternFill>
                  <bgColor theme="9" tint="0.79998168889431442"/>
                </patternFill>
              </fill>
            </x14:dxf>
          </x14:cfRule>
          <x14:cfRule type="expression" priority="28" id="{AC73EE4E-7DE2-495D-A2DF-E900B67EB2CB}">
            <xm:f>Calculos!$CB414=3</xm:f>
            <x14:dxf>
              <font>
                <color theme="0"/>
              </font>
              <fill>
                <patternFill>
                  <bgColor theme="0" tint="-0.499984740745262"/>
                </patternFill>
              </fill>
            </x14:dxf>
          </x14:cfRule>
          <xm:sqref>P57:P66</xm:sqref>
        </x14:conditionalFormatting>
        <x14:conditionalFormatting xmlns:xm="http://schemas.microsoft.com/office/excel/2006/main">
          <x14:cfRule type="expression" priority="55" id="{BD4B7D91-B1DB-41EB-AF65-6247EF3C191D}">
            <xm:f>Calculos!$BP430=0</xm:f>
            <x14:dxf>
              <fill>
                <patternFill>
                  <bgColor theme="9" tint="0.79998168889431442"/>
                </patternFill>
              </fill>
            </x14:dxf>
          </x14:cfRule>
          <x14:cfRule type="expression" priority="54" id="{67D51F07-FD55-4F35-A342-09518219EB0C}">
            <xm:f>Calculos!$BP430=1</xm:f>
            <x14:dxf>
              <fill>
                <patternFill>
                  <bgColor theme="7" tint="0.79998168889431442"/>
                </patternFill>
              </fill>
            </x14:dxf>
          </x14:cfRule>
          <x14:cfRule type="expression" priority="53" id="{EB15A366-81D3-4ECA-9405-A65C13C3B377}">
            <xm:f>Calculos!$BP430=2</xm:f>
            <x14:dxf>
              <fill>
                <patternFill>
                  <bgColor theme="5" tint="0.39994506668294322"/>
                </patternFill>
              </fill>
            </x14:dxf>
          </x14:cfRule>
          <x14:cfRule type="expression" priority="52" id="{416D9992-7916-4DB1-8320-B08BC29472EC}">
            <xm:f>Calculos!$BP430=3</xm:f>
            <x14:dxf>
              <font>
                <color theme="0"/>
              </font>
              <fill>
                <patternFill patternType="solid">
                  <bgColor theme="0" tint="-0.499984740745262"/>
                </patternFill>
              </fill>
            </x14:dxf>
          </x14:cfRule>
          <xm:sqref>R57:R66</xm:sqref>
        </x14:conditionalFormatting>
        <x14:conditionalFormatting xmlns:xm="http://schemas.microsoft.com/office/excel/2006/main">
          <x14:cfRule type="expression" priority="138" id="{3CCEAD84-DBE9-4D72-B4FC-EF24EF02A444}">
            <xm:f>Respostas_usuario!$K$18&lt;&gt;2</xm:f>
            <x14:dxf>
              <font>
                <color theme="0"/>
              </font>
              <fill>
                <patternFill>
                  <bgColor theme="0"/>
                </patternFill>
              </fill>
              <border>
                <right/>
                <top/>
                <bottom/>
                <vertical/>
                <horizontal/>
              </border>
            </x14:dxf>
          </x14:cfRule>
          <xm:sqref>S188:AM192</xm:sqref>
        </x14:conditionalFormatting>
        <x14:conditionalFormatting xmlns:xm="http://schemas.microsoft.com/office/excel/2006/main">
          <x14:cfRule type="expression" priority="46" id="{628C88AC-435D-457D-A3A7-D1FA347C4876}">
            <xm:f>Calculos!$BQ430=1</xm:f>
            <x14:dxf>
              <fill>
                <patternFill>
                  <bgColor theme="7" tint="0.79998168889431442"/>
                </patternFill>
              </fill>
            </x14:dxf>
          </x14:cfRule>
          <x14:cfRule type="expression" priority="45" id="{39992E18-2ED6-4767-95DE-D18DAFA9149A}">
            <xm:f>Calculos!$BQ430=2</xm:f>
            <x14:dxf>
              <fill>
                <patternFill>
                  <bgColor theme="5" tint="0.39994506668294322"/>
                </patternFill>
              </fill>
            </x14:dxf>
          </x14:cfRule>
          <x14:cfRule type="expression" priority="44" id="{AADDC466-CEB8-46AB-A2F9-7E1659436D2C}">
            <xm:f>Calculos!$BQ430=3</xm:f>
            <x14:dxf>
              <font>
                <color theme="0"/>
              </font>
              <fill>
                <patternFill>
                  <bgColor theme="0" tint="-0.499984740745262"/>
                </patternFill>
              </fill>
            </x14:dxf>
          </x14:cfRule>
          <x14:cfRule type="expression" priority="47" id="{93D76C71-DD8B-44D9-ADFC-8F4FF7C11C36}">
            <xm:f>Calculos!$BQ430=0</xm:f>
            <x14:dxf>
              <fill>
                <patternFill>
                  <bgColor theme="9" tint="0.79998168889431442"/>
                </patternFill>
              </fill>
            </x14:dxf>
          </x14:cfRule>
          <xm:sqref>T57:T66</xm:sqref>
        </x14:conditionalFormatting>
        <x14:conditionalFormatting xmlns:xm="http://schemas.microsoft.com/office/excel/2006/main">
          <x14:cfRule type="expression" priority="164" id="{294E728C-0A2C-477C-A032-21D8FC14F28F}">
            <xm:f>IF(NOT(ISERROR(SEARCH("definitivo",$N71,1))), IF($N72=Tabelas_fonte!$AO$44,TRUE,FALSE),TRUE)</xm:f>
            <x14:dxf>
              <border>
                <bottom/>
                <vertical/>
                <horizontal/>
              </border>
            </x14:dxf>
          </x14:cfRule>
          <xm:sqref>T72:AM72</xm:sqref>
        </x14:conditionalFormatting>
        <x14:conditionalFormatting xmlns:xm="http://schemas.microsoft.com/office/excel/2006/main">
          <x14:cfRule type="expression" priority="167" id="{90FD7723-85B2-40BA-A46B-2AD21F82B259}">
            <xm:f>IF(NOT(ISERROR(SEARCH("definitivo",$N110,1))), IF($N111=Tabelas_fonte!$AO$44,TRUE,FALSE),TRUE)</xm:f>
            <x14:dxf>
              <border>
                <bottom/>
                <vertical/>
                <horizontal/>
              </border>
            </x14:dxf>
          </x14:cfRule>
          <xm:sqref>T111:AM111</xm:sqref>
        </x14:conditionalFormatting>
        <x14:conditionalFormatting xmlns:xm="http://schemas.microsoft.com/office/excel/2006/main">
          <x14:cfRule type="expression" priority="170" id="{BA102F67-85AA-4656-9627-BBB0AFA40292}">
            <xm:f>IF(NOT(ISERROR(SEARCH("definitivo",$N149,1))), IF($N150=Tabelas_fonte!$AO$44,TRUE,FALSE),TRUE)</xm:f>
            <x14:dxf>
              <border>
                <bottom/>
                <vertical/>
                <horizontal/>
              </border>
            </x14:dxf>
          </x14:cfRule>
          <xm:sqref>T150:AM150</xm:sqref>
        </x14:conditionalFormatting>
        <x14:conditionalFormatting xmlns:xm="http://schemas.microsoft.com/office/excel/2006/main">
          <x14:cfRule type="expression" priority="25" id="{A09E22F9-E832-49E4-9267-A71F05729C07}">
            <xm:f>Calculos!$CA430=2</xm:f>
            <x14:dxf>
              <fill>
                <patternFill>
                  <bgColor theme="5" tint="0.39994506668294322"/>
                </patternFill>
              </fill>
            </x14:dxf>
          </x14:cfRule>
          <x14:cfRule type="expression" priority="27" id="{05C66495-B216-4869-9F37-A82B8C98E212}">
            <xm:f>Calculos!$CA430=0</xm:f>
            <x14:dxf>
              <fill>
                <patternFill>
                  <bgColor theme="9" tint="0.79998168889431442"/>
                </patternFill>
              </fill>
            </x14:dxf>
          </x14:cfRule>
          <x14:cfRule type="expression" priority="26" id="{DF999275-676F-48A3-A463-A4EFD05D33A3}">
            <xm:f>Calculos!$CA430=1</xm:f>
            <x14:dxf>
              <fill>
                <patternFill>
                  <bgColor theme="7" tint="0.79998168889431442"/>
                </patternFill>
              </fill>
            </x14:dxf>
          </x14:cfRule>
          <x14:cfRule type="expression" priority="24" id="{7D51C3D4-0309-453B-BA83-1E50A40A4DAE}">
            <xm:f>Calculos!$CA430=3</xm:f>
            <x14:dxf>
              <font>
                <color theme="0"/>
              </font>
              <fill>
                <patternFill>
                  <bgColor theme="0" tint="-0.499984740745262"/>
                </patternFill>
              </fill>
            </x14:dxf>
          </x14:cfRule>
          <xm:sqref>V57:V66</xm:sqref>
        </x14:conditionalFormatting>
        <x14:conditionalFormatting xmlns:xm="http://schemas.microsoft.com/office/excel/2006/main">
          <x14:cfRule type="expression" priority="22" id="{CCFCE036-266B-4DFC-9F5C-042508D5C64E}">
            <xm:f>Calculos!$CB430=1</xm:f>
            <x14:dxf>
              <fill>
                <patternFill>
                  <bgColor theme="7" tint="0.79998168889431442"/>
                </patternFill>
              </fill>
            </x14:dxf>
          </x14:cfRule>
          <x14:cfRule type="expression" priority="21" id="{E462B144-0FD4-4A0C-BCF8-10011203D015}">
            <xm:f>Calculos!$CB430=2</xm:f>
            <x14:dxf>
              <fill>
                <patternFill>
                  <bgColor theme="5" tint="0.39994506668294322"/>
                </patternFill>
              </fill>
            </x14:dxf>
          </x14:cfRule>
          <x14:cfRule type="expression" priority="20" id="{D6E37D6B-7379-4354-9D59-80FF1E4B9F3F}">
            <xm:f>Calculos!$CB430=3</xm:f>
            <x14:dxf>
              <font>
                <color theme="0"/>
              </font>
              <fill>
                <patternFill>
                  <bgColor theme="0" tint="-0.499984740745262"/>
                </patternFill>
              </fill>
            </x14:dxf>
          </x14:cfRule>
          <x14:cfRule type="expression" priority="23" id="{1177F9C8-BF6C-4E51-BEF9-B400CE0F84E2}">
            <xm:f>Calculos!$CB430=0</xm:f>
            <x14:dxf>
              <fill>
                <patternFill>
                  <bgColor theme="9" tint="0.79998168889431442"/>
                </patternFill>
              </fill>
            </x14:dxf>
          </x14:cfRule>
          <xm:sqref>X57:X66</xm:sqref>
        </x14:conditionalFormatting>
        <x14:conditionalFormatting xmlns:xm="http://schemas.microsoft.com/office/excel/2006/main">
          <x14:cfRule type="expression" priority="166" id="{C4F368E6-17AE-4B11-B0D9-FC89E0434F3D}">
            <xm:f>IF(NOT(ISERROR(SEARCH("definitivo",$N110,1))), IF($N111=Tabelas_fonte!$AO$44,TRUE,FALSE),TRUE)</xm:f>
            <x14:dxf>
              <border>
                <top/>
                <vertical/>
                <horizontal/>
              </border>
            </x14:dxf>
          </x14:cfRule>
          <xm:sqref>Y113:AM113</xm:sqref>
        </x14:conditionalFormatting>
        <x14:conditionalFormatting xmlns:xm="http://schemas.microsoft.com/office/excel/2006/main">
          <x14:cfRule type="expression" priority="169" id="{A0C9EA16-865F-4094-8804-5010D5E9CD7F}">
            <xm:f>IF(NOT(ISERROR(SEARCH("definitivo",$N149,1))), IF($N150=Tabelas_fonte!$AO$44,TRUE,FALSE),TRUE)</xm:f>
            <x14:dxf>
              <border>
                <top/>
                <vertical/>
                <horizontal/>
              </border>
            </x14:dxf>
          </x14:cfRule>
          <xm:sqref>Y152:AM152</xm:sqref>
        </x14:conditionalFormatting>
        <x14:conditionalFormatting xmlns:xm="http://schemas.microsoft.com/office/excel/2006/main">
          <x14:cfRule type="expression" priority="163" id="{AC91580E-4EAB-41C2-ACC1-E3DB584A4BAD}">
            <xm:f>IF(NOT(ISERROR(SEARCH("definitivo",$N71,1))), IF($N72=Tabelas_fonte!$AO$44,TRUE,FALSE),TRUE)</xm:f>
            <x14:dxf>
              <border>
                <top/>
                <vertical/>
                <horizontal/>
              </border>
            </x14:dxf>
          </x14:cfRule>
          <xm:sqref>Y74:AN74</xm:sqref>
        </x14:conditionalFormatting>
        <x14:conditionalFormatting xmlns:xm="http://schemas.microsoft.com/office/excel/2006/main">
          <x14:cfRule type="expression" priority="8" id="{6C2F834A-504C-458E-8917-FBA96B11A38B}">
            <xm:f>Calculos!$BP446=2</xm:f>
            <x14:dxf>
              <fill>
                <patternFill>
                  <bgColor theme="5" tint="0.39994506668294322"/>
                </patternFill>
              </fill>
            </x14:dxf>
          </x14:cfRule>
          <x14:cfRule type="expression" priority="9" id="{78C438B8-E6C0-4EF3-B09F-D84D05C8FD7D}">
            <xm:f>Calculos!$BP446=1</xm:f>
            <x14:dxf>
              <fill>
                <patternFill>
                  <bgColor theme="7" tint="0.79998168889431442"/>
                </patternFill>
              </fill>
            </x14:dxf>
          </x14:cfRule>
          <x14:cfRule type="expression" priority="10" id="{39855CD7-D2C2-4D7E-BF3E-04FD5D11BE13}">
            <xm:f>Calculos!$BP446=0</xm:f>
            <x14:dxf>
              <fill>
                <patternFill>
                  <bgColor theme="9" tint="0.79998168889431442"/>
                </patternFill>
              </fill>
            </x14:dxf>
          </x14:cfRule>
          <x14:cfRule type="expression" priority="7" id="{0C32ED12-3A7F-46B3-AB33-08443FC3D4E3}">
            <xm:f>Calculos!$BP446=3</xm:f>
            <x14:dxf>
              <font>
                <color theme="0"/>
              </font>
              <fill>
                <patternFill>
                  <bgColor theme="0" tint="-0.499984740745262"/>
                </patternFill>
              </fill>
            </x14:dxf>
          </x14:cfRule>
          <xm:sqref>Z57:Z66</xm:sqref>
        </x14:conditionalFormatting>
        <x14:conditionalFormatting xmlns:xm="http://schemas.microsoft.com/office/excel/2006/main">
          <x14:cfRule type="expression" priority="37" id="{3AD15BEC-7BDA-4857-B09C-AF2A71E35147}">
            <xm:f>Calculos!$BQ446=2</xm:f>
            <x14:dxf>
              <fill>
                <patternFill>
                  <bgColor theme="5" tint="0.39994506668294322"/>
                </patternFill>
              </fill>
            </x14:dxf>
          </x14:cfRule>
          <x14:cfRule type="expression" priority="38" id="{B79A8EFB-513E-4977-8E51-E93D4F23F934}">
            <xm:f>Calculos!$BQ446=1</xm:f>
            <x14:dxf>
              <fill>
                <patternFill>
                  <bgColor theme="7" tint="0.79998168889431442"/>
                </patternFill>
              </fill>
            </x14:dxf>
          </x14:cfRule>
          <x14:cfRule type="expression" priority="39" id="{67E2373C-8CC0-4184-9DEA-D69EA198714D}">
            <xm:f>Calculos!$BQ446=0</xm:f>
            <x14:dxf>
              <fill>
                <patternFill>
                  <bgColor theme="9" tint="0.79998168889431442"/>
                </patternFill>
              </fill>
            </x14:dxf>
          </x14:cfRule>
          <x14:cfRule type="expression" priority="36" id="{749EBDFB-79B7-4751-8AAD-615904D668F4}">
            <xm:f>Calculos!$BQ446=3</xm:f>
            <x14:dxf>
              <font>
                <color theme="0"/>
              </font>
              <fill>
                <patternFill>
                  <bgColor theme="0" tint="-0.499984740745262"/>
                </patternFill>
              </fill>
            </x14:dxf>
          </x14:cfRule>
          <xm:sqref>AB57:AB66</xm:sqref>
        </x14:conditionalFormatting>
        <x14:conditionalFormatting xmlns:xm="http://schemas.microsoft.com/office/excel/2006/main">
          <x14:cfRule type="expression" priority="400" id="{DE7E5C5B-079F-47F3-9ABD-F36C49AD89D4}">
            <xm:f>NOT(OR($N$30=Tabelas_fonte!$AO$26,$N$30=Tabelas_fonte!$AO$27))</xm:f>
            <x14:dxf>
              <font>
                <color theme="0"/>
              </font>
              <fill>
                <patternFill>
                  <bgColor theme="0"/>
                </patternFill>
              </fill>
              <border>
                <left/>
                <right/>
                <top/>
                <bottom/>
                <vertical/>
                <horizontal/>
              </border>
            </x14:dxf>
          </x14:cfRule>
          <xm:sqref>AC32:AW46</xm:sqref>
        </x14:conditionalFormatting>
        <x14:conditionalFormatting xmlns:xm="http://schemas.microsoft.com/office/excel/2006/main">
          <x14:cfRule type="expression" priority="18" id="{A14EEF51-0199-42CD-920A-E5AA3D1FAA2C}">
            <xm:f>Calculos!$CA446=1</xm:f>
            <x14:dxf>
              <fill>
                <patternFill>
                  <bgColor theme="7" tint="0.79998168889431442"/>
                </patternFill>
              </fill>
            </x14:dxf>
          </x14:cfRule>
          <x14:cfRule type="expression" priority="17" id="{FA23B078-DD8D-4636-98AA-FFBCB2918EDD}">
            <xm:f>Calculos!$CA446=2</xm:f>
            <x14:dxf>
              <fill>
                <patternFill>
                  <bgColor theme="5" tint="0.39994506668294322"/>
                </patternFill>
              </fill>
            </x14:dxf>
          </x14:cfRule>
          <x14:cfRule type="expression" priority="16" id="{133A142A-33CF-44FF-9587-9CF1E3851CB8}">
            <xm:f>Calculos!$CA446=3</xm:f>
            <x14:dxf>
              <font>
                <color theme="0"/>
              </font>
              <fill>
                <patternFill>
                  <bgColor theme="0" tint="-0.499984740745262"/>
                </patternFill>
              </fill>
            </x14:dxf>
          </x14:cfRule>
          <x14:cfRule type="expression" priority="19" id="{B13ED87F-46AF-4824-9EAA-863D8F84D239}">
            <xm:f>Calculos!$CA446=0</xm:f>
            <x14:dxf>
              <fill>
                <patternFill>
                  <bgColor theme="9" tint="0.79998168889431442"/>
                </patternFill>
              </fill>
            </x14:dxf>
          </x14:cfRule>
          <xm:sqref>AD57:AD66</xm:sqref>
        </x14:conditionalFormatting>
        <x14:conditionalFormatting xmlns:xm="http://schemas.microsoft.com/office/excel/2006/main">
          <x14:cfRule type="expression" priority="12" id="{0AD5ADD7-7574-4ED0-B1D3-1472EF45EA9D}">
            <xm:f>Calculos!$CB446=3</xm:f>
            <x14:dxf>
              <font>
                <color theme="0"/>
              </font>
              <fill>
                <patternFill>
                  <bgColor theme="0" tint="-0.499984740745262"/>
                </patternFill>
              </fill>
            </x14:dxf>
          </x14:cfRule>
          <x14:cfRule type="expression" priority="15" id="{9B503758-517D-4231-B8A5-D74D602D8F68}">
            <xm:f>Calculos!$CB446=0</xm:f>
            <x14:dxf>
              <fill>
                <patternFill>
                  <bgColor theme="9" tint="0.79998168889431442"/>
                </patternFill>
              </fill>
            </x14:dxf>
          </x14:cfRule>
          <x14:cfRule type="expression" priority="14" id="{419965D8-353E-4D4B-8FE9-B5476A116292}">
            <xm:f>Calculos!$CB446=1</xm:f>
            <x14:dxf>
              <fill>
                <patternFill>
                  <bgColor theme="7" tint="0.79998168889431442"/>
                </patternFill>
              </fill>
            </x14:dxf>
          </x14:cfRule>
          <x14:cfRule type="expression" priority="13" id="{D1FCEF24-9468-445D-92AF-E87881427532}">
            <xm:f>Calculos!$CB446=2</xm:f>
            <x14:dxf>
              <fill>
                <patternFill>
                  <bgColor theme="5" tint="0.39994506668294322"/>
                </patternFill>
              </fill>
            </x14:dxf>
          </x14:cfRule>
          <xm:sqref>AF57:AF66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errorTitle="Resposta inválida" error="A resposta de ser Sim ou Não." xr:uid="{E255A2D7-5B44-46C1-AEC6-3569E7E03381}">
          <x14:formula1>
            <xm:f>Tabelas_fonte!$Y$2:$Y$3</xm:f>
          </x14:formula1>
          <xm:sqref>N14:S14 N25:S25</xm:sqref>
        </x14:dataValidation>
        <x14:dataValidation type="list" allowBlank="1" showInputMessage="1" xr:uid="{9E0603CC-AF32-47A9-83DF-B5F47F5E0E57}">
          <x14:formula1>
            <xm:f>Tabelas_fonte!$AO$2:$AO$3</xm:f>
          </x14:formula1>
          <xm:sqref>N15:AJ15</xm:sqref>
        </x14:dataValidation>
        <x14:dataValidation type="list" allowBlank="1" showInputMessage="1" showErrorMessage="1" errorTitle="Valor inválido" error="Escolha uma das opções disponíveis" xr:uid="{47E52E40-3F35-4835-A150-62205E42DAF5}">
          <x14:formula1>
            <xm:f>Tabelas_fonte!$AO$10:$AO$11</xm:f>
          </x14:formula1>
          <xm:sqref>N20:S20</xm:sqref>
        </x14:dataValidation>
        <x14:dataValidation type="list" allowBlank="1" showInputMessage="1" showErrorMessage="1" errorTitle="Valor inválido" error="Escolha uma das opções disponíveis" xr:uid="{A05DA413-AF47-4FBD-AF11-2B658ADB976B}">
          <x14:formula1>
            <xm:f>Tabelas_fonte!$AO$21:$AO$22</xm:f>
          </x14:formula1>
          <xm:sqref>N21:S21</xm:sqref>
        </x14:dataValidation>
        <x14:dataValidation type="list" allowBlank="1" showInputMessage="1" showErrorMessage="1" errorTitle="Valor inválido" error="Escolha uma das opções disponíveis" xr:uid="{2E75EEA5-DCE3-4D30-9147-2E68FC0F96AB}">
          <x14:formula1>
            <xm:f>Tabelas_fonte!$AO$25:$AO$27</xm:f>
          </x14:formula1>
          <xm:sqref>N30:S30</xm:sqref>
        </x14:dataValidation>
        <x14:dataValidation type="list" allowBlank="1" showInputMessage="1" showErrorMessage="1" errorTitle="Valor inválido" error="Escolha uma das opções disponíveis" xr:uid="{B5D2264C-A7C7-42EF-B572-857B0C588C18}">
          <x14:formula1>
            <xm:f>Tabelas_fonte!$AO$15:$AO$17</xm:f>
          </x14:formula1>
          <xm:sqref>N71:S71 N110:S110 N149:S149</xm:sqref>
        </x14:dataValidation>
        <x14:dataValidation type="list" allowBlank="1" showInputMessage="1" xr:uid="{3CA0B183-CBD1-4AE3-80DE-A062E5924E1A}">
          <x14:formula1>
            <xm:f>Tabelas_fonte!$AO$34</xm:f>
          </x14:formula1>
          <xm:sqref>N26</xm:sqref>
        </x14:dataValidation>
        <x14:dataValidation type="list" allowBlank="1" showInputMessage="1" showErrorMessage="1" errorTitle="Valor inválido" error="Escolha uma das opções disponíveis" xr:uid="{401A8D19-B00E-40E5-93BB-0BAC86AC0B2D}">
          <x14:formula1>
            <xm:f>Tabelas_fonte!$AO$42:$AO$44</xm:f>
          </x14:formula1>
          <xm:sqref>N72:S72 N111:S111 N150:S150</xm:sqref>
        </x14:dataValidation>
        <x14:dataValidation type="list" allowBlank="1" showInputMessage="1" showErrorMessage="1" errorTitle="Valor inválido" error="Escolha uma das opções disponíveis" xr:uid="{5635827F-5AB3-4934-AFEE-720AD9494700}">
          <x14:formula1>
            <xm:f>Tabelas_fonte!$AO$30:$AO$31</xm:f>
          </x14:formula1>
          <xm:sqref>N74:X74 N113:X113 N152:X152</xm:sqref>
        </x14:dataValidation>
        <x14:dataValidation type="list" allowBlank="1" showInputMessage="1" showErrorMessage="1" errorTitle="Valor inválido" error="Escolha uma das opções disponíveis" xr:uid="{4A2D7C3D-94D0-44A8-B3F6-73BDAD60CF23}">
          <x14:formula1>
            <xm:f>Tabelas_fonte!$AO$47:$AO$49</xm:f>
          </x14:formula1>
          <xm:sqref>N75:X75 N114:X114 N153:X153</xm:sqref>
        </x14:dataValidation>
        <x14:dataValidation type="list" allowBlank="1" showInputMessage="1" showErrorMessage="1" errorTitle="Valor inválido" error="A resposta deve ser Sim ou Não" xr:uid="{699FA7B4-0F9C-410E-96EF-A820527D7F91}">
          <x14:formula1>
            <xm:f>Tabelas_fonte!$Y$2:$Y$3</xm:f>
          </x14:formula1>
          <xm:sqref>AI189:AM192</xm:sqref>
        </x14:dataValidation>
        <x14:dataValidation type="list" allowBlank="1" showInputMessage="1" showErrorMessage="1" errorTitle="Resposta inválida" error="A resposta deve ser Sim ou Não" xr:uid="{8069637A-5086-491D-839D-FC7230151D31}">
          <x14:formula1>
            <xm:f>Tabelas_fonte!$Y$2:$Y$3</xm:f>
          </x14:formula1>
          <xm:sqref>AH202:AM204</xm:sqref>
        </x14:dataValidation>
        <x14:dataValidation type="list" allowBlank="1" showInputMessage="1" showErrorMessage="1" errorTitle="Valor inválido" error="A resposta deve ser Sim ou Não" xr:uid="{9C5B959D-592B-4B39-9FCB-21E9128F19C7}">
          <x14:formula1>
            <xm:f>Tabelas_fonte!$AO$58:$AO$60</xm:f>
          </x14:formula1>
          <xm:sqref>Q202:U204</xm:sqref>
        </x14:dataValidation>
        <x14:dataValidation type="list" allowBlank="1" showInputMessage="1" showErrorMessage="1" errorTitle="Resposta inválida" error="A resposta deve ser Sim ou Não" xr:uid="{2D727E35-B888-4738-8E6A-0D067D8A0BC8}">
          <x14:formula1>
            <xm:f>Tabelas_fonte!$AO$58:$AO$60</xm:f>
          </x14:formula1>
          <xm:sqref>V202:Y204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26C5D-2DC4-4C2C-81AA-0EF5B1470F0B}">
  <sheetPr codeName="Planilha31">
    <tabColor theme="8" tint="0.59999389629810485"/>
  </sheetPr>
  <dimension ref="A1:AC1044"/>
  <sheetViews>
    <sheetView showGridLines="0" topLeftCell="D1" zoomScale="85" zoomScaleNormal="85" workbookViewId="0">
      <selection activeCell="D1" sqref="D1"/>
    </sheetView>
  </sheetViews>
  <sheetFormatPr defaultColWidth="0" defaultRowHeight="15" zeroHeight="1" x14ac:dyDescent="0.25"/>
  <cols>
    <col min="1" max="3" width="2.7109375" style="20" hidden="1" customWidth="1"/>
    <col min="4" max="4" width="2.7109375" style="20" customWidth="1"/>
    <col min="5" max="13" width="4.7109375" style="20" customWidth="1"/>
    <col min="14" max="17" width="15.7109375" style="20" customWidth="1"/>
    <col min="18" max="18" width="22.7109375" style="20" customWidth="1"/>
    <col min="19" max="19" width="20.7109375" style="20" customWidth="1"/>
    <col min="20" max="20" width="4.7109375" style="20" customWidth="1"/>
    <col min="21" max="21" width="10.7109375" style="20" customWidth="1"/>
    <col min="22" max="23" width="4.7109375" style="20" customWidth="1"/>
    <col min="24" max="24" width="11.28515625" style="20" hidden="1" customWidth="1"/>
    <col min="25" max="28" width="9.28515625" style="20" hidden="1" customWidth="1"/>
    <col min="29" max="29" width="11.28515625" style="20" hidden="1" customWidth="1"/>
    <col min="30" max="16384" width="0" style="20" hidden="1"/>
  </cols>
  <sheetData>
    <row r="1" spans="1:23" x14ac:dyDescent="0.25">
      <c r="A1" s="18"/>
      <c r="B1" s="18"/>
      <c r="C1" s="18"/>
      <c r="D1" s="7"/>
      <c r="E1" s="7"/>
      <c r="F1" s="7"/>
      <c r="G1" s="7"/>
      <c r="H1" s="7"/>
      <c r="I1" s="7"/>
      <c r="J1" s="7"/>
      <c r="K1" s="7"/>
      <c r="L1" s="7"/>
      <c r="M1" s="7"/>
      <c r="N1" s="7"/>
      <c r="O1" s="7"/>
      <c r="P1" s="7"/>
      <c r="Q1" s="7"/>
      <c r="R1" s="7"/>
      <c r="S1" s="7"/>
      <c r="T1" s="7"/>
      <c r="U1" s="7"/>
      <c r="V1" s="7"/>
      <c r="W1" s="7"/>
    </row>
    <row r="2" spans="1:23" ht="15" customHeight="1" x14ac:dyDescent="0.25">
      <c r="A2" s="18"/>
      <c r="B2" s="18"/>
      <c r="C2" s="18"/>
      <c r="D2" s="7"/>
      <c r="E2" s="2"/>
      <c r="F2" s="1148" t="s">
        <v>354</v>
      </c>
      <c r="G2" s="1148"/>
      <c r="H2" s="1148"/>
      <c r="I2" s="1148"/>
      <c r="J2" s="1148"/>
      <c r="K2" s="1148"/>
      <c r="L2" s="1148"/>
      <c r="M2" s="1148"/>
      <c r="N2" s="1148"/>
      <c r="O2" s="1148"/>
      <c r="P2" s="1148"/>
      <c r="Q2" s="1148"/>
      <c r="R2" s="1148"/>
      <c r="S2" s="1148"/>
      <c r="T2" s="1148"/>
      <c r="U2" s="158"/>
      <c r="V2" s="2"/>
      <c r="W2" s="7"/>
    </row>
    <row r="3" spans="1:23" ht="15" customHeight="1" x14ac:dyDescent="0.25">
      <c r="A3" s="18"/>
      <c r="B3" s="18"/>
      <c r="C3" s="18"/>
      <c r="D3" s="159"/>
      <c r="E3" s="158"/>
      <c r="F3" s="1148"/>
      <c r="G3" s="1148"/>
      <c r="H3" s="1148"/>
      <c r="I3" s="1148"/>
      <c r="J3" s="1148"/>
      <c r="K3" s="1148"/>
      <c r="L3" s="1148"/>
      <c r="M3" s="1148"/>
      <c r="N3" s="1148"/>
      <c r="O3" s="1148"/>
      <c r="P3" s="1148"/>
      <c r="Q3" s="1148"/>
      <c r="R3" s="1148"/>
      <c r="S3" s="1148"/>
      <c r="T3" s="1148"/>
      <c r="U3" s="158"/>
      <c r="V3" s="2"/>
      <c r="W3" s="7"/>
    </row>
    <row r="4" spans="1:23" ht="15" customHeight="1" x14ac:dyDescent="0.25">
      <c r="A4" s="18"/>
      <c r="B4" s="18"/>
      <c r="C4" s="18"/>
      <c r="D4" s="159"/>
      <c r="E4" s="158"/>
      <c r="F4" s="1148"/>
      <c r="G4" s="1148"/>
      <c r="H4" s="1148"/>
      <c r="I4" s="1148"/>
      <c r="J4" s="1148"/>
      <c r="K4" s="1148"/>
      <c r="L4" s="1148"/>
      <c r="M4" s="1148"/>
      <c r="N4" s="1148"/>
      <c r="O4" s="1148"/>
      <c r="P4" s="1148"/>
      <c r="Q4" s="1148"/>
      <c r="R4" s="1148"/>
      <c r="S4" s="1148"/>
      <c r="T4" s="1148"/>
      <c r="U4" s="158"/>
      <c r="V4" s="2"/>
      <c r="W4" s="7"/>
    </row>
    <row r="5" spans="1:23" ht="15" customHeight="1" x14ac:dyDescent="0.25">
      <c r="A5" s="18"/>
      <c r="B5" s="18"/>
      <c r="C5" s="18"/>
      <c r="D5" s="159"/>
      <c r="E5" s="158"/>
      <c r="F5" s="1148"/>
      <c r="G5" s="1148"/>
      <c r="H5" s="1148"/>
      <c r="I5" s="1148"/>
      <c r="J5" s="1148"/>
      <c r="K5" s="1148"/>
      <c r="L5" s="1148"/>
      <c r="M5" s="1148"/>
      <c r="N5" s="1148"/>
      <c r="O5" s="1148"/>
      <c r="P5" s="1148"/>
      <c r="Q5" s="1148"/>
      <c r="R5" s="1148"/>
      <c r="S5" s="1148"/>
      <c r="T5" s="1148"/>
      <c r="U5" s="158"/>
      <c r="V5" s="2"/>
      <c r="W5" s="7"/>
    </row>
    <row r="6" spans="1:23" ht="15" customHeight="1" x14ac:dyDescent="0.25">
      <c r="A6" s="18"/>
      <c r="B6" s="18"/>
      <c r="C6" s="18"/>
      <c r="D6" s="159"/>
      <c r="E6" s="158"/>
      <c r="F6" s="1148"/>
      <c r="G6" s="1148"/>
      <c r="H6" s="1148"/>
      <c r="I6" s="1148"/>
      <c r="J6" s="1148"/>
      <c r="K6" s="1148"/>
      <c r="L6" s="1148"/>
      <c r="M6" s="1148"/>
      <c r="N6" s="1148"/>
      <c r="O6" s="1148"/>
      <c r="P6" s="1148"/>
      <c r="Q6" s="1148"/>
      <c r="R6" s="1148"/>
      <c r="S6" s="1148"/>
      <c r="T6" s="1148"/>
      <c r="U6" s="158"/>
      <c r="V6" s="2"/>
      <c r="W6" s="7"/>
    </row>
    <row r="7" spans="1:23" ht="15" customHeight="1" x14ac:dyDescent="0.25">
      <c r="A7" s="18"/>
      <c r="B7" s="18"/>
      <c r="C7" s="18"/>
      <c r="D7" s="159"/>
      <c r="E7" s="158"/>
      <c r="F7" s="1148"/>
      <c r="G7" s="1148"/>
      <c r="H7" s="1148"/>
      <c r="I7" s="1148"/>
      <c r="J7" s="1148"/>
      <c r="K7" s="1148"/>
      <c r="L7" s="1148"/>
      <c r="M7" s="1148"/>
      <c r="N7" s="1148"/>
      <c r="O7" s="1148"/>
      <c r="P7" s="1148"/>
      <c r="Q7" s="1148"/>
      <c r="R7" s="1148"/>
      <c r="S7" s="1148"/>
      <c r="T7" s="1148"/>
      <c r="U7" s="104"/>
      <c r="V7" s="2"/>
      <c r="W7" s="7"/>
    </row>
    <row r="8" spans="1:23" ht="15" customHeight="1" x14ac:dyDescent="0.25">
      <c r="A8" s="18"/>
      <c r="B8" s="18"/>
      <c r="C8" s="18"/>
      <c r="D8" s="7"/>
      <c r="E8" s="7"/>
      <c r="F8" s="1"/>
      <c r="G8" s="1"/>
      <c r="H8" s="1"/>
      <c r="I8" s="1"/>
      <c r="J8" s="1"/>
      <c r="K8" s="1"/>
      <c r="L8" s="1"/>
      <c r="M8" s="1"/>
      <c r="N8" s="1"/>
      <c r="O8" s="1"/>
      <c r="P8" s="1"/>
      <c r="Q8" s="1"/>
      <c r="R8" s="1"/>
      <c r="S8" s="1"/>
      <c r="T8" s="1"/>
      <c r="U8" s="1"/>
      <c r="V8" s="1"/>
      <c r="W8" s="7"/>
    </row>
    <row r="9" spans="1:23" ht="50.1" customHeight="1" x14ac:dyDescent="0.25">
      <c r="A9" s="18"/>
      <c r="B9" s="18"/>
      <c r="C9" s="18"/>
      <c r="D9" s="7"/>
      <c r="E9" s="1468" t="s">
        <v>88</v>
      </c>
      <c r="F9" s="1468"/>
      <c r="G9" s="1468"/>
      <c r="H9" s="1468"/>
      <c r="I9" s="1468"/>
      <c r="J9" s="1468"/>
      <c r="K9" s="1468"/>
      <c r="L9" s="1468"/>
      <c r="M9" s="1468"/>
      <c r="N9" s="1468"/>
      <c r="O9" s="1468"/>
      <c r="P9" s="1468"/>
      <c r="Q9" s="1468"/>
      <c r="R9" s="1468"/>
      <c r="S9" s="1468"/>
      <c r="T9" s="1468"/>
      <c r="U9" s="1468"/>
      <c r="V9" s="1468"/>
      <c r="W9" s="7"/>
    </row>
    <row r="10" spans="1:23" ht="20.100000000000001" customHeight="1" x14ac:dyDescent="0.25">
      <c r="A10" s="18"/>
      <c r="B10" s="18"/>
      <c r="C10" s="18"/>
      <c r="D10" s="7"/>
      <c r="E10" s="7"/>
      <c r="F10" s="1"/>
      <c r="G10" s="1"/>
      <c r="H10" s="1"/>
      <c r="I10" s="1"/>
      <c r="J10" s="1"/>
      <c r="K10" s="1"/>
      <c r="L10" s="1"/>
      <c r="M10" s="1"/>
      <c r="N10" s="316"/>
      <c r="O10" s="1"/>
      <c r="P10" s="1"/>
      <c r="Q10" s="1"/>
      <c r="R10" s="1"/>
      <c r="S10" s="1"/>
      <c r="T10" s="1"/>
      <c r="U10" s="1"/>
      <c r="V10" s="1"/>
      <c r="W10" s="7"/>
    </row>
    <row r="11" spans="1:23" ht="20.100000000000001" customHeight="1" x14ac:dyDescent="0.25">
      <c r="A11" s="18"/>
      <c r="B11" s="18"/>
      <c r="C11" s="18"/>
      <c r="D11" s="7"/>
      <c r="E11" s="321"/>
      <c r="F11" s="322"/>
      <c r="G11" s="323"/>
      <c r="H11" s="323"/>
      <c r="I11" s="323"/>
      <c r="J11" s="323"/>
      <c r="K11" s="323"/>
      <c r="L11" s="323"/>
      <c r="M11" s="323"/>
      <c r="N11" s="324"/>
      <c r="O11" s="324"/>
      <c r="P11" s="324"/>
      <c r="Q11" s="324"/>
      <c r="R11" s="324"/>
      <c r="S11" s="323"/>
      <c r="T11" s="323"/>
      <c r="U11" s="323"/>
      <c r="V11" s="325"/>
      <c r="W11" s="7"/>
    </row>
    <row r="12" spans="1:23" ht="39.950000000000003" customHeight="1" x14ac:dyDescent="0.25">
      <c r="A12" s="18"/>
      <c r="B12" s="18"/>
      <c r="C12" s="18"/>
      <c r="D12" s="7"/>
      <c r="E12" s="326"/>
      <c r="F12" s="1469" t="s">
        <v>8604</v>
      </c>
      <c r="G12" s="1470"/>
      <c r="H12" s="1470"/>
      <c r="I12" s="1470"/>
      <c r="J12" s="1470"/>
      <c r="K12" s="1470"/>
      <c r="L12" s="1470"/>
      <c r="M12" s="1470"/>
      <c r="N12" s="327" t="str">
        <f ca="1">"Concentração"&amp;" "&amp;Calculos!$BJ$3</f>
        <v>Concentração -</v>
      </c>
      <c r="O12" s="327" t="s">
        <v>6038</v>
      </c>
      <c r="P12" s="327" t="s">
        <v>8126</v>
      </c>
      <c r="Q12" s="327" t="s">
        <v>8028</v>
      </c>
      <c r="R12" s="327" t="s">
        <v>8603</v>
      </c>
      <c r="S12" s="327" t="s">
        <v>8127</v>
      </c>
      <c r="U12" s="328" t="s">
        <v>119</v>
      </c>
      <c r="V12" s="329"/>
      <c r="W12" s="1"/>
    </row>
    <row r="13" spans="1:23" ht="20.100000000000001" customHeight="1" x14ac:dyDescent="0.25">
      <c r="A13" s="18"/>
      <c r="B13" s="18"/>
      <c r="C13" s="18"/>
      <c r="D13" s="7"/>
      <c r="E13" s="326"/>
      <c r="F13" s="1471" t="str">
        <f ca="1">Calculos!$BJ$4</f>
        <v>-</v>
      </c>
      <c r="G13" s="1471"/>
      <c r="H13" s="1471"/>
      <c r="I13" s="1471"/>
      <c r="J13" s="1472" t="s">
        <v>7103</v>
      </c>
      <c r="K13" s="1473"/>
      <c r="L13" s="1473"/>
      <c r="M13" s="1474"/>
      <c r="N13" s="188"/>
      <c r="O13" s="188"/>
      <c r="P13" s="330"/>
      <c r="Q13" s="330"/>
      <c r="R13" s="187">
        <v>0</v>
      </c>
      <c r="S13" s="331">
        <f>O13/2</f>
        <v>0</v>
      </c>
      <c r="U13" s="331" t="str">
        <f ca="1">Calculos!BO$10</f>
        <v>-</v>
      </c>
      <c r="V13" s="329"/>
      <c r="W13" s="1"/>
    </row>
    <row r="14" spans="1:23" ht="20.100000000000001" customHeight="1" x14ac:dyDescent="0.25">
      <c r="A14" s="18"/>
      <c r="B14" s="18"/>
      <c r="C14" s="18"/>
      <c r="D14" s="7"/>
      <c r="E14" s="326"/>
      <c r="F14" s="1471"/>
      <c r="G14" s="1471"/>
      <c r="H14" s="1471"/>
      <c r="I14" s="1471"/>
      <c r="J14" s="1286" t="s">
        <v>8027</v>
      </c>
      <c r="K14" s="1286"/>
      <c r="L14" s="1286"/>
      <c r="M14" s="1286"/>
      <c r="N14" s="188"/>
      <c r="O14" s="188"/>
      <c r="P14" s="330"/>
      <c r="Q14" s="330"/>
      <c r="R14" s="187"/>
      <c r="U14" s="331" t="str">
        <f ca="1">Calculos!BO$11</f>
        <v>-</v>
      </c>
      <c r="V14" s="332"/>
      <c r="W14" s="1"/>
    </row>
    <row r="15" spans="1:23" ht="20.100000000000001" customHeight="1" x14ac:dyDescent="0.25">
      <c r="A15" s="18"/>
      <c r="B15" s="18"/>
      <c r="C15" s="18"/>
      <c r="D15" s="7"/>
      <c r="E15" s="326"/>
      <c r="F15" s="1471"/>
      <c r="G15" s="1471"/>
      <c r="H15" s="1471"/>
      <c r="I15" s="1471"/>
      <c r="J15" s="1286"/>
      <c r="K15" s="1286"/>
      <c r="L15" s="1286"/>
      <c r="M15" s="1286"/>
      <c r="N15" s="188"/>
      <c r="O15" s="188"/>
      <c r="P15" s="330"/>
      <c r="Q15" s="330"/>
      <c r="R15" s="187"/>
      <c r="U15" s="331" t="str">
        <f ca="1">Calculos!BO$12</f>
        <v>-</v>
      </c>
      <c r="V15" s="332"/>
      <c r="W15" s="1"/>
    </row>
    <row r="16" spans="1:23" ht="20.100000000000001" customHeight="1" x14ac:dyDescent="0.25">
      <c r="A16" s="18"/>
      <c r="B16" s="18"/>
      <c r="C16" s="18"/>
      <c r="D16" s="7"/>
      <c r="E16" s="326"/>
      <c r="F16" s="1471"/>
      <c r="G16" s="1471"/>
      <c r="H16" s="1471"/>
      <c r="I16" s="1471"/>
      <c r="J16" s="1286"/>
      <c r="K16" s="1286"/>
      <c r="L16" s="1286"/>
      <c r="M16" s="1286"/>
      <c r="N16" s="188"/>
      <c r="O16" s="188"/>
      <c r="P16" s="330"/>
      <c r="Q16" s="330"/>
      <c r="R16" s="187"/>
      <c r="U16" s="331" t="str">
        <f ca="1">Calculos!BO$13</f>
        <v>-</v>
      </c>
      <c r="V16" s="332"/>
      <c r="W16" s="1"/>
    </row>
    <row r="17" spans="1:23" ht="20.100000000000001" customHeight="1" x14ac:dyDescent="0.25">
      <c r="A17" s="18"/>
      <c r="B17" s="18"/>
      <c r="C17" s="18"/>
      <c r="D17" s="7"/>
      <c r="E17" s="326"/>
      <c r="F17" s="1471"/>
      <c r="G17" s="1471"/>
      <c r="H17" s="1471"/>
      <c r="I17" s="1471"/>
      <c r="J17" s="1286"/>
      <c r="K17" s="1286"/>
      <c r="L17" s="1286"/>
      <c r="M17" s="1286"/>
      <c r="N17" s="188"/>
      <c r="O17" s="188"/>
      <c r="P17" s="330"/>
      <c r="Q17" s="330"/>
      <c r="R17" s="187"/>
      <c r="U17" s="331" t="str">
        <f ca="1">Calculos!BO$14</f>
        <v>-</v>
      </c>
      <c r="V17" s="332"/>
      <c r="W17" s="1"/>
    </row>
    <row r="18" spans="1:23" ht="20.100000000000001" customHeight="1" x14ac:dyDescent="0.25">
      <c r="A18" s="18"/>
      <c r="B18" s="18"/>
      <c r="C18" s="18"/>
      <c r="D18" s="7"/>
      <c r="E18" s="326"/>
      <c r="F18" s="1471"/>
      <c r="G18" s="1471"/>
      <c r="H18" s="1471"/>
      <c r="I18" s="1471"/>
      <c r="J18" s="1286"/>
      <c r="K18" s="1286"/>
      <c r="L18" s="1286"/>
      <c r="M18" s="1286"/>
      <c r="N18" s="188"/>
      <c r="O18" s="188"/>
      <c r="P18" s="330"/>
      <c r="Q18" s="330"/>
      <c r="R18" s="187"/>
      <c r="U18" s="331" t="str">
        <f ca="1">Calculos!BO$15</f>
        <v>-</v>
      </c>
      <c r="V18" s="332"/>
      <c r="W18" s="1"/>
    </row>
    <row r="19" spans="1:23" ht="20.100000000000001" customHeight="1" x14ac:dyDescent="0.25">
      <c r="A19" s="18"/>
      <c r="B19" s="18"/>
      <c r="C19" s="18"/>
      <c r="D19" s="7"/>
      <c r="E19" s="326"/>
      <c r="F19" s="1471"/>
      <c r="G19" s="1471"/>
      <c r="H19" s="1471"/>
      <c r="I19" s="1471"/>
      <c r="J19" s="1286"/>
      <c r="K19" s="1286"/>
      <c r="L19" s="1286"/>
      <c r="M19" s="1286"/>
      <c r="N19" s="188"/>
      <c r="O19" s="188"/>
      <c r="P19" s="330"/>
      <c r="Q19" s="330"/>
      <c r="R19" s="187"/>
      <c r="U19" s="331" t="str">
        <f ca="1">Calculos!BO$16</f>
        <v>-</v>
      </c>
      <c r="V19" s="332"/>
      <c r="W19" s="1"/>
    </row>
    <row r="20" spans="1:23" ht="20.100000000000001" customHeight="1" x14ac:dyDescent="0.25">
      <c r="A20" s="18"/>
      <c r="B20" s="18"/>
      <c r="C20" s="18"/>
      <c r="D20" s="7"/>
      <c r="E20" s="326"/>
      <c r="F20" s="1471"/>
      <c r="G20" s="1471"/>
      <c r="H20" s="1471"/>
      <c r="I20" s="1471"/>
      <c r="J20" s="1286"/>
      <c r="K20" s="1286"/>
      <c r="L20" s="1286"/>
      <c r="M20" s="1286"/>
      <c r="N20" s="188"/>
      <c r="O20" s="188"/>
      <c r="P20" s="330"/>
      <c r="Q20" s="330"/>
      <c r="R20" s="187"/>
      <c r="U20" s="331" t="str">
        <f ca="1">Calculos!BO$17</f>
        <v>-</v>
      </c>
      <c r="V20" s="332"/>
      <c r="W20" s="1"/>
    </row>
    <row r="21" spans="1:23" ht="20.100000000000001" customHeight="1" x14ac:dyDescent="0.25">
      <c r="A21" s="18"/>
      <c r="B21" s="18"/>
      <c r="C21" s="18"/>
      <c r="D21" s="7"/>
      <c r="E21" s="326"/>
      <c r="F21" s="1471"/>
      <c r="G21" s="1471"/>
      <c r="H21" s="1471"/>
      <c r="I21" s="1471"/>
      <c r="J21" s="1286"/>
      <c r="K21" s="1286"/>
      <c r="L21" s="1286"/>
      <c r="M21" s="1286"/>
      <c r="N21" s="188"/>
      <c r="O21" s="188"/>
      <c r="P21" s="330"/>
      <c r="Q21" s="330"/>
      <c r="R21" s="187"/>
      <c r="U21" s="331" t="str">
        <f ca="1">Calculos!BO$18</f>
        <v>-</v>
      </c>
      <c r="V21" s="332"/>
      <c r="W21" s="1"/>
    </row>
    <row r="22" spans="1:23" ht="20.100000000000001" customHeight="1" x14ac:dyDescent="0.25">
      <c r="A22" s="18"/>
      <c r="B22" s="18"/>
      <c r="C22" s="18"/>
      <c r="D22" s="7"/>
      <c r="E22" s="326"/>
      <c r="F22" s="1471"/>
      <c r="G22" s="1471"/>
      <c r="H22" s="1471"/>
      <c r="I22" s="1471"/>
      <c r="J22" s="1286"/>
      <c r="K22" s="1286"/>
      <c r="L22" s="1286"/>
      <c r="M22" s="1286"/>
      <c r="N22" s="188"/>
      <c r="O22" s="188"/>
      <c r="P22" s="330"/>
      <c r="Q22" s="330"/>
      <c r="R22" s="187"/>
      <c r="U22" s="331" t="str">
        <f ca="1">Calculos!BO$19</f>
        <v>-</v>
      </c>
      <c r="V22" s="332"/>
      <c r="W22" s="1"/>
    </row>
    <row r="23" spans="1:23" ht="20.100000000000001" customHeight="1" x14ac:dyDescent="0.25">
      <c r="A23" s="18"/>
      <c r="B23" s="18"/>
      <c r="C23" s="18"/>
      <c r="D23" s="7"/>
      <c r="E23" s="326"/>
      <c r="F23" s="1471"/>
      <c r="G23" s="1471"/>
      <c r="H23" s="1471"/>
      <c r="I23" s="1471"/>
      <c r="J23" s="1286"/>
      <c r="K23" s="1286"/>
      <c r="L23" s="1286"/>
      <c r="M23" s="1286"/>
      <c r="N23" s="188"/>
      <c r="O23" s="188"/>
      <c r="P23" s="330"/>
      <c r="Q23" s="330"/>
      <c r="R23" s="187"/>
      <c r="U23" s="331" t="str">
        <f ca="1">Calculos!BO$20</f>
        <v>-</v>
      </c>
      <c r="V23" s="332"/>
      <c r="W23" s="1"/>
    </row>
    <row r="24" spans="1:23" ht="20.100000000000001" customHeight="1" x14ac:dyDescent="0.25">
      <c r="A24" s="18"/>
      <c r="B24" s="18"/>
      <c r="C24" s="18"/>
      <c r="D24" s="7"/>
      <c r="E24" s="326"/>
      <c r="F24" s="1471"/>
      <c r="G24" s="1471"/>
      <c r="H24" s="1471"/>
      <c r="I24" s="1471"/>
      <c r="J24" s="1472" t="s">
        <v>80</v>
      </c>
      <c r="K24" s="1473"/>
      <c r="L24" s="1473"/>
      <c r="M24" s="1474"/>
      <c r="N24" s="188"/>
      <c r="O24" s="188"/>
      <c r="P24" s="330"/>
      <c r="Q24" s="330"/>
      <c r="R24" s="187" t="s">
        <v>10</v>
      </c>
      <c r="U24" s="331" t="str">
        <f ca="1">Calculos!BO$21</f>
        <v>-</v>
      </c>
      <c r="V24" s="332"/>
      <c r="W24" s="1"/>
    </row>
    <row r="25" spans="1:23" ht="20.100000000000001" customHeight="1" x14ac:dyDescent="0.25">
      <c r="A25" s="18"/>
      <c r="B25" s="18"/>
      <c r="C25" s="18"/>
      <c r="D25" s="7"/>
      <c r="E25" s="326"/>
      <c r="V25" s="332"/>
      <c r="W25" s="1"/>
    </row>
    <row r="26" spans="1:23" ht="20.100000000000001" hidden="1" customHeight="1" x14ac:dyDescent="0.25">
      <c r="A26" s="18"/>
      <c r="B26" s="18"/>
      <c r="C26" s="18"/>
      <c r="D26" s="7"/>
      <c r="E26" s="326"/>
      <c r="V26" s="332"/>
      <c r="W26" s="1"/>
    </row>
    <row r="27" spans="1:23" ht="20.100000000000001" hidden="1" customHeight="1" x14ac:dyDescent="0.25">
      <c r="A27" s="18"/>
      <c r="B27" s="18"/>
      <c r="C27" s="18"/>
      <c r="D27" s="7"/>
      <c r="E27" s="326"/>
      <c r="V27" s="332"/>
      <c r="W27" s="1"/>
    </row>
    <row r="28" spans="1:23" ht="20.100000000000001" customHeight="1" x14ac:dyDescent="0.25">
      <c r="A28" s="18"/>
      <c r="B28" s="18"/>
      <c r="C28" s="18"/>
      <c r="D28" s="7"/>
      <c r="E28" s="326"/>
      <c r="V28" s="332"/>
      <c r="W28" s="1"/>
    </row>
    <row r="29" spans="1:23" ht="39.950000000000003" customHeight="1" x14ac:dyDescent="0.25">
      <c r="A29" s="18"/>
      <c r="B29" s="18"/>
      <c r="C29" s="18"/>
      <c r="D29" s="7"/>
      <c r="E29" s="326"/>
      <c r="F29" s="1475" t="s">
        <v>8605</v>
      </c>
      <c r="G29" s="1476"/>
      <c r="H29" s="1476"/>
      <c r="I29" s="1476"/>
      <c r="J29" s="1476"/>
      <c r="K29" s="1476"/>
      <c r="L29" s="1476"/>
      <c r="M29" s="1476"/>
      <c r="N29" s="333" t="str">
        <f ca="1">"Concentração"&amp;" "&amp;Calculos!$BJ$3</f>
        <v>Concentração -</v>
      </c>
      <c r="O29" s="333" t="s">
        <v>6038</v>
      </c>
      <c r="P29" s="333" t="s">
        <v>8126</v>
      </c>
      <c r="Q29" s="333" t="s">
        <v>8028</v>
      </c>
      <c r="R29" s="333" t="s">
        <v>8603</v>
      </c>
      <c r="S29" s="333" t="s">
        <v>8127</v>
      </c>
      <c r="U29" s="328" t="s">
        <v>119</v>
      </c>
      <c r="V29" s="332"/>
      <c r="W29" s="1"/>
    </row>
    <row r="30" spans="1:23" ht="20.100000000000001" customHeight="1" x14ac:dyDescent="0.25">
      <c r="A30" s="18"/>
      <c r="B30" s="18"/>
      <c r="C30" s="18"/>
      <c r="D30" s="7"/>
      <c r="E30" s="326"/>
      <c r="F30" s="1471" t="str">
        <f ca="1">Calculos!$BJ$4</f>
        <v>-</v>
      </c>
      <c r="G30" s="1471"/>
      <c r="H30" s="1471"/>
      <c r="I30" s="1471"/>
      <c r="J30" s="1472" t="s">
        <v>7103</v>
      </c>
      <c r="K30" s="1473"/>
      <c r="L30" s="1473"/>
      <c r="M30" s="1474"/>
      <c r="N30" s="334"/>
      <c r="O30" s="334"/>
      <c r="P30" s="335"/>
      <c r="Q30" s="335"/>
      <c r="R30" s="335">
        <v>0</v>
      </c>
      <c r="S30" s="331">
        <f>O30/2</f>
        <v>0</v>
      </c>
      <c r="U30" s="331" t="str">
        <f ca="1">Calculos!BO$26</f>
        <v>-</v>
      </c>
      <c r="V30" s="332"/>
      <c r="W30" s="1"/>
    </row>
    <row r="31" spans="1:23" ht="20.100000000000001" customHeight="1" x14ac:dyDescent="0.25">
      <c r="A31" s="18"/>
      <c r="B31" s="18"/>
      <c r="C31" s="18"/>
      <c r="D31" s="7"/>
      <c r="E31" s="326"/>
      <c r="F31" s="1471"/>
      <c r="G31" s="1471"/>
      <c r="H31" s="1471"/>
      <c r="I31" s="1471"/>
      <c r="J31" s="1286" t="s">
        <v>8027</v>
      </c>
      <c r="K31" s="1286"/>
      <c r="L31" s="1286"/>
      <c r="M31" s="1286"/>
      <c r="N31" s="334"/>
      <c r="O31" s="334"/>
      <c r="P31" s="335"/>
      <c r="Q31" s="335"/>
      <c r="R31" s="335"/>
      <c r="U31" s="331" t="str">
        <f ca="1">Calculos!BO$27</f>
        <v>-</v>
      </c>
      <c r="V31" s="332"/>
      <c r="W31" s="1"/>
    </row>
    <row r="32" spans="1:23" ht="20.100000000000001" customHeight="1" x14ac:dyDescent="0.25">
      <c r="A32" s="18"/>
      <c r="B32" s="18"/>
      <c r="C32" s="18"/>
      <c r="D32" s="7"/>
      <c r="E32" s="326"/>
      <c r="F32" s="1471"/>
      <c r="G32" s="1471"/>
      <c r="H32" s="1471"/>
      <c r="I32" s="1471"/>
      <c r="J32" s="1286"/>
      <c r="K32" s="1286"/>
      <c r="L32" s="1286"/>
      <c r="M32" s="1286"/>
      <c r="N32" s="334"/>
      <c r="O32" s="334"/>
      <c r="P32" s="335"/>
      <c r="Q32" s="335"/>
      <c r="R32" s="335"/>
      <c r="U32" s="331" t="str">
        <f ca="1">Calculos!BO$28</f>
        <v>-</v>
      </c>
      <c r="V32" s="332"/>
      <c r="W32" s="1"/>
    </row>
    <row r="33" spans="1:23" ht="20.100000000000001" customHeight="1" x14ac:dyDescent="0.25">
      <c r="A33" s="18"/>
      <c r="B33" s="18"/>
      <c r="C33" s="18"/>
      <c r="D33" s="7"/>
      <c r="E33" s="326"/>
      <c r="F33" s="1471"/>
      <c r="G33" s="1471"/>
      <c r="H33" s="1471"/>
      <c r="I33" s="1471"/>
      <c r="J33" s="1286"/>
      <c r="K33" s="1286"/>
      <c r="L33" s="1286"/>
      <c r="M33" s="1286"/>
      <c r="N33" s="334"/>
      <c r="O33" s="334"/>
      <c r="P33" s="335"/>
      <c r="Q33" s="335"/>
      <c r="R33" s="335"/>
      <c r="U33" s="331" t="str">
        <f ca="1">Calculos!BO$29</f>
        <v>-</v>
      </c>
      <c r="V33" s="332"/>
      <c r="W33" s="1"/>
    </row>
    <row r="34" spans="1:23" ht="20.100000000000001" customHeight="1" x14ac:dyDescent="0.25">
      <c r="A34" s="18"/>
      <c r="B34" s="18"/>
      <c r="C34" s="18"/>
      <c r="D34" s="7"/>
      <c r="E34" s="326"/>
      <c r="F34" s="1471"/>
      <c r="G34" s="1471"/>
      <c r="H34" s="1471"/>
      <c r="I34" s="1471"/>
      <c r="J34" s="1286"/>
      <c r="K34" s="1286"/>
      <c r="L34" s="1286"/>
      <c r="M34" s="1286"/>
      <c r="N34" s="334"/>
      <c r="O34" s="334"/>
      <c r="P34" s="335"/>
      <c r="Q34" s="335"/>
      <c r="R34" s="335"/>
      <c r="U34" s="331" t="str">
        <f ca="1">Calculos!BO$30</f>
        <v>-</v>
      </c>
      <c r="V34" s="332"/>
      <c r="W34" s="1"/>
    </row>
    <row r="35" spans="1:23" ht="20.100000000000001" customHeight="1" x14ac:dyDescent="0.25">
      <c r="A35" s="18"/>
      <c r="B35" s="18"/>
      <c r="C35" s="18"/>
      <c r="D35" s="7"/>
      <c r="E35" s="326"/>
      <c r="F35" s="1471"/>
      <c r="G35" s="1471"/>
      <c r="H35" s="1471"/>
      <c r="I35" s="1471"/>
      <c r="J35" s="1286"/>
      <c r="K35" s="1286"/>
      <c r="L35" s="1286"/>
      <c r="M35" s="1286"/>
      <c r="N35" s="334"/>
      <c r="O35" s="334"/>
      <c r="P35" s="335"/>
      <c r="Q35" s="335"/>
      <c r="R35" s="335"/>
      <c r="U35" s="331" t="str">
        <f ca="1">Calculos!BO$31</f>
        <v>-</v>
      </c>
      <c r="V35" s="332"/>
      <c r="W35" s="1"/>
    </row>
    <row r="36" spans="1:23" ht="20.100000000000001" customHeight="1" x14ac:dyDescent="0.25">
      <c r="A36" s="18"/>
      <c r="B36" s="18"/>
      <c r="C36" s="18"/>
      <c r="D36" s="7"/>
      <c r="E36" s="326"/>
      <c r="F36" s="1471"/>
      <c r="G36" s="1471"/>
      <c r="H36" s="1471"/>
      <c r="I36" s="1471"/>
      <c r="J36" s="1286"/>
      <c r="K36" s="1286"/>
      <c r="L36" s="1286"/>
      <c r="M36" s="1286"/>
      <c r="N36" s="334"/>
      <c r="O36" s="334"/>
      <c r="P36" s="335"/>
      <c r="Q36" s="335"/>
      <c r="R36" s="335"/>
      <c r="U36" s="331" t="str">
        <f ca="1">Calculos!BO$32</f>
        <v>-</v>
      </c>
      <c r="V36" s="332"/>
      <c r="W36" s="1"/>
    </row>
    <row r="37" spans="1:23" ht="20.100000000000001" customHeight="1" x14ac:dyDescent="0.25">
      <c r="A37" s="18"/>
      <c r="B37" s="18"/>
      <c r="C37" s="18"/>
      <c r="D37" s="7"/>
      <c r="E37" s="326"/>
      <c r="F37" s="1471"/>
      <c r="G37" s="1471"/>
      <c r="H37" s="1471"/>
      <c r="I37" s="1471"/>
      <c r="J37" s="1286"/>
      <c r="K37" s="1286"/>
      <c r="L37" s="1286"/>
      <c r="M37" s="1286"/>
      <c r="N37" s="334"/>
      <c r="O37" s="334"/>
      <c r="P37" s="335"/>
      <c r="Q37" s="335"/>
      <c r="R37" s="335"/>
      <c r="U37" s="331" t="str">
        <f ca="1">Calculos!BO$33</f>
        <v>-</v>
      </c>
      <c r="V37" s="332"/>
      <c r="W37" s="1"/>
    </row>
    <row r="38" spans="1:23" ht="20.100000000000001" customHeight="1" x14ac:dyDescent="0.25">
      <c r="A38" s="18"/>
      <c r="B38" s="18"/>
      <c r="C38" s="18"/>
      <c r="D38" s="7"/>
      <c r="E38" s="326"/>
      <c r="F38" s="1471"/>
      <c r="G38" s="1471"/>
      <c r="H38" s="1471"/>
      <c r="I38" s="1471"/>
      <c r="J38" s="1286"/>
      <c r="K38" s="1286"/>
      <c r="L38" s="1286"/>
      <c r="M38" s="1286"/>
      <c r="N38" s="334"/>
      <c r="O38" s="334"/>
      <c r="P38" s="335"/>
      <c r="Q38" s="335"/>
      <c r="R38" s="335"/>
      <c r="U38" s="331" t="str">
        <f ca="1">Calculos!BO$34</f>
        <v>-</v>
      </c>
      <c r="V38" s="332"/>
      <c r="W38" s="1"/>
    </row>
    <row r="39" spans="1:23" ht="20.100000000000001" customHeight="1" x14ac:dyDescent="0.25">
      <c r="A39" s="18"/>
      <c r="B39" s="18"/>
      <c r="C39" s="18"/>
      <c r="D39" s="7"/>
      <c r="E39" s="326"/>
      <c r="F39" s="1471"/>
      <c r="G39" s="1471"/>
      <c r="H39" s="1471"/>
      <c r="I39" s="1471"/>
      <c r="J39" s="1286"/>
      <c r="K39" s="1286"/>
      <c r="L39" s="1286"/>
      <c r="M39" s="1286"/>
      <c r="N39" s="334"/>
      <c r="O39" s="334"/>
      <c r="P39" s="335"/>
      <c r="Q39" s="335"/>
      <c r="R39" s="335"/>
      <c r="U39" s="331" t="str">
        <f ca="1">Calculos!BO$35</f>
        <v>-</v>
      </c>
      <c r="V39" s="332"/>
      <c r="W39" s="1"/>
    </row>
    <row r="40" spans="1:23" ht="20.100000000000001" customHeight="1" x14ac:dyDescent="0.25">
      <c r="A40" s="18"/>
      <c r="B40" s="18"/>
      <c r="C40" s="18"/>
      <c r="D40" s="7"/>
      <c r="E40" s="326"/>
      <c r="F40" s="1471"/>
      <c r="G40" s="1471"/>
      <c r="H40" s="1471"/>
      <c r="I40" s="1471"/>
      <c r="J40" s="1286"/>
      <c r="K40" s="1286"/>
      <c r="L40" s="1286"/>
      <c r="M40" s="1286"/>
      <c r="N40" s="334"/>
      <c r="O40" s="334"/>
      <c r="P40" s="335"/>
      <c r="Q40" s="335"/>
      <c r="R40" s="335"/>
      <c r="U40" s="331" t="str">
        <f ca="1">Calculos!BO$36</f>
        <v>-</v>
      </c>
      <c r="V40" s="329"/>
      <c r="W40" s="1"/>
    </row>
    <row r="41" spans="1:23" ht="20.100000000000001" customHeight="1" x14ac:dyDescent="0.25">
      <c r="A41" s="18"/>
      <c r="B41" s="18"/>
      <c r="C41" s="18"/>
      <c r="D41" s="7"/>
      <c r="E41" s="326"/>
      <c r="F41" s="1471"/>
      <c r="G41" s="1471"/>
      <c r="H41" s="1471"/>
      <c r="I41" s="1471"/>
      <c r="J41" s="1472" t="s">
        <v>80</v>
      </c>
      <c r="K41" s="1473"/>
      <c r="L41" s="1473"/>
      <c r="M41" s="1474"/>
      <c r="N41" s="334"/>
      <c r="O41" s="334"/>
      <c r="P41" s="335"/>
      <c r="Q41" s="335"/>
      <c r="R41" s="335" t="s">
        <v>10</v>
      </c>
      <c r="U41" s="331" t="str">
        <f ca="1">Calculos!BO$37</f>
        <v>-</v>
      </c>
      <c r="V41" s="329"/>
      <c r="W41" s="1"/>
    </row>
    <row r="42" spans="1:23" ht="20.100000000000001" hidden="1" customHeight="1" x14ac:dyDescent="0.25">
      <c r="A42" s="18"/>
      <c r="B42" s="18"/>
      <c r="C42" s="18"/>
      <c r="D42" s="7"/>
      <c r="E42" s="326"/>
      <c r="V42" s="329"/>
      <c r="W42" s="1"/>
    </row>
    <row r="43" spans="1:23" ht="20.100000000000001" customHeight="1" x14ac:dyDescent="0.25">
      <c r="A43" s="18"/>
      <c r="B43" s="18"/>
      <c r="C43" s="18"/>
      <c r="D43" s="7"/>
      <c r="E43" s="336"/>
      <c r="F43" s="337"/>
      <c r="G43" s="337"/>
      <c r="H43" s="337"/>
      <c r="I43" s="337"/>
      <c r="J43" s="337"/>
      <c r="K43" s="337"/>
      <c r="L43" s="337"/>
      <c r="M43" s="337"/>
      <c r="N43" s="337"/>
      <c r="O43" s="337"/>
      <c r="P43" s="337"/>
      <c r="Q43" s="337"/>
      <c r="R43" s="337"/>
      <c r="S43" s="337"/>
      <c r="T43" s="337"/>
      <c r="U43" s="337"/>
      <c r="V43" s="338"/>
      <c r="W43" s="1"/>
    </row>
    <row r="44" spans="1:23" s="1" customFormat="1" ht="30" customHeight="1" x14ac:dyDescent="0.25">
      <c r="A44" s="18"/>
      <c r="B44" s="18"/>
      <c r="C44" s="18"/>
      <c r="D44" s="7"/>
      <c r="E44" s="7"/>
    </row>
    <row r="45" spans="1:23" ht="20.100000000000001" customHeight="1" x14ac:dyDescent="0.25">
      <c r="A45" s="18"/>
      <c r="B45" s="18"/>
      <c r="C45" s="18"/>
      <c r="D45" s="7"/>
      <c r="E45" s="321"/>
      <c r="F45" s="322"/>
      <c r="G45" s="323"/>
      <c r="H45" s="323"/>
      <c r="I45" s="323"/>
      <c r="J45" s="323"/>
      <c r="K45" s="323"/>
      <c r="L45" s="323"/>
      <c r="M45" s="323"/>
      <c r="N45" s="323"/>
      <c r="O45" s="323"/>
      <c r="P45" s="323"/>
      <c r="Q45" s="323"/>
      <c r="R45" s="323"/>
      <c r="S45" s="339"/>
      <c r="T45" s="339"/>
      <c r="U45" s="340"/>
      <c r="V45" s="325"/>
      <c r="W45" s="7"/>
    </row>
    <row r="46" spans="1:23" ht="39.950000000000003" customHeight="1" x14ac:dyDescent="0.25">
      <c r="A46" s="18"/>
      <c r="B46" s="18"/>
      <c r="C46" s="18"/>
      <c r="D46" s="7"/>
      <c r="E46" s="326"/>
      <c r="F46" s="1469" t="s">
        <v>8606</v>
      </c>
      <c r="G46" s="1470"/>
      <c r="H46" s="1470"/>
      <c r="I46" s="1470"/>
      <c r="J46" s="1470"/>
      <c r="K46" s="1470"/>
      <c r="L46" s="1470"/>
      <c r="M46" s="1470"/>
      <c r="N46" s="327" t="str">
        <f ca="1">"Concentração"&amp;" "&amp;Calculos!$BJ$3</f>
        <v>Concentração -</v>
      </c>
      <c r="O46" s="327" t="s">
        <v>6038</v>
      </c>
      <c r="P46" s="327" t="s">
        <v>8126</v>
      </c>
      <c r="Q46" s="327" t="s">
        <v>8028</v>
      </c>
      <c r="R46" s="327" t="s">
        <v>8603</v>
      </c>
      <c r="S46" s="327" t="s">
        <v>8127</v>
      </c>
      <c r="U46" s="328" t="s">
        <v>119</v>
      </c>
      <c r="V46" s="332"/>
      <c r="W46" s="1"/>
    </row>
    <row r="47" spans="1:23" ht="20.100000000000001" customHeight="1" x14ac:dyDescent="0.25">
      <c r="A47" s="18"/>
      <c r="B47" s="18"/>
      <c r="C47" s="18"/>
      <c r="D47" s="7"/>
      <c r="E47" s="326"/>
      <c r="F47" s="1471" t="str">
        <f ca="1">Calculos!$BJ$4</f>
        <v>-</v>
      </c>
      <c r="G47" s="1471"/>
      <c r="H47" s="1471"/>
      <c r="I47" s="1471"/>
      <c r="J47" s="1472" t="s">
        <v>7103</v>
      </c>
      <c r="K47" s="1473"/>
      <c r="L47" s="1473"/>
      <c r="M47" s="1474"/>
      <c r="N47" s="188"/>
      <c r="O47" s="188"/>
      <c r="P47" s="330"/>
      <c r="Q47" s="330"/>
      <c r="R47" s="187">
        <v>0</v>
      </c>
      <c r="S47" s="331">
        <f>O47/2</f>
        <v>0</v>
      </c>
      <c r="U47" s="331" t="str">
        <f ca="1">Calculos!BO$42</f>
        <v>-</v>
      </c>
      <c r="V47" s="332"/>
      <c r="W47" s="1"/>
    </row>
    <row r="48" spans="1:23" ht="20.100000000000001" customHeight="1" x14ac:dyDescent="0.25">
      <c r="A48" s="18"/>
      <c r="B48" s="18"/>
      <c r="C48" s="18"/>
      <c r="D48" s="7"/>
      <c r="E48" s="326"/>
      <c r="F48" s="1471"/>
      <c r="G48" s="1471"/>
      <c r="H48" s="1471"/>
      <c r="I48" s="1471"/>
      <c r="J48" s="1286" t="s">
        <v>8027</v>
      </c>
      <c r="K48" s="1286"/>
      <c r="L48" s="1286"/>
      <c r="M48" s="1286"/>
      <c r="N48" s="188"/>
      <c r="O48" s="188"/>
      <c r="P48" s="330"/>
      <c r="Q48" s="330"/>
      <c r="R48" s="187"/>
      <c r="U48" s="331" t="str">
        <f ca="1">Calculos!BO$43</f>
        <v>-</v>
      </c>
      <c r="V48" s="332"/>
      <c r="W48" s="1"/>
    </row>
    <row r="49" spans="1:23" ht="20.100000000000001" customHeight="1" x14ac:dyDescent="0.25">
      <c r="A49" s="18"/>
      <c r="B49" s="18"/>
      <c r="C49" s="18"/>
      <c r="D49" s="7"/>
      <c r="E49" s="326"/>
      <c r="F49" s="1471"/>
      <c r="G49" s="1471"/>
      <c r="H49" s="1471"/>
      <c r="I49" s="1471"/>
      <c r="J49" s="1286"/>
      <c r="K49" s="1286"/>
      <c r="L49" s="1286"/>
      <c r="M49" s="1286"/>
      <c r="N49" s="188"/>
      <c r="O49" s="188"/>
      <c r="P49" s="330"/>
      <c r="Q49" s="330"/>
      <c r="R49" s="187"/>
      <c r="U49" s="331" t="str">
        <f ca="1">Calculos!BO$44</f>
        <v>-</v>
      </c>
      <c r="V49" s="332"/>
      <c r="W49" s="1"/>
    </row>
    <row r="50" spans="1:23" ht="20.100000000000001" customHeight="1" x14ac:dyDescent="0.25">
      <c r="A50" s="18"/>
      <c r="B50" s="18"/>
      <c r="C50" s="18"/>
      <c r="D50" s="7"/>
      <c r="E50" s="326"/>
      <c r="F50" s="1471"/>
      <c r="G50" s="1471"/>
      <c r="H50" s="1471"/>
      <c r="I50" s="1471"/>
      <c r="J50" s="1286"/>
      <c r="K50" s="1286"/>
      <c r="L50" s="1286"/>
      <c r="M50" s="1286"/>
      <c r="N50" s="188"/>
      <c r="O50" s="188"/>
      <c r="P50" s="330"/>
      <c r="Q50" s="330"/>
      <c r="R50" s="187"/>
      <c r="U50" s="331" t="str">
        <f ca="1">Calculos!BO$45</f>
        <v>-</v>
      </c>
      <c r="V50" s="332"/>
      <c r="W50" s="1"/>
    </row>
    <row r="51" spans="1:23" ht="20.100000000000001" customHeight="1" x14ac:dyDescent="0.25">
      <c r="A51" s="18"/>
      <c r="B51" s="18"/>
      <c r="C51" s="18"/>
      <c r="D51" s="7"/>
      <c r="E51" s="326"/>
      <c r="F51" s="1471"/>
      <c r="G51" s="1471"/>
      <c r="H51" s="1471"/>
      <c r="I51" s="1471"/>
      <c r="J51" s="1286"/>
      <c r="K51" s="1286"/>
      <c r="L51" s="1286"/>
      <c r="M51" s="1286"/>
      <c r="N51" s="188"/>
      <c r="O51" s="188"/>
      <c r="P51" s="330"/>
      <c r="Q51" s="330"/>
      <c r="R51" s="187"/>
      <c r="U51" s="331" t="str">
        <f ca="1">Calculos!BO$46</f>
        <v>-</v>
      </c>
      <c r="V51" s="332"/>
      <c r="W51" s="1"/>
    </row>
    <row r="52" spans="1:23" ht="20.100000000000001" customHeight="1" x14ac:dyDescent="0.25">
      <c r="A52" s="18"/>
      <c r="B52" s="18"/>
      <c r="C52" s="18"/>
      <c r="D52" s="7"/>
      <c r="E52" s="326"/>
      <c r="F52" s="1471"/>
      <c r="G52" s="1471"/>
      <c r="H52" s="1471"/>
      <c r="I52" s="1471"/>
      <c r="J52" s="1286"/>
      <c r="K52" s="1286"/>
      <c r="L52" s="1286"/>
      <c r="M52" s="1286"/>
      <c r="N52" s="188"/>
      <c r="O52" s="188"/>
      <c r="P52" s="330"/>
      <c r="Q52" s="330"/>
      <c r="R52" s="187"/>
      <c r="U52" s="331" t="str">
        <f ca="1">Calculos!BO$47</f>
        <v>-</v>
      </c>
      <c r="V52" s="332"/>
      <c r="W52" s="1"/>
    </row>
    <row r="53" spans="1:23" ht="20.100000000000001" customHeight="1" x14ac:dyDescent="0.25">
      <c r="A53" s="18"/>
      <c r="B53" s="18"/>
      <c r="C53" s="18"/>
      <c r="D53" s="7"/>
      <c r="E53" s="326"/>
      <c r="F53" s="1471"/>
      <c r="G53" s="1471"/>
      <c r="H53" s="1471"/>
      <c r="I53" s="1471"/>
      <c r="J53" s="1286"/>
      <c r="K53" s="1286"/>
      <c r="L53" s="1286"/>
      <c r="M53" s="1286"/>
      <c r="N53" s="188"/>
      <c r="O53" s="188"/>
      <c r="P53" s="330"/>
      <c r="Q53" s="330"/>
      <c r="R53" s="187"/>
      <c r="U53" s="331" t="str">
        <f ca="1">Calculos!BO$48</f>
        <v>-</v>
      </c>
      <c r="V53" s="332"/>
      <c r="W53" s="1"/>
    </row>
    <row r="54" spans="1:23" ht="20.100000000000001" customHeight="1" x14ac:dyDescent="0.25">
      <c r="A54" s="18"/>
      <c r="B54" s="18"/>
      <c r="C54" s="18"/>
      <c r="D54" s="7"/>
      <c r="E54" s="326"/>
      <c r="F54" s="1471"/>
      <c r="G54" s="1471"/>
      <c r="H54" s="1471"/>
      <c r="I54" s="1471"/>
      <c r="J54" s="1286"/>
      <c r="K54" s="1286"/>
      <c r="L54" s="1286"/>
      <c r="M54" s="1286"/>
      <c r="N54" s="188"/>
      <c r="O54" s="188"/>
      <c r="P54" s="330"/>
      <c r="Q54" s="330"/>
      <c r="R54" s="187"/>
      <c r="U54" s="331" t="str">
        <f ca="1">Calculos!BO$49</f>
        <v>-</v>
      </c>
      <c r="V54" s="332"/>
      <c r="W54" s="1"/>
    </row>
    <row r="55" spans="1:23" ht="20.100000000000001" customHeight="1" x14ac:dyDescent="0.25">
      <c r="A55" s="18"/>
      <c r="B55" s="18"/>
      <c r="C55" s="18"/>
      <c r="D55" s="7"/>
      <c r="E55" s="326"/>
      <c r="F55" s="1471"/>
      <c r="G55" s="1471"/>
      <c r="H55" s="1471"/>
      <c r="I55" s="1471"/>
      <c r="J55" s="1286"/>
      <c r="K55" s="1286"/>
      <c r="L55" s="1286"/>
      <c r="M55" s="1286"/>
      <c r="N55" s="188"/>
      <c r="O55" s="188"/>
      <c r="P55" s="330"/>
      <c r="Q55" s="330"/>
      <c r="R55" s="187"/>
      <c r="U55" s="331" t="str">
        <f ca="1">Calculos!BO$50</f>
        <v>-</v>
      </c>
      <c r="V55" s="332"/>
      <c r="W55" s="1"/>
    </row>
    <row r="56" spans="1:23" ht="20.100000000000001" customHeight="1" x14ac:dyDescent="0.25">
      <c r="A56" s="18"/>
      <c r="B56" s="18"/>
      <c r="C56" s="18"/>
      <c r="D56" s="7"/>
      <c r="E56" s="326"/>
      <c r="F56" s="1471"/>
      <c r="G56" s="1471"/>
      <c r="H56" s="1471"/>
      <c r="I56" s="1471"/>
      <c r="J56" s="1286"/>
      <c r="K56" s="1286"/>
      <c r="L56" s="1286"/>
      <c r="M56" s="1286"/>
      <c r="N56" s="188"/>
      <c r="O56" s="188"/>
      <c r="P56" s="330"/>
      <c r="Q56" s="330"/>
      <c r="R56" s="187"/>
      <c r="U56" s="331" t="str">
        <f ca="1">Calculos!BO$51</f>
        <v>-</v>
      </c>
      <c r="V56" s="332"/>
      <c r="W56" s="1"/>
    </row>
    <row r="57" spans="1:23" ht="20.100000000000001" customHeight="1" x14ac:dyDescent="0.25">
      <c r="A57" s="18"/>
      <c r="B57" s="18"/>
      <c r="C57" s="18"/>
      <c r="D57" s="7"/>
      <c r="E57" s="326"/>
      <c r="F57" s="1471"/>
      <c r="G57" s="1471"/>
      <c r="H57" s="1471"/>
      <c r="I57" s="1471"/>
      <c r="J57" s="1286"/>
      <c r="K57" s="1286"/>
      <c r="L57" s="1286"/>
      <c r="M57" s="1286"/>
      <c r="N57" s="188"/>
      <c r="O57" s="188"/>
      <c r="P57" s="330"/>
      <c r="Q57" s="330"/>
      <c r="R57" s="187"/>
      <c r="U57" s="331" t="str">
        <f ca="1">Calculos!BO$52</f>
        <v>-</v>
      </c>
      <c r="V57" s="332"/>
      <c r="W57" s="1"/>
    </row>
    <row r="58" spans="1:23" ht="20.100000000000001" customHeight="1" x14ac:dyDescent="0.25">
      <c r="A58" s="18"/>
      <c r="B58" s="18"/>
      <c r="C58" s="18"/>
      <c r="D58" s="7"/>
      <c r="E58" s="326"/>
      <c r="F58" s="1471"/>
      <c r="G58" s="1471"/>
      <c r="H58" s="1471"/>
      <c r="I58" s="1471"/>
      <c r="J58" s="1472" t="s">
        <v>80</v>
      </c>
      <c r="K58" s="1473"/>
      <c r="L58" s="1473"/>
      <c r="M58" s="1474"/>
      <c r="N58" s="188"/>
      <c r="O58" s="188"/>
      <c r="P58" s="330"/>
      <c r="Q58" s="330"/>
      <c r="R58" s="187" t="s">
        <v>10</v>
      </c>
      <c r="U58" s="331" t="str">
        <f ca="1">Calculos!BO$53</f>
        <v>-</v>
      </c>
      <c r="V58" s="332"/>
      <c r="W58" s="1"/>
    </row>
    <row r="59" spans="1:23" ht="20.100000000000001" customHeight="1" x14ac:dyDescent="0.25">
      <c r="A59" s="18"/>
      <c r="B59" s="18"/>
      <c r="C59" s="18"/>
      <c r="D59" s="7"/>
      <c r="E59" s="326"/>
      <c r="V59" s="332"/>
      <c r="W59" s="1"/>
    </row>
    <row r="60" spans="1:23" ht="20.100000000000001" hidden="1" customHeight="1" x14ac:dyDescent="0.25">
      <c r="A60" s="18"/>
      <c r="B60" s="18"/>
      <c r="C60" s="18"/>
      <c r="D60" s="7"/>
      <c r="E60" s="326"/>
      <c r="V60" s="332"/>
      <c r="W60" s="1"/>
    </row>
    <row r="61" spans="1:23" ht="20.100000000000001" hidden="1" customHeight="1" x14ac:dyDescent="0.25">
      <c r="A61" s="18"/>
      <c r="B61" s="18"/>
      <c r="C61" s="18"/>
      <c r="D61" s="7"/>
      <c r="E61" s="326"/>
      <c r="V61" s="332"/>
      <c r="W61" s="1"/>
    </row>
    <row r="62" spans="1:23" ht="20.100000000000001" customHeight="1" x14ac:dyDescent="0.25">
      <c r="A62" s="18"/>
      <c r="B62" s="18"/>
      <c r="C62" s="18"/>
      <c r="D62" s="7"/>
      <c r="E62" s="326"/>
      <c r="V62" s="332"/>
      <c r="W62" s="1"/>
    </row>
    <row r="63" spans="1:23" ht="39.950000000000003" customHeight="1" x14ac:dyDescent="0.25">
      <c r="A63" s="18"/>
      <c r="B63" s="18"/>
      <c r="C63" s="18"/>
      <c r="D63" s="7"/>
      <c r="E63" s="326"/>
      <c r="F63" s="1475" t="s">
        <v>8615</v>
      </c>
      <c r="G63" s="1476"/>
      <c r="H63" s="1476"/>
      <c r="I63" s="1476"/>
      <c r="J63" s="1476"/>
      <c r="K63" s="1476"/>
      <c r="L63" s="1476"/>
      <c r="M63" s="1476"/>
      <c r="N63" s="333" t="str">
        <f ca="1">"Concentração"&amp;" "&amp;Calculos!$BJ$3</f>
        <v>Concentração -</v>
      </c>
      <c r="O63" s="333" t="s">
        <v>6038</v>
      </c>
      <c r="P63" s="333" t="s">
        <v>8126</v>
      </c>
      <c r="Q63" s="333" t="s">
        <v>8028</v>
      </c>
      <c r="R63" s="333" t="s">
        <v>8603</v>
      </c>
      <c r="S63" s="333" t="s">
        <v>8127</v>
      </c>
      <c r="U63" s="328" t="s">
        <v>119</v>
      </c>
      <c r="V63" s="332"/>
      <c r="W63" s="1"/>
    </row>
    <row r="64" spans="1:23" ht="20.100000000000001" customHeight="1" x14ac:dyDescent="0.25">
      <c r="A64" s="18"/>
      <c r="B64" s="18"/>
      <c r="C64" s="18"/>
      <c r="D64" s="7"/>
      <c r="E64" s="326"/>
      <c r="F64" s="1471" t="str">
        <f ca="1">Calculos!$BJ$4</f>
        <v>-</v>
      </c>
      <c r="G64" s="1471"/>
      <c r="H64" s="1471"/>
      <c r="I64" s="1471"/>
      <c r="J64" s="1472" t="s">
        <v>7103</v>
      </c>
      <c r="K64" s="1473"/>
      <c r="L64" s="1473"/>
      <c r="M64" s="1474"/>
      <c r="N64" s="334"/>
      <c r="O64" s="334"/>
      <c r="P64" s="335"/>
      <c r="Q64" s="335"/>
      <c r="R64" s="335">
        <v>0</v>
      </c>
      <c r="S64" s="331">
        <f>O64/2</f>
        <v>0</v>
      </c>
      <c r="U64" s="331" t="str">
        <f ca="1">Calculos!BO$58</f>
        <v>-</v>
      </c>
      <c r="V64" s="332"/>
      <c r="W64" s="1"/>
    </row>
    <row r="65" spans="1:23" ht="20.100000000000001" customHeight="1" x14ac:dyDescent="0.25">
      <c r="A65" s="18"/>
      <c r="B65" s="18"/>
      <c r="C65" s="18"/>
      <c r="D65" s="7"/>
      <c r="E65" s="326"/>
      <c r="F65" s="1471"/>
      <c r="G65" s="1471"/>
      <c r="H65" s="1471"/>
      <c r="I65" s="1471"/>
      <c r="J65" s="1286" t="s">
        <v>8027</v>
      </c>
      <c r="K65" s="1286"/>
      <c r="L65" s="1286"/>
      <c r="M65" s="1286"/>
      <c r="N65" s="334"/>
      <c r="O65" s="334"/>
      <c r="P65" s="335"/>
      <c r="Q65" s="335"/>
      <c r="R65" s="335"/>
      <c r="U65" s="331" t="str">
        <f ca="1">Calculos!BO$59</f>
        <v>-</v>
      </c>
      <c r="V65" s="332"/>
      <c r="W65" s="1"/>
    </row>
    <row r="66" spans="1:23" ht="20.100000000000001" customHeight="1" x14ac:dyDescent="0.25">
      <c r="A66" s="18"/>
      <c r="B66" s="18"/>
      <c r="C66" s="18"/>
      <c r="D66" s="7"/>
      <c r="E66" s="326"/>
      <c r="F66" s="1471"/>
      <c r="G66" s="1471"/>
      <c r="H66" s="1471"/>
      <c r="I66" s="1471"/>
      <c r="J66" s="1286"/>
      <c r="K66" s="1286"/>
      <c r="L66" s="1286"/>
      <c r="M66" s="1286"/>
      <c r="N66" s="334"/>
      <c r="O66" s="334"/>
      <c r="P66" s="335"/>
      <c r="Q66" s="335"/>
      <c r="R66" s="335"/>
      <c r="U66" s="331" t="str">
        <f ca="1">Calculos!BO$60</f>
        <v>-</v>
      </c>
      <c r="V66" s="332"/>
      <c r="W66" s="1"/>
    </row>
    <row r="67" spans="1:23" ht="20.100000000000001" customHeight="1" x14ac:dyDescent="0.25">
      <c r="A67" s="18"/>
      <c r="B67" s="18"/>
      <c r="C67" s="18"/>
      <c r="D67" s="7"/>
      <c r="E67" s="326"/>
      <c r="F67" s="1471"/>
      <c r="G67" s="1471"/>
      <c r="H67" s="1471"/>
      <c r="I67" s="1471"/>
      <c r="J67" s="1286"/>
      <c r="K67" s="1286"/>
      <c r="L67" s="1286"/>
      <c r="M67" s="1286"/>
      <c r="N67" s="334"/>
      <c r="O67" s="334"/>
      <c r="P67" s="335"/>
      <c r="Q67" s="335"/>
      <c r="R67" s="335"/>
      <c r="U67" s="331" t="str">
        <f ca="1">Calculos!BO$61</f>
        <v>-</v>
      </c>
      <c r="V67" s="332"/>
      <c r="W67" s="1"/>
    </row>
    <row r="68" spans="1:23" ht="20.100000000000001" customHeight="1" x14ac:dyDescent="0.25">
      <c r="A68" s="18"/>
      <c r="B68" s="18"/>
      <c r="C68" s="18"/>
      <c r="D68" s="7"/>
      <c r="E68" s="326"/>
      <c r="F68" s="1471"/>
      <c r="G68" s="1471"/>
      <c r="H68" s="1471"/>
      <c r="I68" s="1471"/>
      <c r="J68" s="1286"/>
      <c r="K68" s="1286"/>
      <c r="L68" s="1286"/>
      <c r="M68" s="1286"/>
      <c r="N68" s="334"/>
      <c r="O68" s="334"/>
      <c r="P68" s="335"/>
      <c r="Q68" s="335"/>
      <c r="R68" s="335"/>
      <c r="U68" s="331" t="str">
        <f ca="1">Calculos!BO$62</f>
        <v>-</v>
      </c>
      <c r="V68" s="332"/>
      <c r="W68" s="1"/>
    </row>
    <row r="69" spans="1:23" ht="20.100000000000001" customHeight="1" x14ac:dyDescent="0.25">
      <c r="A69" s="18"/>
      <c r="B69" s="18"/>
      <c r="C69" s="18"/>
      <c r="D69" s="7"/>
      <c r="E69" s="326"/>
      <c r="F69" s="1471"/>
      <c r="G69" s="1471"/>
      <c r="H69" s="1471"/>
      <c r="I69" s="1471"/>
      <c r="J69" s="1286"/>
      <c r="K69" s="1286"/>
      <c r="L69" s="1286"/>
      <c r="M69" s="1286"/>
      <c r="N69" s="334"/>
      <c r="O69" s="334"/>
      <c r="P69" s="335"/>
      <c r="Q69" s="335"/>
      <c r="R69" s="335"/>
      <c r="U69" s="331" t="str">
        <f ca="1">Calculos!BO$63</f>
        <v>-</v>
      </c>
      <c r="V69" s="332"/>
      <c r="W69" s="1"/>
    </row>
    <row r="70" spans="1:23" ht="20.100000000000001" customHeight="1" x14ac:dyDescent="0.25">
      <c r="A70" s="18"/>
      <c r="B70" s="18"/>
      <c r="C70" s="18"/>
      <c r="D70" s="7"/>
      <c r="E70" s="326"/>
      <c r="F70" s="1471"/>
      <c r="G70" s="1471"/>
      <c r="H70" s="1471"/>
      <c r="I70" s="1471"/>
      <c r="J70" s="1286"/>
      <c r="K70" s="1286"/>
      <c r="L70" s="1286"/>
      <c r="M70" s="1286"/>
      <c r="N70" s="334"/>
      <c r="O70" s="334"/>
      <c r="P70" s="335"/>
      <c r="Q70" s="335"/>
      <c r="R70" s="335"/>
      <c r="U70" s="331" t="str">
        <f ca="1">Calculos!BO$64</f>
        <v>-</v>
      </c>
      <c r="V70" s="332"/>
      <c r="W70" s="1"/>
    </row>
    <row r="71" spans="1:23" ht="20.100000000000001" customHeight="1" x14ac:dyDescent="0.25">
      <c r="A71" s="18"/>
      <c r="B71" s="18"/>
      <c r="C71" s="18"/>
      <c r="D71" s="7"/>
      <c r="E71" s="326"/>
      <c r="F71" s="1471"/>
      <c r="G71" s="1471"/>
      <c r="H71" s="1471"/>
      <c r="I71" s="1471"/>
      <c r="J71" s="1286"/>
      <c r="K71" s="1286"/>
      <c r="L71" s="1286"/>
      <c r="M71" s="1286"/>
      <c r="N71" s="334"/>
      <c r="O71" s="334"/>
      <c r="P71" s="335"/>
      <c r="Q71" s="335"/>
      <c r="R71" s="335"/>
      <c r="U71" s="331" t="str">
        <f ca="1">Calculos!BO$65</f>
        <v>-</v>
      </c>
      <c r="V71" s="332"/>
      <c r="W71" s="1"/>
    </row>
    <row r="72" spans="1:23" ht="20.100000000000001" customHeight="1" x14ac:dyDescent="0.25">
      <c r="A72" s="18"/>
      <c r="B72" s="18"/>
      <c r="C72" s="18"/>
      <c r="D72" s="7"/>
      <c r="E72" s="326"/>
      <c r="F72" s="1471"/>
      <c r="G72" s="1471"/>
      <c r="H72" s="1471"/>
      <c r="I72" s="1471"/>
      <c r="J72" s="1286"/>
      <c r="K72" s="1286"/>
      <c r="L72" s="1286"/>
      <c r="M72" s="1286"/>
      <c r="N72" s="334"/>
      <c r="O72" s="334"/>
      <c r="P72" s="335"/>
      <c r="Q72" s="335"/>
      <c r="R72" s="335"/>
      <c r="U72" s="331" t="str">
        <f ca="1">Calculos!BO$66</f>
        <v>-</v>
      </c>
      <c r="V72" s="332"/>
      <c r="W72" s="1"/>
    </row>
    <row r="73" spans="1:23" ht="20.100000000000001" customHeight="1" x14ac:dyDescent="0.25">
      <c r="A73" s="18"/>
      <c r="B73" s="18"/>
      <c r="C73" s="18"/>
      <c r="D73" s="7"/>
      <c r="E73" s="326"/>
      <c r="F73" s="1471"/>
      <c r="G73" s="1471"/>
      <c r="H73" s="1471"/>
      <c r="I73" s="1471"/>
      <c r="J73" s="1286"/>
      <c r="K73" s="1286"/>
      <c r="L73" s="1286"/>
      <c r="M73" s="1286"/>
      <c r="N73" s="334"/>
      <c r="O73" s="334"/>
      <c r="P73" s="335"/>
      <c r="Q73" s="335"/>
      <c r="R73" s="335"/>
      <c r="U73" s="331" t="str">
        <f ca="1">Calculos!BO$67</f>
        <v>-</v>
      </c>
      <c r="V73" s="332"/>
      <c r="W73" s="1"/>
    </row>
    <row r="74" spans="1:23" ht="20.100000000000001" customHeight="1" x14ac:dyDescent="0.25">
      <c r="A74" s="18"/>
      <c r="B74" s="18"/>
      <c r="C74" s="18"/>
      <c r="D74" s="7"/>
      <c r="E74" s="326"/>
      <c r="F74" s="1471"/>
      <c r="G74" s="1471"/>
      <c r="H74" s="1471"/>
      <c r="I74" s="1471"/>
      <c r="J74" s="1286"/>
      <c r="K74" s="1286"/>
      <c r="L74" s="1286"/>
      <c r="M74" s="1286"/>
      <c r="N74" s="334"/>
      <c r="O74" s="334"/>
      <c r="P74" s="335"/>
      <c r="Q74" s="335"/>
      <c r="R74" s="335"/>
      <c r="U74" s="331" t="str">
        <f ca="1">Calculos!BO$68</f>
        <v>-</v>
      </c>
      <c r="V74" s="329"/>
      <c r="W74" s="1"/>
    </row>
    <row r="75" spans="1:23" ht="20.100000000000001" customHeight="1" x14ac:dyDescent="0.25">
      <c r="A75" s="18"/>
      <c r="B75" s="18"/>
      <c r="C75" s="18"/>
      <c r="D75" s="7"/>
      <c r="E75" s="326"/>
      <c r="F75" s="1471"/>
      <c r="G75" s="1471"/>
      <c r="H75" s="1471"/>
      <c r="I75" s="1471"/>
      <c r="J75" s="1472" t="s">
        <v>80</v>
      </c>
      <c r="K75" s="1473"/>
      <c r="L75" s="1473"/>
      <c r="M75" s="1474"/>
      <c r="N75" s="334"/>
      <c r="O75" s="334"/>
      <c r="P75" s="335"/>
      <c r="Q75" s="335"/>
      <c r="R75" s="335" t="s">
        <v>10</v>
      </c>
      <c r="U75" s="331" t="str">
        <f ca="1">Calculos!BO$69</f>
        <v>-</v>
      </c>
      <c r="V75" s="329"/>
      <c r="W75" s="1"/>
    </row>
    <row r="76" spans="1:23" ht="20.100000000000001" hidden="1" customHeight="1" x14ac:dyDescent="0.25">
      <c r="A76" s="18"/>
      <c r="B76" s="18"/>
      <c r="C76" s="18"/>
      <c r="D76" s="7"/>
      <c r="E76" s="326"/>
      <c r="V76" s="329"/>
      <c r="W76" s="1"/>
    </row>
    <row r="77" spans="1:23" ht="20.100000000000001" customHeight="1" x14ac:dyDescent="0.25">
      <c r="A77" s="18"/>
      <c r="B77" s="18"/>
      <c r="C77" s="18"/>
      <c r="D77" s="7"/>
      <c r="E77" s="336"/>
      <c r="F77" s="337"/>
      <c r="G77" s="337"/>
      <c r="H77" s="337"/>
      <c r="I77" s="337"/>
      <c r="J77" s="337"/>
      <c r="K77" s="337"/>
      <c r="L77" s="337"/>
      <c r="M77" s="337"/>
      <c r="N77" s="337"/>
      <c r="O77" s="337"/>
      <c r="P77" s="337"/>
      <c r="Q77" s="337"/>
      <c r="R77" s="337"/>
      <c r="S77" s="337"/>
      <c r="T77" s="337"/>
      <c r="U77" s="337"/>
      <c r="V77" s="338"/>
      <c r="W77" s="1"/>
    </row>
    <row r="78" spans="1:23" ht="30" customHeight="1" x14ac:dyDescent="0.25">
      <c r="A78" s="18"/>
      <c r="B78" s="18"/>
      <c r="C78" s="18"/>
      <c r="D78" s="7"/>
      <c r="E78" s="7"/>
      <c r="F78" s="7"/>
      <c r="G78" s="7"/>
      <c r="H78" s="7"/>
      <c r="I78" s="7"/>
      <c r="J78" s="7"/>
      <c r="K78" s="7"/>
      <c r="L78" s="7"/>
      <c r="M78" s="7"/>
      <c r="N78" s="7"/>
      <c r="O78" s="7"/>
      <c r="P78" s="7"/>
      <c r="Q78" s="7"/>
      <c r="R78" s="7"/>
      <c r="S78" s="7"/>
      <c r="T78" s="7"/>
      <c r="U78" s="7"/>
      <c r="V78" s="7"/>
      <c r="W78" s="7"/>
    </row>
    <row r="79" spans="1:23" ht="20.100000000000001" customHeight="1" x14ac:dyDescent="0.25">
      <c r="A79" s="18"/>
      <c r="B79" s="18"/>
      <c r="C79" s="18"/>
      <c r="D79" s="7"/>
      <c r="E79" s="321"/>
      <c r="F79" s="322"/>
      <c r="G79" s="323"/>
      <c r="H79" s="323"/>
      <c r="I79" s="323"/>
      <c r="J79" s="323"/>
      <c r="K79" s="323"/>
      <c r="L79" s="323"/>
      <c r="M79" s="323"/>
      <c r="N79" s="323"/>
      <c r="O79" s="323"/>
      <c r="P79" s="323"/>
      <c r="Q79" s="323"/>
      <c r="R79" s="323"/>
      <c r="S79" s="339"/>
      <c r="T79" s="339"/>
      <c r="U79" s="340"/>
      <c r="V79" s="325"/>
      <c r="W79" s="1"/>
    </row>
    <row r="80" spans="1:23" ht="39.950000000000003" customHeight="1" x14ac:dyDescent="0.25">
      <c r="A80" s="18"/>
      <c r="B80" s="18"/>
      <c r="C80" s="18"/>
      <c r="D80" s="7"/>
      <c r="E80" s="326"/>
      <c r="F80" s="1469" t="s">
        <v>8607</v>
      </c>
      <c r="G80" s="1470"/>
      <c r="H80" s="1470"/>
      <c r="I80" s="1470"/>
      <c r="J80" s="1470"/>
      <c r="K80" s="1470"/>
      <c r="L80" s="1470"/>
      <c r="M80" s="1470"/>
      <c r="N80" s="327" t="str">
        <f ca="1">"Concentração"&amp;" "&amp;Calculos!$BJ$3</f>
        <v>Concentração -</v>
      </c>
      <c r="O80" s="327" t="s">
        <v>6038</v>
      </c>
      <c r="P80" s="327" t="s">
        <v>8126</v>
      </c>
      <c r="Q80" s="327" t="s">
        <v>8028</v>
      </c>
      <c r="R80" s="327" t="s">
        <v>8603</v>
      </c>
      <c r="S80" s="327" t="s">
        <v>8127</v>
      </c>
      <c r="U80" s="328" t="s">
        <v>119</v>
      </c>
      <c r="V80" s="332"/>
      <c r="W80" s="1"/>
    </row>
    <row r="81" spans="1:23" ht="20.100000000000001" customHeight="1" x14ac:dyDescent="0.25">
      <c r="A81" s="18"/>
      <c r="B81" s="18"/>
      <c r="C81" s="18"/>
      <c r="D81" s="7"/>
      <c r="E81" s="326"/>
      <c r="F81" s="1471" t="str">
        <f ca="1">Calculos!$BJ$4</f>
        <v>-</v>
      </c>
      <c r="G81" s="1471"/>
      <c r="H81" s="1471"/>
      <c r="I81" s="1471"/>
      <c r="J81" s="1472" t="s">
        <v>7103</v>
      </c>
      <c r="K81" s="1473"/>
      <c r="L81" s="1473"/>
      <c r="M81" s="1474"/>
      <c r="N81" s="188"/>
      <c r="O81" s="188"/>
      <c r="P81" s="330"/>
      <c r="Q81" s="330"/>
      <c r="R81" s="187">
        <v>0</v>
      </c>
      <c r="S81" s="331">
        <f>O81/2</f>
        <v>0</v>
      </c>
      <c r="U81" s="331" t="str">
        <f ca="1">Calculos!BO$74</f>
        <v>-</v>
      </c>
      <c r="V81" s="332"/>
      <c r="W81" s="1"/>
    </row>
    <row r="82" spans="1:23" ht="20.100000000000001" customHeight="1" x14ac:dyDescent="0.25">
      <c r="A82" s="18"/>
      <c r="B82" s="18"/>
      <c r="C82" s="18"/>
      <c r="D82" s="7"/>
      <c r="E82" s="326"/>
      <c r="F82" s="1471"/>
      <c r="G82" s="1471"/>
      <c r="H82" s="1471"/>
      <c r="I82" s="1471"/>
      <c r="J82" s="1286" t="s">
        <v>8027</v>
      </c>
      <c r="K82" s="1286"/>
      <c r="L82" s="1286"/>
      <c r="M82" s="1286"/>
      <c r="N82" s="188"/>
      <c r="O82" s="188"/>
      <c r="P82" s="330"/>
      <c r="Q82" s="330"/>
      <c r="R82" s="187"/>
      <c r="U82" s="331" t="str">
        <f ca="1">Calculos!BO$75</f>
        <v>-</v>
      </c>
      <c r="V82" s="332"/>
      <c r="W82" s="1"/>
    </row>
    <row r="83" spans="1:23" ht="20.100000000000001" customHeight="1" x14ac:dyDescent="0.25">
      <c r="A83" s="18"/>
      <c r="B83" s="18"/>
      <c r="C83" s="18"/>
      <c r="D83" s="7"/>
      <c r="E83" s="326"/>
      <c r="F83" s="1471"/>
      <c r="G83" s="1471"/>
      <c r="H83" s="1471"/>
      <c r="I83" s="1471"/>
      <c r="J83" s="1286"/>
      <c r="K83" s="1286"/>
      <c r="L83" s="1286"/>
      <c r="M83" s="1286"/>
      <c r="N83" s="188"/>
      <c r="O83" s="188"/>
      <c r="P83" s="330"/>
      <c r="Q83" s="330"/>
      <c r="R83" s="187"/>
      <c r="U83" s="331" t="str">
        <f ca="1">Calculos!BO$76</f>
        <v>-</v>
      </c>
      <c r="V83" s="332"/>
      <c r="W83" s="1"/>
    </row>
    <row r="84" spans="1:23" ht="20.100000000000001" customHeight="1" x14ac:dyDescent="0.25">
      <c r="A84" s="18"/>
      <c r="B84" s="18"/>
      <c r="C84" s="18"/>
      <c r="D84" s="7"/>
      <c r="E84" s="326"/>
      <c r="F84" s="1471"/>
      <c r="G84" s="1471"/>
      <c r="H84" s="1471"/>
      <c r="I84" s="1471"/>
      <c r="J84" s="1286"/>
      <c r="K84" s="1286"/>
      <c r="L84" s="1286"/>
      <c r="M84" s="1286"/>
      <c r="N84" s="188"/>
      <c r="O84" s="188"/>
      <c r="P84" s="330"/>
      <c r="Q84" s="330"/>
      <c r="R84" s="187"/>
      <c r="U84" s="331" t="str">
        <f ca="1">Calculos!BO$77</f>
        <v>-</v>
      </c>
      <c r="V84" s="332"/>
      <c r="W84" s="1"/>
    </row>
    <row r="85" spans="1:23" ht="20.100000000000001" customHeight="1" x14ac:dyDescent="0.25">
      <c r="A85" s="18"/>
      <c r="B85" s="18"/>
      <c r="C85" s="18"/>
      <c r="D85" s="7"/>
      <c r="E85" s="326"/>
      <c r="F85" s="1471"/>
      <c r="G85" s="1471"/>
      <c r="H85" s="1471"/>
      <c r="I85" s="1471"/>
      <c r="J85" s="1286"/>
      <c r="K85" s="1286"/>
      <c r="L85" s="1286"/>
      <c r="M85" s="1286"/>
      <c r="N85" s="188"/>
      <c r="O85" s="188"/>
      <c r="P85" s="330"/>
      <c r="Q85" s="330"/>
      <c r="R85" s="187"/>
      <c r="U85" s="331" t="str">
        <f ca="1">Calculos!BO$78</f>
        <v>-</v>
      </c>
      <c r="V85" s="332"/>
      <c r="W85" s="1"/>
    </row>
    <row r="86" spans="1:23" ht="20.100000000000001" customHeight="1" x14ac:dyDescent="0.25">
      <c r="A86" s="18"/>
      <c r="B86" s="18"/>
      <c r="C86" s="18"/>
      <c r="D86" s="7"/>
      <c r="E86" s="326"/>
      <c r="F86" s="1471"/>
      <c r="G86" s="1471"/>
      <c r="H86" s="1471"/>
      <c r="I86" s="1471"/>
      <c r="J86" s="1286"/>
      <c r="K86" s="1286"/>
      <c r="L86" s="1286"/>
      <c r="M86" s="1286"/>
      <c r="N86" s="188"/>
      <c r="O86" s="188"/>
      <c r="P86" s="330"/>
      <c r="Q86" s="330"/>
      <c r="R86" s="187"/>
      <c r="U86" s="331" t="str">
        <f ca="1">Calculos!BO$79</f>
        <v>-</v>
      </c>
      <c r="V86" s="332"/>
      <c r="W86" s="1"/>
    </row>
    <row r="87" spans="1:23" ht="20.100000000000001" customHeight="1" x14ac:dyDescent="0.25">
      <c r="A87" s="18"/>
      <c r="B87" s="18"/>
      <c r="C87" s="18"/>
      <c r="D87" s="7"/>
      <c r="E87" s="326"/>
      <c r="F87" s="1471"/>
      <c r="G87" s="1471"/>
      <c r="H87" s="1471"/>
      <c r="I87" s="1471"/>
      <c r="J87" s="1286"/>
      <c r="K87" s="1286"/>
      <c r="L87" s="1286"/>
      <c r="M87" s="1286"/>
      <c r="N87" s="188"/>
      <c r="O87" s="188"/>
      <c r="P87" s="330"/>
      <c r="Q87" s="330"/>
      <c r="R87" s="187"/>
      <c r="U87" s="331" t="str">
        <f ca="1">Calculos!BO$80</f>
        <v>-</v>
      </c>
      <c r="V87" s="332"/>
      <c r="W87" s="1"/>
    </row>
    <row r="88" spans="1:23" ht="20.100000000000001" customHeight="1" x14ac:dyDescent="0.25">
      <c r="A88" s="18"/>
      <c r="B88" s="18"/>
      <c r="C88" s="18"/>
      <c r="D88" s="7"/>
      <c r="E88" s="326"/>
      <c r="F88" s="1471"/>
      <c r="G88" s="1471"/>
      <c r="H88" s="1471"/>
      <c r="I88" s="1471"/>
      <c r="J88" s="1286"/>
      <c r="K88" s="1286"/>
      <c r="L88" s="1286"/>
      <c r="M88" s="1286"/>
      <c r="N88" s="188"/>
      <c r="O88" s="188"/>
      <c r="P88" s="330"/>
      <c r="Q88" s="330"/>
      <c r="R88" s="187"/>
      <c r="U88" s="331" t="str">
        <f ca="1">Calculos!BO$81</f>
        <v>-</v>
      </c>
      <c r="V88" s="332"/>
      <c r="W88" s="1"/>
    </row>
    <row r="89" spans="1:23" ht="20.100000000000001" customHeight="1" x14ac:dyDescent="0.25">
      <c r="A89" s="18"/>
      <c r="B89" s="18"/>
      <c r="C89" s="18"/>
      <c r="D89" s="7"/>
      <c r="E89" s="326"/>
      <c r="F89" s="1471"/>
      <c r="G89" s="1471"/>
      <c r="H89" s="1471"/>
      <c r="I89" s="1471"/>
      <c r="J89" s="1286"/>
      <c r="K89" s="1286"/>
      <c r="L89" s="1286"/>
      <c r="M89" s="1286"/>
      <c r="N89" s="188"/>
      <c r="O89" s="188"/>
      <c r="P89" s="330"/>
      <c r="Q89" s="330"/>
      <c r="R89" s="187"/>
      <c r="U89" s="331" t="str">
        <f ca="1">Calculos!BO$82</f>
        <v>-</v>
      </c>
      <c r="V89" s="332"/>
      <c r="W89" s="7"/>
    </row>
    <row r="90" spans="1:23" ht="20.100000000000001" customHeight="1" x14ac:dyDescent="0.25">
      <c r="A90" s="18"/>
      <c r="B90" s="18"/>
      <c r="C90" s="18"/>
      <c r="D90" s="7"/>
      <c r="E90" s="326"/>
      <c r="F90" s="1471"/>
      <c r="G90" s="1471"/>
      <c r="H90" s="1471"/>
      <c r="I90" s="1471"/>
      <c r="J90" s="1286"/>
      <c r="K90" s="1286"/>
      <c r="L90" s="1286"/>
      <c r="M90" s="1286"/>
      <c r="N90" s="188"/>
      <c r="O90" s="188"/>
      <c r="P90" s="330"/>
      <c r="Q90" s="330"/>
      <c r="R90" s="187"/>
      <c r="U90" s="331" t="str">
        <f ca="1">Calculos!BO$83</f>
        <v>-</v>
      </c>
      <c r="V90" s="332"/>
      <c r="W90" s="7"/>
    </row>
    <row r="91" spans="1:23" ht="20.100000000000001" customHeight="1" x14ac:dyDescent="0.25">
      <c r="A91" s="18"/>
      <c r="B91" s="18"/>
      <c r="C91" s="18"/>
      <c r="D91" s="7"/>
      <c r="E91" s="326"/>
      <c r="F91" s="1471"/>
      <c r="G91" s="1471"/>
      <c r="H91" s="1471"/>
      <c r="I91" s="1471"/>
      <c r="J91" s="1286"/>
      <c r="K91" s="1286"/>
      <c r="L91" s="1286"/>
      <c r="M91" s="1286"/>
      <c r="N91" s="188"/>
      <c r="O91" s="188"/>
      <c r="P91" s="330"/>
      <c r="Q91" s="330"/>
      <c r="R91" s="187"/>
      <c r="U91" s="331" t="str">
        <f ca="1">Calculos!BO$84</f>
        <v>-</v>
      </c>
      <c r="V91" s="332"/>
      <c r="W91" s="1"/>
    </row>
    <row r="92" spans="1:23" ht="20.100000000000001" customHeight="1" x14ac:dyDescent="0.25">
      <c r="A92" s="18"/>
      <c r="B92" s="18"/>
      <c r="C92" s="18"/>
      <c r="D92" s="7"/>
      <c r="E92" s="326"/>
      <c r="F92" s="1471"/>
      <c r="G92" s="1471"/>
      <c r="H92" s="1471"/>
      <c r="I92" s="1471"/>
      <c r="J92" s="1472" t="s">
        <v>80</v>
      </c>
      <c r="K92" s="1473"/>
      <c r="L92" s="1473"/>
      <c r="M92" s="1474"/>
      <c r="N92" s="188"/>
      <c r="O92" s="188"/>
      <c r="P92" s="330"/>
      <c r="Q92" s="330"/>
      <c r="R92" s="187" t="s">
        <v>10</v>
      </c>
      <c r="U92" s="331" t="str">
        <f ca="1">Calculos!BO$85</f>
        <v>-</v>
      </c>
      <c r="V92" s="332"/>
      <c r="W92" s="1"/>
    </row>
    <row r="93" spans="1:23" ht="20.100000000000001" customHeight="1" x14ac:dyDescent="0.25">
      <c r="A93" s="18"/>
      <c r="B93" s="18"/>
      <c r="C93" s="18"/>
      <c r="D93" s="7"/>
      <c r="E93" s="326"/>
      <c r="V93" s="332"/>
      <c r="W93" s="1"/>
    </row>
    <row r="94" spans="1:23" ht="20.100000000000001" hidden="1" customHeight="1" x14ac:dyDescent="0.25">
      <c r="A94" s="18"/>
      <c r="B94" s="18"/>
      <c r="C94" s="18"/>
      <c r="D94" s="7"/>
      <c r="E94" s="326"/>
      <c r="V94" s="332"/>
      <c r="W94" s="1"/>
    </row>
    <row r="95" spans="1:23" ht="20.100000000000001" hidden="1" customHeight="1" x14ac:dyDescent="0.25">
      <c r="A95" s="18"/>
      <c r="B95" s="18"/>
      <c r="C95" s="18"/>
      <c r="D95" s="7"/>
      <c r="E95" s="326"/>
      <c r="V95" s="332"/>
      <c r="W95" s="1"/>
    </row>
    <row r="96" spans="1:23" ht="20.100000000000001" customHeight="1" x14ac:dyDescent="0.25">
      <c r="A96" s="18"/>
      <c r="B96" s="18"/>
      <c r="C96" s="18"/>
      <c r="D96" s="7"/>
      <c r="E96" s="326"/>
      <c r="V96" s="332"/>
      <c r="W96" s="1"/>
    </row>
    <row r="97" spans="1:23" ht="39.950000000000003" customHeight="1" x14ac:dyDescent="0.25">
      <c r="A97" s="18"/>
      <c r="B97" s="18"/>
      <c r="C97" s="18"/>
      <c r="D97" s="7"/>
      <c r="E97" s="326"/>
      <c r="F97" s="1475" t="s">
        <v>8616</v>
      </c>
      <c r="G97" s="1476"/>
      <c r="H97" s="1476"/>
      <c r="I97" s="1476"/>
      <c r="J97" s="1476"/>
      <c r="K97" s="1476"/>
      <c r="L97" s="1476"/>
      <c r="M97" s="1476"/>
      <c r="N97" s="333" t="str">
        <f ca="1">"Concentração"&amp;" "&amp;Calculos!$BJ$3</f>
        <v>Concentração -</v>
      </c>
      <c r="O97" s="333" t="s">
        <v>6038</v>
      </c>
      <c r="P97" s="333" t="s">
        <v>8126</v>
      </c>
      <c r="Q97" s="333" t="s">
        <v>8028</v>
      </c>
      <c r="R97" s="333" t="s">
        <v>8603</v>
      </c>
      <c r="S97" s="333" t="s">
        <v>8127</v>
      </c>
      <c r="U97" s="328" t="s">
        <v>119</v>
      </c>
      <c r="V97" s="332"/>
      <c r="W97" s="1"/>
    </row>
    <row r="98" spans="1:23" ht="20.100000000000001" customHeight="1" x14ac:dyDescent="0.25">
      <c r="A98" s="18"/>
      <c r="B98" s="18"/>
      <c r="C98" s="18"/>
      <c r="D98" s="7"/>
      <c r="E98" s="326"/>
      <c r="F98" s="1471" t="str">
        <f ca="1">Calculos!$BJ$4</f>
        <v>-</v>
      </c>
      <c r="G98" s="1471"/>
      <c r="H98" s="1471"/>
      <c r="I98" s="1471"/>
      <c r="J98" s="1472" t="s">
        <v>7103</v>
      </c>
      <c r="K98" s="1473"/>
      <c r="L98" s="1473"/>
      <c r="M98" s="1474"/>
      <c r="N98" s="334"/>
      <c r="O98" s="334"/>
      <c r="P98" s="335"/>
      <c r="Q98" s="335"/>
      <c r="R98" s="335">
        <v>0</v>
      </c>
      <c r="S98" s="331">
        <f>O98/2</f>
        <v>0</v>
      </c>
      <c r="U98" s="331" t="str">
        <f ca="1">Calculos!BO$90</f>
        <v>-</v>
      </c>
      <c r="V98" s="332"/>
      <c r="W98" s="1"/>
    </row>
    <row r="99" spans="1:23" ht="20.100000000000001" customHeight="1" x14ac:dyDescent="0.25">
      <c r="A99" s="18"/>
      <c r="B99" s="18"/>
      <c r="C99" s="18"/>
      <c r="D99" s="7"/>
      <c r="E99" s="326"/>
      <c r="F99" s="1471"/>
      <c r="G99" s="1471"/>
      <c r="H99" s="1471"/>
      <c r="I99" s="1471"/>
      <c r="J99" s="1286" t="s">
        <v>8027</v>
      </c>
      <c r="K99" s="1286"/>
      <c r="L99" s="1286"/>
      <c r="M99" s="1286"/>
      <c r="N99" s="334"/>
      <c r="O99" s="334"/>
      <c r="P99" s="335"/>
      <c r="Q99" s="335"/>
      <c r="R99" s="335"/>
      <c r="U99" s="331" t="str">
        <f ca="1">Calculos!BO$91</f>
        <v>-</v>
      </c>
      <c r="V99" s="332"/>
      <c r="W99" s="1"/>
    </row>
    <row r="100" spans="1:23" ht="20.100000000000001" customHeight="1" x14ac:dyDescent="0.25">
      <c r="A100" s="18"/>
      <c r="B100" s="18"/>
      <c r="C100" s="18"/>
      <c r="D100" s="7"/>
      <c r="E100" s="326"/>
      <c r="F100" s="1471"/>
      <c r="G100" s="1471"/>
      <c r="H100" s="1471"/>
      <c r="I100" s="1471"/>
      <c r="J100" s="1286"/>
      <c r="K100" s="1286"/>
      <c r="L100" s="1286"/>
      <c r="M100" s="1286"/>
      <c r="N100" s="334"/>
      <c r="O100" s="334"/>
      <c r="P100" s="335"/>
      <c r="Q100" s="335"/>
      <c r="R100" s="335"/>
      <c r="U100" s="331" t="str">
        <f ca="1">Calculos!BO$92</f>
        <v>-</v>
      </c>
      <c r="V100" s="332"/>
      <c r="W100" s="1"/>
    </row>
    <row r="101" spans="1:23" ht="20.100000000000001" customHeight="1" x14ac:dyDescent="0.25">
      <c r="A101" s="18"/>
      <c r="B101" s="18"/>
      <c r="C101" s="18"/>
      <c r="D101" s="7"/>
      <c r="E101" s="326"/>
      <c r="F101" s="1471"/>
      <c r="G101" s="1471"/>
      <c r="H101" s="1471"/>
      <c r="I101" s="1471"/>
      <c r="J101" s="1286"/>
      <c r="K101" s="1286"/>
      <c r="L101" s="1286"/>
      <c r="M101" s="1286"/>
      <c r="N101" s="334"/>
      <c r="O101" s="334"/>
      <c r="P101" s="335"/>
      <c r="Q101" s="335"/>
      <c r="R101" s="335"/>
      <c r="U101" s="331" t="str">
        <f ca="1">Calculos!BO$93</f>
        <v>-</v>
      </c>
      <c r="V101" s="332"/>
      <c r="W101" s="1"/>
    </row>
    <row r="102" spans="1:23" ht="20.100000000000001" customHeight="1" x14ac:dyDescent="0.25">
      <c r="A102" s="18"/>
      <c r="B102" s="18"/>
      <c r="C102" s="18"/>
      <c r="D102" s="7"/>
      <c r="E102" s="326"/>
      <c r="F102" s="1471"/>
      <c r="G102" s="1471"/>
      <c r="H102" s="1471"/>
      <c r="I102" s="1471"/>
      <c r="J102" s="1286"/>
      <c r="K102" s="1286"/>
      <c r="L102" s="1286"/>
      <c r="M102" s="1286"/>
      <c r="N102" s="334"/>
      <c r="O102" s="334"/>
      <c r="P102" s="335"/>
      <c r="Q102" s="335"/>
      <c r="R102" s="335"/>
      <c r="U102" s="331" t="str">
        <f ca="1">Calculos!BO$94</f>
        <v>-</v>
      </c>
      <c r="V102" s="332"/>
      <c r="W102" s="1"/>
    </row>
    <row r="103" spans="1:23" ht="20.100000000000001" customHeight="1" x14ac:dyDescent="0.25">
      <c r="A103" s="18"/>
      <c r="B103" s="18"/>
      <c r="C103" s="18"/>
      <c r="D103" s="7"/>
      <c r="E103" s="326"/>
      <c r="F103" s="1471"/>
      <c r="G103" s="1471"/>
      <c r="H103" s="1471"/>
      <c r="I103" s="1471"/>
      <c r="J103" s="1286"/>
      <c r="K103" s="1286"/>
      <c r="L103" s="1286"/>
      <c r="M103" s="1286"/>
      <c r="N103" s="334"/>
      <c r="O103" s="334"/>
      <c r="P103" s="335"/>
      <c r="Q103" s="335"/>
      <c r="R103" s="335"/>
      <c r="U103" s="331" t="str">
        <f ca="1">Calculos!BO$95</f>
        <v>-</v>
      </c>
      <c r="V103" s="332"/>
      <c r="W103" s="1"/>
    </row>
    <row r="104" spans="1:23" ht="20.100000000000001" customHeight="1" x14ac:dyDescent="0.25">
      <c r="A104" s="18"/>
      <c r="B104" s="18"/>
      <c r="C104" s="18"/>
      <c r="D104" s="7"/>
      <c r="E104" s="326"/>
      <c r="F104" s="1471"/>
      <c r="G104" s="1471"/>
      <c r="H104" s="1471"/>
      <c r="I104" s="1471"/>
      <c r="J104" s="1286"/>
      <c r="K104" s="1286"/>
      <c r="L104" s="1286"/>
      <c r="M104" s="1286"/>
      <c r="N104" s="334"/>
      <c r="O104" s="334"/>
      <c r="P104" s="335"/>
      <c r="Q104" s="335"/>
      <c r="R104" s="335"/>
      <c r="U104" s="331" t="str">
        <f ca="1">Calculos!BO$96</f>
        <v>-</v>
      </c>
      <c r="V104" s="332"/>
      <c r="W104" s="1"/>
    </row>
    <row r="105" spans="1:23" ht="20.100000000000001" customHeight="1" x14ac:dyDescent="0.25">
      <c r="A105" s="18"/>
      <c r="B105" s="18"/>
      <c r="C105" s="18"/>
      <c r="D105" s="7"/>
      <c r="E105" s="326"/>
      <c r="F105" s="1471"/>
      <c r="G105" s="1471"/>
      <c r="H105" s="1471"/>
      <c r="I105" s="1471"/>
      <c r="J105" s="1286"/>
      <c r="K105" s="1286"/>
      <c r="L105" s="1286"/>
      <c r="M105" s="1286"/>
      <c r="N105" s="334"/>
      <c r="O105" s="334"/>
      <c r="P105" s="335"/>
      <c r="Q105" s="335"/>
      <c r="R105" s="335"/>
      <c r="U105" s="331" t="str">
        <f ca="1">Calculos!BO$97</f>
        <v>-</v>
      </c>
      <c r="V105" s="332"/>
      <c r="W105" s="7"/>
    </row>
    <row r="106" spans="1:23" ht="20.100000000000001" customHeight="1" x14ac:dyDescent="0.25">
      <c r="A106" s="18"/>
      <c r="B106" s="18"/>
      <c r="C106" s="18"/>
      <c r="D106" s="7"/>
      <c r="E106" s="326"/>
      <c r="F106" s="1471"/>
      <c r="G106" s="1471"/>
      <c r="H106" s="1471"/>
      <c r="I106" s="1471"/>
      <c r="J106" s="1286"/>
      <c r="K106" s="1286"/>
      <c r="L106" s="1286"/>
      <c r="M106" s="1286"/>
      <c r="N106" s="334"/>
      <c r="O106" s="334"/>
      <c r="P106" s="335"/>
      <c r="Q106" s="335"/>
      <c r="R106" s="335"/>
      <c r="U106" s="331" t="str">
        <f ca="1">Calculos!BO$98</f>
        <v>-</v>
      </c>
      <c r="V106" s="332"/>
      <c r="W106" s="7"/>
    </row>
    <row r="107" spans="1:23" ht="20.100000000000001" customHeight="1" x14ac:dyDescent="0.25">
      <c r="A107" s="18"/>
      <c r="B107" s="18"/>
      <c r="C107" s="18"/>
      <c r="D107" s="7"/>
      <c r="E107" s="326"/>
      <c r="F107" s="1471"/>
      <c r="G107" s="1471"/>
      <c r="H107" s="1471"/>
      <c r="I107" s="1471"/>
      <c r="J107" s="1286"/>
      <c r="K107" s="1286"/>
      <c r="L107" s="1286"/>
      <c r="M107" s="1286"/>
      <c r="N107" s="334"/>
      <c r="O107" s="334"/>
      <c r="P107" s="335"/>
      <c r="Q107" s="335"/>
      <c r="R107" s="335"/>
      <c r="U107" s="331" t="str">
        <f ca="1">Calculos!BO$99</f>
        <v>-</v>
      </c>
      <c r="V107" s="332"/>
      <c r="W107" s="1"/>
    </row>
    <row r="108" spans="1:23" ht="20.100000000000001" customHeight="1" x14ac:dyDescent="0.25">
      <c r="A108" s="18"/>
      <c r="B108" s="18"/>
      <c r="C108" s="18"/>
      <c r="D108" s="7"/>
      <c r="E108" s="326"/>
      <c r="F108" s="1471"/>
      <c r="G108" s="1471"/>
      <c r="H108" s="1471"/>
      <c r="I108" s="1471"/>
      <c r="J108" s="1286"/>
      <c r="K108" s="1286"/>
      <c r="L108" s="1286"/>
      <c r="M108" s="1286"/>
      <c r="N108" s="334"/>
      <c r="O108" s="334"/>
      <c r="P108" s="335"/>
      <c r="Q108" s="335"/>
      <c r="R108" s="335"/>
      <c r="U108" s="331" t="str">
        <f ca="1">Calculos!BO$100</f>
        <v>-</v>
      </c>
      <c r="V108" s="329"/>
      <c r="W108" s="1"/>
    </row>
    <row r="109" spans="1:23" ht="20.100000000000001" customHeight="1" x14ac:dyDescent="0.25">
      <c r="A109" s="18"/>
      <c r="B109" s="18"/>
      <c r="C109" s="18"/>
      <c r="D109" s="7"/>
      <c r="E109" s="326"/>
      <c r="F109" s="1471"/>
      <c r="G109" s="1471"/>
      <c r="H109" s="1471"/>
      <c r="I109" s="1471"/>
      <c r="J109" s="1472" t="s">
        <v>80</v>
      </c>
      <c r="K109" s="1473"/>
      <c r="L109" s="1473"/>
      <c r="M109" s="1474"/>
      <c r="N109" s="334"/>
      <c r="O109" s="334"/>
      <c r="P109" s="335"/>
      <c r="Q109" s="335"/>
      <c r="R109" s="335" t="s">
        <v>10</v>
      </c>
      <c r="U109" s="331" t="str">
        <f ca="1">Calculos!BO$101</f>
        <v>-</v>
      </c>
      <c r="V109" s="329"/>
      <c r="W109" s="1"/>
    </row>
    <row r="110" spans="1:23" ht="20.100000000000001" hidden="1" customHeight="1" x14ac:dyDescent="0.25">
      <c r="A110" s="18"/>
      <c r="B110" s="18"/>
      <c r="C110" s="18"/>
      <c r="D110" s="7"/>
      <c r="E110" s="326"/>
      <c r="N110" s="2"/>
      <c r="O110" s="2"/>
      <c r="P110" s="2"/>
      <c r="Q110" s="2"/>
      <c r="R110" s="2"/>
      <c r="V110" s="329"/>
      <c r="W110" s="1"/>
    </row>
    <row r="111" spans="1:23" ht="20.100000000000001" customHeight="1" x14ac:dyDescent="0.25">
      <c r="A111" s="18"/>
      <c r="B111" s="18"/>
      <c r="C111" s="18"/>
      <c r="D111" s="7"/>
      <c r="E111" s="336"/>
      <c r="F111" s="337"/>
      <c r="G111" s="337"/>
      <c r="H111" s="337"/>
      <c r="I111" s="337"/>
      <c r="J111" s="337"/>
      <c r="K111" s="337"/>
      <c r="L111" s="337"/>
      <c r="M111" s="337"/>
      <c r="N111" s="341"/>
      <c r="O111" s="341"/>
      <c r="P111" s="341"/>
      <c r="Q111" s="341"/>
      <c r="R111" s="341"/>
      <c r="S111" s="337"/>
      <c r="T111" s="337"/>
      <c r="U111" s="337"/>
      <c r="V111" s="338"/>
      <c r="W111" s="1"/>
    </row>
    <row r="112" spans="1:23" s="7" customFormat="1" ht="30" customHeight="1" x14ac:dyDescent="0.25">
      <c r="A112" s="18"/>
      <c r="B112" s="18"/>
      <c r="C112" s="18"/>
    </row>
    <row r="113" spans="1:23" ht="20.100000000000001" customHeight="1" x14ac:dyDescent="0.25">
      <c r="A113" s="18"/>
      <c r="B113" s="18"/>
      <c r="C113" s="18"/>
      <c r="D113" s="7"/>
      <c r="E113" s="321"/>
      <c r="F113" s="322"/>
      <c r="G113" s="323"/>
      <c r="H113" s="323"/>
      <c r="I113" s="323"/>
      <c r="J113" s="323"/>
      <c r="K113" s="323"/>
      <c r="L113" s="323"/>
      <c r="M113" s="323"/>
      <c r="N113" s="323"/>
      <c r="O113" s="323"/>
      <c r="P113" s="323"/>
      <c r="Q113" s="323"/>
      <c r="R113" s="323"/>
      <c r="S113" s="339"/>
      <c r="T113" s="339"/>
      <c r="U113" s="340"/>
      <c r="V113" s="325"/>
      <c r="W113" s="1"/>
    </row>
    <row r="114" spans="1:23" ht="39.950000000000003" customHeight="1" x14ac:dyDescent="0.25">
      <c r="A114" s="18"/>
      <c r="B114" s="18"/>
      <c r="C114" s="18"/>
      <c r="D114" s="7"/>
      <c r="E114" s="326"/>
      <c r="F114" s="1469" t="s">
        <v>8608</v>
      </c>
      <c r="G114" s="1470"/>
      <c r="H114" s="1470"/>
      <c r="I114" s="1470"/>
      <c r="J114" s="1470"/>
      <c r="K114" s="1470"/>
      <c r="L114" s="1470"/>
      <c r="M114" s="1470"/>
      <c r="N114" s="327" t="str">
        <f ca="1">"Concentração"&amp;" "&amp;Calculos!$BJ$3</f>
        <v>Concentração -</v>
      </c>
      <c r="O114" s="327" t="s">
        <v>6038</v>
      </c>
      <c r="P114" s="327" t="s">
        <v>8126</v>
      </c>
      <c r="Q114" s="327" t="s">
        <v>8028</v>
      </c>
      <c r="R114" s="327" t="s">
        <v>8603</v>
      </c>
      <c r="S114" s="327" t="s">
        <v>8127</v>
      </c>
      <c r="U114" s="328" t="s">
        <v>119</v>
      </c>
      <c r="V114" s="332"/>
      <c r="W114" s="1"/>
    </row>
    <row r="115" spans="1:23" ht="20.100000000000001" customHeight="1" x14ac:dyDescent="0.25">
      <c r="A115" s="18"/>
      <c r="B115" s="18"/>
      <c r="C115" s="18"/>
      <c r="D115" s="7"/>
      <c r="E115" s="326"/>
      <c r="F115" s="1471" t="str">
        <f ca="1">Calculos!$BJ$4</f>
        <v>-</v>
      </c>
      <c r="G115" s="1471"/>
      <c r="H115" s="1471"/>
      <c r="I115" s="1471"/>
      <c r="J115" s="1472" t="s">
        <v>7103</v>
      </c>
      <c r="K115" s="1473"/>
      <c r="L115" s="1473"/>
      <c r="M115" s="1474"/>
      <c r="N115" s="188"/>
      <c r="O115" s="188"/>
      <c r="P115" s="330"/>
      <c r="Q115" s="330"/>
      <c r="R115" s="187">
        <v>0</v>
      </c>
      <c r="S115" s="331">
        <f>O115/2</f>
        <v>0</v>
      </c>
      <c r="U115" s="331" t="str">
        <f ca="1">Calculos!BO$106</f>
        <v>-</v>
      </c>
      <c r="V115" s="332"/>
      <c r="W115" s="1"/>
    </row>
    <row r="116" spans="1:23" ht="20.100000000000001" customHeight="1" x14ac:dyDescent="0.25">
      <c r="A116" s="18"/>
      <c r="B116" s="18"/>
      <c r="C116" s="18"/>
      <c r="D116" s="7"/>
      <c r="E116" s="326"/>
      <c r="F116" s="1471"/>
      <c r="G116" s="1471"/>
      <c r="H116" s="1471"/>
      <c r="I116" s="1471"/>
      <c r="J116" s="1286" t="s">
        <v>8027</v>
      </c>
      <c r="K116" s="1286"/>
      <c r="L116" s="1286"/>
      <c r="M116" s="1286"/>
      <c r="N116" s="188"/>
      <c r="O116" s="188"/>
      <c r="P116" s="330"/>
      <c r="Q116" s="330"/>
      <c r="R116" s="187"/>
      <c r="U116" s="331" t="str">
        <f ca="1">Calculos!BO$107</f>
        <v>-</v>
      </c>
      <c r="V116" s="332"/>
      <c r="W116" s="1"/>
    </row>
    <row r="117" spans="1:23" ht="20.100000000000001" customHeight="1" x14ac:dyDescent="0.25">
      <c r="A117" s="18"/>
      <c r="B117" s="18"/>
      <c r="C117" s="18"/>
      <c r="D117" s="7"/>
      <c r="E117" s="326"/>
      <c r="F117" s="1471"/>
      <c r="G117" s="1471"/>
      <c r="H117" s="1471"/>
      <c r="I117" s="1471"/>
      <c r="J117" s="1286"/>
      <c r="K117" s="1286"/>
      <c r="L117" s="1286"/>
      <c r="M117" s="1286"/>
      <c r="N117" s="188"/>
      <c r="O117" s="188"/>
      <c r="P117" s="330"/>
      <c r="Q117" s="330"/>
      <c r="R117" s="187"/>
      <c r="U117" s="331" t="str">
        <f ca="1">Calculos!BO$108</f>
        <v>-</v>
      </c>
      <c r="V117" s="332"/>
      <c r="W117" s="1"/>
    </row>
    <row r="118" spans="1:23" ht="20.100000000000001" customHeight="1" x14ac:dyDescent="0.25">
      <c r="A118" s="18"/>
      <c r="B118" s="18"/>
      <c r="C118" s="18"/>
      <c r="D118" s="7"/>
      <c r="E118" s="326"/>
      <c r="F118" s="1471"/>
      <c r="G118" s="1471"/>
      <c r="H118" s="1471"/>
      <c r="I118" s="1471"/>
      <c r="J118" s="1286"/>
      <c r="K118" s="1286"/>
      <c r="L118" s="1286"/>
      <c r="M118" s="1286"/>
      <c r="N118" s="188"/>
      <c r="O118" s="188"/>
      <c r="P118" s="330"/>
      <c r="Q118" s="330"/>
      <c r="R118" s="187"/>
      <c r="U118" s="331" t="str">
        <f ca="1">Calculos!BO$109</f>
        <v>-</v>
      </c>
      <c r="V118" s="332"/>
      <c r="W118" s="7"/>
    </row>
    <row r="119" spans="1:23" ht="20.100000000000001" customHeight="1" x14ac:dyDescent="0.25">
      <c r="A119" s="18"/>
      <c r="B119" s="18"/>
      <c r="C119" s="18"/>
      <c r="D119" s="7"/>
      <c r="E119" s="326"/>
      <c r="F119" s="1471"/>
      <c r="G119" s="1471"/>
      <c r="H119" s="1471"/>
      <c r="I119" s="1471"/>
      <c r="J119" s="1286"/>
      <c r="K119" s="1286"/>
      <c r="L119" s="1286"/>
      <c r="M119" s="1286"/>
      <c r="N119" s="188"/>
      <c r="O119" s="188"/>
      <c r="P119" s="330"/>
      <c r="Q119" s="330"/>
      <c r="R119" s="187"/>
      <c r="U119" s="331" t="str">
        <f ca="1">Calculos!BO$110</f>
        <v>-</v>
      </c>
      <c r="V119" s="332"/>
      <c r="W119" s="7"/>
    </row>
    <row r="120" spans="1:23" ht="20.100000000000001" customHeight="1" x14ac:dyDescent="0.25">
      <c r="A120" s="18"/>
      <c r="B120" s="18"/>
      <c r="C120" s="18"/>
      <c r="D120" s="7"/>
      <c r="E120" s="326"/>
      <c r="F120" s="1471"/>
      <c r="G120" s="1471"/>
      <c r="H120" s="1471"/>
      <c r="I120" s="1471"/>
      <c r="J120" s="1286"/>
      <c r="K120" s="1286"/>
      <c r="L120" s="1286"/>
      <c r="M120" s="1286"/>
      <c r="N120" s="188"/>
      <c r="O120" s="188"/>
      <c r="P120" s="330"/>
      <c r="Q120" s="330"/>
      <c r="R120" s="187"/>
      <c r="U120" s="331" t="str">
        <f ca="1">Calculos!BO$111</f>
        <v>-</v>
      </c>
      <c r="V120" s="332"/>
      <c r="W120" s="1"/>
    </row>
    <row r="121" spans="1:23" ht="20.100000000000001" customHeight="1" x14ac:dyDescent="0.25">
      <c r="A121" s="18"/>
      <c r="B121" s="18"/>
      <c r="C121" s="18"/>
      <c r="D121" s="7"/>
      <c r="E121" s="326"/>
      <c r="F121" s="1471"/>
      <c r="G121" s="1471"/>
      <c r="H121" s="1471"/>
      <c r="I121" s="1471"/>
      <c r="J121" s="1286"/>
      <c r="K121" s="1286"/>
      <c r="L121" s="1286"/>
      <c r="M121" s="1286"/>
      <c r="N121" s="188"/>
      <c r="O121" s="188"/>
      <c r="P121" s="330"/>
      <c r="Q121" s="330"/>
      <c r="R121" s="187"/>
      <c r="U121" s="331" t="str">
        <f ca="1">Calculos!BO$112</f>
        <v>-</v>
      </c>
      <c r="V121" s="332"/>
      <c r="W121" s="1"/>
    </row>
    <row r="122" spans="1:23" ht="20.100000000000001" customHeight="1" x14ac:dyDescent="0.25">
      <c r="A122" s="18"/>
      <c r="B122" s="18"/>
      <c r="C122" s="18"/>
      <c r="D122" s="7"/>
      <c r="E122" s="326"/>
      <c r="F122" s="1471"/>
      <c r="G122" s="1471"/>
      <c r="H122" s="1471"/>
      <c r="I122" s="1471"/>
      <c r="J122" s="1286"/>
      <c r="K122" s="1286"/>
      <c r="L122" s="1286"/>
      <c r="M122" s="1286"/>
      <c r="N122" s="188"/>
      <c r="O122" s="188"/>
      <c r="P122" s="330"/>
      <c r="Q122" s="330"/>
      <c r="R122" s="187"/>
      <c r="U122" s="331" t="str">
        <f ca="1">Calculos!BO$113</f>
        <v>-</v>
      </c>
      <c r="V122" s="332"/>
      <c r="W122" s="1"/>
    </row>
    <row r="123" spans="1:23" ht="20.100000000000001" customHeight="1" x14ac:dyDescent="0.25">
      <c r="A123" s="18"/>
      <c r="B123" s="18"/>
      <c r="C123" s="18"/>
      <c r="D123" s="7"/>
      <c r="E123" s="326"/>
      <c r="F123" s="1471"/>
      <c r="G123" s="1471"/>
      <c r="H123" s="1471"/>
      <c r="I123" s="1471"/>
      <c r="J123" s="1286"/>
      <c r="K123" s="1286"/>
      <c r="L123" s="1286"/>
      <c r="M123" s="1286"/>
      <c r="N123" s="188"/>
      <c r="O123" s="188"/>
      <c r="P123" s="330"/>
      <c r="Q123" s="330"/>
      <c r="R123" s="187"/>
      <c r="U123" s="331" t="str">
        <f ca="1">Calculos!BO$114</f>
        <v>-</v>
      </c>
      <c r="V123" s="332"/>
      <c r="W123" s="1"/>
    </row>
    <row r="124" spans="1:23" ht="20.100000000000001" customHeight="1" x14ac:dyDescent="0.25">
      <c r="A124" s="18"/>
      <c r="B124" s="18"/>
      <c r="C124" s="18"/>
      <c r="D124" s="7"/>
      <c r="E124" s="326"/>
      <c r="F124" s="1471"/>
      <c r="G124" s="1471"/>
      <c r="H124" s="1471"/>
      <c r="I124" s="1471"/>
      <c r="J124" s="1286"/>
      <c r="K124" s="1286"/>
      <c r="L124" s="1286"/>
      <c r="M124" s="1286"/>
      <c r="N124" s="188"/>
      <c r="O124" s="188"/>
      <c r="P124" s="330"/>
      <c r="Q124" s="330"/>
      <c r="R124" s="187"/>
      <c r="U124" s="331" t="str">
        <f ca="1">Calculos!BO$115</f>
        <v>-</v>
      </c>
      <c r="V124" s="332"/>
      <c r="W124" s="1"/>
    </row>
    <row r="125" spans="1:23" ht="20.100000000000001" customHeight="1" x14ac:dyDescent="0.25">
      <c r="A125" s="18"/>
      <c r="B125" s="18"/>
      <c r="C125" s="18"/>
      <c r="D125" s="7"/>
      <c r="E125" s="326"/>
      <c r="F125" s="1471"/>
      <c r="G125" s="1471"/>
      <c r="H125" s="1471"/>
      <c r="I125" s="1471"/>
      <c r="J125" s="1286"/>
      <c r="K125" s="1286"/>
      <c r="L125" s="1286"/>
      <c r="M125" s="1286"/>
      <c r="N125" s="188"/>
      <c r="O125" s="188"/>
      <c r="P125" s="330"/>
      <c r="Q125" s="330"/>
      <c r="R125" s="187"/>
      <c r="U125" s="331" t="str">
        <f ca="1">Calculos!BO$116</f>
        <v>-</v>
      </c>
      <c r="V125" s="332"/>
      <c r="W125" s="1"/>
    </row>
    <row r="126" spans="1:23" ht="20.100000000000001" customHeight="1" x14ac:dyDescent="0.25">
      <c r="A126" s="18"/>
      <c r="B126" s="18"/>
      <c r="C126" s="18"/>
      <c r="D126" s="7"/>
      <c r="E126" s="326"/>
      <c r="F126" s="1471"/>
      <c r="G126" s="1471"/>
      <c r="H126" s="1471"/>
      <c r="I126" s="1471"/>
      <c r="J126" s="1472" t="s">
        <v>80</v>
      </c>
      <c r="K126" s="1473"/>
      <c r="L126" s="1473"/>
      <c r="M126" s="1474"/>
      <c r="N126" s="188"/>
      <c r="O126" s="188"/>
      <c r="P126" s="330"/>
      <c r="Q126" s="330"/>
      <c r="R126" s="187" t="s">
        <v>10</v>
      </c>
      <c r="U126" s="331" t="str">
        <f ca="1">Calculos!BO$117</f>
        <v>-</v>
      </c>
      <c r="V126" s="332"/>
      <c r="W126" s="1"/>
    </row>
    <row r="127" spans="1:23" ht="20.100000000000001" customHeight="1" x14ac:dyDescent="0.25">
      <c r="A127" s="18"/>
      <c r="B127" s="18"/>
      <c r="C127" s="18"/>
      <c r="D127" s="7"/>
      <c r="E127" s="326"/>
      <c r="V127" s="332"/>
      <c r="W127" s="1"/>
    </row>
    <row r="128" spans="1:23" ht="20.100000000000001" hidden="1" customHeight="1" x14ac:dyDescent="0.25">
      <c r="A128" s="18"/>
      <c r="B128" s="18"/>
      <c r="C128" s="18"/>
      <c r="D128" s="7"/>
      <c r="E128" s="326"/>
      <c r="V128" s="332"/>
      <c r="W128" s="1"/>
    </row>
    <row r="129" spans="1:23" ht="20.100000000000001" hidden="1" customHeight="1" x14ac:dyDescent="0.25">
      <c r="A129" s="18"/>
      <c r="B129" s="18"/>
      <c r="C129" s="18"/>
      <c r="D129" s="7"/>
      <c r="E129" s="326"/>
      <c r="V129" s="332"/>
      <c r="W129" s="1"/>
    </row>
    <row r="130" spans="1:23" ht="20.100000000000001" customHeight="1" x14ac:dyDescent="0.25">
      <c r="A130" s="18"/>
      <c r="B130" s="18"/>
      <c r="C130" s="18"/>
      <c r="D130" s="7"/>
      <c r="E130" s="326"/>
      <c r="V130" s="332"/>
      <c r="W130" s="1"/>
    </row>
    <row r="131" spans="1:23" ht="39.950000000000003" customHeight="1" x14ac:dyDescent="0.25">
      <c r="A131" s="18"/>
      <c r="B131" s="18"/>
      <c r="C131" s="18"/>
      <c r="D131" s="7"/>
      <c r="E131" s="326"/>
      <c r="F131" s="1475" t="s">
        <v>8617</v>
      </c>
      <c r="G131" s="1476"/>
      <c r="H131" s="1476"/>
      <c r="I131" s="1476"/>
      <c r="J131" s="1476"/>
      <c r="K131" s="1476"/>
      <c r="L131" s="1476"/>
      <c r="M131" s="1476"/>
      <c r="N131" s="333" t="str">
        <f ca="1">"Concentração"&amp;" "&amp;Calculos!$BJ$3</f>
        <v>Concentração -</v>
      </c>
      <c r="O131" s="333" t="s">
        <v>6038</v>
      </c>
      <c r="P131" s="333" t="s">
        <v>8126</v>
      </c>
      <c r="Q131" s="333" t="s">
        <v>8028</v>
      </c>
      <c r="R131" s="333" t="s">
        <v>8603</v>
      </c>
      <c r="S131" s="333" t="s">
        <v>8127</v>
      </c>
      <c r="U131" s="328" t="s">
        <v>119</v>
      </c>
      <c r="V131" s="332"/>
      <c r="W131" s="1"/>
    </row>
    <row r="132" spans="1:23" ht="20.100000000000001" customHeight="1" x14ac:dyDescent="0.25">
      <c r="A132" s="18"/>
      <c r="B132" s="18"/>
      <c r="C132" s="18"/>
      <c r="D132" s="7"/>
      <c r="E132" s="326"/>
      <c r="F132" s="1471" t="str">
        <f ca="1">Calculos!$BJ$4</f>
        <v>-</v>
      </c>
      <c r="G132" s="1471"/>
      <c r="H132" s="1471"/>
      <c r="I132" s="1471"/>
      <c r="J132" s="1472" t="s">
        <v>7103</v>
      </c>
      <c r="K132" s="1473"/>
      <c r="L132" s="1473"/>
      <c r="M132" s="1474"/>
      <c r="N132" s="334"/>
      <c r="O132" s="334"/>
      <c r="P132" s="335"/>
      <c r="Q132" s="335"/>
      <c r="R132" s="335">
        <v>0</v>
      </c>
      <c r="S132" s="331">
        <f>O132/2</f>
        <v>0</v>
      </c>
      <c r="U132" s="331" t="str">
        <f ca="1">Calculos!BO$122</f>
        <v>-</v>
      </c>
      <c r="V132" s="332"/>
      <c r="W132" s="1"/>
    </row>
    <row r="133" spans="1:23" ht="20.100000000000001" customHeight="1" x14ac:dyDescent="0.25">
      <c r="A133" s="18"/>
      <c r="B133" s="18"/>
      <c r="C133" s="18"/>
      <c r="D133" s="7"/>
      <c r="E133" s="326"/>
      <c r="F133" s="1471"/>
      <c r="G133" s="1471"/>
      <c r="H133" s="1471"/>
      <c r="I133" s="1471"/>
      <c r="J133" s="1286" t="s">
        <v>8027</v>
      </c>
      <c r="K133" s="1286"/>
      <c r="L133" s="1286"/>
      <c r="M133" s="1286"/>
      <c r="N133" s="334"/>
      <c r="O133" s="334"/>
      <c r="P133" s="335"/>
      <c r="Q133" s="335"/>
      <c r="R133" s="335"/>
      <c r="U133" s="331" t="str">
        <f ca="1">Calculos!BO$123</f>
        <v>-</v>
      </c>
      <c r="V133" s="332"/>
      <c r="W133" s="1"/>
    </row>
    <row r="134" spans="1:23" ht="20.100000000000001" customHeight="1" x14ac:dyDescent="0.25">
      <c r="A134" s="18"/>
      <c r="B134" s="18"/>
      <c r="C134" s="18"/>
      <c r="D134" s="7"/>
      <c r="E134" s="326"/>
      <c r="F134" s="1471"/>
      <c r="G134" s="1471"/>
      <c r="H134" s="1471"/>
      <c r="I134" s="1471"/>
      <c r="J134" s="1286"/>
      <c r="K134" s="1286"/>
      <c r="L134" s="1286"/>
      <c r="M134" s="1286"/>
      <c r="N134" s="334"/>
      <c r="O134" s="334"/>
      <c r="P134" s="335"/>
      <c r="Q134" s="335"/>
      <c r="R134" s="335"/>
      <c r="U134" s="331" t="str">
        <f ca="1">Calculos!BO$124</f>
        <v>-</v>
      </c>
      <c r="V134" s="332"/>
      <c r="W134" s="7"/>
    </row>
    <row r="135" spans="1:23" ht="20.100000000000001" customHeight="1" x14ac:dyDescent="0.25">
      <c r="A135" s="18"/>
      <c r="B135" s="18"/>
      <c r="C135" s="18"/>
      <c r="D135" s="7"/>
      <c r="E135" s="326"/>
      <c r="F135" s="1471"/>
      <c r="G135" s="1471"/>
      <c r="H135" s="1471"/>
      <c r="I135" s="1471"/>
      <c r="J135" s="1286"/>
      <c r="K135" s="1286"/>
      <c r="L135" s="1286"/>
      <c r="M135" s="1286"/>
      <c r="N135" s="334"/>
      <c r="O135" s="334"/>
      <c r="P135" s="335"/>
      <c r="Q135" s="335"/>
      <c r="R135" s="335"/>
      <c r="U135" s="331" t="str">
        <f ca="1">Calculos!BO$125</f>
        <v>-</v>
      </c>
      <c r="V135" s="332"/>
      <c r="W135" s="7"/>
    </row>
    <row r="136" spans="1:23" ht="20.100000000000001" customHeight="1" x14ac:dyDescent="0.25">
      <c r="A136" s="18"/>
      <c r="B136" s="18"/>
      <c r="C136" s="18"/>
      <c r="D136" s="7"/>
      <c r="E136" s="326"/>
      <c r="F136" s="1471"/>
      <c r="G136" s="1471"/>
      <c r="H136" s="1471"/>
      <c r="I136" s="1471"/>
      <c r="J136" s="1286"/>
      <c r="K136" s="1286"/>
      <c r="L136" s="1286"/>
      <c r="M136" s="1286"/>
      <c r="N136" s="334"/>
      <c r="O136" s="334"/>
      <c r="P136" s="335"/>
      <c r="Q136" s="335"/>
      <c r="R136" s="335"/>
      <c r="U136" s="331" t="str">
        <f ca="1">Calculos!BO$126</f>
        <v>-</v>
      </c>
      <c r="V136" s="332"/>
      <c r="W136" s="1"/>
    </row>
    <row r="137" spans="1:23" ht="20.100000000000001" customHeight="1" x14ac:dyDescent="0.25">
      <c r="A137" s="18"/>
      <c r="B137" s="18"/>
      <c r="C137" s="18"/>
      <c r="D137" s="7"/>
      <c r="E137" s="326"/>
      <c r="F137" s="1471"/>
      <c r="G137" s="1471"/>
      <c r="H137" s="1471"/>
      <c r="I137" s="1471"/>
      <c r="J137" s="1286"/>
      <c r="K137" s="1286"/>
      <c r="L137" s="1286"/>
      <c r="M137" s="1286"/>
      <c r="N137" s="334"/>
      <c r="O137" s="334"/>
      <c r="P137" s="335"/>
      <c r="Q137" s="335"/>
      <c r="R137" s="335"/>
      <c r="U137" s="331" t="str">
        <f ca="1">Calculos!BO$127</f>
        <v>-</v>
      </c>
      <c r="V137" s="332"/>
      <c r="W137" s="1"/>
    </row>
    <row r="138" spans="1:23" ht="20.100000000000001" customHeight="1" x14ac:dyDescent="0.25">
      <c r="A138" s="18"/>
      <c r="B138" s="18"/>
      <c r="C138" s="18"/>
      <c r="D138" s="7"/>
      <c r="E138" s="326"/>
      <c r="F138" s="1471"/>
      <c r="G138" s="1471"/>
      <c r="H138" s="1471"/>
      <c r="I138" s="1471"/>
      <c r="J138" s="1286"/>
      <c r="K138" s="1286"/>
      <c r="L138" s="1286"/>
      <c r="M138" s="1286"/>
      <c r="N138" s="334"/>
      <c r="O138" s="334"/>
      <c r="P138" s="335"/>
      <c r="Q138" s="335"/>
      <c r="R138" s="335"/>
      <c r="U138" s="331" t="str">
        <f ca="1">Calculos!BO$128</f>
        <v>-</v>
      </c>
      <c r="V138" s="332"/>
      <c r="W138" s="1"/>
    </row>
    <row r="139" spans="1:23" ht="20.100000000000001" customHeight="1" x14ac:dyDescent="0.25">
      <c r="A139" s="18"/>
      <c r="B139" s="18"/>
      <c r="C139" s="18"/>
      <c r="D139" s="7"/>
      <c r="E139" s="326"/>
      <c r="F139" s="1471"/>
      <c r="G139" s="1471"/>
      <c r="H139" s="1471"/>
      <c r="I139" s="1471"/>
      <c r="J139" s="1286"/>
      <c r="K139" s="1286"/>
      <c r="L139" s="1286"/>
      <c r="M139" s="1286"/>
      <c r="N139" s="334"/>
      <c r="O139" s="334"/>
      <c r="P139" s="335"/>
      <c r="Q139" s="335"/>
      <c r="R139" s="335"/>
      <c r="U139" s="331" t="str">
        <f ca="1">Calculos!BO$129</f>
        <v>-</v>
      </c>
      <c r="V139" s="332"/>
      <c r="W139" s="1"/>
    </row>
    <row r="140" spans="1:23" ht="20.100000000000001" customHeight="1" x14ac:dyDescent="0.25">
      <c r="A140" s="18"/>
      <c r="B140" s="18"/>
      <c r="C140" s="18"/>
      <c r="D140" s="7"/>
      <c r="E140" s="326"/>
      <c r="F140" s="1471"/>
      <c r="G140" s="1471"/>
      <c r="H140" s="1471"/>
      <c r="I140" s="1471"/>
      <c r="J140" s="1286"/>
      <c r="K140" s="1286"/>
      <c r="L140" s="1286"/>
      <c r="M140" s="1286"/>
      <c r="N140" s="334"/>
      <c r="O140" s="334"/>
      <c r="P140" s="335"/>
      <c r="Q140" s="335"/>
      <c r="R140" s="335"/>
      <c r="U140" s="331" t="str">
        <f ca="1">Calculos!BO$130</f>
        <v>-</v>
      </c>
      <c r="V140" s="332"/>
      <c r="W140" s="1"/>
    </row>
    <row r="141" spans="1:23" ht="20.100000000000001" customHeight="1" x14ac:dyDescent="0.25">
      <c r="A141" s="18"/>
      <c r="B141" s="18"/>
      <c r="C141" s="18"/>
      <c r="D141" s="7"/>
      <c r="E141" s="326"/>
      <c r="F141" s="1471"/>
      <c r="G141" s="1471"/>
      <c r="H141" s="1471"/>
      <c r="I141" s="1471"/>
      <c r="J141" s="1286"/>
      <c r="K141" s="1286"/>
      <c r="L141" s="1286"/>
      <c r="M141" s="1286"/>
      <c r="N141" s="334"/>
      <c r="O141" s="334"/>
      <c r="P141" s="335"/>
      <c r="Q141" s="335"/>
      <c r="R141" s="335"/>
      <c r="U141" s="331" t="str">
        <f ca="1">Calculos!BO$131</f>
        <v>-</v>
      </c>
      <c r="V141" s="332"/>
      <c r="W141" s="1"/>
    </row>
    <row r="142" spans="1:23" ht="20.100000000000001" customHeight="1" x14ac:dyDescent="0.25">
      <c r="A142" s="18"/>
      <c r="B142" s="18"/>
      <c r="C142" s="18"/>
      <c r="D142" s="7"/>
      <c r="E142" s="326"/>
      <c r="F142" s="1471"/>
      <c r="G142" s="1471"/>
      <c r="H142" s="1471"/>
      <c r="I142" s="1471"/>
      <c r="J142" s="1286"/>
      <c r="K142" s="1286"/>
      <c r="L142" s="1286"/>
      <c r="M142" s="1286"/>
      <c r="N142" s="334"/>
      <c r="O142" s="334"/>
      <c r="P142" s="335"/>
      <c r="Q142" s="335"/>
      <c r="R142" s="335"/>
      <c r="U142" s="331" t="str">
        <f ca="1">Calculos!BO$132</f>
        <v>-</v>
      </c>
      <c r="V142" s="329"/>
      <c r="W142" s="1"/>
    </row>
    <row r="143" spans="1:23" ht="20.100000000000001" customHeight="1" x14ac:dyDescent="0.25">
      <c r="A143" s="18"/>
      <c r="B143" s="18"/>
      <c r="C143" s="18"/>
      <c r="D143" s="7"/>
      <c r="E143" s="326"/>
      <c r="F143" s="1471"/>
      <c r="G143" s="1471"/>
      <c r="H143" s="1471"/>
      <c r="I143" s="1471"/>
      <c r="J143" s="1472" t="s">
        <v>80</v>
      </c>
      <c r="K143" s="1473"/>
      <c r="L143" s="1473"/>
      <c r="M143" s="1474"/>
      <c r="N143" s="334"/>
      <c r="O143" s="334"/>
      <c r="P143" s="335"/>
      <c r="Q143" s="335"/>
      <c r="R143" s="335" t="s">
        <v>10</v>
      </c>
      <c r="U143" s="331" t="str">
        <f ca="1">Calculos!BO$133</f>
        <v>-</v>
      </c>
      <c r="V143" s="329"/>
      <c r="W143" s="1"/>
    </row>
    <row r="144" spans="1:23" ht="20.100000000000001" hidden="1" customHeight="1" x14ac:dyDescent="0.25">
      <c r="A144" s="18"/>
      <c r="B144" s="18"/>
      <c r="C144" s="18"/>
      <c r="D144" s="7"/>
      <c r="E144" s="326"/>
      <c r="V144" s="329"/>
      <c r="W144" s="1"/>
    </row>
    <row r="145" spans="1:23" ht="20.100000000000001" customHeight="1" x14ac:dyDescent="0.25">
      <c r="A145" s="18"/>
      <c r="B145" s="18"/>
      <c r="C145" s="18"/>
      <c r="D145" s="7"/>
      <c r="E145" s="336"/>
      <c r="F145" s="337"/>
      <c r="G145" s="337"/>
      <c r="H145" s="337"/>
      <c r="I145" s="337"/>
      <c r="J145" s="337"/>
      <c r="K145" s="337"/>
      <c r="L145" s="337"/>
      <c r="M145" s="337"/>
      <c r="N145" s="337"/>
      <c r="O145" s="337"/>
      <c r="P145" s="337"/>
      <c r="Q145" s="337"/>
      <c r="R145" s="337"/>
      <c r="S145" s="337"/>
      <c r="T145" s="337"/>
      <c r="U145" s="337"/>
      <c r="V145" s="338"/>
      <c r="W145" s="1"/>
    </row>
    <row r="146" spans="1:23" s="7" customFormat="1" ht="30" customHeight="1" x14ac:dyDescent="0.25">
      <c r="A146" s="18"/>
      <c r="B146" s="18"/>
      <c r="C146" s="18"/>
    </row>
    <row r="147" spans="1:23" ht="20.100000000000001" customHeight="1" x14ac:dyDescent="0.25">
      <c r="A147" s="18"/>
      <c r="B147" s="18"/>
      <c r="C147" s="18"/>
      <c r="D147" s="7"/>
      <c r="E147" s="321"/>
      <c r="F147" s="322"/>
      <c r="G147" s="323"/>
      <c r="H147" s="323"/>
      <c r="I147" s="323"/>
      <c r="J147" s="323"/>
      <c r="K147" s="323"/>
      <c r="L147" s="323"/>
      <c r="M147" s="323"/>
      <c r="N147" s="323"/>
      <c r="O147" s="323"/>
      <c r="P147" s="323"/>
      <c r="Q147" s="323"/>
      <c r="R147" s="323"/>
      <c r="S147" s="339"/>
      <c r="T147" s="339"/>
      <c r="U147" s="340"/>
      <c r="V147" s="325"/>
      <c r="W147" s="1"/>
    </row>
    <row r="148" spans="1:23" ht="39.950000000000003" customHeight="1" x14ac:dyDescent="0.25">
      <c r="A148" s="18"/>
      <c r="B148" s="18"/>
      <c r="C148" s="18"/>
      <c r="D148" s="7"/>
      <c r="E148" s="326"/>
      <c r="F148" s="1469" t="s">
        <v>8609</v>
      </c>
      <c r="G148" s="1470"/>
      <c r="H148" s="1470"/>
      <c r="I148" s="1470"/>
      <c r="J148" s="1470"/>
      <c r="K148" s="1470"/>
      <c r="L148" s="1470"/>
      <c r="M148" s="1470"/>
      <c r="N148" s="327" t="str">
        <f ca="1">"Concentração"&amp;" "&amp;Calculos!$BJ$3</f>
        <v>Concentração -</v>
      </c>
      <c r="O148" s="327" t="s">
        <v>6038</v>
      </c>
      <c r="P148" s="327" t="s">
        <v>8126</v>
      </c>
      <c r="Q148" s="327" t="s">
        <v>8028</v>
      </c>
      <c r="R148" s="327" t="s">
        <v>8603</v>
      </c>
      <c r="S148" s="327" t="s">
        <v>8127</v>
      </c>
      <c r="U148" s="328" t="s">
        <v>119</v>
      </c>
      <c r="V148" s="332"/>
      <c r="W148" s="7"/>
    </row>
    <row r="149" spans="1:23" ht="20.100000000000001" customHeight="1" x14ac:dyDescent="0.25">
      <c r="A149" s="18"/>
      <c r="B149" s="18"/>
      <c r="C149" s="18"/>
      <c r="D149" s="7"/>
      <c r="E149" s="326"/>
      <c r="F149" s="1471" t="str">
        <f ca="1">Calculos!$BJ$4</f>
        <v>-</v>
      </c>
      <c r="G149" s="1471"/>
      <c r="H149" s="1471"/>
      <c r="I149" s="1471"/>
      <c r="J149" s="1472" t="s">
        <v>7103</v>
      </c>
      <c r="K149" s="1473"/>
      <c r="L149" s="1473"/>
      <c r="M149" s="1474"/>
      <c r="N149" s="188"/>
      <c r="O149" s="188"/>
      <c r="P149" s="330"/>
      <c r="Q149" s="330"/>
      <c r="R149" s="187">
        <v>0</v>
      </c>
      <c r="S149" s="331">
        <f>O149/2</f>
        <v>0</v>
      </c>
      <c r="U149" s="331" t="str">
        <f ca="1">Calculos!BO$138</f>
        <v>-</v>
      </c>
      <c r="V149" s="332"/>
      <c r="W149" s="1"/>
    </row>
    <row r="150" spans="1:23" ht="20.100000000000001" customHeight="1" x14ac:dyDescent="0.25">
      <c r="A150" s="18"/>
      <c r="B150" s="18"/>
      <c r="C150" s="18"/>
      <c r="D150" s="7"/>
      <c r="E150" s="326"/>
      <c r="F150" s="1471"/>
      <c r="G150" s="1471"/>
      <c r="H150" s="1471"/>
      <c r="I150" s="1471"/>
      <c r="J150" s="1286" t="s">
        <v>8027</v>
      </c>
      <c r="K150" s="1286"/>
      <c r="L150" s="1286"/>
      <c r="M150" s="1286"/>
      <c r="N150" s="188"/>
      <c r="O150" s="188"/>
      <c r="P150" s="330"/>
      <c r="Q150" s="330"/>
      <c r="R150" s="187"/>
      <c r="U150" s="331" t="str">
        <f ca="1">Calculos!BO$139</f>
        <v>-</v>
      </c>
      <c r="V150" s="332"/>
      <c r="W150" s="1"/>
    </row>
    <row r="151" spans="1:23" ht="20.100000000000001" customHeight="1" x14ac:dyDescent="0.25">
      <c r="A151" s="18"/>
      <c r="B151" s="18"/>
      <c r="C151" s="18"/>
      <c r="D151" s="7"/>
      <c r="E151" s="326"/>
      <c r="F151" s="1471"/>
      <c r="G151" s="1471"/>
      <c r="H151" s="1471"/>
      <c r="I151" s="1471"/>
      <c r="J151" s="1286"/>
      <c r="K151" s="1286"/>
      <c r="L151" s="1286"/>
      <c r="M151" s="1286"/>
      <c r="N151" s="188"/>
      <c r="O151" s="188"/>
      <c r="P151" s="330"/>
      <c r="Q151" s="330"/>
      <c r="R151" s="187"/>
      <c r="U151" s="331" t="str">
        <f ca="1">Calculos!BO$140</f>
        <v>-</v>
      </c>
      <c r="V151" s="332"/>
      <c r="W151" s="1"/>
    </row>
    <row r="152" spans="1:23" ht="20.100000000000001" customHeight="1" x14ac:dyDescent="0.25">
      <c r="A152" s="18"/>
      <c r="B152" s="18"/>
      <c r="C152" s="18"/>
      <c r="D152" s="7"/>
      <c r="E152" s="326"/>
      <c r="F152" s="1471"/>
      <c r="G152" s="1471"/>
      <c r="H152" s="1471"/>
      <c r="I152" s="1471"/>
      <c r="J152" s="1286"/>
      <c r="K152" s="1286"/>
      <c r="L152" s="1286"/>
      <c r="M152" s="1286"/>
      <c r="N152" s="188"/>
      <c r="O152" s="188"/>
      <c r="P152" s="330"/>
      <c r="Q152" s="330"/>
      <c r="R152" s="187"/>
      <c r="U152" s="331" t="str">
        <f ca="1">Calculos!BO$141</f>
        <v>-</v>
      </c>
      <c r="V152" s="332"/>
      <c r="W152" s="1"/>
    </row>
    <row r="153" spans="1:23" ht="20.100000000000001" customHeight="1" x14ac:dyDescent="0.25">
      <c r="A153" s="18"/>
      <c r="B153" s="18"/>
      <c r="C153" s="18"/>
      <c r="D153" s="7"/>
      <c r="E153" s="326"/>
      <c r="F153" s="1471"/>
      <c r="G153" s="1471"/>
      <c r="H153" s="1471"/>
      <c r="I153" s="1471"/>
      <c r="J153" s="1286"/>
      <c r="K153" s="1286"/>
      <c r="L153" s="1286"/>
      <c r="M153" s="1286"/>
      <c r="N153" s="188"/>
      <c r="O153" s="188"/>
      <c r="P153" s="330"/>
      <c r="Q153" s="330"/>
      <c r="R153" s="187"/>
      <c r="U153" s="331" t="str">
        <f ca="1">Calculos!BO$142</f>
        <v>-</v>
      </c>
      <c r="V153" s="332"/>
      <c r="W153" s="1"/>
    </row>
    <row r="154" spans="1:23" ht="20.100000000000001" customHeight="1" x14ac:dyDescent="0.25">
      <c r="A154" s="18"/>
      <c r="B154" s="18"/>
      <c r="C154" s="18"/>
      <c r="D154" s="7"/>
      <c r="E154" s="326"/>
      <c r="F154" s="1471"/>
      <c r="G154" s="1471"/>
      <c r="H154" s="1471"/>
      <c r="I154" s="1471"/>
      <c r="J154" s="1286"/>
      <c r="K154" s="1286"/>
      <c r="L154" s="1286"/>
      <c r="M154" s="1286"/>
      <c r="N154" s="188"/>
      <c r="O154" s="188"/>
      <c r="P154" s="330"/>
      <c r="Q154" s="330"/>
      <c r="R154" s="187"/>
      <c r="U154" s="331" t="str">
        <f ca="1">Calculos!BO$143</f>
        <v>-</v>
      </c>
      <c r="V154" s="332"/>
      <c r="W154" s="1"/>
    </row>
    <row r="155" spans="1:23" ht="20.100000000000001" customHeight="1" x14ac:dyDescent="0.25">
      <c r="A155" s="18"/>
      <c r="B155" s="18"/>
      <c r="C155" s="18"/>
      <c r="D155" s="7"/>
      <c r="E155" s="326"/>
      <c r="F155" s="1471"/>
      <c r="G155" s="1471"/>
      <c r="H155" s="1471"/>
      <c r="I155" s="1471"/>
      <c r="J155" s="1286"/>
      <c r="K155" s="1286"/>
      <c r="L155" s="1286"/>
      <c r="M155" s="1286"/>
      <c r="N155" s="188"/>
      <c r="O155" s="188"/>
      <c r="P155" s="330"/>
      <c r="Q155" s="330"/>
      <c r="R155" s="187"/>
      <c r="U155" s="331" t="str">
        <f ca="1">Calculos!BO$144</f>
        <v>-</v>
      </c>
      <c r="V155" s="332"/>
      <c r="W155" s="1"/>
    </row>
    <row r="156" spans="1:23" ht="20.100000000000001" customHeight="1" x14ac:dyDescent="0.25">
      <c r="A156" s="18"/>
      <c r="B156" s="18"/>
      <c r="C156" s="18"/>
      <c r="D156" s="7"/>
      <c r="E156" s="326"/>
      <c r="F156" s="1471"/>
      <c r="G156" s="1471"/>
      <c r="H156" s="1471"/>
      <c r="I156" s="1471"/>
      <c r="J156" s="1286"/>
      <c r="K156" s="1286"/>
      <c r="L156" s="1286"/>
      <c r="M156" s="1286"/>
      <c r="N156" s="188"/>
      <c r="O156" s="188"/>
      <c r="P156" s="330"/>
      <c r="Q156" s="330"/>
      <c r="R156" s="187"/>
      <c r="U156" s="331" t="str">
        <f ca="1">Calculos!BO$145</f>
        <v>-</v>
      </c>
      <c r="V156" s="332"/>
      <c r="W156" s="1"/>
    </row>
    <row r="157" spans="1:23" ht="20.100000000000001" customHeight="1" x14ac:dyDescent="0.25">
      <c r="A157" s="18"/>
      <c r="B157" s="18"/>
      <c r="C157" s="18"/>
      <c r="D157" s="7"/>
      <c r="E157" s="326"/>
      <c r="F157" s="1471"/>
      <c r="G157" s="1471"/>
      <c r="H157" s="1471"/>
      <c r="I157" s="1471"/>
      <c r="J157" s="1286"/>
      <c r="K157" s="1286"/>
      <c r="L157" s="1286"/>
      <c r="M157" s="1286"/>
      <c r="N157" s="188"/>
      <c r="O157" s="188"/>
      <c r="P157" s="330"/>
      <c r="Q157" s="330"/>
      <c r="R157" s="187"/>
      <c r="U157" s="331" t="str">
        <f ca="1">Calculos!BO$146</f>
        <v>-</v>
      </c>
      <c r="V157" s="332"/>
      <c r="W157" s="1"/>
    </row>
    <row r="158" spans="1:23" ht="20.100000000000001" customHeight="1" x14ac:dyDescent="0.25">
      <c r="A158" s="18"/>
      <c r="B158" s="18"/>
      <c r="C158" s="18"/>
      <c r="D158" s="7"/>
      <c r="E158" s="326"/>
      <c r="F158" s="1471"/>
      <c r="G158" s="1471"/>
      <c r="H158" s="1471"/>
      <c r="I158" s="1471"/>
      <c r="J158" s="1286"/>
      <c r="K158" s="1286"/>
      <c r="L158" s="1286"/>
      <c r="M158" s="1286"/>
      <c r="N158" s="188"/>
      <c r="O158" s="188"/>
      <c r="P158" s="330"/>
      <c r="Q158" s="330"/>
      <c r="R158" s="187"/>
      <c r="U158" s="331" t="str">
        <f ca="1">Calculos!BO$147</f>
        <v>-</v>
      </c>
      <c r="V158" s="332"/>
      <c r="W158" s="1"/>
    </row>
    <row r="159" spans="1:23" ht="20.100000000000001" customHeight="1" x14ac:dyDescent="0.25">
      <c r="A159" s="18"/>
      <c r="B159" s="18"/>
      <c r="C159" s="18"/>
      <c r="D159" s="7"/>
      <c r="E159" s="326"/>
      <c r="F159" s="1471"/>
      <c r="G159" s="1471"/>
      <c r="H159" s="1471"/>
      <c r="I159" s="1471"/>
      <c r="J159" s="1286"/>
      <c r="K159" s="1286"/>
      <c r="L159" s="1286"/>
      <c r="M159" s="1286"/>
      <c r="N159" s="188"/>
      <c r="O159" s="188"/>
      <c r="P159" s="330"/>
      <c r="Q159" s="330"/>
      <c r="R159" s="187"/>
      <c r="U159" s="331" t="str">
        <f ca="1">Calculos!BO$148</f>
        <v>-</v>
      </c>
      <c r="V159" s="332"/>
      <c r="W159" s="1"/>
    </row>
    <row r="160" spans="1:23" ht="20.100000000000001" customHeight="1" x14ac:dyDescent="0.25">
      <c r="A160" s="18"/>
      <c r="B160" s="18"/>
      <c r="C160" s="18"/>
      <c r="D160" s="7"/>
      <c r="E160" s="326"/>
      <c r="F160" s="1471"/>
      <c r="G160" s="1471"/>
      <c r="H160" s="1471"/>
      <c r="I160" s="1471"/>
      <c r="J160" s="1472" t="s">
        <v>80</v>
      </c>
      <c r="K160" s="1473"/>
      <c r="L160" s="1473"/>
      <c r="M160" s="1474"/>
      <c r="N160" s="188"/>
      <c r="O160" s="188"/>
      <c r="P160" s="330"/>
      <c r="Q160" s="330"/>
      <c r="R160" s="187" t="s">
        <v>10</v>
      </c>
      <c r="U160" s="331" t="str">
        <f ca="1">Calculos!BO$149</f>
        <v>-</v>
      </c>
      <c r="V160" s="332"/>
      <c r="W160" s="1"/>
    </row>
    <row r="161" spans="1:23" ht="20.100000000000001" customHeight="1" x14ac:dyDescent="0.25">
      <c r="A161" s="18"/>
      <c r="B161" s="18"/>
      <c r="C161" s="18"/>
      <c r="D161" s="7"/>
      <c r="E161" s="326"/>
      <c r="V161" s="332"/>
      <c r="W161" s="1"/>
    </row>
    <row r="162" spans="1:23" ht="20.100000000000001" hidden="1" customHeight="1" x14ac:dyDescent="0.25">
      <c r="A162" s="18"/>
      <c r="B162" s="18"/>
      <c r="C162" s="18"/>
      <c r="D162" s="7"/>
      <c r="E162" s="326"/>
      <c r="V162" s="332"/>
      <c r="W162" s="1"/>
    </row>
    <row r="163" spans="1:23" ht="20.100000000000001" hidden="1" customHeight="1" x14ac:dyDescent="0.25">
      <c r="A163" s="18"/>
      <c r="B163" s="18"/>
      <c r="C163" s="18"/>
      <c r="D163" s="7"/>
      <c r="E163" s="326"/>
      <c r="V163" s="332"/>
      <c r="W163" s="1"/>
    </row>
    <row r="164" spans="1:23" ht="20.100000000000001" customHeight="1" x14ac:dyDescent="0.25">
      <c r="A164" s="18"/>
      <c r="B164" s="18"/>
      <c r="C164" s="18"/>
      <c r="D164" s="7"/>
      <c r="E164" s="326"/>
      <c r="V164" s="332"/>
      <c r="W164" s="7"/>
    </row>
    <row r="165" spans="1:23" ht="39.950000000000003" customHeight="1" x14ac:dyDescent="0.25">
      <c r="A165" s="18"/>
      <c r="B165" s="18"/>
      <c r="C165" s="18"/>
      <c r="D165" s="7"/>
      <c r="E165" s="326"/>
      <c r="F165" s="1475" t="s">
        <v>8618</v>
      </c>
      <c r="G165" s="1476"/>
      <c r="H165" s="1476"/>
      <c r="I165" s="1476"/>
      <c r="J165" s="1476"/>
      <c r="K165" s="1476"/>
      <c r="L165" s="1476"/>
      <c r="M165" s="1476"/>
      <c r="N165" s="333" t="str">
        <f ca="1">"Concentração"&amp;" "&amp;Calculos!$BJ$3</f>
        <v>Concentração -</v>
      </c>
      <c r="O165" s="333" t="s">
        <v>6038</v>
      </c>
      <c r="P165" s="333" t="s">
        <v>8126</v>
      </c>
      <c r="Q165" s="333" t="s">
        <v>8028</v>
      </c>
      <c r="R165" s="333" t="s">
        <v>8603</v>
      </c>
      <c r="S165" s="333" t="s">
        <v>8127</v>
      </c>
      <c r="U165" s="328" t="s">
        <v>119</v>
      </c>
      <c r="V165" s="332"/>
      <c r="W165" s="1"/>
    </row>
    <row r="166" spans="1:23" ht="20.100000000000001" customHeight="1" x14ac:dyDescent="0.25">
      <c r="A166" s="18"/>
      <c r="B166" s="18"/>
      <c r="C166" s="18"/>
      <c r="D166" s="7"/>
      <c r="E166" s="326"/>
      <c r="F166" s="1471" t="str">
        <f ca="1">Calculos!$BJ$4</f>
        <v>-</v>
      </c>
      <c r="G166" s="1471"/>
      <c r="H166" s="1471"/>
      <c r="I166" s="1471"/>
      <c r="J166" s="1472" t="s">
        <v>7103</v>
      </c>
      <c r="K166" s="1473"/>
      <c r="L166" s="1473"/>
      <c r="M166" s="1474"/>
      <c r="N166" s="334"/>
      <c r="O166" s="334"/>
      <c r="P166" s="335"/>
      <c r="Q166" s="335"/>
      <c r="R166" s="335">
        <v>0</v>
      </c>
      <c r="S166" s="331">
        <f>O166/2</f>
        <v>0</v>
      </c>
      <c r="U166" s="331" t="str">
        <f ca="1">Calculos!BO$154</f>
        <v>-</v>
      </c>
      <c r="V166" s="332"/>
      <c r="W166" s="1"/>
    </row>
    <row r="167" spans="1:23" ht="20.100000000000001" customHeight="1" x14ac:dyDescent="0.25">
      <c r="A167" s="18"/>
      <c r="B167" s="18"/>
      <c r="C167" s="18"/>
      <c r="D167" s="7"/>
      <c r="E167" s="326"/>
      <c r="F167" s="1471"/>
      <c r="G167" s="1471"/>
      <c r="H167" s="1471"/>
      <c r="I167" s="1471"/>
      <c r="J167" s="1286" t="s">
        <v>8027</v>
      </c>
      <c r="K167" s="1286"/>
      <c r="L167" s="1286"/>
      <c r="M167" s="1286"/>
      <c r="N167" s="334"/>
      <c r="O167" s="334"/>
      <c r="P167" s="335"/>
      <c r="Q167" s="335"/>
      <c r="R167" s="335"/>
      <c r="U167" s="331" t="str">
        <f ca="1">Calculos!BO$155</f>
        <v>-</v>
      </c>
      <c r="V167" s="332"/>
      <c r="W167" s="1"/>
    </row>
    <row r="168" spans="1:23" ht="20.100000000000001" customHeight="1" x14ac:dyDescent="0.25">
      <c r="A168" s="18"/>
      <c r="B168" s="18"/>
      <c r="C168" s="18"/>
      <c r="D168" s="7"/>
      <c r="E168" s="326"/>
      <c r="F168" s="1471"/>
      <c r="G168" s="1471"/>
      <c r="H168" s="1471"/>
      <c r="I168" s="1471"/>
      <c r="J168" s="1286"/>
      <c r="K168" s="1286"/>
      <c r="L168" s="1286"/>
      <c r="M168" s="1286"/>
      <c r="N168" s="334"/>
      <c r="O168" s="334"/>
      <c r="P168" s="335"/>
      <c r="Q168" s="335"/>
      <c r="R168" s="335"/>
      <c r="U168" s="331" t="str">
        <f ca="1">Calculos!BO$156</f>
        <v>-</v>
      </c>
      <c r="V168" s="332"/>
      <c r="W168" s="1"/>
    </row>
    <row r="169" spans="1:23" ht="20.100000000000001" customHeight="1" x14ac:dyDescent="0.25">
      <c r="A169" s="18"/>
      <c r="B169" s="18"/>
      <c r="C169" s="18"/>
      <c r="D169" s="7"/>
      <c r="E169" s="326"/>
      <c r="F169" s="1471"/>
      <c r="G169" s="1471"/>
      <c r="H169" s="1471"/>
      <c r="I169" s="1471"/>
      <c r="J169" s="1286"/>
      <c r="K169" s="1286"/>
      <c r="L169" s="1286"/>
      <c r="M169" s="1286"/>
      <c r="N169" s="334"/>
      <c r="O169" s="334"/>
      <c r="P169" s="335"/>
      <c r="Q169" s="335"/>
      <c r="R169" s="335"/>
      <c r="U169" s="331" t="str">
        <f ca="1">Calculos!BO$157</f>
        <v>-</v>
      </c>
      <c r="V169" s="332"/>
      <c r="W169" s="1"/>
    </row>
    <row r="170" spans="1:23" ht="20.100000000000001" customHeight="1" x14ac:dyDescent="0.25">
      <c r="A170" s="18"/>
      <c r="B170" s="18"/>
      <c r="C170" s="18"/>
      <c r="D170" s="7"/>
      <c r="E170" s="326"/>
      <c r="F170" s="1471"/>
      <c r="G170" s="1471"/>
      <c r="H170" s="1471"/>
      <c r="I170" s="1471"/>
      <c r="J170" s="1286"/>
      <c r="K170" s="1286"/>
      <c r="L170" s="1286"/>
      <c r="M170" s="1286"/>
      <c r="N170" s="334"/>
      <c r="O170" s="334"/>
      <c r="P170" s="335"/>
      <c r="Q170" s="335"/>
      <c r="R170" s="335"/>
      <c r="U170" s="331" t="str">
        <f ca="1">Calculos!BO$158</f>
        <v>-</v>
      </c>
      <c r="V170" s="332"/>
      <c r="W170" s="1"/>
    </row>
    <row r="171" spans="1:23" ht="20.100000000000001" customHeight="1" x14ac:dyDescent="0.25">
      <c r="A171" s="18"/>
      <c r="B171" s="18"/>
      <c r="C171" s="18"/>
      <c r="D171" s="7"/>
      <c r="E171" s="326"/>
      <c r="F171" s="1471"/>
      <c r="G171" s="1471"/>
      <c r="H171" s="1471"/>
      <c r="I171" s="1471"/>
      <c r="J171" s="1286"/>
      <c r="K171" s="1286"/>
      <c r="L171" s="1286"/>
      <c r="M171" s="1286"/>
      <c r="N171" s="334"/>
      <c r="O171" s="334"/>
      <c r="P171" s="335"/>
      <c r="Q171" s="335"/>
      <c r="R171" s="335"/>
      <c r="U171" s="331" t="str">
        <f ca="1">Calculos!BO$159</f>
        <v>-</v>
      </c>
      <c r="V171" s="332"/>
      <c r="W171" s="1"/>
    </row>
    <row r="172" spans="1:23" ht="20.100000000000001" customHeight="1" x14ac:dyDescent="0.25">
      <c r="A172" s="18"/>
      <c r="B172" s="18"/>
      <c r="C172" s="18"/>
      <c r="D172" s="7"/>
      <c r="E172" s="326"/>
      <c r="F172" s="1471"/>
      <c r="G172" s="1471"/>
      <c r="H172" s="1471"/>
      <c r="I172" s="1471"/>
      <c r="J172" s="1286"/>
      <c r="K172" s="1286"/>
      <c r="L172" s="1286"/>
      <c r="M172" s="1286"/>
      <c r="N172" s="334"/>
      <c r="O172" s="334"/>
      <c r="P172" s="335"/>
      <c r="Q172" s="335"/>
      <c r="R172" s="335"/>
      <c r="U172" s="331" t="str">
        <f ca="1">Calculos!BO$160</f>
        <v>-</v>
      </c>
      <c r="V172" s="332"/>
      <c r="W172" s="1"/>
    </row>
    <row r="173" spans="1:23" ht="20.100000000000001" customHeight="1" x14ac:dyDescent="0.25">
      <c r="A173" s="18"/>
      <c r="B173" s="18"/>
      <c r="C173" s="18"/>
      <c r="D173" s="7"/>
      <c r="E173" s="326"/>
      <c r="F173" s="1471"/>
      <c r="G173" s="1471"/>
      <c r="H173" s="1471"/>
      <c r="I173" s="1471"/>
      <c r="J173" s="1286"/>
      <c r="K173" s="1286"/>
      <c r="L173" s="1286"/>
      <c r="M173" s="1286"/>
      <c r="N173" s="334"/>
      <c r="O173" s="334"/>
      <c r="P173" s="335"/>
      <c r="Q173" s="335"/>
      <c r="R173" s="335"/>
      <c r="U173" s="331" t="str">
        <f ca="1">Calculos!BO$161</f>
        <v>-</v>
      </c>
      <c r="V173" s="332"/>
      <c r="W173" s="1"/>
    </row>
    <row r="174" spans="1:23" ht="20.100000000000001" customHeight="1" x14ac:dyDescent="0.25">
      <c r="A174" s="18"/>
      <c r="B174" s="18"/>
      <c r="C174" s="18"/>
      <c r="D174" s="7"/>
      <c r="E174" s="326"/>
      <c r="F174" s="1471"/>
      <c r="G174" s="1471"/>
      <c r="H174" s="1471"/>
      <c r="I174" s="1471"/>
      <c r="J174" s="1286"/>
      <c r="K174" s="1286"/>
      <c r="L174" s="1286"/>
      <c r="M174" s="1286"/>
      <c r="N174" s="334"/>
      <c r="O174" s="334"/>
      <c r="P174" s="335"/>
      <c r="Q174" s="335"/>
      <c r="R174" s="335"/>
      <c r="U174" s="331" t="str">
        <f ca="1">Calculos!BO$162</f>
        <v>-</v>
      </c>
      <c r="V174" s="332"/>
      <c r="W174" s="1"/>
    </row>
    <row r="175" spans="1:23" ht="20.100000000000001" customHeight="1" x14ac:dyDescent="0.25">
      <c r="A175" s="18"/>
      <c r="B175" s="18"/>
      <c r="C175" s="18"/>
      <c r="D175" s="1"/>
      <c r="E175" s="326"/>
      <c r="F175" s="1471"/>
      <c r="G175" s="1471"/>
      <c r="H175" s="1471"/>
      <c r="I175" s="1471"/>
      <c r="J175" s="1286"/>
      <c r="K175" s="1286"/>
      <c r="L175" s="1286"/>
      <c r="M175" s="1286"/>
      <c r="N175" s="334"/>
      <c r="O175" s="334"/>
      <c r="P175" s="335"/>
      <c r="Q175" s="335"/>
      <c r="R175" s="335"/>
      <c r="U175" s="331" t="str">
        <f ca="1">Calculos!BO$163</f>
        <v>-</v>
      </c>
      <c r="V175" s="332"/>
      <c r="W175" s="1"/>
    </row>
    <row r="176" spans="1:23" ht="20.100000000000001" customHeight="1" x14ac:dyDescent="0.25">
      <c r="A176" s="18"/>
      <c r="B176" s="18"/>
      <c r="C176" s="18"/>
      <c r="D176" s="1"/>
      <c r="E176" s="326"/>
      <c r="F176" s="1471"/>
      <c r="G176" s="1471"/>
      <c r="H176" s="1471"/>
      <c r="I176" s="1471"/>
      <c r="J176" s="1286"/>
      <c r="K176" s="1286"/>
      <c r="L176" s="1286"/>
      <c r="M176" s="1286"/>
      <c r="N176" s="334"/>
      <c r="O176" s="334"/>
      <c r="P176" s="335"/>
      <c r="Q176" s="335"/>
      <c r="R176" s="335"/>
      <c r="U176" s="331" t="str">
        <f ca="1">Calculos!BO$164</f>
        <v>-</v>
      </c>
      <c r="V176" s="329"/>
      <c r="W176" s="1"/>
    </row>
    <row r="177" spans="1:23" ht="20.100000000000001" customHeight="1" x14ac:dyDescent="0.25">
      <c r="A177" s="18"/>
      <c r="B177" s="18"/>
      <c r="C177" s="18"/>
      <c r="D177" s="1"/>
      <c r="E177" s="326"/>
      <c r="F177" s="1471"/>
      <c r="G177" s="1471"/>
      <c r="H177" s="1471"/>
      <c r="I177" s="1471"/>
      <c r="J177" s="1472" t="s">
        <v>80</v>
      </c>
      <c r="K177" s="1473"/>
      <c r="L177" s="1473"/>
      <c r="M177" s="1474"/>
      <c r="N177" s="334"/>
      <c r="O177" s="334"/>
      <c r="P177" s="335"/>
      <c r="Q177" s="335"/>
      <c r="R177" s="335" t="s">
        <v>10</v>
      </c>
      <c r="U177" s="331" t="str">
        <f ca="1">Calculos!BO$165</f>
        <v>-</v>
      </c>
      <c r="V177" s="329"/>
      <c r="W177" s="1"/>
    </row>
    <row r="178" spans="1:23" ht="20.100000000000001" hidden="1" customHeight="1" x14ac:dyDescent="0.25">
      <c r="A178" s="18"/>
      <c r="B178" s="18"/>
      <c r="C178" s="18"/>
      <c r="D178" s="1"/>
      <c r="E178" s="326"/>
      <c r="V178" s="329"/>
      <c r="W178" s="1"/>
    </row>
    <row r="179" spans="1:23" ht="20.100000000000001" customHeight="1" x14ac:dyDescent="0.25">
      <c r="A179" s="18"/>
      <c r="B179" s="18"/>
      <c r="C179" s="18"/>
      <c r="D179" s="1"/>
      <c r="E179" s="336"/>
      <c r="F179" s="337"/>
      <c r="G179" s="337"/>
      <c r="H179" s="337"/>
      <c r="I179" s="337"/>
      <c r="J179" s="337"/>
      <c r="K179" s="337"/>
      <c r="L179" s="337"/>
      <c r="M179" s="337"/>
      <c r="N179" s="337"/>
      <c r="O179" s="337"/>
      <c r="P179" s="337"/>
      <c r="Q179" s="337"/>
      <c r="R179" s="337"/>
      <c r="S179" s="337"/>
      <c r="T179" s="337"/>
      <c r="U179" s="337"/>
      <c r="V179" s="338"/>
      <c r="W179" s="1"/>
    </row>
    <row r="180" spans="1:23" s="1" customFormat="1" ht="30" customHeight="1" x14ac:dyDescent="0.25">
      <c r="A180" s="18"/>
      <c r="B180" s="18"/>
      <c r="C180" s="18"/>
    </row>
    <row r="181" spans="1:23" ht="20.100000000000001" customHeight="1" x14ac:dyDescent="0.25">
      <c r="A181" s="18"/>
      <c r="B181" s="18"/>
      <c r="C181" s="18"/>
      <c r="D181" s="7"/>
      <c r="E181" s="321"/>
      <c r="F181" s="322"/>
      <c r="G181" s="323"/>
      <c r="H181" s="323"/>
      <c r="I181" s="323"/>
      <c r="J181" s="323"/>
      <c r="K181" s="323"/>
      <c r="L181" s="323"/>
      <c r="M181" s="323"/>
      <c r="N181" s="323"/>
      <c r="O181" s="323"/>
      <c r="P181" s="323"/>
      <c r="Q181" s="323"/>
      <c r="R181" s="339"/>
      <c r="S181" s="339"/>
      <c r="T181" s="339"/>
      <c r="U181" s="339"/>
      <c r="V181" s="342"/>
      <c r="W181" s="1"/>
    </row>
    <row r="182" spans="1:23" ht="39.950000000000003" customHeight="1" x14ac:dyDescent="0.25">
      <c r="A182" s="18"/>
      <c r="B182" s="18"/>
      <c r="C182" s="18"/>
      <c r="D182" s="7"/>
      <c r="E182" s="326"/>
      <c r="F182" s="1469" t="s">
        <v>8610</v>
      </c>
      <c r="G182" s="1470"/>
      <c r="H182" s="1470"/>
      <c r="I182" s="1470"/>
      <c r="J182" s="1470"/>
      <c r="K182" s="1470"/>
      <c r="L182" s="1470"/>
      <c r="M182" s="1470"/>
      <c r="N182" s="327" t="str">
        <f ca="1">"Concentração"&amp;" "&amp;Calculos!$BJ$3</f>
        <v>Concentração -</v>
      </c>
      <c r="O182" s="327" t="s">
        <v>6038</v>
      </c>
      <c r="P182" s="327" t="s">
        <v>8126</v>
      </c>
      <c r="Q182" s="327" t="s">
        <v>8028</v>
      </c>
      <c r="R182" s="327" t="s">
        <v>8603</v>
      </c>
      <c r="S182" s="327" t="s">
        <v>8127</v>
      </c>
      <c r="U182" s="328" t="s">
        <v>119</v>
      </c>
      <c r="V182" s="332"/>
      <c r="W182" s="7"/>
    </row>
    <row r="183" spans="1:23" ht="20.100000000000001" customHeight="1" x14ac:dyDescent="0.25">
      <c r="A183" s="18"/>
      <c r="B183" s="18"/>
      <c r="C183" s="18"/>
      <c r="D183" s="7"/>
      <c r="E183" s="326"/>
      <c r="F183" s="1471" t="str">
        <f ca="1">Calculos!$BJ$4</f>
        <v>-</v>
      </c>
      <c r="G183" s="1471"/>
      <c r="H183" s="1471"/>
      <c r="I183" s="1471"/>
      <c r="J183" s="1472" t="s">
        <v>7103</v>
      </c>
      <c r="K183" s="1473"/>
      <c r="L183" s="1473"/>
      <c r="M183" s="1474"/>
      <c r="N183" s="188"/>
      <c r="O183" s="188"/>
      <c r="P183" s="330"/>
      <c r="Q183" s="330"/>
      <c r="R183" s="187">
        <v>0</v>
      </c>
      <c r="S183" s="331">
        <f>O183/2</f>
        <v>0</v>
      </c>
      <c r="U183" s="331" t="str">
        <f ca="1">Calculos!BO$170</f>
        <v>-</v>
      </c>
      <c r="V183" s="332"/>
      <c r="W183" s="1"/>
    </row>
    <row r="184" spans="1:23" ht="20.100000000000001" customHeight="1" x14ac:dyDescent="0.25">
      <c r="A184" s="18"/>
      <c r="B184" s="18"/>
      <c r="C184" s="18"/>
      <c r="D184" s="7"/>
      <c r="E184" s="326"/>
      <c r="F184" s="1471"/>
      <c r="G184" s="1471"/>
      <c r="H184" s="1471"/>
      <c r="I184" s="1471"/>
      <c r="J184" s="1286" t="s">
        <v>8027</v>
      </c>
      <c r="K184" s="1286"/>
      <c r="L184" s="1286"/>
      <c r="M184" s="1286"/>
      <c r="N184" s="188"/>
      <c r="O184" s="188"/>
      <c r="P184" s="330"/>
      <c r="Q184" s="330"/>
      <c r="R184" s="187"/>
      <c r="U184" s="331" t="str">
        <f ca="1">Calculos!BO$171</f>
        <v>-</v>
      </c>
      <c r="V184" s="332"/>
      <c r="W184" s="1"/>
    </row>
    <row r="185" spans="1:23" ht="20.100000000000001" customHeight="1" x14ac:dyDescent="0.25">
      <c r="A185" s="18"/>
      <c r="B185" s="18"/>
      <c r="C185" s="18"/>
      <c r="D185" s="7"/>
      <c r="E185" s="326"/>
      <c r="F185" s="1471"/>
      <c r="G185" s="1471"/>
      <c r="H185" s="1471"/>
      <c r="I185" s="1471"/>
      <c r="J185" s="1286"/>
      <c r="K185" s="1286"/>
      <c r="L185" s="1286"/>
      <c r="M185" s="1286"/>
      <c r="N185" s="188"/>
      <c r="O185" s="188"/>
      <c r="P185" s="330"/>
      <c r="Q185" s="330"/>
      <c r="R185" s="187"/>
      <c r="U185" s="331" t="str">
        <f ca="1">Calculos!BO$172</f>
        <v>-</v>
      </c>
      <c r="V185" s="332"/>
      <c r="W185" s="1"/>
    </row>
    <row r="186" spans="1:23" ht="20.100000000000001" customHeight="1" x14ac:dyDescent="0.25">
      <c r="A186" s="18"/>
      <c r="B186" s="18"/>
      <c r="C186" s="18"/>
      <c r="D186" s="7"/>
      <c r="E186" s="326"/>
      <c r="F186" s="1471"/>
      <c r="G186" s="1471"/>
      <c r="H186" s="1471"/>
      <c r="I186" s="1471"/>
      <c r="J186" s="1286"/>
      <c r="K186" s="1286"/>
      <c r="L186" s="1286"/>
      <c r="M186" s="1286"/>
      <c r="N186" s="188"/>
      <c r="O186" s="188"/>
      <c r="P186" s="330"/>
      <c r="Q186" s="330"/>
      <c r="R186" s="187"/>
      <c r="U186" s="331" t="str">
        <f ca="1">Calculos!BO$173</f>
        <v>-</v>
      </c>
      <c r="V186" s="332"/>
      <c r="W186" s="1"/>
    </row>
    <row r="187" spans="1:23" ht="20.100000000000001" customHeight="1" x14ac:dyDescent="0.25">
      <c r="A187" s="18"/>
      <c r="B187" s="18"/>
      <c r="C187" s="18"/>
      <c r="D187" s="7"/>
      <c r="E187" s="326"/>
      <c r="F187" s="1471"/>
      <c r="G187" s="1471"/>
      <c r="H187" s="1471"/>
      <c r="I187" s="1471"/>
      <c r="J187" s="1286"/>
      <c r="K187" s="1286"/>
      <c r="L187" s="1286"/>
      <c r="M187" s="1286"/>
      <c r="N187" s="188"/>
      <c r="O187" s="188"/>
      <c r="P187" s="330"/>
      <c r="Q187" s="330"/>
      <c r="R187" s="187"/>
      <c r="U187" s="331" t="str">
        <f ca="1">Calculos!BO$174</f>
        <v>-</v>
      </c>
      <c r="V187" s="332"/>
      <c r="W187" s="1"/>
    </row>
    <row r="188" spans="1:23" ht="20.100000000000001" customHeight="1" x14ac:dyDescent="0.25">
      <c r="A188" s="18"/>
      <c r="B188" s="18"/>
      <c r="C188" s="18"/>
      <c r="D188" s="7"/>
      <c r="E188" s="326"/>
      <c r="F188" s="1471"/>
      <c r="G188" s="1471"/>
      <c r="H188" s="1471"/>
      <c r="I188" s="1471"/>
      <c r="J188" s="1286"/>
      <c r="K188" s="1286"/>
      <c r="L188" s="1286"/>
      <c r="M188" s="1286"/>
      <c r="N188" s="188"/>
      <c r="O188" s="188"/>
      <c r="P188" s="330"/>
      <c r="Q188" s="330"/>
      <c r="R188" s="187"/>
      <c r="U188" s="331" t="str">
        <f ca="1">Calculos!BO$175</f>
        <v>-</v>
      </c>
      <c r="V188" s="332"/>
      <c r="W188" s="1"/>
    </row>
    <row r="189" spans="1:23" ht="20.100000000000001" customHeight="1" x14ac:dyDescent="0.25">
      <c r="A189" s="18"/>
      <c r="B189" s="18"/>
      <c r="C189" s="18"/>
      <c r="D189" s="7"/>
      <c r="E189" s="326"/>
      <c r="F189" s="1471"/>
      <c r="G189" s="1471"/>
      <c r="H189" s="1471"/>
      <c r="I189" s="1471"/>
      <c r="J189" s="1286"/>
      <c r="K189" s="1286"/>
      <c r="L189" s="1286"/>
      <c r="M189" s="1286"/>
      <c r="N189" s="188"/>
      <c r="O189" s="188"/>
      <c r="P189" s="330"/>
      <c r="Q189" s="330"/>
      <c r="R189" s="187"/>
      <c r="U189" s="331" t="str">
        <f ca="1">Calculos!BO$176</f>
        <v>-</v>
      </c>
      <c r="V189" s="332"/>
      <c r="W189" s="1"/>
    </row>
    <row r="190" spans="1:23" ht="20.100000000000001" customHeight="1" x14ac:dyDescent="0.25">
      <c r="A190" s="18"/>
      <c r="B190" s="18"/>
      <c r="C190" s="18"/>
      <c r="D190" s="7"/>
      <c r="E190" s="326"/>
      <c r="F190" s="1471"/>
      <c r="G190" s="1471"/>
      <c r="H190" s="1471"/>
      <c r="I190" s="1471"/>
      <c r="J190" s="1286"/>
      <c r="K190" s="1286"/>
      <c r="L190" s="1286"/>
      <c r="M190" s="1286"/>
      <c r="N190" s="188"/>
      <c r="O190" s="188"/>
      <c r="P190" s="330"/>
      <c r="Q190" s="330"/>
      <c r="R190" s="187"/>
      <c r="U190" s="331" t="str">
        <f ca="1">Calculos!BO$177</f>
        <v>-</v>
      </c>
      <c r="V190" s="332"/>
      <c r="W190" s="1"/>
    </row>
    <row r="191" spans="1:23" ht="20.100000000000001" customHeight="1" x14ac:dyDescent="0.25">
      <c r="A191" s="18"/>
      <c r="B191" s="18"/>
      <c r="C191" s="18"/>
      <c r="D191" s="7"/>
      <c r="E191" s="326"/>
      <c r="F191" s="1471"/>
      <c r="G191" s="1471"/>
      <c r="H191" s="1471"/>
      <c r="I191" s="1471"/>
      <c r="J191" s="1286"/>
      <c r="K191" s="1286"/>
      <c r="L191" s="1286"/>
      <c r="M191" s="1286"/>
      <c r="N191" s="188"/>
      <c r="O191" s="188"/>
      <c r="P191" s="330"/>
      <c r="Q191" s="330"/>
      <c r="R191" s="187"/>
      <c r="U191" s="331" t="str">
        <f ca="1">Calculos!BO$178</f>
        <v>-</v>
      </c>
      <c r="V191" s="332"/>
      <c r="W191" s="1"/>
    </row>
    <row r="192" spans="1:23" ht="20.100000000000001" customHeight="1" x14ac:dyDescent="0.25">
      <c r="A192" s="18"/>
      <c r="B192" s="18"/>
      <c r="C192" s="18"/>
      <c r="D192" s="7"/>
      <c r="E192" s="326"/>
      <c r="F192" s="1471"/>
      <c r="G192" s="1471"/>
      <c r="H192" s="1471"/>
      <c r="I192" s="1471"/>
      <c r="J192" s="1286"/>
      <c r="K192" s="1286"/>
      <c r="L192" s="1286"/>
      <c r="M192" s="1286"/>
      <c r="N192" s="188"/>
      <c r="O192" s="188"/>
      <c r="P192" s="330"/>
      <c r="Q192" s="330"/>
      <c r="R192" s="187"/>
      <c r="U192" s="331" t="str">
        <f ca="1">Calculos!BO$179</f>
        <v>-</v>
      </c>
      <c r="V192" s="332"/>
      <c r="W192" s="1"/>
    </row>
    <row r="193" spans="1:23" ht="20.100000000000001" customHeight="1" x14ac:dyDescent="0.25">
      <c r="A193" s="18"/>
      <c r="B193" s="18"/>
      <c r="C193" s="18"/>
      <c r="D193" s="7"/>
      <c r="E193" s="326"/>
      <c r="F193" s="1471"/>
      <c r="G193" s="1471"/>
      <c r="H193" s="1471"/>
      <c r="I193" s="1471"/>
      <c r="J193" s="1286"/>
      <c r="K193" s="1286"/>
      <c r="L193" s="1286"/>
      <c r="M193" s="1286"/>
      <c r="N193" s="188"/>
      <c r="O193" s="188"/>
      <c r="P193" s="330"/>
      <c r="Q193" s="330"/>
      <c r="R193" s="187"/>
      <c r="U193" s="331" t="str">
        <f ca="1">Calculos!BO$180</f>
        <v>-</v>
      </c>
      <c r="V193" s="332"/>
      <c r="W193" s="1"/>
    </row>
    <row r="194" spans="1:23" ht="20.100000000000001" customHeight="1" x14ac:dyDescent="0.25">
      <c r="A194" s="18"/>
      <c r="B194" s="18"/>
      <c r="C194" s="18"/>
      <c r="D194" s="7"/>
      <c r="E194" s="326"/>
      <c r="F194" s="1471"/>
      <c r="G194" s="1471"/>
      <c r="H194" s="1471"/>
      <c r="I194" s="1471"/>
      <c r="J194" s="1472" t="s">
        <v>80</v>
      </c>
      <c r="K194" s="1473"/>
      <c r="L194" s="1473"/>
      <c r="M194" s="1474"/>
      <c r="N194" s="188"/>
      <c r="O194" s="188"/>
      <c r="P194" s="330"/>
      <c r="Q194" s="330"/>
      <c r="R194" s="187" t="s">
        <v>10</v>
      </c>
      <c r="U194" s="331" t="str">
        <f ca="1">Calculos!BO$181</f>
        <v>-</v>
      </c>
      <c r="V194" s="332"/>
      <c r="W194" s="1"/>
    </row>
    <row r="195" spans="1:23" ht="20.100000000000001" customHeight="1" x14ac:dyDescent="0.25">
      <c r="A195" s="18"/>
      <c r="B195" s="18"/>
      <c r="C195" s="18"/>
      <c r="D195" s="7"/>
      <c r="E195" s="326"/>
      <c r="V195" s="332"/>
      <c r="W195" s="1"/>
    </row>
    <row r="196" spans="1:23" ht="20.100000000000001" hidden="1" customHeight="1" x14ac:dyDescent="0.25">
      <c r="A196" s="18"/>
      <c r="B196" s="18"/>
      <c r="C196" s="18"/>
      <c r="D196" s="7"/>
      <c r="E196" s="326"/>
      <c r="V196" s="332"/>
      <c r="W196" s="1"/>
    </row>
    <row r="197" spans="1:23" ht="20.100000000000001" hidden="1" customHeight="1" x14ac:dyDescent="0.25">
      <c r="A197" s="18"/>
      <c r="B197" s="18"/>
      <c r="C197" s="18"/>
      <c r="D197" s="7"/>
      <c r="E197" s="326"/>
      <c r="V197" s="332"/>
      <c r="W197" s="7"/>
    </row>
    <row r="198" spans="1:23" ht="20.100000000000001" customHeight="1" x14ac:dyDescent="0.25">
      <c r="A198" s="18"/>
      <c r="B198" s="18"/>
      <c r="C198" s="18"/>
      <c r="D198" s="7"/>
      <c r="E198" s="326"/>
      <c r="V198" s="332"/>
      <c r="W198" s="7"/>
    </row>
    <row r="199" spans="1:23" ht="39.950000000000003" customHeight="1" x14ac:dyDescent="0.25">
      <c r="A199" s="18"/>
      <c r="B199" s="18"/>
      <c r="C199" s="18"/>
      <c r="D199" s="7"/>
      <c r="E199" s="326"/>
      <c r="F199" s="1475" t="s">
        <v>8619</v>
      </c>
      <c r="G199" s="1476"/>
      <c r="H199" s="1476"/>
      <c r="I199" s="1476"/>
      <c r="J199" s="1476"/>
      <c r="K199" s="1476"/>
      <c r="L199" s="1476"/>
      <c r="M199" s="1476"/>
      <c r="N199" s="333" t="str">
        <f ca="1">"Concentração"&amp;" "&amp;Calculos!$BJ$3</f>
        <v>Concentração -</v>
      </c>
      <c r="O199" s="333" t="s">
        <v>6038</v>
      </c>
      <c r="P199" s="333" t="s">
        <v>8126</v>
      </c>
      <c r="Q199" s="333" t="s">
        <v>8028</v>
      </c>
      <c r="R199" s="333" t="s">
        <v>8603</v>
      </c>
      <c r="S199" s="333" t="s">
        <v>8127</v>
      </c>
      <c r="U199" s="328" t="s">
        <v>119</v>
      </c>
      <c r="V199" s="332"/>
      <c r="W199" s="1"/>
    </row>
    <row r="200" spans="1:23" ht="20.100000000000001" customHeight="1" x14ac:dyDescent="0.25">
      <c r="A200" s="18"/>
      <c r="B200" s="18"/>
      <c r="C200" s="18"/>
      <c r="D200" s="7"/>
      <c r="E200" s="326"/>
      <c r="F200" s="1471" t="str">
        <f ca="1">Calculos!$BJ$4</f>
        <v>-</v>
      </c>
      <c r="G200" s="1471"/>
      <c r="H200" s="1471"/>
      <c r="I200" s="1471"/>
      <c r="J200" s="1472" t="s">
        <v>7103</v>
      </c>
      <c r="K200" s="1473"/>
      <c r="L200" s="1473"/>
      <c r="M200" s="1474"/>
      <c r="N200" s="334"/>
      <c r="O200" s="334"/>
      <c r="P200" s="335"/>
      <c r="Q200" s="335"/>
      <c r="R200" s="335">
        <v>0</v>
      </c>
      <c r="S200" s="331">
        <f>O200/2</f>
        <v>0</v>
      </c>
      <c r="U200" s="331" t="str">
        <f ca="1">Calculos!BO$186</f>
        <v>-</v>
      </c>
      <c r="V200" s="332"/>
      <c r="W200" s="1"/>
    </row>
    <row r="201" spans="1:23" ht="20.100000000000001" customHeight="1" x14ac:dyDescent="0.25">
      <c r="A201" s="18"/>
      <c r="B201" s="18"/>
      <c r="C201" s="18"/>
      <c r="D201" s="7"/>
      <c r="E201" s="326"/>
      <c r="F201" s="1471"/>
      <c r="G201" s="1471"/>
      <c r="H201" s="1471"/>
      <c r="I201" s="1471"/>
      <c r="J201" s="1286" t="s">
        <v>8027</v>
      </c>
      <c r="K201" s="1286"/>
      <c r="L201" s="1286"/>
      <c r="M201" s="1286"/>
      <c r="N201" s="334"/>
      <c r="O201" s="334"/>
      <c r="P201" s="335"/>
      <c r="Q201" s="335"/>
      <c r="R201" s="335"/>
      <c r="U201" s="331" t="str">
        <f ca="1">Calculos!BO$187</f>
        <v>-</v>
      </c>
      <c r="V201" s="332"/>
      <c r="W201" s="1"/>
    </row>
    <row r="202" spans="1:23" ht="20.100000000000001" customHeight="1" x14ac:dyDescent="0.25">
      <c r="A202" s="18"/>
      <c r="B202" s="18"/>
      <c r="C202" s="18"/>
      <c r="D202" s="7"/>
      <c r="E202" s="326"/>
      <c r="F202" s="1471"/>
      <c r="G202" s="1471"/>
      <c r="H202" s="1471"/>
      <c r="I202" s="1471"/>
      <c r="J202" s="1286"/>
      <c r="K202" s="1286"/>
      <c r="L202" s="1286"/>
      <c r="M202" s="1286"/>
      <c r="N202" s="334"/>
      <c r="O202" s="334"/>
      <c r="P202" s="335"/>
      <c r="Q202" s="335"/>
      <c r="R202" s="335"/>
      <c r="U202" s="331" t="str">
        <f ca="1">Calculos!BO$188</f>
        <v>-</v>
      </c>
      <c r="V202" s="332"/>
      <c r="W202" s="1"/>
    </row>
    <row r="203" spans="1:23" ht="20.100000000000001" customHeight="1" x14ac:dyDescent="0.25">
      <c r="A203" s="18"/>
      <c r="B203" s="18"/>
      <c r="C203" s="18"/>
      <c r="D203" s="7"/>
      <c r="E203" s="326"/>
      <c r="F203" s="1471"/>
      <c r="G203" s="1471"/>
      <c r="H203" s="1471"/>
      <c r="I203" s="1471"/>
      <c r="J203" s="1286"/>
      <c r="K203" s="1286"/>
      <c r="L203" s="1286"/>
      <c r="M203" s="1286"/>
      <c r="N203" s="334"/>
      <c r="O203" s="334"/>
      <c r="P203" s="335"/>
      <c r="Q203" s="335"/>
      <c r="R203" s="335"/>
      <c r="U203" s="331" t="str">
        <f ca="1">Calculos!BO$189</f>
        <v>-</v>
      </c>
      <c r="V203" s="332"/>
      <c r="W203" s="1"/>
    </row>
    <row r="204" spans="1:23" ht="20.100000000000001" customHeight="1" x14ac:dyDescent="0.25">
      <c r="A204" s="18"/>
      <c r="B204" s="18"/>
      <c r="C204" s="18"/>
      <c r="D204" s="7"/>
      <c r="E204" s="326"/>
      <c r="F204" s="1471"/>
      <c r="G204" s="1471"/>
      <c r="H204" s="1471"/>
      <c r="I204" s="1471"/>
      <c r="J204" s="1286"/>
      <c r="K204" s="1286"/>
      <c r="L204" s="1286"/>
      <c r="M204" s="1286"/>
      <c r="N204" s="334"/>
      <c r="O204" s="334"/>
      <c r="P204" s="335"/>
      <c r="Q204" s="335"/>
      <c r="R204" s="335"/>
      <c r="U204" s="331" t="str">
        <f ca="1">Calculos!BO$190</f>
        <v>-</v>
      </c>
      <c r="V204" s="332"/>
      <c r="W204" s="1"/>
    </row>
    <row r="205" spans="1:23" ht="20.100000000000001" customHeight="1" x14ac:dyDescent="0.25">
      <c r="A205" s="18"/>
      <c r="B205" s="18"/>
      <c r="C205" s="18"/>
      <c r="D205" s="7"/>
      <c r="E205" s="326"/>
      <c r="F205" s="1471"/>
      <c r="G205" s="1471"/>
      <c r="H205" s="1471"/>
      <c r="I205" s="1471"/>
      <c r="J205" s="1286"/>
      <c r="K205" s="1286"/>
      <c r="L205" s="1286"/>
      <c r="M205" s="1286"/>
      <c r="N205" s="334"/>
      <c r="O205" s="334"/>
      <c r="P205" s="335"/>
      <c r="Q205" s="335"/>
      <c r="R205" s="335"/>
      <c r="U205" s="331" t="str">
        <f ca="1">Calculos!BO$191</f>
        <v>-</v>
      </c>
      <c r="V205" s="332"/>
      <c r="W205" s="1"/>
    </row>
    <row r="206" spans="1:23" ht="20.100000000000001" customHeight="1" x14ac:dyDescent="0.25">
      <c r="A206" s="18"/>
      <c r="B206" s="18"/>
      <c r="C206" s="18"/>
      <c r="D206" s="7"/>
      <c r="E206" s="326"/>
      <c r="F206" s="1471"/>
      <c r="G206" s="1471"/>
      <c r="H206" s="1471"/>
      <c r="I206" s="1471"/>
      <c r="J206" s="1286"/>
      <c r="K206" s="1286"/>
      <c r="L206" s="1286"/>
      <c r="M206" s="1286"/>
      <c r="N206" s="334"/>
      <c r="O206" s="334"/>
      <c r="P206" s="335"/>
      <c r="Q206" s="335"/>
      <c r="R206" s="335"/>
      <c r="U206" s="331" t="str">
        <f ca="1">Calculos!BO$192</f>
        <v>-</v>
      </c>
      <c r="V206" s="332"/>
      <c r="W206" s="1"/>
    </row>
    <row r="207" spans="1:23" ht="20.100000000000001" customHeight="1" x14ac:dyDescent="0.25">
      <c r="A207" s="18"/>
      <c r="B207" s="18"/>
      <c r="C207" s="18"/>
      <c r="D207" s="7"/>
      <c r="E207" s="326"/>
      <c r="F207" s="1471"/>
      <c r="G207" s="1471"/>
      <c r="H207" s="1471"/>
      <c r="I207" s="1471"/>
      <c r="J207" s="1286"/>
      <c r="K207" s="1286"/>
      <c r="L207" s="1286"/>
      <c r="M207" s="1286"/>
      <c r="N207" s="334"/>
      <c r="O207" s="334"/>
      <c r="P207" s="335"/>
      <c r="Q207" s="335"/>
      <c r="R207" s="335"/>
      <c r="U207" s="331" t="str">
        <f ca="1">Calculos!BO$193</f>
        <v>-</v>
      </c>
      <c r="V207" s="332"/>
      <c r="W207" s="1"/>
    </row>
    <row r="208" spans="1:23" ht="20.100000000000001" customHeight="1" x14ac:dyDescent="0.25">
      <c r="A208" s="18"/>
      <c r="B208" s="18"/>
      <c r="C208" s="18"/>
      <c r="D208" s="7"/>
      <c r="E208" s="326"/>
      <c r="F208" s="1471"/>
      <c r="G208" s="1471"/>
      <c r="H208" s="1471"/>
      <c r="I208" s="1471"/>
      <c r="J208" s="1286"/>
      <c r="K208" s="1286"/>
      <c r="L208" s="1286"/>
      <c r="M208" s="1286"/>
      <c r="N208" s="334"/>
      <c r="O208" s="334"/>
      <c r="P208" s="335"/>
      <c r="Q208" s="335"/>
      <c r="R208" s="335"/>
      <c r="U208" s="331" t="str">
        <f ca="1">Calculos!BO$194</f>
        <v>-</v>
      </c>
      <c r="V208" s="332"/>
      <c r="W208" s="1"/>
    </row>
    <row r="209" spans="1:23" ht="20.100000000000001" customHeight="1" x14ac:dyDescent="0.25">
      <c r="A209" s="18"/>
      <c r="B209" s="18"/>
      <c r="C209" s="18"/>
      <c r="D209" s="1"/>
      <c r="E209" s="326"/>
      <c r="F209" s="1471"/>
      <c r="G209" s="1471"/>
      <c r="H209" s="1471"/>
      <c r="I209" s="1471"/>
      <c r="J209" s="1286"/>
      <c r="K209" s="1286"/>
      <c r="L209" s="1286"/>
      <c r="M209" s="1286"/>
      <c r="N209" s="334"/>
      <c r="O209" s="334"/>
      <c r="P209" s="335"/>
      <c r="Q209" s="335"/>
      <c r="R209" s="335"/>
      <c r="U209" s="331" t="str">
        <f ca="1">Calculos!BO$195</f>
        <v>-</v>
      </c>
      <c r="V209" s="332"/>
      <c r="W209" s="1"/>
    </row>
    <row r="210" spans="1:23" ht="20.100000000000001" customHeight="1" x14ac:dyDescent="0.25">
      <c r="A210" s="18"/>
      <c r="B210" s="18"/>
      <c r="C210" s="18"/>
      <c r="D210" s="1"/>
      <c r="E210" s="326"/>
      <c r="F210" s="1471"/>
      <c r="G210" s="1471"/>
      <c r="H210" s="1471"/>
      <c r="I210" s="1471"/>
      <c r="J210" s="1286"/>
      <c r="K210" s="1286"/>
      <c r="L210" s="1286"/>
      <c r="M210" s="1286"/>
      <c r="N210" s="334"/>
      <c r="O210" s="334"/>
      <c r="P210" s="335"/>
      <c r="Q210" s="335"/>
      <c r="R210" s="335"/>
      <c r="U210" s="331" t="str">
        <f ca="1">Calculos!BO$196</f>
        <v>-</v>
      </c>
      <c r="V210" s="329"/>
      <c r="W210" s="1"/>
    </row>
    <row r="211" spans="1:23" ht="20.100000000000001" customHeight="1" x14ac:dyDescent="0.25">
      <c r="A211" s="18"/>
      <c r="B211" s="18"/>
      <c r="C211" s="18"/>
      <c r="D211" s="1"/>
      <c r="E211" s="326"/>
      <c r="F211" s="1471"/>
      <c r="G211" s="1471"/>
      <c r="H211" s="1471"/>
      <c r="I211" s="1471"/>
      <c r="J211" s="1472" t="s">
        <v>80</v>
      </c>
      <c r="K211" s="1473"/>
      <c r="L211" s="1473"/>
      <c r="M211" s="1474"/>
      <c r="N211" s="334"/>
      <c r="O211" s="334"/>
      <c r="P211" s="335"/>
      <c r="Q211" s="335"/>
      <c r="R211" s="335" t="s">
        <v>10</v>
      </c>
      <c r="U211" s="331" t="str">
        <f ca="1">Calculos!BO$197</f>
        <v>-</v>
      </c>
      <c r="V211" s="329"/>
      <c r="W211" s="1"/>
    </row>
    <row r="212" spans="1:23" ht="20.100000000000001" hidden="1" customHeight="1" x14ac:dyDescent="0.25">
      <c r="A212" s="18"/>
      <c r="B212" s="18"/>
      <c r="C212" s="18"/>
      <c r="D212" s="1"/>
      <c r="E212" s="326"/>
      <c r="V212" s="329"/>
      <c r="W212" s="1"/>
    </row>
    <row r="213" spans="1:23" ht="20.100000000000001" customHeight="1" x14ac:dyDescent="0.25">
      <c r="A213" s="18"/>
      <c r="B213" s="18"/>
      <c r="C213" s="18"/>
      <c r="D213" s="1"/>
      <c r="E213" s="336"/>
      <c r="F213" s="337"/>
      <c r="G213" s="337"/>
      <c r="H213" s="337"/>
      <c r="I213" s="337"/>
      <c r="J213" s="337"/>
      <c r="K213" s="337"/>
      <c r="L213" s="337"/>
      <c r="M213" s="337"/>
      <c r="N213" s="337"/>
      <c r="O213" s="337"/>
      <c r="P213" s="337"/>
      <c r="Q213" s="337"/>
      <c r="R213" s="337"/>
      <c r="S213" s="337"/>
      <c r="T213" s="337"/>
      <c r="U213" s="337"/>
      <c r="V213" s="338"/>
      <c r="W213" s="1"/>
    </row>
    <row r="214" spans="1:23" s="1" customFormat="1" ht="30" customHeight="1" x14ac:dyDescent="0.25">
      <c r="A214" s="18"/>
      <c r="B214" s="18"/>
      <c r="C214" s="18"/>
    </row>
    <row r="215" spans="1:23" ht="20.100000000000001" customHeight="1" x14ac:dyDescent="0.25">
      <c r="A215" s="18"/>
      <c r="B215" s="18"/>
      <c r="C215" s="18"/>
      <c r="D215" s="7"/>
      <c r="E215" s="321"/>
      <c r="F215" s="322"/>
      <c r="G215" s="323"/>
      <c r="H215" s="323"/>
      <c r="I215" s="323"/>
      <c r="J215" s="323"/>
      <c r="K215" s="323"/>
      <c r="L215" s="323"/>
      <c r="M215" s="323"/>
      <c r="N215" s="323"/>
      <c r="O215" s="323"/>
      <c r="P215" s="323"/>
      <c r="Q215" s="323"/>
      <c r="R215" s="323"/>
      <c r="S215" s="339"/>
      <c r="T215" s="339"/>
      <c r="U215" s="340"/>
      <c r="V215" s="325"/>
      <c r="W215" s="1"/>
    </row>
    <row r="216" spans="1:23" ht="39.950000000000003" customHeight="1" x14ac:dyDescent="0.25">
      <c r="A216" s="18"/>
      <c r="B216" s="18"/>
      <c r="C216" s="18"/>
      <c r="D216" s="7"/>
      <c r="E216" s="326"/>
      <c r="F216" s="1469" t="s">
        <v>8611</v>
      </c>
      <c r="G216" s="1470"/>
      <c r="H216" s="1470"/>
      <c r="I216" s="1470"/>
      <c r="J216" s="1470"/>
      <c r="K216" s="1470"/>
      <c r="L216" s="1470"/>
      <c r="M216" s="1470"/>
      <c r="N216" s="327" t="str">
        <f ca="1">"Concentração"&amp;" "&amp;Calculos!$BJ$3</f>
        <v>Concentração -</v>
      </c>
      <c r="O216" s="327" t="s">
        <v>6038</v>
      </c>
      <c r="P216" s="327" t="s">
        <v>8126</v>
      </c>
      <c r="Q216" s="327" t="s">
        <v>8028</v>
      </c>
      <c r="R216" s="327" t="s">
        <v>8603</v>
      </c>
      <c r="S216" s="327" t="s">
        <v>8127</v>
      </c>
      <c r="U216" s="328" t="s">
        <v>119</v>
      </c>
      <c r="V216" s="332"/>
      <c r="W216" s="7"/>
    </row>
    <row r="217" spans="1:23" ht="20.100000000000001" customHeight="1" x14ac:dyDescent="0.25">
      <c r="A217" s="18"/>
      <c r="B217" s="18"/>
      <c r="C217" s="18"/>
      <c r="D217" s="7"/>
      <c r="E217" s="326"/>
      <c r="F217" s="1471" t="str">
        <f ca="1">Calculos!$BJ$4</f>
        <v>-</v>
      </c>
      <c r="G217" s="1471"/>
      <c r="H217" s="1471"/>
      <c r="I217" s="1471"/>
      <c r="J217" s="1472" t="s">
        <v>7103</v>
      </c>
      <c r="K217" s="1473"/>
      <c r="L217" s="1473"/>
      <c r="M217" s="1474"/>
      <c r="N217" s="188"/>
      <c r="O217" s="188"/>
      <c r="P217" s="330"/>
      <c r="Q217" s="330"/>
      <c r="R217" s="187">
        <v>0</v>
      </c>
      <c r="S217" s="331">
        <f>O217/2</f>
        <v>0</v>
      </c>
      <c r="U217" s="331" t="str">
        <f ca="1">Calculos!BO$202</f>
        <v>-</v>
      </c>
      <c r="V217" s="332"/>
      <c r="W217" s="1"/>
    </row>
    <row r="218" spans="1:23" ht="20.100000000000001" customHeight="1" x14ac:dyDescent="0.25">
      <c r="A218" s="18"/>
      <c r="B218" s="18"/>
      <c r="C218" s="18"/>
      <c r="D218" s="7"/>
      <c r="E218" s="326"/>
      <c r="F218" s="1471"/>
      <c r="G218" s="1471"/>
      <c r="H218" s="1471"/>
      <c r="I218" s="1471"/>
      <c r="J218" s="1286" t="s">
        <v>8027</v>
      </c>
      <c r="K218" s="1286"/>
      <c r="L218" s="1286"/>
      <c r="M218" s="1286"/>
      <c r="N218" s="188"/>
      <c r="O218" s="188"/>
      <c r="P218" s="330"/>
      <c r="Q218" s="330"/>
      <c r="R218" s="187"/>
      <c r="U218" s="331" t="str">
        <f ca="1">Calculos!BO$203</f>
        <v>-</v>
      </c>
      <c r="V218" s="332"/>
      <c r="W218" s="1"/>
    </row>
    <row r="219" spans="1:23" ht="20.100000000000001" customHeight="1" x14ac:dyDescent="0.25">
      <c r="A219" s="18"/>
      <c r="B219" s="18"/>
      <c r="C219" s="18"/>
      <c r="D219" s="7"/>
      <c r="E219" s="326"/>
      <c r="F219" s="1471"/>
      <c r="G219" s="1471"/>
      <c r="H219" s="1471"/>
      <c r="I219" s="1471"/>
      <c r="J219" s="1286"/>
      <c r="K219" s="1286"/>
      <c r="L219" s="1286"/>
      <c r="M219" s="1286"/>
      <c r="N219" s="188"/>
      <c r="O219" s="188"/>
      <c r="P219" s="330"/>
      <c r="Q219" s="330"/>
      <c r="R219" s="187"/>
      <c r="U219" s="331" t="str">
        <f ca="1">Calculos!BO$204</f>
        <v>-</v>
      </c>
      <c r="V219" s="332"/>
      <c r="W219" s="1"/>
    </row>
    <row r="220" spans="1:23" ht="20.100000000000001" customHeight="1" x14ac:dyDescent="0.25">
      <c r="A220" s="18"/>
      <c r="B220" s="18"/>
      <c r="C220" s="18"/>
      <c r="D220" s="7"/>
      <c r="E220" s="326"/>
      <c r="F220" s="1471"/>
      <c r="G220" s="1471"/>
      <c r="H220" s="1471"/>
      <c r="I220" s="1471"/>
      <c r="J220" s="1286"/>
      <c r="K220" s="1286"/>
      <c r="L220" s="1286"/>
      <c r="M220" s="1286"/>
      <c r="N220" s="188"/>
      <c r="O220" s="188"/>
      <c r="P220" s="330"/>
      <c r="Q220" s="330"/>
      <c r="R220" s="187"/>
      <c r="U220" s="331" t="str">
        <f ca="1">Calculos!BO$205</f>
        <v>-</v>
      </c>
      <c r="V220" s="332"/>
      <c r="W220" s="1"/>
    </row>
    <row r="221" spans="1:23" ht="20.100000000000001" customHeight="1" x14ac:dyDescent="0.25">
      <c r="A221" s="18"/>
      <c r="B221" s="18"/>
      <c r="C221" s="18"/>
      <c r="D221" s="7"/>
      <c r="E221" s="326"/>
      <c r="F221" s="1471"/>
      <c r="G221" s="1471"/>
      <c r="H221" s="1471"/>
      <c r="I221" s="1471"/>
      <c r="J221" s="1286"/>
      <c r="K221" s="1286"/>
      <c r="L221" s="1286"/>
      <c r="M221" s="1286"/>
      <c r="N221" s="188"/>
      <c r="O221" s="188"/>
      <c r="P221" s="330"/>
      <c r="Q221" s="330"/>
      <c r="R221" s="187"/>
      <c r="U221" s="331" t="str">
        <f ca="1">Calculos!BO$206</f>
        <v>-</v>
      </c>
      <c r="V221" s="332"/>
      <c r="W221" s="1"/>
    </row>
    <row r="222" spans="1:23" ht="20.100000000000001" customHeight="1" x14ac:dyDescent="0.25">
      <c r="A222" s="18"/>
      <c r="B222" s="18"/>
      <c r="C222" s="18"/>
      <c r="D222" s="7"/>
      <c r="E222" s="326"/>
      <c r="F222" s="1471"/>
      <c r="G222" s="1471"/>
      <c r="H222" s="1471"/>
      <c r="I222" s="1471"/>
      <c r="J222" s="1286"/>
      <c r="K222" s="1286"/>
      <c r="L222" s="1286"/>
      <c r="M222" s="1286"/>
      <c r="N222" s="188"/>
      <c r="O222" s="188"/>
      <c r="P222" s="330"/>
      <c r="Q222" s="330"/>
      <c r="R222" s="187"/>
      <c r="U222" s="331" t="str">
        <f ca="1">Calculos!BO$207</f>
        <v>-</v>
      </c>
      <c r="V222" s="332"/>
      <c r="W222" s="1"/>
    </row>
    <row r="223" spans="1:23" ht="20.100000000000001" customHeight="1" x14ac:dyDescent="0.25">
      <c r="A223" s="18"/>
      <c r="B223" s="18"/>
      <c r="C223" s="18"/>
      <c r="D223" s="7"/>
      <c r="E223" s="326"/>
      <c r="F223" s="1471"/>
      <c r="G223" s="1471"/>
      <c r="H223" s="1471"/>
      <c r="I223" s="1471"/>
      <c r="J223" s="1286"/>
      <c r="K223" s="1286"/>
      <c r="L223" s="1286"/>
      <c r="M223" s="1286"/>
      <c r="N223" s="188"/>
      <c r="O223" s="188"/>
      <c r="P223" s="330"/>
      <c r="Q223" s="330"/>
      <c r="R223" s="187"/>
      <c r="U223" s="331" t="str">
        <f ca="1">Calculos!BO$208</f>
        <v>-</v>
      </c>
      <c r="V223" s="332"/>
      <c r="W223" s="1"/>
    </row>
    <row r="224" spans="1:23" ht="20.100000000000001" customHeight="1" x14ac:dyDescent="0.25">
      <c r="A224" s="18"/>
      <c r="B224" s="18"/>
      <c r="C224" s="18"/>
      <c r="D224" s="7"/>
      <c r="E224" s="326"/>
      <c r="F224" s="1471"/>
      <c r="G224" s="1471"/>
      <c r="H224" s="1471"/>
      <c r="I224" s="1471"/>
      <c r="J224" s="1286"/>
      <c r="K224" s="1286"/>
      <c r="L224" s="1286"/>
      <c r="M224" s="1286"/>
      <c r="N224" s="188"/>
      <c r="O224" s="188"/>
      <c r="P224" s="330"/>
      <c r="Q224" s="330"/>
      <c r="R224" s="187"/>
      <c r="U224" s="331" t="str">
        <f ca="1">Calculos!BO$209</f>
        <v>-</v>
      </c>
      <c r="V224" s="332"/>
      <c r="W224" s="1"/>
    </row>
    <row r="225" spans="1:23" ht="20.100000000000001" customHeight="1" x14ac:dyDescent="0.25">
      <c r="A225" s="18"/>
      <c r="B225" s="18"/>
      <c r="C225" s="18"/>
      <c r="D225" s="7"/>
      <c r="E225" s="326"/>
      <c r="F225" s="1471"/>
      <c r="G225" s="1471"/>
      <c r="H225" s="1471"/>
      <c r="I225" s="1471"/>
      <c r="J225" s="1286"/>
      <c r="K225" s="1286"/>
      <c r="L225" s="1286"/>
      <c r="M225" s="1286"/>
      <c r="N225" s="188"/>
      <c r="O225" s="188"/>
      <c r="P225" s="330"/>
      <c r="Q225" s="330"/>
      <c r="R225" s="187"/>
      <c r="U225" s="331" t="str">
        <f ca="1">Calculos!BO$210</f>
        <v>-</v>
      </c>
      <c r="V225" s="332"/>
      <c r="W225" s="1"/>
    </row>
    <row r="226" spans="1:23" ht="20.100000000000001" customHeight="1" x14ac:dyDescent="0.25">
      <c r="A226" s="18"/>
      <c r="B226" s="18"/>
      <c r="C226" s="18"/>
      <c r="D226" s="7"/>
      <c r="E226" s="326"/>
      <c r="F226" s="1471"/>
      <c r="G226" s="1471"/>
      <c r="H226" s="1471"/>
      <c r="I226" s="1471"/>
      <c r="J226" s="1286"/>
      <c r="K226" s="1286"/>
      <c r="L226" s="1286"/>
      <c r="M226" s="1286"/>
      <c r="N226" s="188"/>
      <c r="O226" s="188"/>
      <c r="P226" s="330"/>
      <c r="Q226" s="330"/>
      <c r="R226" s="187"/>
      <c r="U226" s="331" t="str">
        <f ca="1">Calculos!BO$211</f>
        <v>-</v>
      </c>
      <c r="V226" s="332"/>
      <c r="W226" s="1"/>
    </row>
    <row r="227" spans="1:23" ht="20.100000000000001" customHeight="1" x14ac:dyDescent="0.25">
      <c r="A227" s="18"/>
      <c r="B227" s="18"/>
      <c r="C227" s="18"/>
      <c r="D227" s="7"/>
      <c r="E227" s="326"/>
      <c r="F227" s="1471"/>
      <c r="G227" s="1471"/>
      <c r="H227" s="1471"/>
      <c r="I227" s="1471"/>
      <c r="J227" s="1286"/>
      <c r="K227" s="1286"/>
      <c r="L227" s="1286"/>
      <c r="M227" s="1286"/>
      <c r="N227" s="188"/>
      <c r="O227" s="188"/>
      <c r="P227" s="330"/>
      <c r="Q227" s="330"/>
      <c r="R227" s="187"/>
      <c r="U227" s="331" t="str">
        <f ca="1">Calculos!BO$212</f>
        <v>-</v>
      </c>
      <c r="V227" s="332"/>
      <c r="W227" s="1"/>
    </row>
    <row r="228" spans="1:23" ht="20.100000000000001" customHeight="1" x14ac:dyDescent="0.25">
      <c r="A228" s="18"/>
      <c r="B228" s="18"/>
      <c r="C228" s="18"/>
      <c r="D228" s="7"/>
      <c r="E228" s="326"/>
      <c r="F228" s="1471"/>
      <c r="G228" s="1471"/>
      <c r="H228" s="1471"/>
      <c r="I228" s="1471"/>
      <c r="J228" s="1472" t="s">
        <v>80</v>
      </c>
      <c r="K228" s="1473"/>
      <c r="L228" s="1473"/>
      <c r="M228" s="1474"/>
      <c r="N228" s="188"/>
      <c r="O228" s="188"/>
      <c r="P228" s="330"/>
      <c r="Q228" s="330"/>
      <c r="R228" s="187" t="s">
        <v>10</v>
      </c>
      <c r="U228" s="331" t="str">
        <f ca="1">Calculos!BO$213</f>
        <v>-</v>
      </c>
      <c r="V228" s="332"/>
      <c r="W228" s="1"/>
    </row>
    <row r="229" spans="1:23" ht="20.100000000000001" customHeight="1" x14ac:dyDescent="0.25">
      <c r="A229" s="18"/>
      <c r="B229" s="18"/>
      <c r="C229" s="18"/>
      <c r="D229" s="7"/>
      <c r="E229" s="326"/>
      <c r="V229" s="332"/>
      <c r="W229" s="1"/>
    </row>
    <row r="230" spans="1:23" ht="20.100000000000001" hidden="1" customHeight="1" x14ac:dyDescent="0.25">
      <c r="A230" s="18"/>
      <c r="B230" s="18"/>
      <c r="C230" s="18"/>
      <c r="D230" s="7"/>
      <c r="E230" s="326"/>
      <c r="V230" s="332"/>
      <c r="W230" s="1"/>
    </row>
    <row r="231" spans="1:23" ht="20.100000000000001" hidden="1" customHeight="1" x14ac:dyDescent="0.25">
      <c r="A231" s="18"/>
      <c r="B231" s="18"/>
      <c r="C231" s="18"/>
      <c r="D231" s="7"/>
      <c r="E231" s="326"/>
      <c r="V231" s="332"/>
      <c r="W231" s="7"/>
    </row>
    <row r="232" spans="1:23" ht="20.100000000000001" customHeight="1" x14ac:dyDescent="0.25">
      <c r="A232" s="18"/>
      <c r="B232" s="18"/>
      <c r="C232" s="18"/>
      <c r="D232" s="7"/>
      <c r="E232" s="326"/>
      <c r="V232" s="332"/>
      <c r="W232" s="7"/>
    </row>
    <row r="233" spans="1:23" ht="39.950000000000003" customHeight="1" x14ac:dyDescent="0.25">
      <c r="A233" s="18"/>
      <c r="B233" s="18"/>
      <c r="C233" s="18"/>
      <c r="D233" s="7"/>
      <c r="E233" s="326"/>
      <c r="F233" s="1475" t="s">
        <v>8620</v>
      </c>
      <c r="G233" s="1476"/>
      <c r="H233" s="1476"/>
      <c r="I233" s="1476"/>
      <c r="J233" s="1476"/>
      <c r="K233" s="1476"/>
      <c r="L233" s="1476"/>
      <c r="M233" s="1476"/>
      <c r="N233" s="333" t="str">
        <f ca="1">"Concentração"&amp;" "&amp;Calculos!$BJ$3</f>
        <v>Concentração -</v>
      </c>
      <c r="O233" s="333" t="s">
        <v>6038</v>
      </c>
      <c r="P233" s="333" t="s">
        <v>8126</v>
      </c>
      <c r="Q233" s="333" t="s">
        <v>8028</v>
      </c>
      <c r="R233" s="333" t="s">
        <v>8603</v>
      </c>
      <c r="S233" s="333" t="s">
        <v>8127</v>
      </c>
      <c r="U233" s="328" t="s">
        <v>119</v>
      </c>
      <c r="V233" s="332"/>
      <c r="W233" s="1"/>
    </row>
    <row r="234" spans="1:23" ht="20.100000000000001" customHeight="1" x14ac:dyDescent="0.25">
      <c r="A234" s="18"/>
      <c r="B234" s="18"/>
      <c r="C234" s="18"/>
      <c r="D234" s="7"/>
      <c r="E234" s="326"/>
      <c r="F234" s="1471" t="str">
        <f ca="1">Calculos!$BJ$4</f>
        <v>-</v>
      </c>
      <c r="G234" s="1471"/>
      <c r="H234" s="1471"/>
      <c r="I234" s="1471"/>
      <c r="J234" s="1472" t="s">
        <v>7103</v>
      </c>
      <c r="K234" s="1473"/>
      <c r="L234" s="1473"/>
      <c r="M234" s="1474"/>
      <c r="N234" s="334"/>
      <c r="O234" s="334"/>
      <c r="P234" s="335"/>
      <c r="Q234" s="335"/>
      <c r="R234" s="335">
        <v>0</v>
      </c>
      <c r="S234" s="331">
        <f>O234/2</f>
        <v>0</v>
      </c>
      <c r="U234" s="331" t="str">
        <f ca="1">Calculos!BO$218</f>
        <v>-</v>
      </c>
      <c r="V234" s="332"/>
      <c r="W234" s="1"/>
    </row>
    <row r="235" spans="1:23" ht="20.100000000000001" customHeight="1" x14ac:dyDescent="0.25">
      <c r="A235" s="18"/>
      <c r="B235" s="18"/>
      <c r="C235" s="18"/>
      <c r="D235" s="7"/>
      <c r="E235" s="326"/>
      <c r="F235" s="1471"/>
      <c r="G235" s="1471"/>
      <c r="H235" s="1471"/>
      <c r="I235" s="1471"/>
      <c r="J235" s="1286" t="s">
        <v>8027</v>
      </c>
      <c r="K235" s="1286"/>
      <c r="L235" s="1286"/>
      <c r="M235" s="1286"/>
      <c r="N235" s="334"/>
      <c r="O235" s="334"/>
      <c r="P235" s="335"/>
      <c r="Q235" s="335"/>
      <c r="R235" s="335"/>
      <c r="U235" s="331" t="str">
        <f ca="1">Calculos!BO$219</f>
        <v>-</v>
      </c>
      <c r="V235" s="332"/>
      <c r="W235" s="1"/>
    </row>
    <row r="236" spans="1:23" ht="20.100000000000001" customHeight="1" x14ac:dyDescent="0.25">
      <c r="A236" s="18"/>
      <c r="B236" s="18"/>
      <c r="C236" s="18"/>
      <c r="D236" s="7"/>
      <c r="E236" s="326"/>
      <c r="F236" s="1471"/>
      <c r="G236" s="1471"/>
      <c r="H236" s="1471"/>
      <c r="I236" s="1471"/>
      <c r="J236" s="1286"/>
      <c r="K236" s="1286"/>
      <c r="L236" s="1286"/>
      <c r="M236" s="1286"/>
      <c r="N236" s="334"/>
      <c r="O236" s="334"/>
      <c r="P236" s="335"/>
      <c r="Q236" s="335"/>
      <c r="R236" s="335"/>
      <c r="U236" s="331" t="str">
        <f ca="1">Calculos!BO$220</f>
        <v>-</v>
      </c>
      <c r="V236" s="332"/>
      <c r="W236" s="1"/>
    </row>
    <row r="237" spans="1:23" ht="20.100000000000001" customHeight="1" x14ac:dyDescent="0.25">
      <c r="A237" s="18"/>
      <c r="B237" s="18"/>
      <c r="C237" s="18"/>
      <c r="D237" s="7"/>
      <c r="E237" s="326"/>
      <c r="F237" s="1471"/>
      <c r="G237" s="1471"/>
      <c r="H237" s="1471"/>
      <c r="I237" s="1471"/>
      <c r="J237" s="1286"/>
      <c r="K237" s="1286"/>
      <c r="L237" s="1286"/>
      <c r="M237" s="1286"/>
      <c r="N237" s="334"/>
      <c r="O237" s="334"/>
      <c r="P237" s="335"/>
      <c r="Q237" s="335"/>
      <c r="R237" s="335"/>
      <c r="U237" s="331" t="str">
        <f ca="1">Calculos!BO$221</f>
        <v>-</v>
      </c>
      <c r="V237" s="332"/>
      <c r="W237" s="1"/>
    </row>
    <row r="238" spans="1:23" ht="20.100000000000001" customHeight="1" x14ac:dyDescent="0.25">
      <c r="A238" s="18"/>
      <c r="B238" s="18"/>
      <c r="C238" s="18"/>
      <c r="D238" s="7"/>
      <c r="E238" s="326"/>
      <c r="F238" s="1471"/>
      <c r="G238" s="1471"/>
      <c r="H238" s="1471"/>
      <c r="I238" s="1471"/>
      <c r="J238" s="1286"/>
      <c r="K238" s="1286"/>
      <c r="L238" s="1286"/>
      <c r="M238" s="1286"/>
      <c r="N238" s="334"/>
      <c r="O238" s="334"/>
      <c r="P238" s="335"/>
      <c r="Q238" s="335"/>
      <c r="R238" s="335"/>
      <c r="U238" s="331" t="str">
        <f ca="1">Calculos!BO$222</f>
        <v>-</v>
      </c>
      <c r="V238" s="332"/>
      <c r="W238" s="1"/>
    </row>
    <row r="239" spans="1:23" ht="20.100000000000001" customHeight="1" x14ac:dyDescent="0.25">
      <c r="A239" s="18"/>
      <c r="B239" s="18"/>
      <c r="C239" s="18"/>
      <c r="D239" s="7"/>
      <c r="E239" s="326"/>
      <c r="F239" s="1471"/>
      <c r="G239" s="1471"/>
      <c r="H239" s="1471"/>
      <c r="I239" s="1471"/>
      <c r="J239" s="1286"/>
      <c r="K239" s="1286"/>
      <c r="L239" s="1286"/>
      <c r="M239" s="1286"/>
      <c r="N239" s="334"/>
      <c r="O239" s="334"/>
      <c r="P239" s="335"/>
      <c r="Q239" s="335"/>
      <c r="R239" s="335"/>
      <c r="U239" s="331" t="str">
        <f ca="1">Calculos!BO$223</f>
        <v>-</v>
      </c>
      <c r="V239" s="332"/>
      <c r="W239" s="1"/>
    </row>
    <row r="240" spans="1:23" ht="20.100000000000001" customHeight="1" x14ac:dyDescent="0.25">
      <c r="A240" s="18"/>
      <c r="B240" s="18"/>
      <c r="C240" s="18"/>
      <c r="D240" s="7"/>
      <c r="E240" s="326"/>
      <c r="F240" s="1471"/>
      <c r="G240" s="1471"/>
      <c r="H240" s="1471"/>
      <c r="I240" s="1471"/>
      <c r="J240" s="1286"/>
      <c r="K240" s="1286"/>
      <c r="L240" s="1286"/>
      <c r="M240" s="1286"/>
      <c r="N240" s="334"/>
      <c r="O240" s="334"/>
      <c r="P240" s="335"/>
      <c r="Q240" s="335"/>
      <c r="R240" s="335"/>
      <c r="U240" s="331" t="str">
        <f ca="1">Calculos!BO$224</f>
        <v>-</v>
      </c>
      <c r="V240" s="332"/>
      <c r="W240" s="1"/>
    </row>
    <row r="241" spans="1:23" ht="20.100000000000001" customHeight="1" x14ac:dyDescent="0.25">
      <c r="A241" s="18"/>
      <c r="B241" s="18"/>
      <c r="C241" s="18"/>
      <c r="D241" s="7"/>
      <c r="E241" s="326"/>
      <c r="F241" s="1471"/>
      <c r="G241" s="1471"/>
      <c r="H241" s="1471"/>
      <c r="I241" s="1471"/>
      <c r="J241" s="1286"/>
      <c r="K241" s="1286"/>
      <c r="L241" s="1286"/>
      <c r="M241" s="1286"/>
      <c r="N241" s="334"/>
      <c r="O241" s="334"/>
      <c r="P241" s="335"/>
      <c r="Q241" s="335"/>
      <c r="R241" s="335"/>
      <c r="U241" s="331" t="str">
        <f ca="1">Calculos!BO$225</f>
        <v>-</v>
      </c>
      <c r="V241" s="332"/>
      <c r="W241" s="1"/>
    </row>
    <row r="242" spans="1:23" ht="20.100000000000001" customHeight="1" x14ac:dyDescent="0.25">
      <c r="A242" s="18"/>
      <c r="B242" s="18"/>
      <c r="C242" s="18"/>
      <c r="D242" s="7"/>
      <c r="E242" s="326"/>
      <c r="F242" s="1471"/>
      <c r="G242" s="1471"/>
      <c r="H242" s="1471"/>
      <c r="I242" s="1471"/>
      <c r="J242" s="1286"/>
      <c r="K242" s="1286"/>
      <c r="L242" s="1286"/>
      <c r="M242" s="1286"/>
      <c r="N242" s="334"/>
      <c r="O242" s="334"/>
      <c r="P242" s="335"/>
      <c r="Q242" s="335"/>
      <c r="R242" s="335"/>
      <c r="U242" s="331" t="str">
        <f ca="1">Calculos!BO$226</f>
        <v>-</v>
      </c>
      <c r="V242" s="332"/>
      <c r="W242" s="1"/>
    </row>
    <row r="243" spans="1:23" ht="20.100000000000001" customHeight="1" x14ac:dyDescent="0.25">
      <c r="A243" s="18"/>
      <c r="B243" s="18"/>
      <c r="C243" s="18"/>
      <c r="D243" s="1"/>
      <c r="E243" s="326"/>
      <c r="F243" s="1471"/>
      <c r="G243" s="1471"/>
      <c r="H243" s="1471"/>
      <c r="I243" s="1471"/>
      <c r="J243" s="1286"/>
      <c r="K243" s="1286"/>
      <c r="L243" s="1286"/>
      <c r="M243" s="1286"/>
      <c r="N243" s="334"/>
      <c r="O243" s="334"/>
      <c r="P243" s="335"/>
      <c r="Q243" s="335"/>
      <c r="R243" s="335"/>
      <c r="U243" s="331" t="str">
        <f ca="1">Calculos!BO$227</f>
        <v>-</v>
      </c>
      <c r="V243" s="332"/>
      <c r="W243" s="1"/>
    </row>
    <row r="244" spans="1:23" ht="20.100000000000001" customHeight="1" x14ac:dyDescent="0.25">
      <c r="A244" s="18"/>
      <c r="B244" s="18"/>
      <c r="C244" s="18"/>
      <c r="D244" s="1"/>
      <c r="E244" s="326"/>
      <c r="F244" s="1471"/>
      <c r="G244" s="1471"/>
      <c r="H244" s="1471"/>
      <c r="I244" s="1471"/>
      <c r="J244" s="1286"/>
      <c r="K244" s="1286"/>
      <c r="L244" s="1286"/>
      <c r="M244" s="1286"/>
      <c r="N244" s="334"/>
      <c r="O244" s="334"/>
      <c r="P244" s="335"/>
      <c r="Q244" s="335"/>
      <c r="R244" s="335"/>
      <c r="U244" s="331" t="str">
        <f ca="1">Calculos!BO$228</f>
        <v>-</v>
      </c>
      <c r="V244" s="329"/>
      <c r="W244" s="1"/>
    </row>
    <row r="245" spans="1:23" ht="20.100000000000001" customHeight="1" x14ac:dyDescent="0.25">
      <c r="A245" s="18"/>
      <c r="B245" s="18"/>
      <c r="C245" s="18"/>
      <c r="D245" s="1"/>
      <c r="E245" s="326"/>
      <c r="F245" s="1471"/>
      <c r="G245" s="1471"/>
      <c r="H245" s="1471"/>
      <c r="I245" s="1471"/>
      <c r="J245" s="1472" t="s">
        <v>80</v>
      </c>
      <c r="K245" s="1473"/>
      <c r="L245" s="1473"/>
      <c r="M245" s="1474"/>
      <c r="N245" s="334"/>
      <c r="O245" s="334"/>
      <c r="P245" s="335"/>
      <c r="Q245" s="335"/>
      <c r="R245" s="335" t="s">
        <v>10</v>
      </c>
      <c r="U245" s="331" t="str">
        <f ca="1">Calculos!BO$229</f>
        <v>-</v>
      </c>
      <c r="V245" s="329"/>
      <c r="W245" s="1"/>
    </row>
    <row r="246" spans="1:23" ht="20.100000000000001" hidden="1" customHeight="1" x14ac:dyDescent="0.25">
      <c r="A246" s="18"/>
      <c r="B246" s="18"/>
      <c r="C246" s="18"/>
      <c r="D246" s="1"/>
      <c r="E246" s="326"/>
      <c r="V246" s="329"/>
      <c r="W246" s="1"/>
    </row>
    <row r="247" spans="1:23" ht="20.100000000000001" customHeight="1" x14ac:dyDescent="0.25">
      <c r="A247" s="18"/>
      <c r="B247" s="18"/>
      <c r="C247" s="18"/>
      <c r="D247" s="1"/>
      <c r="E247" s="336"/>
      <c r="F247" s="337"/>
      <c r="G247" s="337"/>
      <c r="H247" s="337"/>
      <c r="I247" s="337"/>
      <c r="J247" s="337"/>
      <c r="K247" s="337"/>
      <c r="L247" s="337"/>
      <c r="M247" s="337"/>
      <c r="N247" s="337"/>
      <c r="O247" s="337"/>
      <c r="P247" s="337"/>
      <c r="Q247" s="337"/>
      <c r="R247" s="337"/>
      <c r="S247" s="337"/>
      <c r="T247" s="337"/>
      <c r="U247" s="337"/>
      <c r="V247" s="338"/>
      <c r="W247" s="1"/>
    </row>
    <row r="248" spans="1:23" s="1" customFormat="1" ht="30" customHeight="1" x14ac:dyDescent="0.25">
      <c r="A248" s="18"/>
      <c r="B248" s="18"/>
      <c r="C248" s="18"/>
    </row>
    <row r="249" spans="1:23" ht="20.100000000000001" customHeight="1" x14ac:dyDescent="0.25">
      <c r="A249" s="18"/>
      <c r="B249" s="18"/>
      <c r="C249" s="18"/>
      <c r="D249" s="7"/>
      <c r="E249" s="321"/>
      <c r="F249" s="322"/>
      <c r="G249" s="323"/>
      <c r="H249" s="323"/>
      <c r="I249" s="323"/>
      <c r="J249" s="323"/>
      <c r="K249" s="323"/>
      <c r="L249" s="323"/>
      <c r="M249" s="323"/>
      <c r="N249" s="323"/>
      <c r="O249" s="323"/>
      <c r="P249" s="323"/>
      <c r="Q249" s="323"/>
      <c r="R249" s="323"/>
      <c r="S249" s="339"/>
      <c r="T249" s="339"/>
      <c r="U249" s="340"/>
      <c r="V249" s="325"/>
      <c r="W249" s="1"/>
    </row>
    <row r="250" spans="1:23" ht="39.950000000000003" customHeight="1" x14ac:dyDescent="0.25">
      <c r="A250" s="18"/>
      <c r="B250" s="18"/>
      <c r="C250" s="18"/>
      <c r="D250" s="7"/>
      <c r="E250" s="326"/>
      <c r="F250" s="1469" t="s">
        <v>8612</v>
      </c>
      <c r="G250" s="1470"/>
      <c r="H250" s="1470"/>
      <c r="I250" s="1470"/>
      <c r="J250" s="1470"/>
      <c r="K250" s="1470"/>
      <c r="L250" s="1470"/>
      <c r="M250" s="1470"/>
      <c r="N250" s="327" t="str">
        <f ca="1">"Concentração"&amp;" "&amp;Calculos!$BJ$3</f>
        <v>Concentração -</v>
      </c>
      <c r="O250" s="327" t="s">
        <v>6038</v>
      </c>
      <c r="P250" s="327" t="s">
        <v>8126</v>
      </c>
      <c r="Q250" s="327" t="s">
        <v>8028</v>
      </c>
      <c r="R250" s="327" t="s">
        <v>8603</v>
      </c>
      <c r="S250" s="327" t="s">
        <v>8127</v>
      </c>
      <c r="U250" s="328" t="s">
        <v>119</v>
      </c>
      <c r="V250" s="332"/>
      <c r="W250" s="7"/>
    </row>
    <row r="251" spans="1:23" ht="20.100000000000001" customHeight="1" x14ac:dyDescent="0.25">
      <c r="A251" s="18"/>
      <c r="B251" s="18"/>
      <c r="C251" s="18"/>
      <c r="D251" s="7"/>
      <c r="E251" s="326"/>
      <c r="F251" s="1471" t="str">
        <f ca="1">Calculos!$BJ$4</f>
        <v>-</v>
      </c>
      <c r="G251" s="1471"/>
      <c r="H251" s="1471"/>
      <c r="I251" s="1471"/>
      <c r="J251" s="1472" t="s">
        <v>7103</v>
      </c>
      <c r="K251" s="1473"/>
      <c r="L251" s="1473"/>
      <c r="M251" s="1474"/>
      <c r="N251" s="188"/>
      <c r="O251" s="188"/>
      <c r="P251" s="330"/>
      <c r="Q251" s="330"/>
      <c r="R251" s="187">
        <v>0</v>
      </c>
      <c r="S251" s="331">
        <f>O251/2</f>
        <v>0</v>
      </c>
      <c r="U251" s="331" t="str">
        <f ca="1">Calculos!BO$234</f>
        <v>-</v>
      </c>
      <c r="V251" s="332"/>
      <c r="W251" s="1"/>
    </row>
    <row r="252" spans="1:23" ht="20.100000000000001" customHeight="1" x14ac:dyDescent="0.25">
      <c r="A252" s="18"/>
      <c r="B252" s="18"/>
      <c r="C252" s="18"/>
      <c r="D252" s="7"/>
      <c r="E252" s="326"/>
      <c r="F252" s="1471"/>
      <c r="G252" s="1471"/>
      <c r="H252" s="1471"/>
      <c r="I252" s="1471"/>
      <c r="J252" s="1286" t="s">
        <v>8027</v>
      </c>
      <c r="K252" s="1286"/>
      <c r="L252" s="1286"/>
      <c r="M252" s="1286"/>
      <c r="N252" s="188"/>
      <c r="O252" s="188"/>
      <c r="P252" s="330"/>
      <c r="Q252" s="330"/>
      <c r="R252" s="187"/>
      <c r="U252" s="331" t="str">
        <f ca="1">Calculos!BO$235</f>
        <v>-</v>
      </c>
      <c r="V252" s="332"/>
      <c r="W252" s="1"/>
    </row>
    <row r="253" spans="1:23" ht="20.100000000000001" customHeight="1" x14ac:dyDescent="0.25">
      <c r="A253" s="18"/>
      <c r="B253" s="18"/>
      <c r="C253" s="18"/>
      <c r="D253" s="7"/>
      <c r="E253" s="326"/>
      <c r="F253" s="1471"/>
      <c r="G253" s="1471"/>
      <c r="H253" s="1471"/>
      <c r="I253" s="1471"/>
      <c r="J253" s="1286"/>
      <c r="K253" s="1286"/>
      <c r="L253" s="1286"/>
      <c r="M253" s="1286"/>
      <c r="N253" s="188"/>
      <c r="O253" s="188"/>
      <c r="P253" s="330"/>
      <c r="Q253" s="330"/>
      <c r="R253" s="187"/>
      <c r="U253" s="331" t="str">
        <f ca="1">Calculos!BO$236</f>
        <v>-</v>
      </c>
      <c r="V253" s="332"/>
      <c r="W253" s="1"/>
    </row>
    <row r="254" spans="1:23" ht="20.100000000000001" customHeight="1" x14ac:dyDescent="0.25">
      <c r="A254" s="18"/>
      <c r="B254" s="18"/>
      <c r="C254" s="18"/>
      <c r="D254" s="7"/>
      <c r="E254" s="326"/>
      <c r="F254" s="1471"/>
      <c r="G254" s="1471"/>
      <c r="H254" s="1471"/>
      <c r="I254" s="1471"/>
      <c r="J254" s="1286"/>
      <c r="K254" s="1286"/>
      <c r="L254" s="1286"/>
      <c r="M254" s="1286"/>
      <c r="N254" s="188"/>
      <c r="O254" s="188"/>
      <c r="P254" s="330"/>
      <c r="Q254" s="330"/>
      <c r="R254" s="187"/>
      <c r="U254" s="331" t="str">
        <f ca="1">Calculos!BO$237</f>
        <v>-</v>
      </c>
      <c r="V254" s="332"/>
      <c r="W254" s="1"/>
    </row>
    <row r="255" spans="1:23" ht="20.100000000000001" customHeight="1" x14ac:dyDescent="0.25">
      <c r="A255" s="18"/>
      <c r="B255" s="18"/>
      <c r="C255" s="18"/>
      <c r="D255" s="7"/>
      <c r="E255" s="326"/>
      <c r="F255" s="1471"/>
      <c r="G255" s="1471"/>
      <c r="H255" s="1471"/>
      <c r="I255" s="1471"/>
      <c r="J255" s="1286"/>
      <c r="K255" s="1286"/>
      <c r="L255" s="1286"/>
      <c r="M255" s="1286"/>
      <c r="N255" s="188"/>
      <c r="O255" s="188"/>
      <c r="P255" s="330"/>
      <c r="Q255" s="330"/>
      <c r="R255" s="187"/>
      <c r="U255" s="331" t="str">
        <f ca="1">Calculos!BO$238</f>
        <v>-</v>
      </c>
      <c r="V255" s="332"/>
      <c r="W255" s="1"/>
    </row>
    <row r="256" spans="1:23" ht="20.100000000000001" customHeight="1" x14ac:dyDescent="0.25">
      <c r="A256" s="18"/>
      <c r="B256" s="18"/>
      <c r="C256" s="18"/>
      <c r="D256" s="7"/>
      <c r="E256" s="326"/>
      <c r="F256" s="1471"/>
      <c r="G256" s="1471"/>
      <c r="H256" s="1471"/>
      <c r="I256" s="1471"/>
      <c r="J256" s="1286"/>
      <c r="K256" s="1286"/>
      <c r="L256" s="1286"/>
      <c r="M256" s="1286"/>
      <c r="N256" s="188"/>
      <c r="O256" s="188"/>
      <c r="P256" s="330"/>
      <c r="Q256" s="330"/>
      <c r="R256" s="187"/>
      <c r="U256" s="331" t="str">
        <f ca="1">Calculos!BO$239</f>
        <v>-</v>
      </c>
      <c r="V256" s="332"/>
      <c r="W256" s="1"/>
    </row>
    <row r="257" spans="1:23" ht="20.100000000000001" customHeight="1" x14ac:dyDescent="0.25">
      <c r="A257" s="18"/>
      <c r="B257" s="18"/>
      <c r="C257" s="18"/>
      <c r="D257" s="7"/>
      <c r="E257" s="326"/>
      <c r="F257" s="1471"/>
      <c r="G257" s="1471"/>
      <c r="H257" s="1471"/>
      <c r="I257" s="1471"/>
      <c r="J257" s="1286"/>
      <c r="K257" s="1286"/>
      <c r="L257" s="1286"/>
      <c r="M257" s="1286"/>
      <c r="N257" s="188"/>
      <c r="O257" s="188"/>
      <c r="P257" s="330"/>
      <c r="Q257" s="330"/>
      <c r="R257" s="187"/>
      <c r="U257" s="331" t="str">
        <f ca="1">Calculos!BO$240</f>
        <v>-</v>
      </c>
      <c r="V257" s="332"/>
      <c r="W257" s="1"/>
    </row>
    <row r="258" spans="1:23" ht="20.100000000000001" customHeight="1" x14ac:dyDescent="0.25">
      <c r="A258" s="18"/>
      <c r="B258" s="18"/>
      <c r="C258" s="18"/>
      <c r="D258" s="7"/>
      <c r="E258" s="326"/>
      <c r="F258" s="1471"/>
      <c r="G258" s="1471"/>
      <c r="H258" s="1471"/>
      <c r="I258" s="1471"/>
      <c r="J258" s="1286"/>
      <c r="K258" s="1286"/>
      <c r="L258" s="1286"/>
      <c r="M258" s="1286"/>
      <c r="N258" s="188"/>
      <c r="O258" s="188"/>
      <c r="P258" s="330"/>
      <c r="Q258" s="330"/>
      <c r="R258" s="187"/>
      <c r="U258" s="331" t="str">
        <f ca="1">Calculos!BO$241</f>
        <v>-</v>
      </c>
      <c r="V258" s="332"/>
      <c r="W258" s="1"/>
    </row>
    <row r="259" spans="1:23" ht="20.100000000000001" customHeight="1" x14ac:dyDescent="0.25">
      <c r="A259" s="18"/>
      <c r="B259" s="18"/>
      <c r="C259" s="18"/>
      <c r="D259" s="7"/>
      <c r="E259" s="326"/>
      <c r="F259" s="1471"/>
      <c r="G259" s="1471"/>
      <c r="H259" s="1471"/>
      <c r="I259" s="1471"/>
      <c r="J259" s="1286"/>
      <c r="K259" s="1286"/>
      <c r="L259" s="1286"/>
      <c r="M259" s="1286"/>
      <c r="N259" s="188"/>
      <c r="O259" s="188"/>
      <c r="P259" s="330"/>
      <c r="Q259" s="330"/>
      <c r="R259" s="187"/>
      <c r="U259" s="331" t="str">
        <f ca="1">Calculos!BO$242</f>
        <v>-</v>
      </c>
      <c r="V259" s="332"/>
      <c r="W259" s="1"/>
    </row>
    <row r="260" spans="1:23" ht="20.100000000000001" customHeight="1" x14ac:dyDescent="0.25">
      <c r="A260" s="18"/>
      <c r="B260" s="18"/>
      <c r="C260" s="18"/>
      <c r="D260" s="7"/>
      <c r="E260" s="326"/>
      <c r="F260" s="1471"/>
      <c r="G260" s="1471"/>
      <c r="H260" s="1471"/>
      <c r="I260" s="1471"/>
      <c r="J260" s="1286"/>
      <c r="K260" s="1286"/>
      <c r="L260" s="1286"/>
      <c r="M260" s="1286"/>
      <c r="N260" s="188"/>
      <c r="O260" s="188"/>
      <c r="P260" s="330"/>
      <c r="Q260" s="330"/>
      <c r="R260" s="187"/>
      <c r="U260" s="331" t="str">
        <f ca="1">Calculos!BO$243</f>
        <v>-</v>
      </c>
      <c r="V260" s="332"/>
      <c r="W260" s="1"/>
    </row>
    <row r="261" spans="1:23" ht="20.100000000000001" customHeight="1" x14ac:dyDescent="0.25">
      <c r="A261" s="18"/>
      <c r="B261" s="18"/>
      <c r="C261" s="18"/>
      <c r="D261" s="7"/>
      <c r="E261" s="326"/>
      <c r="F261" s="1471"/>
      <c r="G261" s="1471"/>
      <c r="H261" s="1471"/>
      <c r="I261" s="1471"/>
      <c r="J261" s="1286"/>
      <c r="K261" s="1286"/>
      <c r="L261" s="1286"/>
      <c r="M261" s="1286"/>
      <c r="N261" s="188"/>
      <c r="O261" s="188"/>
      <c r="P261" s="330"/>
      <c r="Q261" s="330"/>
      <c r="R261" s="187"/>
      <c r="U261" s="331" t="str">
        <f ca="1">Calculos!BO$244</f>
        <v>-</v>
      </c>
      <c r="V261" s="332"/>
      <c r="W261" s="1"/>
    </row>
    <row r="262" spans="1:23" ht="20.100000000000001" customHeight="1" x14ac:dyDescent="0.25">
      <c r="A262" s="18"/>
      <c r="B262" s="18"/>
      <c r="C262" s="18"/>
      <c r="D262" s="7"/>
      <c r="E262" s="326"/>
      <c r="F262" s="1471"/>
      <c r="G262" s="1471"/>
      <c r="H262" s="1471"/>
      <c r="I262" s="1471"/>
      <c r="J262" s="1472" t="s">
        <v>80</v>
      </c>
      <c r="K262" s="1473"/>
      <c r="L262" s="1473"/>
      <c r="M262" s="1474"/>
      <c r="N262" s="188"/>
      <c r="O262" s="188"/>
      <c r="P262" s="330"/>
      <c r="Q262" s="330"/>
      <c r="R262" s="187" t="s">
        <v>10</v>
      </c>
      <c r="U262" s="331" t="str">
        <f ca="1">Calculos!BO$245</f>
        <v>-</v>
      </c>
      <c r="V262" s="332"/>
      <c r="W262" s="1"/>
    </row>
    <row r="263" spans="1:23" ht="20.100000000000001" customHeight="1" x14ac:dyDescent="0.25">
      <c r="A263" s="18"/>
      <c r="B263" s="18"/>
      <c r="C263" s="18"/>
      <c r="D263" s="7"/>
      <c r="E263" s="326"/>
      <c r="V263" s="332"/>
      <c r="W263" s="1"/>
    </row>
    <row r="264" spans="1:23" ht="20.100000000000001" hidden="1" customHeight="1" x14ac:dyDescent="0.25">
      <c r="A264" s="18"/>
      <c r="B264" s="18"/>
      <c r="C264" s="18"/>
      <c r="D264" s="7"/>
      <c r="E264" s="326"/>
      <c r="V264" s="332"/>
      <c r="W264" s="1"/>
    </row>
    <row r="265" spans="1:23" ht="20.100000000000001" hidden="1" customHeight="1" x14ac:dyDescent="0.25">
      <c r="A265" s="18"/>
      <c r="B265" s="18"/>
      <c r="C265" s="18"/>
      <c r="D265" s="7"/>
      <c r="E265" s="326"/>
      <c r="V265" s="332"/>
      <c r="W265" s="7"/>
    </row>
    <row r="266" spans="1:23" ht="20.100000000000001" customHeight="1" x14ac:dyDescent="0.25">
      <c r="A266" s="18"/>
      <c r="B266" s="18"/>
      <c r="C266" s="18"/>
      <c r="D266" s="7"/>
      <c r="E266" s="326"/>
      <c r="V266" s="332"/>
      <c r="W266" s="7"/>
    </row>
    <row r="267" spans="1:23" ht="39.950000000000003" customHeight="1" x14ac:dyDescent="0.25">
      <c r="A267" s="18"/>
      <c r="B267" s="18"/>
      <c r="C267" s="18"/>
      <c r="D267" s="7"/>
      <c r="E267" s="326"/>
      <c r="F267" s="1475" t="s">
        <v>8621</v>
      </c>
      <c r="G267" s="1476"/>
      <c r="H267" s="1476"/>
      <c r="I267" s="1476"/>
      <c r="J267" s="1476"/>
      <c r="K267" s="1476"/>
      <c r="L267" s="1476"/>
      <c r="M267" s="1476"/>
      <c r="N267" s="333" t="str">
        <f ca="1">"Concentração"&amp;" "&amp;Calculos!$BJ$3</f>
        <v>Concentração -</v>
      </c>
      <c r="O267" s="333" t="s">
        <v>6038</v>
      </c>
      <c r="P267" s="333" t="s">
        <v>8126</v>
      </c>
      <c r="Q267" s="333" t="s">
        <v>8028</v>
      </c>
      <c r="R267" s="333" t="s">
        <v>8603</v>
      </c>
      <c r="S267" s="333" t="s">
        <v>8127</v>
      </c>
      <c r="U267" s="328" t="s">
        <v>119</v>
      </c>
      <c r="V267" s="332"/>
      <c r="W267" s="1"/>
    </row>
    <row r="268" spans="1:23" ht="20.100000000000001" customHeight="1" x14ac:dyDescent="0.25">
      <c r="A268" s="18"/>
      <c r="B268" s="18"/>
      <c r="C268" s="18"/>
      <c r="D268" s="7"/>
      <c r="E268" s="326"/>
      <c r="F268" s="1471" t="str">
        <f ca="1">Calculos!$BJ$4</f>
        <v>-</v>
      </c>
      <c r="G268" s="1471"/>
      <c r="H268" s="1471"/>
      <c r="I268" s="1471"/>
      <c r="J268" s="1472" t="s">
        <v>7103</v>
      </c>
      <c r="K268" s="1473"/>
      <c r="L268" s="1473"/>
      <c r="M268" s="1474"/>
      <c r="N268" s="334"/>
      <c r="O268" s="334"/>
      <c r="P268" s="335"/>
      <c r="Q268" s="335"/>
      <c r="R268" s="335">
        <v>0</v>
      </c>
      <c r="S268" s="331">
        <f>O268/2</f>
        <v>0</v>
      </c>
      <c r="U268" s="331" t="str">
        <f ca="1">Calculos!BO$250</f>
        <v>-</v>
      </c>
      <c r="V268" s="332"/>
      <c r="W268" s="1"/>
    </row>
    <row r="269" spans="1:23" ht="20.100000000000001" customHeight="1" x14ac:dyDescent="0.25">
      <c r="A269" s="18"/>
      <c r="B269" s="18"/>
      <c r="C269" s="18"/>
      <c r="D269" s="7"/>
      <c r="E269" s="326"/>
      <c r="F269" s="1471"/>
      <c r="G269" s="1471"/>
      <c r="H269" s="1471"/>
      <c r="I269" s="1471"/>
      <c r="J269" s="1286" t="s">
        <v>8027</v>
      </c>
      <c r="K269" s="1286"/>
      <c r="L269" s="1286"/>
      <c r="M269" s="1286"/>
      <c r="N269" s="334"/>
      <c r="O269" s="334"/>
      <c r="P269" s="335"/>
      <c r="Q269" s="335"/>
      <c r="R269" s="335"/>
      <c r="U269" s="331" t="str">
        <f ca="1">Calculos!BO$251</f>
        <v>-</v>
      </c>
      <c r="V269" s="332"/>
      <c r="W269" s="1"/>
    </row>
    <row r="270" spans="1:23" ht="20.100000000000001" customHeight="1" x14ac:dyDescent="0.25">
      <c r="A270" s="18"/>
      <c r="B270" s="18"/>
      <c r="C270" s="18"/>
      <c r="D270" s="7"/>
      <c r="E270" s="326"/>
      <c r="F270" s="1471"/>
      <c r="G270" s="1471"/>
      <c r="H270" s="1471"/>
      <c r="I270" s="1471"/>
      <c r="J270" s="1286"/>
      <c r="K270" s="1286"/>
      <c r="L270" s="1286"/>
      <c r="M270" s="1286"/>
      <c r="N270" s="334"/>
      <c r="O270" s="334"/>
      <c r="P270" s="335"/>
      <c r="Q270" s="335"/>
      <c r="R270" s="335"/>
      <c r="U270" s="331" t="str">
        <f ca="1">Calculos!BO$252</f>
        <v>-</v>
      </c>
      <c r="V270" s="332"/>
      <c r="W270" s="1"/>
    </row>
    <row r="271" spans="1:23" ht="20.100000000000001" customHeight="1" x14ac:dyDescent="0.25">
      <c r="A271" s="18"/>
      <c r="B271" s="18"/>
      <c r="C271" s="18"/>
      <c r="D271" s="7"/>
      <c r="E271" s="326"/>
      <c r="F271" s="1471"/>
      <c r="G271" s="1471"/>
      <c r="H271" s="1471"/>
      <c r="I271" s="1471"/>
      <c r="J271" s="1286"/>
      <c r="K271" s="1286"/>
      <c r="L271" s="1286"/>
      <c r="M271" s="1286"/>
      <c r="N271" s="334"/>
      <c r="O271" s="334"/>
      <c r="P271" s="335"/>
      <c r="Q271" s="335"/>
      <c r="R271" s="335"/>
      <c r="U271" s="331" t="str">
        <f ca="1">Calculos!BO$253</f>
        <v>-</v>
      </c>
      <c r="V271" s="332"/>
      <c r="W271" s="1"/>
    </row>
    <row r="272" spans="1:23" ht="20.100000000000001" customHeight="1" x14ac:dyDescent="0.25">
      <c r="A272" s="18"/>
      <c r="B272" s="18"/>
      <c r="C272" s="18"/>
      <c r="D272" s="7"/>
      <c r="E272" s="326"/>
      <c r="F272" s="1471"/>
      <c r="G272" s="1471"/>
      <c r="H272" s="1471"/>
      <c r="I272" s="1471"/>
      <c r="J272" s="1286"/>
      <c r="K272" s="1286"/>
      <c r="L272" s="1286"/>
      <c r="M272" s="1286"/>
      <c r="N272" s="334"/>
      <c r="O272" s="334"/>
      <c r="P272" s="335"/>
      <c r="Q272" s="335"/>
      <c r="R272" s="335"/>
      <c r="U272" s="331" t="str">
        <f ca="1">Calculos!BO$254</f>
        <v>-</v>
      </c>
      <c r="V272" s="332"/>
      <c r="W272" s="1"/>
    </row>
    <row r="273" spans="1:23" ht="20.100000000000001" customHeight="1" x14ac:dyDescent="0.25">
      <c r="A273" s="18"/>
      <c r="B273" s="18"/>
      <c r="C273" s="18"/>
      <c r="D273" s="7"/>
      <c r="E273" s="326"/>
      <c r="F273" s="1471"/>
      <c r="G273" s="1471"/>
      <c r="H273" s="1471"/>
      <c r="I273" s="1471"/>
      <c r="J273" s="1286"/>
      <c r="K273" s="1286"/>
      <c r="L273" s="1286"/>
      <c r="M273" s="1286"/>
      <c r="N273" s="334"/>
      <c r="O273" s="334"/>
      <c r="P273" s="335"/>
      <c r="Q273" s="335"/>
      <c r="R273" s="335"/>
      <c r="U273" s="331" t="str">
        <f ca="1">Calculos!BO$255</f>
        <v>-</v>
      </c>
      <c r="V273" s="332"/>
      <c r="W273" s="1"/>
    </row>
    <row r="274" spans="1:23" ht="20.100000000000001" customHeight="1" x14ac:dyDescent="0.25">
      <c r="A274" s="18"/>
      <c r="B274" s="18"/>
      <c r="C274" s="18"/>
      <c r="D274" s="7"/>
      <c r="E274" s="326"/>
      <c r="F274" s="1471"/>
      <c r="G274" s="1471"/>
      <c r="H274" s="1471"/>
      <c r="I274" s="1471"/>
      <c r="J274" s="1286"/>
      <c r="K274" s="1286"/>
      <c r="L274" s="1286"/>
      <c r="M274" s="1286"/>
      <c r="N274" s="334"/>
      <c r="O274" s="334"/>
      <c r="P274" s="335"/>
      <c r="Q274" s="335"/>
      <c r="R274" s="335"/>
      <c r="U274" s="331" t="str">
        <f ca="1">Calculos!BO$256</f>
        <v>-</v>
      </c>
      <c r="V274" s="332"/>
      <c r="W274" s="1"/>
    </row>
    <row r="275" spans="1:23" ht="20.100000000000001" customHeight="1" x14ac:dyDescent="0.25">
      <c r="A275" s="18"/>
      <c r="B275" s="18"/>
      <c r="C275" s="18"/>
      <c r="D275" s="7"/>
      <c r="E275" s="326"/>
      <c r="F275" s="1471"/>
      <c r="G275" s="1471"/>
      <c r="H275" s="1471"/>
      <c r="I275" s="1471"/>
      <c r="J275" s="1286"/>
      <c r="K275" s="1286"/>
      <c r="L275" s="1286"/>
      <c r="M275" s="1286"/>
      <c r="N275" s="334"/>
      <c r="O275" s="334"/>
      <c r="P275" s="335"/>
      <c r="Q275" s="335"/>
      <c r="R275" s="335"/>
      <c r="U275" s="331" t="str">
        <f ca="1">Calculos!BO$257</f>
        <v>-</v>
      </c>
      <c r="V275" s="332"/>
      <c r="W275" s="1"/>
    </row>
    <row r="276" spans="1:23" ht="20.100000000000001" customHeight="1" x14ac:dyDescent="0.25">
      <c r="A276" s="18"/>
      <c r="B276" s="18"/>
      <c r="C276" s="18"/>
      <c r="D276" s="7"/>
      <c r="E276" s="326"/>
      <c r="F276" s="1471"/>
      <c r="G276" s="1471"/>
      <c r="H276" s="1471"/>
      <c r="I276" s="1471"/>
      <c r="J276" s="1286"/>
      <c r="K276" s="1286"/>
      <c r="L276" s="1286"/>
      <c r="M276" s="1286"/>
      <c r="N276" s="334"/>
      <c r="O276" s="334"/>
      <c r="P276" s="335"/>
      <c r="Q276" s="335"/>
      <c r="R276" s="335"/>
      <c r="U276" s="331" t="str">
        <f ca="1">Calculos!BO$258</f>
        <v>-</v>
      </c>
      <c r="V276" s="332"/>
      <c r="W276" s="1"/>
    </row>
    <row r="277" spans="1:23" ht="20.100000000000001" customHeight="1" x14ac:dyDescent="0.25">
      <c r="A277" s="18"/>
      <c r="B277" s="18"/>
      <c r="C277" s="18"/>
      <c r="D277" s="1"/>
      <c r="E277" s="326"/>
      <c r="F277" s="1471"/>
      <c r="G277" s="1471"/>
      <c r="H277" s="1471"/>
      <c r="I277" s="1471"/>
      <c r="J277" s="1286"/>
      <c r="K277" s="1286"/>
      <c r="L277" s="1286"/>
      <c r="M277" s="1286"/>
      <c r="N277" s="334"/>
      <c r="O277" s="334"/>
      <c r="P277" s="335"/>
      <c r="Q277" s="335"/>
      <c r="R277" s="335"/>
      <c r="U277" s="331" t="str">
        <f ca="1">Calculos!BO$259</f>
        <v>-</v>
      </c>
      <c r="V277" s="332"/>
      <c r="W277" s="1"/>
    </row>
    <row r="278" spans="1:23" ht="20.100000000000001" customHeight="1" x14ac:dyDescent="0.25">
      <c r="A278" s="18"/>
      <c r="B278" s="18"/>
      <c r="C278" s="18"/>
      <c r="D278" s="1"/>
      <c r="E278" s="326"/>
      <c r="F278" s="1471"/>
      <c r="G278" s="1471"/>
      <c r="H278" s="1471"/>
      <c r="I278" s="1471"/>
      <c r="J278" s="1286"/>
      <c r="K278" s="1286"/>
      <c r="L278" s="1286"/>
      <c r="M278" s="1286"/>
      <c r="N278" s="334"/>
      <c r="O278" s="334"/>
      <c r="P278" s="335"/>
      <c r="Q278" s="335"/>
      <c r="R278" s="335"/>
      <c r="U278" s="331" t="str">
        <f ca="1">Calculos!BO$260</f>
        <v>-</v>
      </c>
      <c r="V278" s="329"/>
      <c r="W278" s="1"/>
    </row>
    <row r="279" spans="1:23" ht="20.100000000000001" customHeight="1" x14ac:dyDescent="0.25">
      <c r="A279" s="18"/>
      <c r="B279" s="18"/>
      <c r="C279" s="18"/>
      <c r="D279" s="1"/>
      <c r="E279" s="326"/>
      <c r="F279" s="1471"/>
      <c r="G279" s="1471"/>
      <c r="H279" s="1471"/>
      <c r="I279" s="1471"/>
      <c r="J279" s="1472" t="s">
        <v>80</v>
      </c>
      <c r="K279" s="1473"/>
      <c r="L279" s="1473"/>
      <c r="M279" s="1474"/>
      <c r="N279" s="334"/>
      <c r="O279" s="334"/>
      <c r="P279" s="335"/>
      <c r="Q279" s="335"/>
      <c r="R279" s="335" t="s">
        <v>10</v>
      </c>
      <c r="U279" s="331" t="str">
        <f ca="1">Calculos!BO$261</f>
        <v>-</v>
      </c>
      <c r="V279" s="329"/>
      <c r="W279" s="1"/>
    </row>
    <row r="280" spans="1:23" ht="20.100000000000001" hidden="1" customHeight="1" x14ac:dyDescent="0.25">
      <c r="A280" s="18"/>
      <c r="B280" s="18"/>
      <c r="C280" s="18"/>
      <c r="D280" s="1"/>
      <c r="E280" s="326"/>
      <c r="V280" s="329"/>
      <c r="W280" s="1"/>
    </row>
    <row r="281" spans="1:23" ht="20.100000000000001" customHeight="1" x14ac:dyDescent="0.25">
      <c r="A281" s="18"/>
      <c r="B281" s="18"/>
      <c r="C281" s="18"/>
      <c r="D281" s="1"/>
      <c r="E281" s="336"/>
      <c r="F281" s="337"/>
      <c r="G281" s="337"/>
      <c r="H281" s="337"/>
      <c r="I281" s="337"/>
      <c r="J281" s="337"/>
      <c r="K281" s="337"/>
      <c r="L281" s="337"/>
      <c r="M281" s="337"/>
      <c r="N281" s="337"/>
      <c r="O281" s="337"/>
      <c r="P281" s="337"/>
      <c r="Q281" s="337"/>
      <c r="R281" s="337"/>
      <c r="S281" s="337"/>
      <c r="T281" s="337"/>
      <c r="U281" s="337"/>
      <c r="V281" s="338"/>
      <c r="W281" s="1"/>
    </row>
    <row r="282" spans="1:23" s="1" customFormat="1" ht="30" customHeight="1" x14ac:dyDescent="0.25">
      <c r="A282" s="18"/>
      <c r="B282" s="18"/>
      <c r="C282" s="18"/>
    </row>
    <row r="283" spans="1:23" ht="20.100000000000001" customHeight="1" x14ac:dyDescent="0.25">
      <c r="A283" s="18"/>
      <c r="B283" s="18"/>
      <c r="C283" s="18"/>
      <c r="D283" s="7"/>
      <c r="E283" s="321"/>
      <c r="F283" s="322"/>
      <c r="G283" s="323"/>
      <c r="H283" s="323"/>
      <c r="I283" s="323"/>
      <c r="J283" s="323"/>
      <c r="K283" s="323"/>
      <c r="L283" s="323"/>
      <c r="M283" s="323"/>
      <c r="N283" s="323"/>
      <c r="O283" s="323"/>
      <c r="P283" s="323"/>
      <c r="Q283" s="323"/>
      <c r="R283" s="323"/>
      <c r="S283" s="339"/>
      <c r="T283" s="339"/>
      <c r="U283" s="340"/>
      <c r="V283" s="325"/>
      <c r="W283" s="1"/>
    </row>
    <row r="284" spans="1:23" ht="39.950000000000003" customHeight="1" x14ac:dyDescent="0.25">
      <c r="A284" s="18"/>
      <c r="B284" s="18"/>
      <c r="C284" s="18"/>
      <c r="D284" s="7"/>
      <c r="E284" s="326"/>
      <c r="F284" s="1469" t="s">
        <v>8613</v>
      </c>
      <c r="G284" s="1470"/>
      <c r="H284" s="1470"/>
      <c r="I284" s="1470"/>
      <c r="J284" s="1470"/>
      <c r="K284" s="1470"/>
      <c r="L284" s="1470"/>
      <c r="M284" s="1470"/>
      <c r="N284" s="327" t="str">
        <f ca="1">"Concentração"&amp;" "&amp;Calculos!$BJ$3</f>
        <v>Concentração -</v>
      </c>
      <c r="O284" s="327" t="s">
        <v>6038</v>
      </c>
      <c r="P284" s="327" t="s">
        <v>8126</v>
      </c>
      <c r="Q284" s="327" t="s">
        <v>8028</v>
      </c>
      <c r="R284" s="327" t="s">
        <v>8603</v>
      </c>
      <c r="S284" s="327" t="s">
        <v>8127</v>
      </c>
      <c r="U284" s="328" t="s">
        <v>119</v>
      </c>
      <c r="V284" s="332"/>
      <c r="W284" s="7"/>
    </row>
    <row r="285" spans="1:23" ht="20.100000000000001" customHeight="1" x14ac:dyDescent="0.25">
      <c r="A285" s="18"/>
      <c r="B285" s="18"/>
      <c r="C285" s="18"/>
      <c r="D285" s="7"/>
      <c r="E285" s="326"/>
      <c r="F285" s="1471" t="str">
        <f ca="1">Calculos!$BJ$4</f>
        <v>-</v>
      </c>
      <c r="G285" s="1471"/>
      <c r="H285" s="1471"/>
      <c r="I285" s="1471"/>
      <c r="J285" s="1472" t="s">
        <v>7103</v>
      </c>
      <c r="K285" s="1473"/>
      <c r="L285" s="1473"/>
      <c r="M285" s="1474"/>
      <c r="N285" s="188"/>
      <c r="O285" s="188"/>
      <c r="P285" s="330"/>
      <c r="Q285" s="330"/>
      <c r="R285" s="187">
        <v>0</v>
      </c>
      <c r="S285" s="331">
        <f>O285/2</f>
        <v>0</v>
      </c>
      <c r="U285" s="331" t="str">
        <f ca="1">Calculos!BO$266</f>
        <v>-</v>
      </c>
      <c r="V285" s="332"/>
      <c r="W285" s="1"/>
    </row>
    <row r="286" spans="1:23" ht="20.100000000000001" customHeight="1" x14ac:dyDescent="0.25">
      <c r="A286" s="18"/>
      <c r="B286" s="18"/>
      <c r="C286" s="18"/>
      <c r="D286" s="7"/>
      <c r="E286" s="326"/>
      <c r="F286" s="1471"/>
      <c r="G286" s="1471"/>
      <c r="H286" s="1471"/>
      <c r="I286" s="1471"/>
      <c r="J286" s="1286" t="s">
        <v>8027</v>
      </c>
      <c r="K286" s="1286"/>
      <c r="L286" s="1286"/>
      <c r="M286" s="1286"/>
      <c r="N286" s="188"/>
      <c r="O286" s="188"/>
      <c r="P286" s="330"/>
      <c r="Q286" s="330"/>
      <c r="R286" s="187"/>
      <c r="U286" s="331" t="str">
        <f ca="1">Calculos!BO$267</f>
        <v>-</v>
      </c>
      <c r="V286" s="332"/>
      <c r="W286" s="1"/>
    </row>
    <row r="287" spans="1:23" ht="20.100000000000001" customHeight="1" x14ac:dyDescent="0.25">
      <c r="A287" s="18"/>
      <c r="B287" s="18"/>
      <c r="C287" s="18"/>
      <c r="D287" s="7"/>
      <c r="E287" s="326"/>
      <c r="F287" s="1471"/>
      <c r="G287" s="1471"/>
      <c r="H287" s="1471"/>
      <c r="I287" s="1471"/>
      <c r="J287" s="1286"/>
      <c r="K287" s="1286"/>
      <c r="L287" s="1286"/>
      <c r="M287" s="1286"/>
      <c r="N287" s="188"/>
      <c r="O287" s="188"/>
      <c r="P287" s="330"/>
      <c r="Q287" s="330"/>
      <c r="R287" s="187"/>
      <c r="U287" s="331" t="str">
        <f ca="1">Calculos!BO$268</f>
        <v>-</v>
      </c>
      <c r="V287" s="332"/>
      <c r="W287" s="1"/>
    </row>
    <row r="288" spans="1:23" ht="20.100000000000001" customHeight="1" x14ac:dyDescent="0.25">
      <c r="A288" s="18"/>
      <c r="B288" s="18"/>
      <c r="C288" s="18"/>
      <c r="D288" s="7"/>
      <c r="E288" s="326"/>
      <c r="F288" s="1471"/>
      <c r="G288" s="1471"/>
      <c r="H288" s="1471"/>
      <c r="I288" s="1471"/>
      <c r="J288" s="1286"/>
      <c r="K288" s="1286"/>
      <c r="L288" s="1286"/>
      <c r="M288" s="1286"/>
      <c r="N288" s="188"/>
      <c r="O288" s="188"/>
      <c r="P288" s="330"/>
      <c r="Q288" s="330"/>
      <c r="R288" s="187"/>
      <c r="U288" s="331" t="str">
        <f ca="1">Calculos!BO$269</f>
        <v>-</v>
      </c>
      <c r="V288" s="332"/>
      <c r="W288" s="1"/>
    </row>
    <row r="289" spans="1:23" ht="20.100000000000001" customHeight="1" x14ac:dyDescent="0.25">
      <c r="A289" s="18"/>
      <c r="B289" s="18"/>
      <c r="C289" s="18"/>
      <c r="D289" s="7"/>
      <c r="E289" s="326"/>
      <c r="F289" s="1471"/>
      <c r="G289" s="1471"/>
      <c r="H289" s="1471"/>
      <c r="I289" s="1471"/>
      <c r="J289" s="1286"/>
      <c r="K289" s="1286"/>
      <c r="L289" s="1286"/>
      <c r="M289" s="1286"/>
      <c r="N289" s="188"/>
      <c r="O289" s="188"/>
      <c r="P289" s="330"/>
      <c r="Q289" s="330"/>
      <c r="R289" s="187"/>
      <c r="U289" s="331" t="str">
        <f ca="1">Calculos!BO$270</f>
        <v>-</v>
      </c>
      <c r="V289" s="332"/>
      <c r="W289" s="1"/>
    </row>
    <row r="290" spans="1:23" ht="20.100000000000001" customHeight="1" x14ac:dyDescent="0.25">
      <c r="A290" s="18"/>
      <c r="B290" s="18"/>
      <c r="C290" s="18"/>
      <c r="D290" s="7"/>
      <c r="E290" s="326"/>
      <c r="F290" s="1471"/>
      <c r="G290" s="1471"/>
      <c r="H290" s="1471"/>
      <c r="I290" s="1471"/>
      <c r="J290" s="1286"/>
      <c r="K290" s="1286"/>
      <c r="L290" s="1286"/>
      <c r="M290" s="1286"/>
      <c r="N290" s="188"/>
      <c r="O290" s="188"/>
      <c r="P290" s="330"/>
      <c r="Q290" s="330"/>
      <c r="R290" s="187"/>
      <c r="U290" s="331" t="str">
        <f ca="1">Calculos!BO$271</f>
        <v>-</v>
      </c>
      <c r="V290" s="332"/>
      <c r="W290" s="1"/>
    </row>
    <row r="291" spans="1:23" ht="20.100000000000001" customHeight="1" x14ac:dyDescent="0.25">
      <c r="A291" s="18"/>
      <c r="B291" s="18"/>
      <c r="C291" s="18"/>
      <c r="D291" s="7"/>
      <c r="E291" s="326"/>
      <c r="F291" s="1471"/>
      <c r="G291" s="1471"/>
      <c r="H291" s="1471"/>
      <c r="I291" s="1471"/>
      <c r="J291" s="1286"/>
      <c r="K291" s="1286"/>
      <c r="L291" s="1286"/>
      <c r="M291" s="1286"/>
      <c r="N291" s="188"/>
      <c r="O291" s="188"/>
      <c r="P291" s="330"/>
      <c r="Q291" s="330"/>
      <c r="R291" s="187"/>
      <c r="U291" s="331" t="str">
        <f ca="1">Calculos!BO$272</f>
        <v>-</v>
      </c>
      <c r="V291" s="332"/>
      <c r="W291" s="1"/>
    </row>
    <row r="292" spans="1:23" ht="20.100000000000001" customHeight="1" x14ac:dyDescent="0.25">
      <c r="A292" s="18"/>
      <c r="B292" s="18"/>
      <c r="C292" s="18"/>
      <c r="D292" s="7"/>
      <c r="E292" s="326"/>
      <c r="F292" s="1471"/>
      <c r="G292" s="1471"/>
      <c r="H292" s="1471"/>
      <c r="I292" s="1471"/>
      <c r="J292" s="1286"/>
      <c r="K292" s="1286"/>
      <c r="L292" s="1286"/>
      <c r="M292" s="1286"/>
      <c r="N292" s="188"/>
      <c r="O292" s="188"/>
      <c r="P292" s="330"/>
      <c r="Q292" s="330"/>
      <c r="R292" s="187"/>
      <c r="U292" s="331" t="str">
        <f ca="1">Calculos!BO$273</f>
        <v>-</v>
      </c>
      <c r="V292" s="332"/>
      <c r="W292" s="1"/>
    </row>
    <row r="293" spans="1:23" ht="20.100000000000001" customHeight="1" x14ac:dyDescent="0.25">
      <c r="A293" s="18"/>
      <c r="B293" s="18"/>
      <c r="C293" s="18"/>
      <c r="D293" s="7"/>
      <c r="E293" s="326"/>
      <c r="F293" s="1471"/>
      <c r="G293" s="1471"/>
      <c r="H293" s="1471"/>
      <c r="I293" s="1471"/>
      <c r="J293" s="1286"/>
      <c r="K293" s="1286"/>
      <c r="L293" s="1286"/>
      <c r="M293" s="1286"/>
      <c r="N293" s="188"/>
      <c r="O293" s="188"/>
      <c r="P293" s="330"/>
      <c r="Q293" s="330"/>
      <c r="R293" s="187"/>
      <c r="U293" s="331" t="str">
        <f ca="1">Calculos!BO$274</f>
        <v>-</v>
      </c>
      <c r="V293" s="332"/>
      <c r="W293" s="1"/>
    </row>
    <row r="294" spans="1:23" ht="20.100000000000001" customHeight="1" x14ac:dyDescent="0.25">
      <c r="A294" s="18"/>
      <c r="B294" s="18"/>
      <c r="C294" s="18"/>
      <c r="D294" s="7"/>
      <c r="E294" s="326"/>
      <c r="F294" s="1471"/>
      <c r="G294" s="1471"/>
      <c r="H294" s="1471"/>
      <c r="I294" s="1471"/>
      <c r="J294" s="1286"/>
      <c r="K294" s="1286"/>
      <c r="L294" s="1286"/>
      <c r="M294" s="1286"/>
      <c r="N294" s="188"/>
      <c r="O294" s="188"/>
      <c r="P294" s="330"/>
      <c r="Q294" s="330"/>
      <c r="R294" s="187"/>
      <c r="U294" s="331" t="str">
        <f ca="1">Calculos!BO$275</f>
        <v>-</v>
      </c>
      <c r="V294" s="332"/>
      <c r="W294" s="1"/>
    </row>
    <row r="295" spans="1:23" ht="20.100000000000001" customHeight="1" x14ac:dyDescent="0.25">
      <c r="A295" s="18"/>
      <c r="B295" s="18"/>
      <c r="C295" s="18"/>
      <c r="D295" s="7"/>
      <c r="E295" s="326"/>
      <c r="F295" s="1471"/>
      <c r="G295" s="1471"/>
      <c r="H295" s="1471"/>
      <c r="I295" s="1471"/>
      <c r="J295" s="1286"/>
      <c r="K295" s="1286"/>
      <c r="L295" s="1286"/>
      <c r="M295" s="1286"/>
      <c r="N295" s="188"/>
      <c r="O295" s="188"/>
      <c r="P295" s="330"/>
      <c r="Q295" s="330"/>
      <c r="R295" s="187"/>
      <c r="U295" s="331" t="str">
        <f ca="1">Calculos!BO$276</f>
        <v>-</v>
      </c>
      <c r="V295" s="332"/>
      <c r="W295" s="1"/>
    </row>
    <row r="296" spans="1:23" ht="20.100000000000001" customHeight="1" x14ac:dyDescent="0.25">
      <c r="A296" s="18"/>
      <c r="B296" s="18"/>
      <c r="C296" s="18"/>
      <c r="D296" s="7"/>
      <c r="E296" s="326"/>
      <c r="F296" s="1471"/>
      <c r="G296" s="1471"/>
      <c r="H296" s="1471"/>
      <c r="I296" s="1471"/>
      <c r="J296" s="1472" t="s">
        <v>80</v>
      </c>
      <c r="K296" s="1473"/>
      <c r="L296" s="1473"/>
      <c r="M296" s="1474"/>
      <c r="N296" s="188"/>
      <c r="O296" s="188"/>
      <c r="P296" s="330"/>
      <c r="Q296" s="330"/>
      <c r="R296" s="187" t="s">
        <v>10</v>
      </c>
      <c r="U296" s="331" t="str">
        <f ca="1">Calculos!BO$277</f>
        <v>-</v>
      </c>
      <c r="V296" s="332"/>
      <c r="W296" s="1"/>
    </row>
    <row r="297" spans="1:23" ht="20.100000000000001" hidden="1" customHeight="1" x14ac:dyDescent="0.25">
      <c r="A297" s="18"/>
      <c r="B297" s="18"/>
      <c r="C297" s="18"/>
      <c r="D297" s="7"/>
      <c r="E297" s="326"/>
      <c r="V297" s="332"/>
      <c r="W297" s="1"/>
    </row>
    <row r="298" spans="1:23" ht="20.100000000000001" hidden="1" customHeight="1" x14ac:dyDescent="0.25">
      <c r="A298" s="18"/>
      <c r="B298" s="18"/>
      <c r="C298" s="18"/>
      <c r="D298" s="7"/>
      <c r="E298" s="326"/>
      <c r="V298" s="332"/>
      <c r="W298" s="1"/>
    </row>
    <row r="299" spans="1:23" ht="20.100000000000001" hidden="1" customHeight="1" x14ac:dyDescent="0.25">
      <c r="A299" s="18"/>
      <c r="B299" s="18"/>
      <c r="C299" s="18"/>
      <c r="D299" s="7"/>
      <c r="E299" s="326"/>
      <c r="V299" s="332"/>
      <c r="W299" s="7"/>
    </row>
    <row r="300" spans="1:23" ht="20.100000000000001" customHeight="1" x14ac:dyDescent="0.25">
      <c r="A300" s="18"/>
      <c r="B300" s="18"/>
      <c r="C300" s="18"/>
      <c r="D300" s="7"/>
      <c r="E300" s="326"/>
      <c r="V300" s="332"/>
      <c r="W300" s="7"/>
    </row>
    <row r="301" spans="1:23" ht="39.950000000000003" customHeight="1" x14ac:dyDescent="0.25">
      <c r="A301" s="18"/>
      <c r="B301" s="18"/>
      <c r="C301" s="18"/>
      <c r="D301" s="7"/>
      <c r="E301" s="326"/>
      <c r="F301" s="1475" t="s">
        <v>8622</v>
      </c>
      <c r="G301" s="1476"/>
      <c r="H301" s="1476"/>
      <c r="I301" s="1476"/>
      <c r="J301" s="1476"/>
      <c r="K301" s="1476"/>
      <c r="L301" s="1476"/>
      <c r="M301" s="1476"/>
      <c r="N301" s="333" t="str">
        <f ca="1">"Concentração"&amp;" "&amp;Calculos!$BJ$3</f>
        <v>Concentração -</v>
      </c>
      <c r="O301" s="333" t="s">
        <v>6038</v>
      </c>
      <c r="P301" s="333" t="s">
        <v>8126</v>
      </c>
      <c r="Q301" s="333" t="s">
        <v>8028</v>
      </c>
      <c r="R301" s="333" t="s">
        <v>8603</v>
      </c>
      <c r="S301" s="333" t="s">
        <v>8127</v>
      </c>
      <c r="U301" s="328" t="s">
        <v>119</v>
      </c>
      <c r="V301" s="332"/>
      <c r="W301" s="1"/>
    </row>
    <row r="302" spans="1:23" ht="20.100000000000001" customHeight="1" x14ac:dyDescent="0.25">
      <c r="A302" s="18"/>
      <c r="B302" s="18"/>
      <c r="C302" s="18"/>
      <c r="D302" s="7"/>
      <c r="E302" s="326"/>
      <c r="F302" s="1471" t="str">
        <f ca="1">Calculos!$BJ$4</f>
        <v>-</v>
      </c>
      <c r="G302" s="1471"/>
      <c r="H302" s="1471"/>
      <c r="I302" s="1471"/>
      <c r="J302" s="1472" t="s">
        <v>7103</v>
      </c>
      <c r="K302" s="1473"/>
      <c r="L302" s="1473"/>
      <c r="M302" s="1474"/>
      <c r="N302" s="334"/>
      <c r="O302" s="334"/>
      <c r="P302" s="335"/>
      <c r="Q302" s="335"/>
      <c r="R302" s="335">
        <v>0</v>
      </c>
      <c r="S302" s="331">
        <f>O302/2</f>
        <v>0</v>
      </c>
      <c r="U302" s="331" t="str">
        <f ca="1">Calculos!BO$282</f>
        <v>-</v>
      </c>
      <c r="V302" s="332"/>
      <c r="W302" s="1"/>
    </row>
    <row r="303" spans="1:23" ht="20.100000000000001" customHeight="1" x14ac:dyDescent="0.25">
      <c r="A303" s="18"/>
      <c r="B303" s="18"/>
      <c r="C303" s="18"/>
      <c r="D303" s="7"/>
      <c r="E303" s="326"/>
      <c r="F303" s="1471"/>
      <c r="G303" s="1471"/>
      <c r="H303" s="1471"/>
      <c r="I303" s="1471"/>
      <c r="J303" s="1286" t="s">
        <v>8027</v>
      </c>
      <c r="K303" s="1286"/>
      <c r="L303" s="1286"/>
      <c r="M303" s="1286"/>
      <c r="N303" s="334"/>
      <c r="O303" s="334"/>
      <c r="P303" s="335"/>
      <c r="Q303" s="335"/>
      <c r="R303" s="335"/>
      <c r="U303" s="331" t="str">
        <f ca="1">Calculos!BO$283</f>
        <v>-</v>
      </c>
      <c r="V303" s="332"/>
      <c r="W303" s="1"/>
    </row>
    <row r="304" spans="1:23" ht="20.100000000000001" customHeight="1" x14ac:dyDescent="0.25">
      <c r="A304" s="18"/>
      <c r="B304" s="18"/>
      <c r="C304" s="18"/>
      <c r="D304" s="7"/>
      <c r="E304" s="326"/>
      <c r="F304" s="1471"/>
      <c r="G304" s="1471"/>
      <c r="H304" s="1471"/>
      <c r="I304" s="1471"/>
      <c r="J304" s="1286"/>
      <c r="K304" s="1286"/>
      <c r="L304" s="1286"/>
      <c r="M304" s="1286"/>
      <c r="N304" s="334"/>
      <c r="O304" s="334"/>
      <c r="P304" s="335"/>
      <c r="Q304" s="335"/>
      <c r="R304" s="335"/>
      <c r="U304" s="331" t="str">
        <f ca="1">Calculos!BO$284</f>
        <v>-</v>
      </c>
      <c r="V304" s="332"/>
      <c r="W304" s="1"/>
    </row>
    <row r="305" spans="1:23" ht="20.100000000000001" customHeight="1" x14ac:dyDescent="0.25">
      <c r="A305" s="18"/>
      <c r="B305" s="18"/>
      <c r="C305" s="18"/>
      <c r="D305" s="7"/>
      <c r="E305" s="326"/>
      <c r="F305" s="1471"/>
      <c r="G305" s="1471"/>
      <c r="H305" s="1471"/>
      <c r="I305" s="1471"/>
      <c r="J305" s="1286"/>
      <c r="K305" s="1286"/>
      <c r="L305" s="1286"/>
      <c r="M305" s="1286"/>
      <c r="N305" s="334"/>
      <c r="O305" s="334"/>
      <c r="P305" s="335"/>
      <c r="Q305" s="335"/>
      <c r="R305" s="335"/>
      <c r="U305" s="331" t="str">
        <f ca="1">Calculos!BO$285</f>
        <v>-</v>
      </c>
      <c r="V305" s="332"/>
      <c r="W305" s="1"/>
    </row>
    <row r="306" spans="1:23" ht="20.100000000000001" customHeight="1" x14ac:dyDescent="0.25">
      <c r="A306" s="18"/>
      <c r="B306" s="18"/>
      <c r="C306" s="18"/>
      <c r="D306" s="7"/>
      <c r="E306" s="326"/>
      <c r="F306" s="1471"/>
      <c r="G306" s="1471"/>
      <c r="H306" s="1471"/>
      <c r="I306" s="1471"/>
      <c r="J306" s="1286"/>
      <c r="K306" s="1286"/>
      <c r="L306" s="1286"/>
      <c r="M306" s="1286"/>
      <c r="N306" s="334"/>
      <c r="O306" s="334"/>
      <c r="P306" s="335"/>
      <c r="Q306" s="335"/>
      <c r="R306" s="335"/>
      <c r="U306" s="331" t="str">
        <f ca="1">Calculos!BO$286</f>
        <v>-</v>
      </c>
      <c r="V306" s="332"/>
      <c r="W306" s="1"/>
    </row>
    <row r="307" spans="1:23" ht="20.100000000000001" customHeight="1" x14ac:dyDescent="0.25">
      <c r="A307" s="18"/>
      <c r="B307" s="18"/>
      <c r="C307" s="18"/>
      <c r="D307" s="7"/>
      <c r="E307" s="326"/>
      <c r="F307" s="1471"/>
      <c r="G307" s="1471"/>
      <c r="H307" s="1471"/>
      <c r="I307" s="1471"/>
      <c r="J307" s="1286"/>
      <c r="K307" s="1286"/>
      <c r="L307" s="1286"/>
      <c r="M307" s="1286"/>
      <c r="N307" s="334"/>
      <c r="O307" s="334"/>
      <c r="P307" s="335"/>
      <c r="Q307" s="335"/>
      <c r="R307" s="335"/>
      <c r="U307" s="331" t="str">
        <f ca="1">Calculos!BO$287</f>
        <v>-</v>
      </c>
      <c r="V307" s="332"/>
      <c r="W307" s="1"/>
    </row>
    <row r="308" spans="1:23" ht="20.100000000000001" customHeight="1" x14ac:dyDescent="0.25">
      <c r="A308" s="18"/>
      <c r="B308" s="18"/>
      <c r="C308" s="18"/>
      <c r="D308" s="7"/>
      <c r="E308" s="326"/>
      <c r="F308" s="1471"/>
      <c r="G308" s="1471"/>
      <c r="H308" s="1471"/>
      <c r="I308" s="1471"/>
      <c r="J308" s="1286"/>
      <c r="K308" s="1286"/>
      <c r="L308" s="1286"/>
      <c r="M308" s="1286"/>
      <c r="N308" s="334"/>
      <c r="O308" s="334"/>
      <c r="P308" s="335"/>
      <c r="Q308" s="335"/>
      <c r="R308" s="335"/>
      <c r="U308" s="331" t="str">
        <f ca="1">Calculos!BO$288</f>
        <v>-</v>
      </c>
      <c r="V308" s="332"/>
      <c r="W308" s="1"/>
    </row>
    <row r="309" spans="1:23" ht="20.100000000000001" customHeight="1" x14ac:dyDescent="0.25">
      <c r="A309" s="18"/>
      <c r="B309" s="18"/>
      <c r="C309" s="18"/>
      <c r="D309" s="7"/>
      <c r="E309" s="326"/>
      <c r="F309" s="1471"/>
      <c r="G309" s="1471"/>
      <c r="H309" s="1471"/>
      <c r="I309" s="1471"/>
      <c r="J309" s="1286"/>
      <c r="K309" s="1286"/>
      <c r="L309" s="1286"/>
      <c r="M309" s="1286"/>
      <c r="N309" s="334"/>
      <c r="O309" s="334"/>
      <c r="P309" s="335"/>
      <c r="Q309" s="335"/>
      <c r="R309" s="335"/>
      <c r="U309" s="331" t="str">
        <f ca="1">Calculos!BO$289</f>
        <v>-</v>
      </c>
      <c r="V309" s="332"/>
      <c r="W309" s="1"/>
    </row>
    <row r="310" spans="1:23" ht="20.100000000000001" customHeight="1" x14ac:dyDescent="0.25">
      <c r="A310" s="18"/>
      <c r="B310" s="18"/>
      <c r="C310" s="18"/>
      <c r="D310" s="7"/>
      <c r="E310" s="326"/>
      <c r="F310" s="1471"/>
      <c r="G310" s="1471"/>
      <c r="H310" s="1471"/>
      <c r="I310" s="1471"/>
      <c r="J310" s="1286"/>
      <c r="K310" s="1286"/>
      <c r="L310" s="1286"/>
      <c r="M310" s="1286"/>
      <c r="N310" s="334"/>
      <c r="O310" s="334"/>
      <c r="P310" s="335"/>
      <c r="Q310" s="335"/>
      <c r="R310" s="335"/>
      <c r="U310" s="331" t="str">
        <f ca="1">Calculos!BO$290</f>
        <v>-</v>
      </c>
      <c r="V310" s="332"/>
      <c r="W310" s="1"/>
    </row>
    <row r="311" spans="1:23" ht="20.100000000000001" customHeight="1" x14ac:dyDescent="0.25">
      <c r="A311" s="18"/>
      <c r="B311" s="18"/>
      <c r="C311" s="18"/>
      <c r="D311" s="1"/>
      <c r="E311" s="326"/>
      <c r="F311" s="1471"/>
      <c r="G311" s="1471"/>
      <c r="H311" s="1471"/>
      <c r="I311" s="1471"/>
      <c r="J311" s="1286"/>
      <c r="K311" s="1286"/>
      <c r="L311" s="1286"/>
      <c r="M311" s="1286"/>
      <c r="N311" s="334"/>
      <c r="O311" s="334"/>
      <c r="P311" s="335"/>
      <c r="Q311" s="335"/>
      <c r="R311" s="335"/>
      <c r="U311" s="331" t="str">
        <f ca="1">Calculos!BO$291</f>
        <v>-</v>
      </c>
      <c r="V311" s="332"/>
      <c r="W311" s="1"/>
    </row>
    <row r="312" spans="1:23" ht="20.100000000000001" customHeight="1" x14ac:dyDescent="0.25">
      <c r="A312" s="18"/>
      <c r="B312" s="18"/>
      <c r="C312" s="18"/>
      <c r="D312" s="1"/>
      <c r="E312" s="326"/>
      <c r="F312" s="1471"/>
      <c r="G312" s="1471"/>
      <c r="H312" s="1471"/>
      <c r="I312" s="1471"/>
      <c r="J312" s="1286"/>
      <c r="K312" s="1286"/>
      <c r="L312" s="1286"/>
      <c r="M312" s="1286"/>
      <c r="N312" s="334"/>
      <c r="O312" s="334"/>
      <c r="P312" s="335"/>
      <c r="Q312" s="335"/>
      <c r="R312" s="335"/>
      <c r="U312" s="331" t="str">
        <f ca="1">Calculos!BO$292</f>
        <v>-</v>
      </c>
      <c r="V312" s="329"/>
      <c r="W312" s="1"/>
    </row>
    <row r="313" spans="1:23" ht="20.100000000000001" customHeight="1" x14ac:dyDescent="0.25">
      <c r="A313" s="18"/>
      <c r="B313" s="18"/>
      <c r="C313" s="18"/>
      <c r="D313" s="1"/>
      <c r="E313" s="326"/>
      <c r="F313" s="1471"/>
      <c r="G313" s="1471"/>
      <c r="H313" s="1471"/>
      <c r="I313" s="1471"/>
      <c r="J313" s="1472" t="s">
        <v>80</v>
      </c>
      <c r="K313" s="1473"/>
      <c r="L313" s="1473"/>
      <c r="M313" s="1474"/>
      <c r="N313" s="334"/>
      <c r="O313" s="334"/>
      <c r="P313" s="335"/>
      <c r="Q313" s="335"/>
      <c r="R313" s="335" t="s">
        <v>10</v>
      </c>
      <c r="U313" s="331" t="str">
        <f ca="1">Calculos!BO$293</f>
        <v>-</v>
      </c>
      <c r="V313" s="329"/>
      <c r="W313" s="1"/>
    </row>
    <row r="314" spans="1:23" ht="20.100000000000001" customHeight="1" x14ac:dyDescent="0.25">
      <c r="A314" s="18"/>
      <c r="B314" s="18"/>
      <c r="C314" s="18"/>
      <c r="D314" s="1"/>
      <c r="E314" s="336"/>
      <c r="F314" s="337"/>
      <c r="G314" s="337"/>
      <c r="H314" s="337"/>
      <c r="I314" s="337"/>
      <c r="J314" s="337"/>
      <c r="K314" s="337"/>
      <c r="L314" s="337"/>
      <c r="M314" s="337"/>
      <c r="N314" s="337"/>
      <c r="O314" s="337"/>
      <c r="P314" s="337"/>
      <c r="Q314" s="337"/>
      <c r="R314" s="337"/>
      <c r="S314" s="337"/>
      <c r="T314" s="337"/>
      <c r="U314" s="337"/>
      <c r="V314" s="338"/>
      <c r="W314" s="1"/>
    </row>
    <row r="315" spans="1:23" ht="20.100000000000001" hidden="1" customHeight="1" x14ac:dyDescent="0.25">
      <c r="A315" s="18"/>
      <c r="B315" s="18"/>
      <c r="C315" s="18"/>
      <c r="D315" s="1"/>
      <c r="E315" s="2"/>
      <c r="W315" s="1"/>
    </row>
    <row r="316" spans="1:23" s="1" customFormat="1" ht="30" customHeight="1" x14ac:dyDescent="0.25">
      <c r="A316" s="18"/>
      <c r="B316" s="18"/>
      <c r="C316" s="18"/>
    </row>
    <row r="317" spans="1:23" ht="20.100000000000001" customHeight="1" x14ac:dyDescent="0.25">
      <c r="A317" s="18"/>
      <c r="B317" s="18"/>
      <c r="C317" s="18"/>
      <c r="D317" s="7"/>
      <c r="E317" s="321"/>
      <c r="F317" s="322"/>
      <c r="G317" s="323"/>
      <c r="H317" s="323"/>
      <c r="I317" s="323"/>
      <c r="J317" s="323"/>
      <c r="K317" s="323"/>
      <c r="L317" s="323"/>
      <c r="M317" s="323"/>
      <c r="N317" s="323"/>
      <c r="O317" s="323"/>
      <c r="P317" s="323"/>
      <c r="Q317" s="323"/>
      <c r="R317" s="323"/>
      <c r="S317" s="339"/>
      <c r="T317" s="339"/>
      <c r="U317" s="340"/>
      <c r="V317" s="325"/>
      <c r="W317" s="1"/>
    </row>
    <row r="318" spans="1:23" ht="39.950000000000003" customHeight="1" x14ac:dyDescent="0.25">
      <c r="A318" s="18"/>
      <c r="B318" s="18"/>
      <c r="C318" s="18"/>
      <c r="D318" s="7"/>
      <c r="E318" s="326"/>
      <c r="F318" s="1469" t="s">
        <v>8614</v>
      </c>
      <c r="G318" s="1470"/>
      <c r="H318" s="1470"/>
      <c r="I318" s="1470"/>
      <c r="J318" s="1470"/>
      <c r="K318" s="1470"/>
      <c r="L318" s="1470"/>
      <c r="M318" s="1470"/>
      <c r="N318" s="327" t="str">
        <f ca="1">"Concentração"&amp;" "&amp;Calculos!$BJ$3</f>
        <v>Concentração -</v>
      </c>
      <c r="O318" s="327" t="s">
        <v>6038</v>
      </c>
      <c r="P318" s="327" t="s">
        <v>8126</v>
      </c>
      <c r="Q318" s="327" t="s">
        <v>8028</v>
      </c>
      <c r="R318" s="327" t="s">
        <v>8603</v>
      </c>
      <c r="S318" s="327" t="s">
        <v>8127</v>
      </c>
      <c r="U318" s="328" t="s">
        <v>119</v>
      </c>
      <c r="V318" s="332"/>
      <c r="W318" s="7"/>
    </row>
    <row r="319" spans="1:23" ht="20.100000000000001" customHeight="1" x14ac:dyDescent="0.25">
      <c r="A319" s="18"/>
      <c r="B319" s="18"/>
      <c r="C319" s="18"/>
      <c r="D319" s="7"/>
      <c r="E319" s="326"/>
      <c r="F319" s="1471" t="str">
        <f ca="1">Calculos!$BJ$4</f>
        <v>-</v>
      </c>
      <c r="G319" s="1471"/>
      <c r="H319" s="1471"/>
      <c r="I319" s="1471"/>
      <c r="J319" s="1472" t="s">
        <v>7103</v>
      </c>
      <c r="K319" s="1473"/>
      <c r="L319" s="1473"/>
      <c r="M319" s="1474"/>
      <c r="N319" s="188"/>
      <c r="O319" s="188"/>
      <c r="P319" s="330"/>
      <c r="Q319" s="330"/>
      <c r="R319" s="187">
        <v>0</v>
      </c>
      <c r="S319" s="331">
        <f>O319/2</f>
        <v>0</v>
      </c>
      <c r="U319" s="331" t="str">
        <f ca="1">Calculos!BO$298</f>
        <v>-</v>
      </c>
      <c r="V319" s="332"/>
      <c r="W319" s="1"/>
    </row>
    <row r="320" spans="1:23" ht="20.100000000000001" customHeight="1" x14ac:dyDescent="0.25">
      <c r="A320" s="18"/>
      <c r="B320" s="18"/>
      <c r="C320" s="18"/>
      <c r="D320" s="7"/>
      <c r="E320" s="326"/>
      <c r="F320" s="1471"/>
      <c r="G320" s="1471"/>
      <c r="H320" s="1471"/>
      <c r="I320" s="1471"/>
      <c r="J320" s="1286" t="s">
        <v>8027</v>
      </c>
      <c r="K320" s="1286"/>
      <c r="L320" s="1286"/>
      <c r="M320" s="1286"/>
      <c r="N320" s="188"/>
      <c r="O320" s="188"/>
      <c r="P320" s="330"/>
      <c r="Q320" s="330"/>
      <c r="R320" s="187"/>
      <c r="U320" s="331" t="str">
        <f ca="1">Calculos!BO$299</f>
        <v>-</v>
      </c>
      <c r="V320" s="332"/>
      <c r="W320" s="1"/>
    </row>
    <row r="321" spans="1:23" ht="20.100000000000001" customHeight="1" x14ac:dyDescent="0.25">
      <c r="A321" s="18"/>
      <c r="B321" s="18"/>
      <c r="C321" s="18"/>
      <c r="D321" s="7"/>
      <c r="E321" s="326"/>
      <c r="F321" s="1471"/>
      <c r="G321" s="1471"/>
      <c r="H321" s="1471"/>
      <c r="I321" s="1471"/>
      <c r="J321" s="1286"/>
      <c r="K321" s="1286"/>
      <c r="L321" s="1286"/>
      <c r="M321" s="1286"/>
      <c r="N321" s="188"/>
      <c r="O321" s="188"/>
      <c r="P321" s="330"/>
      <c r="Q321" s="330"/>
      <c r="R321" s="187"/>
      <c r="U321" s="331" t="str">
        <f ca="1">Calculos!BO$300</f>
        <v>-</v>
      </c>
      <c r="V321" s="332"/>
      <c r="W321" s="1"/>
    </row>
    <row r="322" spans="1:23" ht="20.100000000000001" customHeight="1" x14ac:dyDescent="0.25">
      <c r="A322" s="18"/>
      <c r="B322" s="18"/>
      <c r="C322" s="18"/>
      <c r="D322" s="7"/>
      <c r="E322" s="326"/>
      <c r="F322" s="1471"/>
      <c r="G322" s="1471"/>
      <c r="H322" s="1471"/>
      <c r="I322" s="1471"/>
      <c r="J322" s="1286"/>
      <c r="K322" s="1286"/>
      <c r="L322" s="1286"/>
      <c r="M322" s="1286"/>
      <c r="N322" s="188"/>
      <c r="O322" s="188"/>
      <c r="P322" s="330"/>
      <c r="Q322" s="330"/>
      <c r="R322" s="187"/>
      <c r="U322" s="331" t="str">
        <f ca="1">Calculos!BO$301</f>
        <v>-</v>
      </c>
      <c r="V322" s="332"/>
      <c r="W322" s="1"/>
    </row>
    <row r="323" spans="1:23" ht="20.100000000000001" customHeight="1" x14ac:dyDescent="0.25">
      <c r="A323" s="18"/>
      <c r="B323" s="18"/>
      <c r="C323" s="18"/>
      <c r="D323" s="7"/>
      <c r="E323" s="326"/>
      <c r="F323" s="1471"/>
      <c r="G323" s="1471"/>
      <c r="H323" s="1471"/>
      <c r="I323" s="1471"/>
      <c r="J323" s="1286"/>
      <c r="K323" s="1286"/>
      <c r="L323" s="1286"/>
      <c r="M323" s="1286"/>
      <c r="N323" s="188"/>
      <c r="O323" s="188"/>
      <c r="P323" s="330"/>
      <c r="Q323" s="330"/>
      <c r="R323" s="187"/>
      <c r="U323" s="331" t="str">
        <f ca="1">Calculos!BO$302</f>
        <v>-</v>
      </c>
      <c r="V323" s="332"/>
      <c r="W323" s="1"/>
    </row>
    <row r="324" spans="1:23" ht="20.100000000000001" customHeight="1" x14ac:dyDescent="0.25">
      <c r="A324" s="18"/>
      <c r="B324" s="18"/>
      <c r="C324" s="18"/>
      <c r="D324" s="7"/>
      <c r="E324" s="326"/>
      <c r="F324" s="1471"/>
      <c r="G324" s="1471"/>
      <c r="H324" s="1471"/>
      <c r="I324" s="1471"/>
      <c r="J324" s="1286"/>
      <c r="K324" s="1286"/>
      <c r="L324" s="1286"/>
      <c r="M324" s="1286"/>
      <c r="N324" s="188"/>
      <c r="O324" s="188"/>
      <c r="P324" s="330"/>
      <c r="Q324" s="330"/>
      <c r="R324" s="187"/>
      <c r="U324" s="331" t="str">
        <f ca="1">Calculos!BO$303</f>
        <v>-</v>
      </c>
      <c r="V324" s="332"/>
      <c r="W324" s="1"/>
    </row>
    <row r="325" spans="1:23" ht="20.100000000000001" customHeight="1" x14ac:dyDescent="0.25">
      <c r="A325" s="18"/>
      <c r="B325" s="18"/>
      <c r="C325" s="18"/>
      <c r="D325" s="7"/>
      <c r="E325" s="326"/>
      <c r="F325" s="1471"/>
      <c r="G325" s="1471"/>
      <c r="H325" s="1471"/>
      <c r="I325" s="1471"/>
      <c r="J325" s="1286"/>
      <c r="K325" s="1286"/>
      <c r="L325" s="1286"/>
      <c r="M325" s="1286"/>
      <c r="N325" s="188"/>
      <c r="O325" s="188"/>
      <c r="P325" s="330"/>
      <c r="Q325" s="330"/>
      <c r="R325" s="187"/>
      <c r="U325" s="331" t="str">
        <f ca="1">Calculos!BO$304</f>
        <v>-</v>
      </c>
      <c r="V325" s="332"/>
      <c r="W325" s="1"/>
    </row>
    <row r="326" spans="1:23" ht="20.100000000000001" customHeight="1" x14ac:dyDescent="0.25">
      <c r="A326" s="18"/>
      <c r="B326" s="18"/>
      <c r="C326" s="18"/>
      <c r="D326" s="7"/>
      <c r="E326" s="326"/>
      <c r="F326" s="1471"/>
      <c r="G326" s="1471"/>
      <c r="H326" s="1471"/>
      <c r="I326" s="1471"/>
      <c r="J326" s="1286"/>
      <c r="K326" s="1286"/>
      <c r="L326" s="1286"/>
      <c r="M326" s="1286"/>
      <c r="N326" s="188"/>
      <c r="O326" s="188"/>
      <c r="P326" s="330"/>
      <c r="Q326" s="330"/>
      <c r="R326" s="187"/>
      <c r="U326" s="331" t="str">
        <f ca="1">Calculos!BO$305</f>
        <v>-</v>
      </c>
      <c r="V326" s="332"/>
      <c r="W326" s="1"/>
    </row>
    <row r="327" spans="1:23" ht="20.100000000000001" customHeight="1" x14ac:dyDescent="0.25">
      <c r="A327" s="18"/>
      <c r="B327" s="18"/>
      <c r="C327" s="18"/>
      <c r="D327" s="7"/>
      <c r="E327" s="326"/>
      <c r="F327" s="1471"/>
      <c r="G327" s="1471"/>
      <c r="H327" s="1471"/>
      <c r="I327" s="1471"/>
      <c r="J327" s="1286"/>
      <c r="K327" s="1286"/>
      <c r="L327" s="1286"/>
      <c r="M327" s="1286"/>
      <c r="N327" s="188"/>
      <c r="O327" s="188"/>
      <c r="P327" s="330"/>
      <c r="Q327" s="330"/>
      <c r="R327" s="187"/>
      <c r="U327" s="331" t="str">
        <f ca="1">Calculos!BO$306</f>
        <v>-</v>
      </c>
      <c r="V327" s="332"/>
      <c r="W327" s="1"/>
    </row>
    <row r="328" spans="1:23" ht="20.100000000000001" customHeight="1" x14ac:dyDescent="0.25">
      <c r="A328" s="18"/>
      <c r="B328" s="18"/>
      <c r="C328" s="18"/>
      <c r="D328" s="7"/>
      <c r="E328" s="326"/>
      <c r="F328" s="1471"/>
      <c r="G328" s="1471"/>
      <c r="H328" s="1471"/>
      <c r="I328" s="1471"/>
      <c r="J328" s="1286"/>
      <c r="K328" s="1286"/>
      <c r="L328" s="1286"/>
      <c r="M328" s="1286"/>
      <c r="N328" s="188"/>
      <c r="O328" s="188"/>
      <c r="P328" s="330"/>
      <c r="Q328" s="330"/>
      <c r="R328" s="187"/>
      <c r="U328" s="331" t="str">
        <f ca="1">Calculos!BO$307</f>
        <v>-</v>
      </c>
      <c r="V328" s="332"/>
      <c r="W328" s="1"/>
    </row>
    <row r="329" spans="1:23" ht="20.100000000000001" customHeight="1" x14ac:dyDescent="0.25">
      <c r="A329" s="18"/>
      <c r="B329" s="18"/>
      <c r="C329" s="18"/>
      <c r="D329" s="7"/>
      <c r="E329" s="326"/>
      <c r="F329" s="1471"/>
      <c r="G329" s="1471"/>
      <c r="H329" s="1471"/>
      <c r="I329" s="1471"/>
      <c r="J329" s="1286"/>
      <c r="K329" s="1286"/>
      <c r="L329" s="1286"/>
      <c r="M329" s="1286"/>
      <c r="N329" s="188"/>
      <c r="O329" s="188"/>
      <c r="P329" s="330"/>
      <c r="Q329" s="330"/>
      <c r="R329" s="187"/>
      <c r="U329" s="331" t="str">
        <f ca="1">Calculos!BO$308</f>
        <v>-</v>
      </c>
      <c r="V329" s="332"/>
      <c r="W329" s="1"/>
    </row>
    <row r="330" spans="1:23" ht="20.100000000000001" customHeight="1" x14ac:dyDescent="0.25">
      <c r="A330" s="18"/>
      <c r="B330" s="18"/>
      <c r="C330" s="18"/>
      <c r="D330" s="7"/>
      <c r="E330" s="326"/>
      <c r="F330" s="1471"/>
      <c r="G330" s="1471"/>
      <c r="H330" s="1471"/>
      <c r="I330" s="1471"/>
      <c r="J330" s="1472" t="s">
        <v>80</v>
      </c>
      <c r="K330" s="1473"/>
      <c r="L330" s="1473"/>
      <c r="M330" s="1474"/>
      <c r="N330" s="188"/>
      <c r="O330" s="188"/>
      <c r="P330" s="330"/>
      <c r="Q330" s="330"/>
      <c r="R330" s="187" t="s">
        <v>10</v>
      </c>
      <c r="U330" s="331" t="str">
        <f ca="1">Calculos!BO$309</f>
        <v>-</v>
      </c>
      <c r="V330" s="332"/>
      <c r="W330" s="1"/>
    </row>
    <row r="331" spans="1:23" ht="20.100000000000001" hidden="1" customHeight="1" x14ac:dyDescent="0.25">
      <c r="A331" s="18"/>
      <c r="B331" s="18"/>
      <c r="C331" s="18"/>
      <c r="D331" s="7"/>
      <c r="E331" s="326"/>
      <c r="V331" s="332"/>
      <c r="W331" s="1"/>
    </row>
    <row r="332" spans="1:23" ht="20.100000000000001" hidden="1" customHeight="1" x14ac:dyDescent="0.25">
      <c r="A332" s="18"/>
      <c r="B332" s="18"/>
      <c r="C332" s="18"/>
      <c r="D332" s="7"/>
      <c r="E332" s="326"/>
      <c r="V332" s="332"/>
      <c r="W332" s="1"/>
    </row>
    <row r="333" spans="1:23" ht="20.100000000000001" hidden="1" customHeight="1" x14ac:dyDescent="0.25">
      <c r="A333" s="18"/>
      <c r="B333" s="18"/>
      <c r="C333" s="18"/>
      <c r="D333" s="7"/>
      <c r="E333" s="326"/>
      <c r="V333" s="332"/>
      <c r="W333" s="1"/>
    </row>
    <row r="334" spans="1:23" ht="20.100000000000001" customHeight="1" x14ac:dyDescent="0.25">
      <c r="A334" s="18"/>
      <c r="B334" s="18"/>
      <c r="C334" s="18"/>
      <c r="D334" s="7"/>
      <c r="E334" s="326"/>
      <c r="V334" s="332"/>
      <c r="W334" s="7"/>
    </row>
    <row r="335" spans="1:23" ht="39.950000000000003" customHeight="1" x14ac:dyDescent="0.25">
      <c r="A335" s="18"/>
      <c r="B335" s="18"/>
      <c r="C335" s="18"/>
      <c r="D335" s="7"/>
      <c r="E335" s="326"/>
      <c r="F335" s="1475" t="s">
        <v>8623</v>
      </c>
      <c r="G335" s="1476"/>
      <c r="H335" s="1476"/>
      <c r="I335" s="1476"/>
      <c r="J335" s="1476"/>
      <c r="K335" s="1476"/>
      <c r="L335" s="1476"/>
      <c r="M335" s="1476"/>
      <c r="N335" s="333" t="str">
        <f ca="1">"Concentração"&amp;" "&amp;Calculos!$BJ$3</f>
        <v>Concentração -</v>
      </c>
      <c r="O335" s="333" t="s">
        <v>6038</v>
      </c>
      <c r="P335" s="333" t="s">
        <v>8126</v>
      </c>
      <c r="Q335" s="333" t="s">
        <v>8028</v>
      </c>
      <c r="R335" s="333" t="s">
        <v>8603</v>
      </c>
      <c r="S335" s="333" t="s">
        <v>8127</v>
      </c>
      <c r="U335" s="328" t="s">
        <v>119</v>
      </c>
      <c r="V335" s="332"/>
      <c r="W335" s="1"/>
    </row>
    <row r="336" spans="1:23" ht="20.100000000000001" customHeight="1" x14ac:dyDescent="0.25">
      <c r="A336" s="18"/>
      <c r="B336" s="18"/>
      <c r="C336" s="18"/>
      <c r="D336" s="7"/>
      <c r="E336" s="326"/>
      <c r="F336" s="1471" t="str">
        <f ca="1">Calculos!$BJ$4</f>
        <v>-</v>
      </c>
      <c r="G336" s="1471"/>
      <c r="H336" s="1471"/>
      <c r="I336" s="1471"/>
      <c r="J336" s="1472" t="s">
        <v>7103</v>
      </c>
      <c r="K336" s="1473"/>
      <c r="L336" s="1473"/>
      <c r="M336" s="1474"/>
      <c r="N336" s="334"/>
      <c r="O336" s="334"/>
      <c r="P336" s="335"/>
      <c r="Q336" s="335"/>
      <c r="R336" s="335">
        <v>0</v>
      </c>
      <c r="S336" s="331">
        <f>O336/2</f>
        <v>0</v>
      </c>
      <c r="U336" s="331" t="str">
        <f ca="1">Calculos!BO$314</f>
        <v>-</v>
      </c>
      <c r="V336" s="332"/>
      <c r="W336" s="1"/>
    </row>
    <row r="337" spans="1:23" ht="20.100000000000001" customHeight="1" x14ac:dyDescent="0.25">
      <c r="A337" s="18"/>
      <c r="B337" s="18"/>
      <c r="C337" s="18"/>
      <c r="D337" s="7"/>
      <c r="E337" s="326"/>
      <c r="F337" s="1471"/>
      <c r="G337" s="1471"/>
      <c r="H337" s="1471"/>
      <c r="I337" s="1471"/>
      <c r="J337" s="1286" t="s">
        <v>8027</v>
      </c>
      <c r="K337" s="1286"/>
      <c r="L337" s="1286"/>
      <c r="M337" s="1286"/>
      <c r="N337" s="334"/>
      <c r="O337" s="334"/>
      <c r="P337" s="335"/>
      <c r="Q337" s="335"/>
      <c r="R337" s="335"/>
      <c r="U337" s="331" t="str">
        <f ca="1">Calculos!BO$315</f>
        <v>-</v>
      </c>
      <c r="V337" s="332"/>
      <c r="W337" s="1"/>
    </row>
    <row r="338" spans="1:23" ht="20.100000000000001" customHeight="1" x14ac:dyDescent="0.25">
      <c r="A338" s="18"/>
      <c r="B338" s="18"/>
      <c r="C338" s="18"/>
      <c r="D338" s="7"/>
      <c r="E338" s="326"/>
      <c r="F338" s="1471"/>
      <c r="G338" s="1471"/>
      <c r="H338" s="1471"/>
      <c r="I338" s="1471"/>
      <c r="J338" s="1286"/>
      <c r="K338" s="1286"/>
      <c r="L338" s="1286"/>
      <c r="M338" s="1286"/>
      <c r="N338" s="334"/>
      <c r="O338" s="334"/>
      <c r="P338" s="335"/>
      <c r="Q338" s="335"/>
      <c r="R338" s="335"/>
      <c r="U338" s="331" t="str">
        <f ca="1">Calculos!BO$316</f>
        <v>-</v>
      </c>
      <c r="V338" s="332"/>
      <c r="W338" s="1"/>
    </row>
    <row r="339" spans="1:23" ht="20.100000000000001" customHeight="1" x14ac:dyDescent="0.25">
      <c r="A339" s="18"/>
      <c r="B339" s="18"/>
      <c r="C339" s="18"/>
      <c r="D339" s="7"/>
      <c r="E339" s="326"/>
      <c r="F339" s="1471"/>
      <c r="G339" s="1471"/>
      <c r="H339" s="1471"/>
      <c r="I339" s="1471"/>
      <c r="J339" s="1286"/>
      <c r="K339" s="1286"/>
      <c r="L339" s="1286"/>
      <c r="M339" s="1286"/>
      <c r="N339" s="334"/>
      <c r="O339" s="334"/>
      <c r="P339" s="335"/>
      <c r="Q339" s="335"/>
      <c r="R339" s="335"/>
      <c r="U339" s="331" t="str">
        <f ca="1">Calculos!BO$317</f>
        <v>-</v>
      </c>
      <c r="V339" s="332"/>
      <c r="W339" s="1"/>
    </row>
    <row r="340" spans="1:23" ht="20.100000000000001" customHeight="1" x14ac:dyDescent="0.25">
      <c r="A340" s="18"/>
      <c r="B340" s="18"/>
      <c r="C340" s="18"/>
      <c r="D340" s="7"/>
      <c r="E340" s="326"/>
      <c r="F340" s="1471"/>
      <c r="G340" s="1471"/>
      <c r="H340" s="1471"/>
      <c r="I340" s="1471"/>
      <c r="J340" s="1286"/>
      <c r="K340" s="1286"/>
      <c r="L340" s="1286"/>
      <c r="M340" s="1286"/>
      <c r="N340" s="334"/>
      <c r="O340" s="334"/>
      <c r="P340" s="335"/>
      <c r="Q340" s="335"/>
      <c r="R340" s="335"/>
      <c r="U340" s="331" t="str">
        <f ca="1">Calculos!BO$318</f>
        <v>-</v>
      </c>
      <c r="V340" s="332"/>
      <c r="W340" s="1"/>
    </row>
    <row r="341" spans="1:23" ht="20.100000000000001" customHeight="1" x14ac:dyDescent="0.25">
      <c r="A341" s="18"/>
      <c r="B341" s="18"/>
      <c r="C341" s="18"/>
      <c r="D341" s="7"/>
      <c r="E341" s="326"/>
      <c r="F341" s="1471"/>
      <c r="G341" s="1471"/>
      <c r="H341" s="1471"/>
      <c r="I341" s="1471"/>
      <c r="J341" s="1286"/>
      <c r="K341" s="1286"/>
      <c r="L341" s="1286"/>
      <c r="M341" s="1286"/>
      <c r="N341" s="334"/>
      <c r="O341" s="334"/>
      <c r="P341" s="335"/>
      <c r="Q341" s="335"/>
      <c r="R341" s="335"/>
      <c r="U341" s="331" t="str">
        <f ca="1">Calculos!BO$319</f>
        <v>-</v>
      </c>
      <c r="V341" s="332"/>
      <c r="W341" s="1"/>
    </row>
    <row r="342" spans="1:23" ht="20.100000000000001" customHeight="1" x14ac:dyDescent="0.25">
      <c r="A342" s="18"/>
      <c r="B342" s="18"/>
      <c r="C342" s="18"/>
      <c r="D342" s="7"/>
      <c r="E342" s="326"/>
      <c r="F342" s="1471"/>
      <c r="G342" s="1471"/>
      <c r="H342" s="1471"/>
      <c r="I342" s="1471"/>
      <c r="J342" s="1286"/>
      <c r="K342" s="1286"/>
      <c r="L342" s="1286"/>
      <c r="M342" s="1286"/>
      <c r="N342" s="334"/>
      <c r="O342" s="334"/>
      <c r="P342" s="335"/>
      <c r="Q342" s="335"/>
      <c r="R342" s="335"/>
      <c r="U342" s="331" t="str">
        <f ca="1">Calculos!BO$320</f>
        <v>-</v>
      </c>
      <c r="V342" s="332"/>
      <c r="W342" s="1"/>
    </row>
    <row r="343" spans="1:23" ht="20.100000000000001" customHeight="1" x14ac:dyDescent="0.25">
      <c r="A343" s="18"/>
      <c r="B343" s="18"/>
      <c r="C343" s="18"/>
      <c r="D343" s="7"/>
      <c r="E343" s="326"/>
      <c r="F343" s="1471"/>
      <c r="G343" s="1471"/>
      <c r="H343" s="1471"/>
      <c r="I343" s="1471"/>
      <c r="J343" s="1286"/>
      <c r="K343" s="1286"/>
      <c r="L343" s="1286"/>
      <c r="M343" s="1286"/>
      <c r="N343" s="334"/>
      <c r="O343" s="334"/>
      <c r="P343" s="335"/>
      <c r="Q343" s="335"/>
      <c r="R343" s="335"/>
      <c r="U343" s="331" t="str">
        <f ca="1">Calculos!BO$321</f>
        <v>-</v>
      </c>
      <c r="V343" s="332"/>
      <c r="W343" s="1"/>
    </row>
    <row r="344" spans="1:23" ht="20.100000000000001" customHeight="1" x14ac:dyDescent="0.25">
      <c r="A344" s="18"/>
      <c r="B344" s="18"/>
      <c r="C344" s="18"/>
      <c r="D344" s="7"/>
      <c r="E344" s="326"/>
      <c r="F344" s="1471"/>
      <c r="G344" s="1471"/>
      <c r="H344" s="1471"/>
      <c r="I344" s="1471"/>
      <c r="J344" s="1286"/>
      <c r="K344" s="1286"/>
      <c r="L344" s="1286"/>
      <c r="M344" s="1286"/>
      <c r="N344" s="334"/>
      <c r="O344" s="334"/>
      <c r="P344" s="335"/>
      <c r="Q344" s="335"/>
      <c r="R344" s="335"/>
      <c r="U344" s="331" t="str">
        <f ca="1">Calculos!BO$322</f>
        <v>-</v>
      </c>
      <c r="V344" s="332"/>
      <c r="W344" s="1"/>
    </row>
    <row r="345" spans="1:23" ht="20.100000000000001" customHeight="1" x14ac:dyDescent="0.25">
      <c r="A345" s="18"/>
      <c r="B345" s="18"/>
      <c r="C345" s="18"/>
      <c r="D345" s="1"/>
      <c r="E345" s="326"/>
      <c r="F345" s="1471"/>
      <c r="G345" s="1471"/>
      <c r="H345" s="1471"/>
      <c r="I345" s="1471"/>
      <c r="J345" s="1286"/>
      <c r="K345" s="1286"/>
      <c r="L345" s="1286"/>
      <c r="M345" s="1286"/>
      <c r="N345" s="334"/>
      <c r="O345" s="334"/>
      <c r="P345" s="335"/>
      <c r="Q345" s="335"/>
      <c r="R345" s="335"/>
      <c r="U345" s="331" t="str">
        <f ca="1">Calculos!BO$323</f>
        <v>-</v>
      </c>
      <c r="V345" s="332"/>
      <c r="W345" s="1"/>
    </row>
    <row r="346" spans="1:23" ht="20.100000000000001" customHeight="1" x14ac:dyDescent="0.25">
      <c r="A346" s="18"/>
      <c r="B346" s="18"/>
      <c r="C346" s="18"/>
      <c r="D346" s="1"/>
      <c r="E346" s="326"/>
      <c r="F346" s="1471"/>
      <c r="G346" s="1471"/>
      <c r="H346" s="1471"/>
      <c r="I346" s="1471"/>
      <c r="J346" s="1286"/>
      <c r="K346" s="1286"/>
      <c r="L346" s="1286"/>
      <c r="M346" s="1286"/>
      <c r="N346" s="334"/>
      <c r="O346" s="334"/>
      <c r="P346" s="335"/>
      <c r="Q346" s="335"/>
      <c r="R346" s="335"/>
      <c r="U346" s="331" t="str">
        <f ca="1">Calculos!BO$324</f>
        <v>-</v>
      </c>
      <c r="V346" s="329"/>
      <c r="W346" s="1"/>
    </row>
    <row r="347" spans="1:23" ht="20.100000000000001" customHeight="1" x14ac:dyDescent="0.25">
      <c r="A347" s="18"/>
      <c r="B347" s="18"/>
      <c r="C347" s="18"/>
      <c r="D347" s="1"/>
      <c r="E347" s="326"/>
      <c r="F347" s="1471"/>
      <c r="G347" s="1471"/>
      <c r="H347" s="1471"/>
      <c r="I347" s="1471"/>
      <c r="J347" s="1472" t="s">
        <v>80</v>
      </c>
      <c r="K347" s="1473"/>
      <c r="L347" s="1473"/>
      <c r="M347" s="1474"/>
      <c r="N347" s="334"/>
      <c r="O347" s="334"/>
      <c r="P347" s="335"/>
      <c r="Q347" s="335"/>
      <c r="R347" s="335" t="s">
        <v>10</v>
      </c>
      <c r="U347" s="331" t="str">
        <f ca="1">Calculos!BO$325</f>
        <v>-</v>
      </c>
      <c r="V347" s="329"/>
      <c r="W347" s="1"/>
    </row>
    <row r="348" spans="1:23" ht="20.100000000000001" customHeight="1" x14ac:dyDescent="0.25">
      <c r="A348" s="18"/>
      <c r="B348" s="18"/>
      <c r="C348" s="18"/>
      <c r="D348" s="1"/>
      <c r="E348" s="336"/>
      <c r="F348" s="337"/>
      <c r="G348" s="337"/>
      <c r="H348" s="337"/>
      <c r="I348" s="337"/>
      <c r="J348" s="337"/>
      <c r="K348" s="337"/>
      <c r="L348" s="337"/>
      <c r="M348" s="337"/>
      <c r="N348" s="337"/>
      <c r="O348" s="337"/>
      <c r="P348" s="337"/>
      <c r="Q348" s="337"/>
      <c r="R348" s="337"/>
      <c r="S348" s="337"/>
      <c r="T348" s="337"/>
      <c r="U348" s="337"/>
      <c r="V348" s="338"/>
      <c r="W348" s="1"/>
    </row>
    <row r="349" spans="1:23" s="1" customFormat="1" ht="20.100000000000001" hidden="1" customHeight="1" x14ac:dyDescent="0.25">
      <c r="A349" s="18"/>
      <c r="B349" s="18"/>
      <c r="C349" s="18"/>
      <c r="E349" s="2"/>
      <c r="F349" s="2"/>
      <c r="G349" s="2"/>
      <c r="H349" s="2"/>
      <c r="I349" s="2"/>
      <c r="J349" s="2"/>
      <c r="K349" s="2"/>
      <c r="L349" s="2"/>
      <c r="M349" s="2"/>
      <c r="N349" s="2"/>
      <c r="O349" s="2"/>
      <c r="P349" s="2"/>
      <c r="Q349" s="2"/>
      <c r="R349" s="2"/>
      <c r="S349" s="2"/>
      <c r="T349" s="2"/>
      <c r="U349" s="2"/>
      <c r="V349" s="2"/>
    </row>
    <row r="350" spans="1:23" s="1" customFormat="1" ht="20.100000000000001" customHeight="1" x14ac:dyDescent="0.25">
      <c r="A350" s="18"/>
      <c r="B350" s="18"/>
      <c r="C350" s="18"/>
    </row>
    <row r="351" spans="1:23" s="1" customFormat="1" ht="20.100000000000001" customHeight="1" x14ac:dyDescent="0.25">
      <c r="A351" s="18"/>
      <c r="B351" s="18"/>
      <c r="C351" s="18"/>
    </row>
    <row r="352" spans="1:23" ht="20.100000000000001" customHeight="1" x14ac:dyDescent="0.25">
      <c r="A352" s="18"/>
      <c r="B352" s="18"/>
      <c r="C352" s="18"/>
      <c r="D352" s="1"/>
      <c r="E352" s="1"/>
      <c r="F352" s="1"/>
      <c r="G352" s="1"/>
      <c r="H352" s="1"/>
      <c r="I352" s="1"/>
      <c r="J352" s="1"/>
      <c r="K352" s="1"/>
      <c r="L352" s="1"/>
      <c r="M352" s="1"/>
      <c r="N352" s="1"/>
      <c r="O352" s="1"/>
      <c r="P352" s="1"/>
      <c r="Q352" s="1"/>
      <c r="R352" s="1"/>
      <c r="S352" s="1"/>
      <c r="T352" s="1"/>
      <c r="U352" s="1"/>
      <c r="V352" s="1"/>
      <c r="W352" s="1"/>
    </row>
    <row r="353" spans="1:29" s="343" customFormat="1" ht="50.1" customHeight="1" x14ac:dyDescent="0.25">
      <c r="D353" s="344"/>
      <c r="E353" s="344"/>
      <c r="F353" s="344"/>
      <c r="G353" s="344"/>
      <c r="H353" s="344"/>
      <c r="I353" s="344"/>
      <c r="J353" s="344"/>
      <c r="K353" s="344"/>
      <c r="L353" s="344"/>
      <c r="M353" s="344"/>
      <c r="N353" s="344"/>
      <c r="P353" s="345" t="s">
        <v>8029</v>
      </c>
      <c r="Q353" s="344"/>
      <c r="R353" s="344"/>
      <c r="S353" s="344"/>
      <c r="U353" s="344"/>
      <c r="V353" s="344"/>
      <c r="W353" s="344"/>
      <c r="X353" s="20"/>
      <c r="Y353" s="20"/>
      <c r="Z353" s="20"/>
      <c r="AA353" s="20"/>
      <c r="AB353" s="20"/>
      <c r="AC353" s="20"/>
    </row>
    <row r="354" spans="1:29" s="7" customFormat="1" ht="20.100000000000001" customHeight="1" x14ac:dyDescent="0.25">
      <c r="A354" s="18"/>
      <c r="B354" s="18"/>
      <c r="C354" s="18"/>
      <c r="X354" s="20"/>
      <c r="Y354" s="20"/>
      <c r="Z354" s="20"/>
      <c r="AA354" s="20"/>
      <c r="AB354" s="20"/>
      <c r="AC354" s="20"/>
    </row>
    <row r="355" spans="1:29" s="7" customFormat="1" ht="50.1" customHeight="1" x14ac:dyDescent="0.25">
      <c r="A355" s="18"/>
      <c r="B355" s="18"/>
      <c r="C355" s="18"/>
      <c r="E355" s="346"/>
      <c r="F355" s="346"/>
      <c r="G355" s="346"/>
      <c r="H355" s="346"/>
      <c r="I355" s="346"/>
      <c r="J355" s="346"/>
      <c r="K355" s="346"/>
      <c r="L355" s="346"/>
      <c r="M355" s="346"/>
      <c r="N355" s="346"/>
      <c r="O355" s="346"/>
      <c r="P355" s="347" t="s">
        <v>101</v>
      </c>
      <c r="Q355" s="346"/>
      <c r="R355" s="346"/>
      <c r="S355" s="346"/>
      <c r="T355" s="346"/>
      <c r="U355" s="346"/>
      <c r="V355" s="346"/>
      <c r="W355" s="346"/>
      <c r="X355" s="20"/>
      <c r="Y355" s="20"/>
      <c r="Z355" s="20"/>
      <c r="AA355" s="20"/>
      <c r="AB355" s="20"/>
      <c r="AC355" s="20"/>
    </row>
    <row r="356" spans="1:29" ht="20.100000000000001" customHeight="1" x14ac:dyDescent="0.25">
      <c r="A356" s="18"/>
      <c r="B356" s="18"/>
      <c r="C356" s="18"/>
      <c r="D356" s="7"/>
      <c r="E356" s="7"/>
      <c r="F356" s="1"/>
      <c r="G356" s="1"/>
      <c r="H356" s="1"/>
      <c r="I356" s="1"/>
      <c r="J356" s="1"/>
      <c r="K356" s="1"/>
      <c r="L356" s="1"/>
      <c r="M356" s="1"/>
      <c r="N356" s="316"/>
      <c r="O356" s="1"/>
      <c r="P356" s="1"/>
      <c r="Q356" s="1"/>
      <c r="R356" s="1"/>
      <c r="S356" s="1"/>
      <c r="T356" s="1"/>
      <c r="U356" s="1"/>
      <c r="V356" s="1"/>
      <c r="W356" s="1"/>
    </row>
    <row r="357" spans="1:29" ht="20.100000000000001" customHeight="1" x14ac:dyDescent="0.25">
      <c r="A357" s="18"/>
      <c r="B357" s="18"/>
      <c r="C357" s="18"/>
      <c r="D357" s="7"/>
      <c r="E357" s="321"/>
      <c r="F357" s="322"/>
      <c r="G357" s="323"/>
      <c r="H357" s="323"/>
      <c r="I357" s="323"/>
      <c r="J357" s="323"/>
      <c r="K357" s="323"/>
      <c r="L357" s="323"/>
      <c r="M357" s="323"/>
      <c r="N357" s="323"/>
      <c r="O357" s="323"/>
      <c r="P357" s="340"/>
      <c r="Q357" s="323"/>
      <c r="R357" s="323"/>
      <c r="S357" s="323"/>
      <c r="T357" s="339"/>
      <c r="U357" s="323"/>
      <c r="V357" s="325"/>
      <c r="W357" s="7"/>
    </row>
    <row r="358" spans="1:29" ht="45" customHeight="1" x14ac:dyDescent="0.25">
      <c r="A358" s="18"/>
      <c r="B358" s="18"/>
      <c r="C358" s="18"/>
      <c r="D358" s="7"/>
      <c r="E358" s="326"/>
      <c r="F358" s="1469" t="s">
        <v>8604</v>
      </c>
      <c r="G358" s="1470"/>
      <c r="H358" s="1470"/>
      <c r="I358" s="1470"/>
      <c r="J358" s="1470"/>
      <c r="K358" s="1470"/>
      <c r="L358" s="1470"/>
      <c r="M358" s="1470"/>
      <c r="N358" s="327" t="str">
        <f ca="1">"Concentração"&amp;" "&amp;Calculos!$BJ$3</f>
        <v>Concentração -</v>
      </c>
      <c r="O358" s="327" t="s">
        <v>6038</v>
      </c>
      <c r="P358" s="327" t="s">
        <v>8126</v>
      </c>
      <c r="Q358" s="327" t="s">
        <v>8028</v>
      </c>
      <c r="R358" s="327" t="s">
        <v>8603</v>
      </c>
      <c r="S358" s="327" t="s">
        <v>8127</v>
      </c>
      <c r="U358" s="328" t="s">
        <v>119</v>
      </c>
      <c r="V358" s="332"/>
      <c r="W358" s="1"/>
    </row>
    <row r="359" spans="1:29" ht="20.100000000000001" customHeight="1" x14ac:dyDescent="0.25">
      <c r="A359" s="18"/>
      <c r="B359" s="18"/>
      <c r="C359" s="18"/>
      <c r="D359" s="7"/>
      <c r="E359" s="326"/>
      <c r="F359" s="1471" t="str">
        <f ca="1">Calculos!$BJ$5</f>
        <v>-</v>
      </c>
      <c r="G359" s="1471"/>
      <c r="H359" s="1471"/>
      <c r="I359" s="1471"/>
      <c r="J359" s="1472" t="s">
        <v>7103</v>
      </c>
      <c r="K359" s="1473"/>
      <c r="L359" s="1473"/>
      <c r="M359" s="1474"/>
      <c r="N359" s="188"/>
      <c r="O359" s="188"/>
      <c r="P359" s="330"/>
      <c r="Q359" s="330"/>
      <c r="R359" s="187">
        <v>0</v>
      </c>
      <c r="S359" s="331">
        <f>O359/2</f>
        <v>0</v>
      </c>
      <c r="U359" s="331" t="str">
        <f ca="1">Calculos!BZ$10</f>
        <v>-</v>
      </c>
      <c r="V359" s="332"/>
      <c r="W359" s="1"/>
    </row>
    <row r="360" spans="1:29" ht="20.100000000000001" customHeight="1" x14ac:dyDescent="0.25">
      <c r="A360" s="18"/>
      <c r="B360" s="18"/>
      <c r="C360" s="18"/>
      <c r="D360" s="7"/>
      <c r="E360" s="326"/>
      <c r="F360" s="1471"/>
      <c r="G360" s="1471"/>
      <c r="H360" s="1471"/>
      <c r="I360" s="1471"/>
      <c r="J360" s="1286" t="s">
        <v>8027</v>
      </c>
      <c r="K360" s="1286"/>
      <c r="L360" s="1286"/>
      <c r="M360" s="1286"/>
      <c r="N360" s="188"/>
      <c r="O360" s="188"/>
      <c r="P360" s="330"/>
      <c r="Q360" s="330"/>
      <c r="R360" s="187"/>
      <c r="U360" s="331" t="str">
        <f ca="1">Calculos!BZ$11</f>
        <v>-</v>
      </c>
      <c r="V360" s="332"/>
      <c r="W360" s="1"/>
    </row>
    <row r="361" spans="1:29" ht="20.100000000000001" customHeight="1" x14ac:dyDescent="0.25">
      <c r="A361" s="18"/>
      <c r="B361" s="18"/>
      <c r="C361" s="18"/>
      <c r="D361" s="7"/>
      <c r="E361" s="326"/>
      <c r="F361" s="1471"/>
      <c r="G361" s="1471"/>
      <c r="H361" s="1471"/>
      <c r="I361" s="1471"/>
      <c r="J361" s="1286"/>
      <c r="K361" s="1286"/>
      <c r="L361" s="1286"/>
      <c r="M361" s="1286"/>
      <c r="N361" s="188"/>
      <c r="O361" s="188"/>
      <c r="P361" s="330"/>
      <c r="Q361" s="330"/>
      <c r="R361" s="187"/>
      <c r="U361" s="331" t="str">
        <f ca="1">Calculos!BZ$12</f>
        <v>-</v>
      </c>
      <c r="V361" s="332"/>
      <c r="W361" s="1"/>
    </row>
    <row r="362" spans="1:29" ht="20.100000000000001" customHeight="1" x14ac:dyDescent="0.25">
      <c r="A362" s="18"/>
      <c r="B362" s="18"/>
      <c r="C362" s="18"/>
      <c r="D362" s="7"/>
      <c r="E362" s="326"/>
      <c r="F362" s="1471"/>
      <c r="G362" s="1471"/>
      <c r="H362" s="1471"/>
      <c r="I362" s="1471"/>
      <c r="J362" s="1286"/>
      <c r="K362" s="1286"/>
      <c r="L362" s="1286"/>
      <c r="M362" s="1286"/>
      <c r="N362" s="188"/>
      <c r="O362" s="188"/>
      <c r="P362" s="330"/>
      <c r="Q362" s="330"/>
      <c r="R362" s="187"/>
      <c r="U362" s="331" t="str">
        <f ca="1">Calculos!BZ$13</f>
        <v>-</v>
      </c>
      <c r="V362" s="332"/>
      <c r="W362" s="1"/>
    </row>
    <row r="363" spans="1:29" ht="20.100000000000001" customHeight="1" x14ac:dyDescent="0.25">
      <c r="A363" s="18"/>
      <c r="B363" s="18"/>
      <c r="C363" s="18"/>
      <c r="D363" s="7"/>
      <c r="E363" s="326"/>
      <c r="F363" s="1471"/>
      <c r="G363" s="1471"/>
      <c r="H363" s="1471"/>
      <c r="I363" s="1471"/>
      <c r="J363" s="1286"/>
      <c r="K363" s="1286"/>
      <c r="L363" s="1286"/>
      <c r="M363" s="1286"/>
      <c r="N363" s="188"/>
      <c r="O363" s="188"/>
      <c r="P363" s="330"/>
      <c r="Q363" s="330"/>
      <c r="R363" s="187"/>
      <c r="U363" s="331" t="str">
        <f ca="1">Calculos!BZ$14</f>
        <v>-</v>
      </c>
      <c r="V363" s="332"/>
      <c r="W363" s="1"/>
    </row>
    <row r="364" spans="1:29" ht="20.100000000000001" customHeight="1" x14ac:dyDescent="0.25">
      <c r="A364" s="18"/>
      <c r="B364" s="18"/>
      <c r="C364" s="18"/>
      <c r="D364" s="7"/>
      <c r="E364" s="326"/>
      <c r="F364" s="1471"/>
      <c r="G364" s="1471"/>
      <c r="H364" s="1471"/>
      <c r="I364" s="1471"/>
      <c r="J364" s="1286"/>
      <c r="K364" s="1286"/>
      <c r="L364" s="1286"/>
      <c r="M364" s="1286"/>
      <c r="N364" s="188"/>
      <c r="O364" s="188"/>
      <c r="P364" s="330"/>
      <c r="Q364" s="330"/>
      <c r="R364" s="187"/>
      <c r="U364" s="331" t="str">
        <f ca="1">Calculos!BZ$15</f>
        <v>-</v>
      </c>
      <c r="V364" s="332"/>
      <c r="W364" s="1"/>
    </row>
    <row r="365" spans="1:29" ht="20.100000000000001" customHeight="1" x14ac:dyDescent="0.25">
      <c r="A365" s="18"/>
      <c r="B365" s="18"/>
      <c r="C365" s="18"/>
      <c r="D365" s="7"/>
      <c r="E365" s="326"/>
      <c r="F365" s="1471"/>
      <c r="G365" s="1471"/>
      <c r="H365" s="1471"/>
      <c r="I365" s="1471"/>
      <c r="J365" s="1286"/>
      <c r="K365" s="1286"/>
      <c r="L365" s="1286"/>
      <c r="M365" s="1286"/>
      <c r="N365" s="188"/>
      <c r="O365" s="188"/>
      <c r="P365" s="330"/>
      <c r="Q365" s="330"/>
      <c r="R365" s="187"/>
      <c r="U365" s="331" t="str">
        <f ca="1">Calculos!BZ$16</f>
        <v>-</v>
      </c>
      <c r="V365" s="332"/>
      <c r="W365" s="1"/>
    </row>
    <row r="366" spans="1:29" ht="20.100000000000001" customHeight="1" x14ac:dyDescent="0.25">
      <c r="A366" s="18"/>
      <c r="B366" s="18"/>
      <c r="C366" s="18"/>
      <c r="D366" s="7"/>
      <c r="E366" s="326"/>
      <c r="F366" s="1471"/>
      <c r="G366" s="1471"/>
      <c r="H366" s="1471"/>
      <c r="I366" s="1471"/>
      <c r="J366" s="1286"/>
      <c r="K366" s="1286"/>
      <c r="L366" s="1286"/>
      <c r="M366" s="1286"/>
      <c r="N366" s="188"/>
      <c r="O366" s="188"/>
      <c r="P366" s="330"/>
      <c r="Q366" s="330"/>
      <c r="R366" s="187"/>
      <c r="U366" s="331" t="str">
        <f ca="1">Calculos!BZ$17</f>
        <v>-</v>
      </c>
      <c r="V366" s="332"/>
      <c r="W366" s="1"/>
    </row>
    <row r="367" spans="1:29" ht="20.100000000000001" customHeight="1" x14ac:dyDescent="0.25">
      <c r="A367" s="18"/>
      <c r="B367" s="18"/>
      <c r="C367" s="18"/>
      <c r="D367" s="7"/>
      <c r="E367" s="326"/>
      <c r="F367" s="1471"/>
      <c r="G367" s="1471"/>
      <c r="H367" s="1471"/>
      <c r="I367" s="1471"/>
      <c r="J367" s="1286"/>
      <c r="K367" s="1286"/>
      <c r="L367" s="1286"/>
      <c r="M367" s="1286"/>
      <c r="N367" s="188"/>
      <c r="O367" s="188"/>
      <c r="P367" s="330"/>
      <c r="Q367" s="330"/>
      <c r="R367" s="187"/>
      <c r="U367" s="331" t="str">
        <f ca="1">Calculos!BZ$18</f>
        <v>-</v>
      </c>
      <c r="V367" s="332"/>
      <c r="W367" s="1"/>
    </row>
    <row r="368" spans="1:29" ht="20.100000000000001" customHeight="1" x14ac:dyDescent="0.25">
      <c r="A368" s="18"/>
      <c r="B368" s="18"/>
      <c r="C368" s="18"/>
      <c r="D368" s="7"/>
      <c r="E368" s="326"/>
      <c r="F368" s="1471"/>
      <c r="G368" s="1471"/>
      <c r="H368" s="1471"/>
      <c r="I368" s="1471"/>
      <c r="J368" s="1286"/>
      <c r="K368" s="1286"/>
      <c r="L368" s="1286"/>
      <c r="M368" s="1286"/>
      <c r="N368" s="188"/>
      <c r="O368" s="188"/>
      <c r="P368" s="330"/>
      <c r="Q368" s="330"/>
      <c r="R368" s="187"/>
      <c r="U368" s="331" t="str">
        <f ca="1">Calculos!BZ$19</f>
        <v>-</v>
      </c>
      <c r="V368" s="332"/>
      <c r="W368" s="1"/>
    </row>
    <row r="369" spans="1:23" ht="20.100000000000001" customHeight="1" x14ac:dyDescent="0.25">
      <c r="A369" s="18"/>
      <c r="B369" s="18"/>
      <c r="C369" s="18"/>
      <c r="D369" s="7"/>
      <c r="E369" s="326"/>
      <c r="F369" s="1471"/>
      <c r="G369" s="1471"/>
      <c r="H369" s="1471"/>
      <c r="I369" s="1471"/>
      <c r="J369" s="1286"/>
      <c r="K369" s="1286"/>
      <c r="L369" s="1286"/>
      <c r="M369" s="1286"/>
      <c r="N369" s="188"/>
      <c r="O369" s="188"/>
      <c r="P369" s="330"/>
      <c r="Q369" s="330"/>
      <c r="R369" s="187"/>
      <c r="U369" s="331" t="str">
        <f ca="1">Calculos!BZ$20</f>
        <v>-</v>
      </c>
      <c r="V369" s="332"/>
      <c r="W369" s="1"/>
    </row>
    <row r="370" spans="1:23" ht="20.100000000000001" customHeight="1" x14ac:dyDescent="0.25">
      <c r="A370" s="18"/>
      <c r="B370" s="18"/>
      <c r="C370" s="18"/>
      <c r="D370" s="7"/>
      <c r="E370" s="326"/>
      <c r="F370" s="1471"/>
      <c r="G370" s="1471"/>
      <c r="H370" s="1471"/>
      <c r="I370" s="1471"/>
      <c r="J370" s="1472" t="s">
        <v>80</v>
      </c>
      <c r="K370" s="1473"/>
      <c r="L370" s="1473"/>
      <c r="M370" s="1474"/>
      <c r="N370" s="188"/>
      <c r="O370" s="188"/>
      <c r="P370" s="330"/>
      <c r="Q370" s="330"/>
      <c r="R370" s="187" t="s">
        <v>10</v>
      </c>
      <c r="U370" s="331" t="str">
        <f ca="1">Calculos!BZ$21</f>
        <v>-</v>
      </c>
      <c r="V370" s="332"/>
      <c r="W370" s="1"/>
    </row>
    <row r="371" spans="1:23" ht="20.100000000000001" customHeight="1" x14ac:dyDescent="0.25">
      <c r="A371" s="18"/>
      <c r="B371" s="18"/>
      <c r="C371" s="18"/>
      <c r="D371" s="7"/>
      <c r="E371" s="326"/>
      <c r="V371" s="332"/>
      <c r="W371" s="1"/>
    </row>
    <row r="372" spans="1:23" ht="20.100000000000001" hidden="1" customHeight="1" x14ac:dyDescent="0.25">
      <c r="A372" s="18"/>
      <c r="B372" s="18"/>
      <c r="C372" s="18"/>
      <c r="D372" s="7"/>
      <c r="E372" s="326"/>
      <c r="V372" s="332"/>
      <c r="W372" s="1"/>
    </row>
    <row r="373" spans="1:23" ht="20.100000000000001" hidden="1" customHeight="1" x14ac:dyDescent="0.25">
      <c r="A373" s="18"/>
      <c r="B373" s="18"/>
      <c r="C373" s="18"/>
      <c r="D373" s="7"/>
      <c r="E373" s="326"/>
      <c r="V373" s="332"/>
      <c r="W373" s="1"/>
    </row>
    <row r="374" spans="1:23" ht="20.100000000000001" customHeight="1" x14ac:dyDescent="0.25">
      <c r="A374" s="18"/>
      <c r="B374" s="18"/>
      <c r="C374" s="18"/>
      <c r="D374" s="7"/>
      <c r="E374" s="326"/>
      <c r="V374" s="332"/>
      <c r="W374" s="1"/>
    </row>
    <row r="375" spans="1:23" ht="45" customHeight="1" x14ac:dyDescent="0.25">
      <c r="A375" s="18"/>
      <c r="B375" s="18"/>
      <c r="C375" s="18"/>
      <c r="D375" s="7"/>
      <c r="E375" s="326"/>
      <c r="F375" s="1475" t="s">
        <v>8605</v>
      </c>
      <c r="G375" s="1476"/>
      <c r="H375" s="1476"/>
      <c r="I375" s="1476"/>
      <c r="J375" s="1476"/>
      <c r="K375" s="1476"/>
      <c r="L375" s="1476"/>
      <c r="M375" s="1476"/>
      <c r="N375" s="333" t="str">
        <f ca="1">"Concentração"&amp;" "&amp;Calculos!$BJ$3</f>
        <v>Concentração -</v>
      </c>
      <c r="O375" s="333" t="s">
        <v>6038</v>
      </c>
      <c r="P375" s="333" t="s">
        <v>8126</v>
      </c>
      <c r="Q375" s="333" t="s">
        <v>8028</v>
      </c>
      <c r="R375" s="333" t="s">
        <v>8603</v>
      </c>
      <c r="S375" s="333" t="s">
        <v>8127</v>
      </c>
      <c r="U375" s="328" t="s">
        <v>119</v>
      </c>
      <c r="V375" s="332"/>
      <c r="W375" s="1"/>
    </row>
    <row r="376" spans="1:23" ht="20.100000000000001" customHeight="1" x14ac:dyDescent="0.25">
      <c r="A376" s="18"/>
      <c r="B376" s="18"/>
      <c r="C376" s="18"/>
      <c r="D376" s="7"/>
      <c r="E376" s="326"/>
      <c r="F376" s="1471" t="str">
        <f ca="1">Calculos!$BJ$5</f>
        <v>-</v>
      </c>
      <c r="G376" s="1471"/>
      <c r="H376" s="1471"/>
      <c r="I376" s="1471"/>
      <c r="J376" s="1472" t="s">
        <v>7103</v>
      </c>
      <c r="K376" s="1473"/>
      <c r="L376" s="1473"/>
      <c r="M376" s="1474"/>
      <c r="N376" s="334"/>
      <c r="O376" s="334"/>
      <c r="P376" s="335"/>
      <c r="Q376" s="335"/>
      <c r="R376" s="335">
        <v>0</v>
      </c>
      <c r="S376" s="331">
        <f>O376/2</f>
        <v>0</v>
      </c>
      <c r="U376" s="331" t="str">
        <f ca="1">Calculos!BZ$26</f>
        <v>-</v>
      </c>
      <c r="V376" s="332"/>
      <c r="W376" s="1"/>
    </row>
    <row r="377" spans="1:23" ht="20.100000000000001" customHeight="1" x14ac:dyDescent="0.25">
      <c r="A377" s="18"/>
      <c r="B377" s="18"/>
      <c r="C377" s="18"/>
      <c r="D377" s="7"/>
      <c r="E377" s="326"/>
      <c r="F377" s="1471"/>
      <c r="G377" s="1471"/>
      <c r="H377" s="1471"/>
      <c r="I377" s="1471"/>
      <c r="J377" s="1286" t="s">
        <v>8027</v>
      </c>
      <c r="K377" s="1286"/>
      <c r="L377" s="1286"/>
      <c r="M377" s="1286"/>
      <c r="N377" s="334"/>
      <c r="O377" s="334"/>
      <c r="P377" s="335"/>
      <c r="Q377" s="335"/>
      <c r="R377" s="335"/>
      <c r="U377" s="331" t="str">
        <f ca="1">Calculos!BZ$27</f>
        <v>-</v>
      </c>
      <c r="V377" s="332"/>
      <c r="W377" s="1"/>
    </row>
    <row r="378" spans="1:23" ht="20.100000000000001" customHeight="1" x14ac:dyDescent="0.25">
      <c r="A378" s="18"/>
      <c r="B378" s="18"/>
      <c r="C378" s="18"/>
      <c r="D378" s="7"/>
      <c r="E378" s="326"/>
      <c r="F378" s="1471"/>
      <c r="G378" s="1471"/>
      <c r="H378" s="1471"/>
      <c r="I378" s="1471"/>
      <c r="J378" s="1286"/>
      <c r="K378" s="1286"/>
      <c r="L378" s="1286"/>
      <c r="M378" s="1286"/>
      <c r="N378" s="334"/>
      <c r="O378" s="334"/>
      <c r="P378" s="335"/>
      <c r="Q378" s="335"/>
      <c r="R378" s="335"/>
      <c r="U378" s="331" t="str">
        <f ca="1">Calculos!BZ$28</f>
        <v>-</v>
      </c>
      <c r="V378" s="332"/>
      <c r="W378" s="1"/>
    </row>
    <row r="379" spans="1:23" ht="20.100000000000001" customHeight="1" x14ac:dyDescent="0.25">
      <c r="A379" s="18"/>
      <c r="B379" s="18"/>
      <c r="C379" s="18"/>
      <c r="D379" s="7"/>
      <c r="E379" s="326"/>
      <c r="F379" s="1471"/>
      <c r="G379" s="1471"/>
      <c r="H379" s="1471"/>
      <c r="I379" s="1471"/>
      <c r="J379" s="1286"/>
      <c r="K379" s="1286"/>
      <c r="L379" s="1286"/>
      <c r="M379" s="1286"/>
      <c r="N379" s="334"/>
      <c r="O379" s="334"/>
      <c r="P379" s="335"/>
      <c r="Q379" s="335"/>
      <c r="R379" s="335"/>
      <c r="U379" s="331" t="str">
        <f ca="1">Calculos!BZ$29</f>
        <v>-</v>
      </c>
      <c r="V379" s="332"/>
      <c r="W379" s="1"/>
    </row>
    <row r="380" spans="1:23" ht="20.100000000000001" customHeight="1" x14ac:dyDescent="0.25">
      <c r="A380" s="18"/>
      <c r="B380" s="18"/>
      <c r="C380" s="18"/>
      <c r="D380" s="7"/>
      <c r="E380" s="326"/>
      <c r="F380" s="1471"/>
      <c r="G380" s="1471"/>
      <c r="H380" s="1471"/>
      <c r="I380" s="1471"/>
      <c r="J380" s="1286"/>
      <c r="K380" s="1286"/>
      <c r="L380" s="1286"/>
      <c r="M380" s="1286"/>
      <c r="N380" s="334"/>
      <c r="O380" s="334"/>
      <c r="P380" s="335"/>
      <c r="Q380" s="335"/>
      <c r="R380" s="335"/>
      <c r="U380" s="331" t="str">
        <f ca="1">Calculos!BZ$30</f>
        <v>-</v>
      </c>
      <c r="V380" s="332"/>
      <c r="W380" s="1"/>
    </row>
    <row r="381" spans="1:23" ht="20.100000000000001" customHeight="1" x14ac:dyDescent="0.25">
      <c r="A381" s="18"/>
      <c r="B381" s="18"/>
      <c r="C381" s="18"/>
      <c r="D381" s="7"/>
      <c r="E381" s="326"/>
      <c r="F381" s="1471"/>
      <c r="G381" s="1471"/>
      <c r="H381" s="1471"/>
      <c r="I381" s="1471"/>
      <c r="J381" s="1286"/>
      <c r="K381" s="1286"/>
      <c r="L381" s="1286"/>
      <c r="M381" s="1286"/>
      <c r="N381" s="334"/>
      <c r="O381" s="334"/>
      <c r="P381" s="335"/>
      <c r="Q381" s="335"/>
      <c r="R381" s="335"/>
      <c r="U381" s="331" t="str">
        <f ca="1">Calculos!BZ$31</f>
        <v>-</v>
      </c>
      <c r="V381" s="332"/>
      <c r="W381" s="1"/>
    </row>
    <row r="382" spans="1:23" ht="20.100000000000001" customHeight="1" x14ac:dyDescent="0.25">
      <c r="A382" s="18"/>
      <c r="B382" s="18"/>
      <c r="C382" s="18"/>
      <c r="D382" s="7"/>
      <c r="E382" s="326"/>
      <c r="F382" s="1471"/>
      <c r="G382" s="1471"/>
      <c r="H382" s="1471"/>
      <c r="I382" s="1471"/>
      <c r="J382" s="1286"/>
      <c r="K382" s="1286"/>
      <c r="L382" s="1286"/>
      <c r="M382" s="1286"/>
      <c r="N382" s="334"/>
      <c r="O382" s="334"/>
      <c r="P382" s="335"/>
      <c r="Q382" s="335"/>
      <c r="R382" s="335"/>
      <c r="U382" s="331" t="str">
        <f ca="1">Calculos!BZ$32</f>
        <v>-</v>
      </c>
      <c r="V382" s="332"/>
      <c r="W382" s="1"/>
    </row>
    <row r="383" spans="1:23" ht="20.100000000000001" customHeight="1" x14ac:dyDescent="0.25">
      <c r="A383" s="18"/>
      <c r="B383" s="18"/>
      <c r="C383" s="18"/>
      <c r="D383" s="7"/>
      <c r="E383" s="326"/>
      <c r="F383" s="1471"/>
      <c r="G383" s="1471"/>
      <c r="H383" s="1471"/>
      <c r="I383" s="1471"/>
      <c r="J383" s="1286"/>
      <c r="K383" s="1286"/>
      <c r="L383" s="1286"/>
      <c r="M383" s="1286"/>
      <c r="N383" s="334"/>
      <c r="O383" s="334"/>
      <c r="P383" s="335"/>
      <c r="Q383" s="335"/>
      <c r="R383" s="335"/>
      <c r="U383" s="331" t="str">
        <f ca="1">Calculos!BZ$33</f>
        <v>-</v>
      </c>
      <c r="V383" s="332"/>
      <c r="W383" s="1"/>
    </row>
    <row r="384" spans="1:23" ht="20.100000000000001" customHeight="1" x14ac:dyDescent="0.25">
      <c r="A384" s="18"/>
      <c r="B384" s="18"/>
      <c r="C384" s="18"/>
      <c r="D384" s="7"/>
      <c r="E384" s="326"/>
      <c r="F384" s="1471"/>
      <c r="G384" s="1471"/>
      <c r="H384" s="1471"/>
      <c r="I384" s="1471"/>
      <c r="J384" s="1286"/>
      <c r="K384" s="1286"/>
      <c r="L384" s="1286"/>
      <c r="M384" s="1286"/>
      <c r="N384" s="334"/>
      <c r="O384" s="334"/>
      <c r="P384" s="335"/>
      <c r="Q384" s="335"/>
      <c r="R384" s="335"/>
      <c r="U384" s="331" t="str">
        <f ca="1">Calculos!BZ$34</f>
        <v>-</v>
      </c>
      <c r="V384" s="332"/>
      <c r="W384" s="1"/>
    </row>
    <row r="385" spans="1:23" ht="20.100000000000001" customHeight="1" x14ac:dyDescent="0.25">
      <c r="A385" s="18"/>
      <c r="B385" s="18"/>
      <c r="C385" s="18"/>
      <c r="D385" s="7"/>
      <c r="E385" s="326"/>
      <c r="F385" s="1471"/>
      <c r="G385" s="1471"/>
      <c r="H385" s="1471"/>
      <c r="I385" s="1471"/>
      <c r="J385" s="1286"/>
      <c r="K385" s="1286"/>
      <c r="L385" s="1286"/>
      <c r="M385" s="1286"/>
      <c r="N385" s="334"/>
      <c r="O385" s="334"/>
      <c r="P385" s="335"/>
      <c r="Q385" s="335"/>
      <c r="R385" s="335"/>
      <c r="U385" s="331" t="str">
        <f ca="1">Calculos!BZ$35</f>
        <v>-</v>
      </c>
      <c r="V385" s="332"/>
      <c r="W385" s="1"/>
    </row>
    <row r="386" spans="1:23" ht="20.100000000000001" customHeight="1" x14ac:dyDescent="0.25">
      <c r="A386" s="18"/>
      <c r="B386" s="18"/>
      <c r="C386" s="18"/>
      <c r="D386" s="7"/>
      <c r="E386" s="326"/>
      <c r="F386" s="1471"/>
      <c r="G386" s="1471"/>
      <c r="H386" s="1471"/>
      <c r="I386" s="1471"/>
      <c r="J386" s="1286"/>
      <c r="K386" s="1286"/>
      <c r="L386" s="1286"/>
      <c r="M386" s="1286"/>
      <c r="N386" s="334"/>
      <c r="O386" s="334"/>
      <c r="P386" s="335"/>
      <c r="Q386" s="335"/>
      <c r="R386" s="335"/>
      <c r="U386" s="331" t="str">
        <f ca="1">Calculos!BZ$36</f>
        <v>-</v>
      </c>
      <c r="V386" s="329"/>
      <c r="W386" s="1"/>
    </row>
    <row r="387" spans="1:23" ht="20.100000000000001" customHeight="1" x14ac:dyDescent="0.25">
      <c r="A387" s="18"/>
      <c r="B387" s="18"/>
      <c r="C387" s="18"/>
      <c r="D387" s="7"/>
      <c r="E387" s="326"/>
      <c r="F387" s="1471"/>
      <c r="G387" s="1471"/>
      <c r="H387" s="1471"/>
      <c r="I387" s="1471"/>
      <c r="J387" s="1472" t="s">
        <v>80</v>
      </c>
      <c r="K387" s="1473"/>
      <c r="L387" s="1473"/>
      <c r="M387" s="1474"/>
      <c r="N387" s="334"/>
      <c r="O387" s="334"/>
      <c r="P387" s="335"/>
      <c r="Q387" s="335"/>
      <c r="R387" s="335" t="s">
        <v>10</v>
      </c>
      <c r="U387" s="331" t="str">
        <f ca="1">Calculos!BZ$37</f>
        <v>-</v>
      </c>
      <c r="V387" s="329"/>
      <c r="W387" s="1"/>
    </row>
    <row r="388" spans="1:23" ht="20.100000000000001" hidden="1" customHeight="1" x14ac:dyDescent="0.25">
      <c r="A388" s="18"/>
      <c r="B388" s="18"/>
      <c r="C388" s="18"/>
      <c r="D388" s="7"/>
      <c r="E388" s="326"/>
      <c r="V388" s="329"/>
      <c r="W388" s="1"/>
    </row>
    <row r="389" spans="1:23" ht="20.100000000000001" customHeight="1" x14ac:dyDescent="0.25">
      <c r="A389" s="18"/>
      <c r="B389" s="18"/>
      <c r="C389" s="18"/>
      <c r="D389" s="7"/>
      <c r="E389" s="336"/>
      <c r="F389" s="337"/>
      <c r="G389" s="337"/>
      <c r="H389" s="337"/>
      <c r="I389" s="337"/>
      <c r="J389" s="337"/>
      <c r="K389" s="337"/>
      <c r="L389" s="337"/>
      <c r="M389" s="337"/>
      <c r="N389" s="337"/>
      <c r="O389" s="337"/>
      <c r="P389" s="337"/>
      <c r="Q389" s="337"/>
      <c r="R389" s="337"/>
      <c r="S389" s="337"/>
      <c r="T389" s="337"/>
      <c r="U389" s="337"/>
      <c r="V389" s="338"/>
      <c r="W389" s="1"/>
    </row>
    <row r="390" spans="1:23" ht="30" customHeight="1" x14ac:dyDescent="0.25">
      <c r="A390" s="18"/>
      <c r="B390" s="18"/>
      <c r="C390" s="18"/>
      <c r="D390" s="7"/>
      <c r="E390" s="7"/>
      <c r="F390" s="1"/>
      <c r="G390" s="1"/>
      <c r="H390" s="1"/>
      <c r="I390" s="1"/>
      <c r="J390" s="1"/>
      <c r="K390" s="1"/>
      <c r="L390" s="1"/>
      <c r="M390" s="1"/>
      <c r="N390" s="1"/>
      <c r="O390" s="1"/>
      <c r="P390" s="1"/>
      <c r="Q390" s="1"/>
      <c r="R390" s="1"/>
      <c r="S390" s="1"/>
      <c r="T390" s="1"/>
      <c r="U390" s="1"/>
      <c r="V390" s="1"/>
      <c r="W390" s="1"/>
    </row>
    <row r="391" spans="1:23" ht="20.100000000000001" customHeight="1" x14ac:dyDescent="0.25">
      <c r="A391" s="18"/>
      <c r="B391" s="18"/>
      <c r="C391" s="18"/>
      <c r="D391" s="7"/>
      <c r="E391" s="321"/>
      <c r="F391" s="322"/>
      <c r="G391" s="323"/>
      <c r="H391" s="323"/>
      <c r="I391" s="323"/>
      <c r="J391" s="323"/>
      <c r="K391" s="323"/>
      <c r="L391" s="323"/>
      <c r="M391" s="323"/>
      <c r="N391" s="323"/>
      <c r="O391" s="323"/>
      <c r="P391" s="323"/>
      <c r="Q391" s="323"/>
      <c r="R391" s="323"/>
      <c r="S391" s="339"/>
      <c r="T391" s="339"/>
      <c r="U391" s="340"/>
      <c r="V391" s="325"/>
      <c r="W391" s="7"/>
    </row>
    <row r="392" spans="1:23" ht="45" customHeight="1" x14ac:dyDescent="0.25">
      <c r="A392" s="18"/>
      <c r="B392" s="18"/>
      <c r="C392" s="18"/>
      <c r="D392" s="7"/>
      <c r="E392" s="326"/>
      <c r="F392" s="1469" t="s">
        <v>8606</v>
      </c>
      <c r="G392" s="1470"/>
      <c r="H392" s="1470"/>
      <c r="I392" s="1470"/>
      <c r="J392" s="1470"/>
      <c r="K392" s="1470"/>
      <c r="L392" s="1470"/>
      <c r="M392" s="1470"/>
      <c r="N392" s="327" t="str">
        <f ca="1">"Concentração"&amp;" "&amp;Calculos!$BJ$3</f>
        <v>Concentração -</v>
      </c>
      <c r="O392" s="327" t="s">
        <v>6038</v>
      </c>
      <c r="P392" s="327" t="s">
        <v>8126</v>
      </c>
      <c r="Q392" s="327" t="s">
        <v>8028</v>
      </c>
      <c r="R392" s="327" t="s">
        <v>8603</v>
      </c>
      <c r="S392" s="327" t="s">
        <v>8127</v>
      </c>
      <c r="U392" s="328" t="s">
        <v>119</v>
      </c>
      <c r="V392" s="332"/>
      <c r="W392" s="1"/>
    </row>
    <row r="393" spans="1:23" ht="20.100000000000001" customHeight="1" x14ac:dyDescent="0.25">
      <c r="A393" s="18"/>
      <c r="B393" s="18"/>
      <c r="C393" s="18"/>
      <c r="D393" s="7"/>
      <c r="E393" s="326"/>
      <c r="F393" s="1471" t="str">
        <f ca="1">Calculos!$BJ$5</f>
        <v>-</v>
      </c>
      <c r="G393" s="1471"/>
      <c r="H393" s="1471"/>
      <c r="I393" s="1471"/>
      <c r="J393" s="1472" t="s">
        <v>7103</v>
      </c>
      <c r="K393" s="1473"/>
      <c r="L393" s="1473"/>
      <c r="M393" s="1474"/>
      <c r="N393" s="188"/>
      <c r="O393" s="188"/>
      <c r="P393" s="330"/>
      <c r="Q393" s="330"/>
      <c r="R393" s="187">
        <v>0</v>
      </c>
      <c r="S393" s="331">
        <f>O393/2</f>
        <v>0</v>
      </c>
      <c r="U393" s="331" t="str">
        <f ca="1">Calculos!BZ$42</f>
        <v>-</v>
      </c>
      <c r="V393" s="332"/>
      <c r="W393" s="1"/>
    </row>
    <row r="394" spans="1:23" ht="20.100000000000001" customHeight="1" x14ac:dyDescent="0.25">
      <c r="A394" s="18"/>
      <c r="B394" s="18"/>
      <c r="C394" s="18"/>
      <c r="D394" s="7"/>
      <c r="E394" s="326"/>
      <c r="F394" s="1471"/>
      <c r="G394" s="1471"/>
      <c r="H394" s="1471"/>
      <c r="I394" s="1471"/>
      <c r="J394" s="1286" t="s">
        <v>8027</v>
      </c>
      <c r="K394" s="1286"/>
      <c r="L394" s="1286"/>
      <c r="M394" s="1286"/>
      <c r="N394" s="188"/>
      <c r="O394" s="188"/>
      <c r="P394" s="330"/>
      <c r="Q394" s="330"/>
      <c r="R394" s="187"/>
      <c r="U394" s="331" t="str">
        <f ca="1">Calculos!BZ$43</f>
        <v>-</v>
      </c>
      <c r="V394" s="332"/>
      <c r="W394" s="1"/>
    </row>
    <row r="395" spans="1:23" ht="20.100000000000001" customHeight="1" x14ac:dyDescent="0.25">
      <c r="A395" s="18"/>
      <c r="B395" s="18"/>
      <c r="C395" s="18"/>
      <c r="D395" s="7"/>
      <c r="E395" s="326"/>
      <c r="F395" s="1471"/>
      <c r="G395" s="1471"/>
      <c r="H395" s="1471"/>
      <c r="I395" s="1471"/>
      <c r="J395" s="1286"/>
      <c r="K395" s="1286"/>
      <c r="L395" s="1286"/>
      <c r="M395" s="1286"/>
      <c r="N395" s="188"/>
      <c r="O395" s="188"/>
      <c r="P395" s="330"/>
      <c r="Q395" s="330"/>
      <c r="R395" s="187"/>
      <c r="U395" s="331" t="str">
        <f ca="1">Calculos!BZ$44</f>
        <v>-</v>
      </c>
      <c r="V395" s="332"/>
      <c r="W395" s="1"/>
    </row>
    <row r="396" spans="1:23" ht="20.100000000000001" customHeight="1" x14ac:dyDescent="0.25">
      <c r="A396" s="18"/>
      <c r="B396" s="18"/>
      <c r="C396" s="18"/>
      <c r="D396" s="7"/>
      <c r="E396" s="326"/>
      <c r="F396" s="1471"/>
      <c r="G396" s="1471"/>
      <c r="H396" s="1471"/>
      <c r="I396" s="1471"/>
      <c r="J396" s="1286"/>
      <c r="K396" s="1286"/>
      <c r="L396" s="1286"/>
      <c r="M396" s="1286"/>
      <c r="N396" s="188"/>
      <c r="O396" s="188"/>
      <c r="P396" s="330"/>
      <c r="Q396" s="330"/>
      <c r="R396" s="187"/>
      <c r="U396" s="331" t="str">
        <f ca="1">Calculos!BZ$45</f>
        <v>-</v>
      </c>
      <c r="V396" s="332"/>
      <c r="W396" s="1"/>
    </row>
    <row r="397" spans="1:23" ht="20.100000000000001" customHeight="1" x14ac:dyDescent="0.25">
      <c r="A397" s="18"/>
      <c r="B397" s="18"/>
      <c r="C397" s="18"/>
      <c r="D397" s="7"/>
      <c r="E397" s="326"/>
      <c r="F397" s="1471"/>
      <c r="G397" s="1471"/>
      <c r="H397" s="1471"/>
      <c r="I397" s="1471"/>
      <c r="J397" s="1286"/>
      <c r="K397" s="1286"/>
      <c r="L397" s="1286"/>
      <c r="M397" s="1286"/>
      <c r="N397" s="188"/>
      <c r="O397" s="188"/>
      <c r="P397" s="330"/>
      <c r="Q397" s="330"/>
      <c r="R397" s="187"/>
      <c r="U397" s="331" t="str">
        <f ca="1">Calculos!BZ$46</f>
        <v>-</v>
      </c>
      <c r="V397" s="332"/>
      <c r="W397" s="1"/>
    </row>
    <row r="398" spans="1:23" ht="20.100000000000001" customHeight="1" x14ac:dyDescent="0.25">
      <c r="A398" s="18"/>
      <c r="B398" s="18"/>
      <c r="C398" s="18"/>
      <c r="D398" s="7"/>
      <c r="E398" s="326"/>
      <c r="F398" s="1471"/>
      <c r="G398" s="1471"/>
      <c r="H398" s="1471"/>
      <c r="I398" s="1471"/>
      <c r="J398" s="1286"/>
      <c r="K398" s="1286"/>
      <c r="L398" s="1286"/>
      <c r="M398" s="1286"/>
      <c r="N398" s="188"/>
      <c r="O398" s="188"/>
      <c r="P398" s="330"/>
      <c r="Q398" s="330"/>
      <c r="R398" s="187"/>
      <c r="U398" s="331" t="str">
        <f ca="1">Calculos!BZ$47</f>
        <v>-</v>
      </c>
      <c r="V398" s="332"/>
      <c r="W398" s="1"/>
    </row>
    <row r="399" spans="1:23" ht="20.100000000000001" customHeight="1" x14ac:dyDescent="0.25">
      <c r="A399" s="18"/>
      <c r="B399" s="18"/>
      <c r="C399" s="18"/>
      <c r="D399" s="7"/>
      <c r="E399" s="326"/>
      <c r="F399" s="1471"/>
      <c r="G399" s="1471"/>
      <c r="H399" s="1471"/>
      <c r="I399" s="1471"/>
      <c r="J399" s="1286"/>
      <c r="K399" s="1286"/>
      <c r="L399" s="1286"/>
      <c r="M399" s="1286"/>
      <c r="N399" s="188"/>
      <c r="O399" s="188"/>
      <c r="P399" s="330"/>
      <c r="Q399" s="330"/>
      <c r="R399" s="187"/>
      <c r="U399" s="331" t="str">
        <f ca="1">Calculos!BZ$48</f>
        <v>-</v>
      </c>
      <c r="V399" s="332"/>
      <c r="W399" s="1"/>
    </row>
    <row r="400" spans="1:23" ht="20.100000000000001" customHeight="1" x14ac:dyDescent="0.25">
      <c r="A400" s="18"/>
      <c r="B400" s="18"/>
      <c r="C400" s="18"/>
      <c r="D400" s="7"/>
      <c r="E400" s="326"/>
      <c r="F400" s="1471"/>
      <c r="G400" s="1471"/>
      <c r="H400" s="1471"/>
      <c r="I400" s="1471"/>
      <c r="J400" s="1286"/>
      <c r="K400" s="1286"/>
      <c r="L400" s="1286"/>
      <c r="M400" s="1286"/>
      <c r="N400" s="188"/>
      <c r="O400" s="188"/>
      <c r="P400" s="330"/>
      <c r="Q400" s="330"/>
      <c r="R400" s="187"/>
      <c r="U400" s="331" t="str">
        <f ca="1">Calculos!BZ$49</f>
        <v>-</v>
      </c>
      <c r="V400" s="332"/>
      <c r="W400" s="1"/>
    </row>
    <row r="401" spans="1:23" ht="20.100000000000001" customHeight="1" x14ac:dyDescent="0.25">
      <c r="A401" s="18"/>
      <c r="B401" s="18"/>
      <c r="C401" s="18"/>
      <c r="D401" s="7"/>
      <c r="E401" s="326"/>
      <c r="F401" s="1471"/>
      <c r="G401" s="1471"/>
      <c r="H401" s="1471"/>
      <c r="I401" s="1471"/>
      <c r="J401" s="1286"/>
      <c r="K401" s="1286"/>
      <c r="L401" s="1286"/>
      <c r="M401" s="1286"/>
      <c r="N401" s="188"/>
      <c r="O401" s="188"/>
      <c r="P401" s="330"/>
      <c r="Q401" s="330"/>
      <c r="R401" s="187"/>
      <c r="U401" s="331" t="str">
        <f ca="1">Calculos!BZ$50</f>
        <v>-</v>
      </c>
      <c r="V401" s="332"/>
      <c r="W401" s="1"/>
    </row>
    <row r="402" spans="1:23" ht="20.100000000000001" customHeight="1" x14ac:dyDescent="0.25">
      <c r="A402" s="18"/>
      <c r="B402" s="18"/>
      <c r="C402" s="18"/>
      <c r="D402" s="7"/>
      <c r="E402" s="326"/>
      <c r="F402" s="1471"/>
      <c r="G402" s="1471"/>
      <c r="H402" s="1471"/>
      <c r="I402" s="1471"/>
      <c r="J402" s="1286"/>
      <c r="K402" s="1286"/>
      <c r="L402" s="1286"/>
      <c r="M402" s="1286"/>
      <c r="N402" s="188"/>
      <c r="O402" s="188"/>
      <c r="P402" s="330"/>
      <c r="Q402" s="330"/>
      <c r="R402" s="187"/>
      <c r="U402" s="331" t="str">
        <f ca="1">Calculos!BZ$51</f>
        <v>-</v>
      </c>
      <c r="V402" s="332"/>
      <c r="W402" s="1"/>
    </row>
    <row r="403" spans="1:23" ht="20.100000000000001" customHeight="1" x14ac:dyDescent="0.25">
      <c r="A403" s="18"/>
      <c r="B403" s="18"/>
      <c r="C403" s="18"/>
      <c r="D403" s="7"/>
      <c r="E403" s="326"/>
      <c r="F403" s="1471"/>
      <c r="G403" s="1471"/>
      <c r="H403" s="1471"/>
      <c r="I403" s="1471"/>
      <c r="J403" s="1286"/>
      <c r="K403" s="1286"/>
      <c r="L403" s="1286"/>
      <c r="M403" s="1286"/>
      <c r="N403" s="188"/>
      <c r="O403" s="188"/>
      <c r="P403" s="330"/>
      <c r="Q403" s="330"/>
      <c r="R403" s="187"/>
      <c r="U403" s="331" t="str">
        <f ca="1">Calculos!BZ$52</f>
        <v>-</v>
      </c>
      <c r="V403" s="332"/>
      <c r="W403" s="1"/>
    </row>
    <row r="404" spans="1:23" ht="20.100000000000001" customHeight="1" x14ac:dyDescent="0.25">
      <c r="A404" s="18"/>
      <c r="B404" s="18"/>
      <c r="C404" s="18"/>
      <c r="D404" s="7"/>
      <c r="E404" s="326"/>
      <c r="F404" s="1471"/>
      <c r="G404" s="1471"/>
      <c r="H404" s="1471"/>
      <c r="I404" s="1471"/>
      <c r="J404" s="1472" t="s">
        <v>80</v>
      </c>
      <c r="K404" s="1473"/>
      <c r="L404" s="1473"/>
      <c r="M404" s="1474"/>
      <c r="N404" s="188"/>
      <c r="O404" s="188"/>
      <c r="P404" s="330"/>
      <c r="Q404" s="330"/>
      <c r="R404" s="187" t="s">
        <v>10</v>
      </c>
      <c r="U404" s="331" t="str">
        <f ca="1">Calculos!BZ$53</f>
        <v>-</v>
      </c>
      <c r="V404" s="332"/>
      <c r="W404" s="1"/>
    </row>
    <row r="405" spans="1:23" ht="20.100000000000001" customHeight="1" x14ac:dyDescent="0.25">
      <c r="A405" s="18"/>
      <c r="B405" s="18"/>
      <c r="C405" s="18"/>
      <c r="D405" s="7"/>
      <c r="E405" s="326"/>
      <c r="V405" s="332"/>
      <c r="W405" s="1"/>
    </row>
    <row r="406" spans="1:23" ht="20.100000000000001" hidden="1" customHeight="1" x14ac:dyDescent="0.25">
      <c r="A406" s="18"/>
      <c r="B406" s="18"/>
      <c r="C406" s="18"/>
      <c r="D406" s="7"/>
      <c r="E406" s="326"/>
      <c r="V406" s="332"/>
      <c r="W406" s="1"/>
    </row>
    <row r="407" spans="1:23" ht="20.100000000000001" hidden="1" customHeight="1" x14ac:dyDescent="0.25">
      <c r="A407" s="18"/>
      <c r="B407" s="18"/>
      <c r="C407" s="18"/>
      <c r="D407" s="7"/>
      <c r="E407" s="326"/>
      <c r="V407" s="332"/>
      <c r="W407" s="1"/>
    </row>
    <row r="408" spans="1:23" ht="20.100000000000001" customHeight="1" x14ac:dyDescent="0.25">
      <c r="A408" s="18"/>
      <c r="B408" s="18"/>
      <c r="C408" s="18"/>
      <c r="D408" s="7"/>
      <c r="E408" s="326"/>
      <c r="V408" s="332"/>
      <c r="W408" s="1"/>
    </row>
    <row r="409" spans="1:23" ht="45" customHeight="1" x14ac:dyDescent="0.25">
      <c r="A409" s="18"/>
      <c r="B409" s="18"/>
      <c r="C409" s="18"/>
      <c r="D409" s="7"/>
      <c r="E409" s="326"/>
      <c r="F409" s="1475" t="s">
        <v>8615</v>
      </c>
      <c r="G409" s="1476"/>
      <c r="H409" s="1476"/>
      <c r="I409" s="1476"/>
      <c r="J409" s="1476"/>
      <c r="K409" s="1476"/>
      <c r="L409" s="1476"/>
      <c r="M409" s="1476"/>
      <c r="N409" s="333" t="str">
        <f ca="1">"Concentração"&amp;" "&amp;Calculos!$BJ$3</f>
        <v>Concentração -</v>
      </c>
      <c r="O409" s="333" t="s">
        <v>6038</v>
      </c>
      <c r="P409" s="333" t="s">
        <v>8126</v>
      </c>
      <c r="Q409" s="333" t="s">
        <v>8028</v>
      </c>
      <c r="R409" s="333" t="s">
        <v>8603</v>
      </c>
      <c r="S409" s="333" t="s">
        <v>8127</v>
      </c>
      <c r="U409" s="328" t="s">
        <v>119</v>
      </c>
      <c r="V409" s="332"/>
      <c r="W409" s="1"/>
    </row>
    <row r="410" spans="1:23" ht="20.100000000000001" customHeight="1" x14ac:dyDescent="0.25">
      <c r="A410" s="18"/>
      <c r="B410" s="18"/>
      <c r="C410" s="18"/>
      <c r="D410" s="7"/>
      <c r="E410" s="326"/>
      <c r="F410" s="1471" t="str">
        <f ca="1">Calculos!$BJ$5</f>
        <v>-</v>
      </c>
      <c r="G410" s="1471"/>
      <c r="H410" s="1471"/>
      <c r="I410" s="1471"/>
      <c r="J410" s="1472" t="s">
        <v>7103</v>
      </c>
      <c r="K410" s="1473"/>
      <c r="L410" s="1473"/>
      <c r="M410" s="1474"/>
      <c r="N410" s="334"/>
      <c r="O410" s="334"/>
      <c r="P410" s="335"/>
      <c r="Q410" s="335"/>
      <c r="R410" s="335">
        <v>0</v>
      </c>
      <c r="S410" s="331">
        <f>O410/2</f>
        <v>0</v>
      </c>
      <c r="U410" s="331" t="str">
        <f ca="1">Calculos!BZ$58</f>
        <v>-</v>
      </c>
      <c r="V410" s="332"/>
      <c r="W410" s="1"/>
    </row>
    <row r="411" spans="1:23" ht="20.100000000000001" customHeight="1" x14ac:dyDescent="0.25">
      <c r="A411" s="18"/>
      <c r="B411" s="18"/>
      <c r="C411" s="18"/>
      <c r="D411" s="7"/>
      <c r="E411" s="326"/>
      <c r="F411" s="1471"/>
      <c r="G411" s="1471"/>
      <c r="H411" s="1471"/>
      <c r="I411" s="1471"/>
      <c r="J411" s="1286" t="s">
        <v>8027</v>
      </c>
      <c r="K411" s="1286"/>
      <c r="L411" s="1286"/>
      <c r="M411" s="1286"/>
      <c r="N411" s="334"/>
      <c r="O411" s="334"/>
      <c r="P411" s="335"/>
      <c r="Q411" s="335"/>
      <c r="R411" s="335"/>
      <c r="U411" s="331" t="str">
        <f ca="1">Calculos!BZ$59</f>
        <v>-</v>
      </c>
      <c r="V411" s="332"/>
      <c r="W411" s="1"/>
    </row>
    <row r="412" spans="1:23" ht="20.100000000000001" customHeight="1" x14ac:dyDescent="0.25">
      <c r="A412" s="18"/>
      <c r="B412" s="18"/>
      <c r="C412" s="18"/>
      <c r="D412" s="7"/>
      <c r="E412" s="326"/>
      <c r="F412" s="1471"/>
      <c r="G412" s="1471"/>
      <c r="H412" s="1471"/>
      <c r="I412" s="1471"/>
      <c r="J412" s="1286"/>
      <c r="K412" s="1286"/>
      <c r="L412" s="1286"/>
      <c r="M412" s="1286"/>
      <c r="N412" s="334"/>
      <c r="O412" s="334"/>
      <c r="P412" s="335"/>
      <c r="Q412" s="335"/>
      <c r="R412" s="335"/>
      <c r="U412" s="331" t="str">
        <f ca="1">Calculos!BZ$60</f>
        <v>-</v>
      </c>
      <c r="V412" s="332"/>
      <c r="W412" s="1"/>
    </row>
    <row r="413" spans="1:23" ht="20.100000000000001" customHeight="1" x14ac:dyDescent="0.25">
      <c r="A413" s="18"/>
      <c r="B413" s="18"/>
      <c r="C413" s="18"/>
      <c r="D413" s="7"/>
      <c r="E413" s="326"/>
      <c r="F413" s="1471"/>
      <c r="G413" s="1471"/>
      <c r="H413" s="1471"/>
      <c r="I413" s="1471"/>
      <c r="J413" s="1286"/>
      <c r="K413" s="1286"/>
      <c r="L413" s="1286"/>
      <c r="M413" s="1286"/>
      <c r="N413" s="334"/>
      <c r="O413" s="334"/>
      <c r="P413" s="335"/>
      <c r="Q413" s="335"/>
      <c r="R413" s="335"/>
      <c r="U413" s="331" t="str">
        <f ca="1">Calculos!BZ$61</f>
        <v>-</v>
      </c>
      <c r="V413" s="332"/>
      <c r="W413" s="1"/>
    </row>
    <row r="414" spans="1:23" ht="20.100000000000001" customHeight="1" x14ac:dyDescent="0.25">
      <c r="A414" s="18"/>
      <c r="B414" s="18"/>
      <c r="C414" s="18"/>
      <c r="D414" s="7"/>
      <c r="E414" s="326"/>
      <c r="F414" s="1471"/>
      <c r="G414" s="1471"/>
      <c r="H414" s="1471"/>
      <c r="I414" s="1471"/>
      <c r="J414" s="1286"/>
      <c r="K414" s="1286"/>
      <c r="L414" s="1286"/>
      <c r="M414" s="1286"/>
      <c r="N414" s="334"/>
      <c r="O414" s="334"/>
      <c r="P414" s="335"/>
      <c r="Q414" s="335"/>
      <c r="R414" s="335"/>
      <c r="U414" s="331" t="str">
        <f ca="1">Calculos!BZ$62</f>
        <v>-</v>
      </c>
      <c r="V414" s="332"/>
      <c r="W414" s="1"/>
    </row>
    <row r="415" spans="1:23" ht="20.100000000000001" customHeight="1" x14ac:dyDescent="0.25">
      <c r="A415" s="18"/>
      <c r="B415" s="18"/>
      <c r="C415" s="18"/>
      <c r="D415" s="7"/>
      <c r="E415" s="326"/>
      <c r="F415" s="1471"/>
      <c r="G415" s="1471"/>
      <c r="H415" s="1471"/>
      <c r="I415" s="1471"/>
      <c r="J415" s="1286"/>
      <c r="K415" s="1286"/>
      <c r="L415" s="1286"/>
      <c r="M415" s="1286"/>
      <c r="N415" s="334"/>
      <c r="O415" s="334"/>
      <c r="P415" s="335"/>
      <c r="Q415" s="335"/>
      <c r="R415" s="335"/>
      <c r="U415" s="331" t="str">
        <f ca="1">Calculos!BZ$63</f>
        <v>-</v>
      </c>
      <c r="V415" s="332"/>
      <c r="W415" s="1"/>
    </row>
    <row r="416" spans="1:23" ht="20.100000000000001" customHeight="1" x14ac:dyDescent="0.25">
      <c r="A416" s="18"/>
      <c r="B416" s="18"/>
      <c r="C416" s="18"/>
      <c r="D416" s="7"/>
      <c r="E416" s="326"/>
      <c r="F416" s="1471"/>
      <c r="G416" s="1471"/>
      <c r="H416" s="1471"/>
      <c r="I416" s="1471"/>
      <c r="J416" s="1286"/>
      <c r="K416" s="1286"/>
      <c r="L416" s="1286"/>
      <c r="M416" s="1286"/>
      <c r="N416" s="334"/>
      <c r="O416" s="334"/>
      <c r="P416" s="335"/>
      <c r="Q416" s="335"/>
      <c r="R416" s="335"/>
      <c r="U416" s="331" t="str">
        <f ca="1">Calculos!BZ$64</f>
        <v>-</v>
      </c>
      <c r="V416" s="332"/>
      <c r="W416" s="1"/>
    </row>
    <row r="417" spans="1:23" ht="20.100000000000001" customHeight="1" x14ac:dyDescent="0.25">
      <c r="A417" s="18"/>
      <c r="B417" s="18"/>
      <c r="C417" s="18"/>
      <c r="D417" s="7"/>
      <c r="E417" s="326"/>
      <c r="F417" s="1471"/>
      <c r="G417" s="1471"/>
      <c r="H417" s="1471"/>
      <c r="I417" s="1471"/>
      <c r="J417" s="1286"/>
      <c r="K417" s="1286"/>
      <c r="L417" s="1286"/>
      <c r="M417" s="1286"/>
      <c r="N417" s="334"/>
      <c r="O417" s="334"/>
      <c r="P417" s="335"/>
      <c r="Q417" s="335"/>
      <c r="R417" s="335"/>
      <c r="U417" s="331" t="str">
        <f ca="1">Calculos!BZ$65</f>
        <v>-</v>
      </c>
      <c r="V417" s="332"/>
      <c r="W417" s="1"/>
    </row>
    <row r="418" spans="1:23" ht="20.100000000000001" customHeight="1" x14ac:dyDescent="0.25">
      <c r="A418" s="18"/>
      <c r="B418" s="18"/>
      <c r="C418" s="18"/>
      <c r="D418" s="7"/>
      <c r="E418" s="326"/>
      <c r="F418" s="1471"/>
      <c r="G418" s="1471"/>
      <c r="H418" s="1471"/>
      <c r="I418" s="1471"/>
      <c r="J418" s="1286"/>
      <c r="K418" s="1286"/>
      <c r="L418" s="1286"/>
      <c r="M418" s="1286"/>
      <c r="N418" s="334"/>
      <c r="O418" s="334"/>
      <c r="P418" s="335"/>
      <c r="Q418" s="335"/>
      <c r="R418" s="335"/>
      <c r="U418" s="331" t="str">
        <f ca="1">Calculos!BZ$66</f>
        <v>-</v>
      </c>
      <c r="V418" s="332"/>
      <c r="W418" s="1"/>
    </row>
    <row r="419" spans="1:23" ht="20.100000000000001" customHeight="1" x14ac:dyDescent="0.25">
      <c r="A419" s="18"/>
      <c r="B419" s="18"/>
      <c r="C419" s="18"/>
      <c r="D419" s="7"/>
      <c r="E419" s="326"/>
      <c r="F419" s="1471"/>
      <c r="G419" s="1471"/>
      <c r="H419" s="1471"/>
      <c r="I419" s="1471"/>
      <c r="J419" s="1286"/>
      <c r="K419" s="1286"/>
      <c r="L419" s="1286"/>
      <c r="M419" s="1286"/>
      <c r="N419" s="334"/>
      <c r="O419" s="334"/>
      <c r="P419" s="335"/>
      <c r="Q419" s="335"/>
      <c r="R419" s="335"/>
      <c r="U419" s="331" t="str">
        <f ca="1">Calculos!BZ$67</f>
        <v>-</v>
      </c>
      <c r="V419" s="332"/>
      <c r="W419" s="1"/>
    </row>
    <row r="420" spans="1:23" ht="20.100000000000001" customHeight="1" x14ac:dyDescent="0.25">
      <c r="A420" s="18"/>
      <c r="B420" s="18"/>
      <c r="C420" s="18"/>
      <c r="D420" s="7"/>
      <c r="E420" s="326"/>
      <c r="F420" s="1471"/>
      <c r="G420" s="1471"/>
      <c r="H420" s="1471"/>
      <c r="I420" s="1471"/>
      <c r="J420" s="1286"/>
      <c r="K420" s="1286"/>
      <c r="L420" s="1286"/>
      <c r="M420" s="1286"/>
      <c r="N420" s="334"/>
      <c r="O420" s="334"/>
      <c r="P420" s="335"/>
      <c r="Q420" s="335"/>
      <c r="R420" s="335"/>
      <c r="U420" s="331" t="str">
        <f ca="1">Calculos!BZ$68</f>
        <v>-</v>
      </c>
      <c r="V420" s="329"/>
      <c r="W420" s="1"/>
    </row>
    <row r="421" spans="1:23" ht="20.100000000000001" customHeight="1" x14ac:dyDescent="0.25">
      <c r="A421" s="18"/>
      <c r="B421" s="18"/>
      <c r="C421" s="18"/>
      <c r="D421" s="7"/>
      <c r="E421" s="326"/>
      <c r="F421" s="1471"/>
      <c r="G421" s="1471"/>
      <c r="H421" s="1471"/>
      <c r="I421" s="1471"/>
      <c r="J421" s="1472" t="s">
        <v>80</v>
      </c>
      <c r="K421" s="1473"/>
      <c r="L421" s="1473"/>
      <c r="M421" s="1474"/>
      <c r="N421" s="334"/>
      <c r="O421" s="334"/>
      <c r="P421" s="335"/>
      <c r="Q421" s="335"/>
      <c r="R421" s="335" t="s">
        <v>10</v>
      </c>
      <c r="U421" s="331" t="str">
        <f ca="1">Calculos!BZ$69</f>
        <v>-</v>
      </c>
      <c r="V421" s="329"/>
      <c r="W421" s="1"/>
    </row>
    <row r="422" spans="1:23" ht="20.100000000000001" hidden="1" customHeight="1" x14ac:dyDescent="0.25">
      <c r="A422" s="18"/>
      <c r="B422" s="18"/>
      <c r="C422" s="18"/>
      <c r="D422" s="7"/>
      <c r="E422" s="326"/>
      <c r="V422" s="329"/>
      <c r="W422" s="1"/>
    </row>
    <row r="423" spans="1:23" ht="20.100000000000001" customHeight="1" x14ac:dyDescent="0.25">
      <c r="A423" s="18"/>
      <c r="B423" s="18"/>
      <c r="C423" s="18"/>
      <c r="D423" s="7"/>
      <c r="E423" s="336"/>
      <c r="F423" s="337"/>
      <c r="G423" s="337"/>
      <c r="H423" s="337"/>
      <c r="I423" s="337"/>
      <c r="J423" s="337"/>
      <c r="K423" s="337"/>
      <c r="L423" s="337"/>
      <c r="M423" s="337"/>
      <c r="N423" s="337"/>
      <c r="O423" s="337"/>
      <c r="P423" s="337"/>
      <c r="Q423" s="337"/>
      <c r="R423" s="337"/>
      <c r="S423" s="337"/>
      <c r="T423" s="337"/>
      <c r="U423" s="337"/>
      <c r="V423" s="338"/>
      <c r="W423" s="1"/>
    </row>
    <row r="424" spans="1:23" ht="30" customHeight="1" x14ac:dyDescent="0.25">
      <c r="A424" s="18"/>
      <c r="B424" s="18"/>
      <c r="C424" s="18"/>
      <c r="D424" s="7"/>
      <c r="E424" s="7"/>
      <c r="F424" s="7"/>
      <c r="G424" s="7"/>
      <c r="H424" s="7"/>
      <c r="I424" s="7"/>
      <c r="J424" s="7"/>
      <c r="K424" s="7"/>
      <c r="L424" s="7"/>
      <c r="M424" s="7"/>
      <c r="N424" s="7"/>
      <c r="O424" s="7"/>
      <c r="P424" s="7"/>
      <c r="Q424" s="7"/>
      <c r="R424" s="7"/>
      <c r="S424" s="7"/>
      <c r="T424" s="7"/>
      <c r="U424" s="7"/>
      <c r="V424" s="7"/>
      <c r="W424" s="7"/>
    </row>
    <row r="425" spans="1:23" ht="20.100000000000001" customHeight="1" x14ac:dyDescent="0.25">
      <c r="A425" s="18"/>
      <c r="B425" s="18"/>
      <c r="C425" s="18"/>
      <c r="D425" s="7"/>
      <c r="E425" s="321"/>
      <c r="F425" s="322"/>
      <c r="G425" s="323"/>
      <c r="H425" s="323"/>
      <c r="I425" s="323"/>
      <c r="J425" s="323"/>
      <c r="K425" s="323"/>
      <c r="L425" s="323"/>
      <c r="M425" s="323"/>
      <c r="N425" s="323"/>
      <c r="O425" s="323"/>
      <c r="P425" s="323"/>
      <c r="Q425" s="323"/>
      <c r="R425" s="323"/>
      <c r="S425" s="339"/>
      <c r="T425" s="339"/>
      <c r="U425" s="340"/>
      <c r="V425" s="325"/>
      <c r="W425" s="1"/>
    </row>
    <row r="426" spans="1:23" ht="45" customHeight="1" x14ac:dyDescent="0.25">
      <c r="A426" s="18"/>
      <c r="B426" s="18"/>
      <c r="C426" s="18"/>
      <c r="D426" s="7"/>
      <c r="E426" s="326"/>
      <c r="F426" s="1469" t="s">
        <v>8607</v>
      </c>
      <c r="G426" s="1470"/>
      <c r="H426" s="1470"/>
      <c r="I426" s="1470"/>
      <c r="J426" s="1470"/>
      <c r="K426" s="1470"/>
      <c r="L426" s="1470"/>
      <c r="M426" s="1470"/>
      <c r="N426" s="327" t="str">
        <f ca="1">"Concentração"&amp;" "&amp;Calculos!$BJ$3</f>
        <v>Concentração -</v>
      </c>
      <c r="O426" s="327" t="s">
        <v>6038</v>
      </c>
      <c r="P426" s="327" t="s">
        <v>8126</v>
      </c>
      <c r="Q426" s="327" t="s">
        <v>8028</v>
      </c>
      <c r="R426" s="327" t="s">
        <v>8603</v>
      </c>
      <c r="S426" s="327" t="s">
        <v>8127</v>
      </c>
      <c r="U426" s="328" t="s">
        <v>119</v>
      </c>
      <c r="V426" s="332"/>
      <c r="W426" s="1"/>
    </row>
    <row r="427" spans="1:23" ht="20.100000000000001" customHeight="1" x14ac:dyDescent="0.25">
      <c r="A427" s="18"/>
      <c r="B427" s="18"/>
      <c r="C427" s="18"/>
      <c r="D427" s="7"/>
      <c r="E427" s="326"/>
      <c r="F427" s="1471" t="str">
        <f ca="1">Calculos!$BJ$5</f>
        <v>-</v>
      </c>
      <c r="G427" s="1471"/>
      <c r="H427" s="1471"/>
      <c r="I427" s="1471"/>
      <c r="J427" s="1472" t="s">
        <v>7103</v>
      </c>
      <c r="K427" s="1473"/>
      <c r="L427" s="1473"/>
      <c r="M427" s="1474"/>
      <c r="N427" s="188"/>
      <c r="O427" s="188"/>
      <c r="P427" s="330"/>
      <c r="Q427" s="330"/>
      <c r="R427" s="187">
        <v>0</v>
      </c>
      <c r="S427" s="331">
        <f>O427/2</f>
        <v>0</v>
      </c>
      <c r="U427" s="331" t="str">
        <f ca="1">Calculos!BZ$74</f>
        <v>-</v>
      </c>
      <c r="V427" s="332"/>
      <c r="W427" s="1"/>
    </row>
    <row r="428" spans="1:23" ht="20.100000000000001" customHeight="1" x14ac:dyDescent="0.25">
      <c r="A428" s="18"/>
      <c r="B428" s="18"/>
      <c r="C428" s="18"/>
      <c r="D428" s="7"/>
      <c r="E428" s="326"/>
      <c r="F428" s="1471"/>
      <c r="G428" s="1471"/>
      <c r="H428" s="1471"/>
      <c r="I428" s="1471"/>
      <c r="J428" s="1286" t="s">
        <v>8027</v>
      </c>
      <c r="K428" s="1286"/>
      <c r="L428" s="1286"/>
      <c r="M428" s="1286"/>
      <c r="N428" s="188"/>
      <c r="O428" s="188"/>
      <c r="P428" s="330"/>
      <c r="Q428" s="330"/>
      <c r="R428" s="187"/>
      <c r="U428" s="331" t="str">
        <f ca="1">Calculos!BZ$75</f>
        <v>-</v>
      </c>
      <c r="V428" s="332"/>
      <c r="W428" s="1"/>
    </row>
    <row r="429" spans="1:23" ht="20.100000000000001" customHeight="1" x14ac:dyDescent="0.25">
      <c r="A429" s="18"/>
      <c r="B429" s="18"/>
      <c r="C429" s="18"/>
      <c r="D429" s="7"/>
      <c r="E429" s="326"/>
      <c r="F429" s="1471"/>
      <c r="G429" s="1471"/>
      <c r="H429" s="1471"/>
      <c r="I429" s="1471"/>
      <c r="J429" s="1286"/>
      <c r="K429" s="1286"/>
      <c r="L429" s="1286"/>
      <c r="M429" s="1286"/>
      <c r="N429" s="188"/>
      <c r="O429" s="188"/>
      <c r="P429" s="330"/>
      <c r="Q429" s="330"/>
      <c r="R429" s="187"/>
      <c r="U429" s="331" t="str">
        <f ca="1">Calculos!BZ$76</f>
        <v>-</v>
      </c>
      <c r="V429" s="332"/>
      <c r="W429" s="1"/>
    </row>
    <row r="430" spans="1:23" ht="20.100000000000001" customHeight="1" x14ac:dyDescent="0.25">
      <c r="A430" s="18"/>
      <c r="B430" s="18"/>
      <c r="C430" s="18"/>
      <c r="D430" s="7"/>
      <c r="E430" s="326"/>
      <c r="F430" s="1471"/>
      <c r="G430" s="1471"/>
      <c r="H430" s="1471"/>
      <c r="I430" s="1471"/>
      <c r="J430" s="1286"/>
      <c r="K430" s="1286"/>
      <c r="L430" s="1286"/>
      <c r="M430" s="1286"/>
      <c r="N430" s="188"/>
      <c r="O430" s="188"/>
      <c r="P430" s="330"/>
      <c r="Q430" s="330"/>
      <c r="R430" s="187"/>
      <c r="U430" s="331" t="str">
        <f ca="1">Calculos!BZ$77</f>
        <v>-</v>
      </c>
      <c r="V430" s="332"/>
      <c r="W430" s="1"/>
    </row>
    <row r="431" spans="1:23" ht="20.100000000000001" customHeight="1" x14ac:dyDescent="0.25">
      <c r="A431" s="18"/>
      <c r="B431" s="18"/>
      <c r="C431" s="18"/>
      <c r="D431" s="7"/>
      <c r="E431" s="326"/>
      <c r="F431" s="1471"/>
      <c r="G431" s="1471"/>
      <c r="H431" s="1471"/>
      <c r="I431" s="1471"/>
      <c r="J431" s="1286"/>
      <c r="K431" s="1286"/>
      <c r="L431" s="1286"/>
      <c r="M431" s="1286"/>
      <c r="N431" s="188"/>
      <c r="O431" s="188"/>
      <c r="P431" s="330"/>
      <c r="Q431" s="330"/>
      <c r="R431" s="187"/>
      <c r="U431" s="331" t="str">
        <f ca="1">Calculos!BZ$78</f>
        <v>-</v>
      </c>
      <c r="V431" s="332"/>
      <c r="W431" s="1"/>
    </row>
    <row r="432" spans="1:23" ht="20.100000000000001" customHeight="1" x14ac:dyDescent="0.25">
      <c r="A432" s="18"/>
      <c r="B432" s="18"/>
      <c r="C432" s="18"/>
      <c r="D432" s="7"/>
      <c r="E432" s="326"/>
      <c r="F432" s="1471"/>
      <c r="G432" s="1471"/>
      <c r="H432" s="1471"/>
      <c r="I432" s="1471"/>
      <c r="J432" s="1286"/>
      <c r="K432" s="1286"/>
      <c r="L432" s="1286"/>
      <c r="M432" s="1286"/>
      <c r="N432" s="188"/>
      <c r="O432" s="188"/>
      <c r="P432" s="330"/>
      <c r="Q432" s="330"/>
      <c r="R432" s="187"/>
      <c r="U432" s="331" t="str">
        <f ca="1">Calculos!BZ$79</f>
        <v>-</v>
      </c>
      <c r="V432" s="332"/>
      <c r="W432" s="1"/>
    </row>
    <row r="433" spans="1:23" ht="20.100000000000001" customHeight="1" x14ac:dyDescent="0.25">
      <c r="A433" s="18"/>
      <c r="B433" s="18"/>
      <c r="C433" s="18"/>
      <c r="D433" s="7"/>
      <c r="E433" s="326"/>
      <c r="F433" s="1471"/>
      <c r="G433" s="1471"/>
      <c r="H433" s="1471"/>
      <c r="I433" s="1471"/>
      <c r="J433" s="1286"/>
      <c r="K433" s="1286"/>
      <c r="L433" s="1286"/>
      <c r="M433" s="1286"/>
      <c r="N433" s="188"/>
      <c r="O433" s="188"/>
      <c r="P433" s="330"/>
      <c r="Q433" s="330"/>
      <c r="R433" s="187"/>
      <c r="U433" s="331" t="str">
        <f ca="1">Calculos!BZ$80</f>
        <v>-</v>
      </c>
      <c r="V433" s="332"/>
      <c r="W433" s="1"/>
    </row>
    <row r="434" spans="1:23" ht="20.100000000000001" customHeight="1" x14ac:dyDescent="0.25">
      <c r="A434" s="18"/>
      <c r="B434" s="18"/>
      <c r="C434" s="18"/>
      <c r="D434" s="7"/>
      <c r="E434" s="326"/>
      <c r="F434" s="1471"/>
      <c r="G434" s="1471"/>
      <c r="H434" s="1471"/>
      <c r="I434" s="1471"/>
      <c r="J434" s="1286"/>
      <c r="K434" s="1286"/>
      <c r="L434" s="1286"/>
      <c r="M434" s="1286"/>
      <c r="N434" s="188"/>
      <c r="O434" s="188"/>
      <c r="P434" s="330"/>
      <c r="Q434" s="330"/>
      <c r="R434" s="187"/>
      <c r="U434" s="331" t="str">
        <f ca="1">Calculos!BZ$81</f>
        <v>-</v>
      </c>
      <c r="V434" s="332"/>
      <c r="W434" s="1"/>
    </row>
    <row r="435" spans="1:23" ht="20.100000000000001" customHeight="1" x14ac:dyDescent="0.25">
      <c r="A435" s="18"/>
      <c r="B435" s="18"/>
      <c r="C435" s="18"/>
      <c r="D435" s="7"/>
      <c r="E435" s="326"/>
      <c r="F435" s="1471"/>
      <c r="G435" s="1471"/>
      <c r="H435" s="1471"/>
      <c r="I435" s="1471"/>
      <c r="J435" s="1286"/>
      <c r="K435" s="1286"/>
      <c r="L435" s="1286"/>
      <c r="M435" s="1286"/>
      <c r="N435" s="188"/>
      <c r="O435" s="188"/>
      <c r="P435" s="330"/>
      <c r="Q435" s="330"/>
      <c r="R435" s="187"/>
      <c r="U435" s="331" t="str">
        <f ca="1">Calculos!BZ$82</f>
        <v>-</v>
      </c>
      <c r="V435" s="332"/>
      <c r="W435" s="7"/>
    </row>
    <row r="436" spans="1:23" ht="20.100000000000001" customHeight="1" x14ac:dyDescent="0.25">
      <c r="A436" s="18"/>
      <c r="B436" s="18"/>
      <c r="C436" s="18"/>
      <c r="D436" s="7"/>
      <c r="E436" s="326"/>
      <c r="F436" s="1471"/>
      <c r="G436" s="1471"/>
      <c r="H436" s="1471"/>
      <c r="I436" s="1471"/>
      <c r="J436" s="1286"/>
      <c r="K436" s="1286"/>
      <c r="L436" s="1286"/>
      <c r="M436" s="1286"/>
      <c r="N436" s="188"/>
      <c r="O436" s="188"/>
      <c r="P436" s="330"/>
      <c r="Q436" s="330"/>
      <c r="R436" s="187"/>
      <c r="U436" s="331" t="str">
        <f ca="1">Calculos!BZ$83</f>
        <v>-</v>
      </c>
      <c r="V436" s="332"/>
      <c r="W436" s="7"/>
    </row>
    <row r="437" spans="1:23" ht="20.100000000000001" customHeight="1" x14ac:dyDescent="0.25">
      <c r="A437" s="18"/>
      <c r="B437" s="18"/>
      <c r="C437" s="18"/>
      <c r="D437" s="7"/>
      <c r="E437" s="326"/>
      <c r="F437" s="1471"/>
      <c r="G437" s="1471"/>
      <c r="H437" s="1471"/>
      <c r="I437" s="1471"/>
      <c r="J437" s="1286"/>
      <c r="K437" s="1286"/>
      <c r="L437" s="1286"/>
      <c r="M437" s="1286"/>
      <c r="N437" s="188"/>
      <c r="O437" s="188"/>
      <c r="P437" s="330"/>
      <c r="Q437" s="330"/>
      <c r="R437" s="187"/>
      <c r="U437" s="331" t="str">
        <f ca="1">Calculos!BZ$84</f>
        <v>-</v>
      </c>
      <c r="V437" s="332"/>
      <c r="W437" s="1"/>
    </row>
    <row r="438" spans="1:23" ht="20.100000000000001" customHeight="1" x14ac:dyDescent="0.25">
      <c r="A438" s="18"/>
      <c r="B438" s="18"/>
      <c r="C438" s="18"/>
      <c r="D438" s="7"/>
      <c r="E438" s="326"/>
      <c r="F438" s="1471"/>
      <c r="G438" s="1471"/>
      <c r="H438" s="1471"/>
      <c r="I438" s="1471"/>
      <c r="J438" s="1472" t="s">
        <v>80</v>
      </c>
      <c r="K438" s="1473"/>
      <c r="L438" s="1473"/>
      <c r="M438" s="1474"/>
      <c r="N438" s="188"/>
      <c r="O438" s="188"/>
      <c r="P438" s="330"/>
      <c r="Q438" s="330"/>
      <c r="R438" s="187" t="s">
        <v>10</v>
      </c>
      <c r="U438" s="331" t="str">
        <f ca="1">Calculos!BZ$85</f>
        <v>-</v>
      </c>
      <c r="V438" s="332"/>
      <c r="W438" s="1"/>
    </row>
    <row r="439" spans="1:23" ht="20.100000000000001" customHeight="1" x14ac:dyDescent="0.25">
      <c r="A439" s="18"/>
      <c r="B439" s="18"/>
      <c r="C439" s="18"/>
      <c r="D439" s="7"/>
      <c r="E439" s="326"/>
      <c r="V439" s="332"/>
      <c r="W439" s="1"/>
    </row>
    <row r="440" spans="1:23" ht="20.100000000000001" hidden="1" customHeight="1" x14ac:dyDescent="0.25">
      <c r="A440" s="18"/>
      <c r="B440" s="18"/>
      <c r="C440" s="18"/>
      <c r="D440" s="7"/>
      <c r="E440" s="326"/>
      <c r="V440" s="332"/>
      <c r="W440" s="1"/>
    </row>
    <row r="441" spans="1:23" ht="20.100000000000001" hidden="1" customHeight="1" x14ac:dyDescent="0.25">
      <c r="A441" s="18"/>
      <c r="B441" s="18"/>
      <c r="C441" s="18"/>
      <c r="D441" s="7"/>
      <c r="E441" s="326"/>
      <c r="V441" s="332"/>
      <c r="W441" s="1"/>
    </row>
    <row r="442" spans="1:23" ht="20.100000000000001" customHeight="1" x14ac:dyDescent="0.25">
      <c r="A442" s="18"/>
      <c r="B442" s="18"/>
      <c r="C442" s="18"/>
      <c r="D442" s="7"/>
      <c r="E442" s="326"/>
      <c r="V442" s="332"/>
      <c r="W442" s="1"/>
    </row>
    <row r="443" spans="1:23" ht="45" customHeight="1" x14ac:dyDescent="0.25">
      <c r="A443" s="18"/>
      <c r="B443" s="18"/>
      <c r="C443" s="18"/>
      <c r="D443" s="7"/>
      <c r="E443" s="326"/>
      <c r="F443" s="1475" t="s">
        <v>8616</v>
      </c>
      <c r="G443" s="1476"/>
      <c r="H443" s="1476"/>
      <c r="I443" s="1476"/>
      <c r="J443" s="1476"/>
      <c r="K443" s="1476"/>
      <c r="L443" s="1476"/>
      <c r="M443" s="1476"/>
      <c r="N443" s="333" t="str">
        <f ca="1">"Concentração"&amp;" "&amp;Calculos!$BJ$3</f>
        <v>Concentração -</v>
      </c>
      <c r="O443" s="333" t="s">
        <v>6038</v>
      </c>
      <c r="P443" s="333" t="s">
        <v>8126</v>
      </c>
      <c r="Q443" s="333" t="s">
        <v>8028</v>
      </c>
      <c r="R443" s="333" t="s">
        <v>8603</v>
      </c>
      <c r="S443" s="333" t="s">
        <v>8127</v>
      </c>
      <c r="U443" s="328" t="s">
        <v>119</v>
      </c>
      <c r="V443" s="332"/>
      <c r="W443" s="1"/>
    </row>
    <row r="444" spans="1:23" ht="20.100000000000001" customHeight="1" x14ac:dyDescent="0.25">
      <c r="A444" s="18"/>
      <c r="B444" s="18"/>
      <c r="C444" s="18"/>
      <c r="D444" s="7"/>
      <c r="E444" s="326"/>
      <c r="F444" s="1471" t="str">
        <f ca="1">Calculos!$BJ$5</f>
        <v>-</v>
      </c>
      <c r="G444" s="1471"/>
      <c r="H444" s="1471"/>
      <c r="I444" s="1471"/>
      <c r="J444" s="1472" t="s">
        <v>7103</v>
      </c>
      <c r="K444" s="1473"/>
      <c r="L444" s="1473"/>
      <c r="M444" s="1474"/>
      <c r="N444" s="334"/>
      <c r="O444" s="334"/>
      <c r="P444" s="335"/>
      <c r="Q444" s="335"/>
      <c r="R444" s="335">
        <v>0</v>
      </c>
      <c r="S444" s="331">
        <f>O444/2</f>
        <v>0</v>
      </c>
      <c r="U444" s="331" t="str">
        <f ca="1">Calculos!BZ$90</f>
        <v>-</v>
      </c>
      <c r="V444" s="332"/>
      <c r="W444" s="1"/>
    </row>
    <row r="445" spans="1:23" ht="20.100000000000001" customHeight="1" x14ac:dyDescent="0.25">
      <c r="A445" s="18"/>
      <c r="B445" s="18"/>
      <c r="C445" s="18"/>
      <c r="D445" s="7"/>
      <c r="E445" s="326"/>
      <c r="F445" s="1471"/>
      <c r="G445" s="1471"/>
      <c r="H445" s="1471"/>
      <c r="I445" s="1471"/>
      <c r="J445" s="1286" t="s">
        <v>8027</v>
      </c>
      <c r="K445" s="1286"/>
      <c r="L445" s="1286"/>
      <c r="M445" s="1286"/>
      <c r="N445" s="334"/>
      <c r="O445" s="334"/>
      <c r="P445" s="335"/>
      <c r="Q445" s="335"/>
      <c r="R445" s="335"/>
      <c r="U445" s="331" t="str">
        <f ca="1">Calculos!BZ$91</f>
        <v>-</v>
      </c>
      <c r="V445" s="332"/>
      <c r="W445" s="1"/>
    </row>
    <row r="446" spans="1:23" ht="20.100000000000001" customHeight="1" x14ac:dyDescent="0.25">
      <c r="A446" s="18"/>
      <c r="B446" s="18"/>
      <c r="C446" s="18"/>
      <c r="D446" s="7"/>
      <c r="E446" s="326"/>
      <c r="F446" s="1471"/>
      <c r="G446" s="1471"/>
      <c r="H446" s="1471"/>
      <c r="I446" s="1471"/>
      <c r="J446" s="1286"/>
      <c r="K446" s="1286"/>
      <c r="L446" s="1286"/>
      <c r="M446" s="1286"/>
      <c r="N446" s="334"/>
      <c r="O446" s="334"/>
      <c r="P446" s="335"/>
      <c r="Q446" s="335"/>
      <c r="R446" s="335"/>
      <c r="U446" s="331" t="str">
        <f ca="1">Calculos!BZ$92</f>
        <v>-</v>
      </c>
      <c r="V446" s="332"/>
      <c r="W446" s="1"/>
    </row>
    <row r="447" spans="1:23" ht="20.100000000000001" customHeight="1" x14ac:dyDescent="0.25">
      <c r="A447" s="18"/>
      <c r="B447" s="18"/>
      <c r="C447" s="18"/>
      <c r="D447" s="7"/>
      <c r="E447" s="326"/>
      <c r="F447" s="1471"/>
      <c r="G447" s="1471"/>
      <c r="H447" s="1471"/>
      <c r="I447" s="1471"/>
      <c r="J447" s="1286"/>
      <c r="K447" s="1286"/>
      <c r="L447" s="1286"/>
      <c r="M447" s="1286"/>
      <c r="N447" s="334"/>
      <c r="O447" s="334"/>
      <c r="P447" s="335"/>
      <c r="Q447" s="335"/>
      <c r="R447" s="335"/>
      <c r="U447" s="331" t="str">
        <f ca="1">Calculos!BZ$93</f>
        <v>-</v>
      </c>
      <c r="V447" s="332"/>
      <c r="W447" s="1"/>
    </row>
    <row r="448" spans="1:23" ht="20.100000000000001" customHeight="1" x14ac:dyDescent="0.25">
      <c r="A448" s="18"/>
      <c r="B448" s="18"/>
      <c r="C448" s="18"/>
      <c r="D448" s="7"/>
      <c r="E448" s="326"/>
      <c r="F448" s="1471"/>
      <c r="G448" s="1471"/>
      <c r="H448" s="1471"/>
      <c r="I448" s="1471"/>
      <c r="J448" s="1286"/>
      <c r="K448" s="1286"/>
      <c r="L448" s="1286"/>
      <c r="M448" s="1286"/>
      <c r="N448" s="334"/>
      <c r="O448" s="334"/>
      <c r="P448" s="335"/>
      <c r="Q448" s="335"/>
      <c r="R448" s="335"/>
      <c r="U448" s="331" t="str">
        <f ca="1">Calculos!BZ$94</f>
        <v>-</v>
      </c>
      <c r="V448" s="332"/>
      <c r="W448" s="1"/>
    </row>
    <row r="449" spans="1:23" ht="20.100000000000001" customHeight="1" x14ac:dyDescent="0.25">
      <c r="A449" s="18"/>
      <c r="B449" s="18"/>
      <c r="C449" s="18"/>
      <c r="D449" s="7"/>
      <c r="E449" s="326"/>
      <c r="F449" s="1471"/>
      <c r="G449" s="1471"/>
      <c r="H449" s="1471"/>
      <c r="I449" s="1471"/>
      <c r="J449" s="1286"/>
      <c r="K449" s="1286"/>
      <c r="L449" s="1286"/>
      <c r="M449" s="1286"/>
      <c r="N449" s="334"/>
      <c r="O449" s="334"/>
      <c r="P449" s="335"/>
      <c r="Q449" s="335"/>
      <c r="R449" s="335"/>
      <c r="U449" s="331" t="str">
        <f ca="1">Calculos!BZ$95</f>
        <v>-</v>
      </c>
      <c r="V449" s="332"/>
      <c r="W449" s="1"/>
    </row>
    <row r="450" spans="1:23" ht="20.100000000000001" customHeight="1" x14ac:dyDescent="0.25">
      <c r="A450" s="18"/>
      <c r="B450" s="18"/>
      <c r="C450" s="18"/>
      <c r="D450" s="7"/>
      <c r="E450" s="326"/>
      <c r="F450" s="1471"/>
      <c r="G450" s="1471"/>
      <c r="H450" s="1471"/>
      <c r="I450" s="1471"/>
      <c r="J450" s="1286"/>
      <c r="K450" s="1286"/>
      <c r="L450" s="1286"/>
      <c r="M450" s="1286"/>
      <c r="N450" s="334"/>
      <c r="O450" s="334"/>
      <c r="P450" s="335"/>
      <c r="Q450" s="335"/>
      <c r="R450" s="335"/>
      <c r="U450" s="331" t="str">
        <f ca="1">Calculos!BZ$96</f>
        <v>-</v>
      </c>
      <c r="V450" s="332"/>
      <c r="W450" s="1"/>
    </row>
    <row r="451" spans="1:23" ht="20.100000000000001" customHeight="1" x14ac:dyDescent="0.25">
      <c r="A451" s="18"/>
      <c r="B451" s="18"/>
      <c r="C451" s="18"/>
      <c r="D451" s="7"/>
      <c r="E451" s="326"/>
      <c r="F451" s="1471"/>
      <c r="G451" s="1471"/>
      <c r="H451" s="1471"/>
      <c r="I451" s="1471"/>
      <c r="J451" s="1286"/>
      <c r="K451" s="1286"/>
      <c r="L451" s="1286"/>
      <c r="M451" s="1286"/>
      <c r="N451" s="334"/>
      <c r="O451" s="334"/>
      <c r="P451" s="335"/>
      <c r="Q451" s="335"/>
      <c r="R451" s="335"/>
      <c r="U451" s="331" t="str">
        <f ca="1">Calculos!BZ$97</f>
        <v>-</v>
      </c>
      <c r="V451" s="332"/>
      <c r="W451" s="7"/>
    </row>
    <row r="452" spans="1:23" ht="20.100000000000001" customHeight="1" x14ac:dyDescent="0.25">
      <c r="A452" s="18"/>
      <c r="B452" s="18"/>
      <c r="C452" s="18"/>
      <c r="D452" s="7"/>
      <c r="E452" s="326"/>
      <c r="F452" s="1471"/>
      <c r="G452" s="1471"/>
      <c r="H452" s="1471"/>
      <c r="I452" s="1471"/>
      <c r="J452" s="1286"/>
      <c r="K452" s="1286"/>
      <c r="L452" s="1286"/>
      <c r="M452" s="1286"/>
      <c r="N452" s="334"/>
      <c r="O452" s="334"/>
      <c r="P452" s="335"/>
      <c r="Q452" s="335"/>
      <c r="R452" s="335"/>
      <c r="U452" s="331" t="str">
        <f ca="1">Calculos!BZ$98</f>
        <v>-</v>
      </c>
      <c r="V452" s="332"/>
      <c r="W452" s="7"/>
    </row>
    <row r="453" spans="1:23" ht="20.100000000000001" customHeight="1" x14ac:dyDescent="0.25">
      <c r="A453" s="18"/>
      <c r="B453" s="18"/>
      <c r="C453" s="18"/>
      <c r="D453" s="7"/>
      <c r="E453" s="326"/>
      <c r="F453" s="1471"/>
      <c r="G453" s="1471"/>
      <c r="H453" s="1471"/>
      <c r="I453" s="1471"/>
      <c r="J453" s="1286"/>
      <c r="K453" s="1286"/>
      <c r="L453" s="1286"/>
      <c r="M453" s="1286"/>
      <c r="N453" s="334"/>
      <c r="O453" s="334"/>
      <c r="P453" s="335"/>
      <c r="Q453" s="335"/>
      <c r="R453" s="335"/>
      <c r="U453" s="331" t="str">
        <f ca="1">Calculos!BZ$99</f>
        <v>-</v>
      </c>
      <c r="V453" s="332"/>
      <c r="W453" s="1"/>
    </row>
    <row r="454" spans="1:23" ht="20.100000000000001" customHeight="1" x14ac:dyDescent="0.25">
      <c r="A454" s="18"/>
      <c r="B454" s="18"/>
      <c r="C454" s="18"/>
      <c r="D454" s="7"/>
      <c r="E454" s="326"/>
      <c r="F454" s="1471"/>
      <c r="G454" s="1471"/>
      <c r="H454" s="1471"/>
      <c r="I454" s="1471"/>
      <c r="J454" s="1286"/>
      <c r="K454" s="1286"/>
      <c r="L454" s="1286"/>
      <c r="M454" s="1286"/>
      <c r="N454" s="334"/>
      <c r="O454" s="334"/>
      <c r="P454" s="335"/>
      <c r="Q454" s="335"/>
      <c r="R454" s="335"/>
      <c r="U454" s="331" t="str">
        <f ca="1">Calculos!BZ$100</f>
        <v>-</v>
      </c>
      <c r="V454" s="329"/>
      <c r="W454" s="1"/>
    </row>
    <row r="455" spans="1:23" ht="20.100000000000001" customHeight="1" x14ac:dyDescent="0.25">
      <c r="A455" s="18"/>
      <c r="B455" s="18"/>
      <c r="C455" s="18"/>
      <c r="D455" s="7"/>
      <c r="E455" s="326"/>
      <c r="F455" s="1471"/>
      <c r="G455" s="1471"/>
      <c r="H455" s="1471"/>
      <c r="I455" s="1471"/>
      <c r="J455" s="1472" t="s">
        <v>80</v>
      </c>
      <c r="K455" s="1473"/>
      <c r="L455" s="1473"/>
      <c r="M455" s="1474"/>
      <c r="N455" s="334"/>
      <c r="O455" s="334"/>
      <c r="P455" s="335"/>
      <c r="Q455" s="335"/>
      <c r="R455" s="335" t="s">
        <v>10</v>
      </c>
      <c r="U455" s="331" t="str">
        <f ca="1">Calculos!BZ$101</f>
        <v>-</v>
      </c>
      <c r="V455" s="329"/>
      <c r="W455" s="1"/>
    </row>
    <row r="456" spans="1:23" ht="20.100000000000001" hidden="1" customHeight="1" x14ac:dyDescent="0.25">
      <c r="A456" s="18"/>
      <c r="B456" s="18"/>
      <c r="C456" s="18"/>
      <c r="D456" s="7"/>
      <c r="E456" s="326"/>
      <c r="V456" s="329"/>
      <c r="W456" s="1"/>
    </row>
    <row r="457" spans="1:23" ht="20.100000000000001" customHeight="1" x14ac:dyDescent="0.25">
      <c r="A457" s="18"/>
      <c r="B457" s="18"/>
      <c r="C457" s="18"/>
      <c r="D457" s="7"/>
      <c r="E457" s="336"/>
      <c r="F457" s="337"/>
      <c r="G457" s="337"/>
      <c r="H457" s="337"/>
      <c r="I457" s="337"/>
      <c r="J457" s="337"/>
      <c r="K457" s="337"/>
      <c r="L457" s="337"/>
      <c r="M457" s="337"/>
      <c r="N457" s="337"/>
      <c r="O457" s="337"/>
      <c r="P457" s="337"/>
      <c r="Q457" s="337"/>
      <c r="R457" s="337"/>
      <c r="S457" s="337"/>
      <c r="T457" s="337"/>
      <c r="U457" s="337"/>
      <c r="V457" s="338"/>
      <c r="W457" s="1"/>
    </row>
    <row r="458" spans="1:23" ht="30" customHeight="1" x14ac:dyDescent="0.25">
      <c r="A458" s="18"/>
      <c r="B458" s="18"/>
      <c r="C458" s="18"/>
      <c r="D458" s="7"/>
      <c r="E458" s="7"/>
      <c r="F458" s="7"/>
      <c r="G458" s="7"/>
      <c r="H458" s="7"/>
      <c r="I458" s="7"/>
      <c r="J458" s="7"/>
      <c r="K458" s="7"/>
      <c r="L458" s="7"/>
      <c r="M458" s="7"/>
      <c r="N458" s="7"/>
      <c r="O458" s="7"/>
      <c r="P458" s="7"/>
      <c r="Q458" s="7"/>
      <c r="R458" s="7"/>
      <c r="S458" s="7"/>
      <c r="T458" s="7"/>
      <c r="U458" s="7"/>
      <c r="V458" s="7"/>
      <c r="W458" s="7"/>
    </row>
    <row r="459" spans="1:23" ht="20.100000000000001" customHeight="1" x14ac:dyDescent="0.25">
      <c r="A459" s="18"/>
      <c r="B459" s="18"/>
      <c r="C459" s="18"/>
      <c r="D459" s="7"/>
      <c r="E459" s="321"/>
      <c r="F459" s="322"/>
      <c r="G459" s="323"/>
      <c r="H459" s="323"/>
      <c r="I459" s="323"/>
      <c r="J459" s="323"/>
      <c r="K459" s="323"/>
      <c r="L459" s="323"/>
      <c r="M459" s="323"/>
      <c r="N459" s="323"/>
      <c r="O459" s="323"/>
      <c r="P459" s="323"/>
      <c r="Q459" s="323"/>
      <c r="R459" s="323"/>
      <c r="S459" s="339"/>
      <c r="T459" s="339"/>
      <c r="U459" s="340"/>
      <c r="V459" s="325"/>
      <c r="W459" s="1"/>
    </row>
    <row r="460" spans="1:23" ht="45" customHeight="1" x14ac:dyDescent="0.25">
      <c r="A460" s="18"/>
      <c r="B460" s="18"/>
      <c r="C460" s="18"/>
      <c r="D460" s="7"/>
      <c r="E460" s="326"/>
      <c r="F460" s="1469" t="s">
        <v>8608</v>
      </c>
      <c r="G460" s="1470"/>
      <c r="H460" s="1470"/>
      <c r="I460" s="1470"/>
      <c r="J460" s="1470"/>
      <c r="K460" s="1470"/>
      <c r="L460" s="1470"/>
      <c r="M460" s="1470"/>
      <c r="N460" s="327" t="str">
        <f ca="1">"Concentração"&amp;" "&amp;Calculos!$BJ$3</f>
        <v>Concentração -</v>
      </c>
      <c r="O460" s="327" t="s">
        <v>6038</v>
      </c>
      <c r="P460" s="327" t="s">
        <v>8126</v>
      </c>
      <c r="Q460" s="327" t="s">
        <v>8028</v>
      </c>
      <c r="R460" s="327" t="s">
        <v>8603</v>
      </c>
      <c r="S460" s="327" t="s">
        <v>8127</v>
      </c>
      <c r="U460" s="328" t="s">
        <v>119</v>
      </c>
      <c r="V460" s="332"/>
      <c r="W460" s="1"/>
    </row>
    <row r="461" spans="1:23" ht="20.100000000000001" customHeight="1" x14ac:dyDescent="0.25">
      <c r="A461" s="18"/>
      <c r="B461" s="18"/>
      <c r="C461" s="18"/>
      <c r="D461" s="7"/>
      <c r="E461" s="326"/>
      <c r="F461" s="1471" t="str">
        <f ca="1">Calculos!$BJ$5</f>
        <v>-</v>
      </c>
      <c r="G461" s="1471"/>
      <c r="H461" s="1471"/>
      <c r="I461" s="1471"/>
      <c r="J461" s="1472" t="s">
        <v>7103</v>
      </c>
      <c r="K461" s="1473"/>
      <c r="L461" s="1473"/>
      <c r="M461" s="1474"/>
      <c r="N461" s="188"/>
      <c r="O461" s="188"/>
      <c r="P461" s="330"/>
      <c r="Q461" s="330"/>
      <c r="R461" s="187">
        <v>0</v>
      </c>
      <c r="S461" s="331">
        <f>O461/2</f>
        <v>0</v>
      </c>
      <c r="U461" s="331" t="str">
        <f ca="1">Calculos!BZ$106</f>
        <v>-</v>
      </c>
      <c r="V461" s="332"/>
      <c r="W461" s="1"/>
    </row>
    <row r="462" spans="1:23" ht="20.100000000000001" customHeight="1" x14ac:dyDescent="0.25">
      <c r="A462" s="18"/>
      <c r="B462" s="18"/>
      <c r="C462" s="18"/>
      <c r="D462" s="7"/>
      <c r="E462" s="326"/>
      <c r="F462" s="1471"/>
      <c r="G462" s="1471"/>
      <c r="H462" s="1471"/>
      <c r="I462" s="1471"/>
      <c r="J462" s="1286" t="s">
        <v>8027</v>
      </c>
      <c r="K462" s="1286"/>
      <c r="L462" s="1286"/>
      <c r="M462" s="1286"/>
      <c r="N462" s="188"/>
      <c r="O462" s="188"/>
      <c r="P462" s="330"/>
      <c r="Q462" s="330"/>
      <c r="R462" s="187"/>
      <c r="U462" s="331" t="str">
        <f ca="1">Calculos!BZ$107</f>
        <v>-</v>
      </c>
      <c r="V462" s="332"/>
      <c r="W462" s="1"/>
    </row>
    <row r="463" spans="1:23" ht="20.100000000000001" customHeight="1" x14ac:dyDescent="0.25">
      <c r="A463" s="18"/>
      <c r="B463" s="18"/>
      <c r="C463" s="18"/>
      <c r="D463" s="7"/>
      <c r="E463" s="326"/>
      <c r="F463" s="1471"/>
      <c r="G463" s="1471"/>
      <c r="H463" s="1471"/>
      <c r="I463" s="1471"/>
      <c r="J463" s="1286"/>
      <c r="K463" s="1286"/>
      <c r="L463" s="1286"/>
      <c r="M463" s="1286"/>
      <c r="N463" s="188"/>
      <c r="O463" s="188"/>
      <c r="P463" s="330"/>
      <c r="Q463" s="330"/>
      <c r="R463" s="187"/>
      <c r="U463" s="331" t="str">
        <f ca="1">Calculos!BZ$108</f>
        <v>-</v>
      </c>
      <c r="V463" s="332"/>
      <c r="W463" s="1"/>
    </row>
    <row r="464" spans="1:23" ht="20.100000000000001" customHeight="1" x14ac:dyDescent="0.25">
      <c r="A464" s="18"/>
      <c r="B464" s="18"/>
      <c r="C464" s="18"/>
      <c r="D464" s="7"/>
      <c r="E464" s="326"/>
      <c r="F464" s="1471"/>
      <c r="G464" s="1471"/>
      <c r="H464" s="1471"/>
      <c r="I464" s="1471"/>
      <c r="J464" s="1286"/>
      <c r="K464" s="1286"/>
      <c r="L464" s="1286"/>
      <c r="M464" s="1286"/>
      <c r="N464" s="188"/>
      <c r="O464" s="188"/>
      <c r="P464" s="330"/>
      <c r="Q464" s="330"/>
      <c r="R464" s="187"/>
      <c r="U464" s="331" t="str">
        <f ca="1">Calculos!BZ$109</f>
        <v>-</v>
      </c>
      <c r="V464" s="332"/>
      <c r="W464" s="7"/>
    </row>
    <row r="465" spans="1:23" ht="20.100000000000001" customHeight="1" x14ac:dyDescent="0.25">
      <c r="A465" s="18"/>
      <c r="B465" s="18"/>
      <c r="C465" s="18"/>
      <c r="D465" s="7"/>
      <c r="E465" s="326"/>
      <c r="F465" s="1471"/>
      <c r="G465" s="1471"/>
      <c r="H465" s="1471"/>
      <c r="I465" s="1471"/>
      <c r="J465" s="1286"/>
      <c r="K465" s="1286"/>
      <c r="L465" s="1286"/>
      <c r="M465" s="1286"/>
      <c r="N465" s="188"/>
      <c r="O465" s="188"/>
      <c r="P465" s="330"/>
      <c r="Q465" s="330"/>
      <c r="R465" s="187"/>
      <c r="U465" s="331" t="str">
        <f ca="1">Calculos!BZ$110</f>
        <v>-</v>
      </c>
      <c r="V465" s="332"/>
      <c r="W465" s="7"/>
    </row>
    <row r="466" spans="1:23" ht="20.100000000000001" customHeight="1" x14ac:dyDescent="0.25">
      <c r="A466" s="18"/>
      <c r="B466" s="18"/>
      <c r="C466" s="18"/>
      <c r="D466" s="7"/>
      <c r="E466" s="326"/>
      <c r="F466" s="1471"/>
      <c r="G466" s="1471"/>
      <c r="H466" s="1471"/>
      <c r="I466" s="1471"/>
      <c r="J466" s="1286"/>
      <c r="K466" s="1286"/>
      <c r="L466" s="1286"/>
      <c r="M466" s="1286"/>
      <c r="N466" s="188"/>
      <c r="O466" s="188"/>
      <c r="P466" s="330"/>
      <c r="Q466" s="330"/>
      <c r="R466" s="187"/>
      <c r="U466" s="331" t="str">
        <f ca="1">Calculos!BZ$111</f>
        <v>-</v>
      </c>
      <c r="V466" s="332"/>
      <c r="W466" s="1"/>
    </row>
    <row r="467" spans="1:23" ht="20.100000000000001" customHeight="1" x14ac:dyDescent="0.25">
      <c r="A467" s="18"/>
      <c r="B467" s="18"/>
      <c r="C467" s="18"/>
      <c r="D467" s="7"/>
      <c r="E467" s="326"/>
      <c r="F467" s="1471"/>
      <c r="G467" s="1471"/>
      <c r="H467" s="1471"/>
      <c r="I467" s="1471"/>
      <c r="J467" s="1286"/>
      <c r="K467" s="1286"/>
      <c r="L467" s="1286"/>
      <c r="M467" s="1286"/>
      <c r="N467" s="188"/>
      <c r="O467" s="188"/>
      <c r="P467" s="330"/>
      <c r="Q467" s="330"/>
      <c r="R467" s="187"/>
      <c r="U467" s="331" t="str">
        <f ca="1">Calculos!BZ$112</f>
        <v>-</v>
      </c>
      <c r="V467" s="332"/>
      <c r="W467" s="1"/>
    </row>
    <row r="468" spans="1:23" ht="20.100000000000001" customHeight="1" x14ac:dyDescent="0.25">
      <c r="A468" s="18"/>
      <c r="B468" s="18"/>
      <c r="C468" s="18"/>
      <c r="D468" s="7"/>
      <c r="E468" s="326"/>
      <c r="F468" s="1471"/>
      <c r="G468" s="1471"/>
      <c r="H468" s="1471"/>
      <c r="I468" s="1471"/>
      <c r="J468" s="1286"/>
      <c r="K468" s="1286"/>
      <c r="L468" s="1286"/>
      <c r="M468" s="1286"/>
      <c r="N468" s="188"/>
      <c r="O468" s="188"/>
      <c r="P468" s="330"/>
      <c r="Q468" s="330"/>
      <c r="R468" s="187"/>
      <c r="U468" s="331" t="str">
        <f ca="1">Calculos!BZ$113</f>
        <v>-</v>
      </c>
      <c r="V468" s="332"/>
      <c r="W468" s="1"/>
    </row>
    <row r="469" spans="1:23" ht="20.100000000000001" customHeight="1" x14ac:dyDescent="0.25">
      <c r="A469" s="18"/>
      <c r="B469" s="18"/>
      <c r="C469" s="18"/>
      <c r="D469" s="7"/>
      <c r="E469" s="326"/>
      <c r="F469" s="1471"/>
      <c r="G469" s="1471"/>
      <c r="H469" s="1471"/>
      <c r="I469" s="1471"/>
      <c r="J469" s="1286"/>
      <c r="K469" s="1286"/>
      <c r="L469" s="1286"/>
      <c r="M469" s="1286"/>
      <c r="N469" s="188"/>
      <c r="O469" s="188"/>
      <c r="P469" s="330"/>
      <c r="Q469" s="330"/>
      <c r="R469" s="187"/>
      <c r="U469" s="331" t="str">
        <f ca="1">Calculos!BZ$114</f>
        <v>-</v>
      </c>
      <c r="V469" s="332"/>
      <c r="W469" s="1"/>
    </row>
    <row r="470" spans="1:23" ht="20.100000000000001" customHeight="1" x14ac:dyDescent="0.25">
      <c r="A470" s="18"/>
      <c r="B470" s="18"/>
      <c r="C470" s="18"/>
      <c r="D470" s="7"/>
      <c r="E470" s="326"/>
      <c r="F470" s="1471"/>
      <c r="G470" s="1471"/>
      <c r="H470" s="1471"/>
      <c r="I470" s="1471"/>
      <c r="J470" s="1286"/>
      <c r="K470" s="1286"/>
      <c r="L470" s="1286"/>
      <c r="M470" s="1286"/>
      <c r="N470" s="188"/>
      <c r="O470" s="188"/>
      <c r="P470" s="330"/>
      <c r="Q470" s="330"/>
      <c r="R470" s="187"/>
      <c r="U470" s="331" t="str">
        <f ca="1">Calculos!BZ$115</f>
        <v>-</v>
      </c>
      <c r="V470" s="332"/>
      <c r="W470" s="1"/>
    </row>
    <row r="471" spans="1:23" ht="20.100000000000001" customHeight="1" x14ac:dyDescent="0.25">
      <c r="A471" s="18"/>
      <c r="B471" s="18"/>
      <c r="C471" s="18"/>
      <c r="D471" s="7"/>
      <c r="E471" s="326"/>
      <c r="F471" s="1471"/>
      <c r="G471" s="1471"/>
      <c r="H471" s="1471"/>
      <c r="I471" s="1471"/>
      <c r="J471" s="1286"/>
      <c r="K471" s="1286"/>
      <c r="L471" s="1286"/>
      <c r="M471" s="1286"/>
      <c r="N471" s="188"/>
      <c r="O471" s="188"/>
      <c r="P471" s="330"/>
      <c r="Q471" s="330"/>
      <c r="R471" s="187"/>
      <c r="U471" s="331" t="str">
        <f ca="1">Calculos!BZ$116</f>
        <v>-</v>
      </c>
      <c r="V471" s="332"/>
      <c r="W471" s="1"/>
    </row>
    <row r="472" spans="1:23" ht="20.100000000000001" customHeight="1" x14ac:dyDescent="0.25">
      <c r="A472" s="18"/>
      <c r="B472" s="18"/>
      <c r="C472" s="18"/>
      <c r="D472" s="7"/>
      <c r="E472" s="326"/>
      <c r="F472" s="1471"/>
      <c r="G472" s="1471"/>
      <c r="H472" s="1471"/>
      <c r="I472" s="1471"/>
      <c r="J472" s="1472" t="s">
        <v>80</v>
      </c>
      <c r="K472" s="1473"/>
      <c r="L472" s="1473"/>
      <c r="M472" s="1474"/>
      <c r="N472" s="188"/>
      <c r="O472" s="188"/>
      <c r="P472" s="330"/>
      <c r="Q472" s="330"/>
      <c r="R472" s="187" t="s">
        <v>10</v>
      </c>
      <c r="U472" s="331" t="str">
        <f ca="1">Calculos!BZ$117</f>
        <v>-</v>
      </c>
      <c r="V472" s="332"/>
      <c r="W472" s="1"/>
    </row>
    <row r="473" spans="1:23" ht="20.100000000000001" customHeight="1" x14ac:dyDescent="0.25">
      <c r="A473" s="18"/>
      <c r="B473" s="18"/>
      <c r="C473" s="18"/>
      <c r="D473" s="7"/>
      <c r="E473" s="326"/>
      <c r="V473" s="332"/>
      <c r="W473" s="1"/>
    </row>
    <row r="474" spans="1:23" ht="20.100000000000001" hidden="1" customHeight="1" x14ac:dyDescent="0.25">
      <c r="A474" s="18"/>
      <c r="B474" s="18"/>
      <c r="C474" s="18"/>
      <c r="D474" s="7"/>
      <c r="E474" s="326"/>
      <c r="V474" s="332"/>
      <c r="W474" s="1"/>
    </row>
    <row r="475" spans="1:23" ht="20.100000000000001" hidden="1" customHeight="1" x14ac:dyDescent="0.25">
      <c r="A475" s="18"/>
      <c r="B475" s="18"/>
      <c r="C475" s="18"/>
      <c r="D475" s="7"/>
      <c r="E475" s="326"/>
      <c r="V475" s="332"/>
      <c r="W475" s="1"/>
    </row>
    <row r="476" spans="1:23" ht="20.100000000000001" customHeight="1" x14ac:dyDescent="0.25">
      <c r="A476" s="18"/>
      <c r="B476" s="18"/>
      <c r="C476" s="18"/>
      <c r="D476" s="7"/>
      <c r="E476" s="326"/>
      <c r="V476" s="332"/>
      <c r="W476" s="1"/>
    </row>
    <row r="477" spans="1:23" ht="45" customHeight="1" x14ac:dyDescent="0.25">
      <c r="A477" s="18"/>
      <c r="B477" s="18"/>
      <c r="C477" s="18"/>
      <c r="D477" s="7"/>
      <c r="E477" s="326"/>
      <c r="F477" s="1475" t="s">
        <v>8617</v>
      </c>
      <c r="G477" s="1476"/>
      <c r="H477" s="1476"/>
      <c r="I477" s="1476"/>
      <c r="J477" s="1476"/>
      <c r="K477" s="1476"/>
      <c r="L477" s="1476"/>
      <c r="M477" s="1476"/>
      <c r="N477" s="333" t="str">
        <f ca="1">"Concentração"&amp;" "&amp;Calculos!$BJ$3</f>
        <v>Concentração -</v>
      </c>
      <c r="O477" s="333" t="s">
        <v>6038</v>
      </c>
      <c r="P477" s="333" t="s">
        <v>8126</v>
      </c>
      <c r="Q477" s="333" t="s">
        <v>8028</v>
      </c>
      <c r="R477" s="333" t="s">
        <v>8603</v>
      </c>
      <c r="S477" s="333" t="s">
        <v>8127</v>
      </c>
      <c r="U477" s="328" t="s">
        <v>119</v>
      </c>
      <c r="V477" s="332"/>
      <c r="W477" s="1"/>
    </row>
    <row r="478" spans="1:23" ht="20.100000000000001" customHeight="1" x14ac:dyDescent="0.25">
      <c r="A478" s="18"/>
      <c r="B478" s="18"/>
      <c r="C478" s="18"/>
      <c r="D478" s="7"/>
      <c r="E478" s="326"/>
      <c r="F478" s="1471" t="str">
        <f ca="1">Calculos!$BJ$5</f>
        <v>-</v>
      </c>
      <c r="G478" s="1471"/>
      <c r="H478" s="1471"/>
      <c r="I478" s="1471"/>
      <c r="J478" s="1472" t="s">
        <v>7103</v>
      </c>
      <c r="K478" s="1473"/>
      <c r="L478" s="1473"/>
      <c r="M478" s="1474"/>
      <c r="N478" s="334"/>
      <c r="O478" s="334"/>
      <c r="P478" s="335"/>
      <c r="Q478" s="335"/>
      <c r="R478" s="335">
        <v>0</v>
      </c>
      <c r="S478" s="331">
        <f>O478/2</f>
        <v>0</v>
      </c>
      <c r="U478" s="331" t="str">
        <f ca="1">Calculos!BZ$122</f>
        <v>-</v>
      </c>
      <c r="V478" s="332"/>
      <c r="W478" s="1"/>
    </row>
    <row r="479" spans="1:23" ht="20.100000000000001" customHeight="1" x14ac:dyDescent="0.25">
      <c r="A479" s="18"/>
      <c r="B479" s="18"/>
      <c r="C479" s="18"/>
      <c r="D479" s="7"/>
      <c r="E479" s="326"/>
      <c r="F479" s="1471"/>
      <c r="G479" s="1471"/>
      <c r="H479" s="1471"/>
      <c r="I479" s="1471"/>
      <c r="J479" s="1286" t="s">
        <v>8027</v>
      </c>
      <c r="K479" s="1286"/>
      <c r="L479" s="1286"/>
      <c r="M479" s="1286"/>
      <c r="N479" s="334"/>
      <c r="O479" s="334"/>
      <c r="P479" s="335"/>
      <c r="Q479" s="335"/>
      <c r="R479" s="335"/>
      <c r="U479" s="331" t="str">
        <f ca="1">Calculos!BZ$123</f>
        <v>-</v>
      </c>
      <c r="V479" s="332"/>
      <c r="W479" s="1"/>
    </row>
    <row r="480" spans="1:23" ht="20.100000000000001" customHeight="1" x14ac:dyDescent="0.25">
      <c r="A480" s="18"/>
      <c r="B480" s="18"/>
      <c r="C480" s="18"/>
      <c r="D480" s="7"/>
      <c r="E480" s="326"/>
      <c r="F480" s="1471"/>
      <c r="G480" s="1471"/>
      <c r="H480" s="1471"/>
      <c r="I480" s="1471"/>
      <c r="J480" s="1286"/>
      <c r="K480" s="1286"/>
      <c r="L480" s="1286"/>
      <c r="M480" s="1286"/>
      <c r="N480" s="334"/>
      <c r="O480" s="334"/>
      <c r="P480" s="335"/>
      <c r="Q480" s="335"/>
      <c r="R480" s="335"/>
      <c r="U480" s="331" t="str">
        <f ca="1">Calculos!BZ$124</f>
        <v>-</v>
      </c>
      <c r="V480" s="332"/>
      <c r="W480" s="7"/>
    </row>
    <row r="481" spans="1:23" ht="20.100000000000001" customHeight="1" x14ac:dyDescent="0.25">
      <c r="A481" s="18"/>
      <c r="B481" s="18"/>
      <c r="C481" s="18"/>
      <c r="D481" s="7"/>
      <c r="E481" s="326"/>
      <c r="F481" s="1471"/>
      <c r="G481" s="1471"/>
      <c r="H481" s="1471"/>
      <c r="I481" s="1471"/>
      <c r="J481" s="1286"/>
      <c r="K481" s="1286"/>
      <c r="L481" s="1286"/>
      <c r="M481" s="1286"/>
      <c r="N481" s="334"/>
      <c r="O481" s="334"/>
      <c r="P481" s="335"/>
      <c r="Q481" s="335"/>
      <c r="R481" s="335"/>
      <c r="U481" s="331" t="str">
        <f ca="1">Calculos!BZ$125</f>
        <v>-</v>
      </c>
      <c r="V481" s="332"/>
      <c r="W481" s="7"/>
    </row>
    <row r="482" spans="1:23" ht="20.100000000000001" customHeight="1" x14ac:dyDescent="0.25">
      <c r="A482" s="18"/>
      <c r="B482" s="18"/>
      <c r="C482" s="18"/>
      <c r="D482" s="7"/>
      <c r="E482" s="326"/>
      <c r="F482" s="1471"/>
      <c r="G482" s="1471"/>
      <c r="H482" s="1471"/>
      <c r="I482" s="1471"/>
      <c r="J482" s="1286"/>
      <c r="K482" s="1286"/>
      <c r="L482" s="1286"/>
      <c r="M482" s="1286"/>
      <c r="N482" s="334"/>
      <c r="O482" s="334"/>
      <c r="P482" s="335"/>
      <c r="Q482" s="335"/>
      <c r="R482" s="335"/>
      <c r="U482" s="331" t="str">
        <f ca="1">Calculos!BZ$126</f>
        <v>-</v>
      </c>
      <c r="V482" s="332"/>
      <c r="W482" s="1"/>
    </row>
    <row r="483" spans="1:23" ht="20.100000000000001" customHeight="1" x14ac:dyDescent="0.25">
      <c r="A483" s="18"/>
      <c r="B483" s="18"/>
      <c r="C483" s="18"/>
      <c r="D483" s="7"/>
      <c r="E483" s="326"/>
      <c r="F483" s="1471"/>
      <c r="G483" s="1471"/>
      <c r="H483" s="1471"/>
      <c r="I483" s="1471"/>
      <c r="J483" s="1286"/>
      <c r="K483" s="1286"/>
      <c r="L483" s="1286"/>
      <c r="M483" s="1286"/>
      <c r="N483" s="334"/>
      <c r="O483" s="334"/>
      <c r="P483" s="335"/>
      <c r="Q483" s="335"/>
      <c r="R483" s="335"/>
      <c r="U483" s="331" t="str">
        <f ca="1">Calculos!BZ$127</f>
        <v>-</v>
      </c>
      <c r="V483" s="332"/>
      <c r="W483" s="1"/>
    </row>
    <row r="484" spans="1:23" ht="20.100000000000001" customHeight="1" x14ac:dyDescent="0.25">
      <c r="A484" s="18"/>
      <c r="B484" s="18"/>
      <c r="C484" s="18"/>
      <c r="D484" s="7"/>
      <c r="E484" s="326"/>
      <c r="F484" s="1471"/>
      <c r="G484" s="1471"/>
      <c r="H484" s="1471"/>
      <c r="I484" s="1471"/>
      <c r="J484" s="1286"/>
      <c r="K484" s="1286"/>
      <c r="L484" s="1286"/>
      <c r="M484" s="1286"/>
      <c r="N484" s="334"/>
      <c r="O484" s="334"/>
      <c r="P484" s="335"/>
      <c r="Q484" s="335"/>
      <c r="R484" s="335"/>
      <c r="U484" s="331" t="str">
        <f ca="1">Calculos!BZ$128</f>
        <v>-</v>
      </c>
      <c r="V484" s="332"/>
      <c r="W484" s="1"/>
    </row>
    <row r="485" spans="1:23" ht="20.100000000000001" customHeight="1" x14ac:dyDescent="0.25">
      <c r="A485" s="18"/>
      <c r="B485" s="18"/>
      <c r="C485" s="18"/>
      <c r="D485" s="7"/>
      <c r="E485" s="326"/>
      <c r="F485" s="1471"/>
      <c r="G485" s="1471"/>
      <c r="H485" s="1471"/>
      <c r="I485" s="1471"/>
      <c r="J485" s="1286"/>
      <c r="K485" s="1286"/>
      <c r="L485" s="1286"/>
      <c r="M485" s="1286"/>
      <c r="N485" s="334"/>
      <c r="O485" s="334"/>
      <c r="P485" s="335"/>
      <c r="Q485" s="335"/>
      <c r="R485" s="335"/>
      <c r="U485" s="331" t="str">
        <f ca="1">Calculos!BZ$129</f>
        <v>-</v>
      </c>
      <c r="V485" s="332"/>
      <c r="W485" s="1"/>
    </row>
    <row r="486" spans="1:23" ht="20.100000000000001" customHeight="1" x14ac:dyDescent="0.25">
      <c r="A486" s="18"/>
      <c r="B486" s="18"/>
      <c r="C486" s="18"/>
      <c r="D486" s="7"/>
      <c r="E486" s="326"/>
      <c r="F486" s="1471"/>
      <c r="G486" s="1471"/>
      <c r="H486" s="1471"/>
      <c r="I486" s="1471"/>
      <c r="J486" s="1286"/>
      <c r="K486" s="1286"/>
      <c r="L486" s="1286"/>
      <c r="M486" s="1286"/>
      <c r="N486" s="334"/>
      <c r="O486" s="334"/>
      <c r="P486" s="335"/>
      <c r="Q486" s="335"/>
      <c r="R486" s="335"/>
      <c r="U486" s="331" t="str">
        <f ca="1">Calculos!BZ$130</f>
        <v>-</v>
      </c>
      <c r="V486" s="332"/>
      <c r="W486" s="1"/>
    </row>
    <row r="487" spans="1:23" ht="20.100000000000001" customHeight="1" x14ac:dyDescent="0.25">
      <c r="A487" s="18"/>
      <c r="B487" s="18"/>
      <c r="C487" s="18"/>
      <c r="D487" s="7"/>
      <c r="E487" s="326"/>
      <c r="F487" s="1471"/>
      <c r="G487" s="1471"/>
      <c r="H487" s="1471"/>
      <c r="I487" s="1471"/>
      <c r="J487" s="1286"/>
      <c r="K487" s="1286"/>
      <c r="L487" s="1286"/>
      <c r="M487" s="1286"/>
      <c r="N487" s="334"/>
      <c r="O487" s="334"/>
      <c r="P487" s="335"/>
      <c r="Q487" s="335"/>
      <c r="R487" s="335"/>
      <c r="U487" s="331" t="str">
        <f ca="1">Calculos!BZ$131</f>
        <v>-</v>
      </c>
      <c r="V487" s="332"/>
      <c r="W487" s="1"/>
    </row>
    <row r="488" spans="1:23" ht="20.100000000000001" customHeight="1" x14ac:dyDescent="0.25">
      <c r="A488" s="18"/>
      <c r="B488" s="18"/>
      <c r="C488" s="18"/>
      <c r="D488" s="7"/>
      <c r="E488" s="326"/>
      <c r="F488" s="1471"/>
      <c r="G488" s="1471"/>
      <c r="H488" s="1471"/>
      <c r="I488" s="1471"/>
      <c r="J488" s="1286"/>
      <c r="K488" s="1286"/>
      <c r="L488" s="1286"/>
      <c r="M488" s="1286"/>
      <c r="N488" s="334"/>
      <c r="O488" s="334"/>
      <c r="P488" s="335"/>
      <c r="Q488" s="335"/>
      <c r="R488" s="335"/>
      <c r="U488" s="331" t="str">
        <f ca="1">Calculos!BZ$132</f>
        <v>-</v>
      </c>
      <c r="V488" s="329"/>
      <c r="W488" s="1"/>
    </row>
    <row r="489" spans="1:23" ht="20.100000000000001" customHeight="1" x14ac:dyDescent="0.25">
      <c r="A489" s="18"/>
      <c r="B489" s="18"/>
      <c r="C489" s="18"/>
      <c r="D489" s="7"/>
      <c r="E489" s="326"/>
      <c r="F489" s="1471"/>
      <c r="G489" s="1471"/>
      <c r="H489" s="1471"/>
      <c r="I489" s="1471"/>
      <c r="J489" s="1472" t="s">
        <v>80</v>
      </c>
      <c r="K489" s="1473"/>
      <c r="L489" s="1473"/>
      <c r="M489" s="1474"/>
      <c r="N489" s="334"/>
      <c r="O489" s="334"/>
      <c r="P489" s="335"/>
      <c r="Q489" s="335"/>
      <c r="R489" s="335" t="s">
        <v>10</v>
      </c>
      <c r="U489" s="331" t="str">
        <f ca="1">Calculos!BZ$133</f>
        <v>-</v>
      </c>
      <c r="V489" s="329"/>
      <c r="W489" s="1"/>
    </row>
    <row r="490" spans="1:23" ht="20.100000000000001" hidden="1" customHeight="1" x14ac:dyDescent="0.25">
      <c r="A490" s="18"/>
      <c r="B490" s="18"/>
      <c r="C490" s="18"/>
      <c r="D490" s="7"/>
      <c r="E490" s="326"/>
      <c r="V490" s="329"/>
      <c r="W490" s="1"/>
    </row>
    <row r="491" spans="1:23" ht="20.100000000000001" customHeight="1" x14ac:dyDescent="0.25">
      <c r="A491" s="18"/>
      <c r="B491" s="18"/>
      <c r="C491" s="18"/>
      <c r="D491" s="7"/>
      <c r="E491" s="336"/>
      <c r="F491" s="337"/>
      <c r="G491" s="337"/>
      <c r="H491" s="337"/>
      <c r="I491" s="337"/>
      <c r="J491" s="337"/>
      <c r="K491" s="337"/>
      <c r="L491" s="337"/>
      <c r="M491" s="337"/>
      <c r="N491" s="337"/>
      <c r="O491" s="337"/>
      <c r="P491" s="337"/>
      <c r="Q491" s="337"/>
      <c r="R491" s="337"/>
      <c r="S491" s="337"/>
      <c r="T491" s="337"/>
      <c r="U491" s="337"/>
      <c r="V491" s="338"/>
      <c r="W491" s="1"/>
    </row>
    <row r="492" spans="1:23" ht="30" customHeight="1" x14ac:dyDescent="0.25">
      <c r="A492" s="18"/>
      <c r="B492" s="18"/>
      <c r="C492" s="18"/>
      <c r="D492" s="7"/>
      <c r="E492" s="7"/>
      <c r="F492" s="7"/>
      <c r="G492" s="7"/>
      <c r="H492" s="7"/>
      <c r="I492" s="7"/>
      <c r="J492" s="7"/>
      <c r="K492" s="7"/>
      <c r="L492" s="7"/>
      <c r="M492" s="7"/>
      <c r="N492" s="7"/>
      <c r="O492" s="7"/>
      <c r="P492" s="7"/>
      <c r="Q492" s="7"/>
      <c r="R492" s="7"/>
      <c r="S492" s="7"/>
      <c r="T492" s="7"/>
      <c r="U492" s="7"/>
      <c r="V492" s="7"/>
      <c r="W492" s="7"/>
    </row>
    <row r="493" spans="1:23" ht="20.100000000000001" customHeight="1" x14ac:dyDescent="0.25">
      <c r="A493" s="18"/>
      <c r="B493" s="18"/>
      <c r="C493" s="18"/>
      <c r="D493" s="7"/>
      <c r="E493" s="321"/>
      <c r="F493" s="322"/>
      <c r="G493" s="323"/>
      <c r="H493" s="323"/>
      <c r="I493" s="323"/>
      <c r="J493" s="323"/>
      <c r="K493" s="323"/>
      <c r="L493" s="323"/>
      <c r="M493" s="323"/>
      <c r="N493" s="323"/>
      <c r="O493" s="323"/>
      <c r="P493" s="323"/>
      <c r="Q493" s="323"/>
      <c r="R493" s="323"/>
      <c r="S493" s="339"/>
      <c r="T493" s="339"/>
      <c r="U493" s="340"/>
      <c r="V493" s="325"/>
      <c r="W493" s="1"/>
    </row>
    <row r="494" spans="1:23" ht="45" customHeight="1" x14ac:dyDescent="0.25">
      <c r="A494" s="18"/>
      <c r="B494" s="18"/>
      <c r="C494" s="18"/>
      <c r="D494" s="7"/>
      <c r="E494" s="326"/>
      <c r="F494" s="1469" t="s">
        <v>8609</v>
      </c>
      <c r="G494" s="1470"/>
      <c r="H494" s="1470"/>
      <c r="I494" s="1470"/>
      <c r="J494" s="1470"/>
      <c r="K494" s="1470"/>
      <c r="L494" s="1470"/>
      <c r="M494" s="1470"/>
      <c r="N494" s="327" t="str">
        <f ca="1">"Concentração"&amp;" "&amp;Calculos!$BJ$3</f>
        <v>Concentração -</v>
      </c>
      <c r="O494" s="327" t="s">
        <v>6038</v>
      </c>
      <c r="P494" s="327" t="s">
        <v>8126</v>
      </c>
      <c r="Q494" s="327" t="s">
        <v>8028</v>
      </c>
      <c r="R494" s="327" t="s">
        <v>8603</v>
      </c>
      <c r="S494" s="327" t="s">
        <v>8127</v>
      </c>
      <c r="U494" s="328" t="s">
        <v>119</v>
      </c>
      <c r="V494" s="332"/>
      <c r="W494" s="7"/>
    </row>
    <row r="495" spans="1:23" ht="20.100000000000001" customHeight="1" x14ac:dyDescent="0.25">
      <c r="A495" s="18"/>
      <c r="B495" s="18"/>
      <c r="C495" s="18"/>
      <c r="D495" s="7"/>
      <c r="E495" s="326"/>
      <c r="F495" s="1471" t="str">
        <f ca="1">Calculos!$BJ$5</f>
        <v>-</v>
      </c>
      <c r="G495" s="1471"/>
      <c r="H495" s="1471"/>
      <c r="I495" s="1471"/>
      <c r="J495" s="1472" t="s">
        <v>7103</v>
      </c>
      <c r="K495" s="1473"/>
      <c r="L495" s="1473"/>
      <c r="M495" s="1474"/>
      <c r="N495" s="188"/>
      <c r="O495" s="188"/>
      <c r="P495" s="330"/>
      <c r="Q495" s="330"/>
      <c r="R495" s="187">
        <v>0</v>
      </c>
      <c r="S495" s="331">
        <f>O495/2</f>
        <v>0</v>
      </c>
      <c r="U495" s="331" t="str">
        <f ca="1">Calculos!BZ$138</f>
        <v>-</v>
      </c>
      <c r="V495" s="332"/>
      <c r="W495" s="1"/>
    </row>
    <row r="496" spans="1:23" ht="20.100000000000001" customHeight="1" x14ac:dyDescent="0.25">
      <c r="A496" s="18"/>
      <c r="B496" s="18"/>
      <c r="C496" s="18"/>
      <c r="D496" s="7"/>
      <c r="E496" s="326"/>
      <c r="F496" s="1471"/>
      <c r="G496" s="1471"/>
      <c r="H496" s="1471"/>
      <c r="I496" s="1471"/>
      <c r="J496" s="1286" t="s">
        <v>8027</v>
      </c>
      <c r="K496" s="1286"/>
      <c r="L496" s="1286"/>
      <c r="M496" s="1286"/>
      <c r="N496" s="188"/>
      <c r="O496" s="188"/>
      <c r="P496" s="330"/>
      <c r="Q496" s="330"/>
      <c r="R496" s="187"/>
      <c r="U496" s="331" t="str">
        <f ca="1">Calculos!BZ$139</f>
        <v>-</v>
      </c>
      <c r="V496" s="332"/>
      <c r="W496" s="1"/>
    </row>
    <row r="497" spans="1:23" ht="20.100000000000001" customHeight="1" x14ac:dyDescent="0.25">
      <c r="A497" s="18"/>
      <c r="B497" s="18"/>
      <c r="C497" s="18"/>
      <c r="D497" s="7"/>
      <c r="E497" s="326"/>
      <c r="F497" s="1471"/>
      <c r="G497" s="1471"/>
      <c r="H497" s="1471"/>
      <c r="I497" s="1471"/>
      <c r="J497" s="1286"/>
      <c r="K497" s="1286"/>
      <c r="L497" s="1286"/>
      <c r="M497" s="1286"/>
      <c r="N497" s="188"/>
      <c r="O497" s="188"/>
      <c r="P497" s="330"/>
      <c r="Q497" s="330"/>
      <c r="R497" s="187"/>
      <c r="U497" s="331" t="str">
        <f ca="1">Calculos!BZ$140</f>
        <v>-</v>
      </c>
      <c r="V497" s="332"/>
      <c r="W497" s="1"/>
    </row>
    <row r="498" spans="1:23" ht="20.100000000000001" customHeight="1" x14ac:dyDescent="0.25">
      <c r="A498" s="18"/>
      <c r="B498" s="18"/>
      <c r="C498" s="18"/>
      <c r="D498" s="7"/>
      <c r="E498" s="326"/>
      <c r="F498" s="1471"/>
      <c r="G498" s="1471"/>
      <c r="H498" s="1471"/>
      <c r="I498" s="1471"/>
      <c r="J498" s="1286"/>
      <c r="K498" s="1286"/>
      <c r="L498" s="1286"/>
      <c r="M498" s="1286"/>
      <c r="N498" s="188"/>
      <c r="O498" s="188"/>
      <c r="P498" s="330"/>
      <c r="Q498" s="330"/>
      <c r="R498" s="187"/>
      <c r="U498" s="331" t="str">
        <f ca="1">Calculos!BZ$141</f>
        <v>-</v>
      </c>
      <c r="V498" s="332"/>
      <c r="W498" s="1"/>
    </row>
    <row r="499" spans="1:23" ht="20.100000000000001" customHeight="1" x14ac:dyDescent="0.25">
      <c r="A499" s="18"/>
      <c r="B499" s="18"/>
      <c r="C499" s="18"/>
      <c r="D499" s="7"/>
      <c r="E499" s="326"/>
      <c r="F499" s="1471"/>
      <c r="G499" s="1471"/>
      <c r="H499" s="1471"/>
      <c r="I499" s="1471"/>
      <c r="J499" s="1286"/>
      <c r="K499" s="1286"/>
      <c r="L499" s="1286"/>
      <c r="M499" s="1286"/>
      <c r="N499" s="188"/>
      <c r="O499" s="188"/>
      <c r="P499" s="330"/>
      <c r="Q499" s="330"/>
      <c r="R499" s="187"/>
      <c r="U499" s="331" t="str">
        <f ca="1">Calculos!BZ$142</f>
        <v>-</v>
      </c>
      <c r="V499" s="332"/>
      <c r="W499" s="1"/>
    </row>
    <row r="500" spans="1:23" ht="20.100000000000001" customHeight="1" x14ac:dyDescent="0.25">
      <c r="A500" s="18"/>
      <c r="B500" s="18"/>
      <c r="C500" s="18"/>
      <c r="D500" s="7"/>
      <c r="E500" s="326"/>
      <c r="F500" s="1471"/>
      <c r="G500" s="1471"/>
      <c r="H500" s="1471"/>
      <c r="I500" s="1471"/>
      <c r="J500" s="1286"/>
      <c r="K500" s="1286"/>
      <c r="L500" s="1286"/>
      <c r="M500" s="1286"/>
      <c r="N500" s="188"/>
      <c r="O500" s="188"/>
      <c r="P500" s="330"/>
      <c r="Q500" s="330"/>
      <c r="R500" s="187"/>
      <c r="U500" s="331" t="str">
        <f ca="1">Calculos!BZ$143</f>
        <v>-</v>
      </c>
      <c r="V500" s="332"/>
      <c r="W500" s="1"/>
    </row>
    <row r="501" spans="1:23" ht="20.100000000000001" customHeight="1" x14ac:dyDescent="0.25">
      <c r="A501" s="18"/>
      <c r="B501" s="18"/>
      <c r="C501" s="18"/>
      <c r="D501" s="7"/>
      <c r="E501" s="326"/>
      <c r="F501" s="1471"/>
      <c r="G501" s="1471"/>
      <c r="H501" s="1471"/>
      <c r="I501" s="1471"/>
      <c r="J501" s="1286"/>
      <c r="K501" s="1286"/>
      <c r="L501" s="1286"/>
      <c r="M501" s="1286"/>
      <c r="N501" s="188"/>
      <c r="O501" s="188"/>
      <c r="P501" s="330"/>
      <c r="Q501" s="330"/>
      <c r="R501" s="187"/>
      <c r="U501" s="331" t="str">
        <f ca="1">Calculos!BZ$144</f>
        <v>-</v>
      </c>
      <c r="V501" s="332"/>
      <c r="W501" s="1"/>
    </row>
    <row r="502" spans="1:23" ht="20.100000000000001" customHeight="1" x14ac:dyDescent="0.25">
      <c r="A502" s="18"/>
      <c r="B502" s="18"/>
      <c r="C502" s="18"/>
      <c r="D502" s="7"/>
      <c r="E502" s="326"/>
      <c r="F502" s="1471"/>
      <c r="G502" s="1471"/>
      <c r="H502" s="1471"/>
      <c r="I502" s="1471"/>
      <c r="J502" s="1286"/>
      <c r="K502" s="1286"/>
      <c r="L502" s="1286"/>
      <c r="M502" s="1286"/>
      <c r="N502" s="188"/>
      <c r="O502" s="188"/>
      <c r="P502" s="330"/>
      <c r="Q502" s="330"/>
      <c r="R502" s="187"/>
      <c r="U502" s="331" t="str">
        <f ca="1">Calculos!BZ$145</f>
        <v>-</v>
      </c>
      <c r="V502" s="332"/>
      <c r="W502" s="1"/>
    </row>
    <row r="503" spans="1:23" ht="20.100000000000001" customHeight="1" x14ac:dyDescent="0.25">
      <c r="A503" s="18"/>
      <c r="B503" s="18"/>
      <c r="C503" s="18"/>
      <c r="D503" s="7"/>
      <c r="E503" s="326"/>
      <c r="F503" s="1471"/>
      <c r="G503" s="1471"/>
      <c r="H503" s="1471"/>
      <c r="I503" s="1471"/>
      <c r="J503" s="1286"/>
      <c r="K503" s="1286"/>
      <c r="L503" s="1286"/>
      <c r="M503" s="1286"/>
      <c r="N503" s="188"/>
      <c r="O503" s="188"/>
      <c r="P503" s="330"/>
      <c r="Q503" s="330"/>
      <c r="R503" s="187"/>
      <c r="U503" s="331" t="str">
        <f ca="1">Calculos!BZ$146</f>
        <v>-</v>
      </c>
      <c r="V503" s="332"/>
      <c r="W503" s="1"/>
    </row>
    <row r="504" spans="1:23" ht="20.100000000000001" customHeight="1" x14ac:dyDescent="0.25">
      <c r="A504" s="18"/>
      <c r="B504" s="18"/>
      <c r="C504" s="18"/>
      <c r="D504" s="7"/>
      <c r="E504" s="326"/>
      <c r="F504" s="1471"/>
      <c r="G504" s="1471"/>
      <c r="H504" s="1471"/>
      <c r="I504" s="1471"/>
      <c r="J504" s="1286"/>
      <c r="K504" s="1286"/>
      <c r="L504" s="1286"/>
      <c r="M504" s="1286"/>
      <c r="N504" s="188"/>
      <c r="O504" s="188"/>
      <c r="P504" s="330"/>
      <c r="Q504" s="330"/>
      <c r="R504" s="187"/>
      <c r="U504" s="331" t="str">
        <f ca="1">Calculos!BZ$147</f>
        <v>-</v>
      </c>
      <c r="V504" s="332"/>
      <c r="W504" s="1"/>
    </row>
    <row r="505" spans="1:23" ht="20.100000000000001" customHeight="1" x14ac:dyDescent="0.25">
      <c r="A505" s="18"/>
      <c r="B505" s="18"/>
      <c r="C505" s="18"/>
      <c r="D505" s="7"/>
      <c r="E505" s="326"/>
      <c r="F505" s="1471"/>
      <c r="G505" s="1471"/>
      <c r="H505" s="1471"/>
      <c r="I505" s="1471"/>
      <c r="J505" s="1286"/>
      <c r="K505" s="1286"/>
      <c r="L505" s="1286"/>
      <c r="M505" s="1286"/>
      <c r="N505" s="188"/>
      <c r="O505" s="188"/>
      <c r="P505" s="330"/>
      <c r="Q505" s="330"/>
      <c r="R505" s="187"/>
      <c r="U505" s="331" t="str">
        <f ca="1">Calculos!BZ$148</f>
        <v>-</v>
      </c>
      <c r="V505" s="332"/>
      <c r="W505" s="1"/>
    </row>
    <row r="506" spans="1:23" ht="20.100000000000001" customHeight="1" x14ac:dyDescent="0.25">
      <c r="A506" s="18"/>
      <c r="B506" s="18"/>
      <c r="C506" s="18"/>
      <c r="D506" s="7"/>
      <c r="E506" s="326"/>
      <c r="F506" s="1471"/>
      <c r="G506" s="1471"/>
      <c r="H506" s="1471"/>
      <c r="I506" s="1471"/>
      <c r="J506" s="1472" t="s">
        <v>80</v>
      </c>
      <c r="K506" s="1473"/>
      <c r="L506" s="1473"/>
      <c r="M506" s="1474"/>
      <c r="N506" s="188"/>
      <c r="O506" s="188"/>
      <c r="P506" s="330"/>
      <c r="Q506" s="330"/>
      <c r="R506" s="187" t="s">
        <v>10</v>
      </c>
      <c r="U506" s="331" t="str">
        <f ca="1">Calculos!BZ$149</f>
        <v>-</v>
      </c>
      <c r="V506" s="332"/>
      <c r="W506" s="1"/>
    </row>
    <row r="507" spans="1:23" ht="20.100000000000001" customHeight="1" x14ac:dyDescent="0.25">
      <c r="A507" s="18"/>
      <c r="B507" s="18"/>
      <c r="C507" s="18"/>
      <c r="D507" s="7"/>
      <c r="E507" s="326"/>
      <c r="V507" s="332"/>
      <c r="W507" s="1"/>
    </row>
    <row r="508" spans="1:23" ht="20.100000000000001" hidden="1" customHeight="1" x14ac:dyDescent="0.25">
      <c r="A508" s="18"/>
      <c r="B508" s="18"/>
      <c r="C508" s="18"/>
      <c r="D508" s="7"/>
      <c r="E508" s="326"/>
      <c r="V508" s="332"/>
      <c r="W508" s="1"/>
    </row>
    <row r="509" spans="1:23" ht="20.100000000000001" hidden="1" customHeight="1" x14ac:dyDescent="0.25">
      <c r="A509" s="18"/>
      <c r="B509" s="18"/>
      <c r="C509" s="18"/>
      <c r="D509" s="7"/>
      <c r="E509" s="326"/>
      <c r="V509" s="332"/>
      <c r="W509" s="1"/>
    </row>
    <row r="510" spans="1:23" ht="20.100000000000001" customHeight="1" x14ac:dyDescent="0.25">
      <c r="A510" s="18"/>
      <c r="B510" s="18"/>
      <c r="C510" s="18"/>
      <c r="D510" s="7"/>
      <c r="E510" s="326"/>
      <c r="V510" s="332"/>
      <c r="W510" s="7"/>
    </row>
    <row r="511" spans="1:23" ht="45" customHeight="1" x14ac:dyDescent="0.25">
      <c r="A511" s="18"/>
      <c r="B511" s="18"/>
      <c r="C511" s="18"/>
      <c r="D511" s="7"/>
      <c r="E511" s="326"/>
      <c r="F511" s="1475" t="s">
        <v>8618</v>
      </c>
      <c r="G511" s="1476"/>
      <c r="H511" s="1476"/>
      <c r="I511" s="1476"/>
      <c r="J511" s="1476"/>
      <c r="K511" s="1476"/>
      <c r="L511" s="1476"/>
      <c r="M511" s="1476"/>
      <c r="N511" s="333" t="str">
        <f ca="1">"Concentração"&amp;" "&amp;Calculos!$BJ$3</f>
        <v>Concentração -</v>
      </c>
      <c r="O511" s="333" t="s">
        <v>6038</v>
      </c>
      <c r="P511" s="333" t="s">
        <v>8126</v>
      </c>
      <c r="Q511" s="333" t="s">
        <v>8028</v>
      </c>
      <c r="R511" s="333" t="s">
        <v>8603</v>
      </c>
      <c r="S511" s="333" t="s">
        <v>8127</v>
      </c>
      <c r="U511" s="328" t="s">
        <v>119</v>
      </c>
      <c r="V511" s="332"/>
      <c r="W511" s="1"/>
    </row>
    <row r="512" spans="1:23" ht="20.100000000000001" customHeight="1" x14ac:dyDescent="0.25">
      <c r="A512" s="18"/>
      <c r="B512" s="18"/>
      <c r="C512" s="18"/>
      <c r="D512" s="7"/>
      <c r="E512" s="326"/>
      <c r="F512" s="1471" t="str">
        <f ca="1">Calculos!$BJ$5</f>
        <v>-</v>
      </c>
      <c r="G512" s="1471"/>
      <c r="H512" s="1471"/>
      <c r="I512" s="1471"/>
      <c r="J512" s="1472" t="s">
        <v>7103</v>
      </c>
      <c r="K512" s="1473"/>
      <c r="L512" s="1473"/>
      <c r="M512" s="1474"/>
      <c r="N512" s="334"/>
      <c r="O512" s="334"/>
      <c r="P512" s="335"/>
      <c r="Q512" s="335"/>
      <c r="R512" s="335">
        <v>0</v>
      </c>
      <c r="S512" s="331">
        <f>O512/2</f>
        <v>0</v>
      </c>
      <c r="U512" s="331" t="str">
        <f ca="1">Calculos!BZ$154</f>
        <v>-</v>
      </c>
      <c r="V512" s="332"/>
      <c r="W512" s="1"/>
    </row>
    <row r="513" spans="1:23" ht="20.100000000000001" customHeight="1" x14ac:dyDescent="0.25">
      <c r="A513" s="18"/>
      <c r="B513" s="18"/>
      <c r="C513" s="18"/>
      <c r="D513" s="7"/>
      <c r="E513" s="326"/>
      <c r="F513" s="1471"/>
      <c r="G513" s="1471"/>
      <c r="H513" s="1471"/>
      <c r="I513" s="1471"/>
      <c r="J513" s="1286" t="s">
        <v>8027</v>
      </c>
      <c r="K513" s="1286"/>
      <c r="L513" s="1286"/>
      <c r="M513" s="1286"/>
      <c r="N513" s="334"/>
      <c r="O513" s="334"/>
      <c r="P513" s="335"/>
      <c r="Q513" s="335"/>
      <c r="R513" s="335"/>
      <c r="U513" s="331" t="str">
        <f ca="1">Calculos!BZ$155</f>
        <v>-</v>
      </c>
      <c r="V513" s="332"/>
      <c r="W513" s="1"/>
    </row>
    <row r="514" spans="1:23" ht="20.100000000000001" customHeight="1" x14ac:dyDescent="0.25">
      <c r="A514" s="18"/>
      <c r="B514" s="18"/>
      <c r="C514" s="18"/>
      <c r="D514" s="7"/>
      <c r="E514" s="326"/>
      <c r="F514" s="1471"/>
      <c r="G514" s="1471"/>
      <c r="H514" s="1471"/>
      <c r="I514" s="1471"/>
      <c r="J514" s="1286"/>
      <c r="K514" s="1286"/>
      <c r="L514" s="1286"/>
      <c r="M514" s="1286"/>
      <c r="N514" s="334"/>
      <c r="O514" s="334"/>
      <c r="P514" s="335"/>
      <c r="Q514" s="335"/>
      <c r="R514" s="335"/>
      <c r="U514" s="331" t="str">
        <f ca="1">Calculos!BZ$156</f>
        <v>-</v>
      </c>
      <c r="V514" s="332"/>
      <c r="W514" s="1"/>
    </row>
    <row r="515" spans="1:23" ht="20.100000000000001" customHeight="1" x14ac:dyDescent="0.25">
      <c r="A515" s="18"/>
      <c r="B515" s="18"/>
      <c r="C515" s="18"/>
      <c r="D515" s="7"/>
      <c r="E515" s="326"/>
      <c r="F515" s="1471"/>
      <c r="G515" s="1471"/>
      <c r="H515" s="1471"/>
      <c r="I515" s="1471"/>
      <c r="J515" s="1286"/>
      <c r="K515" s="1286"/>
      <c r="L515" s="1286"/>
      <c r="M515" s="1286"/>
      <c r="N515" s="334"/>
      <c r="O515" s="334"/>
      <c r="P515" s="335"/>
      <c r="Q515" s="335"/>
      <c r="R515" s="335"/>
      <c r="U515" s="331" t="str">
        <f ca="1">Calculos!BZ$157</f>
        <v>-</v>
      </c>
      <c r="V515" s="332"/>
      <c r="W515" s="1"/>
    </row>
    <row r="516" spans="1:23" ht="20.100000000000001" customHeight="1" x14ac:dyDescent="0.25">
      <c r="A516" s="18"/>
      <c r="B516" s="18"/>
      <c r="C516" s="18"/>
      <c r="D516" s="7"/>
      <c r="E516" s="326"/>
      <c r="F516" s="1471"/>
      <c r="G516" s="1471"/>
      <c r="H516" s="1471"/>
      <c r="I516" s="1471"/>
      <c r="J516" s="1286"/>
      <c r="K516" s="1286"/>
      <c r="L516" s="1286"/>
      <c r="M516" s="1286"/>
      <c r="N516" s="334"/>
      <c r="O516" s="334"/>
      <c r="P516" s="335"/>
      <c r="Q516" s="335"/>
      <c r="R516" s="335"/>
      <c r="U516" s="331" t="str">
        <f ca="1">Calculos!BZ$158</f>
        <v>-</v>
      </c>
      <c r="V516" s="332"/>
      <c r="W516" s="1"/>
    </row>
    <row r="517" spans="1:23" ht="20.100000000000001" customHeight="1" x14ac:dyDescent="0.25">
      <c r="A517" s="18"/>
      <c r="B517" s="18"/>
      <c r="C517" s="18"/>
      <c r="D517" s="7"/>
      <c r="E517" s="326"/>
      <c r="F517" s="1471"/>
      <c r="G517" s="1471"/>
      <c r="H517" s="1471"/>
      <c r="I517" s="1471"/>
      <c r="J517" s="1286"/>
      <c r="K517" s="1286"/>
      <c r="L517" s="1286"/>
      <c r="M517" s="1286"/>
      <c r="N517" s="334"/>
      <c r="O517" s="334"/>
      <c r="P517" s="335"/>
      <c r="Q517" s="335"/>
      <c r="R517" s="335"/>
      <c r="U517" s="331" t="str">
        <f ca="1">Calculos!BZ$159</f>
        <v>-</v>
      </c>
      <c r="V517" s="332"/>
      <c r="W517" s="1"/>
    </row>
    <row r="518" spans="1:23" ht="20.100000000000001" customHeight="1" x14ac:dyDescent="0.25">
      <c r="A518" s="18"/>
      <c r="B518" s="18"/>
      <c r="C518" s="18"/>
      <c r="D518" s="7"/>
      <c r="E518" s="326"/>
      <c r="F518" s="1471"/>
      <c r="G518" s="1471"/>
      <c r="H518" s="1471"/>
      <c r="I518" s="1471"/>
      <c r="J518" s="1286"/>
      <c r="K518" s="1286"/>
      <c r="L518" s="1286"/>
      <c r="M518" s="1286"/>
      <c r="N518" s="334"/>
      <c r="O518" s="334"/>
      <c r="P518" s="335"/>
      <c r="Q518" s="335"/>
      <c r="R518" s="335"/>
      <c r="U518" s="331" t="str">
        <f ca="1">Calculos!BZ$160</f>
        <v>-</v>
      </c>
      <c r="V518" s="332"/>
      <c r="W518" s="1"/>
    </row>
    <row r="519" spans="1:23" ht="20.100000000000001" customHeight="1" x14ac:dyDescent="0.25">
      <c r="A519" s="18"/>
      <c r="B519" s="18"/>
      <c r="C519" s="18"/>
      <c r="D519" s="7"/>
      <c r="E519" s="326"/>
      <c r="F519" s="1471"/>
      <c r="G519" s="1471"/>
      <c r="H519" s="1471"/>
      <c r="I519" s="1471"/>
      <c r="J519" s="1286"/>
      <c r="K519" s="1286"/>
      <c r="L519" s="1286"/>
      <c r="M519" s="1286"/>
      <c r="N519" s="334"/>
      <c r="O519" s="334"/>
      <c r="P519" s="335"/>
      <c r="Q519" s="335"/>
      <c r="R519" s="335"/>
      <c r="U519" s="331" t="str">
        <f ca="1">Calculos!BZ$161</f>
        <v>-</v>
      </c>
      <c r="V519" s="332"/>
      <c r="W519" s="1"/>
    </row>
    <row r="520" spans="1:23" ht="20.100000000000001" customHeight="1" x14ac:dyDescent="0.25">
      <c r="A520" s="18"/>
      <c r="B520" s="18"/>
      <c r="C520" s="18"/>
      <c r="D520" s="7"/>
      <c r="E520" s="326"/>
      <c r="F520" s="1471"/>
      <c r="G520" s="1471"/>
      <c r="H520" s="1471"/>
      <c r="I520" s="1471"/>
      <c r="J520" s="1286"/>
      <c r="K520" s="1286"/>
      <c r="L520" s="1286"/>
      <c r="M520" s="1286"/>
      <c r="N520" s="334"/>
      <c r="O520" s="334"/>
      <c r="P520" s="335"/>
      <c r="Q520" s="335"/>
      <c r="R520" s="335"/>
      <c r="U520" s="331" t="str">
        <f ca="1">Calculos!BZ$162</f>
        <v>-</v>
      </c>
      <c r="V520" s="332"/>
      <c r="W520" s="1"/>
    </row>
    <row r="521" spans="1:23" ht="20.100000000000001" customHeight="1" x14ac:dyDescent="0.25">
      <c r="A521" s="18"/>
      <c r="B521" s="18"/>
      <c r="C521" s="18"/>
      <c r="D521" s="7"/>
      <c r="E521" s="326"/>
      <c r="F521" s="1471"/>
      <c r="G521" s="1471"/>
      <c r="H521" s="1471"/>
      <c r="I521" s="1471"/>
      <c r="J521" s="1286"/>
      <c r="K521" s="1286"/>
      <c r="L521" s="1286"/>
      <c r="M521" s="1286"/>
      <c r="N521" s="334"/>
      <c r="O521" s="334"/>
      <c r="P521" s="335"/>
      <c r="Q521" s="335"/>
      <c r="R521" s="335"/>
      <c r="U521" s="331" t="str">
        <f ca="1">Calculos!BZ$163</f>
        <v>-</v>
      </c>
      <c r="V521" s="332"/>
      <c r="W521" s="1"/>
    </row>
    <row r="522" spans="1:23" ht="20.100000000000001" customHeight="1" x14ac:dyDescent="0.25">
      <c r="A522" s="18"/>
      <c r="B522" s="18"/>
      <c r="C522" s="18"/>
      <c r="D522" s="7"/>
      <c r="E522" s="326"/>
      <c r="F522" s="1471"/>
      <c r="G522" s="1471"/>
      <c r="H522" s="1471"/>
      <c r="I522" s="1471"/>
      <c r="J522" s="1286"/>
      <c r="K522" s="1286"/>
      <c r="L522" s="1286"/>
      <c r="M522" s="1286"/>
      <c r="N522" s="334"/>
      <c r="O522" s="334"/>
      <c r="P522" s="335"/>
      <c r="Q522" s="335"/>
      <c r="R522" s="335"/>
      <c r="U522" s="331" t="str">
        <f ca="1">Calculos!BZ$164</f>
        <v>-</v>
      </c>
      <c r="V522" s="329"/>
      <c r="W522" s="1"/>
    </row>
    <row r="523" spans="1:23" ht="20.100000000000001" customHeight="1" x14ac:dyDescent="0.25">
      <c r="A523" s="18"/>
      <c r="B523" s="18"/>
      <c r="C523" s="18"/>
      <c r="D523" s="7"/>
      <c r="E523" s="326"/>
      <c r="F523" s="1471"/>
      <c r="G523" s="1471"/>
      <c r="H523" s="1471"/>
      <c r="I523" s="1471"/>
      <c r="J523" s="1472" t="s">
        <v>80</v>
      </c>
      <c r="K523" s="1473"/>
      <c r="L523" s="1473"/>
      <c r="M523" s="1474"/>
      <c r="N523" s="334"/>
      <c r="O523" s="334"/>
      <c r="P523" s="335"/>
      <c r="Q523" s="335"/>
      <c r="R523" s="335" t="s">
        <v>10</v>
      </c>
      <c r="U523" s="331" t="str">
        <f ca="1">Calculos!BZ$165</f>
        <v>-</v>
      </c>
      <c r="V523" s="329"/>
      <c r="W523" s="1"/>
    </row>
    <row r="524" spans="1:23" ht="20.100000000000001" hidden="1" customHeight="1" x14ac:dyDescent="0.25">
      <c r="A524" s="18"/>
      <c r="B524" s="18"/>
      <c r="C524" s="18"/>
      <c r="D524" s="7"/>
      <c r="E524" s="326"/>
      <c r="V524" s="329"/>
      <c r="W524" s="1"/>
    </row>
    <row r="525" spans="1:23" ht="20.100000000000001" customHeight="1" x14ac:dyDescent="0.25">
      <c r="A525" s="18"/>
      <c r="B525" s="18"/>
      <c r="C525" s="18"/>
      <c r="D525" s="7"/>
      <c r="E525" s="336"/>
      <c r="F525" s="337"/>
      <c r="G525" s="337"/>
      <c r="H525" s="337"/>
      <c r="I525" s="337"/>
      <c r="J525" s="337"/>
      <c r="K525" s="337"/>
      <c r="L525" s="337"/>
      <c r="M525" s="337"/>
      <c r="N525" s="337"/>
      <c r="O525" s="337"/>
      <c r="P525" s="337"/>
      <c r="Q525" s="337"/>
      <c r="R525" s="337"/>
      <c r="S525" s="337"/>
      <c r="T525" s="337"/>
      <c r="U525" s="337"/>
      <c r="V525" s="338"/>
      <c r="W525" s="1"/>
    </row>
    <row r="526" spans="1:23" ht="30" customHeight="1" x14ac:dyDescent="0.25">
      <c r="A526" s="18"/>
      <c r="B526" s="18"/>
      <c r="C526" s="18"/>
      <c r="D526" s="7"/>
      <c r="E526" s="1"/>
      <c r="F526" s="1"/>
      <c r="G526" s="1"/>
      <c r="H526" s="1"/>
      <c r="I526" s="1"/>
      <c r="J526" s="1"/>
      <c r="K526" s="1"/>
      <c r="L526" s="1"/>
      <c r="M526" s="1"/>
      <c r="N526" s="1"/>
      <c r="O526" s="1"/>
      <c r="P526" s="1"/>
      <c r="Q526" s="1"/>
      <c r="R526" s="1"/>
      <c r="S526" s="1"/>
      <c r="T526" s="1"/>
      <c r="U526" s="1"/>
      <c r="V526" s="1"/>
      <c r="W526" s="1"/>
    </row>
    <row r="527" spans="1:23" ht="20.100000000000001" customHeight="1" x14ac:dyDescent="0.25">
      <c r="A527" s="18"/>
      <c r="B527" s="18"/>
      <c r="C527" s="18"/>
      <c r="D527" s="7"/>
      <c r="E527" s="321"/>
      <c r="F527" s="322"/>
      <c r="G527" s="323"/>
      <c r="H527" s="323"/>
      <c r="I527" s="323"/>
      <c r="J527" s="323"/>
      <c r="K527" s="323"/>
      <c r="L527" s="323"/>
      <c r="M527" s="323"/>
      <c r="N527" s="323"/>
      <c r="O527" s="323"/>
      <c r="P527" s="323"/>
      <c r="Q527" s="323"/>
      <c r="R527" s="339"/>
      <c r="S527" s="339"/>
      <c r="T527" s="339"/>
      <c r="U527" s="339"/>
      <c r="V527" s="342"/>
      <c r="W527" s="1"/>
    </row>
    <row r="528" spans="1:23" ht="45" customHeight="1" x14ac:dyDescent="0.25">
      <c r="A528" s="18"/>
      <c r="B528" s="18"/>
      <c r="C528" s="18"/>
      <c r="D528" s="7"/>
      <c r="E528" s="326"/>
      <c r="F528" s="1469" t="s">
        <v>8610</v>
      </c>
      <c r="G528" s="1470"/>
      <c r="H528" s="1470"/>
      <c r="I528" s="1470"/>
      <c r="J528" s="1470"/>
      <c r="K528" s="1470"/>
      <c r="L528" s="1470"/>
      <c r="M528" s="1470"/>
      <c r="N528" s="327" t="str">
        <f ca="1">"Concentração"&amp;" "&amp;Calculos!$BJ$3</f>
        <v>Concentração -</v>
      </c>
      <c r="O528" s="327" t="s">
        <v>6038</v>
      </c>
      <c r="P528" s="327" t="s">
        <v>8126</v>
      </c>
      <c r="Q528" s="327" t="s">
        <v>8028</v>
      </c>
      <c r="R528" s="327" t="s">
        <v>8603</v>
      </c>
      <c r="S528" s="327" t="s">
        <v>8127</v>
      </c>
      <c r="U528" s="328" t="s">
        <v>119</v>
      </c>
      <c r="V528" s="332"/>
      <c r="W528" s="7"/>
    </row>
    <row r="529" spans="1:23" ht="20.100000000000001" customHeight="1" x14ac:dyDescent="0.25">
      <c r="A529" s="18"/>
      <c r="B529" s="18"/>
      <c r="C529" s="18"/>
      <c r="D529" s="7"/>
      <c r="E529" s="326"/>
      <c r="F529" s="1471" t="str">
        <f ca="1">Calculos!$BJ$5</f>
        <v>-</v>
      </c>
      <c r="G529" s="1471"/>
      <c r="H529" s="1471"/>
      <c r="I529" s="1471"/>
      <c r="J529" s="1472" t="s">
        <v>7103</v>
      </c>
      <c r="K529" s="1473"/>
      <c r="L529" s="1473"/>
      <c r="M529" s="1474"/>
      <c r="N529" s="188"/>
      <c r="O529" s="188"/>
      <c r="P529" s="330"/>
      <c r="Q529" s="330"/>
      <c r="R529" s="187">
        <v>0</v>
      </c>
      <c r="S529" s="331">
        <f>O529/2</f>
        <v>0</v>
      </c>
      <c r="U529" s="331" t="str">
        <f ca="1">Calculos!BZ$170</f>
        <v>-</v>
      </c>
      <c r="V529" s="332"/>
      <c r="W529" s="1"/>
    </row>
    <row r="530" spans="1:23" ht="20.100000000000001" customHeight="1" x14ac:dyDescent="0.25">
      <c r="A530" s="18"/>
      <c r="B530" s="18"/>
      <c r="C530" s="18"/>
      <c r="D530" s="7"/>
      <c r="E530" s="326"/>
      <c r="F530" s="1471"/>
      <c r="G530" s="1471"/>
      <c r="H530" s="1471"/>
      <c r="I530" s="1471"/>
      <c r="J530" s="1286" t="s">
        <v>8027</v>
      </c>
      <c r="K530" s="1286"/>
      <c r="L530" s="1286"/>
      <c r="M530" s="1286"/>
      <c r="N530" s="188"/>
      <c r="O530" s="188"/>
      <c r="P530" s="330"/>
      <c r="Q530" s="330"/>
      <c r="R530" s="187"/>
      <c r="U530" s="331" t="str">
        <f ca="1">Calculos!BZ$171</f>
        <v>-</v>
      </c>
      <c r="V530" s="332"/>
      <c r="W530" s="1"/>
    </row>
    <row r="531" spans="1:23" ht="20.100000000000001" customHeight="1" x14ac:dyDescent="0.25">
      <c r="A531" s="18"/>
      <c r="B531" s="18"/>
      <c r="C531" s="18"/>
      <c r="D531" s="7"/>
      <c r="E531" s="326"/>
      <c r="F531" s="1471"/>
      <c r="G531" s="1471"/>
      <c r="H531" s="1471"/>
      <c r="I531" s="1471"/>
      <c r="J531" s="1286"/>
      <c r="K531" s="1286"/>
      <c r="L531" s="1286"/>
      <c r="M531" s="1286"/>
      <c r="N531" s="188"/>
      <c r="O531" s="188"/>
      <c r="P531" s="330"/>
      <c r="Q531" s="330"/>
      <c r="R531" s="187"/>
      <c r="U531" s="331" t="str">
        <f ca="1">Calculos!BZ$172</f>
        <v>-</v>
      </c>
      <c r="V531" s="332"/>
      <c r="W531" s="1"/>
    </row>
    <row r="532" spans="1:23" ht="20.100000000000001" customHeight="1" x14ac:dyDescent="0.25">
      <c r="A532" s="18"/>
      <c r="B532" s="18"/>
      <c r="C532" s="18"/>
      <c r="D532" s="7"/>
      <c r="E532" s="326"/>
      <c r="F532" s="1471"/>
      <c r="G532" s="1471"/>
      <c r="H532" s="1471"/>
      <c r="I532" s="1471"/>
      <c r="J532" s="1286"/>
      <c r="K532" s="1286"/>
      <c r="L532" s="1286"/>
      <c r="M532" s="1286"/>
      <c r="N532" s="188"/>
      <c r="O532" s="188"/>
      <c r="P532" s="330"/>
      <c r="Q532" s="330"/>
      <c r="R532" s="187"/>
      <c r="U532" s="331" t="str">
        <f ca="1">Calculos!BZ$173</f>
        <v>-</v>
      </c>
      <c r="V532" s="332"/>
      <c r="W532" s="1"/>
    </row>
    <row r="533" spans="1:23" ht="20.100000000000001" customHeight="1" x14ac:dyDescent="0.25">
      <c r="A533" s="18"/>
      <c r="B533" s="18"/>
      <c r="C533" s="18"/>
      <c r="D533" s="7"/>
      <c r="E533" s="326"/>
      <c r="F533" s="1471"/>
      <c r="G533" s="1471"/>
      <c r="H533" s="1471"/>
      <c r="I533" s="1471"/>
      <c r="J533" s="1286"/>
      <c r="K533" s="1286"/>
      <c r="L533" s="1286"/>
      <c r="M533" s="1286"/>
      <c r="N533" s="188"/>
      <c r="O533" s="188"/>
      <c r="P533" s="330"/>
      <c r="Q533" s="330"/>
      <c r="R533" s="187"/>
      <c r="U533" s="331" t="str">
        <f ca="1">Calculos!BZ$174</f>
        <v>-</v>
      </c>
      <c r="V533" s="332"/>
      <c r="W533" s="1"/>
    </row>
    <row r="534" spans="1:23" ht="20.100000000000001" customHeight="1" x14ac:dyDescent="0.25">
      <c r="A534" s="18"/>
      <c r="B534" s="18"/>
      <c r="C534" s="18"/>
      <c r="D534" s="7"/>
      <c r="E534" s="326"/>
      <c r="F534" s="1471"/>
      <c r="G534" s="1471"/>
      <c r="H534" s="1471"/>
      <c r="I534" s="1471"/>
      <c r="J534" s="1286"/>
      <c r="K534" s="1286"/>
      <c r="L534" s="1286"/>
      <c r="M534" s="1286"/>
      <c r="N534" s="188"/>
      <c r="O534" s="188"/>
      <c r="P534" s="330"/>
      <c r="Q534" s="330"/>
      <c r="R534" s="187"/>
      <c r="U534" s="331" t="str">
        <f ca="1">Calculos!BZ$175</f>
        <v>-</v>
      </c>
      <c r="V534" s="332"/>
      <c r="W534" s="1"/>
    </row>
    <row r="535" spans="1:23" ht="20.100000000000001" customHeight="1" x14ac:dyDescent="0.25">
      <c r="A535" s="18"/>
      <c r="B535" s="18"/>
      <c r="C535" s="18"/>
      <c r="D535" s="7"/>
      <c r="E535" s="326"/>
      <c r="F535" s="1471"/>
      <c r="G535" s="1471"/>
      <c r="H535" s="1471"/>
      <c r="I535" s="1471"/>
      <c r="J535" s="1286"/>
      <c r="K535" s="1286"/>
      <c r="L535" s="1286"/>
      <c r="M535" s="1286"/>
      <c r="N535" s="188"/>
      <c r="O535" s="188"/>
      <c r="P535" s="330"/>
      <c r="Q535" s="330"/>
      <c r="R535" s="187"/>
      <c r="U535" s="331" t="str">
        <f ca="1">Calculos!BZ$176</f>
        <v>-</v>
      </c>
      <c r="V535" s="332"/>
      <c r="W535" s="1"/>
    </row>
    <row r="536" spans="1:23" ht="20.100000000000001" customHeight="1" x14ac:dyDescent="0.25">
      <c r="A536" s="18"/>
      <c r="B536" s="18"/>
      <c r="C536" s="18"/>
      <c r="D536" s="7"/>
      <c r="E536" s="326"/>
      <c r="F536" s="1471"/>
      <c r="G536" s="1471"/>
      <c r="H536" s="1471"/>
      <c r="I536" s="1471"/>
      <c r="J536" s="1286"/>
      <c r="K536" s="1286"/>
      <c r="L536" s="1286"/>
      <c r="M536" s="1286"/>
      <c r="N536" s="188"/>
      <c r="O536" s="188"/>
      <c r="P536" s="330"/>
      <c r="Q536" s="330"/>
      <c r="R536" s="187"/>
      <c r="U536" s="331" t="str">
        <f ca="1">Calculos!BZ$177</f>
        <v>-</v>
      </c>
      <c r="V536" s="332"/>
      <c r="W536" s="1"/>
    </row>
    <row r="537" spans="1:23" ht="20.100000000000001" customHeight="1" x14ac:dyDescent="0.25">
      <c r="A537" s="18"/>
      <c r="B537" s="18"/>
      <c r="C537" s="18"/>
      <c r="D537" s="7"/>
      <c r="E537" s="326"/>
      <c r="F537" s="1471"/>
      <c r="G537" s="1471"/>
      <c r="H537" s="1471"/>
      <c r="I537" s="1471"/>
      <c r="J537" s="1286"/>
      <c r="K537" s="1286"/>
      <c r="L537" s="1286"/>
      <c r="M537" s="1286"/>
      <c r="N537" s="188"/>
      <c r="O537" s="188"/>
      <c r="P537" s="330"/>
      <c r="Q537" s="330"/>
      <c r="R537" s="187"/>
      <c r="U537" s="331" t="str">
        <f ca="1">Calculos!BZ$178</f>
        <v>-</v>
      </c>
      <c r="V537" s="332"/>
      <c r="W537" s="1"/>
    </row>
    <row r="538" spans="1:23" ht="20.100000000000001" customHeight="1" x14ac:dyDescent="0.25">
      <c r="A538" s="18"/>
      <c r="B538" s="18"/>
      <c r="C538" s="18"/>
      <c r="D538" s="7"/>
      <c r="E538" s="326"/>
      <c r="F538" s="1471"/>
      <c r="G538" s="1471"/>
      <c r="H538" s="1471"/>
      <c r="I538" s="1471"/>
      <c r="J538" s="1286"/>
      <c r="K538" s="1286"/>
      <c r="L538" s="1286"/>
      <c r="M538" s="1286"/>
      <c r="N538" s="188"/>
      <c r="O538" s="188"/>
      <c r="P538" s="330"/>
      <c r="Q538" s="330"/>
      <c r="R538" s="187"/>
      <c r="U538" s="331" t="str">
        <f ca="1">Calculos!BZ$179</f>
        <v>-</v>
      </c>
      <c r="V538" s="332"/>
      <c r="W538" s="1"/>
    </row>
    <row r="539" spans="1:23" ht="20.100000000000001" customHeight="1" x14ac:dyDescent="0.25">
      <c r="A539" s="18"/>
      <c r="B539" s="18"/>
      <c r="C539" s="18"/>
      <c r="D539" s="7"/>
      <c r="E539" s="326"/>
      <c r="F539" s="1471"/>
      <c r="G539" s="1471"/>
      <c r="H539" s="1471"/>
      <c r="I539" s="1471"/>
      <c r="J539" s="1286"/>
      <c r="K539" s="1286"/>
      <c r="L539" s="1286"/>
      <c r="M539" s="1286"/>
      <c r="N539" s="188"/>
      <c r="O539" s="188"/>
      <c r="P539" s="330"/>
      <c r="Q539" s="330"/>
      <c r="R539" s="187"/>
      <c r="U539" s="331" t="str">
        <f ca="1">Calculos!BZ$180</f>
        <v>-</v>
      </c>
      <c r="V539" s="332"/>
      <c r="W539" s="1"/>
    </row>
    <row r="540" spans="1:23" ht="20.100000000000001" customHeight="1" x14ac:dyDescent="0.25">
      <c r="A540" s="18"/>
      <c r="B540" s="18"/>
      <c r="C540" s="18"/>
      <c r="D540" s="7"/>
      <c r="E540" s="326"/>
      <c r="F540" s="1471"/>
      <c r="G540" s="1471"/>
      <c r="H540" s="1471"/>
      <c r="I540" s="1471"/>
      <c r="J540" s="1472" t="s">
        <v>80</v>
      </c>
      <c r="K540" s="1473"/>
      <c r="L540" s="1473"/>
      <c r="M540" s="1474"/>
      <c r="N540" s="188"/>
      <c r="O540" s="188"/>
      <c r="P540" s="330"/>
      <c r="Q540" s="330"/>
      <c r="R540" s="187" t="s">
        <v>10</v>
      </c>
      <c r="U540" s="331" t="str">
        <f ca="1">Calculos!BZ$181</f>
        <v>-</v>
      </c>
      <c r="V540" s="332"/>
      <c r="W540" s="1"/>
    </row>
    <row r="541" spans="1:23" ht="20.100000000000001" customHeight="1" x14ac:dyDescent="0.25">
      <c r="A541" s="18"/>
      <c r="B541" s="18"/>
      <c r="C541" s="18"/>
      <c r="D541" s="7"/>
      <c r="E541" s="326"/>
      <c r="V541" s="332"/>
      <c r="W541" s="1"/>
    </row>
    <row r="542" spans="1:23" ht="20.100000000000001" hidden="1" customHeight="1" x14ac:dyDescent="0.25">
      <c r="A542" s="18"/>
      <c r="B542" s="18"/>
      <c r="C542" s="18"/>
      <c r="D542" s="7"/>
      <c r="E542" s="326"/>
      <c r="V542" s="332"/>
      <c r="W542" s="1"/>
    </row>
    <row r="543" spans="1:23" ht="20.100000000000001" hidden="1" customHeight="1" x14ac:dyDescent="0.25">
      <c r="A543" s="18"/>
      <c r="B543" s="18"/>
      <c r="C543" s="18"/>
      <c r="D543" s="7"/>
      <c r="E543" s="326"/>
      <c r="V543" s="332"/>
      <c r="W543" s="7"/>
    </row>
    <row r="544" spans="1:23" ht="20.100000000000001" customHeight="1" x14ac:dyDescent="0.25">
      <c r="A544" s="18"/>
      <c r="B544" s="18"/>
      <c r="C544" s="18"/>
      <c r="D544" s="7"/>
      <c r="E544" s="326"/>
      <c r="V544" s="332"/>
      <c r="W544" s="7"/>
    </row>
    <row r="545" spans="1:23" ht="45" customHeight="1" x14ac:dyDescent="0.25">
      <c r="A545" s="18"/>
      <c r="B545" s="18"/>
      <c r="C545" s="18"/>
      <c r="D545" s="7"/>
      <c r="E545" s="326"/>
      <c r="F545" s="1475" t="s">
        <v>8619</v>
      </c>
      <c r="G545" s="1476"/>
      <c r="H545" s="1476"/>
      <c r="I545" s="1476"/>
      <c r="J545" s="1476"/>
      <c r="K545" s="1476"/>
      <c r="L545" s="1476"/>
      <c r="M545" s="1476"/>
      <c r="N545" s="333" t="str">
        <f ca="1">"Concentração"&amp;" "&amp;Calculos!$BJ$3</f>
        <v>Concentração -</v>
      </c>
      <c r="O545" s="333" t="s">
        <v>6038</v>
      </c>
      <c r="P545" s="333" t="s">
        <v>8126</v>
      </c>
      <c r="Q545" s="333" t="s">
        <v>8028</v>
      </c>
      <c r="R545" s="333" t="s">
        <v>8603</v>
      </c>
      <c r="S545" s="333" t="s">
        <v>8127</v>
      </c>
      <c r="U545" s="328" t="s">
        <v>119</v>
      </c>
      <c r="V545" s="332"/>
      <c r="W545" s="1"/>
    </row>
    <row r="546" spans="1:23" ht="20.100000000000001" customHeight="1" x14ac:dyDescent="0.25">
      <c r="A546" s="18"/>
      <c r="B546" s="18"/>
      <c r="C546" s="18"/>
      <c r="D546" s="7"/>
      <c r="E546" s="326"/>
      <c r="F546" s="1471" t="str">
        <f ca="1">Calculos!$BJ$5</f>
        <v>-</v>
      </c>
      <c r="G546" s="1471"/>
      <c r="H546" s="1471"/>
      <c r="I546" s="1471"/>
      <c r="J546" s="1472" t="s">
        <v>7103</v>
      </c>
      <c r="K546" s="1473"/>
      <c r="L546" s="1473"/>
      <c r="M546" s="1474"/>
      <c r="N546" s="334"/>
      <c r="O546" s="334"/>
      <c r="P546" s="335"/>
      <c r="Q546" s="335"/>
      <c r="R546" s="335">
        <v>0</v>
      </c>
      <c r="S546" s="331">
        <f>O546/2</f>
        <v>0</v>
      </c>
      <c r="U546" s="331" t="str">
        <f ca="1">Calculos!BZ$186</f>
        <v>-</v>
      </c>
      <c r="V546" s="332"/>
      <c r="W546" s="1"/>
    </row>
    <row r="547" spans="1:23" ht="20.100000000000001" customHeight="1" x14ac:dyDescent="0.25">
      <c r="A547" s="18"/>
      <c r="B547" s="18"/>
      <c r="C547" s="18"/>
      <c r="D547" s="7"/>
      <c r="E547" s="326"/>
      <c r="F547" s="1471"/>
      <c r="G547" s="1471"/>
      <c r="H547" s="1471"/>
      <c r="I547" s="1471"/>
      <c r="J547" s="1286" t="s">
        <v>8027</v>
      </c>
      <c r="K547" s="1286"/>
      <c r="L547" s="1286"/>
      <c r="M547" s="1286"/>
      <c r="N547" s="334"/>
      <c r="O547" s="334"/>
      <c r="P547" s="335"/>
      <c r="Q547" s="335"/>
      <c r="R547" s="335"/>
      <c r="U547" s="331" t="str">
        <f ca="1">Calculos!BZ$187</f>
        <v>-</v>
      </c>
      <c r="V547" s="332"/>
      <c r="W547" s="1"/>
    </row>
    <row r="548" spans="1:23" ht="20.100000000000001" customHeight="1" x14ac:dyDescent="0.25">
      <c r="A548" s="18"/>
      <c r="B548" s="18"/>
      <c r="C548" s="18"/>
      <c r="D548" s="7"/>
      <c r="E548" s="326"/>
      <c r="F548" s="1471"/>
      <c r="G548" s="1471"/>
      <c r="H548" s="1471"/>
      <c r="I548" s="1471"/>
      <c r="J548" s="1286"/>
      <c r="K548" s="1286"/>
      <c r="L548" s="1286"/>
      <c r="M548" s="1286"/>
      <c r="N548" s="334"/>
      <c r="O548" s="334"/>
      <c r="P548" s="335"/>
      <c r="Q548" s="335"/>
      <c r="R548" s="335"/>
      <c r="U548" s="331" t="str">
        <f ca="1">Calculos!BZ$188</f>
        <v>-</v>
      </c>
      <c r="V548" s="332"/>
      <c r="W548" s="1"/>
    </row>
    <row r="549" spans="1:23" ht="20.100000000000001" customHeight="1" x14ac:dyDescent="0.25">
      <c r="A549" s="18"/>
      <c r="B549" s="18"/>
      <c r="C549" s="18"/>
      <c r="D549" s="7"/>
      <c r="E549" s="326"/>
      <c r="F549" s="1471"/>
      <c r="G549" s="1471"/>
      <c r="H549" s="1471"/>
      <c r="I549" s="1471"/>
      <c r="J549" s="1286"/>
      <c r="K549" s="1286"/>
      <c r="L549" s="1286"/>
      <c r="M549" s="1286"/>
      <c r="N549" s="334"/>
      <c r="O549" s="334"/>
      <c r="P549" s="335"/>
      <c r="Q549" s="335"/>
      <c r="R549" s="335"/>
      <c r="U549" s="331" t="str">
        <f ca="1">Calculos!BZ$189</f>
        <v>-</v>
      </c>
      <c r="V549" s="332"/>
      <c r="W549" s="1"/>
    </row>
    <row r="550" spans="1:23" ht="20.100000000000001" customHeight="1" x14ac:dyDescent="0.25">
      <c r="A550" s="18"/>
      <c r="B550" s="18"/>
      <c r="C550" s="18"/>
      <c r="D550" s="7"/>
      <c r="E550" s="326"/>
      <c r="F550" s="1471"/>
      <c r="G550" s="1471"/>
      <c r="H550" s="1471"/>
      <c r="I550" s="1471"/>
      <c r="J550" s="1286"/>
      <c r="K550" s="1286"/>
      <c r="L550" s="1286"/>
      <c r="M550" s="1286"/>
      <c r="N550" s="334"/>
      <c r="O550" s="334"/>
      <c r="P550" s="335"/>
      <c r="Q550" s="335"/>
      <c r="R550" s="335"/>
      <c r="U550" s="331" t="str">
        <f ca="1">Calculos!BZ$190</f>
        <v>-</v>
      </c>
      <c r="V550" s="332"/>
      <c r="W550" s="1"/>
    </row>
    <row r="551" spans="1:23" ht="20.100000000000001" customHeight="1" x14ac:dyDescent="0.25">
      <c r="A551" s="18"/>
      <c r="B551" s="18"/>
      <c r="C551" s="18"/>
      <c r="D551" s="7"/>
      <c r="E551" s="326"/>
      <c r="F551" s="1471"/>
      <c r="G551" s="1471"/>
      <c r="H551" s="1471"/>
      <c r="I551" s="1471"/>
      <c r="J551" s="1286"/>
      <c r="K551" s="1286"/>
      <c r="L551" s="1286"/>
      <c r="M551" s="1286"/>
      <c r="N551" s="334"/>
      <c r="O551" s="334"/>
      <c r="P551" s="335"/>
      <c r="Q551" s="335"/>
      <c r="R551" s="335"/>
      <c r="U551" s="331" t="str">
        <f ca="1">Calculos!BZ$191</f>
        <v>-</v>
      </c>
      <c r="V551" s="332"/>
      <c r="W551" s="1"/>
    </row>
    <row r="552" spans="1:23" ht="20.100000000000001" customHeight="1" x14ac:dyDescent="0.25">
      <c r="A552" s="18"/>
      <c r="B552" s="18"/>
      <c r="C552" s="18"/>
      <c r="D552" s="7"/>
      <c r="E552" s="326"/>
      <c r="F552" s="1471"/>
      <c r="G552" s="1471"/>
      <c r="H552" s="1471"/>
      <c r="I552" s="1471"/>
      <c r="J552" s="1286"/>
      <c r="K552" s="1286"/>
      <c r="L552" s="1286"/>
      <c r="M552" s="1286"/>
      <c r="N552" s="334"/>
      <c r="O552" s="334"/>
      <c r="P552" s="335"/>
      <c r="Q552" s="335"/>
      <c r="R552" s="335"/>
      <c r="U552" s="331" t="str">
        <f ca="1">Calculos!BZ$192</f>
        <v>-</v>
      </c>
      <c r="V552" s="332"/>
      <c r="W552" s="1"/>
    </row>
    <row r="553" spans="1:23" ht="20.100000000000001" customHeight="1" x14ac:dyDescent="0.25">
      <c r="A553" s="18"/>
      <c r="B553" s="18"/>
      <c r="C553" s="18"/>
      <c r="D553" s="7"/>
      <c r="E553" s="326"/>
      <c r="F553" s="1471"/>
      <c r="G553" s="1471"/>
      <c r="H553" s="1471"/>
      <c r="I553" s="1471"/>
      <c r="J553" s="1286"/>
      <c r="K553" s="1286"/>
      <c r="L553" s="1286"/>
      <c r="M553" s="1286"/>
      <c r="N553" s="334"/>
      <c r="O553" s="334"/>
      <c r="P553" s="335"/>
      <c r="Q553" s="335"/>
      <c r="R553" s="335"/>
      <c r="U553" s="331" t="str">
        <f ca="1">Calculos!BZ$193</f>
        <v>-</v>
      </c>
      <c r="V553" s="332"/>
      <c r="W553" s="1"/>
    </row>
    <row r="554" spans="1:23" ht="20.100000000000001" customHeight="1" x14ac:dyDescent="0.25">
      <c r="A554" s="18"/>
      <c r="B554" s="18"/>
      <c r="C554" s="18"/>
      <c r="D554" s="7"/>
      <c r="E554" s="326"/>
      <c r="F554" s="1471"/>
      <c r="G554" s="1471"/>
      <c r="H554" s="1471"/>
      <c r="I554" s="1471"/>
      <c r="J554" s="1286"/>
      <c r="K554" s="1286"/>
      <c r="L554" s="1286"/>
      <c r="M554" s="1286"/>
      <c r="N554" s="334"/>
      <c r="O554" s="334"/>
      <c r="P554" s="335"/>
      <c r="Q554" s="335"/>
      <c r="R554" s="335"/>
      <c r="U554" s="331" t="str">
        <f ca="1">Calculos!BZ$194</f>
        <v>-</v>
      </c>
      <c r="V554" s="332"/>
      <c r="W554" s="1"/>
    </row>
    <row r="555" spans="1:23" ht="20.100000000000001" customHeight="1" x14ac:dyDescent="0.25">
      <c r="A555" s="18"/>
      <c r="B555" s="18"/>
      <c r="C555" s="18"/>
      <c r="D555" s="7"/>
      <c r="E555" s="326"/>
      <c r="F555" s="1471"/>
      <c r="G555" s="1471"/>
      <c r="H555" s="1471"/>
      <c r="I555" s="1471"/>
      <c r="J555" s="1286"/>
      <c r="K555" s="1286"/>
      <c r="L555" s="1286"/>
      <c r="M555" s="1286"/>
      <c r="N555" s="334"/>
      <c r="O555" s="334"/>
      <c r="P555" s="335"/>
      <c r="Q555" s="335"/>
      <c r="R555" s="335"/>
      <c r="U555" s="331" t="str">
        <f ca="1">Calculos!BZ$195</f>
        <v>-</v>
      </c>
      <c r="V555" s="332"/>
      <c r="W555" s="1"/>
    </row>
    <row r="556" spans="1:23" ht="20.100000000000001" customHeight="1" x14ac:dyDescent="0.25">
      <c r="A556" s="18"/>
      <c r="B556" s="18"/>
      <c r="C556" s="18"/>
      <c r="D556" s="7"/>
      <c r="E556" s="326"/>
      <c r="F556" s="1471"/>
      <c r="G556" s="1471"/>
      <c r="H556" s="1471"/>
      <c r="I556" s="1471"/>
      <c r="J556" s="1286"/>
      <c r="K556" s="1286"/>
      <c r="L556" s="1286"/>
      <c r="M556" s="1286"/>
      <c r="N556" s="334"/>
      <c r="O556" s="334"/>
      <c r="P556" s="335"/>
      <c r="Q556" s="335"/>
      <c r="R556" s="335"/>
      <c r="U556" s="331" t="str">
        <f ca="1">Calculos!BZ$196</f>
        <v>-</v>
      </c>
      <c r="V556" s="329"/>
      <c r="W556" s="1"/>
    </row>
    <row r="557" spans="1:23" ht="20.100000000000001" customHeight="1" x14ac:dyDescent="0.25">
      <c r="A557" s="18"/>
      <c r="B557" s="18"/>
      <c r="C557" s="18"/>
      <c r="D557" s="7"/>
      <c r="E557" s="326"/>
      <c r="F557" s="1471"/>
      <c r="G557" s="1471"/>
      <c r="H557" s="1471"/>
      <c r="I557" s="1471"/>
      <c r="J557" s="1472" t="s">
        <v>80</v>
      </c>
      <c r="K557" s="1473"/>
      <c r="L557" s="1473"/>
      <c r="M557" s="1474"/>
      <c r="N557" s="334"/>
      <c r="O557" s="334"/>
      <c r="P557" s="335"/>
      <c r="Q557" s="335"/>
      <c r="R557" s="335" t="s">
        <v>10</v>
      </c>
      <c r="U557" s="331" t="str">
        <f ca="1">Calculos!BZ$197</f>
        <v>-</v>
      </c>
      <c r="V557" s="329"/>
      <c r="W557" s="1"/>
    </row>
    <row r="558" spans="1:23" ht="20.100000000000001" hidden="1" customHeight="1" x14ac:dyDescent="0.25">
      <c r="A558" s="18"/>
      <c r="B558" s="18"/>
      <c r="C558" s="18"/>
      <c r="D558" s="7"/>
      <c r="E558" s="326"/>
      <c r="V558" s="329"/>
      <c r="W558" s="1"/>
    </row>
    <row r="559" spans="1:23" ht="20.100000000000001" customHeight="1" x14ac:dyDescent="0.25">
      <c r="A559" s="18"/>
      <c r="B559" s="18"/>
      <c r="C559" s="18"/>
      <c r="D559" s="7"/>
      <c r="E559" s="336"/>
      <c r="F559" s="337"/>
      <c r="G559" s="337"/>
      <c r="H559" s="337"/>
      <c r="I559" s="337"/>
      <c r="J559" s="337"/>
      <c r="K559" s="337"/>
      <c r="L559" s="337"/>
      <c r="M559" s="337"/>
      <c r="N559" s="337"/>
      <c r="O559" s="337"/>
      <c r="P559" s="337"/>
      <c r="Q559" s="337"/>
      <c r="R559" s="337"/>
      <c r="S559" s="337"/>
      <c r="T559" s="337"/>
      <c r="U559" s="337"/>
      <c r="V559" s="338"/>
      <c r="W559" s="1"/>
    </row>
    <row r="560" spans="1:23" ht="30" customHeight="1" x14ac:dyDescent="0.25">
      <c r="A560" s="18"/>
      <c r="B560" s="18"/>
      <c r="C560" s="18"/>
      <c r="D560" s="7"/>
      <c r="E560" s="1"/>
      <c r="F560" s="1"/>
      <c r="G560" s="1"/>
      <c r="H560" s="1"/>
      <c r="I560" s="1"/>
      <c r="J560" s="1"/>
      <c r="K560" s="1"/>
      <c r="L560" s="1"/>
      <c r="M560" s="1"/>
      <c r="N560" s="1"/>
      <c r="O560" s="1"/>
      <c r="P560" s="1"/>
      <c r="Q560" s="1"/>
      <c r="R560" s="1"/>
      <c r="S560" s="1"/>
      <c r="T560" s="1"/>
      <c r="U560" s="1"/>
      <c r="V560" s="1"/>
      <c r="W560" s="1"/>
    </row>
    <row r="561" spans="1:23" ht="20.100000000000001" customHeight="1" x14ac:dyDescent="0.25">
      <c r="A561" s="18"/>
      <c r="B561" s="18"/>
      <c r="C561" s="18"/>
      <c r="D561" s="7"/>
      <c r="E561" s="321"/>
      <c r="F561" s="322"/>
      <c r="G561" s="323"/>
      <c r="H561" s="323"/>
      <c r="I561" s="323"/>
      <c r="J561" s="323"/>
      <c r="K561" s="323"/>
      <c r="L561" s="323"/>
      <c r="M561" s="323"/>
      <c r="N561" s="323"/>
      <c r="O561" s="323"/>
      <c r="P561" s="323"/>
      <c r="Q561" s="323"/>
      <c r="R561" s="323"/>
      <c r="S561" s="339"/>
      <c r="T561" s="339"/>
      <c r="U561" s="340"/>
      <c r="V561" s="325"/>
      <c r="W561" s="1"/>
    </row>
    <row r="562" spans="1:23" ht="45" customHeight="1" x14ac:dyDescent="0.25">
      <c r="A562" s="18"/>
      <c r="B562" s="18"/>
      <c r="C562" s="18"/>
      <c r="D562" s="7"/>
      <c r="E562" s="326"/>
      <c r="F562" s="1469" t="s">
        <v>8611</v>
      </c>
      <c r="G562" s="1470"/>
      <c r="H562" s="1470"/>
      <c r="I562" s="1470"/>
      <c r="J562" s="1470"/>
      <c r="K562" s="1470"/>
      <c r="L562" s="1470"/>
      <c r="M562" s="1470"/>
      <c r="N562" s="327" t="str">
        <f ca="1">"Concentração"&amp;" "&amp;Calculos!$BJ$3</f>
        <v>Concentração -</v>
      </c>
      <c r="O562" s="327" t="s">
        <v>6038</v>
      </c>
      <c r="P562" s="327" t="s">
        <v>8126</v>
      </c>
      <c r="Q562" s="327" t="s">
        <v>8028</v>
      </c>
      <c r="R562" s="327" t="s">
        <v>8603</v>
      </c>
      <c r="S562" s="327" t="s">
        <v>8127</v>
      </c>
      <c r="U562" s="328" t="s">
        <v>119</v>
      </c>
      <c r="V562" s="332"/>
      <c r="W562" s="7"/>
    </row>
    <row r="563" spans="1:23" ht="20.100000000000001" customHeight="1" x14ac:dyDescent="0.25">
      <c r="A563" s="18"/>
      <c r="B563" s="18"/>
      <c r="C563" s="18"/>
      <c r="D563" s="7"/>
      <c r="E563" s="326"/>
      <c r="F563" s="1471" t="str">
        <f ca="1">Calculos!$BJ$5</f>
        <v>-</v>
      </c>
      <c r="G563" s="1471"/>
      <c r="H563" s="1471"/>
      <c r="I563" s="1471"/>
      <c r="J563" s="1472" t="s">
        <v>7103</v>
      </c>
      <c r="K563" s="1473"/>
      <c r="L563" s="1473"/>
      <c r="M563" s="1474"/>
      <c r="N563" s="188"/>
      <c r="O563" s="188"/>
      <c r="P563" s="330"/>
      <c r="Q563" s="330"/>
      <c r="R563" s="187">
        <v>0</v>
      </c>
      <c r="S563" s="331">
        <f>O563/2</f>
        <v>0</v>
      </c>
      <c r="U563" s="331" t="str">
        <f ca="1">Calculos!BZ$202</f>
        <v>-</v>
      </c>
      <c r="V563" s="332"/>
      <c r="W563" s="1"/>
    </row>
    <row r="564" spans="1:23" ht="20.100000000000001" customHeight="1" x14ac:dyDescent="0.25">
      <c r="A564" s="18"/>
      <c r="B564" s="18"/>
      <c r="C564" s="18"/>
      <c r="D564" s="7"/>
      <c r="E564" s="326"/>
      <c r="F564" s="1471"/>
      <c r="G564" s="1471"/>
      <c r="H564" s="1471"/>
      <c r="I564" s="1471"/>
      <c r="J564" s="1286" t="s">
        <v>8027</v>
      </c>
      <c r="K564" s="1286"/>
      <c r="L564" s="1286"/>
      <c r="M564" s="1286"/>
      <c r="N564" s="188"/>
      <c r="O564" s="188"/>
      <c r="P564" s="330"/>
      <c r="Q564" s="330"/>
      <c r="R564" s="187"/>
      <c r="U564" s="331" t="str">
        <f ca="1">Calculos!BZ$203</f>
        <v>-</v>
      </c>
      <c r="V564" s="332"/>
      <c r="W564" s="1"/>
    </row>
    <row r="565" spans="1:23" ht="20.100000000000001" customHeight="1" x14ac:dyDescent="0.25">
      <c r="A565" s="18"/>
      <c r="B565" s="18"/>
      <c r="C565" s="18"/>
      <c r="D565" s="7"/>
      <c r="E565" s="326"/>
      <c r="F565" s="1471"/>
      <c r="G565" s="1471"/>
      <c r="H565" s="1471"/>
      <c r="I565" s="1471"/>
      <c r="J565" s="1286"/>
      <c r="K565" s="1286"/>
      <c r="L565" s="1286"/>
      <c r="M565" s="1286"/>
      <c r="N565" s="188"/>
      <c r="O565" s="188"/>
      <c r="P565" s="330"/>
      <c r="Q565" s="330"/>
      <c r="R565" s="187"/>
      <c r="U565" s="331" t="str">
        <f ca="1">Calculos!BZ$204</f>
        <v>-</v>
      </c>
      <c r="V565" s="332"/>
      <c r="W565" s="1"/>
    </row>
    <row r="566" spans="1:23" ht="20.100000000000001" customHeight="1" x14ac:dyDescent="0.25">
      <c r="A566" s="18"/>
      <c r="B566" s="18"/>
      <c r="C566" s="18"/>
      <c r="D566" s="7"/>
      <c r="E566" s="326"/>
      <c r="F566" s="1471"/>
      <c r="G566" s="1471"/>
      <c r="H566" s="1471"/>
      <c r="I566" s="1471"/>
      <c r="J566" s="1286"/>
      <c r="K566" s="1286"/>
      <c r="L566" s="1286"/>
      <c r="M566" s="1286"/>
      <c r="N566" s="188"/>
      <c r="O566" s="188"/>
      <c r="P566" s="330"/>
      <c r="Q566" s="330"/>
      <c r="R566" s="187"/>
      <c r="U566" s="331" t="str">
        <f ca="1">Calculos!BZ$205</f>
        <v>-</v>
      </c>
      <c r="V566" s="332"/>
      <c r="W566" s="1"/>
    </row>
    <row r="567" spans="1:23" ht="20.100000000000001" customHeight="1" x14ac:dyDescent="0.25">
      <c r="A567" s="18"/>
      <c r="B567" s="18"/>
      <c r="C567" s="18"/>
      <c r="D567" s="7"/>
      <c r="E567" s="326"/>
      <c r="F567" s="1471"/>
      <c r="G567" s="1471"/>
      <c r="H567" s="1471"/>
      <c r="I567" s="1471"/>
      <c r="J567" s="1286"/>
      <c r="K567" s="1286"/>
      <c r="L567" s="1286"/>
      <c r="M567" s="1286"/>
      <c r="N567" s="188"/>
      <c r="O567" s="188"/>
      <c r="P567" s="330"/>
      <c r="Q567" s="330"/>
      <c r="R567" s="187"/>
      <c r="U567" s="331" t="str">
        <f ca="1">Calculos!BZ$206</f>
        <v>-</v>
      </c>
      <c r="V567" s="332"/>
      <c r="W567" s="1"/>
    </row>
    <row r="568" spans="1:23" ht="20.100000000000001" customHeight="1" x14ac:dyDescent="0.25">
      <c r="A568" s="18"/>
      <c r="B568" s="18"/>
      <c r="C568" s="18"/>
      <c r="D568" s="7"/>
      <c r="E568" s="326"/>
      <c r="F568" s="1471"/>
      <c r="G568" s="1471"/>
      <c r="H568" s="1471"/>
      <c r="I568" s="1471"/>
      <c r="J568" s="1286"/>
      <c r="K568" s="1286"/>
      <c r="L568" s="1286"/>
      <c r="M568" s="1286"/>
      <c r="N568" s="188"/>
      <c r="O568" s="188"/>
      <c r="P568" s="330"/>
      <c r="Q568" s="330"/>
      <c r="R568" s="187"/>
      <c r="U568" s="331" t="str">
        <f ca="1">Calculos!BZ$207</f>
        <v>-</v>
      </c>
      <c r="V568" s="332"/>
      <c r="W568" s="1"/>
    </row>
    <row r="569" spans="1:23" ht="20.100000000000001" customHeight="1" x14ac:dyDescent="0.25">
      <c r="A569" s="18"/>
      <c r="B569" s="18"/>
      <c r="C569" s="18"/>
      <c r="D569" s="7"/>
      <c r="E569" s="326"/>
      <c r="F569" s="1471"/>
      <c r="G569" s="1471"/>
      <c r="H569" s="1471"/>
      <c r="I569" s="1471"/>
      <c r="J569" s="1286"/>
      <c r="K569" s="1286"/>
      <c r="L569" s="1286"/>
      <c r="M569" s="1286"/>
      <c r="N569" s="188"/>
      <c r="O569" s="188"/>
      <c r="P569" s="330"/>
      <c r="Q569" s="330"/>
      <c r="R569" s="187"/>
      <c r="U569" s="331" t="str">
        <f ca="1">Calculos!BZ$208</f>
        <v>-</v>
      </c>
      <c r="V569" s="332"/>
      <c r="W569" s="1"/>
    </row>
    <row r="570" spans="1:23" ht="20.100000000000001" customHeight="1" x14ac:dyDescent="0.25">
      <c r="A570" s="18"/>
      <c r="B570" s="18"/>
      <c r="C570" s="18"/>
      <c r="D570" s="7"/>
      <c r="E570" s="326"/>
      <c r="F570" s="1471"/>
      <c r="G570" s="1471"/>
      <c r="H570" s="1471"/>
      <c r="I570" s="1471"/>
      <c r="J570" s="1286"/>
      <c r="K570" s="1286"/>
      <c r="L570" s="1286"/>
      <c r="M570" s="1286"/>
      <c r="N570" s="188"/>
      <c r="O570" s="188"/>
      <c r="P570" s="330"/>
      <c r="Q570" s="330"/>
      <c r="R570" s="187"/>
      <c r="U570" s="331" t="str">
        <f ca="1">Calculos!BZ$209</f>
        <v>-</v>
      </c>
      <c r="V570" s="332"/>
      <c r="W570" s="1"/>
    </row>
    <row r="571" spans="1:23" ht="20.100000000000001" customHeight="1" x14ac:dyDescent="0.25">
      <c r="A571" s="18"/>
      <c r="B571" s="18"/>
      <c r="C571" s="18"/>
      <c r="D571" s="7"/>
      <c r="E571" s="326"/>
      <c r="F571" s="1471"/>
      <c r="G571" s="1471"/>
      <c r="H571" s="1471"/>
      <c r="I571" s="1471"/>
      <c r="J571" s="1286"/>
      <c r="K571" s="1286"/>
      <c r="L571" s="1286"/>
      <c r="M571" s="1286"/>
      <c r="N571" s="188"/>
      <c r="O571" s="188"/>
      <c r="P571" s="330"/>
      <c r="Q571" s="330"/>
      <c r="R571" s="187"/>
      <c r="U571" s="331" t="str">
        <f ca="1">Calculos!BZ$210</f>
        <v>-</v>
      </c>
      <c r="V571" s="332"/>
      <c r="W571" s="1"/>
    </row>
    <row r="572" spans="1:23" ht="20.100000000000001" customHeight="1" x14ac:dyDescent="0.25">
      <c r="A572" s="18"/>
      <c r="B572" s="18"/>
      <c r="C572" s="18"/>
      <c r="D572" s="7"/>
      <c r="E572" s="326"/>
      <c r="F572" s="1471"/>
      <c r="G572" s="1471"/>
      <c r="H572" s="1471"/>
      <c r="I572" s="1471"/>
      <c r="J572" s="1286"/>
      <c r="K572" s="1286"/>
      <c r="L572" s="1286"/>
      <c r="M572" s="1286"/>
      <c r="N572" s="188"/>
      <c r="O572" s="188"/>
      <c r="P572" s="330"/>
      <c r="Q572" s="330"/>
      <c r="R572" s="187"/>
      <c r="U572" s="331" t="str">
        <f ca="1">Calculos!BZ$211</f>
        <v>-</v>
      </c>
      <c r="V572" s="332"/>
      <c r="W572" s="1"/>
    </row>
    <row r="573" spans="1:23" ht="20.100000000000001" customHeight="1" x14ac:dyDescent="0.25">
      <c r="A573" s="18"/>
      <c r="B573" s="18"/>
      <c r="C573" s="18"/>
      <c r="D573" s="7"/>
      <c r="E573" s="326"/>
      <c r="F573" s="1471"/>
      <c r="G573" s="1471"/>
      <c r="H573" s="1471"/>
      <c r="I573" s="1471"/>
      <c r="J573" s="1286"/>
      <c r="K573" s="1286"/>
      <c r="L573" s="1286"/>
      <c r="M573" s="1286"/>
      <c r="N573" s="188"/>
      <c r="O573" s="188"/>
      <c r="P573" s="330"/>
      <c r="Q573" s="330"/>
      <c r="R573" s="187"/>
      <c r="U573" s="331" t="str">
        <f ca="1">Calculos!BZ$212</f>
        <v>-</v>
      </c>
      <c r="V573" s="332"/>
      <c r="W573" s="1"/>
    </row>
    <row r="574" spans="1:23" ht="20.100000000000001" customHeight="1" x14ac:dyDescent="0.25">
      <c r="A574" s="18"/>
      <c r="B574" s="18"/>
      <c r="C574" s="18"/>
      <c r="D574" s="7"/>
      <c r="E574" s="326"/>
      <c r="F574" s="1471"/>
      <c r="G574" s="1471"/>
      <c r="H574" s="1471"/>
      <c r="I574" s="1471"/>
      <c r="J574" s="1472" t="s">
        <v>80</v>
      </c>
      <c r="K574" s="1473"/>
      <c r="L574" s="1473"/>
      <c r="M574" s="1474"/>
      <c r="N574" s="188"/>
      <c r="O574" s="188"/>
      <c r="P574" s="330"/>
      <c r="Q574" s="330"/>
      <c r="R574" s="187" t="s">
        <v>10</v>
      </c>
      <c r="U574" s="331" t="str">
        <f ca="1">Calculos!BZ$213</f>
        <v>-</v>
      </c>
      <c r="V574" s="332"/>
      <c r="W574" s="1"/>
    </row>
    <row r="575" spans="1:23" ht="20.100000000000001" customHeight="1" x14ac:dyDescent="0.25">
      <c r="A575" s="18"/>
      <c r="B575" s="18"/>
      <c r="C575" s="18"/>
      <c r="D575" s="7"/>
      <c r="E575" s="326"/>
      <c r="V575" s="332"/>
      <c r="W575" s="1"/>
    </row>
    <row r="576" spans="1:23" ht="24.75" hidden="1" customHeight="1" x14ac:dyDescent="0.25">
      <c r="A576" s="18"/>
      <c r="B576" s="18"/>
      <c r="C576" s="18"/>
      <c r="D576" s="7"/>
      <c r="E576" s="326"/>
      <c r="V576" s="332"/>
      <c r="W576" s="1"/>
    </row>
    <row r="577" spans="1:23" ht="20.100000000000001" hidden="1" customHeight="1" x14ac:dyDescent="0.25">
      <c r="A577" s="18"/>
      <c r="B577" s="18"/>
      <c r="C577" s="18"/>
      <c r="D577" s="7"/>
      <c r="E577" s="326"/>
      <c r="V577" s="332"/>
      <c r="W577" s="7"/>
    </row>
    <row r="578" spans="1:23" ht="20.100000000000001" customHeight="1" x14ac:dyDescent="0.25">
      <c r="A578" s="18"/>
      <c r="B578" s="18"/>
      <c r="C578" s="18"/>
      <c r="D578" s="7"/>
      <c r="E578" s="326"/>
      <c r="V578" s="332"/>
      <c r="W578" s="7"/>
    </row>
    <row r="579" spans="1:23" ht="45" customHeight="1" x14ac:dyDescent="0.25">
      <c r="A579" s="18"/>
      <c r="B579" s="18"/>
      <c r="C579" s="18"/>
      <c r="D579" s="7"/>
      <c r="E579" s="326"/>
      <c r="F579" s="1475" t="s">
        <v>8620</v>
      </c>
      <c r="G579" s="1476"/>
      <c r="H579" s="1476"/>
      <c r="I579" s="1476"/>
      <c r="J579" s="1476"/>
      <c r="K579" s="1476"/>
      <c r="L579" s="1476"/>
      <c r="M579" s="1476"/>
      <c r="N579" s="333" t="str">
        <f ca="1">"Concentração"&amp;" "&amp;Calculos!$BJ$3</f>
        <v>Concentração -</v>
      </c>
      <c r="O579" s="333" t="s">
        <v>6038</v>
      </c>
      <c r="P579" s="333" t="s">
        <v>8126</v>
      </c>
      <c r="Q579" s="333" t="s">
        <v>8028</v>
      </c>
      <c r="R579" s="333" t="s">
        <v>8603</v>
      </c>
      <c r="S579" s="333" t="s">
        <v>8127</v>
      </c>
      <c r="U579" s="328" t="s">
        <v>119</v>
      </c>
      <c r="V579" s="332"/>
      <c r="W579" s="1"/>
    </row>
    <row r="580" spans="1:23" ht="20.100000000000001" customHeight="1" x14ac:dyDescent="0.25">
      <c r="A580" s="18"/>
      <c r="B580" s="18"/>
      <c r="C580" s="18"/>
      <c r="D580" s="7"/>
      <c r="E580" s="326"/>
      <c r="F580" s="1471" t="str">
        <f ca="1">Calculos!$BJ$5</f>
        <v>-</v>
      </c>
      <c r="G580" s="1471"/>
      <c r="H580" s="1471"/>
      <c r="I580" s="1471"/>
      <c r="J580" s="1472" t="s">
        <v>7103</v>
      </c>
      <c r="K580" s="1473"/>
      <c r="L580" s="1473"/>
      <c r="M580" s="1474"/>
      <c r="N580" s="334"/>
      <c r="O580" s="334"/>
      <c r="P580" s="335"/>
      <c r="Q580" s="335"/>
      <c r="R580" s="335">
        <v>0</v>
      </c>
      <c r="S580" s="331">
        <f>O580/2</f>
        <v>0</v>
      </c>
      <c r="U580" s="331" t="str">
        <f ca="1">Calculos!BZ$218</f>
        <v>-</v>
      </c>
      <c r="V580" s="332"/>
      <c r="W580" s="1"/>
    </row>
    <row r="581" spans="1:23" ht="20.100000000000001" customHeight="1" x14ac:dyDescent="0.25">
      <c r="A581" s="18"/>
      <c r="B581" s="18"/>
      <c r="C581" s="18"/>
      <c r="D581" s="7"/>
      <c r="E581" s="326"/>
      <c r="F581" s="1471"/>
      <c r="G581" s="1471"/>
      <c r="H581" s="1471"/>
      <c r="I581" s="1471"/>
      <c r="J581" s="1286" t="s">
        <v>8027</v>
      </c>
      <c r="K581" s="1286"/>
      <c r="L581" s="1286"/>
      <c r="M581" s="1286"/>
      <c r="N581" s="334"/>
      <c r="O581" s="334"/>
      <c r="P581" s="335"/>
      <c r="Q581" s="335"/>
      <c r="R581" s="335"/>
      <c r="U581" s="331" t="str">
        <f ca="1">Calculos!BZ$219</f>
        <v>-</v>
      </c>
      <c r="V581" s="332"/>
      <c r="W581" s="1"/>
    </row>
    <row r="582" spans="1:23" ht="20.100000000000001" customHeight="1" x14ac:dyDescent="0.25">
      <c r="A582" s="18"/>
      <c r="B582" s="18"/>
      <c r="C582" s="18"/>
      <c r="D582" s="7"/>
      <c r="E582" s="326"/>
      <c r="F582" s="1471"/>
      <c r="G582" s="1471"/>
      <c r="H582" s="1471"/>
      <c r="I582" s="1471"/>
      <c r="J582" s="1286"/>
      <c r="K582" s="1286"/>
      <c r="L582" s="1286"/>
      <c r="M582" s="1286"/>
      <c r="N582" s="334"/>
      <c r="O582" s="334"/>
      <c r="P582" s="335"/>
      <c r="Q582" s="335"/>
      <c r="R582" s="335"/>
      <c r="U582" s="331" t="str">
        <f ca="1">Calculos!BZ$220</f>
        <v>-</v>
      </c>
      <c r="V582" s="332"/>
      <c r="W582" s="1"/>
    </row>
    <row r="583" spans="1:23" ht="20.100000000000001" customHeight="1" x14ac:dyDescent="0.25">
      <c r="A583" s="18"/>
      <c r="B583" s="18"/>
      <c r="C583" s="18"/>
      <c r="D583" s="7"/>
      <c r="E583" s="326"/>
      <c r="F583" s="1471"/>
      <c r="G583" s="1471"/>
      <c r="H583" s="1471"/>
      <c r="I583" s="1471"/>
      <c r="J583" s="1286"/>
      <c r="K583" s="1286"/>
      <c r="L583" s="1286"/>
      <c r="M583" s="1286"/>
      <c r="N583" s="334"/>
      <c r="O583" s="334"/>
      <c r="P583" s="335"/>
      <c r="Q583" s="335"/>
      <c r="R583" s="335"/>
      <c r="U583" s="331" t="str">
        <f ca="1">Calculos!BZ$221</f>
        <v>-</v>
      </c>
      <c r="V583" s="332"/>
      <c r="W583" s="1"/>
    </row>
    <row r="584" spans="1:23" ht="20.100000000000001" customHeight="1" x14ac:dyDescent="0.25">
      <c r="A584" s="18"/>
      <c r="B584" s="18"/>
      <c r="C584" s="18"/>
      <c r="D584" s="7"/>
      <c r="E584" s="326"/>
      <c r="F584" s="1471"/>
      <c r="G584" s="1471"/>
      <c r="H584" s="1471"/>
      <c r="I584" s="1471"/>
      <c r="J584" s="1286"/>
      <c r="K584" s="1286"/>
      <c r="L584" s="1286"/>
      <c r="M584" s="1286"/>
      <c r="N584" s="334"/>
      <c r="O584" s="334"/>
      <c r="P584" s="335"/>
      <c r="Q584" s="335"/>
      <c r="R584" s="335"/>
      <c r="U584" s="331" t="str">
        <f ca="1">Calculos!BZ$222</f>
        <v>-</v>
      </c>
      <c r="V584" s="332"/>
      <c r="W584" s="1"/>
    </row>
    <row r="585" spans="1:23" ht="20.100000000000001" customHeight="1" x14ac:dyDescent="0.25">
      <c r="A585" s="18"/>
      <c r="B585" s="18"/>
      <c r="C585" s="18"/>
      <c r="D585" s="7"/>
      <c r="E585" s="326"/>
      <c r="F585" s="1471"/>
      <c r="G585" s="1471"/>
      <c r="H585" s="1471"/>
      <c r="I585" s="1471"/>
      <c r="J585" s="1286"/>
      <c r="K585" s="1286"/>
      <c r="L585" s="1286"/>
      <c r="M585" s="1286"/>
      <c r="N585" s="334"/>
      <c r="O585" s="334"/>
      <c r="P585" s="335"/>
      <c r="Q585" s="335"/>
      <c r="R585" s="335"/>
      <c r="U585" s="331" t="str">
        <f ca="1">Calculos!BZ$223</f>
        <v>-</v>
      </c>
      <c r="V585" s="332"/>
      <c r="W585" s="1"/>
    </row>
    <row r="586" spans="1:23" ht="20.100000000000001" customHeight="1" x14ac:dyDescent="0.25">
      <c r="A586" s="18"/>
      <c r="B586" s="18"/>
      <c r="C586" s="18"/>
      <c r="D586" s="7"/>
      <c r="E586" s="326"/>
      <c r="F586" s="1471"/>
      <c r="G586" s="1471"/>
      <c r="H586" s="1471"/>
      <c r="I586" s="1471"/>
      <c r="J586" s="1286"/>
      <c r="K586" s="1286"/>
      <c r="L586" s="1286"/>
      <c r="M586" s="1286"/>
      <c r="N586" s="334"/>
      <c r="O586" s="334"/>
      <c r="P586" s="335"/>
      <c r="Q586" s="335"/>
      <c r="R586" s="335"/>
      <c r="U586" s="331" t="str">
        <f ca="1">Calculos!BZ$224</f>
        <v>-</v>
      </c>
      <c r="V586" s="332"/>
      <c r="W586" s="1"/>
    </row>
    <row r="587" spans="1:23" ht="20.100000000000001" customHeight="1" x14ac:dyDescent="0.25">
      <c r="A587" s="18"/>
      <c r="B587" s="18"/>
      <c r="C587" s="18"/>
      <c r="D587" s="7"/>
      <c r="E587" s="326"/>
      <c r="F587" s="1471"/>
      <c r="G587" s="1471"/>
      <c r="H587" s="1471"/>
      <c r="I587" s="1471"/>
      <c r="J587" s="1286"/>
      <c r="K587" s="1286"/>
      <c r="L587" s="1286"/>
      <c r="M587" s="1286"/>
      <c r="N587" s="334"/>
      <c r="O587" s="334"/>
      <c r="P587" s="335"/>
      <c r="Q587" s="335"/>
      <c r="R587" s="335"/>
      <c r="U587" s="331" t="str">
        <f ca="1">Calculos!BZ$225</f>
        <v>-</v>
      </c>
      <c r="V587" s="332"/>
      <c r="W587" s="1"/>
    </row>
    <row r="588" spans="1:23" ht="20.100000000000001" customHeight="1" x14ac:dyDescent="0.25">
      <c r="A588" s="18"/>
      <c r="B588" s="18"/>
      <c r="C588" s="18"/>
      <c r="D588" s="7"/>
      <c r="E588" s="326"/>
      <c r="F588" s="1471"/>
      <c r="G588" s="1471"/>
      <c r="H588" s="1471"/>
      <c r="I588" s="1471"/>
      <c r="J588" s="1286"/>
      <c r="K588" s="1286"/>
      <c r="L588" s="1286"/>
      <c r="M588" s="1286"/>
      <c r="N588" s="334"/>
      <c r="O588" s="334"/>
      <c r="P588" s="335"/>
      <c r="Q588" s="335"/>
      <c r="R588" s="335"/>
      <c r="U588" s="331" t="str">
        <f ca="1">Calculos!BZ$226</f>
        <v>-</v>
      </c>
      <c r="V588" s="332"/>
      <c r="W588" s="1"/>
    </row>
    <row r="589" spans="1:23" ht="20.100000000000001" customHeight="1" x14ac:dyDescent="0.25">
      <c r="A589" s="18"/>
      <c r="B589" s="18"/>
      <c r="C589" s="18"/>
      <c r="D589" s="7"/>
      <c r="E589" s="326"/>
      <c r="F589" s="1471"/>
      <c r="G589" s="1471"/>
      <c r="H589" s="1471"/>
      <c r="I589" s="1471"/>
      <c r="J589" s="1286"/>
      <c r="K589" s="1286"/>
      <c r="L589" s="1286"/>
      <c r="M589" s="1286"/>
      <c r="N589" s="334"/>
      <c r="O589" s="334"/>
      <c r="P589" s="335"/>
      <c r="Q589" s="335"/>
      <c r="R589" s="335"/>
      <c r="U589" s="331" t="str">
        <f ca="1">Calculos!BZ$227</f>
        <v>-</v>
      </c>
      <c r="V589" s="332"/>
      <c r="W589" s="1"/>
    </row>
    <row r="590" spans="1:23" ht="20.100000000000001" customHeight="1" x14ac:dyDescent="0.25">
      <c r="A590" s="18"/>
      <c r="B590" s="18"/>
      <c r="C590" s="18"/>
      <c r="D590" s="7"/>
      <c r="E590" s="326"/>
      <c r="F590" s="1471"/>
      <c r="G590" s="1471"/>
      <c r="H590" s="1471"/>
      <c r="I590" s="1471"/>
      <c r="J590" s="1286"/>
      <c r="K590" s="1286"/>
      <c r="L590" s="1286"/>
      <c r="M590" s="1286"/>
      <c r="N590" s="334"/>
      <c r="O590" s="334"/>
      <c r="P590" s="335"/>
      <c r="Q590" s="335"/>
      <c r="R590" s="335"/>
      <c r="U590" s="331" t="str">
        <f ca="1">Calculos!BZ$228</f>
        <v>-</v>
      </c>
      <c r="V590" s="329"/>
      <c r="W590" s="1"/>
    </row>
    <row r="591" spans="1:23" ht="20.100000000000001" customHeight="1" x14ac:dyDescent="0.25">
      <c r="A591" s="18"/>
      <c r="B591" s="18"/>
      <c r="C591" s="18"/>
      <c r="D591" s="7"/>
      <c r="E591" s="326"/>
      <c r="F591" s="1471"/>
      <c r="G591" s="1471"/>
      <c r="H591" s="1471"/>
      <c r="I591" s="1471"/>
      <c r="J591" s="1472" t="s">
        <v>80</v>
      </c>
      <c r="K591" s="1473"/>
      <c r="L591" s="1473"/>
      <c r="M591" s="1474"/>
      <c r="N591" s="334"/>
      <c r="O591" s="334"/>
      <c r="P591" s="335"/>
      <c r="Q591" s="335"/>
      <c r="R591" s="335" t="s">
        <v>10</v>
      </c>
      <c r="U591" s="331" t="str">
        <f ca="1">Calculos!BZ$229</f>
        <v>-</v>
      </c>
      <c r="V591" s="329"/>
      <c r="W591" s="1"/>
    </row>
    <row r="592" spans="1:23" ht="20.100000000000001" hidden="1" customHeight="1" x14ac:dyDescent="0.25">
      <c r="A592" s="18"/>
      <c r="B592" s="18"/>
      <c r="C592" s="18"/>
      <c r="D592" s="7"/>
      <c r="E592" s="326"/>
      <c r="V592" s="329"/>
      <c r="W592" s="1"/>
    </row>
    <row r="593" spans="1:23" ht="20.100000000000001" customHeight="1" x14ac:dyDescent="0.25">
      <c r="A593" s="18"/>
      <c r="B593" s="18"/>
      <c r="C593" s="18"/>
      <c r="D593" s="7"/>
      <c r="E593" s="336"/>
      <c r="F593" s="337"/>
      <c r="G593" s="337"/>
      <c r="H593" s="337"/>
      <c r="I593" s="337"/>
      <c r="J593" s="337"/>
      <c r="K593" s="337"/>
      <c r="L593" s="337"/>
      <c r="M593" s="337"/>
      <c r="N593" s="337"/>
      <c r="O593" s="337"/>
      <c r="P593" s="337"/>
      <c r="Q593" s="337"/>
      <c r="R593" s="337"/>
      <c r="S593" s="337"/>
      <c r="T593" s="337"/>
      <c r="U593" s="337"/>
      <c r="V593" s="338"/>
      <c r="W593" s="1"/>
    </row>
    <row r="594" spans="1:23" ht="30" customHeight="1" x14ac:dyDescent="0.25">
      <c r="A594" s="18"/>
      <c r="B594" s="18"/>
      <c r="C594" s="18"/>
      <c r="D594" s="7"/>
      <c r="E594" s="1"/>
      <c r="F594" s="1"/>
      <c r="G594" s="1"/>
      <c r="H594" s="1"/>
      <c r="I594" s="1"/>
      <c r="J594" s="1"/>
      <c r="K594" s="1"/>
      <c r="L594" s="1"/>
      <c r="M594" s="1"/>
      <c r="N594" s="1"/>
      <c r="O594" s="1"/>
      <c r="P594" s="1"/>
      <c r="Q594" s="1"/>
      <c r="R594" s="1"/>
      <c r="S594" s="1"/>
      <c r="T594" s="1"/>
      <c r="U594" s="1"/>
      <c r="V594" s="1"/>
      <c r="W594" s="1"/>
    </row>
    <row r="595" spans="1:23" ht="20.100000000000001" customHeight="1" x14ac:dyDescent="0.25">
      <c r="A595" s="18"/>
      <c r="B595" s="18"/>
      <c r="C595" s="18"/>
      <c r="D595" s="7"/>
      <c r="E595" s="321"/>
      <c r="F595" s="322"/>
      <c r="G595" s="323"/>
      <c r="H595" s="323"/>
      <c r="I595" s="323"/>
      <c r="J595" s="323"/>
      <c r="K595" s="323"/>
      <c r="L595" s="323"/>
      <c r="M595" s="323"/>
      <c r="N595" s="323"/>
      <c r="O595" s="323"/>
      <c r="P595" s="323"/>
      <c r="Q595" s="323"/>
      <c r="R595" s="323"/>
      <c r="S595" s="339"/>
      <c r="T595" s="339"/>
      <c r="U595" s="340"/>
      <c r="V595" s="325"/>
      <c r="W595" s="1"/>
    </row>
    <row r="596" spans="1:23" ht="45" customHeight="1" x14ac:dyDescent="0.25">
      <c r="A596" s="18"/>
      <c r="B596" s="18"/>
      <c r="C596" s="18"/>
      <c r="D596" s="7"/>
      <c r="E596" s="326"/>
      <c r="F596" s="1469" t="s">
        <v>8612</v>
      </c>
      <c r="G596" s="1470"/>
      <c r="H596" s="1470"/>
      <c r="I596" s="1470"/>
      <c r="J596" s="1470"/>
      <c r="K596" s="1470"/>
      <c r="L596" s="1470"/>
      <c r="M596" s="1470"/>
      <c r="N596" s="327" t="str">
        <f ca="1">"Concentração"&amp;" "&amp;Calculos!$BJ$3</f>
        <v>Concentração -</v>
      </c>
      <c r="O596" s="327" t="s">
        <v>6038</v>
      </c>
      <c r="P596" s="327" t="s">
        <v>8126</v>
      </c>
      <c r="Q596" s="327" t="s">
        <v>8028</v>
      </c>
      <c r="R596" s="327" t="s">
        <v>8603</v>
      </c>
      <c r="S596" s="327" t="s">
        <v>8127</v>
      </c>
      <c r="U596" s="328" t="s">
        <v>119</v>
      </c>
      <c r="V596" s="332"/>
      <c r="W596" s="7"/>
    </row>
    <row r="597" spans="1:23" ht="20.100000000000001" customHeight="1" x14ac:dyDescent="0.25">
      <c r="A597" s="18"/>
      <c r="B597" s="18"/>
      <c r="C597" s="18"/>
      <c r="D597" s="7"/>
      <c r="E597" s="326"/>
      <c r="F597" s="1471" t="str">
        <f ca="1">Calculos!$BJ$5</f>
        <v>-</v>
      </c>
      <c r="G597" s="1471"/>
      <c r="H597" s="1471"/>
      <c r="I597" s="1471"/>
      <c r="J597" s="1472" t="s">
        <v>7103</v>
      </c>
      <c r="K597" s="1473"/>
      <c r="L597" s="1473"/>
      <c r="M597" s="1474"/>
      <c r="N597" s="188"/>
      <c r="O597" s="188"/>
      <c r="P597" s="330"/>
      <c r="Q597" s="330"/>
      <c r="R597" s="187">
        <v>0</v>
      </c>
      <c r="S597" s="331">
        <f>O597/2</f>
        <v>0</v>
      </c>
      <c r="U597" s="331" t="str">
        <f ca="1">Calculos!BZ$234</f>
        <v>-</v>
      </c>
      <c r="V597" s="332"/>
      <c r="W597" s="1"/>
    </row>
    <row r="598" spans="1:23" ht="20.100000000000001" customHeight="1" x14ac:dyDescent="0.25">
      <c r="A598" s="18"/>
      <c r="B598" s="18"/>
      <c r="C598" s="18"/>
      <c r="D598" s="7"/>
      <c r="E598" s="326"/>
      <c r="F598" s="1471"/>
      <c r="G598" s="1471"/>
      <c r="H598" s="1471"/>
      <c r="I598" s="1471"/>
      <c r="J598" s="1286" t="s">
        <v>8027</v>
      </c>
      <c r="K598" s="1286"/>
      <c r="L598" s="1286"/>
      <c r="M598" s="1286"/>
      <c r="N598" s="188"/>
      <c r="O598" s="188"/>
      <c r="P598" s="330"/>
      <c r="Q598" s="330"/>
      <c r="R598" s="187"/>
      <c r="U598" s="331" t="str">
        <f ca="1">Calculos!BZ$235</f>
        <v>-</v>
      </c>
      <c r="V598" s="332"/>
      <c r="W598" s="1"/>
    </row>
    <row r="599" spans="1:23" ht="20.100000000000001" customHeight="1" x14ac:dyDescent="0.25">
      <c r="A599" s="18"/>
      <c r="B599" s="18"/>
      <c r="C599" s="18"/>
      <c r="D599" s="7"/>
      <c r="E599" s="326"/>
      <c r="F599" s="1471"/>
      <c r="G599" s="1471"/>
      <c r="H599" s="1471"/>
      <c r="I599" s="1471"/>
      <c r="J599" s="1286"/>
      <c r="K599" s="1286"/>
      <c r="L599" s="1286"/>
      <c r="M599" s="1286"/>
      <c r="N599" s="188"/>
      <c r="O599" s="188"/>
      <c r="P599" s="330"/>
      <c r="Q599" s="330"/>
      <c r="R599" s="187"/>
      <c r="U599" s="331" t="str">
        <f ca="1">Calculos!BZ$236</f>
        <v>-</v>
      </c>
      <c r="V599" s="332"/>
      <c r="W599" s="1"/>
    </row>
    <row r="600" spans="1:23" ht="20.100000000000001" customHeight="1" x14ac:dyDescent="0.25">
      <c r="A600" s="18"/>
      <c r="B600" s="18"/>
      <c r="C600" s="18"/>
      <c r="D600" s="7"/>
      <c r="E600" s="326"/>
      <c r="F600" s="1471"/>
      <c r="G600" s="1471"/>
      <c r="H600" s="1471"/>
      <c r="I600" s="1471"/>
      <c r="J600" s="1286"/>
      <c r="K600" s="1286"/>
      <c r="L600" s="1286"/>
      <c r="M600" s="1286"/>
      <c r="N600" s="188"/>
      <c r="O600" s="188"/>
      <c r="P600" s="330"/>
      <c r="Q600" s="330"/>
      <c r="R600" s="187"/>
      <c r="U600" s="331" t="str">
        <f ca="1">Calculos!BZ$237</f>
        <v>-</v>
      </c>
      <c r="V600" s="332"/>
      <c r="W600" s="1"/>
    </row>
    <row r="601" spans="1:23" ht="20.100000000000001" customHeight="1" x14ac:dyDescent="0.25">
      <c r="A601" s="18"/>
      <c r="B601" s="18"/>
      <c r="C601" s="18"/>
      <c r="D601" s="7"/>
      <c r="E601" s="326"/>
      <c r="F601" s="1471"/>
      <c r="G601" s="1471"/>
      <c r="H601" s="1471"/>
      <c r="I601" s="1471"/>
      <c r="J601" s="1286"/>
      <c r="K601" s="1286"/>
      <c r="L601" s="1286"/>
      <c r="M601" s="1286"/>
      <c r="N601" s="188"/>
      <c r="O601" s="188"/>
      <c r="P601" s="330"/>
      <c r="Q601" s="330"/>
      <c r="R601" s="187"/>
      <c r="U601" s="331" t="str">
        <f ca="1">Calculos!BZ$238</f>
        <v>-</v>
      </c>
      <c r="V601" s="332"/>
      <c r="W601" s="1"/>
    </row>
    <row r="602" spans="1:23" ht="20.100000000000001" customHeight="1" x14ac:dyDescent="0.25">
      <c r="A602" s="18"/>
      <c r="B602" s="18"/>
      <c r="C602" s="18"/>
      <c r="D602" s="7"/>
      <c r="E602" s="326"/>
      <c r="F602" s="1471"/>
      <c r="G602" s="1471"/>
      <c r="H602" s="1471"/>
      <c r="I602" s="1471"/>
      <c r="J602" s="1286"/>
      <c r="K602" s="1286"/>
      <c r="L602" s="1286"/>
      <c r="M602" s="1286"/>
      <c r="N602" s="188"/>
      <c r="O602" s="188"/>
      <c r="P602" s="330"/>
      <c r="Q602" s="330"/>
      <c r="R602" s="187"/>
      <c r="U602" s="331" t="str">
        <f ca="1">Calculos!BZ$239</f>
        <v>-</v>
      </c>
      <c r="V602" s="332"/>
      <c r="W602" s="1"/>
    </row>
    <row r="603" spans="1:23" ht="20.100000000000001" customHeight="1" x14ac:dyDescent="0.25">
      <c r="A603" s="18"/>
      <c r="B603" s="18"/>
      <c r="C603" s="18"/>
      <c r="D603" s="7"/>
      <c r="E603" s="326"/>
      <c r="F603" s="1471"/>
      <c r="G603" s="1471"/>
      <c r="H603" s="1471"/>
      <c r="I603" s="1471"/>
      <c r="J603" s="1286"/>
      <c r="K603" s="1286"/>
      <c r="L603" s="1286"/>
      <c r="M603" s="1286"/>
      <c r="N603" s="188"/>
      <c r="O603" s="188"/>
      <c r="P603" s="330"/>
      <c r="Q603" s="330"/>
      <c r="R603" s="187"/>
      <c r="U603" s="331" t="str">
        <f ca="1">Calculos!BZ$240</f>
        <v>-</v>
      </c>
      <c r="V603" s="332"/>
      <c r="W603" s="1"/>
    </row>
    <row r="604" spans="1:23" ht="20.100000000000001" customHeight="1" x14ac:dyDescent="0.25">
      <c r="A604" s="18"/>
      <c r="B604" s="18"/>
      <c r="C604" s="18"/>
      <c r="D604" s="7"/>
      <c r="E604" s="326"/>
      <c r="F604" s="1471"/>
      <c r="G604" s="1471"/>
      <c r="H604" s="1471"/>
      <c r="I604" s="1471"/>
      <c r="J604" s="1286"/>
      <c r="K604" s="1286"/>
      <c r="L604" s="1286"/>
      <c r="M604" s="1286"/>
      <c r="N604" s="188"/>
      <c r="O604" s="188"/>
      <c r="P604" s="330"/>
      <c r="Q604" s="330"/>
      <c r="R604" s="187"/>
      <c r="U604" s="331" t="str">
        <f ca="1">Calculos!BZ$241</f>
        <v>-</v>
      </c>
      <c r="V604" s="332"/>
      <c r="W604" s="1"/>
    </row>
    <row r="605" spans="1:23" ht="20.100000000000001" customHeight="1" x14ac:dyDescent="0.25">
      <c r="A605" s="18"/>
      <c r="B605" s="18"/>
      <c r="C605" s="18"/>
      <c r="D605" s="7"/>
      <c r="E605" s="326"/>
      <c r="F605" s="1471"/>
      <c r="G605" s="1471"/>
      <c r="H605" s="1471"/>
      <c r="I605" s="1471"/>
      <c r="J605" s="1286"/>
      <c r="K605" s="1286"/>
      <c r="L605" s="1286"/>
      <c r="M605" s="1286"/>
      <c r="N605" s="188"/>
      <c r="O605" s="188"/>
      <c r="P605" s="330"/>
      <c r="Q605" s="330"/>
      <c r="R605" s="187"/>
      <c r="U605" s="331" t="str">
        <f ca="1">Calculos!BZ$242</f>
        <v>-</v>
      </c>
      <c r="V605" s="332"/>
      <c r="W605" s="1"/>
    </row>
    <row r="606" spans="1:23" ht="20.100000000000001" customHeight="1" x14ac:dyDescent="0.25">
      <c r="A606" s="18"/>
      <c r="B606" s="18"/>
      <c r="C606" s="18"/>
      <c r="D606" s="7"/>
      <c r="E606" s="326"/>
      <c r="F606" s="1471"/>
      <c r="G606" s="1471"/>
      <c r="H606" s="1471"/>
      <c r="I606" s="1471"/>
      <c r="J606" s="1286"/>
      <c r="K606" s="1286"/>
      <c r="L606" s="1286"/>
      <c r="M606" s="1286"/>
      <c r="N606" s="188"/>
      <c r="O606" s="188"/>
      <c r="P606" s="330"/>
      <c r="Q606" s="330"/>
      <c r="R606" s="187"/>
      <c r="U606" s="331" t="str">
        <f ca="1">Calculos!BZ$243</f>
        <v>-</v>
      </c>
      <c r="V606" s="332"/>
      <c r="W606" s="1"/>
    </row>
    <row r="607" spans="1:23" ht="20.100000000000001" customHeight="1" x14ac:dyDescent="0.25">
      <c r="A607" s="18"/>
      <c r="B607" s="18"/>
      <c r="C607" s="18"/>
      <c r="D607" s="7"/>
      <c r="E607" s="326"/>
      <c r="F607" s="1471"/>
      <c r="G607" s="1471"/>
      <c r="H607" s="1471"/>
      <c r="I607" s="1471"/>
      <c r="J607" s="1286"/>
      <c r="K607" s="1286"/>
      <c r="L607" s="1286"/>
      <c r="M607" s="1286"/>
      <c r="N607" s="188"/>
      <c r="O607" s="188"/>
      <c r="P607" s="330"/>
      <c r="Q607" s="330"/>
      <c r="R607" s="187"/>
      <c r="U607" s="331" t="str">
        <f ca="1">Calculos!BZ$244</f>
        <v>-</v>
      </c>
      <c r="V607" s="332"/>
      <c r="W607" s="1"/>
    </row>
    <row r="608" spans="1:23" ht="20.100000000000001" customHeight="1" x14ac:dyDescent="0.25">
      <c r="A608" s="18"/>
      <c r="B608" s="18"/>
      <c r="C608" s="18"/>
      <c r="D608" s="7"/>
      <c r="E608" s="326"/>
      <c r="F608" s="1471"/>
      <c r="G608" s="1471"/>
      <c r="H608" s="1471"/>
      <c r="I608" s="1471"/>
      <c r="J608" s="1472" t="s">
        <v>80</v>
      </c>
      <c r="K608" s="1473"/>
      <c r="L608" s="1473"/>
      <c r="M608" s="1474"/>
      <c r="N608" s="188"/>
      <c r="O608" s="188"/>
      <c r="P608" s="330"/>
      <c r="Q608" s="330"/>
      <c r="R608" s="187" t="s">
        <v>10</v>
      </c>
      <c r="U608" s="331" t="str">
        <f ca="1">Calculos!BZ$245</f>
        <v>-</v>
      </c>
      <c r="V608" s="332"/>
      <c r="W608" s="1"/>
    </row>
    <row r="609" spans="1:23" ht="20.100000000000001" customHeight="1" x14ac:dyDescent="0.25">
      <c r="A609" s="18"/>
      <c r="B609" s="18"/>
      <c r="C609" s="18"/>
      <c r="D609" s="7"/>
      <c r="E609" s="326"/>
      <c r="V609" s="332"/>
      <c r="W609" s="1"/>
    </row>
    <row r="610" spans="1:23" ht="20.100000000000001" hidden="1" customHeight="1" x14ac:dyDescent="0.25">
      <c r="A610" s="18"/>
      <c r="B610" s="18"/>
      <c r="C610" s="18"/>
      <c r="D610" s="7"/>
      <c r="E610" s="326"/>
      <c r="V610" s="332"/>
      <c r="W610" s="1"/>
    </row>
    <row r="611" spans="1:23" ht="20.100000000000001" hidden="1" customHeight="1" x14ac:dyDescent="0.25">
      <c r="A611" s="18"/>
      <c r="B611" s="18"/>
      <c r="C611" s="18"/>
      <c r="D611" s="7"/>
      <c r="E611" s="326"/>
      <c r="V611" s="332"/>
      <c r="W611" s="7"/>
    </row>
    <row r="612" spans="1:23" ht="20.100000000000001" customHeight="1" x14ac:dyDescent="0.25">
      <c r="A612" s="18"/>
      <c r="B612" s="18"/>
      <c r="C612" s="18"/>
      <c r="D612" s="7"/>
      <c r="E612" s="326"/>
      <c r="V612" s="332"/>
      <c r="W612" s="7"/>
    </row>
    <row r="613" spans="1:23" ht="45" customHeight="1" x14ac:dyDescent="0.25">
      <c r="A613" s="18"/>
      <c r="B613" s="18"/>
      <c r="C613" s="18"/>
      <c r="D613" s="7"/>
      <c r="E613" s="326"/>
      <c r="F613" s="1475" t="s">
        <v>8621</v>
      </c>
      <c r="G613" s="1476"/>
      <c r="H613" s="1476"/>
      <c r="I613" s="1476"/>
      <c r="J613" s="1476"/>
      <c r="K613" s="1476"/>
      <c r="L613" s="1476"/>
      <c r="M613" s="1476"/>
      <c r="N613" s="333" t="str">
        <f ca="1">"Concentração"&amp;" "&amp;Calculos!$BJ$3</f>
        <v>Concentração -</v>
      </c>
      <c r="O613" s="333" t="s">
        <v>6038</v>
      </c>
      <c r="P613" s="333" t="s">
        <v>8126</v>
      </c>
      <c r="Q613" s="333" t="s">
        <v>8028</v>
      </c>
      <c r="R613" s="333" t="s">
        <v>8603</v>
      </c>
      <c r="S613" s="333" t="s">
        <v>8127</v>
      </c>
      <c r="U613" s="328" t="s">
        <v>119</v>
      </c>
      <c r="V613" s="332"/>
      <c r="W613" s="1"/>
    </row>
    <row r="614" spans="1:23" ht="20.100000000000001" customHeight="1" x14ac:dyDescent="0.25">
      <c r="A614" s="18"/>
      <c r="B614" s="18"/>
      <c r="C614" s="18"/>
      <c r="D614" s="7"/>
      <c r="E614" s="326"/>
      <c r="F614" s="1471" t="str">
        <f ca="1">Calculos!$BJ$5</f>
        <v>-</v>
      </c>
      <c r="G614" s="1471"/>
      <c r="H614" s="1471"/>
      <c r="I614" s="1471"/>
      <c r="J614" s="1472" t="s">
        <v>7103</v>
      </c>
      <c r="K614" s="1473"/>
      <c r="L614" s="1473"/>
      <c r="M614" s="1474"/>
      <c r="N614" s="334"/>
      <c r="O614" s="334"/>
      <c r="P614" s="335"/>
      <c r="Q614" s="335"/>
      <c r="R614" s="335">
        <v>0</v>
      </c>
      <c r="S614" s="331">
        <f>O614/2</f>
        <v>0</v>
      </c>
      <c r="U614" s="331" t="str">
        <f ca="1">Calculos!BZ$250</f>
        <v>-</v>
      </c>
      <c r="V614" s="332"/>
      <c r="W614" s="1"/>
    </row>
    <row r="615" spans="1:23" ht="20.100000000000001" customHeight="1" x14ac:dyDescent="0.25">
      <c r="A615" s="18"/>
      <c r="B615" s="18"/>
      <c r="C615" s="18"/>
      <c r="D615" s="7"/>
      <c r="E615" s="326"/>
      <c r="F615" s="1471"/>
      <c r="G615" s="1471"/>
      <c r="H615" s="1471"/>
      <c r="I615" s="1471"/>
      <c r="J615" s="1286" t="s">
        <v>8027</v>
      </c>
      <c r="K615" s="1286"/>
      <c r="L615" s="1286"/>
      <c r="M615" s="1286"/>
      <c r="N615" s="334"/>
      <c r="O615" s="334"/>
      <c r="P615" s="335"/>
      <c r="Q615" s="335"/>
      <c r="R615" s="335"/>
      <c r="U615" s="331" t="str">
        <f ca="1">Calculos!BZ$251</f>
        <v>-</v>
      </c>
      <c r="V615" s="332"/>
      <c r="W615" s="1"/>
    </row>
    <row r="616" spans="1:23" ht="20.100000000000001" customHeight="1" x14ac:dyDescent="0.25">
      <c r="A616" s="18"/>
      <c r="B616" s="18"/>
      <c r="C616" s="18"/>
      <c r="D616" s="7"/>
      <c r="E616" s="326"/>
      <c r="F616" s="1471"/>
      <c r="G616" s="1471"/>
      <c r="H616" s="1471"/>
      <c r="I616" s="1471"/>
      <c r="J616" s="1286"/>
      <c r="K616" s="1286"/>
      <c r="L616" s="1286"/>
      <c r="M616" s="1286"/>
      <c r="N616" s="334"/>
      <c r="O616" s="334"/>
      <c r="P616" s="335"/>
      <c r="Q616" s="335"/>
      <c r="R616" s="335"/>
      <c r="U616" s="331" t="str">
        <f ca="1">Calculos!BZ$252</f>
        <v>-</v>
      </c>
      <c r="V616" s="332"/>
      <c r="W616" s="1"/>
    </row>
    <row r="617" spans="1:23" ht="20.100000000000001" customHeight="1" x14ac:dyDescent="0.25">
      <c r="A617" s="18"/>
      <c r="B617" s="18"/>
      <c r="C617" s="18"/>
      <c r="D617" s="7"/>
      <c r="E617" s="326"/>
      <c r="F617" s="1471"/>
      <c r="G617" s="1471"/>
      <c r="H617" s="1471"/>
      <c r="I617" s="1471"/>
      <c r="J617" s="1286"/>
      <c r="K617" s="1286"/>
      <c r="L617" s="1286"/>
      <c r="M617" s="1286"/>
      <c r="N617" s="334"/>
      <c r="O617" s="334"/>
      <c r="P617" s="335"/>
      <c r="Q617" s="335"/>
      <c r="R617" s="335"/>
      <c r="U617" s="331" t="str">
        <f ca="1">Calculos!BZ$253</f>
        <v>-</v>
      </c>
      <c r="V617" s="332"/>
      <c r="W617" s="1"/>
    </row>
    <row r="618" spans="1:23" ht="20.100000000000001" customHeight="1" x14ac:dyDescent="0.25">
      <c r="A618" s="18"/>
      <c r="B618" s="18"/>
      <c r="C618" s="18"/>
      <c r="D618" s="7"/>
      <c r="E618" s="326"/>
      <c r="F618" s="1471"/>
      <c r="G618" s="1471"/>
      <c r="H618" s="1471"/>
      <c r="I618" s="1471"/>
      <c r="J618" s="1286"/>
      <c r="K618" s="1286"/>
      <c r="L618" s="1286"/>
      <c r="M618" s="1286"/>
      <c r="N618" s="334"/>
      <c r="O618" s="334"/>
      <c r="P618" s="335"/>
      <c r="Q618" s="335"/>
      <c r="R618" s="335"/>
      <c r="U618" s="331" t="str">
        <f ca="1">Calculos!BZ$254</f>
        <v>-</v>
      </c>
      <c r="V618" s="332"/>
      <c r="W618" s="1"/>
    </row>
    <row r="619" spans="1:23" ht="20.100000000000001" customHeight="1" x14ac:dyDescent="0.25">
      <c r="A619" s="18"/>
      <c r="B619" s="18"/>
      <c r="C619" s="18"/>
      <c r="D619" s="7"/>
      <c r="E619" s="326"/>
      <c r="F619" s="1471"/>
      <c r="G619" s="1471"/>
      <c r="H619" s="1471"/>
      <c r="I619" s="1471"/>
      <c r="J619" s="1286"/>
      <c r="K619" s="1286"/>
      <c r="L619" s="1286"/>
      <c r="M619" s="1286"/>
      <c r="N619" s="334"/>
      <c r="O619" s="334"/>
      <c r="P619" s="335"/>
      <c r="Q619" s="335"/>
      <c r="R619" s="335"/>
      <c r="U619" s="331" t="str">
        <f ca="1">Calculos!BZ$255</f>
        <v>-</v>
      </c>
      <c r="V619" s="332"/>
      <c r="W619" s="1"/>
    </row>
    <row r="620" spans="1:23" ht="20.100000000000001" customHeight="1" x14ac:dyDescent="0.25">
      <c r="A620" s="18"/>
      <c r="B620" s="18"/>
      <c r="C620" s="18"/>
      <c r="D620" s="7"/>
      <c r="E620" s="326"/>
      <c r="F620" s="1471"/>
      <c r="G620" s="1471"/>
      <c r="H620" s="1471"/>
      <c r="I620" s="1471"/>
      <c r="J620" s="1286"/>
      <c r="K620" s="1286"/>
      <c r="L620" s="1286"/>
      <c r="M620" s="1286"/>
      <c r="N620" s="334"/>
      <c r="O620" s="334"/>
      <c r="P620" s="335"/>
      <c r="Q620" s="335"/>
      <c r="R620" s="335"/>
      <c r="U620" s="331" t="str">
        <f ca="1">Calculos!BZ$256</f>
        <v>-</v>
      </c>
      <c r="V620" s="332"/>
      <c r="W620" s="1"/>
    </row>
    <row r="621" spans="1:23" ht="20.100000000000001" customHeight="1" x14ac:dyDescent="0.25">
      <c r="A621" s="18"/>
      <c r="B621" s="18"/>
      <c r="C621" s="18"/>
      <c r="D621" s="7"/>
      <c r="E621" s="326"/>
      <c r="F621" s="1471"/>
      <c r="G621" s="1471"/>
      <c r="H621" s="1471"/>
      <c r="I621" s="1471"/>
      <c r="J621" s="1286"/>
      <c r="K621" s="1286"/>
      <c r="L621" s="1286"/>
      <c r="M621" s="1286"/>
      <c r="N621" s="334"/>
      <c r="O621" s="334"/>
      <c r="P621" s="335"/>
      <c r="Q621" s="335"/>
      <c r="R621" s="335"/>
      <c r="U621" s="331" t="str">
        <f ca="1">Calculos!BZ$257</f>
        <v>-</v>
      </c>
      <c r="V621" s="332"/>
      <c r="W621" s="1"/>
    </row>
    <row r="622" spans="1:23" ht="20.100000000000001" customHeight="1" x14ac:dyDescent="0.25">
      <c r="A622" s="18"/>
      <c r="B622" s="18"/>
      <c r="C622" s="18"/>
      <c r="D622" s="7"/>
      <c r="E622" s="326"/>
      <c r="F622" s="1471"/>
      <c r="G622" s="1471"/>
      <c r="H622" s="1471"/>
      <c r="I622" s="1471"/>
      <c r="J622" s="1286"/>
      <c r="K622" s="1286"/>
      <c r="L622" s="1286"/>
      <c r="M622" s="1286"/>
      <c r="N622" s="334"/>
      <c r="O622" s="334"/>
      <c r="P622" s="335"/>
      <c r="Q622" s="335"/>
      <c r="R622" s="335"/>
      <c r="U622" s="331" t="str">
        <f ca="1">Calculos!BZ$258</f>
        <v>-</v>
      </c>
      <c r="V622" s="332"/>
      <c r="W622" s="1"/>
    </row>
    <row r="623" spans="1:23" ht="20.100000000000001" customHeight="1" x14ac:dyDescent="0.25">
      <c r="A623" s="18"/>
      <c r="B623" s="18"/>
      <c r="C623" s="18"/>
      <c r="D623" s="7"/>
      <c r="E623" s="326"/>
      <c r="F623" s="1471"/>
      <c r="G623" s="1471"/>
      <c r="H623" s="1471"/>
      <c r="I623" s="1471"/>
      <c r="J623" s="1286"/>
      <c r="K623" s="1286"/>
      <c r="L623" s="1286"/>
      <c r="M623" s="1286"/>
      <c r="N623" s="334"/>
      <c r="O623" s="334"/>
      <c r="P623" s="335"/>
      <c r="Q623" s="335"/>
      <c r="R623" s="335"/>
      <c r="U623" s="331" t="str">
        <f ca="1">Calculos!BZ$259</f>
        <v>-</v>
      </c>
      <c r="V623" s="332"/>
      <c r="W623" s="1"/>
    </row>
    <row r="624" spans="1:23" ht="20.100000000000001" customHeight="1" x14ac:dyDescent="0.25">
      <c r="A624" s="18"/>
      <c r="B624" s="18"/>
      <c r="C624" s="18"/>
      <c r="D624" s="7"/>
      <c r="E624" s="326"/>
      <c r="F624" s="1471"/>
      <c r="G624" s="1471"/>
      <c r="H624" s="1471"/>
      <c r="I624" s="1471"/>
      <c r="J624" s="1286"/>
      <c r="K624" s="1286"/>
      <c r="L624" s="1286"/>
      <c r="M624" s="1286"/>
      <c r="N624" s="334"/>
      <c r="O624" s="334"/>
      <c r="P624" s="335"/>
      <c r="Q624" s="335"/>
      <c r="R624" s="335"/>
      <c r="U624" s="331" t="str">
        <f ca="1">Calculos!BZ$260</f>
        <v>-</v>
      </c>
      <c r="V624" s="329"/>
      <c r="W624" s="1"/>
    </row>
    <row r="625" spans="1:23" ht="20.100000000000001" customHeight="1" x14ac:dyDescent="0.25">
      <c r="A625" s="18"/>
      <c r="B625" s="18"/>
      <c r="C625" s="18"/>
      <c r="D625" s="7"/>
      <c r="E625" s="326"/>
      <c r="F625" s="1471"/>
      <c r="G625" s="1471"/>
      <c r="H625" s="1471"/>
      <c r="I625" s="1471"/>
      <c r="J625" s="1472" t="s">
        <v>80</v>
      </c>
      <c r="K625" s="1473"/>
      <c r="L625" s="1473"/>
      <c r="M625" s="1474"/>
      <c r="N625" s="334"/>
      <c r="O625" s="334"/>
      <c r="P625" s="335"/>
      <c r="Q625" s="335"/>
      <c r="R625" s="335" t="s">
        <v>10</v>
      </c>
      <c r="U625" s="331" t="str">
        <f ca="1">Calculos!BZ$261</f>
        <v>-</v>
      </c>
      <c r="V625" s="329"/>
      <c r="W625" s="1"/>
    </row>
    <row r="626" spans="1:23" ht="20.100000000000001" hidden="1" customHeight="1" x14ac:dyDescent="0.25">
      <c r="A626" s="18"/>
      <c r="B626" s="18"/>
      <c r="C626" s="18"/>
      <c r="D626" s="7"/>
      <c r="E626" s="326"/>
      <c r="V626" s="329"/>
      <c r="W626" s="1"/>
    </row>
    <row r="627" spans="1:23" ht="20.100000000000001" customHeight="1" x14ac:dyDescent="0.25">
      <c r="A627" s="18"/>
      <c r="B627" s="18"/>
      <c r="C627" s="18"/>
      <c r="D627" s="7"/>
      <c r="E627" s="336"/>
      <c r="F627" s="337"/>
      <c r="G627" s="337"/>
      <c r="H627" s="337"/>
      <c r="I627" s="337"/>
      <c r="J627" s="337"/>
      <c r="K627" s="337"/>
      <c r="L627" s="337"/>
      <c r="M627" s="337"/>
      <c r="N627" s="337"/>
      <c r="O627" s="337"/>
      <c r="P627" s="337"/>
      <c r="Q627" s="337"/>
      <c r="R627" s="337"/>
      <c r="S627" s="337"/>
      <c r="T627" s="337"/>
      <c r="U627" s="337"/>
      <c r="V627" s="338"/>
      <c r="W627" s="1"/>
    </row>
    <row r="628" spans="1:23" ht="30" customHeight="1" x14ac:dyDescent="0.25">
      <c r="A628" s="18"/>
      <c r="B628" s="18"/>
      <c r="C628" s="18"/>
      <c r="D628" s="7"/>
      <c r="E628" s="1"/>
      <c r="F628" s="1"/>
      <c r="G628" s="1"/>
      <c r="H628" s="1"/>
      <c r="I628" s="1"/>
      <c r="J628" s="1"/>
      <c r="K628" s="1"/>
      <c r="L628" s="1"/>
      <c r="M628" s="1"/>
      <c r="N628" s="1"/>
      <c r="O628" s="1"/>
      <c r="P628" s="1"/>
      <c r="Q628" s="1"/>
      <c r="R628" s="1"/>
      <c r="S628" s="1"/>
      <c r="T628" s="1"/>
      <c r="U628" s="1"/>
      <c r="V628" s="1"/>
      <c r="W628" s="1"/>
    </row>
    <row r="629" spans="1:23" ht="20.100000000000001" customHeight="1" x14ac:dyDescent="0.25">
      <c r="A629" s="18"/>
      <c r="B629" s="18"/>
      <c r="C629" s="18"/>
      <c r="D629" s="7"/>
      <c r="E629" s="321"/>
      <c r="F629" s="322"/>
      <c r="G629" s="323"/>
      <c r="H629" s="323"/>
      <c r="I629" s="323"/>
      <c r="J629" s="323"/>
      <c r="K629" s="323"/>
      <c r="L629" s="323"/>
      <c r="M629" s="323"/>
      <c r="N629" s="323"/>
      <c r="O629" s="323"/>
      <c r="P629" s="323"/>
      <c r="Q629" s="323"/>
      <c r="R629" s="323"/>
      <c r="S629" s="339"/>
      <c r="T629" s="339"/>
      <c r="U629" s="340"/>
      <c r="V629" s="325"/>
      <c r="W629" s="1"/>
    </row>
    <row r="630" spans="1:23" ht="45" customHeight="1" x14ac:dyDescent="0.25">
      <c r="A630" s="18"/>
      <c r="B630" s="18"/>
      <c r="C630" s="18"/>
      <c r="D630" s="7"/>
      <c r="E630" s="326"/>
      <c r="F630" s="1469" t="s">
        <v>8613</v>
      </c>
      <c r="G630" s="1470"/>
      <c r="H630" s="1470"/>
      <c r="I630" s="1470"/>
      <c r="J630" s="1470"/>
      <c r="K630" s="1470"/>
      <c r="L630" s="1470"/>
      <c r="M630" s="1470"/>
      <c r="N630" s="327" t="str">
        <f ca="1">"Concentração"&amp;" "&amp;Calculos!$BJ$3</f>
        <v>Concentração -</v>
      </c>
      <c r="O630" s="327" t="s">
        <v>6038</v>
      </c>
      <c r="P630" s="327" t="s">
        <v>8126</v>
      </c>
      <c r="Q630" s="327" t="s">
        <v>8028</v>
      </c>
      <c r="R630" s="327" t="s">
        <v>8603</v>
      </c>
      <c r="S630" s="327" t="s">
        <v>8127</v>
      </c>
      <c r="U630" s="328" t="s">
        <v>119</v>
      </c>
      <c r="V630" s="332"/>
      <c r="W630" s="7"/>
    </row>
    <row r="631" spans="1:23" ht="20.100000000000001" customHeight="1" x14ac:dyDescent="0.25">
      <c r="A631" s="18"/>
      <c r="B631" s="18"/>
      <c r="C631" s="18"/>
      <c r="D631" s="7"/>
      <c r="E631" s="326"/>
      <c r="F631" s="1471" t="str">
        <f ca="1">Calculos!$BJ$5</f>
        <v>-</v>
      </c>
      <c r="G631" s="1471"/>
      <c r="H631" s="1471"/>
      <c r="I631" s="1471"/>
      <c r="J631" s="1472" t="s">
        <v>7103</v>
      </c>
      <c r="K631" s="1473"/>
      <c r="L631" s="1473"/>
      <c r="M631" s="1474"/>
      <c r="N631" s="188"/>
      <c r="O631" s="188"/>
      <c r="P631" s="330"/>
      <c r="Q631" s="330"/>
      <c r="R631" s="187">
        <v>0</v>
      </c>
      <c r="S631" s="331">
        <f>O631/2</f>
        <v>0</v>
      </c>
      <c r="U631" s="331" t="str">
        <f ca="1">Calculos!BZ$266</f>
        <v>-</v>
      </c>
      <c r="V631" s="332"/>
      <c r="W631" s="1"/>
    </row>
    <row r="632" spans="1:23" ht="20.100000000000001" customHeight="1" x14ac:dyDescent="0.25">
      <c r="A632" s="18"/>
      <c r="B632" s="18"/>
      <c r="C632" s="18"/>
      <c r="D632" s="7"/>
      <c r="E632" s="326"/>
      <c r="F632" s="1471"/>
      <c r="G632" s="1471"/>
      <c r="H632" s="1471"/>
      <c r="I632" s="1471"/>
      <c r="J632" s="1286" t="s">
        <v>8027</v>
      </c>
      <c r="K632" s="1286"/>
      <c r="L632" s="1286"/>
      <c r="M632" s="1286"/>
      <c r="N632" s="188"/>
      <c r="O632" s="188"/>
      <c r="P632" s="330"/>
      <c r="Q632" s="330"/>
      <c r="R632" s="187"/>
      <c r="U632" s="331" t="str">
        <f ca="1">Calculos!BZ$267</f>
        <v>-</v>
      </c>
      <c r="V632" s="332"/>
      <c r="W632" s="1"/>
    </row>
    <row r="633" spans="1:23" ht="20.100000000000001" customHeight="1" x14ac:dyDescent="0.25">
      <c r="A633" s="18"/>
      <c r="B633" s="18"/>
      <c r="C633" s="18"/>
      <c r="D633" s="7"/>
      <c r="E633" s="326"/>
      <c r="F633" s="1471"/>
      <c r="G633" s="1471"/>
      <c r="H633" s="1471"/>
      <c r="I633" s="1471"/>
      <c r="J633" s="1286"/>
      <c r="K633" s="1286"/>
      <c r="L633" s="1286"/>
      <c r="M633" s="1286"/>
      <c r="N633" s="188"/>
      <c r="O633" s="188"/>
      <c r="P633" s="330"/>
      <c r="Q633" s="330"/>
      <c r="R633" s="187"/>
      <c r="U633" s="331" t="str">
        <f ca="1">Calculos!BZ$268</f>
        <v>-</v>
      </c>
      <c r="V633" s="332"/>
      <c r="W633" s="1"/>
    </row>
    <row r="634" spans="1:23" ht="20.100000000000001" customHeight="1" x14ac:dyDescent="0.25">
      <c r="A634" s="18"/>
      <c r="B634" s="18"/>
      <c r="C634" s="18"/>
      <c r="D634" s="7"/>
      <c r="E634" s="326"/>
      <c r="F634" s="1471"/>
      <c r="G634" s="1471"/>
      <c r="H634" s="1471"/>
      <c r="I634" s="1471"/>
      <c r="J634" s="1286"/>
      <c r="K634" s="1286"/>
      <c r="L634" s="1286"/>
      <c r="M634" s="1286"/>
      <c r="N634" s="188"/>
      <c r="O634" s="188"/>
      <c r="P634" s="330"/>
      <c r="Q634" s="330"/>
      <c r="R634" s="187"/>
      <c r="U634" s="331" t="str">
        <f ca="1">Calculos!BZ$269</f>
        <v>-</v>
      </c>
      <c r="V634" s="332"/>
      <c r="W634" s="1"/>
    </row>
    <row r="635" spans="1:23" ht="20.100000000000001" customHeight="1" x14ac:dyDescent="0.25">
      <c r="A635" s="18"/>
      <c r="B635" s="18"/>
      <c r="C635" s="18"/>
      <c r="D635" s="7"/>
      <c r="E635" s="326"/>
      <c r="F635" s="1471"/>
      <c r="G635" s="1471"/>
      <c r="H635" s="1471"/>
      <c r="I635" s="1471"/>
      <c r="J635" s="1286"/>
      <c r="K635" s="1286"/>
      <c r="L635" s="1286"/>
      <c r="M635" s="1286"/>
      <c r="N635" s="188"/>
      <c r="O635" s="188"/>
      <c r="P635" s="330"/>
      <c r="Q635" s="330"/>
      <c r="R635" s="187"/>
      <c r="U635" s="331" t="str">
        <f ca="1">Calculos!BZ$270</f>
        <v>-</v>
      </c>
      <c r="V635" s="332"/>
      <c r="W635" s="1"/>
    </row>
    <row r="636" spans="1:23" ht="20.100000000000001" customHeight="1" x14ac:dyDescent="0.25">
      <c r="A636" s="18"/>
      <c r="B636" s="18"/>
      <c r="C636" s="18"/>
      <c r="D636" s="7"/>
      <c r="E636" s="326"/>
      <c r="F636" s="1471"/>
      <c r="G636" s="1471"/>
      <c r="H636" s="1471"/>
      <c r="I636" s="1471"/>
      <c r="J636" s="1286"/>
      <c r="K636" s="1286"/>
      <c r="L636" s="1286"/>
      <c r="M636" s="1286"/>
      <c r="N636" s="188"/>
      <c r="O636" s="188"/>
      <c r="P636" s="330"/>
      <c r="Q636" s="330"/>
      <c r="R636" s="187"/>
      <c r="U636" s="331" t="str">
        <f ca="1">Calculos!BZ$271</f>
        <v>-</v>
      </c>
      <c r="V636" s="332"/>
      <c r="W636" s="1"/>
    </row>
    <row r="637" spans="1:23" ht="20.100000000000001" customHeight="1" x14ac:dyDescent="0.25">
      <c r="A637" s="18"/>
      <c r="B637" s="18"/>
      <c r="C637" s="18"/>
      <c r="D637" s="7"/>
      <c r="E637" s="326"/>
      <c r="F637" s="1471"/>
      <c r="G637" s="1471"/>
      <c r="H637" s="1471"/>
      <c r="I637" s="1471"/>
      <c r="J637" s="1286"/>
      <c r="K637" s="1286"/>
      <c r="L637" s="1286"/>
      <c r="M637" s="1286"/>
      <c r="N637" s="188"/>
      <c r="O637" s="188"/>
      <c r="P637" s="330"/>
      <c r="Q637" s="330"/>
      <c r="R637" s="187"/>
      <c r="U637" s="331" t="str">
        <f ca="1">Calculos!BZ$272</f>
        <v>-</v>
      </c>
      <c r="V637" s="332"/>
      <c r="W637" s="1"/>
    </row>
    <row r="638" spans="1:23" ht="20.100000000000001" customHeight="1" x14ac:dyDescent="0.25">
      <c r="A638" s="18"/>
      <c r="B638" s="18"/>
      <c r="C638" s="18"/>
      <c r="D638" s="7"/>
      <c r="E638" s="326"/>
      <c r="F638" s="1471"/>
      <c r="G638" s="1471"/>
      <c r="H638" s="1471"/>
      <c r="I638" s="1471"/>
      <c r="J638" s="1286"/>
      <c r="K638" s="1286"/>
      <c r="L638" s="1286"/>
      <c r="M638" s="1286"/>
      <c r="N638" s="188"/>
      <c r="O638" s="188"/>
      <c r="P638" s="330"/>
      <c r="Q638" s="330"/>
      <c r="R638" s="187"/>
      <c r="U638" s="331" t="str">
        <f ca="1">Calculos!BZ$273</f>
        <v>-</v>
      </c>
      <c r="V638" s="332"/>
      <c r="W638" s="1"/>
    </row>
    <row r="639" spans="1:23" ht="20.100000000000001" customHeight="1" x14ac:dyDescent="0.25">
      <c r="A639" s="18"/>
      <c r="B639" s="18"/>
      <c r="C639" s="18"/>
      <c r="D639" s="7"/>
      <c r="E639" s="326"/>
      <c r="F639" s="1471"/>
      <c r="G639" s="1471"/>
      <c r="H639" s="1471"/>
      <c r="I639" s="1471"/>
      <c r="J639" s="1286"/>
      <c r="K639" s="1286"/>
      <c r="L639" s="1286"/>
      <c r="M639" s="1286"/>
      <c r="N639" s="188"/>
      <c r="O639" s="188"/>
      <c r="P639" s="330"/>
      <c r="Q639" s="330"/>
      <c r="R639" s="187"/>
      <c r="U639" s="331" t="str">
        <f ca="1">Calculos!BZ$274</f>
        <v>-</v>
      </c>
      <c r="V639" s="332"/>
      <c r="W639" s="1"/>
    </row>
    <row r="640" spans="1:23" ht="20.100000000000001" customHeight="1" x14ac:dyDescent="0.25">
      <c r="A640" s="18"/>
      <c r="B640" s="18"/>
      <c r="C640" s="18"/>
      <c r="D640" s="7"/>
      <c r="E640" s="326"/>
      <c r="F640" s="1471"/>
      <c r="G640" s="1471"/>
      <c r="H640" s="1471"/>
      <c r="I640" s="1471"/>
      <c r="J640" s="1286"/>
      <c r="K640" s="1286"/>
      <c r="L640" s="1286"/>
      <c r="M640" s="1286"/>
      <c r="N640" s="188"/>
      <c r="O640" s="188"/>
      <c r="P640" s="330"/>
      <c r="Q640" s="330"/>
      <c r="R640" s="187"/>
      <c r="U640" s="331" t="str">
        <f ca="1">Calculos!BZ$275</f>
        <v>-</v>
      </c>
      <c r="V640" s="332"/>
      <c r="W640" s="1"/>
    </row>
    <row r="641" spans="1:23" ht="20.100000000000001" customHeight="1" x14ac:dyDescent="0.25">
      <c r="A641" s="18"/>
      <c r="B641" s="18"/>
      <c r="C641" s="18"/>
      <c r="D641" s="7"/>
      <c r="E641" s="326"/>
      <c r="F641" s="1471"/>
      <c r="G641" s="1471"/>
      <c r="H641" s="1471"/>
      <c r="I641" s="1471"/>
      <c r="J641" s="1286"/>
      <c r="K641" s="1286"/>
      <c r="L641" s="1286"/>
      <c r="M641" s="1286"/>
      <c r="N641" s="188"/>
      <c r="O641" s="188"/>
      <c r="P641" s="330"/>
      <c r="Q641" s="330"/>
      <c r="R641" s="187"/>
      <c r="U641" s="331" t="str">
        <f ca="1">Calculos!BZ$276</f>
        <v>-</v>
      </c>
      <c r="V641" s="332"/>
      <c r="W641" s="1"/>
    </row>
    <row r="642" spans="1:23" ht="20.100000000000001" customHeight="1" x14ac:dyDescent="0.25">
      <c r="A642" s="18"/>
      <c r="B642" s="18"/>
      <c r="C642" s="18"/>
      <c r="D642" s="7"/>
      <c r="E642" s="326"/>
      <c r="F642" s="1471"/>
      <c r="G642" s="1471"/>
      <c r="H642" s="1471"/>
      <c r="I642" s="1471"/>
      <c r="J642" s="1472" t="s">
        <v>80</v>
      </c>
      <c r="K642" s="1473"/>
      <c r="L642" s="1473"/>
      <c r="M642" s="1474"/>
      <c r="N642" s="188"/>
      <c r="O642" s="188"/>
      <c r="P642" s="330"/>
      <c r="Q642" s="330"/>
      <c r="R642" s="187" t="s">
        <v>10</v>
      </c>
      <c r="U642" s="331" t="str">
        <f ca="1">Calculos!BZ$277</f>
        <v>-</v>
      </c>
      <c r="V642" s="332"/>
      <c r="W642" s="1"/>
    </row>
    <row r="643" spans="1:23" ht="20.100000000000001" customHeight="1" x14ac:dyDescent="0.25">
      <c r="A643" s="18"/>
      <c r="B643" s="18"/>
      <c r="C643" s="18"/>
      <c r="D643" s="7"/>
      <c r="E643" s="326"/>
      <c r="V643" s="332"/>
      <c r="W643" s="1"/>
    </row>
    <row r="644" spans="1:23" ht="20.100000000000001" hidden="1" customHeight="1" x14ac:dyDescent="0.25">
      <c r="A644" s="18"/>
      <c r="B644" s="18"/>
      <c r="C644" s="18"/>
      <c r="D644" s="7"/>
      <c r="E644" s="326"/>
      <c r="V644" s="332"/>
      <c r="W644" s="1"/>
    </row>
    <row r="645" spans="1:23" ht="20.100000000000001" hidden="1" customHeight="1" x14ac:dyDescent="0.25">
      <c r="A645" s="18"/>
      <c r="B645" s="18"/>
      <c r="C645" s="18"/>
      <c r="D645" s="7"/>
      <c r="E645" s="326"/>
      <c r="V645" s="332"/>
      <c r="W645" s="7"/>
    </row>
    <row r="646" spans="1:23" ht="20.100000000000001" customHeight="1" x14ac:dyDescent="0.25">
      <c r="A646" s="18"/>
      <c r="B646" s="18"/>
      <c r="C646" s="18"/>
      <c r="D646" s="7"/>
      <c r="E646" s="326"/>
      <c r="V646" s="332"/>
      <c r="W646" s="7"/>
    </row>
    <row r="647" spans="1:23" ht="45" customHeight="1" x14ac:dyDescent="0.25">
      <c r="A647" s="18"/>
      <c r="B647" s="18"/>
      <c r="C647" s="18"/>
      <c r="D647" s="7"/>
      <c r="E647" s="326"/>
      <c r="F647" s="1475" t="s">
        <v>8622</v>
      </c>
      <c r="G647" s="1476"/>
      <c r="H647" s="1476"/>
      <c r="I647" s="1476"/>
      <c r="J647" s="1476"/>
      <c r="K647" s="1476"/>
      <c r="L647" s="1476"/>
      <c r="M647" s="1476"/>
      <c r="N647" s="333" t="str">
        <f ca="1">"Concentração"&amp;" "&amp;Calculos!$BJ$3</f>
        <v>Concentração -</v>
      </c>
      <c r="O647" s="333" t="s">
        <v>6038</v>
      </c>
      <c r="P647" s="333" t="s">
        <v>8126</v>
      </c>
      <c r="Q647" s="333" t="s">
        <v>8028</v>
      </c>
      <c r="R647" s="333" t="s">
        <v>8603</v>
      </c>
      <c r="S647" s="333" t="s">
        <v>8127</v>
      </c>
      <c r="U647" s="328" t="s">
        <v>119</v>
      </c>
      <c r="V647" s="332"/>
      <c r="W647" s="1"/>
    </row>
    <row r="648" spans="1:23" ht="20.100000000000001" customHeight="1" x14ac:dyDescent="0.25">
      <c r="A648" s="18"/>
      <c r="B648" s="18"/>
      <c r="C648" s="18"/>
      <c r="D648" s="7"/>
      <c r="E648" s="326"/>
      <c r="F648" s="1471" t="str">
        <f ca="1">Calculos!$BJ$5</f>
        <v>-</v>
      </c>
      <c r="G648" s="1471"/>
      <c r="H648" s="1471"/>
      <c r="I648" s="1471"/>
      <c r="J648" s="1472" t="s">
        <v>7103</v>
      </c>
      <c r="K648" s="1473"/>
      <c r="L648" s="1473"/>
      <c r="M648" s="1474"/>
      <c r="N648" s="334"/>
      <c r="O648" s="334"/>
      <c r="P648" s="335"/>
      <c r="Q648" s="335"/>
      <c r="R648" s="335">
        <v>0</v>
      </c>
      <c r="S648" s="331">
        <f>O648/2</f>
        <v>0</v>
      </c>
      <c r="U648" s="331" t="str">
        <f ca="1">Calculos!BZ$282</f>
        <v>-</v>
      </c>
      <c r="V648" s="332"/>
      <c r="W648" s="1"/>
    </row>
    <row r="649" spans="1:23" ht="20.100000000000001" customHeight="1" x14ac:dyDescent="0.25">
      <c r="A649" s="18"/>
      <c r="B649" s="18"/>
      <c r="C649" s="18"/>
      <c r="D649" s="7"/>
      <c r="E649" s="326"/>
      <c r="F649" s="1471"/>
      <c r="G649" s="1471"/>
      <c r="H649" s="1471"/>
      <c r="I649" s="1471"/>
      <c r="J649" s="1286" t="s">
        <v>8027</v>
      </c>
      <c r="K649" s="1286"/>
      <c r="L649" s="1286"/>
      <c r="M649" s="1286"/>
      <c r="N649" s="334"/>
      <c r="O649" s="334"/>
      <c r="P649" s="335"/>
      <c r="Q649" s="335"/>
      <c r="R649" s="335"/>
      <c r="U649" s="331" t="str">
        <f ca="1">Calculos!BZ$283</f>
        <v>-</v>
      </c>
      <c r="V649" s="332"/>
      <c r="W649" s="1"/>
    </row>
    <row r="650" spans="1:23" ht="20.100000000000001" customHeight="1" x14ac:dyDescent="0.25">
      <c r="A650" s="18"/>
      <c r="B650" s="18"/>
      <c r="C650" s="18"/>
      <c r="D650" s="7"/>
      <c r="E650" s="326"/>
      <c r="F650" s="1471"/>
      <c r="G650" s="1471"/>
      <c r="H650" s="1471"/>
      <c r="I650" s="1471"/>
      <c r="J650" s="1286"/>
      <c r="K650" s="1286"/>
      <c r="L650" s="1286"/>
      <c r="M650" s="1286"/>
      <c r="N650" s="334"/>
      <c r="O650" s="334"/>
      <c r="P650" s="335"/>
      <c r="Q650" s="335"/>
      <c r="R650" s="335"/>
      <c r="U650" s="331" t="str">
        <f ca="1">Calculos!BZ$284</f>
        <v>-</v>
      </c>
      <c r="V650" s="332"/>
      <c r="W650" s="1"/>
    </row>
    <row r="651" spans="1:23" ht="20.100000000000001" customHeight="1" x14ac:dyDescent="0.25">
      <c r="A651" s="18"/>
      <c r="B651" s="18"/>
      <c r="C651" s="18"/>
      <c r="D651" s="7"/>
      <c r="E651" s="326"/>
      <c r="F651" s="1471"/>
      <c r="G651" s="1471"/>
      <c r="H651" s="1471"/>
      <c r="I651" s="1471"/>
      <c r="J651" s="1286"/>
      <c r="K651" s="1286"/>
      <c r="L651" s="1286"/>
      <c r="M651" s="1286"/>
      <c r="N651" s="334"/>
      <c r="O651" s="334"/>
      <c r="P651" s="335"/>
      <c r="Q651" s="335"/>
      <c r="R651" s="335"/>
      <c r="U651" s="331" t="str">
        <f ca="1">Calculos!BZ$285</f>
        <v>-</v>
      </c>
      <c r="V651" s="332"/>
      <c r="W651" s="1"/>
    </row>
    <row r="652" spans="1:23" ht="20.100000000000001" customHeight="1" x14ac:dyDescent="0.25">
      <c r="A652" s="18"/>
      <c r="B652" s="18"/>
      <c r="C652" s="18"/>
      <c r="D652" s="7"/>
      <c r="E652" s="326"/>
      <c r="F652" s="1471"/>
      <c r="G652" s="1471"/>
      <c r="H652" s="1471"/>
      <c r="I652" s="1471"/>
      <c r="J652" s="1286"/>
      <c r="K652" s="1286"/>
      <c r="L652" s="1286"/>
      <c r="M652" s="1286"/>
      <c r="N652" s="334"/>
      <c r="O652" s="334"/>
      <c r="P652" s="335"/>
      <c r="Q652" s="335"/>
      <c r="R652" s="335"/>
      <c r="U652" s="331" t="str">
        <f ca="1">Calculos!BZ$286</f>
        <v>-</v>
      </c>
      <c r="V652" s="332"/>
      <c r="W652" s="1"/>
    </row>
    <row r="653" spans="1:23" ht="20.100000000000001" customHeight="1" x14ac:dyDescent="0.25">
      <c r="A653" s="18"/>
      <c r="B653" s="18"/>
      <c r="C653" s="18"/>
      <c r="D653" s="7"/>
      <c r="E653" s="326"/>
      <c r="F653" s="1471"/>
      <c r="G653" s="1471"/>
      <c r="H653" s="1471"/>
      <c r="I653" s="1471"/>
      <c r="J653" s="1286"/>
      <c r="K653" s="1286"/>
      <c r="L653" s="1286"/>
      <c r="M653" s="1286"/>
      <c r="N653" s="334"/>
      <c r="O653" s="334"/>
      <c r="P653" s="335"/>
      <c r="Q653" s="335"/>
      <c r="R653" s="335"/>
      <c r="U653" s="331" t="str">
        <f ca="1">Calculos!BZ$287</f>
        <v>-</v>
      </c>
      <c r="V653" s="332"/>
      <c r="W653" s="1"/>
    </row>
    <row r="654" spans="1:23" ht="20.100000000000001" customHeight="1" x14ac:dyDescent="0.25">
      <c r="A654" s="18"/>
      <c r="B654" s="18"/>
      <c r="C654" s="18"/>
      <c r="D654" s="7"/>
      <c r="E654" s="326"/>
      <c r="F654" s="1471"/>
      <c r="G654" s="1471"/>
      <c r="H654" s="1471"/>
      <c r="I654" s="1471"/>
      <c r="J654" s="1286"/>
      <c r="K654" s="1286"/>
      <c r="L654" s="1286"/>
      <c r="M654" s="1286"/>
      <c r="N654" s="334"/>
      <c r="O654" s="334"/>
      <c r="P654" s="335"/>
      <c r="Q654" s="335"/>
      <c r="R654" s="335"/>
      <c r="U654" s="331" t="str">
        <f ca="1">Calculos!BZ$288</f>
        <v>-</v>
      </c>
      <c r="V654" s="332"/>
      <c r="W654" s="1"/>
    </row>
    <row r="655" spans="1:23" ht="20.100000000000001" customHeight="1" x14ac:dyDescent="0.25">
      <c r="A655" s="18"/>
      <c r="B655" s="18"/>
      <c r="C655" s="18"/>
      <c r="D655" s="7"/>
      <c r="E655" s="326"/>
      <c r="F655" s="1471"/>
      <c r="G655" s="1471"/>
      <c r="H655" s="1471"/>
      <c r="I655" s="1471"/>
      <c r="J655" s="1286"/>
      <c r="K655" s="1286"/>
      <c r="L655" s="1286"/>
      <c r="M655" s="1286"/>
      <c r="N655" s="334"/>
      <c r="O655" s="334"/>
      <c r="P655" s="335"/>
      <c r="Q655" s="335"/>
      <c r="R655" s="335"/>
      <c r="U655" s="331" t="str">
        <f ca="1">Calculos!BZ$289</f>
        <v>-</v>
      </c>
      <c r="V655" s="332"/>
      <c r="W655" s="1"/>
    </row>
    <row r="656" spans="1:23" ht="20.100000000000001" customHeight="1" x14ac:dyDescent="0.25">
      <c r="A656" s="18"/>
      <c r="B656" s="18"/>
      <c r="C656" s="18"/>
      <c r="D656" s="7"/>
      <c r="E656" s="326"/>
      <c r="F656" s="1471"/>
      <c r="G656" s="1471"/>
      <c r="H656" s="1471"/>
      <c r="I656" s="1471"/>
      <c r="J656" s="1286"/>
      <c r="K656" s="1286"/>
      <c r="L656" s="1286"/>
      <c r="M656" s="1286"/>
      <c r="N656" s="334"/>
      <c r="O656" s="334"/>
      <c r="P656" s="335"/>
      <c r="Q656" s="335"/>
      <c r="R656" s="335"/>
      <c r="U656" s="331" t="str">
        <f ca="1">Calculos!BZ$290</f>
        <v>-</v>
      </c>
      <c r="V656" s="332"/>
      <c r="W656" s="1"/>
    </row>
    <row r="657" spans="1:23" ht="20.100000000000001" customHeight="1" x14ac:dyDescent="0.25">
      <c r="A657" s="18"/>
      <c r="B657" s="18"/>
      <c r="C657" s="18"/>
      <c r="D657" s="7"/>
      <c r="E657" s="326"/>
      <c r="F657" s="1471"/>
      <c r="G657" s="1471"/>
      <c r="H657" s="1471"/>
      <c r="I657" s="1471"/>
      <c r="J657" s="1286"/>
      <c r="K657" s="1286"/>
      <c r="L657" s="1286"/>
      <c r="M657" s="1286"/>
      <c r="N657" s="334"/>
      <c r="O657" s="334"/>
      <c r="P657" s="335"/>
      <c r="Q657" s="335"/>
      <c r="R657" s="335"/>
      <c r="U657" s="331" t="str">
        <f ca="1">Calculos!BZ$291</f>
        <v>-</v>
      </c>
      <c r="V657" s="332"/>
      <c r="W657" s="1"/>
    </row>
    <row r="658" spans="1:23" ht="20.100000000000001" customHeight="1" x14ac:dyDescent="0.25">
      <c r="A658" s="18"/>
      <c r="B658" s="18"/>
      <c r="C658" s="18"/>
      <c r="D658" s="7"/>
      <c r="E658" s="326"/>
      <c r="F658" s="1471"/>
      <c r="G658" s="1471"/>
      <c r="H658" s="1471"/>
      <c r="I658" s="1471"/>
      <c r="J658" s="1286"/>
      <c r="K658" s="1286"/>
      <c r="L658" s="1286"/>
      <c r="M658" s="1286"/>
      <c r="N658" s="334"/>
      <c r="O658" s="334"/>
      <c r="P658" s="335"/>
      <c r="Q658" s="335"/>
      <c r="R658" s="335"/>
      <c r="U658" s="331" t="str">
        <f ca="1">Calculos!BZ$292</f>
        <v>-</v>
      </c>
      <c r="V658" s="329"/>
      <c r="W658" s="1"/>
    </row>
    <row r="659" spans="1:23" ht="20.100000000000001" customHeight="1" x14ac:dyDescent="0.25">
      <c r="A659" s="18"/>
      <c r="B659" s="18"/>
      <c r="C659" s="18"/>
      <c r="D659" s="7"/>
      <c r="E659" s="326"/>
      <c r="F659" s="1471"/>
      <c r="G659" s="1471"/>
      <c r="H659" s="1471"/>
      <c r="I659" s="1471"/>
      <c r="J659" s="1472" t="s">
        <v>80</v>
      </c>
      <c r="K659" s="1473"/>
      <c r="L659" s="1473"/>
      <c r="M659" s="1474"/>
      <c r="N659" s="334"/>
      <c r="O659" s="334"/>
      <c r="P659" s="335"/>
      <c r="Q659" s="335"/>
      <c r="R659" s="335" t="s">
        <v>10</v>
      </c>
      <c r="U659" s="331" t="str">
        <f ca="1">Calculos!BZ$293</f>
        <v>-</v>
      </c>
      <c r="V659" s="329"/>
      <c r="W659" s="1"/>
    </row>
    <row r="660" spans="1:23" ht="20.100000000000001" hidden="1" customHeight="1" x14ac:dyDescent="0.25">
      <c r="A660" s="18"/>
      <c r="B660" s="18"/>
      <c r="C660" s="18"/>
      <c r="D660" s="7"/>
      <c r="E660" s="326"/>
      <c r="V660" s="329"/>
      <c r="W660" s="1"/>
    </row>
    <row r="661" spans="1:23" ht="20.100000000000001" customHeight="1" x14ac:dyDescent="0.25">
      <c r="A661" s="18"/>
      <c r="B661" s="18"/>
      <c r="C661" s="18"/>
      <c r="D661" s="7"/>
      <c r="E661" s="336"/>
      <c r="F661" s="337"/>
      <c r="G661" s="337"/>
      <c r="H661" s="337"/>
      <c r="I661" s="337"/>
      <c r="J661" s="337"/>
      <c r="K661" s="337"/>
      <c r="L661" s="337"/>
      <c r="M661" s="337"/>
      <c r="N661" s="337"/>
      <c r="O661" s="337"/>
      <c r="P661" s="337"/>
      <c r="Q661" s="337"/>
      <c r="R661" s="337"/>
      <c r="S661" s="337"/>
      <c r="T661" s="337"/>
      <c r="U661" s="337"/>
      <c r="V661" s="338"/>
      <c r="W661" s="1"/>
    </row>
    <row r="662" spans="1:23" ht="30" customHeight="1" x14ac:dyDescent="0.25">
      <c r="A662" s="18"/>
      <c r="B662" s="18"/>
      <c r="C662" s="18"/>
      <c r="D662" s="7"/>
      <c r="E662" s="1"/>
      <c r="F662" s="1"/>
      <c r="G662" s="1"/>
      <c r="H662" s="1"/>
      <c r="I662" s="1"/>
      <c r="J662" s="1"/>
      <c r="K662" s="1"/>
      <c r="L662" s="1"/>
      <c r="M662" s="1"/>
      <c r="N662" s="1"/>
      <c r="O662" s="1"/>
      <c r="P662" s="1"/>
      <c r="Q662" s="1"/>
      <c r="R662" s="1"/>
      <c r="S662" s="1"/>
      <c r="T662" s="1"/>
      <c r="U662" s="1"/>
      <c r="V662" s="1"/>
      <c r="W662" s="1"/>
    </row>
    <row r="663" spans="1:23" ht="20.100000000000001" customHeight="1" x14ac:dyDescent="0.25">
      <c r="A663" s="18"/>
      <c r="B663" s="18"/>
      <c r="C663" s="18"/>
      <c r="D663" s="7"/>
      <c r="E663" s="321"/>
      <c r="F663" s="322"/>
      <c r="G663" s="323"/>
      <c r="H663" s="323"/>
      <c r="I663" s="323"/>
      <c r="J663" s="323"/>
      <c r="K663" s="323"/>
      <c r="L663" s="323"/>
      <c r="M663" s="323"/>
      <c r="N663" s="323"/>
      <c r="O663" s="323"/>
      <c r="P663" s="323"/>
      <c r="Q663" s="323"/>
      <c r="R663" s="323"/>
      <c r="S663" s="339"/>
      <c r="T663" s="339"/>
      <c r="U663" s="340"/>
      <c r="V663" s="325"/>
      <c r="W663" s="1"/>
    </row>
    <row r="664" spans="1:23" ht="45" customHeight="1" x14ac:dyDescent="0.25">
      <c r="A664" s="18"/>
      <c r="B664" s="18"/>
      <c r="C664" s="18"/>
      <c r="D664" s="7"/>
      <c r="E664" s="326"/>
      <c r="F664" s="1469" t="s">
        <v>8614</v>
      </c>
      <c r="G664" s="1470"/>
      <c r="H664" s="1470"/>
      <c r="I664" s="1470"/>
      <c r="J664" s="1470"/>
      <c r="K664" s="1470"/>
      <c r="L664" s="1470"/>
      <c r="M664" s="1470"/>
      <c r="N664" s="327" t="str">
        <f ca="1">"Concentração"&amp;" "&amp;Calculos!$BJ$3</f>
        <v>Concentração -</v>
      </c>
      <c r="O664" s="327" t="s">
        <v>6038</v>
      </c>
      <c r="P664" s="327" t="s">
        <v>8126</v>
      </c>
      <c r="Q664" s="327" t="s">
        <v>8028</v>
      </c>
      <c r="R664" s="327" t="s">
        <v>8603</v>
      </c>
      <c r="S664" s="327" t="s">
        <v>8127</v>
      </c>
      <c r="U664" s="328" t="s">
        <v>119</v>
      </c>
      <c r="V664" s="332"/>
      <c r="W664" s="7"/>
    </row>
    <row r="665" spans="1:23" ht="20.100000000000001" customHeight="1" x14ac:dyDescent="0.25">
      <c r="A665" s="18"/>
      <c r="B665" s="18"/>
      <c r="C665" s="18"/>
      <c r="D665" s="7"/>
      <c r="E665" s="326"/>
      <c r="F665" s="1471" t="str">
        <f ca="1">Calculos!$BJ$5</f>
        <v>-</v>
      </c>
      <c r="G665" s="1471"/>
      <c r="H665" s="1471"/>
      <c r="I665" s="1471"/>
      <c r="J665" s="1472" t="s">
        <v>7103</v>
      </c>
      <c r="K665" s="1473"/>
      <c r="L665" s="1473"/>
      <c r="M665" s="1474"/>
      <c r="N665" s="188"/>
      <c r="O665" s="188"/>
      <c r="P665" s="330"/>
      <c r="Q665" s="330"/>
      <c r="R665" s="187">
        <v>0</v>
      </c>
      <c r="S665" s="331">
        <f>O665/2</f>
        <v>0</v>
      </c>
      <c r="U665" s="331" t="str">
        <f ca="1">Calculos!BZ$298</f>
        <v>-</v>
      </c>
      <c r="V665" s="332"/>
      <c r="W665" s="1"/>
    </row>
    <row r="666" spans="1:23" ht="20.100000000000001" customHeight="1" x14ac:dyDescent="0.25">
      <c r="A666" s="18"/>
      <c r="B666" s="18"/>
      <c r="C666" s="18"/>
      <c r="D666" s="7"/>
      <c r="E666" s="326"/>
      <c r="F666" s="1471"/>
      <c r="G666" s="1471"/>
      <c r="H666" s="1471"/>
      <c r="I666" s="1471"/>
      <c r="J666" s="1286" t="s">
        <v>8027</v>
      </c>
      <c r="K666" s="1286"/>
      <c r="L666" s="1286"/>
      <c r="M666" s="1286"/>
      <c r="N666" s="188"/>
      <c r="O666" s="188"/>
      <c r="P666" s="330"/>
      <c r="Q666" s="330"/>
      <c r="R666" s="187"/>
      <c r="U666" s="331" t="str">
        <f ca="1">Calculos!BZ$299</f>
        <v>-</v>
      </c>
      <c r="V666" s="332"/>
      <c r="W666" s="1"/>
    </row>
    <row r="667" spans="1:23" ht="20.100000000000001" customHeight="1" x14ac:dyDescent="0.25">
      <c r="A667" s="18"/>
      <c r="B667" s="18"/>
      <c r="C667" s="18"/>
      <c r="D667" s="7"/>
      <c r="E667" s="326"/>
      <c r="F667" s="1471"/>
      <c r="G667" s="1471"/>
      <c r="H667" s="1471"/>
      <c r="I667" s="1471"/>
      <c r="J667" s="1286"/>
      <c r="K667" s="1286"/>
      <c r="L667" s="1286"/>
      <c r="M667" s="1286"/>
      <c r="N667" s="188"/>
      <c r="O667" s="188"/>
      <c r="P667" s="330"/>
      <c r="Q667" s="330"/>
      <c r="R667" s="187"/>
      <c r="U667" s="331" t="str">
        <f ca="1">Calculos!BZ$300</f>
        <v>-</v>
      </c>
      <c r="V667" s="332"/>
      <c r="W667" s="1"/>
    </row>
    <row r="668" spans="1:23" ht="20.100000000000001" customHeight="1" x14ac:dyDescent="0.25">
      <c r="A668" s="18"/>
      <c r="B668" s="18"/>
      <c r="C668" s="18"/>
      <c r="D668" s="7"/>
      <c r="E668" s="326"/>
      <c r="F668" s="1471"/>
      <c r="G668" s="1471"/>
      <c r="H668" s="1471"/>
      <c r="I668" s="1471"/>
      <c r="J668" s="1286"/>
      <c r="K668" s="1286"/>
      <c r="L668" s="1286"/>
      <c r="M668" s="1286"/>
      <c r="N668" s="188"/>
      <c r="O668" s="188"/>
      <c r="P668" s="330"/>
      <c r="Q668" s="330"/>
      <c r="R668" s="187"/>
      <c r="U668" s="331" t="str">
        <f ca="1">Calculos!BZ$301</f>
        <v>-</v>
      </c>
      <c r="V668" s="332"/>
      <c r="W668" s="1"/>
    </row>
    <row r="669" spans="1:23" ht="20.100000000000001" customHeight="1" x14ac:dyDescent="0.25">
      <c r="A669" s="18"/>
      <c r="B669" s="18"/>
      <c r="C669" s="18"/>
      <c r="D669" s="7"/>
      <c r="E669" s="326"/>
      <c r="F669" s="1471"/>
      <c r="G669" s="1471"/>
      <c r="H669" s="1471"/>
      <c r="I669" s="1471"/>
      <c r="J669" s="1286"/>
      <c r="K669" s="1286"/>
      <c r="L669" s="1286"/>
      <c r="M669" s="1286"/>
      <c r="N669" s="188"/>
      <c r="O669" s="188"/>
      <c r="P669" s="330"/>
      <c r="Q669" s="330"/>
      <c r="R669" s="187"/>
      <c r="U669" s="331" t="str">
        <f ca="1">Calculos!BZ$302</f>
        <v>-</v>
      </c>
      <c r="V669" s="332"/>
      <c r="W669" s="1"/>
    </row>
    <row r="670" spans="1:23" ht="20.100000000000001" customHeight="1" x14ac:dyDescent="0.25">
      <c r="A670" s="18"/>
      <c r="B670" s="18"/>
      <c r="C670" s="18"/>
      <c r="D670" s="7"/>
      <c r="E670" s="326"/>
      <c r="F670" s="1471"/>
      <c r="G670" s="1471"/>
      <c r="H670" s="1471"/>
      <c r="I670" s="1471"/>
      <c r="J670" s="1286"/>
      <c r="K670" s="1286"/>
      <c r="L670" s="1286"/>
      <c r="M670" s="1286"/>
      <c r="N670" s="188"/>
      <c r="O670" s="188"/>
      <c r="P670" s="330"/>
      <c r="Q670" s="330"/>
      <c r="R670" s="187"/>
      <c r="U670" s="331" t="str">
        <f ca="1">Calculos!BZ$303</f>
        <v>-</v>
      </c>
      <c r="V670" s="332"/>
      <c r="W670" s="1"/>
    </row>
    <row r="671" spans="1:23" ht="20.100000000000001" customHeight="1" x14ac:dyDescent="0.25">
      <c r="A671" s="18"/>
      <c r="B671" s="18"/>
      <c r="C671" s="18"/>
      <c r="D671" s="7"/>
      <c r="E671" s="326"/>
      <c r="F671" s="1471"/>
      <c r="G671" s="1471"/>
      <c r="H671" s="1471"/>
      <c r="I671" s="1471"/>
      <c r="J671" s="1286"/>
      <c r="K671" s="1286"/>
      <c r="L671" s="1286"/>
      <c r="M671" s="1286"/>
      <c r="N671" s="188"/>
      <c r="O671" s="188"/>
      <c r="P671" s="330"/>
      <c r="Q671" s="330"/>
      <c r="R671" s="187"/>
      <c r="U671" s="331" t="str">
        <f ca="1">Calculos!BZ$304</f>
        <v>-</v>
      </c>
      <c r="V671" s="332"/>
      <c r="W671" s="1"/>
    </row>
    <row r="672" spans="1:23" ht="20.100000000000001" customHeight="1" x14ac:dyDescent="0.25">
      <c r="A672" s="18"/>
      <c r="B672" s="18"/>
      <c r="C672" s="18"/>
      <c r="D672" s="7"/>
      <c r="E672" s="326"/>
      <c r="F672" s="1471"/>
      <c r="G672" s="1471"/>
      <c r="H672" s="1471"/>
      <c r="I672" s="1471"/>
      <c r="J672" s="1286"/>
      <c r="K672" s="1286"/>
      <c r="L672" s="1286"/>
      <c r="M672" s="1286"/>
      <c r="N672" s="188"/>
      <c r="O672" s="188"/>
      <c r="P672" s="330"/>
      <c r="Q672" s="330"/>
      <c r="R672" s="187"/>
      <c r="U672" s="331" t="str">
        <f ca="1">Calculos!BZ$305</f>
        <v>-</v>
      </c>
      <c r="V672" s="332"/>
      <c r="W672" s="1"/>
    </row>
    <row r="673" spans="1:23" ht="20.100000000000001" customHeight="1" x14ac:dyDescent="0.25">
      <c r="A673" s="18"/>
      <c r="B673" s="18"/>
      <c r="C673" s="18"/>
      <c r="D673" s="7"/>
      <c r="E673" s="326"/>
      <c r="F673" s="1471"/>
      <c r="G673" s="1471"/>
      <c r="H673" s="1471"/>
      <c r="I673" s="1471"/>
      <c r="J673" s="1286"/>
      <c r="K673" s="1286"/>
      <c r="L673" s="1286"/>
      <c r="M673" s="1286"/>
      <c r="N673" s="188"/>
      <c r="O673" s="188"/>
      <c r="P673" s="330"/>
      <c r="Q673" s="330"/>
      <c r="R673" s="187"/>
      <c r="U673" s="331" t="str">
        <f ca="1">Calculos!BZ$306</f>
        <v>-</v>
      </c>
      <c r="V673" s="332"/>
      <c r="W673" s="1"/>
    </row>
    <row r="674" spans="1:23" ht="20.100000000000001" customHeight="1" x14ac:dyDescent="0.25">
      <c r="A674" s="18"/>
      <c r="B674" s="18"/>
      <c r="C674" s="18"/>
      <c r="D674" s="7"/>
      <c r="E674" s="326"/>
      <c r="F674" s="1471"/>
      <c r="G674" s="1471"/>
      <c r="H674" s="1471"/>
      <c r="I674" s="1471"/>
      <c r="J674" s="1286"/>
      <c r="K674" s="1286"/>
      <c r="L674" s="1286"/>
      <c r="M674" s="1286"/>
      <c r="N674" s="188"/>
      <c r="O674" s="188"/>
      <c r="P674" s="330"/>
      <c r="Q674" s="330"/>
      <c r="R674" s="187"/>
      <c r="U674" s="331" t="str">
        <f ca="1">Calculos!BZ$307</f>
        <v>-</v>
      </c>
      <c r="V674" s="332"/>
      <c r="W674" s="1"/>
    </row>
    <row r="675" spans="1:23" ht="20.100000000000001" customHeight="1" x14ac:dyDescent="0.25">
      <c r="A675" s="18"/>
      <c r="B675" s="18"/>
      <c r="C675" s="18"/>
      <c r="D675" s="7"/>
      <c r="E675" s="326"/>
      <c r="F675" s="1471"/>
      <c r="G675" s="1471"/>
      <c r="H675" s="1471"/>
      <c r="I675" s="1471"/>
      <c r="J675" s="1286"/>
      <c r="K675" s="1286"/>
      <c r="L675" s="1286"/>
      <c r="M675" s="1286"/>
      <c r="N675" s="188"/>
      <c r="O675" s="188"/>
      <c r="P675" s="330"/>
      <c r="Q675" s="330"/>
      <c r="R675" s="187"/>
      <c r="U675" s="331" t="str">
        <f ca="1">Calculos!BZ$308</f>
        <v>-</v>
      </c>
      <c r="V675" s="332"/>
      <c r="W675" s="1"/>
    </row>
    <row r="676" spans="1:23" ht="20.100000000000001" customHeight="1" x14ac:dyDescent="0.25">
      <c r="A676" s="18"/>
      <c r="B676" s="18"/>
      <c r="C676" s="18"/>
      <c r="D676" s="7"/>
      <c r="E676" s="326"/>
      <c r="F676" s="1471"/>
      <c r="G676" s="1471"/>
      <c r="H676" s="1471"/>
      <c r="I676" s="1471"/>
      <c r="J676" s="1472" t="s">
        <v>80</v>
      </c>
      <c r="K676" s="1473"/>
      <c r="L676" s="1473"/>
      <c r="M676" s="1474"/>
      <c r="N676" s="188"/>
      <c r="O676" s="188"/>
      <c r="P676" s="330"/>
      <c r="Q676" s="330"/>
      <c r="R676" s="187" t="s">
        <v>10</v>
      </c>
      <c r="U676" s="331" t="str">
        <f ca="1">Calculos!BZ$309</f>
        <v>-</v>
      </c>
      <c r="V676" s="332"/>
      <c r="W676" s="1"/>
    </row>
    <row r="677" spans="1:23" ht="20.100000000000001" customHeight="1" x14ac:dyDescent="0.25">
      <c r="A677" s="18"/>
      <c r="B677" s="18"/>
      <c r="C677" s="18"/>
      <c r="D677" s="7"/>
      <c r="E677" s="326"/>
      <c r="V677" s="332"/>
      <c r="W677" s="1"/>
    </row>
    <row r="678" spans="1:23" ht="20.100000000000001" hidden="1" customHeight="1" x14ac:dyDescent="0.25">
      <c r="A678" s="18"/>
      <c r="B678" s="18"/>
      <c r="C678" s="18"/>
      <c r="D678" s="7"/>
      <c r="E678" s="326"/>
      <c r="V678" s="332"/>
      <c r="W678" s="1"/>
    </row>
    <row r="679" spans="1:23" ht="20.100000000000001" hidden="1" customHeight="1" x14ac:dyDescent="0.25">
      <c r="A679" s="18"/>
      <c r="B679" s="18"/>
      <c r="C679" s="18"/>
      <c r="D679" s="7"/>
      <c r="E679" s="326"/>
      <c r="V679" s="332"/>
      <c r="W679" s="7"/>
    </row>
    <row r="680" spans="1:23" ht="20.100000000000001" customHeight="1" x14ac:dyDescent="0.25">
      <c r="A680" s="18"/>
      <c r="B680" s="18"/>
      <c r="C680" s="18"/>
      <c r="D680" s="7"/>
      <c r="E680" s="326"/>
      <c r="V680" s="332"/>
      <c r="W680" s="7"/>
    </row>
    <row r="681" spans="1:23" ht="45" customHeight="1" x14ac:dyDescent="0.25">
      <c r="A681" s="18"/>
      <c r="B681" s="18"/>
      <c r="C681" s="18"/>
      <c r="D681" s="7"/>
      <c r="E681" s="326"/>
      <c r="F681" s="1475" t="s">
        <v>8623</v>
      </c>
      <c r="G681" s="1476"/>
      <c r="H681" s="1476"/>
      <c r="I681" s="1476"/>
      <c r="J681" s="1476"/>
      <c r="K681" s="1476"/>
      <c r="L681" s="1476"/>
      <c r="M681" s="1476"/>
      <c r="N681" s="333" t="str">
        <f ca="1">"Concentração"&amp;" "&amp;Calculos!$BJ$3</f>
        <v>Concentração -</v>
      </c>
      <c r="O681" s="333" t="s">
        <v>6038</v>
      </c>
      <c r="P681" s="333" t="s">
        <v>8126</v>
      </c>
      <c r="Q681" s="333" t="s">
        <v>8028</v>
      </c>
      <c r="R681" s="333" t="s">
        <v>8603</v>
      </c>
      <c r="S681" s="333" t="s">
        <v>8127</v>
      </c>
      <c r="U681" s="328" t="s">
        <v>119</v>
      </c>
      <c r="V681" s="332"/>
      <c r="W681" s="1"/>
    </row>
    <row r="682" spans="1:23" ht="20.100000000000001" customHeight="1" x14ac:dyDescent="0.25">
      <c r="A682" s="18"/>
      <c r="B682" s="18"/>
      <c r="C682" s="18"/>
      <c r="D682" s="7"/>
      <c r="E682" s="326"/>
      <c r="F682" s="1471" t="str">
        <f ca="1">Calculos!$BJ$5</f>
        <v>-</v>
      </c>
      <c r="G682" s="1471"/>
      <c r="H682" s="1471"/>
      <c r="I682" s="1471"/>
      <c r="J682" s="1472" t="s">
        <v>7103</v>
      </c>
      <c r="K682" s="1473"/>
      <c r="L682" s="1473"/>
      <c r="M682" s="1474"/>
      <c r="N682" s="334"/>
      <c r="O682" s="334"/>
      <c r="P682" s="335"/>
      <c r="Q682" s="335"/>
      <c r="R682" s="335">
        <v>0</v>
      </c>
      <c r="S682" s="331">
        <f>O682/2</f>
        <v>0</v>
      </c>
      <c r="U682" s="331" t="str">
        <f ca="1">Calculos!BZ$314</f>
        <v>-</v>
      </c>
      <c r="V682" s="332"/>
      <c r="W682" s="1"/>
    </row>
    <row r="683" spans="1:23" ht="20.100000000000001" customHeight="1" x14ac:dyDescent="0.25">
      <c r="A683" s="18"/>
      <c r="B683" s="18"/>
      <c r="C683" s="18"/>
      <c r="D683" s="7"/>
      <c r="E683" s="326"/>
      <c r="F683" s="1471"/>
      <c r="G683" s="1471"/>
      <c r="H683" s="1471"/>
      <c r="I683" s="1471"/>
      <c r="J683" s="1286" t="s">
        <v>8027</v>
      </c>
      <c r="K683" s="1286"/>
      <c r="L683" s="1286"/>
      <c r="M683" s="1286"/>
      <c r="N683" s="334"/>
      <c r="O683" s="334"/>
      <c r="P683" s="335"/>
      <c r="Q683" s="335"/>
      <c r="R683" s="335"/>
      <c r="U683" s="331" t="str">
        <f ca="1">Calculos!BZ$315</f>
        <v>-</v>
      </c>
      <c r="V683" s="332"/>
      <c r="W683" s="1"/>
    </row>
    <row r="684" spans="1:23" ht="20.100000000000001" customHeight="1" x14ac:dyDescent="0.25">
      <c r="A684" s="18"/>
      <c r="B684" s="18"/>
      <c r="C684" s="18"/>
      <c r="D684" s="7"/>
      <c r="E684" s="326"/>
      <c r="F684" s="1471"/>
      <c r="G684" s="1471"/>
      <c r="H684" s="1471"/>
      <c r="I684" s="1471"/>
      <c r="J684" s="1286"/>
      <c r="K684" s="1286"/>
      <c r="L684" s="1286"/>
      <c r="M684" s="1286"/>
      <c r="N684" s="334"/>
      <c r="O684" s="334"/>
      <c r="P684" s="335"/>
      <c r="Q684" s="335"/>
      <c r="R684" s="335"/>
      <c r="U684" s="331" t="str">
        <f ca="1">Calculos!BZ$316</f>
        <v>-</v>
      </c>
      <c r="V684" s="332"/>
      <c r="W684" s="1"/>
    </row>
    <row r="685" spans="1:23" ht="20.100000000000001" customHeight="1" x14ac:dyDescent="0.25">
      <c r="A685" s="18"/>
      <c r="B685" s="18"/>
      <c r="C685" s="18"/>
      <c r="D685" s="7"/>
      <c r="E685" s="326"/>
      <c r="F685" s="1471"/>
      <c r="G685" s="1471"/>
      <c r="H685" s="1471"/>
      <c r="I685" s="1471"/>
      <c r="J685" s="1286"/>
      <c r="K685" s="1286"/>
      <c r="L685" s="1286"/>
      <c r="M685" s="1286"/>
      <c r="N685" s="334"/>
      <c r="O685" s="334"/>
      <c r="P685" s="335"/>
      <c r="Q685" s="335"/>
      <c r="R685" s="335"/>
      <c r="U685" s="331" t="str">
        <f ca="1">Calculos!BZ$317</f>
        <v>-</v>
      </c>
      <c r="V685" s="332"/>
      <c r="W685" s="1"/>
    </row>
    <row r="686" spans="1:23" ht="20.100000000000001" customHeight="1" x14ac:dyDescent="0.25">
      <c r="A686" s="18"/>
      <c r="B686" s="18"/>
      <c r="C686" s="18"/>
      <c r="D686" s="7"/>
      <c r="E686" s="326"/>
      <c r="F686" s="1471"/>
      <c r="G686" s="1471"/>
      <c r="H686" s="1471"/>
      <c r="I686" s="1471"/>
      <c r="J686" s="1286"/>
      <c r="K686" s="1286"/>
      <c r="L686" s="1286"/>
      <c r="M686" s="1286"/>
      <c r="N686" s="334"/>
      <c r="O686" s="334"/>
      <c r="P686" s="335"/>
      <c r="Q686" s="335"/>
      <c r="R686" s="335"/>
      <c r="U686" s="331" t="str">
        <f ca="1">Calculos!BZ$318</f>
        <v>-</v>
      </c>
      <c r="V686" s="332"/>
      <c r="W686" s="1"/>
    </row>
    <row r="687" spans="1:23" ht="20.100000000000001" customHeight="1" x14ac:dyDescent="0.25">
      <c r="A687" s="18"/>
      <c r="B687" s="18"/>
      <c r="C687" s="18"/>
      <c r="D687" s="7"/>
      <c r="E687" s="326"/>
      <c r="F687" s="1471"/>
      <c r="G687" s="1471"/>
      <c r="H687" s="1471"/>
      <c r="I687" s="1471"/>
      <c r="J687" s="1286"/>
      <c r="K687" s="1286"/>
      <c r="L687" s="1286"/>
      <c r="M687" s="1286"/>
      <c r="N687" s="334"/>
      <c r="O687" s="334"/>
      <c r="P687" s="335"/>
      <c r="Q687" s="335"/>
      <c r="R687" s="335"/>
      <c r="U687" s="331" t="str">
        <f ca="1">Calculos!BZ$319</f>
        <v>-</v>
      </c>
      <c r="V687" s="332"/>
      <c r="W687" s="1"/>
    </row>
    <row r="688" spans="1:23" ht="20.100000000000001" customHeight="1" x14ac:dyDescent="0.25">
      <c r="A688" s="18"/>
      <c r="B688" s="18"/>
      <c r="C688" s="18"/>
      <c r="D688" s="7"/>
      <c r="E688" s="326"/>
      <c r="F688" s="1471"/>
      <c r="G688" s="1471"/>
      <c r="H688" s="1471"/>
      <c r="I688" s="1471"/>
      <c r="J688" s="1286"/>
      <c r="K688" s="1286"/>
      <c r="L688" s="1286"/>
      <c r="M688" s="1286"/>
      <c r="N688" s="334"/>
      <c r="O688" s="334"/>
      <c r="P688" s="335"/>
      <c r="Q688" s="335"/>
      <c r="R688" s="335"/>
      <c r="U688" s="331" t="str">
        <f ca="1">Calculos!BZ$320</f>
        <v>-</v>
      </c>
      <c r="V688" s="332"/>
      <c r="W688" s="1"/>
    </row>
    <row r="689" spans="1:23" ht="20.100000000000001" customHeight="1" x14ac:dyDescent="0.25">
      <c r="A689" s="18"/>
      <c r="B689" s="18"/>
      <c r="C689" s="18"/>
      <c r="D689" s="7"/>
      <c r="E689" s="326"/>
      <c r="F689" s="1471"/>
      <c r="G689" s="1471"/>
      <c r="H689" s="1471"/>
      <c r="I689" s="1471"/>
      <c r="J689" s="1286"/>
      <c r="K689" s="1286"/>
      <c r="L689" s="1286"/>
      <c r="M689" s="1286"/>
      <c r="N689" s="334"/>
      <c r="O689" s="334"/>
      <c r="P689" s="335"/>
      <c r="Q689" s="335"/>
      <c r="R689" s="335"/>
      <c r="U689" s="331" t="str">
        <f ca="1">Calculos!BZ$321</f>
        <v>-</v>
      </c>
      <c r="V689" s="332"/>
      <c r="W689" s="1"/>
    </row>
    <row r="690" spans="1:23" ht="20.100000000000001" customHeight="1" x14ac:dyDescent="0.25">
      <c r="A690" s="18"/>
      <c r="B690" s="18"/>
      <c r="C690" s="18"/>
      <c r="D690" s="7"/>
      <c r="E690" s="326"/>
      <c r="F690" s="1471"/>
      <c r="G690" s="1471"/>
      <c r="H690" s="1471"/>
      <c r="I690" s="1471"/>
      <c r="J690" s="1286"/>
      <c r="K690" s="1286"/>
      <c r="L690" s="1286"/>
      <c r="M690" s="1286"/>
      <c r="N690" s="334"/>
      <c r="O690" s="334"/>
      <c r="P690" s="335"/>
      <c r="Q690" s="335"/>
      <c r="R690" s="335"/>
      <c r="U690" s="331" t="str">
        <f ca="1">Calculos!BZ$322</f>
        <v>-</v>
      </c>
      <c r="V690" s="332"/>
      <c r="W690" s="1"/>
    </row>
    <row r="691" spans="1:23" ht="20.100000000000001" customHeight="1" x14ac:dyDescent="0.25">
      <c r="A691" s="18"/>
      <c r="B691" s="18"/>
      <c r="C691" s="18"/>
      <c r="D691" s="7"/>
      <c r="E691" s="326"/>
      <c r="F691" s="1471"/>
      <c r="G691" s="1471"/>
      <c r="H691" s="1471"/>
      <c r="I691" s="1471"/>
      <c r="J691" s="1286"/>
      <c r="K691" s="1286"/>
      <c r="L691" s="1286"/>
      <c r="M691" s="1286"/>
      <c r="N691" s="334"/>
      <c r="O691" s="334"/>
      <c r="P691" s="335"/>
      <c r="Q691" s="335"/>
      <c r="R691" s="335"/>
      <c r="U691" s="331" t="str">
        <f ca="1">Calculos!BZ$323</f>
        <v>-</v>
      </c>
      <c r="V691" s="332"/>
      <c r="W691" s="1"/>
    </row>
    <row r="692" spans="1:23" ht="20.100000000000001" customHeight="1" x14ac:dyDescent="0.25">
      <c r="A692" s="18"/>
      <c r="B692" s="18"/>
      <c r="C692" s="18"/>
      <c r="D692" s="7"/>
      <c r="E692" s="326"/>
      <c r="F692" s="1471"/>
      <c r="G692" s="1471"/>
      <c r="H692" s="1471"/>
      <c r="I692" s="1471"/>
      <c r="J692" s="1286"/>
      <c r="K692" s="1286"/>
      <c r="L692" s="1286"/>
      <c r="M692" s="1286"/>
      <c r="N692" s="334"/>
      <c r="O692" s="334"/>
      <c r="P692" s="335"/>
      <c r="Q692" s="335"/>
      <c r="R692" s="335"/>
      <c r="U692" s="331" t="str">
        <f ca="1">Calculos!BZ$324</f>
        <v>-</v>
      </c>
      <c r="V692" s="329"/>
      <c r="W692" s="1"/>
    </row>
    <row r="693" spans="1:23" ht="20.100000000000001" customHeight="1" x14ac:dyDescent="0.25">
      <c r="A693" s="18"/>
      <c r="B693" s="18"/>
      <c r="C693" s="18"/>
      <c r="D693" s="7"/>
      <c r="E693" s="326"/>
      <c r="F693" s="1471"/>
      <c r="G693" s="1471"/>
      <c r="H693" s="1471"/>
      <c r="I693" s="1471"/>
      <c r="J693" s="1472" t="s">
        <v>80</v>
      </c>
      <c r="K693" s="1473"/>
      <c r="L693" s="1473"/>
      <c r="M693" s="1474"/>
      <c r="N693" s="334"/>
      <c r="O693" s="334"/>
      <c r="P693" s="335"/>
      <c r="Q693" s="335"/>
      <c r="R693" s="335" t="s">
        <v>10</v>
      </c>
      <c r="U693" s="331" t="str">
        <f ca="1">Calculos!BZ$325</f>
        <v>-</v>
      </c>
      <c r="V693" s="329"/>
      <c r="W693" s="1"/>
    </row>
    <row r="694" spans="1:23" ht="20.100000000000001" customHeight="1" x14ac:dyDescent="0.25">
      <c r="A694" s="18"/>
      <c r="B694" s="18"/>
      <c r="C694" s="18"/>
      <c r="D694" s="7"/>
      <c r="E694" s="336"/>
      <c r="F694" s="337"/>
      <c r="G694" s="337"/>
      <c r="H694" s="337"/>
      <c r="I694" s="337"/>
      <c r="J694" s="337"/>
      <c r="K694" s="337"/>
      <c r="L694" s="337"/>
      <c r="M694" s="337"/>
      <c r="N694" s="337"/>
      <c r="O694" s="337"/>
      <c r="P694" s="337"/>
      <c r="Q694" s="337"/>
      <c r="R694" s="337"/>
      <c r="S694" s="337"/>
      <c r="T694" s="337"/>
      <c r="U694" s="337"/>
      <c r="V694" s="338"/>
      <c r="W694" s="1"/>
    </row>
    <row r="695" spans="1:23" ht="20.100000000000001" customHeight="1" x14ac:dyDescent="0.25">
      <c r="A695" s="18"/>
      <c r="B695" s="18"/>
      <c r="C695" s="18"/>
      <c r="D695" s="7"/>
      <c r="E695" s="7"/>
      <c r="F695" s="1"/>
      <c r="G695" s="1"/>
      <c r="H695" s="1"/>
      <c r="I695" s="1"/>
      <c r="J695" s="1"/>
      <c r="K695" s="1"/>
      <c r="L695" s="1"/>
      <c r="M695" s="1"/>
      <c r="N695" s="1"/>
      <c r="O695" s="1"/>
      <c r="P695" s="1"/>
      <c r="Q695" s="1"/>
      <c r="R695" s="1"/>
      <c r="S695" s="1"/>
      <c r="T695" s="1"/>
      <c r="U695" s="1"/>
      <c r="V695" s="1"/>
      <c r="W695" s="1"/>
    </row>
    <row r="696" spans="1:23" ht="20.100000000000001" customHeight="1" x14ac:dyDescent="0.25">
      <c r="A696" s="18"/>
      <c r="B696" s="18"/>
      <c r="C696" s="18"/>
      <c r="D696" s="7"/>
      <c r="E696" s="7"/>
      <c r="F696" s="1"/>
      <c r="G696" s="1"/>
      <c r="H696" s="1"/>
      <c r="I696" s="1"/>
      <c r="J696" s="1"/>
      <c r="K696" s="1"/>
      <c r="L696" s="1"/>
      <c r="M696" s="1"/>
      <c r="N696" s="1"/>
      <c r="O696" s="1"/>
      <c r="P696" s="1"/>
      <c r="Q696" s="1"/>
      <c r="R696" s="1"/>
      <c r="S696" s="1"/>
      <c r="T696" s="1"/>
      <c r="U696" s="1"/>
      <c r="V696" s="1"/>
      <c r="W696" s="1"/>
    </row>
    <row r="697" spans="1:23" ht="20.100000000000001" customHeight="1" x14ac:dyDescent="0.25">
      <c r="A697" s="18"/>
      <c r="B697" s="18"/>
      <c r="C697" s="18"/>
      <c r="D697" s="7"/>
      <c r="E697" s="7"/>
      <c r="F697" s="1"/>
      <c r="G697" s="1"/>
      <c r="H697" s="1"/>
      <c r="I697" s="1"/>
      <c r="J697" s="1"/>
      <c r="K697" s="1"/>
      <c r="L697" s="1"/>
      <c r="M697" s="1"/>
      <c r="N697" s="1"/>
      <c r="O697" s="1"/>
      <c r="P697" s="1"/>
      <c r="Q697" s="1"/>
      <c r="R697" s="1"/>
      <c r="S697" s="1"/>
      <c r="T697" s="1"/>
      <c r="U697" s="1"/>
      <c r="V697" s="1"/>
      <c r="W697" s="1"/>
    </row>
    <row r="698" spans="1:23" ht="20.100000000000001" customHeight="1" x14ac:dyDescent="0.25">
      <c r="A698" s="18"/>
      <c r="B698" s="18"/>
      <c r="C698" s="18"/>
      <c r="D698" s="7"/>
      <c r="E698" s="7"/>
      <c r="F698" s="1"/>
      <c r="G698" s="1"/>
      <c r="H698" s="1"/>
      <c r="I698" s="1"/>
      <c r="J698" s="1"/>
      <c r="K698" s="1"/>
      <c r="L698" s="1"/>
      <c r="M698" s="1"/>
      <c r="N698" s="1"/>
      <c r="O698" s="1"/>
      <c r="P698" s="1"/>
      <c r="Q698" s="1"/>
      <c r="R698" s="1"/>
      <c r="S698" s="1"/>
      <c r="T698" s="1"/>
      <c r="U698" s="1"/>
      <c r="V698" s="1"/>
      <c r="W698" s="1"/>
    </row>
    <row r="699" spans="1:23" ht="50.1" customHeight="1" x14ac:dyDescent="0.25">
      <c r="A699" s="343"/>
      <c r="B699" s="343"/>
      <c r="C699" s="343"/>
      <c r="D699" s="344"/>
      <c r="E699" s="344"/>
      <c r="F699" s="344"/>
      <c r="G699" s="344"/>
      <c r="H699" s="344"/>
      <c r="I699" s="344"/>
      <c r="J699" s="344"/>
      <c r="K699" s="344"/>
      <c r="L699" s="344"/>
      <c r="M699" s="344"/>
      <c r="N699" s="344"/>
      <c r="O699" s="343"/>
      <c r="P699" s="345" t="s">
        <v>8030</v>
      </c>
      <c r="Q699" s="344"/>
      <c r="R699" s="344"/>
      <c r="S699" s="344"/>
      <c r="T699" s="344"/>
      <c r="U699" s="344"/>
      <c r="V699" s="344"/>
      <c r="W699" s="344"/>
    </row>
    <row r="700" spans="1:23" ht="20.100000000000001" customHeight="1" x14ac:dyDescent="0.25">
      <c r="A700" s="18"/>
      <c r="B700" s="18"/>
      <c r="C700" s="18"/>
      <c r="D700" s="7"/>
      <c r="E700" s="7"/>
      <c r="F700" s="7"/>
      <c r="G700" s="7"/>
      <c r="H700" s="7"/>
      <c r="I700" s="7"/>
      <c r="J700" s="7"/>
      <c r="K700" s="7"/>
      <c r="L700" s="7"/>
      <c r="M700" s="7"/>
      <c r="N700" s="7"/>
      <c r="O700" s="7"/>
      <c r="P700" s="7"/>
      <c r="Q700" s="7"/>
      <c r="R700" s="7"/>
      <c r="S700" s="7"/>
      <c r="T700" s="7"/>
      <c r="U700" s="7"/>
      <c r="V700" s="7"/>
      <c r="W700" s="7"/>
    </row>
    <row r="701" spans="1:23" ht="50.1" customHeight="1" x14ac:dyDescent="0.25">
      <c r="A701" s="18"/>
      <c r="B701" s="18"/>
      <c r="C701" s="18"/>
      <c r="D701" s="7"/>
      <c r="E701" s="346"/>
      <c r="F701" s="346"/>
      <c r="G701" s="346"/>
      <c r="H701" s="346"/>
      <c r="I701" s="346"/>
      <c r="J701" s="346"/>
      <c r="K701" s="346"/>
      <c r="L701" s="346"/>
      <c r="M701" s="346"/>
      <c r="N701" s="346"/>
      <c r="O701" s="346"/>
      <c r="P701" s="347" t="s">
        <v>120</v>
      </c>
      <c r="Q701" s="346"/>
      <c r="R701" s="346"/>
      <c r="S701" s="346"/>
      <c r="T701" s="346"/>
      <c r="U701" s="346"/>
      <c r="V701" s="346"/>
      <c r="W701" s="348"/>
    </row>
    <row r="702" spans="1:23" ht="20.100000000000001" customHeight="1" x14ac:dyDescent="0.25">
      <c r="A702" s="18"/>
      <c r="B702" s="18"/>
      <c r="C702" s="18"/>
      <c r="D702" s="7"/>
      <c r="E702" s="7"/>
      <c r="F702" s="1"/>
      <c r="G702" s="1"/>
      <c r="H702" s="1"/>
      <c r="I702" s="1"/>
      <c r="J702" s="1"/>
      <c r="K702" s="1"/>
      <c r="L702" s="1"/>
      <c r="M702" s="1"/>
      <c r="N702" s="316"/>
      <c r="O702" s="1"/>
      <c r="P702" s="1"/>
      <c r="Q702" s="1"/>
      <c r="R702" s="1"/>
      <c r="S702" s="1"/>
      <c r="T702" s="1"/>
      <c r="U702" s="1"/>
      <c r="V702" s="1"/>
      <c r="W702" s="7"/>
    </row>
    <row r="703" spans="1:23" ht="20.100000000000001" customHeight="1" x14ac:dyDescent="0.25">
      <c r="A703" s="18"/>
      <c r="B703" s="18"/>
      <c r="C703" s="18"/>
      <c r="D703" s="7"/>
      <c r="E703" s="321"/>
      <c r="F703" s="322"/>
      <c r="G703" s="323"/>
      <c r="H703" s="323"/>
      <c r="I703" s="323"/>
      <c r="J703" s="323"/>
      <c r="K703" s="323"/>
      <c r="L703" s="323"/>
      <c r="M703" s="323"/>
      <c r="N703" s="323"/>
      <c r="O703" s="323"/>
      <c r="P703" s="340"/>
      <c r="Q703" s="323"/>
      <c r="R703" s="323"/>
      <c r="S703" s="323"/>
      <c r="T703" s="339"/>
      <c r="U703" s="323"/>
      <c r="V703" s="325"/>
      <c r="W703" s="7"/>
    </row>
    <row r="704" spans="1:23" ht="45" customHeight="1" x14ac:dyDescent="0.25">
      <c r="A704" s="18"/>
      <c r="B704" s="18"/>
      <c r="C704" s="18"/>
      <c r="D704" s="7"/>
      <c r="E704" s="326"/>
      <c r="F704" s="1469" t="s">
        <v>8604</v>
      </c>
      <c r="G704" s="1470"/>
      <c r="H704" s="1470"/>
      <c r="I704" s="1470"/>
      <c r="J704" s="1470"/>
      <c r="K704" s="1470"/>
      <c r="L704" s="1470"/>
      <c r="M704" s="1470"/>
      <c r="N704" s="327" t="str">
        <f ca="1">"Concentração"&amp;" "&amp;Calculos!$BJ$3</f>
        <v>Concentração -</v>
      </c>
      <c r="O704" s="327" t="s">
        <v>6038</v>
      </c>
      <c r="P704" s="327" t="s">
        <v>8126</v>
      </c>
      <c r="Q704" s="327" t="s">
        <v>8028</v>
      </c>
      <c r="R704" s="327" t="s">
        <v>8603</v>
      </c>
      <c r="S704" s="327" t="s">
        <v>8127</v>
      </c>
      <c r="U704" s="328" t="s">
        <v>119</v>
      </c>
      <c r="V704" s="332"/>
      <c r="W704" s="1"/>
    </row>
    <row r="705" spans="1:23" ht="20.100000000000001" customHeight="1" x14ac:dyDescent="0.25">
      <c r="A705" s="18"/>
      <c r="B705" s="18"/>
      <c r="C705" s="18"/>
      <c r="D705" s="7"/>
      <c r="E705" s="326"/>
      <c r="F705" s="1471" t="str">
        <f ca="1">Calculos!$BJ$6</f>
        <v>-</v>
      </c>
      <c r="G705" s="1471"/>
      <c r="H705" s="1471"/>
      <c r="I705" s="1471"/>
      <c r="J705" s="1472" t="s">
        <v>7103</v>
      </c>
      <c r="K705" s="1473"/>
      <c r="L705" s="1473"/>
      <c r="M705" s="1474"/>
      <c r="N705" s="188"/>
      <c r="O705" s="188"/>
      <c r="P705" s="330"/>
      <c r="Q705" s="330"/>
      <c r="R705" s="187">
        <v>0</v>
      </c>
      <c r="S705" s="331">
        <f>O705/2</f>
        <v>0</v>
      </c>
      <c r="U705" s="331" t="str">
        <f ca="1">Calculos!CK$10</f>
        <v>-</v>
      </c>
      <c r="V705" s="332"/>
      <c r="W705" s="1"/>
    </row>
    <row r="706" spans="1:23" ht="20.100000000000001" customHeight="1" x14ac:dyDescent="0.25">
      <c r="A706" s="18"/>
      <c r="B706" s="18"/>
      <c r="C706" s="18"/>
      <c r="D706" s="7"/>
      <c r="E706" s="326"/>
      <c r="F706" s="1471"/>
      <c r="G706" s="1471"/>
      <c r="H706" s="1471"/>
      <c r="I706" s="1471"/>
      <c r="J706" s="1286" t="s">
        <v>8027</v>
      </c>
      <c r="K706" s="1286"/>
      <c r="L706" s="1286"/>
      <c r="M706" s="1286"/>
      <c r="N706" s="188"/>
      <c r="O706" s="188"/>
      <c r="P706" s="330"/>
      <c r="Q706" s="330"/>
      <c r="R706" s="187"/>
      <c r="U706" s="331" t="str">
        <f ca="1">Calculos!CK$11</f>
        <v>-</v>
      </c>
      <c r="V706" s="332"/>
      <c r="W706" s="1"/>
    </row>
    <row r="707" spans="1:23" ht="20.100000000000001" customHeight="1" x14ac:dyDescent="0.25">
      <c r="A707" s="18"/>
      <c r="B707" s="18"/>
      <c r="C707" s="18"/>
      <c r="D707" s="7"/>
      <c r="E707" s="326"/>
      <c r="F707" s="1471"/>
      <c r="G707" s="1471"/>
      <c r="H707" s="1471"/>
      <c r="I707" s="1471"/>
      <c r="J707" s="1286"/>
      <c r="K707" s="1286"/>
      <c r="L707" s="1286"/>
      <c r="M707" s="1286"/>
      <c r="N707" s="188"/>
      <c r="O707" s="188"/>
      <c r="P707" s="330"/>
      <c r="Q707" s="330"/>
      <c r="R707" s="187"/>
      <c r="U707" s="331" t="str">
        <f ca="1">Calculos!CK$12</f>
        <v>-</v>
      </c>
      <c r="V707" s="332"/>
      <c r="W707" s="1"/>
    </row>
    <row r="708" spans="1:23" ht="20.100000000000001" customHeight="1" x14ac:dyDescent="0.25">
      <c r="A708" s="18"/>
      <c r="B708" s="18"/>
      <c r="C708" s="18"/>
      <c r="D708" s="7"/>
      <c r="E708" s="326"/>
      <c r="F708" s="1471"/>
      <c r="G708" s="1471"/>
      <c r="H708" s="1471"/>
      <c r="I708" s="1471"/>
      <c r="J708" s="1286"/>
      <c r="K708" s="1286"/>
      <c r="L708" s="1286"/>
      <c r="M708" s="1286"/>
      <c r="N708" s="188"/>
      <c r="O708" s="188"/>
      <c r="P708" s="330"/>
      <c r="Q708" s="330"/>
      <c r="R708" s="187"/>
      <c r="U708" s="331" t="str">
        <f ca="1">Calculos!CK$13</f>
        <v>-</v>
      </c>
      <c r="V708" s="332"/>
      <c r="W708" s="1"/>
    </row>
    <row r="709" spans="1:23" ht="20.100000000000001" customHeight="1" x14ac:dyDescent="0.25">
      <c r="A709" s="18"/>
      <c r="B709" s="18"/>
      <c r="C709" s="18"/>
      <c r="D709" s="7"/>
      <c r="E709" s="326"/>
      <c r="F709" s="1471"/>
      <c r="G709" s="1471"/>
      <c r="H709" s="1471"/>
      <c r="I709" s="1471"/>
      <c r="J709" s="1286"/>
      <c r="K709" s="1286"/>
      <c r="L709" s="1286"/>
      <c r="M709" s="1286"/>
      <c r="N709" s="188"/>
      <c r="O709" s="188"/>
      <c r="P709" s="330"/>
      <c r="Q709" s="330"/>
      <c r="R709" s="187"/>
      <c r="U709" s="331" t="str">
        <f ca="1">Calculos!CK$14</f>
        <v>-</v>
      </c>
      <c r="V709" s="332"/>
      <c r="W709" s="1"/>
    </row>
    <row r="710" spans="1:23" ht="20.100000000000001" customHeight="1" x14ac:dyDescent="0.25">
      <c r="A710" s="18"/>
      <c r="B710" s="18"/>
      <c r="C710" s="18"/>
      <c r="D710" s="7"/>
      <c r="E710" s="326"/>
      <c r="F710" s="1471"/>
      <c r="G710" s="1471"/>
      <c r="H710" s="1471"/>
      <c r="I710" s="1471"/>
      <c r="J710" s="1286"/>
      <c r="K710" s="1286"/>
      <c r="L710" s="1286"/>
      <c r="M710" s="1286"/>
      <c r="N710" s="188"/>
      <c r="O710" s="188"/>
      <c r="P710" s="330"/>
      <c r="Q710" s="330"/>
      <c r="R710" s="187"/>
      <c r="U710" s="331" t="str">
        <f ca="1">Calculos!CK$15</f>
        <v>-</v>
      </c>
      <c r="V710" s="332"/>
      <c r="W710" s="1"/>
    </row>
    <row r="711" spans="1:23" ht="20.100000000000001" customHeight="1" x14ac:dyDescent="0.25">
      <c r="A711" s="18"/>
      <c r="B711" s="18"/>
      <c r="C711" s="18"/>
      <c r="D711" s="7"/>
      <c r="E711" s="326"/>
      <c r="F711" s="1471"/>
      <c r="G711" s="1471"/>
      <c r="H711" s="1471"/>
      <c r="I711" s="1471"/>
      <c r="J711" s="1286"/>
      <c r="K711" s="1286"/>
      <c r="L711" s="1286"/>
      <c r="M711" s="1286"/>
      <c r="N711" s="188"/>
      <c r="O711" s="188"/>
      <c r="P711" s="330"/>
      <c r="Q711" s="330"/>
      <c r="R711" s="187"/>
      <c r="U711" s="331" t="str">
        <f ca="1">Calculos!CK$16</f>
        <v>-</v>
      </c>
      <c r="V711" s="332"/>
      <c r="W711" s="1"/>
    </row>
    <row r="712" spans="1:23" ht="20.100000000000001" customHeight="1" x14ac:dyDescent="0.25">
      <c r="A712" s="18"/>
      <c r="B712" s="18"/>
      <c r="C712" s="18"/>
      <c r="D712" s="7"/>
      <c r="E712" s="326"/>
      <c r="F712" s="1471"/>
      <c r="G712" s="1471"/>
      <c r="H712" s="1471"/>
      <c r="I712" s="1471"/>
      <c r="J712" s="1286"/>
      <c r="K712" s="1286"/>
      <c r="L712" s="1286"/>
      <c r="M712" s="1286"/>
      <c r="N712" s="188"/>
      <c r="O712" s="188"/>
      <c r="P712" s="330"/>
      <c r="Q712" s="330"/>
      <c r="R712" s="187"/>
      <c r="U712" s="331" t="str">
        <f ca="1">Calculos!CK$17</f>
        <v>-</v>
      </c>
      <c r="V712" s="332"/>
      <c r="W712" s="1"/>
    </row>
    <row r="713" spans="1:23" ht="20.100000000000001" customHeight="1" x14ac:dyDescent="0.25">
      <c r="A713" s="18"/>
      <c r="B713" s="18"/>
      <c r="C713" s="18"/>
      <c r="D713" s="7"/>
      <c r="E713" s="326"/>
      <c r="F713" s="1471"/>
      <c r="G713" s="1471"/>
      <c r="H713" s="1471"/>
      <c r="I713" s="1471"/>
      <c r="J713" s="1286"/>
      <c r="K713" s="1286"/>
      <c r="L713" s="1286"/>
      <c r="M713" s="1286"/>
      <c r="N713" s="188"/>
      <c r="O713" s="188"/>
      <c r="P713" s="330"/>
      <c r="Q713" s="330"/>
      <c r="R713" s="187"/>
      <c r="U713" s="331" t="str">
        <f ca="1">Calculos!CK$18</f>
        <v>-</v>
      </c>
      <c r="V713" s="332"/>
      <c r="W713" s="1"/>
    </row>
    <row r="714" spans="1:23" ht="20.100000000000001" customHeight="1" x14ac:dyDescent="0.25">
      <c r="A714" s="18"/>
      <c r="B714" s="18"/>
      <c r="C714" s="18"/>
      <c r="D714" s="7"/>
      <c r="E714" s="326"/>
      <c r="F714" s="1471"/>
      <c r="G714" s="1471"/>
      <c r="H714" s="1471"/>
      <c r="I714" s="1471"/>
      <c r="J714" s="1286"/>
      <c r="K714" s="1286"/>
      <c r="L714" s="1286"/>
      <c r="M714" s="1286"/>
      <c r="N714" s="188"/>
      <c r="O714" s="188"/>
      <c r="P714" s="330"/>
      <c r="Q714" s="330"/>
      <c r="R714" s="187"/>
      <c r="U714" s="331" t="str">
        <f ca="1">Calculos!CK$19</f>
        <v>-</v>
      </c>
      <c r="V714" s="332"/>
      <c r="W714" s="1"/>
    </row>
    <row r="715" spans="1:23" ht="20.100000000000001" customHeight="1" x14ac:dyDescent="0.25">
      <c r="A715" s="18"/>
      <c r="B715" s="18"/>
      <c r="C715" s="18"/>
      <c r="D715" s="7"/>
      <c r="E715" s="326"/>
      <c r="F715" s="1471"/>
      <c r="G715" s="1471"/>
      <c r="H715" s="1471"/>
      <c r="I715" s="1471"/>
      <c r="J715" s="1286"/>
      <c r="K715" s="1286"/>
      <c r="L715" s="1286"/>
      <c r="M715" s="1286"/>
      <c r="N715" s="188"/>
      <c r="O715" s="188"/>
      <c r="P715" s="330"/>
      <c r="Q715" s="330"/>
      <c r="R715" s="187"/>
      <c r="U715" s="331" t="str">
        <f ca="1">Calculos!CK$20</f>
        <v>-</v>
      </c>
      <c r="V715" s="332"/>
      <c r="W715" s="1"/>
    </row>
    <row r="716" spans="1:23" ht="20.100000000000001" customHeight="1" x14ac:dyDescent="0.25">
      <c r="A716" s="18"/>
      <c r="B716" s="18"/>
      <c r="C716" s="18"/>
      <c r="D716" s="7"/>
      <c r="E716" s="326"/>
      <c r="F716" s="1471"/>
      <c r="G716" s="1471"/>
      <c r="H716" s="1471"/>
      <c r="I716" s="1471"/>
      <c r="J716" s="1472" t="s">
        <v>80</v>
      </c>
      <c r="K716" s="1473"/>
      <c r="L716" s="1473"/>
      <c r="M716" s="1474"/>
      <c r="N716" s="188"/>
      <c r="O716" s="188"/>
      <c r="P716" s="330"/>
      <c r="Q716" s="330"/>
      <c r="R716" s="187" t="s">
        <v>10</v>
      </c>
      <c r="U716" s="331" t="str">
        <f ca="1">Calculos!CK$21</f>
        <v>-</v>
      </c>
      <c r="V716" s="332"/>
      <c r="W716" s="1"/>
    </row>
    <row r="717" spans="1:23" ht="20.100000000000001" customHeight="1" x14ac:dyDescent="0.25">
      <c r="A717" s="18"/>
      <c r="B717" s="18"/>
      <c r="C717" s="18"/>
      <c r="D717" s="7"/>
      <c r="E717" s="326"/>
      <c r="V717" s="332"/>
      <c r="W717" s="1"/>
    </row>
    <row r="718" spans="1:23" ht="20.100000000000001" hidden="1" customHeight="1" x14ac:dyDescent="0.25">
      <c r="A718" s="18"/>
      <c r="B718" s="18"/>
      <c r="C718" s="18"/>
      <c r="D718" s="7"/>
      <c r="E718" s="326"/>
      <c r="V718" s="332"/>
      <c r="W718" s="1"/>
    </row>
    <row r="719" spans="1:23" ht="20.100000000000001" hidden="1" customHeight="1" x14ac:dyDescent="0.25">
      <c r="A719" s="18"/>
      <c r="B719" s="18"/>
      <c r="C719" s="18"/>
      <c r="D719" s="7"/>
      <c r="E719" s="326"/>
      <c r="V719" s="332"/>
      <c r="W719" s="1"/>
    </row>
    <row r="720" spans="1:23" ht="20.100000000000001" customHeight="1" x14ac:dyDescent="0.25">
      <c r="A720" s="18"/>
      <c r="B720" s="18"/>
      <c r="C720" s="18"/>
      <c r="D720" s="7"/>
      <c r="E720" s="326"/>
      <c r="V720" s="332"/>
      <c r="W720" s="1"/>
    </row>
    <row r="721" spans="1:23" ht="45" customHeight="1" x14ac:dyDescent="0.25">
      <c r="A721" s="18"/>
      <c r="B721" s="18"/>
      <c r="C721" s="18"/>
      <c r="D721" s="7"/>
      <c r="E721" s="326"/>
      <c r="F721" s="1475" t="s">
        <v>8605</v>
      </c>
      <c r="G721" s="1476"/>
      <c r="H721" s="1476"/>
      <c r="I721" s="1476"/>
      <c r="J721" s="1476"/>
      <c r="K721" s="1476"/>
      <c r="L721" s="1476"/>
      <c r="M721" s="1476"/>
      <c r="N721" s="333" t="str">
        <f ca="1">"Concentração"&amp;" "&amp;Calculos!$BJ$3</f>
        <v>Concentração -</v>
      </c>
      <c r="O721" s="333" t="s">
        <v>6038</v>
      </c>
      <c r="P721" s="333" t="s">
        <v>8126</v>
      </c>
      <c r="Q721" s="333" t="s">
        <v>8028</v>
      </c>
      <c r="R721" s="333" t="s">
        <v>8603</v>
      </c>
      <c r="S721" s="333" t="s">
        <v>8127</v>
      </c>
      <c r="U721" s="328" t="s">
        <v>119</v>
      </c>
      <c r="V721" s="332"/>
      <c r="W721" s="1"/>
    </row>
    <row r="722" spans="1:23" ht="20.100000000000001" customHeight="1" x14ac:dyDescent="0.25">
      <c r="A722" s="18"/>
      <c r="B722" s="18"/>
      <c r="C722" s="18"/>
      <c r="D722" s="7"/>
      <c r="E722" s="326"/>
      <c r="F722" s="1471" t="str">
        <f ca="1">Calculos!$BJ$6</f>
        <v>-</v>
      </c>
      <c r="G722" s="1471"/>
      <c r="H722" s="1471"/>
      <c r="I722" s="1471"/>
      <c r="J722" s="1472" t="s">
        <v>7103</v>
      </c>
      <c r="K722" s="1473"/>
      <c r="L722" s="1473"/>
      <c r="M722" s="1474"/>
      <c r="N722" s="334"/>
      <c r="O722" s="334"/>
      <c r="P722" s="335"/>
      <c r="Q722" s="335"/>
      <c r="R722" s="335">
        <v>0</v>
      </c>
      <c r="S722" s="331">
        <f>O722/2</f>
        <v>0</v>
      </c>
      <c r="U722" s="331" t="str">
        <f ca="1">Calculos!CK$26</f>
        <v>-</v>
      </c>
      <c r="V722" s="332"/>
      <c r="W722" s="1"/>
    </row>
    <row r="723" spans="1:23" ht="20.100000000000001" customHeight="1" x14ac:dyDescent="0.25">
      <c r="A723" s="18"/>
      <c r="B723" s="18"/>
      <c r="C723" s="18"/>
      <c r="D723" s="7"/>
      <c r="E723" s="326"/>
      <c r="F723" s="1471"/>
      <c r="G723" s="1471"/>
      <c r="H723" s="1471"/>
      <c r="I723" s="1471"/>
      <c r="J723" s="1286" t="s">
        <v>8027</v>
      </c>
      <c r="K723" s="1286"/>
      <c r="L723" s="1286"/>
      <c r="M723" s="1286"/>
      <c r="N723" s="334"/>
      <c r="O723" s="334"/>
      <c r="P723" s="335"/>
      <c r="Q723" s="335"/>
      <c r="R723" s="335"/>
      <c r="U723" s="331" t="str">
        <f ca="1">Calculos!CK$27</f>
        <v>-</v>
      </c>
      <c r="V723" s="332"/>
      <c r="W723" s="1"/>
    </row>
    <row r="724" spans="1:23" ht="20.100000000000001" customHeight="1" x14ac:dyDescent="0.25">
      <c r="A724" s="18"/>
      <c r="B724" s="18"/>
      <c r="C724" s="18"/>
      <c r="D724" s="7"/>
      <c r="E724" s="326"/>
      <c r="F724" s="1471"/>
      <c r="G724" s="1471"/>
      <c r="H724" s="1471"/>
      <c r="I724" s="1471"/>
      <c r="J724" s="1286"/>
      <c r="K724" s="1286"/>
      <c r="L724" s="1286"/>
      <c r="M724" s="1286"/>
      <c r="N724" s="334"/>
      <c r="O724" s="334"/>
      <c r="P724" s="335"/>
      <c r="Q724" s="335"/>
      <c r="R724" s="335"/>
      <c r="U724" s="331" t="str">
        <f ca="1">Calculos!CK$28</f>
        <v>-</v>
      </c>
      <c r="V724" s="332"/>
      <c r="W724" s="1"/>
    </row>
    <row r="725" spans="1:23" ht="20.100000000000001" customHeight="1" x14ac:dyDescent="0.25">
      <c r="A725" s="18"/>
      <c r="B725" s="18"/>
      <c r="C725" s="18"/>
      <c r="D725" s="7"/>
      <c r="E725" s="326"/>
      <c r="F725" s="1471"/>
      <c r="G725" s="1471"/>
      <c r="H725" s="1471"/>
      <c r="I725" s="1471"/>
      <c r="J725" s="1286"/>
      <c r="K725" s="1286"/>
      <c r="L725" s="1286"/>
      <c r="M725" s="1286"/>
      <c r="N725" s="334"/>
      <c r="O725" s="334"/>
      <c r="P725" s="335"/>
      <c r="Q725" s="335"/>
      <c r="R725" s="335"/>
      <c r="U725" s="331" t="str">
        <f ca="1">Calculos!CK$29</f>
        <v>-</v>
      </c>
      <c r="V725" s="332"/>
      <c r="W725" s="1"/>
    </row>
    <row r="726" spans="1:23" ht="20.100000000000001" customHeight="1" x14ac:dyDescent="0.25">
      <c r="A726" s="18"/>
      <c r="B726" s="18"/>
      <c r="C726" s="18"/>
      <c r="D726" s="7"/>
      <c r="E726" s="326"/>
      <c r="F726" s="1471"/>
      <c r="G726" s="1471"/>
      <c r="H726" s="1471"/>
      <c r="I726" s="1471"/>
      <c r="J726" s="1286"/>
      <c r="K726" s="1286"/>
      <c r="L726" s="1286"/>
      <c r="M726" s="1286"/>
      <c r="N726" s="334"/>
      <c r="O726" s="334"/>
      <c r="P726" s="335"/>
      <c r="Q726" s="335"/>
      <c r="R726" s="335"/>
      <c r="U726" s="331" t="str">
        <f ca="1">Calculos!CK$30</f>
        <v>-</v>
      </c>
      <c r="V726" s="332"/>
      <c r="W726" s="1"/>
    </row>
    <row r="727" spans="1:23" ht="20.100000000000001" customHeight="1" x14ac:dyDescent="0.25">
      <c r="A727" s="18"/>
      <c r="B727" s="18"/>
      <c r="C727" s="18"/>
      <c r="D727" s="7"/>
      <c r="E727" s="326"/>
      <c r="F727" s="1471"/>
      <c r="G727" s="1471"/>
      <c r="H727" s="1471"/>
      <c r="I727" s="1471"/>
      <c r="J727" s="1286"/>
      <c r="K727" s="1286"/>
      <c r="L727" s="1286"/>
      <c r="M727" s="1286"/>
      <c r="N727" s="334"/>
      <c r="O727" s="334"/>
      <c r="P727" s="335"/>
      <c r="Q727" s="335"/>
      <c r="R727" s="335"/>
      <c r="U727" s="331" t="str">
        <f ca="1">Calculos!CK$31</f>
        <v>-</v>
      </c>
      <c r="V727" s="332"/>
      <c r="W727" s="1"/>
    </row>
    <row r="728" spans="1:23" ht="20.100000000000001" customHeight="1" x14ac:dyDescent="0.25">
      <c r="A728" s="18"/>
      <c r="B728" s="18"/>
      <c r="C728" s="18"/>
      <c r="D728" s="7"/>
      <c r="E728" s="326"/>
      <c r="F728" s="1471"/>
      <c r="G728" s="1471"/>
      <c r="H728" s="1471"/>
      <c r="I728" s="1471"/>
      <c r="J728" s="1286"/>
      <c r="K728" s="1286"/>
      <c r="L728" s="1286"/>
      <c r="M728" s="1286"/>
      <c r="N728" s="334"/>
      <c r="O728" s="334"/>
      <c r="P728" s="335"/>
      <c r="Q728" s="335"/>
      <c r="R728" s="335"/>
      <c r="U728" s="331" t="str">
        <f ca="1">Calculos!CK$32</f>
        <v>-</v>
      </c>
      <c r="V728" s="332"/>
      <c r="W728" s="1"/>
    </row>
    <row r="729" spans="1:23" ht="20.100000000000001" customHeight="1" x14ac:dyDescent="0.25">
      <c r="A729" s="18"/>
      <c r="B729" s="18"/>
      <c r="C729" s="18"/>
      <c r="D729" s="7"/>
      <c r="E729" s="326"/>
      <c r="F729" s="1471"/>
      <c r="G729" s="1471"/>
      <c r="H729" s="1471"/>
      <c r="I729" s="1471"/>
      <c r="J729" s="1286"/>
      <c r="K729" s="1286"/>
      <c r="L729" s="1286"/>
      <c r="M729" s="1286"/>
      <c r="N729" s="334"/>
      <c r="O729" s="334"/>
      <c r="P729" s="335"/>
      <c r="Q729" s="335"/>
      <c r="R729" s="335"/>
      <c r="U729" s="331" t="str">
        <f ca="1">Calculos!CK$33</f>
        <v>-</v>
      </c>
      <c r="V729" s="332"/>
      <c r="W729" s="1"/>
    </row>
    <row r="730" spans="1:23" ht="20.100000000000001" customHeight="1" x14ac:dyDescent="0.25">
      <c r="A730" s="18"/>
      <c r="B730" s="18"/>
      <c r="C730" s="18"/>
      <c r="D730" s="7"/>
      <c r="E730" s="326"/>
      <c r="F730" s="1471"/>
      <c r="G730" s="1471"/>
      <c r="H730" s="1471"/>
      <c r="I730" s="1471"/>
      <c r="J730" s="1286"/>
      <c r="K730" s="1286"/>
      <c r="L730" s="1286"/>
      <c r="M730" s="1286"/>
      <c r="N730" s="334"/>
      <c r="O730" s="334"/>
      <c r="P730" s="335"/>
      <c r="Q730" s="335"/>
      <c r="R730" s="335"/>
      <c r="U730" s="331" t="str">
        <f ca="1">Calculos!CK$34</f>
        <v>-</v>
      </c>
      <c r="V730" s="332"/>
      <c r="W730" s="1"/>
    </row>
    <row r="731" spans="1:23" ht="20.100000000000001" customHeight="1" x14ac:dyDescent="0.25">
      <c r="A731" s="18"/>
      <c r="B731" s="18"/>
      <c r="C731" s="18"/>
      <c r="D731" s="7"/>
      <c r="E731" s="326"/>
      <c r="F731" s="1471"/>
      <c r="G731" s="1471"/>
      <c r="H731" s="1471"/>
      <c r="I731" s="1471"/>
      <c r="J731" s="1286"/>
      <c r="K731" s="1286"/>
      <c r="L731" s="1286"/>
      <c r="M731" s="1286"/>
      <c r="N731" s="334"/>
      <c r="O731" s="334"/>
      <c r="P731" s="335"/>
      <c r="Q731" s="335"/>
      <c r="R731" s="335"/>
      <c r="U731" s="331" t="str">
        <f ca="1">Calculos!CK$35</f>
        <v>-</v>
      </c>
      <c r="V731" s="332"/>
      <c r="W731" s="1"/>
    </row>
    <row r="732" spans="1:23" ht="20.100000000000001" customHeight="1" x14ac:dyDescent="0.25">
      <c r="A732" s="18"/>
      <c r="B732" s="18"/>
      <c r="C732" s="18"/>
      <c r="D732" s="7"/>
      <c r="E732" s="326"/>
      <c r="F732" s="1471"/>
      <c r="G732" s="1471"/>
      <c r="H732" s="1471"/>
      <c r="I732" s="1471"/>
      <c r="J732" s="1286"/>
      <c r="K732" s="1286"/>
      <c r="L732" s="1286"/>
      <c r="M732" s="1286"/>
      <c r="N732" s="334"/>
      <c r="O732" s="334"/>
      <c r="P732" s="335"/>
      <c r="Q732" s="335"/>
      <c r="R732" s="335"/>
      <c r="U732" s="331" t="str">
        <f ca="1">Calculos!CK$36</f>
        <v>-</v>
      </c>
      <c r="V732" s="329"/>
      <c r="W732" s="1"/>
    </row>
    <row r="733" spans="1:23" ht="20.100000000000001" customHeight="1" x14ac:dyDescent="0.25">
      <c r="A733" s="18"/>
      <c r="B733" s="18"/>
      <c r="C733" s="18"/>
      <c r="D733" s="7"/>
      <c r="E733" s="326"/>
      <c r="F733" s="1471"/>
      <c r="G733" s="1471"/>
      <c r="H733" s="1471"/>
      <c r="I733" s="1471"/>
      <c r="J733" s="1472" t="s">
        <v>80</v>
      </c>
      <c r="K733" s="1473"/>
      <c r="L733" s="1473"/>
      <c r="M733" s="1474"/>
      <c r="N733" s="334"/>
      <c r="O733" s="334"/>
      <c r="P733" s="335"/>
      <c r="Q733" s="335"/>
      <c r="R733" s="335" t="s">
        <v>10</v>
      </c>
      <c r="U733" s="331" t="str">
        <f ca="1">Calculos!CK$37</f>
        <v>-</v>
      </c>
      <c r="V733" s="329"/>
      <c r="W733" s="1"/>
    </row>
    <row r="734" spans="1:23" ht="20.100000000000001" hidden="1" customHeight="1" x14ac:dyDescent="0.25">
      <c r="A734" s="18"/>
      <c r="B734" s="18"/>
      <c r="C734" s="18"/>
      <c r="D734" s="7"/>
      <c r="E734" s="326"/>
      <c r="V734" s="329"/>
      <c r="W734" s="1"/>
    </row>
    <row r="735" spans="1:23" ht="20.100000000000001" customHeight="1" x14ac:dyDescent="0.25">
      <c r="A735" s="18"/>
      <c r="B735" s="18"/>
      <c r="C735" s="18"/>
      <c r="D735" s="7"/>
      <c r="E735" s="336"/>
      <c r="F735" s="337"/>
      <c r="G735" s="337"/>
      <c r="H735" s="337"/>
      <c r="I735" s="337"/>
      <c r="J735" s="337"/>
      <c r="K735" s="337"/>
      <c r="L735" s="337"/>
      <c r="M735" s="337"/>
      <c r="N735" s="337"/>
      <c r="O735" s="337"/>
      <c r="P735" s="337"/>
      <c r="Q735" s="337"/>
      <c r="R735" s="337"/>
      <c r="S735" s="337"/>
      <c r="T735" s="337"/>
      <c r="U735" s="337"/>
      <c r="V735" s="338"/>
      <c r="W735" s="1"/>
    </row>
    <row r="736" spans="1:23" ht="30" customHeight="1" x14ac:dyDescent="0.25">
      <c r="A736" s="18"/>
      <c r="B736" s="18"/>
      <c r="C736" s="18"/>
      <c r="D736" s="7"/>
      <c r="E736" s="7"/>
      <c r="F736" s="1"/>
      <c r="G736" s="1"/>
      <c r="H736" s="1"/>
      <c r="I736" s="1"/>
      <c r="J736" s="1"/>
      <c r="K736" s="1"/>
      <c r="L736" s="1"/>
      <c r="M736" s="1"/>
      <c r="N736" s="1"/>
      <c r="O736" s="1"/>
      <c r="P736" s="1"/>
      <c r="Q736" s="1"/>
      <c r="R736" s="1"/>
      <c r="S736" s="1"/>
      <c r="T736" s="1"/>
      <c r="U736" s="1"/>
      <c r="V736" s="1"/>
      <c r="W736" s="7"/>
    </row>
    <row r="737" spans="1:23" ht="20.100000000000001" customHeight="1" x14ac:dyDescent="0.25">
      <c r="A737" s="18"/>
      <c r="B737" s="18"/>
      <c r="C737" s="18"/>
      <c r="D737" s="7"/>
      <c r="E737" s="321"/>
      <c r="F737" s="322"/>
      <c r="G737" s="323"/>
      <c r="H737" s="323"/>
      <c r="I737" s="323"/>
      <c r="J737" s="323"/>
      <c r="K737" s="323"/>
      <c r="L737" s="323"/>
      <c r="M737" s="323"/>
      <c r="N737" s="323"/>
      <c r="O737" s="323"/>
      <c r="P737" s="323"/>
      <c r="Q737" s="323"/>
      <c r="R737" s="323"/>
      <c r="S737" s="339"/>
      <c r="T737" s="339"/>
      <c r="U737" s="340"/>
      <c r="V737" s="325"/>
      <c r="W737" s="1"/>
    </row>
    <row r="738" spans="1:23" ht="45" customHeight="1" x14ac:dyDescent="0.25">
      <c r="A738" s="18"/>
      <c r="B738" s="18"/>
      <c r="C738" s="18"/>
      <c r="D738" s="7"/>
      <c r="E738" s="326"/>
      <c r="F738" s="1469" t="s">
        <v>8606</v>
      </c>
      <c r="G738" s="1470"/>
      <c r="H738" s="1470"/>
      <c r="I738" s="1470"/>
      <c r="J738" s="1470"/>
      <c r="K738" s="1470"/>
      <c r="L738" s="1470"/>
      <c r="M738" s="1470"/>
      <c r="N738" s="327" t="str">
        <f ca="1">"Concentração"&amp;" "&amp;Calculos!$BJ$3</f>
        <v>Concentração -</v>
      </c>
      <c r="O738" s="327" t="s">
        <v>6038</v>
      </c>
      <c r="P738" s="327" t="s">
        <v>8126</v>
      </c>
      <c r="Q738" s="327" t="s">
        <v>8028</v>
      </c>
      <c r="R738" s="327" t="s">
        <v>8603</v>
      </c>
      <c r="S738" s="327" t="s">
        <v>8127</v>
      </c>
      <c r="U738" s="328" t="s">
        <v>119</v>
      </c>
      <c r="V738" s="332"/>
      <c r="W738" s="1"/>
    </row>
    <row r="739" spans="1:23" ht="20.100000000000001" customHeight="1" x14ac:dyDescent="0.25">
      <c r="A739" s="18"/>
      <c r="B739" s="18"/>
      <c r="C739" s="18"/>
      <c r="D739" s="7"/>
      <c r="E739" s="326"/>
      <c r="F739" s="1471" t="str">
        <f ca="1">Calculos!$BJ$6</f>
        <v>-</v>
      </c>
      <c r="G739" s="1471"/>
      <c r="H739" s="1471"/>
      <c r="I739" s="1471"/>
      <c r="J739" s="1472" t="s">
        <v>7103</v>
      </c>
      <c r="K739" s="1473"/>
      <c r="L739" s="1473"/>
      <c r="M739" s="1474"/>
      <c r="N739" s="188"/>
      <c r="O739" s="188"/>
      <c r="P739" s="330"/>
      <c r="Q739" s="330"/>
      <c r="R739" s="187">
        <v>0</v>
      </c>
      <c r="S739" s="331">
        <f>O739/2</f>
        <v>0</v>
      </c>
      <c r="U739" s="331" t="str">
        <f ca="1">Calculos!CK$42</f>
        <v>-</v>
      </c>
      <c r="V739" s="332"/>
      <c r="W739" s="1"/>
    </row>
    <row r="740" spans="1:23" ht="20.100000000000001" customHeight="1" x14ac:dyDescent="0.25">
      <c r="A740" s="18"/>
      <c r="B740" s="18"/>
      <c r="C740" s="18"/>
      <c r="D740" s="7"/>
      <c r="E740" s="326"/>
      <c r="F740" s="1471"/>
      <c r="G740" s="1471"/>
      <c r="H740" s="1471"/>
      <c r="I740" s="1471"/>
      <c r="J740" s="1286" t="s">
        <v>8027</v>
      </c>
      <c r="K740" s="1286"/>
      <c r="L740" s="1286"/>
      <c r="M740" s="1286"/>
      <c r="N740" s="188"/>
      <c r="O740" s="188"/>
      <c r="P740" s="330"/>
      <c r="Q740" s="330"/>
      <c r="R740" s="187"/>
      <c r="U740" s="331" t="str">
        <f ca="1">Calculos!CK$43</f>
        <v>-</v>
      </c>
      <c r="V740" s="332"/>
      <c r="W740" s="1"/>
    </row>
    <row r="741" spans="1:23" ht="20.100000000000001" customHeight="1" x14ac:dyDescent="0.25">
      <c r="A741" s="18"/>
      <c r="B741" s="18"/>
      <c r="C741" s="18"/>
      <c r="D741" s="7"/>
      <c r="E741" s="326"/>
      <c r="F741" s="1471"/>
      <c r="G741" s="1471"/>
      <c r="H741" s="1471"/>
      <c r="I741" s="1471"/>
      <c r="J741" s="1286"/>
      <c r="K741" s="1286"/>
      <c r="L741" s="1286"/>
      <c r="M741" s="1286"/>
      <c r="N741" s="188"/>
      <c r="O741" s="188"/>
      <c r="P741" s="330"/>
      <c r="Q741" s="330"/>
      <c r="R741" s="187"/>
      <c r="U741" s="331" t="str">
        <f ca="1">Calculos!CK$44</f>
        <v>-</v>
      </c>
      <c r="V741" s="332"/>
      <c r="W741" s="1"/>
    </row>
    <row r="742" spans="1:23" ht="20.100000000000001" customHeight="1" x14ac:dyDescent="0.25">
      <c r="A742" s="18"/>
      <c r="B742" s="18"/>
      <c r="C742" s="18"/>
      <c r="D742" s="7"/>
      <c r="E742" s="326"/>
      <c r="F742" s="1471"/>
      <c r="G742" s="1471"/>
      <c r="H742" s="1471"/>
      <c r="I742" s="1471"/>
      <c r="J742" s="1286"/>
      <c r="K742" s="1286"/>
      <c r="L742" s="1286"/>
      <c r="M742" s="1286"/>
      <c r="N742" s="188"/>
      <c r="O742" s="188"/>
      <c r="P742" s="330"/>
      <c r="Q742" s="330"/>
      <c r="R742" s="187"/>
      <c r="U742" s="331" t="str">
        <f ca="1">Calculos!CK$45</f>
        <v>-</v>
      </c>
      <c r="V742" s="332"/>
      <c r="W742" s="1"/>
    </row>
    <row r="743" spans="1:23" ht="20.100000000000001" customHeight="1" x14ac:dyDescent="0.25">
      <c r="A743" s="18"/>
      <c r="B743" s="18"/>
      <c r="C743" s="18"/>
      <c r="D743" s="7"/>
      <c r="E743" s="326"/>
      <c r="F743" s="1471"/>
      <c r="G743" s="1471"/>
      <c r="H743" s="1471"/>
      <c r="I743" s="1471"/>
      <c r="J743" s="1286"/>
      <c r="K743" s="1286"/>
      <c r="L743" s="1286"/>
      <c r="M743" s="1286"/>
      <c r="N743" s="188"/>
      <c r="O743" s="188"/>
      <c r="P743" s="330"/>
      <c r="Q743" s="330"/>
      <c r="R743" s="187"/>
      <c r="U743" s="331" t="str">
        <f ca="1">Calculos!CK$46</f>
        <v>-</v>
      </c>
      <c r="V743" s="332"/>
      <c r="W743" s="1"/>
    </row>
    <row r="744" spans="1:23" ht="20.100000000000001" customHeight="1" x14ac:dyDescent="0.25">
      <c r="A744" s="18"/>
      <c r="B744" s="18"/>
      <c r="C744" s="18"/>
      <c r="D744" s="7"/>
      <c r="E744" s="326"/>
      <c r="F744" s="1471"/>
      <c r="G744" s="1471"/>
      <c r="H744" s="1471"/>
      <c r="I744" s="1471"/>
      <c r="J744" s="1286"/>
      <c r="K744" s="1286"/>
      <c r="L744" s="1286"/>
      <c r="M744" s="1286"/>
      <c r="N744" s="188"/>
      <c r="O744" s="188"/>
      <c r="P744" s="330"/>
      <c r="Q744" s="330"/>
      <c r="R744" s="187"/>
      <c r="U744" s="331" t="str">
        <f ca="1">Calculos!CK$47</f>
        <v>-</v>
      </c>
      <c r="V744" s="332"/>
      <c r="W744" s="1"/>
    </row>
    <row r="745" spans="1:23" ht="20.100000000000001" customHeight="1" x14ac:dyDescent="0.25">
      <c r="A745" s="18"/>
      <c r="B745" s="18"/>
      <c r="C745" s="18"/>
      <c r="D745" s="7"/>
      <c r="E745" s="326"/>
      <c r="F745" s="1471"/>
      <c r="G745" s="1471"/>
      <c r="H745" s="1471"/>
      <c r="I745" s="1471"/>
      <c r="J745" s="1286"/>
      <c r="K745" s="1286"/>
      <c r="L745" s="1286"/>
      <c r="M745" s="1286"/>
      <c r="N745" s="188"/>
      <c r="O745" s="188"/>
      <c r="P745" s="330"/>
      <c r="Q745" s="330"/>
      <c r="R745" s="187"/>
      <c r="U745" s="331" t="str">
        <f ca="1">Calculos!CK$48</f>
        <v>-</v>
      </c>
      <c r="V745" s="332"/>
      <c r="W745" s="1"/>
    </row>
    <row r="746" spans="1:23" ht="20.100000000000001" customHeight="1" x14ac:dyDescent="0.25">
      <c r="A746" s="18"/>
      <c r="B746" s="18"/>
      <c r="C746" s="18"/>
      <c r="D746" s="7"/>
      <c r="E746" s="326"/>
      <c r="F746" s="1471"/>
      <c r="G746" s="1471"/>
      <c r="H746" s="1471"/>
      <c r="I746" s="1471"/>
      <c r="J746" s="1286"/>
      <c r="K746" s="1286"/>
      <c r="L746" s="1286"/>
      <c r="M746" s="1286"/>
      <c r="N746" s="188"/>
      <c r="O746" s="188"/>
      <c r="P746" s="330"/>
      <c r="Q746" s="330"/>
      <c r="R746" s="187"/>
      <c r="U746" s="331" t="str">
        <f ca="1">Calculos!CK$49</f>
        <v>-</v>
      </c>
      <c r="V746" s="332"/>
      <c r="W746" s="1"/>
    </row>
    <row r="747" spans="1:23" ht="20.100000000000001" customHeight="1" x14ac:dyDescent="0.25">
      <c r="A747" s="18"/>
      <c r="B747" s="18"/>
      <c r="C747" s="18"/>
      <c r="D747" s="7"/>
      <c r="E747" s="326"/>
      <c r="F747" s="1471"/>
      <c r="G747" s="1471"/>
      <c r="H747" s="1471"/>
      <c r="I747" s="1471"/>
      <c r="J747" s="1286"/>
      <c r="K747" s="1286"/>
      <c r="L747" s="1286"/>
      <c r="M747" s="1286"/>
      <c r="N747" s="188"/>
      <c r="O747" s="188"/>
      <c r="P747" s="330"/>
      <c r="Q747" s="330"/>
      <c r="R747" s="187"/>
      <c r="U747" s="331" t="str">
        <f ca="1">Calculos!CK$50</f>
        <v>-</v>
      </c>
      <c r="V747" s="332"/>
      <c r="W747" s="1"/>
    </row>
    <row r="748" spans="1:23" ht="20.100000000000001" customHeight="1" x14ac:dyDescent="0.25">
      <c r="A748" s="18"/>
      <c r="B748" s="18"/>
      <c r="C748" s="18"/>
      <c r="D748" s="7"/>
      <c r="E748" s="326"/>
      <c r="F748" s="1471"/>
      <c r="G748" s="1471"/>
      <c r="H748" s="1471"/>
      <c r="I748" s="1471"/>
      <c r="J748" s="1286"/>
      <c r="K748" s="1286"/>
      <c r="L748" s="1286"/>
      <c r="M748" s="1286"/>
      <c r="N748" s="188"/>
      <c r="O748" s="188"/>
      <c r="P748" s="330"/>
      <c r="Q748" s="330"/>
      <c r="R748" s="187"/>
      <c r="U748" s="331" t="str">
        <f ca="1">Calculos!CK$51</f>
        <v>-</v>
      </c>
      <c r="V748" s="332"/>
      <c r="W748" s="1"/>
    </row>
    <row r="749" spans="1:23" ht="20.100000000000001" customHeight="1" x14ac:dyDescent="0.25">
      <c r="A749" s="18"/>
      <c r="B749" s="18"/>
      <c r="C749" s="18"/>
      <c r="D749" s="7"/>
      <c r="E749" s="326"/>
      <c r="F749" s="1471"/>
      <c r="G749" s="1471"/>
      <c r="H749" s="1471"/>
      <c r="I749" s="1471"/>
      <c r="J749" s="1286"/>
      <c r="K749" s="1286"/>
      <c r="L749" s="1286"/>
      <c r="M749" s="1286"/>
      <c r="N749" s="188"/>
      <c r="O749" s="188"/>
      <c r="P749" s="330"/>
      <c r="Q749" s="330"/>
      <c r="R749" s="187"/>
      <c r="U749" s="331" t="str">
        <f ca="1">Calculos!CK$52</f>
        <v>-</v>
      </c>
      <c r="V749" s="332"/>
      <c r="W749" s="1"/>
    </row>
    <row r="750" spans="1:23" ht="20.100000000000001" customHeight="1" x14ac:dyDescent="0.25">
      <c r="A750" s="18"/>
      <c r="B750" s="18"/>
      <c r="C750" s="18"/>
      <c r="D750" s="7"/>
      <c r="E750" s="326"/>
      <c r="F750" s="1471"/>
      <c r="G750" s="1471"/>
      <c r="H750" s="1471"/>
      <c r="I750" s="1471"/>
      <c r="J750" s="1472" t="s">
        <v>80</v>
      </c>
      <c r="K750" s="1473"/>
      <c r="L750" s="1473"/>
      <c r="M750" s="1474"/>
      <c r="N750" s="188"/>
      <c r="O750" s="188"/>
      <c r="P750" s="330"/>
      <c r="Q750" s="330"/>
      <c r="R750" s="187" t="s">
        <v>10</v>
      </c>
      <c r="U750" s="331" t="str">
        <f ca="1">Calculos!CK$53</f>
        <v>-</v>
      </c>
      <c r="V750" s="332"/>
      <c r="W750" s="1"/>
    </row>
    <row r="751" spans="1:23" ht="20.100000000000001" customHeight="1" x14ac:dyDescent="0.25">
      <c r="A751" s="18"/>
      <c r="B751" s="18"/>
      <c r="C751" s="18"/>
      <c r="D751" s="7"/>
      <c r="E751" s="326"/>
      <c r="V751" s="332"/>
      <c r="W751" s="1"/>
    </row>
    <row r="752" spans="1:23" ht="20.100000000000001" hidden="1" customHeight="1" x14ac:dyDescent="0.25">
      <c r="A752" s="18"/>
      <c r="B752" s="18"/>
      <c r="C752" s="18"/>
      <c r="D752" s="7"/>
      <c r="E752" s="326"/>
      <c r="V752" s="332"/>
      <c r="W752" s="1"/>
    </row>
    <row r="753" spans="1:23" ht="20.100000000000001" hidden="1" customHeight="1" x14ac:dyDescent="0.25">
      <c r="A753" s="18"/>
      <c r="B753" s="18"/>
      <c r="C753" s="18"/>
      <c r="D753" s="7"/>
      <c r="E753" s="326"/>
      <c r="V753" s="332"/>
      <c r="W753" s="1"/>
    </row>
    <row r="754" spans="1:23" ht="20.100000000000001" customHeight="1" x14ac:dyDescent="0.25">
      <c r="A754" s="18"/>
      <c r="B754" s="18"/>
      <c r="C754" s="18"/>
      <c r="D754" s="7"/>
      <c r="E754" s="326"/>
      <c r="V754" s="332"/>
      <c r="W754" s="1"/>
    </row>
    <row r="755" spans="1:23" ht="45" customHeight="1" x14ac:dyDescent="0.25">
      <c r="A755" s="18"/>
      <c r="B755" s="18"/>
      <c r="C755" s="18"/>
      <c r="D755" s="7"/>
      <c r="E755" s="326"/>
      <c r="F755" s="1475" t="s">
        <v>8615</v>
      </c>
      <c r="G755" s="1476"/>
      <c r="H755" s="1476"/>
      <c r="I755" s="1476"/>
      <c r="J755" s="1476"/>
      <c r="K755" s="1476"/>
      <c r="L755" s="1476"/>
      <c r="M755" s="1476"/>
      <c r="N755" s="333" t="str">
        <f ca="1">"Concentração"&amp;" "&amp;Calculos!$BJ$3</f>
        <v>Concentração -</v>
      </c>
      <c r="O755" s="333" t="s">
        <v>6038</v>
      </c>
      <c r="P755" s="333" t="s">
        <v>8126</v>
      </c>
      <c r="Q755" s="333" t="s">
        <v>8028</v>
      </c>
      <c r="R755" s="333" t="s">
        <v>8603</v>
      </c>
      <c r="S755" s="333" t="s">
        <v>8127</v>
      </c>
      <c r="U755" s="328" t="s">
        <v>119</v>
      </c>
      <c r="V755" s="332"/>
      <c r="W755" s="1"/>
    </row>
    <row r="756" spans="1:23" ht="20.100000000000001" customHeight="1" x14ac:dyDescent="0.25">
      <c r="A756" s="18"/>
      <c r="B756" s="18"/>
      <c r="C756" s="18"/>
      <c r="D756" s="7"/>
      <c r="E756" s="326"/>
      <c r="F756" s="1471" t="str">
        <f ca="1">Calculos!$BJ$6</f>
        <v>-</v>
      </c>
      <c r="G756" s="1471"/>
      <c r="H756" s="1471"/>
      <c r="I756" s="1471"/>
      <c r="J756" s="1472" t="s">
        <v>7103</v>
      </c>
      <c r="K756" s="1473"/>
      <c r="L756" s="1473"/>
      <c r="M756" s="1474"/>
      <c r="N756" s="334"/>
      <c r="O756" s="334"/>
      <c r="P756" s="335"/>
      <c r="Q756" s="335"/>
      <c r="R756" s="335">
        <v>0</v>
      </c>
      <c r="S756" s="331">
        <f>O756/2</f>
        <v>0</v>
      </c>
      <c r="U756" s="331" t="str">
        <f ca="1">Calculos!CK$58</f>
        <v>-</v>
      </c>
      <c r="V756" s="332"/>
      <c r="W756" s="1"/>
    </row>
    <row r="757" spans="1:23" ht="20.100000000000001" customHeight="1" x14ac:dyDescent="0.25">
      <c r="A757" s="18"/>
      <c r="B757" s="18"/>
      <c r="C757" s="18"/>
      <c r="D757" s="7"/>
      <c r="E757" s="326"/>
      <c r="F757" s="1471"/>
      <c r="G757" s="1471"/>
      <c r="H757" s="1471"/>
      <c r="I757" s="1471"/>
      <c r="J757" s="1286" t="s">
        <v>8027</v>
      </c>
      <c r="K757" s="1286"/>
      <c r="L757" s="1286"/>
      <c r="M757" s="1286"/>
      <c r="N757" s="334"/>
      <c r="O757" s="334"/>
      <c r="P757" s="335"/>
      <c r="Q757" s="335"/>
      <c r="R757" s="335"/>
      <c r="U757" s="331" t="str">
        <f ca="1">Calculos!CK$59</f>
        <v>-</v>
      </c>
      <c r="V757" s="332"/>
      <c r="W757" s="1"/>
    </row>
    <row r="758" spans="1:23" ht="20.100000000000001" customHeight="1" x14ac:dyDescent="0.25">
      <c r="A758" s="18"/>
      <c r="B758" s="18"/>
      <c r="C758" s="18"/>
      <c r="D758" s="7"/>
      <c r="E758" s="326"/>
      <c r="F758" s="1471"/>
      <c r="G758" s="1471"/>
      <c r="H758" s="1471"/>
      <c r="I758" s="1471"/>
      <c r="J758" s="1286"/>
      <c r="K758" s="1286"/>
      <c r="L758" s="1286"/>
      <c r="M758" s="1286"/>
      <c r="N758" s="334"/>
      <c r="O758" s="334"/>
      <c r="P758" s="335"/>
      <c r="Q758" s="335"/>
      <c r="R758" s="335"/>
      <c r="U758" s="331" t="str">
        <f ca="1">Calculos!CK$60</f>
        <v>-</v>
      </c>
      <c r="V758" s="332"/>
      <c r="W758" s="1"/>
    </row>
    <row r="759" spans="1:23" ht="20.100000000000001" customHeight="1" x14ac:dyDescent="0.25">
      <c r="A759" s="18"/>
      <c r="B759" s="18"/>
      <c r="C759" s="18"/>
      <c r="D759" s="7"/>
      <c r="E759" s="326"/>
      <c r="F759" s="1471"/>
      <c r="G759" s="1471"/>
      <c r="H759" s="1471"/>
      <c r="I759" s="1471"/>
      <c r="J759" s="1286"/>
      <c r="K759" s="1286"/>
      <c r="L759" s="1286"/>
      <c r="M759" s="1286"/>
      <c r="N759" s="334"/>
      <c r="O759" s="334"/>
      <c r="P759" s="335"/>
      <c r="Q759" s="335"/>
      <c r="R759" s="335"/>
      <c r="U759" s="331" t="str">
        <f ca="1">Calculos!CK$61</f>
        <v>-</v>
      </c>
      <c r="V759" s="332"/>
      <c r="W759" s="1"/>
    </row>
    <row r="760" spans="1:23" ht="20.100000000000001" customHeight="1" x14ac:dyDescent="0.25">
      <c r="A760" s="18"/>
      <c r="B760" s="18"/>
      <c r="C760" s="18"/>
      <c r="D760" s="7"/>
      <c r="E760" s="326"/>
      <c r="F760" s="1471"/>
      <c r="G760" s="1471"/>
      <c r="H760" s="1471"/>
      <c r="I760" s="1471"/>
      <c r="J760" s="1286"/>
      <c r="K760" s="1286"/>
      <c r="L760" s="1286"/>
      <c r="M760" s="1286"/>
      <c r="N760" s="334"/>
      <c r="O760" s="334"/>
      <c r="P760" s="335"/>
      <c r="Q760" s="335"/>
      <c r="R760" s="335"/>
      <c r="U760" s="331" t="str">
        <f ca="1">Calculos!CK$62</f>
        <v>-</v>
      </c>
      <c r="V760" s="332"/>
      <c r="W760" s="1"/>
    </row>
    <row r="761" spans="1:23" ht="20.100000000000001" customHeight="1" x14ac:dyDescent="0.25">
      <c r="A761" s="18"/>
      <c r="B761" s="18"/>
      <c r="C761" s="18"/>
      <c r="D761" s="7"/>
      <c r="E761" s="326"/>
      <c r="F761" s="1471"/>
      <c r="G761" s="1471"/>
      <c r="H761" s="1471"/>
      <c r="I761" s="1471"/>
      <c r="J761" s="1286"/>
      <c r="K761" s="1286"/>
      <c r="L761" s="1286"/>
      <c r="M761" s="1286"/>
      <c r="N761" s="334"/>
      <c r="O761" s="334"/>
      <c r="P761" s="335"/>
      <c r="Q761" s="335"/>
      <c r="R761" s="335"/>
      <c r="U761" s="331" t="str">
        <f ca="1">Calculos!CK$63</f>
        <v>-</v>
      </c>
      <c r="V761" s="332"/>
      <c r="W761" s="1"/>
    </row>
    <row r="762" spans="1:23" ht="20.100000000000001" customHeight="1" x14ac:dyDescent="0.25">
      <c r="A762" s="18"/>
      <c r="B762" s="18"/>
      <c r="C762" s="18"/>
      <c r="D762" s="7"/>
      <c r="E762" s="326"/>
      <c r="F762" s="1471"/>
      <c r="G762" s="1471"/>
      <c r="H762" s="1471"/>
      <c r="I762" s="1471"/>
      <c r="J762" s="1286"/>
      <c r="K762" s="1286"/>
      <c r="L762" s="1286"/>
      <c r="M762" s="1286"/>
      <c r="N762" s="334"/>
      <c r="O762" s="334"/>
      <c r="P762" s="335"/>
      <c r="Q762" s="335"/>
      <c r="R762" s="335"/>
      <c r="U762" s="331" t="str">
        <f ca="1">Calculos!CK$64</f>
        <v>-</v>
      </c>
      <c r="V762" s="332"/>
      <c r="W762" s="1"/>
    </row>
    <row r="763" spans="1:23" ht="20.100000000000001" customHeight="1" x14ac:dyDescent="0.25">
      <c r="A763" s="18"/>
      <c r="B763" s="18"/>
      <c r="C763" s="18"/>
      <c r="D763" s="7"/>
      <c r="E763" s="326"/>
      <c r="F763" s="1471"/>
      <c r="G763" s="1471"/>
      <c r="H763" s="1471"/>
      <c r="I763" s="1471"/>
      <c r="J763" s="1286"/>
      <c r="K763" s="1286"/>
      <c r="L763" s="1286"/>
      <c r="M763" s="1286"/>
      <c r="N763" s="334"/>
      <c r="O763" s="334"/>
      <c r="P763" s="335"/>
      <c r="Q763" s="335"/>
      <c r="R763" s="335"/>
      <c r="U763" s="331" t="str">
        <f ca="1">Calculos!CK$65</f>
        <v>-</v>
      </c>
      <c r="V763" s="332"/>
      <c r="W763" s="1"/>
    </row>
    <row r="764" spans="1:23" ht="20.100000000000001" customHeight="1" x14ac:dyDescent="0.25">
      <c r="A764" s="18"/>
      <c r="B764" s="18"/>
      <c r="C764" s="18"/>
      <c r="D764" s="7"/>
      <c r="E764" s="326"/>
      <c r="F764" s="1471"/>
      <c r="G764" s="1471"/>
      <c r="H764" s="1471"/>
      <c r="I764" s="1471"/>
      <c r="J764" s="1286"/>
      <c r="K764" s="1286"/>
      <c r="L764" s="1286"/>
      <c r="M764" s="1286"/>
      <c r="N764" s="334"/>
      <c r="O764" s="334"/>
      <c r="P764" s="335"/>
      <c r="Q764" s="335"/>
      <c r="R764" s="335"/>
      <c r="U764" s="331" t="str">
        <f ca="1">Calculos!CK$66</f>
        <v>-</v>
      </c>
      <c r="V764" s="332"/>
      <c r="W764" s="1"/>
    </row>
    <row r="765" spans="1:23" ht="20.100000000000001" customHeight="1" x14ac:dyDescent="0.25">
      <c r="A765" s="18"/>
      <c r="B765" s="18"/>
      <c r="C765" s="18"/>
      <c r="D765" s="7"/>
      <c r="E765" s="326"/>
      <c r="F765" s="1471"/>
      <c r="G765" s="1471"/>
      <c r="H765" s="1471"/>
      <c r="I765" s="1471"/>
      <c r="J765" s="1286"/>
      <c r="K765" s="1286"/>
      <c r="L765" s="1286"/>
      <c r="M765" s="1286"/>
      <c r="N765" s="334"/>
      <c r="O765" s="334"/>
      <c r="P765" s="335"/>
      <c r="Q765" s="335"/>
      <c r="R765" s="335"/>
      <c r="U765" s="331" t="str">
        <f ca="1">Calculos!CK$67</f>
        <v>-</v>
      </c>
      <c r="V765" s="332"/>
      <c r="W765" s="7"/>
    </row>
    <row r="766" spans="1:23" ht="20.100000000000001" customHeight="1" x14ac:dyDescent="0.25">
      <c r="A766" s="18"/>
      <c r="B766" s="18"/>
      <c r="C766" s="18"/>
      <c r="D766" s="7"/>
      <c r="E766" s="326"/>
      <c r="F766" s="1471"/>
      <c r="G766" s="1471"/>
      <c r="H766" s="1471"/>
      <c r="I766" s="1471"/>
      <c r="J766" s="1286"/>
      <c r="K766" s="1286"/>
      <c r="L766" s="1286"/>
      <c r="M766" s="1286"/>
      <c r="N766" s="334"/>
      <c r="O766" s="334"/>
      <c r="P766" s="335"/>
      <c r="Q766" s="335"/>
      <c r="R766" s="335"/>
      <c r="U766" s="331" t="str">
        <f ca="1">Calculos!CK$68</f>
        <v>-</v>
      </c>
      <c r="V766" s="329"/>
      <c r="W766" s="7"/>
    </row>
    <row r="767" spans="1:23" ht="20.100000000000001" customHeight="1" x14ac:dyDescent="0.25">
      <c r="A767" s="18"/>
      <c r="B767" s="18"/>
      <c r="C767" s="18"/>
      <c r="D767" s="7"/>
      <c r="E767" s="326"/>
      <c r="F767" s="1471"/>
      <c r="G767" s="1471"/>
      <c r="H767" s="1471"/>
      <c r="I767" s="1471"/>
      <c r="J767" s="1472" t="s">
        <v>80</v>
      </c>
      <c r="K767" s="1473"/>
      <c r="L767" s="1473"/>
      <c r="M767" s="1474"/>
      <c r="N767" s="334"/>
      <c r="O767" s="334"/>
      <c r="P767" s="335"/>
      <c r="Q767" s="335"/>
      <c r="R767" s="335" t="s">
        <v>10</v>
      </c>
      <c r="U767" s="331" t="str">
        <f ca="1">Calculos!CK$69</f>
        <v>-</v>
      </c>
      <c r="V767" s="329"/>
      <c r="W767" s="1"/>
    </row>
    <row r="768" spans="1:23" ht="20.100000000000001" hidden="1" customHeight="1" x14ac:dyDescent="0.25">
      <c r="A768" s="18"/>
      <c r="B768" s="18"/>
      <c r="C768" s="18"/>
      <c r="D768" s="7"/>
      <c r="E768" s="326"/>
      <c r="V768" s="329"/>
      <c r="W768" s="1"/>
    </row>
    <row r="769" spans="1:23" ht="20.100000000000001" customHeight="1" x14ac:dyDescent="0.25">
      <c r="A769" s="18"/>
      <c r="B769" s="18"/>
      <c r="C769" s="18"/>
      <c r="D769" s="7"/>
      <c r="E769" s="336"/>
      <c r="F769" s="337"/>
      <c r="G769" s="337"/>
      <c r="H769" s="337"/>
      <c r="I769" s="337"/>
      <c r="J769" s="337"/>
      <c r="K769" s="337"/>
      <c r="L769" s="337"/>
      <c r="M769" s="337"/>
      <c r="N769" s="337"/>
      <c r="O769" s="337"/>
      <c r="P769" s="337"/>
      <c r="Q769" s="337"/>
      <c r="R769" s="337"/>
      <c r="S769" s="337"/>
      <c r="T769" s="337"/>
      <c r="U769" s="337"/>
      <c r="V769" s="338"/>
      <c r="W769" s="1"/>
    </row>
    <row r="770" spans="1:23" ht="30" customHeight="1" x14ac:dyDescent="0.25">
      <c r="A770" s="18"/>
      <c r="B770" s="18"/>
      <c r="C770" s="18"/>
      <c r="D770" s="7"/>
      <c r="E770" s="7"/>
      <c r="F770" s="7"/>
      <c r="G770" s="7"/>
      <c r="H770" s="7"/>
      <c r="I770" s="7"/>
      <c r="J770" s="7"/>
      <c r="K770" s="7"/>
      <c r="L770" s="7"/>
      <c r="M770" s="7"/>
      <c r="N770" s="7"/>
      <c r="O770" s="7"/>
      <c r="P770" s="7"/>
      <c r="Q770" s="7"/>
      <c r="R770" s="7"/>
      <c r="S770" s="7"/>
      <c r="T770" s="7"/>
      <c r="U770" s="7"/>
      <c r="V770" s="7"/>
      <c r="W770" s="7"/>
    </row>
    <row r="771" spans="1:23" ht="20.100000000000001" customHeight="1" x14ac:dyDescent="0.25">
      <c r="A771" s="18"/>
      <c r="B771" s="18"/>
      <c r="C771" s="18"/>
      <c r="D771" s="7"/>
      <c r="E771" s="321"/>
      <c r="F771" s="322"/>
      <c r="G771" s="323"/>
      <c r="H771" s="323"/>
      <c r="I771" s="323"/>
      <c r="J771" s="323"/>
      <c r="K771" s="323"/>
      <c r="L771" s="323"/>
      <c r="M771" s="323"/>
      <c r="N771" s="323"/>
      <c r="O771" s="323"/>
      <c r="P771" s="323"/>
      <c r="Q771" s="323"/>
      <c r="R771" s="323"/>
      <c r="S771" s="339"/>
      <c r="T771" s="339"/>
      <c r="U771" s="340"/>
      <c r="V771" s="325"/>
      <c r="W771" s="1"/>
    </row>
    <row r="772" spans="1:23" ht="45" customHeight="1" x14ac:dyDescent="0.25">
      <c r="A772" s="18"/>
      <c r="B772" s="18"/>
      <c r="C772" s="18"/>
      <c r="D772" s="7"/>
      <c r="E772" s="326"/>
      <c r="F772" s="1469" t="s">
        <v>8607</v>
      </c>
      <c r="G772" s="1470"/>
      <c r="H772" s="1470"/>
      <c r="I772" s="1470"/>
      <c r="J772" s="1470"/>
      <c r="K772" s="1470"/>
      <c r="L772" s="1470"/>
      <c r="M772" s="1470"/>
      <c r="N772" s="327" t="str">
        <f ca="1">"Concentração"&amp;" "&amp;Calculos!$BJ$3</f>
        <v>Concentração -</v>
      </c>
      <c r="O772" s="327" t="s">
        <v>6038</v>
      </c>
      <c r="P772" s="327" t="s">
        <v>8126</v>
      </c>
      <c r="Q772" s="327" t="s">
        <v>8028</v>
      </c>
      <c r="R772" s="327" t="s">
        <v>8603</v>
      </c>
      <c r="S772" s="327" t="s">
        <v>8127</v>
      </c>
      <c r="U772" s="328" t="s">
        <v>119</v>
      </c>
      <c r="V772" s="332"/>
      <c r="W772" s="1"/>
    </row>
    <row r="773" spans="1:23" ht="20.100000000000001" customHeight="1" x14ac:dyDescent="0.25">
      <c r="A773" s="18"/>
      <c r="B773" s="18"/>
      <c r="C773" s="18"/>
      <c r="D773" s="7"/>
      <c r="E773" s="326"/>
      <c r="F773" s="1471" t="str">
        <f ca="1">Calculos!$BJ$6</f>
        <v>-</v>
      </c>
      <c r="G773" s="1471"/>
      <c r="H773" s="1471"/>
      <c r="I773" s="1471"/>
      <c r="J773" s="1472" t="s">
        <v>7103</v>
      </c>
      <c r="K773" s="1473"/>
      <c r="L773" s="1473"/>
      <c r="M773" s="1474"/>
      <c r="N773" s="188"/>
      <c r="O773" s="188"/>
      <c r="P773" s="330"/>
      <c r="Q773" s="330"/>
      <c r="R773" s="187">
        <v>0</v>
      </c>
      <c r="S773" s="331">
        <f>O773/2</f>
        <v>0</v>
      </c>
      <c r="U773" s="331" t="str">
        <f ca="1">Calculos!CK$74</f>
        <v>-</v>
      </c>
      <c r="V773" s="332"/>
      <c r="W773" s="1"/>
    </row>
    <row r="774" spans="1:23" ht="20.100000000000001" customHeight="1" x14ac:dyDescent="0.25">
      <c r="A774" s="18"/>
      <c r="B774" s="18"/>
      <c r="C774" s="18"/>
      <c r="D774" s="7"/>
      <c r="E774" s="326"/>
      <c r="F774" s="1471"/>
      <c r="G774" s="1471"/>
      <c r="H774" s="1471"/>
      <c r="I774" s="1471"/>
      <c r="J774" s="1286" t="s">
        <v>8027</v>
      </c>
      <c r="K774" s="1286"/>
      <c r="L774" s="1286"/>
      <c r="M774" s="1286"/>
      <c r="N774" s="188"/>
      <c r="O774" s="188"/>
      <c r="P774" s="330"/>
      <c r="Q774" s="330"/>
      <c r="R774" s="187"/>
      <c r="U774" s="331" t="str">
        <f ca="1">Calculos!CK$75</f>
        <v>-</v>
      </c>
      <c r="V774" s="332"/>
      <c r="W774" s="1"/>
    </row>
    <row r="775" spans="1:23" ht="20.100000000000001" customHeight="1" x14ac:dyDescent="0.25">
      <c r="A775" s="18"/>
      <c r="B775" s="18"/>
      <c r="C775" s="18"/>
      <c r="D775" s="7"/>
      <c r="E775" s="326"/>
      <c r="F775" s="1471"/>
      <c r="G775" s="1471"/>
      <c r="H775" s="1471"/>
      <c r="I775" s="1471"/>
      <c r="J775" s="1286"/>
      <c r="K775" s="1286"/>
      <c r="L775" s="1286"/>
      <c r="M775" s="1286"/>
      <c r="N775" s="188"/>
      <c r="O775" s="188"/>
      <c r="P775" s="330"/>
      <c r="Q775" s="330"/>
      <c r="R775" s="187"/>
      <c r="U775" s="331" t="str">
        <f ca="1">Calculos!CK$76</f>
        <v>-</v>
      </c>
      <c r="V775" s="332"/>
      <c r="W775" s="1"/>
    </row>
    <row r="776" spans="1:23" ht="20.100000000000001" customHeight="1" x14ac:dyDescent="0.25">
      <c r="A776" s="18"/>
      <c r="B776" s="18"/>
      <c r="C776" s="18"/>
      <c r="D776" s="7"/>
      <c r="E776" s="326"/>
      <c r="F776" s="1471"/>
      <c r="G776" s="1471"/>
      <c r="H776" s="1471"/>
      <c r="I776" s="1471"/>
      <c r="J776" s="1286"/>
      <c r="K776" s="1286"/>
      <c r="L776" s="1286"/>
      <c r="M776" s="1286"/>
      <c r="N776" s="188"/>
      <c r="O776" s="188"/>
      <c r="P776" s="330"/>
      <c r="Q776" s="330"/>
      <c r="R776" s="187"/>
      <c r="U776" s="331" t="str">
        <f ca="1">Calculos!CK$77</f>
        <v>-</v>
      </c>
      <c r="V776" s="332"/>
      <c r="W776" s="1"/>
    </row>
    <row r="777" spans="1:23" ht="20.100000000000001" customHeight="1" x14ac:dyDescent="0.25">
      <c r="A777" s="18"/>
      <c r="B777" s="18"/>
      <c r="C777" s="18"/>
      <c r="D777" s="7"/>
      <c r="E777" s="326"/>
      <c r="F777" s="1471"/>
      <c r="G777" s="1471"/>
      <c r="H777" s="1471"/>
      <c r="I777" s="1471"/>
      <c r="J777" s="1286"/>
      <c r="K777" s="1286"/>
      <c r="L777" s="1286"/>
      <c r="M777" s="1286"/>
      <c r="N777" s="188"/>
      <c r="O777" s="188"/>
      <c r="P777" s="330"/>
      <c r="Q777" s="330"/>
      <c r="R777" s="187"/>
      <c r="U777" s="331" t="str">
        <f ca="1">Calculos!CK$78</f>
        <v>-</v>
      </c>
      <c r="V777" s="332"/>
      <c r="W777" s="1"/>
    </row>
    <row r="778" spans="1:23" ht="20.100000000000001" customHeight="1" x14ac:dyDescent="0.25">
      <c r="A778" s="18"/>
      <c r="B778" s="18"/>
      <c r="C778" s="18"/>
      <c r="D778" s="7"/>
      <c r="E778" s="326"/>
      <c r="F778" s="1471"/>
      <c r="G778" s="1471"/>
      <c r="H778" s="1471"/>
      <c r="I778" s="1471"/>
      <c r="J778" s="1286"/>
      <c r="K778" s="1286"/>
      <c r="L778" s="1286"/>
      <c r="M778" s="1286"/>
      <c r="N778" s="188"/>
      <c r="O778" s="188"/>
      <c r="P778" s="330"/>
      <c r="Q778" s="330"/>
      <c r="R778" s="187"/>
      <c r="U778" s="331" t="str">
        <f ca="1">Calculos!CK$79</f>
        <v>-</v>
      </c>
      <c r="V778" s="332"/>
      <c r="W778" s="1"/>
    </row>
    <row r="779" spans="1:23" ht="20.100000000000001" customHeight="1" x14ac:dyDescent="0.25">
      <c r="A779" s="18"/>
      <c r="B779" s="18"/>
      <c r="C779" s="18"/>
      <c r="D779" s="7"/>
      <c r="E779" s="326"/>
      <c r="F779" s="1471"/>
      <c r="G779" s="1471"/>
      <c r="H779" s="1471"/>
      <c r="I779" s="1471"/>
      <c r="J779" s="1286"/>
      <c r="K779" s="1286"/>
      <c r="L779" s="1286"/>
      <c r="M779" s="1286"/>
      <c r="N779" s="188"/>
      <c r="O779" s="188"/>
      <c r="P779" s="330"/>
      <c r="Q779" s="330"/>
      <c r="R779" s="187"/>
      <c r="U779" s="331" t="str">
        <f ca="1">Calculos!CK$80</f>
        <v>-</v>
      </c>
      <c r="V779" s="332"/>
      <c r="W779" s="1"/>
    </row>
    <row r="780" spans="1:23" ht="20.100000000000001" customHeight="1" x14ac:dyDescent="0.25">
      <c r="A780" s="18"/>
      <c r="B780" s="18"/>
      <c r="C780" s="18"/>
      <c r="D780" s="7"/>
      <c r="E780" s="326"/>
      <c r="F780" s="1471"/>
      <c r="G780" s="1471"/>
      <c r="H780" s="1471"/>
      <c r="I780" s="1471"/>
      <c r="J780" s="1286"/>
      <c r="K780" s="1286"/>
      <c r="L780" s="1286"/>
      <c r="M780" s="1286"/>
      <c r="N780" s="188"/>
      <c r="O780" s="188"/>
      <c r="P780" s="330"/>
      <c r="Q780" s="330"/>
      <c r="R780" s="187"/>
      <c r="U780" s="331" t="str">
        <f ca="1">Calculos!CK$81</f>
        <v>-</v>
      </c>
      <c r="V780" s="332"/>
      <c r="W780" s="1"/>
    </row>
    <row r="781" spans="1:23" ht="20.100000000000001" customHeight="1" x14ac:dyDescent="0.25">
      <c r="A781" s="18"/>
      <c r="B781" s="18"/>
      <c r="C781" s="18"/>
      <c r="D781" s="7"/>
      <c r="E781" s="326"/>
      <c r="F781" s="1471"/>
      <c r="G781" s="1471"/>
      <c r="H781" s="1471"/>
      <c r="I781" s="1471"/>
      <c r="J781" s="1286"/>
      <c r="K781" s="1286"/>
      <c r="L781" s="1286"/>
      <c r="M781" s="1286"/>
      <c r="N781" s="188"/>
      <c r="O781" s="188"/>
      <c r="P781" s="330"/>
      <c r="Q781" s="330"/>
      <c r="R781" s="187"/>
      <c r="U781" s="331" t="str">
        <f ca="1">Calculos!CK$82</f>
        <v>-</v>
      </c>
      <c r="V781" s="332"/>
      <c r="W781" s="1"/>
    </row>
    <row r="782" spans="1:23" ht="20.100000000000001" customHeight="1" x14ac:dyDescent="0.25">
      <c r="A782" s="18"/>
      <c r="B782" s="18"/>
      <c r="C782" s="18"/>
      <c r="D782" s="7"/>
      <c r="E782" s="326"/>
      <c r="F782" s="1471"/>
      <c r="G782" s="1471"/>
      <c r="H782" s="1471"/>
      <c r="I782" s="1471"/>
      <c r="J782" s="1286"/>
      <c r="K782" s="1286"/>
      <c r="L782" s="1286"/>
      <c r="M782" s="1286"/>
      <c r="N782" s="188"/>
      <c r="O782" s="188"/>
      <c r="P782" s="330"/>
      <c r="Q782" s="330"/>
      <c r="R782" s="187"/>
      <c r="U782" s="331" t="str">
        <f ca="1">Calculos!CK$83</f>
        <v>-</v>
      </c>
      <c r="V782" s="332"/>
      <c r="W782" s="7"/>
    </row>
    <row r="783" spans="1:23" ht="20.100000000000001" customHeight="1" x14ac:dyDescent="0.25">
      <c r="A783" s="18"/>
      <c r="B783" s="18"/>
      <c r="C783" s="18"/>
      <c r="D783" s="7"/>
      <c r="E783" s="326"/>
      <c r="F783" s="1471"/>
      <c r="G783" s="1471"/>
      <c r="H783" s="1471"/>
      <c r="I783" s="1471"/>
      <c r="J783" s="1286"/>
      <c r="K783" s="1286"/>
      <c r="L783" s="1286"/>
      <c r="M783" s="1286"/>
      <c r="N783" s="188"/>
      <c r="O783" s="188"/>
      <c r="P783" s="330"/>
      <c r="Q783" s="330"/>
      <c r="R783" s="187"/>
      <c r="U783" s="331" t="str">
        <f ca="1">Calculos!CK$84</f>
        <v>-</v>
      </c>
      <c r="V783" s="332"/>
      <c r="W783" s="7"/>
    </row>
    <row r="784" spans="1:23" ht="20.100000000000001" customHeight="1" x14ac:dyDescent="0.25">
      <c r="A784" s="18"/>
      <c r="B784" s="18"/>
      <c r="C784" s="18"/>
      <c r="D784" s="7"/>
      <c r="E784" s="326"/>
      <c r="F784" s="1471"/>
      <c r="G784" s="1471"/>
      <c r="H784" s="1471"/>
      <c r="I784" s="1471"/>
      <c r="J784" s="1472" t="s">
        <v>80</v>
      </c>
      <c r="K784" s="1473"/>
      <c r="L784" s="1473"/>
      <c r="M784" s="1474"/>
      <c r="N784" s="188"/>
      <c r="O784" s="188"/>
      <c r="P784" s="330"/>
      <c r="Q784" s="330"/>
      <c r="R784" s="187" t="s">
        <v>10</v>
      </c>
      <c r="U784" s="331" t="str">
        <f ca="1">Calculos!CK$85</f>
        <v>-</v>
      </c>
      <c r="V784" s="332"/>
      <c r="W784" s="1"/>
    </row>
    <row r="785" spans="1:23" ht="20.100000000000001" customHeight="1" x14ac:dyDescent="0.25">
      <c r="A785" s="18"/>
      <c r="B785" s="18"/>
      <c r="C785" s="18"/>
      <c r="D785" s="7"/>
      <c r="E785" s="326"/>
      <c r="V785" s="332"/>
      <c r="W785" s="1"/>
    </row>
    <row r="786" spans="1:23" ht="20.100000000000001" hidden="1" customHeight="1" x14ac:dyDescent="0.25">
      <c r="A786" s="18"/>
      <c r="B786" s="18"/>
      <c r="C786" s="18"/>
      <c r="D786" s="7"/>
      <c r="E786" s="326"/>
      <c r="V786" s="332"/>
      <c r="W786" s="1"/>
    </row>
    <row r="787" spans="1:23" ht="20.100000000000001" hidden="1" customHeight="1" x14ac:dyDescent="0.25">
      <c r="A787" s="18"/>
      <c r="B787" s="18"/>
      <c r="C787" s="18"/>
      <c r="D787" s="7"/>
      <c r="E787" s="326"/>
      <c r="V787" s="332"/>
      <c r="W787" s="1"/>
    </row>
    <row r="788" spans="1:23" ht="20.100000000000001" customHeight="1" x14ac:dyDescent="0.25">
      <c r="A788" s="18"/>
      <c r="B788" s="18"/>
      <c r="C788" s="18"/>
      <c r="D788" s="7"/>
      <c r="E788" s="326"/>
      <c r="V788" s="332"/>
      <c r="W788" s="1"/>
    </row>
    <row r="789" spans="1:23" ht="45" customHeight="1" x14ac:dyDescent="0.25">
      <c r="A789" s="18"/>
      <c r="B789" s="18"/>
      <c r="C789" s="18"/>
      <c r="D789" s="7"/>
      <c r="E789" s="326"/>
      <c r="F789" s="1475" t="s">
        <v>8616</v>
      </c>
      <c r="G789" s="1476"/>
      <c r="H789" s="1476"/>
      <c r="I789" s="1476"/>
      <c r="J789" s="1476"/>
      <c r="K789" s="1476"/>
      <c r="L789" s="1476"/>
      <c r="M789" s="1476"/>
      <c r="N789" s="333" t="str">
        <f ca="1">"Concentração"&amp;" "&amp;Calculos!$BJ$3</f>
        <v>Concentração -</v>
      </c>
      <c r="O789" s="333" t="s">
        <v>6038</v>
      </c>
      <c r="P789" s="333" t="s">
        <v>8126</v>
      </c>
      <c r="Q789" s="333" t="s">
        <v>8028</v>
      </c>
      <c r="R789" s="333" t="s">
        <v>8603</v>
      </c>
      <c r="S789" s="333" t="s">
        <v>8127</v>
      </c>
      <c r="U789" s="328" t="s">
        <v>119</v>
      </c>
      <c r="V789" s="332"/>
      <c r="W789" s="1"/>
    </row>
    <row r="790" spans="1:23" ht="20.100000000000001" customHeight="1" x14ac:dyDescent="0.25">
      <c r="A790" s="18"/>
      <c r="B790" s="18"/>
      <c r="C790" s="18"/>
      <c r="D790" s="7"/>
      <c r="E790" s="326"/>
      <c r="F790" s="1471" t="str">
        <f ca="1">Calculos!$BJ$6</f>
        <v>-</v>
      </c>
      <c r="G790" s="1471"/>
      <c r="H790" s="1471"/>
      <c r="I790" s="1471"/>
      <c r="J790" s="1472" t="s">
        <v>7103</v>
      </c>
      <c r="K790" s="1473"/>
      <c r="L790" s="1473"/>
      <c r="M790" s="1474"/>
      <c r="N790" s="334"/>
      <c r="O790" s="334"/>
      <c r="P790" s="335"/>
      <c r="Q790" s="335"/>
      <c r="R790" s="335">
        <v>0</v>
      </c>
      <c r="S790" s="331">
        <f>O790/2</f>
        <v>0</v>
      </c>
      <c r="U790" s="331" t="str">
        <f ca="1">Calculos!CK$90</f>
        <v>-</v>
      </c>
      <c r="V790" s="332"/>
      <c r="W790" s="1"/>
    </row>
    <row r="791" spans="1:23" ht="20.100000000000001" customHeight="1" x14ac:dyDescent="0.25">
      <c r="A791" s="18"/>
      <c r="B791" s="18"/>
      <c r="C791" s="18"/>
      <c r="D791" s="7"/>
      <c r="E791" s="326"/>
      <c r="F791" s="1471"/>
      <c r="G791" s="1471"/>
      <c r="H791" s="1471"/>
      <c r="I791" s="1471"/>
      <c r="J791" s="1286" t="s">
        <v>8027</v>
      </c>
      <c r="K791" s="1286"/>
      <c r="L791" s="1286"/>
      <c r="M791" s="1286"/>
      <c r="N791" s="334"/>
      <c r="O791" s="334"/>
      <c r="P791" s="335"/>
      <c r="Q791" s="335"/>
      <c r="R791" s="335"/>
      <c r="U791" s="331" t="str">
        <f ca="1">Calculos!CK$91</f>
        <v>-</v>
      </c>
      <c r="V791" s="332"/>
      <c r="W791" s="1"/>
    </row>
    <row r="792" spans="1:23" ht="20.100000000000001" customHeight="1" x14ac:dyDescent="0.25">
      <c r="A792" s="18"/>
      <c r="B792" s="18"/>
      <c r="C792" s="18"/>
      <c r="D792" s="7"/>
      <c r="E792" s="326"/>
      <c r="F792" s="1471"/>
      <c r="G792" s="1471"/>
      <c r="H792" s="1471"/>
      <c r="I792" s="1471"/>
      <c r="J792" s="1286"/>
      <c r="K792" s="1286"/>
      <c r="L792" s="1286"/>
      <c r="M792" s="1286"/>
      <c r="N792" s="334"/>
      <c r="O792" s="334"/>
      <c r="P792" s="335"/>
      <c r="Q792" s="335"/>
      <c r="R792" s="335"/>
      <c r="U792" s="331" t="str">
        <f ca="1">Calculos!CK$92</f>
        <v>-</v>
      </c>
      <c r="V792" s="332"/>
      <c r="W792" s="1"/>
    </row>
    <row r="793" spans="1:23" ht="20.100000000000001" customHeight="1" x14ac:dyDescent="0.25">
      <c r="A793" s="18"/>
      <c r="B793" s="18"/>
      <c r="C793" s="18"/>
      <c r="D793" s="7"/>
      <c r="E793" s="326"/>
      <c r="F793" s="1471"/>
      <c r="G793" s="1471"/>
      <c r="H793" s="1471"/>
      <c r="I793" s="1471"/>
      <c r="J793" s="1286"/>
      <c r="K793" s="1286"/>
      <c r="L793" s="1286"/>
      <c r="M793" s="1286"/>
      <c r="N793" s="334"/>
      <c r="O793" s="334"/>
      <c r="P793" s="335"/>
      <c r="Q793" s="335"/>
      <c r="R793" s="335"/>
      <c r="U793" s="331" t="str">
        <f ca="1">Calculos!CK$93</f>
        <v>-</v>
      </c>
      <c r="V793" s="332"/>
      <c r="W793" s="1"/>
    </row>
    <row r="794" spans="1:23" ht="20.100000000000001" customHeight="1" x14ac:dyDescent="0.25">
      <c r="A794" s="18"/>
      <c r="B794" s="18"/>
      <c r="C794" s="18"/>
      <c r="D794" s="7"/>
      <c r="E794" s="326"/>
      <c r="F794" s="1471"/>
      <c r="G794" s="1471"/>
      <c r="H794" s="1471"/>
      <c r="I794" s="1471"/>
      <c r="J794" s="1286"/>
      <c r="K794" s="1286"/>
      <c r="L794" s="1286"/>
      <c r="M794" s="1286"/>
      <c r="N794" s="334"/>
      <c r="O794" s="334"/>
      <c r="P794" s="335"/>
      <c r="Q794" s="335"/>
      <c r="R794" s="335"/>
      <c r="U794" s="331" t="str">
        <f ca="1">Calculos!CK$94</f>
        <v>-</v>
      </c>
      <c r="V794" s="332"/>
      <c r="W794" s="1"/>
    </row>
    <row r="795" spans="1:23" ht="20.100000000000001" customHeight="1" x14ac:dyDescent="0.25">
      <c r="A795" s="18"/>
      <c r="B795" s="18"/>
      <c r="C795" s="18"/>
      <c r="D795" s="7"/>
      <c r="E795" s="326"/>
      <c r="F795" s="1471"/>
      <c r="G795" s="1471"/>
      <c r="H795" s="1471"/>
      <c r="I795" s="1471"/>
      <c r="J795" s="1286"/>
      <c r="K795" s="1286"/>
      <c r="L795" s="1286"/>
      <c r="M795" s="1286"/>
      <c r="N795" s="334"/>
      <c r="O795" s="334"/>
      <c r="P795" s="335"/>
      <c r="Q795" s="335"/>
      <c r="R795" s="335"/>
      <c r="U795" s="331" t="str">
        <f ca="1">Calculos!CK$95</f>
        <v>-</v>
      </c>
      <c r="V795" s="332"/>
      <c r="W795" s="1"/>
    </row>
    <row r="796" spans="1:23" ht="20.100000000000001" customHeight="1" x14ac:dyDescent="0.25">
      <c r="A796" s="18"/>
      <c r="B796" s="18"/>
      <c r="C796" s="18"/>
      <c r="D796" s="7"/>
      <c r="E796" s="326"/>
      <c r="F796" s="1471"/>
      <c r="G796" s="1471"/>
      <c r="H796" s="1471"/>
      <c r="I796" s="1471"/>
      <c r="J796" s="1286"/>
      <c r="K796" s="1286"/>
      <c r="L796" s="1286"/>
      <c r="M796" s="1286"/>
      <c r="N796" s="334"/>
      <c r="O796" s="334"/>
      <c r="P796" s="335"/>
      <c r="Q796" s="335"/>
      <c r="R796" s="335"/>
      <c r="U796" s="331" t="str">
        <f ca="1">Calculos!CK$96</f>
        <v>-</v>
      </c>
      <c r="V796" s="332"/>
      <c r="W796" s="1"/>
    </row>
    <row r="797" spans="1:23" ht="20.100000000000001" customHeight="1" x14ac:dyDescent="0.25">
      <c r="A797" s="18"/>
      <c r="B797" s="18"/>
      <c r="C797" s="18"/>
      <c r="D797" s="7"/>
      <c r="E797" s="326"/>
      <c r="F797" s="1471"/>
      <c r="G797" s="1471"/>
      <c r="H797" s="1471"/>
      <c r="I797" s="1471"/>
      <c r="J797" s="1286"/>
      <c r="K797" s="1286"/>
      <c r="L797" s="1286"/>
      <c r="M797" s="1286"/>
      <c r="N797" s="334"/>
      <c r="O797" s="334"/>
      <c r="P797" s="335"/>
      <c r="Q797" s="335"/>
      <c r="R797" s="335"/>
      <c r="U797" s="331" t="str">
        <f ca="1">Calculos!CK$97</f>
        <v>-</v>
      </c>
      <c r="V797" s="332"/>
      <c r="W797" s="1"/>
    </row>
    <row r="798" spans="1:23" ht="20.100000000000001" customHeight="1" x14ac:dyDescent="0.25">
      <c r="A798" s="18"/>
      <c r="B798" s="18"/>
      <c r="C798" s="18"/>
      <c r="D798" s="7"/>
      <c r="E798" s="326"/>
      <c r="F798" s="1471"/>
      <c r="G798" s="1471"/>
      <c r="H798" s="1471"/>
      <c r="I798" s="1471"/>
      <c r="J798" s="1286"/>
      <c r="K798" s="1286"/>
      <c r="L798" s="1286"/>
      <c r="M798" s="1286"/>
      <c r="N798" s="334"/>
      <c r="O798" s="334"/>
      <c r="P798" s="335"/>
      <c r="Q798" s="335"/>
      <c r="R798" s="335"/>
      <c r="U798" s="331" t="str">
        <f ca="1">Calculos!CK$98</f>
        <v>-</v>
      </c>
      <c r="V798" s="332"/>
      <c r="W798" s="1"/>
    </row>
    <row r="799" spans="1:23" ht="20.100000000000001" customHeight="1" x14ac:dyDescent="0.25">
      <c r="A799" s="18"/>
      <c r="B799" s="18"/>
      <c r="C799" s="18"/>
      <c r="D799" s="7"/>
      <c r="E799" s="326"/>
      <c r="F799" s="1471"/>
      <c r="G799" s="1471"/>
      <c r="H799" s="1471"/>
      <c r="I799" s="1471"/>
      <c r="J799" s="1286"/>
      <c r="K799" s="1286"/>
      <c r="L799" s="1286"/>
      <c r="M799" s="1286"/>
      <c r="N799" s="334"/>
      <c r="O799" s="334"/>
      <c r="P799" s="335"/>
      <c r="Q799" s="335"/>
      <c r="R799" s="335"/>
      <c r="U799" s="331" t="str">
        <f ca="1">Calculos!CK$99</f>
        <v>-</v>
      </c>
      <c r="V799" s="332"/>
      <c r="W799" s="7"/>
    </row>
    <row r="800" spans="1:23" ht="20.100000000000001" customHeight="1" x14ac:dyDescent="0.25">
      <c r="A800" s="18"/>
      <c r="B800" s="18"/>
      <c r="C800" s="18"/>
      <c r="D800" s="7"/>
      <c r="E800" s="326"/>
      <c r="F800" s="1471"/>
      <c r="G800" s="1471"/>
      <c r="H800" s="1471"/>
      <c r="I800" s="1471"/>
      <c r="J800" s="1286"/>
      <c r="K800" s="1286"/>
      <c r="L800" s="1286"/>
      <c r="M800" s="1286"/>
      <c r="N800" s="334"/>
      <c r="O800" s="334"/>
      <c r="P800" s="335"/>
      <c r="Q800" s="335"/>
      <c r="R800" s="335"/>
      <c r="U800" s="331" t="str">
        <f ca="1">Calculos!CK$100</f>
        <v>-</v>
      </c>
      <c r="V800" s="329"/>
      <c r="W800" s="7"/>
    </row>
    <row r="801" spans="1:23" ht="20.100000000000001" customHeight="1" x14ac:dyDescent="0.25">
      <c r="A801" s="18"/>
      <c r="B801" s="18"/>
      <c r="C801" s="18"/>
      <c r="D801" s="7"/>
      <c r="E801" s="326"/>
      <c r="F801" s="1471"/>
      <c r="G801" s="1471"/>
      <c r="H801" s="1471"/>
      <c r="I801" s="1471"/>
      <c r="J801" s="1472" t="s">
        <v>80</v>
      </c>
      <c r="K801" s="1473"/>
      <c r="L801" s="1473"/>
      <c r="M801" s="1474"/>
      <c r="N801" s="334"/>
      <c r="O801" s="334"/>
      <c r="P801" s="335"/>
      <c r="Q801" s="335"/>
      <c r="R801" s="335" t="s">
        <v>10</v>
      </c>
      <c r="U801" s="331" t="str">
        <f ca="1">Calculos!CK$101</f>
        <v>-</v>
      </c>
      <c r="V801" s="329"/>
      <c r="W801" s="1"/>
    </row>
    <row r="802" spans="1:23" ht="20.100000000000001" hidden="1" customHeight="1" x14ac:dyDescent="0.25">
      <c r="A802" s="18"/>
      <c r="B802" s="18"/>
      <c r="C802" s="18"/>
      <c r="D802" s="7"/>
      <c r="E802" s="326"/>
      <c r="V802" s="329"/>
      <c r="W802" s="1"/>
    </row>
    <row r="803" spans="1:23" ht="20.100000000000001" customHeight="1" x14ac:dyDescent="0.25">
      <c r="A803" s="18"/>
      <c r="B803" s="18"/>
      <c r="C803" s="18"/>
      <c r="D803" s="7"/>
      <c r="E803" s="336"/>
      <c r="F803" s="337"/>
      <c r="G803" s="337"/>
      <c r="H803" s="337"/>
      <c r="I803" s="337"/>
      <c r="J803" s="337"/>
      <c r="K803" s="337"/>
      <c r="L803" s="337"/>
      <c r="M803" s="337"/>
      <c r="N803" s="337"/>
      <c r="O803" s="337"/>
      <c r="P803" s="337"/>
      <c r="Q803" s="337"/>
      <c r="R803" s="337"/>
      <c r="S803" s="337"/>
      <c r="T803" s="337"/>
      <c r="U803" s="337"/>
      <c r="V803" s="338"/>
      <c r="W803" s="1"/>
    </row>
    <row r="804" spans="1:23" ht="30" customHeight="1" x14ac:dyDescent="0.25">
      <c r="A804" s="18"/>
      <c r="B804" s="18"/>
      <c r="C804" s="18"/>
      <c r="D804" s="7"/>
      <c r="E804" s="7"/>
      <c r="F804" s="7"/>
      <c r="G804" s="7"/>
      <c r="H804" s="7"/>
      <c r="I804" s="7"/>
      <c r="J804" s="7"/>
      <c r="K804" s="7"/>
      <c r="L804" s="7"/>
      <c r="M804" s="7"/>
      <c r="N804" s="7"/>
      <c r="O804" s="7"/>
      <c r="P804" s="7"/>
      <c r="Q804" s="7"/>
      <c r="R804" s="7"/>
      <c r="S804" s="7"/>
      <c r="T804" s="7"/>
      <c r="U804" s="7"/>
      <c r="V804" s="7"/>
      <c r="W804" s="1"/>
    </row>
    <row r="805" spans="1:23" ht="20.100000000000001" customHeight="1" x14ac:dyDescent="0.25">
      <c r="A805" s="18"/>
      <c r="B805" s="18"/>
      <c r="C805" s="18"/>
      <c r="D805" s="7"/>
      <c r="E805" s="321"/>
      <c r="F805" s="322"/>
      <c r="G805" s="323"/>
      <c r="H805" s="323"/>
      <c r="I805" s="323"/>
      <c r="J805" s="323"/>
      <c r="K805" s="323"/>
      <c r="L805" s="323"/>
      <c r="M805" s="323"/>
      <c r="N805" s="323"/>
      <c r="O805" s="323"/>
      <c r="P805" s="323"/>
      <c r="Q805" s="323"/>
      <c r="R805" s="323"/>
      <c r="S805" s="339"/>
      <c r="T805" s="339"/>
      <c r="U805" s="340"/>
      <c r="V805" s="325"/>
      <c r="W805" s="1"/>
    </row>
    <row r="806" spans="1:23" ht="45" customHeight="1" x14ac:dyDescent="0.25">
      <c r="A806" s="18"/>
      <c r="B806" s="18"/>
      <c r="C806" s="18"/>
      <c r="D806" s="7"/>
      <c r="E806" s="326"/>
      <c r="F806" s="1469" t="s">
        <v>8608</v>
      </c>
      <c r="G806" s="1470"/>
      <c r="H806" s="1470"/>
      <c r="I806" s="1470"/>
      <c r="J806" s="1470"/>
      <c r="K806" s="1470"/>
      <c r="L806" s="1470"/>
      <c r="M806" s="1470"/>
      <c r="N806" s="327" t="str">
        <f ca="1">"Concentração"&amp;" "&amp;Calculos!$BJ$3</f>
        <v>Concentração -</v>
      </c>
      <c r="O806" s="327" t="s">
        <v>6038</v>
      </c>
      <c r="P806" s="327" t="s">
        <v>8126</v>
      </c>
      <c r="Q806" s="327" t="s">
        <v>8028</v>
      </c>
      <c r="R806" s="327" t="s">
        <v>8603</v>
      </c>
      <c r="S806" s="327" t="s">
        <v>8127</v>
      </c>
      <c r="U806" s="328" t="s">
        <v>119</v>
      </c>
      <c r="V806" s="332"/>
      <c r="W806" s="1"/>
    </row>
    <row r="807" spans="1:23" ht="20.100000000000001" customHeight="1" x14ac:dyDescent="0.25">
      <c r="A807" s="18"/>
      <c r="B807" s="18"/>
      <c r="C807" s="18"/>
      <c r="D807" s="7"/>
      <c r="E807" s="326"/>
      <c r="F807" s="1471" t="str">
        <f ca="1">Calculos!$BJ$6</f>
        <v>-</v>
      </c>
      <c r="G807" s="1471"/>
      <c r="H807" s="1471"/>
      <c r="I807" s="1471"/>
      <c r="J807" s="1472" t="s">
        <v>7103</v>
      </c>
      <c r="K807" s="1473"/>
      <c r="L807" s="1473"/>
      <c r="M807" s="1474"/>
      <c r="N807" s="188"/>
      <c r="O807" s="188"/>
      <c r="P807" s="330"/>
      <c r="Q807" s="330"/>
      <c r="R807" s="187">
        <v>0</v>
      </c>
      <c r="S807" s="331">
        <f>O807/2</f>
        <v>0</v>
      </c>
      <c r="U807" s="331" t="str">
        <f ca="1">Calculos!CK$106</f>
        <v>-</v>
      </c>
      <c r="V807" s="332"/>
      <c r="W807" s="1"/>
    </row>
    <row r="808" spans="1:23" ht="20.100000000000001" customHeight="1" x14ac:dyDescent="0.25">
      <c r="A808" s="18"/>
      <c r="B808" s="18"/>
      <c r="C808" s="18"/>
      <c r="D808" s="7"/>
      <c r="E808" s="326"/>
      <c r="F808" s="1471"/>
      <c r="G808" s="1471"/>
      <c r="H808" s="1471"/>
      <c r="I808" s="1471"/>
      <c r="J808" s="1286" t="s">
        <v>8027</v>
      </c>
      <c r="K808" s="1286"/>
      <c r="L808" s="1286"/>
      <c r="M808" s="1286"/>
      <c r="N808" s="188"/>
      <c r="O808" s="188"/>
      <c r="P808" s="330"/>
      <c r="Q808" s="330"/>
      <c r="R808" s="187"/>
      <c r="U808" s="331" t="str">
        <f ca="1">Calculos!CK$107</f>
        <v>-</v>
      </c>
      <c r="V808" s="332"/>
      <c r="W808" s="1"/>
    </row>
    <row r="809" spans="1:23" ht="20.100000000000001" customHeight="1" x14ac:dyDescent="0.25">
      <c r="A809" s="18"/>
      <c r="B809" s="18"/>
      <c r="C809" s="18"/>
      <c r="D809" s="7"/>
      <c r="E809" s="326"/>
      <c r="F809" s="1471"/>
      <c r="G809" s="1471"/>
      <c r="H809" s="1471"/>
      <c r="I809" s="1471"/>
      <c r="J809" s="1286"/>
      <c r="K809" s="1286"/>
      <c r="L809" s="1286"/>
      <c r="M809" s="1286"/>
      <c r="N809" s="188"/>
      <c r="O809" s="188"/>
      <c r="P809" s="330"/>
      <c r="Q809" s="330"/>
      <c r="R809" s="187"/>
      <c r="U809" s="331" t="str">
        <f ca="1">Calculos!CK$108</f>
        <v>-</v>
      </c>
      <c r="V809" s="332"/>
      <c r="W809" s="1"/>
    </row>
    <row r="810" spans="1:23" ht="20.100000000000001" customHeight="1" x14ac:dyDescent="0.25">
      <c r="A810" s="18"/>
      <c r="B810" s="18"/>
      <c r="C810" s="18"/>
      <c r="D810" s="7"/>
      <c r="E810" s="326"/>
      <c r="F810" s="1471"/>
      <c r="G810" s="1471"/>
      <c r="H810" s="1471"/>
      <c r="I810" s="1471"/>
      <c r="J810" s="1286"/>
      <c r="K810" s="1286"/>
      <c r="L810" s="1286"/>
      <c r="M810" s="1286"/>
      <c r="N810" s="188"/>
      <c r="O810" s="188"/>
      <c r="P810" s="330"/>
      <c r="Q810" s="330"/>
      <c r="R810" s="187"/>
      <c r="U810" s="331" t="str">
        <f ca="1">Calculos!CK$109</f>
        <v>-</v>
      </c>
      <c r="V810" s="332"/>
      <c r="W810" s="1"/>
    </row>
    <row r="811" spans="1:23" ht="20.100000000000001" customHeight="1" x14ac:dyDescent="0.25">
      <c r="A811" s="18"/>
      <c r="B811" s="18"/>
      <c r="C811" s="18"/>
      <c r="D811" s="7"/>
      <c r="E811" s="326"/>
      <c r="F811" s="1471"/>
      <c r="G811" s="1471"/>
      <c r="H811" s="1471"/>
      <c r="I811" s="1471"/>
      <c r="J811" s="1286"/>
      <c r="K811" s="1286"/>
      <c r="L811" s="1286"/>
      <c r="M811" s="1286"/>
      <c r="N811" s="188"/>
      <c r="O811" s="188"/>
      <c r="P811" s="330"/>
      <c r="Q811" s="330"/>
      <c r="R811" s="187"/>
      <c r="U811" s="331" t="str">
        <f ca="1">Calculos!CK$110</f>
        <v>-</v>
      </c>
      <c r="V811" s="332"/>
      <c r="W811" s="1"/>
    </row>
    <row r="812" spans="1:23" ht="20.100000000000001" customHeight="1" x14ac:dyDescent="0.25">
      <c r="A812" s="18"/>
      <c r="B812" s="18"/>
      <c r="C812" s="18"/>
      <c r="D812" s="7"/>
      <c r="E812" s="326"/>
      <c r="F812" s="1471"/>
      <c r="G812" s="1471"/>
      <c r="H812" s="1471"/>
      <c r="I812" s="1471"/>
      <c r="J812" s="1286"/>
      <c r="K812" s="1286"/>
      <c r="L812" s="1286"/>
      <c r="M812" s="1286"/>
      <c r="N812" s="188"/>
      <c r="O812" s="188"/>
      <c r="P812" s="330"/>
      <c r="Q812" s="330"/>
      <c r="R812" s="187"/>
      <c r="U812" s="331" t="str">
        <f ca="1">Calculos!CK$111</f>
        <v>-</v>
      </c>
      <c r="V812" s="332"/>
      <c r="W812" s="1"/>
    </row>
    <row r="813" spans="1:23" ht="20.100000000000001" customHeight="1" x14ac:dyDescent="0.25">
      <c r="A813" s="18"/>
      <c r="B813" s="18"/>
      <c r="C813" s="18"/>
      <c r="D813" s="7"/>
      <c r="E813" s="326"/>
      <c r="F813" s="1471"/>
      <c r="G813" s="1471"/>
      <c r="H813" s="1471"/>
      <c r="I813" s="1471"/>
      <c r="J813" s="1286"/>
      <c r="K813" s="1286"/>
      <c r="L813" s="1286"/>
      <c r="M813" s="1286"/>
      <c r="N813" s="188"/>
      <c r="O813" s="188"/>
      <c r="P813" s="330"/>
      <c r="Q813" s="330"/>
      <c r="R813" s="187"/>
      <c r="U813" s="331" t="str">
        <f ca="1">Calculos!CK$112</f>
        <v>-</v>
      </c>
      <c r="V813" s="332"/>
      <c r="W813" s="1"/>
    </row>
    <row r="814" spans="1:23" ht="20.100000000000001" customHeight="1" x14ac:dyDescent="0.25">
      <c r="A814" s="18"/>
      <c r="B814" s="18"/>
      <c r="C814" s="18"/>
      <c r="D814" s="7"/>
      <c r="E814" s="326"/>
      <c r="F814" s="1471"/>
      <c r="G814" s="1471"/>
      <c r="H814" s="1471"/>
      <c r="I814" s="1471"/>
      <c r="J814" s="1286"/>
      <c r="K814" s="1286"/>
      <c r="L814" s="1286"/>
      <c r="M814" s="1286"/>
      <c r="N814" s="188"/>
      <c r="O814" s="188"/>
      <c r="P814" s="330"/>
      <c r="Q814" s="330"/>
      <c r="R814" s="187"/>
      <c r="U814" s="331" t="str">
        <f ca="1">Calculos!CK$113</f>
        <v>-</v>
      </c>
      <c r="V814" s="332"/>
      <c r="W814" s="1"/>
    </row>
    <row r="815" spans="1:23" ht="20.100000000000001" customHeight="1" x14ac:dyDescent="0.25">
      <c r="A815" s="18"/>
      <c r="B815" s="18"/>
      <c r="C815" s="18"/>
      <c r="D815" s="7"/>
      <c r="E815" s="326"/>
      <c r="F815" s="1471"/>
      <c r="G815" s="1471"/>
      <c r="H815" s="1471"/>
      <c r="I815" s="1471"/>
      <c r="J815" s="1286"/>
      <c r="K815" s="1286"/>
      <c r="L815" s="1286"/>
      <c r="M815" s="1286"/>
      <c r="N815" s="188"/>
      <c r="O815" s="188"/>
      <c r="P815" s="330"/>
      <c r="Q815" s="330"/>
      <c r="R815" s="187"/>
      <c r="U815" s="331" t="str">
        <f ca="1">Calculos!CK$114</f>
        <v>-</v>
      </c>
      <c r="V815" s="332"/>
      <c r="W815" s="1"/>
    </row>
    <row r="816" spans="1:23" ht="20.100000000000001" customHeight="1" x14ac:dyDescent="0.25">
      <c r="A816" s="18"/>
      <c r="B816" s="18"/>
      <c r="C816" s="18"/>
      <c r="D816" s="7"/>
      <c r="E816" s="326"/>
      <c r="F816" s="1471"/>
      <c r="G816" s="1471"/>
      <c r="H816" s="1471"/>
      <c r="I816" s="1471"/>
      <c r="J816" s="1286"/>
      <c r="K816" s="1286"/>
      <c r="L816" s="1286"/>
      <c r="M816" s="1286"/>
      <c r="N816" s="188"/>
      <c r="O816" s="188"/>
      <c r="P816" s="330"/>
      <c r="Q816" s="330"/>
      <c r="R816" s="187"/>
      <c r="U816" s="331" t="str">
        <f ca="1">Calculos!CK$115</f>
        <v>-</v>
      </c>
      <c r="V816" s="332"/>
      <c r="W816" s="7"/>
    </row>
    <row r="817" spans="1:23" ht="20.100000000000001" customHeight="1" x14ac:dyDescent="0.25">
      <c r="A817" s="18"/>
      <c r="B817" s="18"/>
      <c r="C817" s="18"/>
      <c r="D817" s="7"/>
      <c r="E817" s="326"/>
      <c r="F817" s="1471"/>
      <c r="G817" s="1471"/>
      <c r="H817" s="1471"/>
      <c r="I817" s="1471"/>
      <c r="J817" s="1286"/>
      <c r="K817" s="1286"/>
      <c r="L817" s="1286"/>
      <c r="M817" s="1286"/>
      <c r="N817" s="188"/>
      <c r="O817" s="188"/>
      <c r="P817" s="330"/>
      <c r="Q817" s="330"/>
      <c r="R817" s="187"/>
      <c r="U817" s="331" t="str">
        <f ca="1">Calculos!CK$116</f>
        <v>-</v>
      </c>
      <c r="V817" s="332"/>
      <c r="W817" s="7"/>
    </row>
    <row r="818" spans="1:23" ht="20.100000000000001" customHeight="1" x14ac:dyDescent="0.25">
      <c r="A818" s="18"/>
      <c r="B818" s="18"/>
      <c r="C818" s="18"/>
      <c r="D818" s="7"/>
      <c r="E818" s="326"/>
      <c r="F818" s="1471"/>
      <c r="G818" s="1471"/>
      <c r="H818" s="1471"/>
      <c r="I818" s="1471"/>
      <c r="J818" s="1472" t="s">
        <v>80</v>
      </c>
      <c r="K818" s="1473"/>
      <c r="L818" s="1473"/>
      <c r="M818" s="1474"/>
      <c r="N818" s="188"/>
      <c r="O818" s="188"/>
      <c r="P818" s="330"/>
      <c r="Q818" s="330"/>
      <c r="R818" s="187" t="s">
        <v>10</v>
      </c>
      <c r="U818" s="331" t="str">
        <f ca="1">Calculos!CK$117</f>
        <v>-</v>
      </c>
      <c r="V818" s="332"/>
      <c r="W818" s="1"/>
    </row>
    <row r="819" spans="1:23" ht="20.100000000000001" customHeight="1" x14ac:dyDescent="0.25">
      <c r="A819" s="18"/>
      <c r="B819" s="18"/>
      <c r="C819" s="18"/>
      <c r="D819" s="7"/>
      <c r="E819" s="326"/>
      <c r="V819" s="332"/>
      <c r="W819" s="1"/>
    </row>
    <row r="820" spans="1:23" ht="20.100000000000001" hidden="1" customHeight="1" x14ac:dyDescent="0.25">
      <c r="A820" s="18"/>
      <c r="B820" s="18"/>
      <c r="C820" s="18"/>
      <c r="D820" s="7"/>
      <c r="E820" s="326"/>
      <c r="V820" s="332"/>
      <c r="W820" s="1"/>
    </row>
    <row r="821" spans="1:23" ht="20.100000000000001" hidden="1" customHeight="1" x14ac:dyDescent="0.25">
      <c r="A821" s="18"/>
      <c r="B821" s="18"/>
      <c r="C821" s="18"/>
      <c r="D821" s="7"/>
      <c r="E821" s="326"/>
      <c r="V821" s="332"/>
      <c r="W821" s="1"/>
    </row>
    <row r="822" spans="1:23" ht="20.100000000000001" customHeight="1" x14ac:dyDescent="0.25">
      <c r="A822" s="18"/>
      <c r="B822" s="18"/>
      <c r="C822" s="18"/>
      <c r="D822" s="7"/>
      <c r="E822" s="326"/>
      <c r="V822" s="332"/>
      <c r="W822" s="1"/>
    </row>
    <row r="823" spans="1:23" ht="45" customHeight="1" x14ac:dyDescent="0.25">
      <c r="A823" s="18"/>
      <c r="B823" s="18"/>
      <c r="C823" s="18"/>
      <c r="D823" s="7"/>
      <c r="E823" s="326"/>
      <c r="F823" s="1475" t="s">
        <v>8617</v>
      </c>
      <c r="G823" s="1476"/>
      <c r="H823" s="1476"/>
      <c r="I823" s="1476"/>
      <c r="J823" s="1476"/>
      <c r="K823" s="1476"/>
      <c r="L823" s="1476"/>
      <c r="M823" s="1476"/>
      <c r="N823" s="333" t="str">
        <f ca="1">"Concentração"&amp;" "&amp;Calculos!$BJ$3</f>
        <v>Concentração -</v>
      </c>
      <c r="O823" s="333" t="s">
        <v>6038</v>
      </c>
      <c r="P823" s="333" t="s">
        <v>8126</v>
      </c>
      <c r="Q823" s="333" t="s">
        <v>8028</v>
      </c>
      <c r="R823" s="333" t="s">
        <v>8603</v>
      </c>
      <c r="S823" s="333" t="s">
        <v>8127</v>
      </c>
      <c r="U823" s="328" t="s">
        <v>119</v>
      </c>
      <c r="V823" s="332"/>
      <c r="W823" s="1"/>
    </row>
    <row r="824" spans="1:23" ht="20.100000000000001" customHeight="1" x14ac:dyDescent="0.25">
      <c r="A824" s="18"/>
      <c r="B824" s="18"/>
      <c r="C824" s="18"/>
      <c r="D824" s="7"/>
      <c r="E824" s="326"/>
      <c r="F824" s="1471" t="str">
        <f ca="1">Calculos!$BJ$6</f>
        <v>-</v>
      </c>
      <c r="G824" s="1471"/>
      <c r="H824" s="1471"/>
      <c r="I824" s="1471"/>
      <c r="J824" s="1472" t="s">
        <v>7103</v>
      </c>
      <c r="K824" s="1473"/>
      <c r="L824" s="1473"/>
      <c r="M824" s="1474"/>
      <c r="N824" s="334"/>
      <c r="O824" s="334"/>
      <c r="P824" s="335"/>
      <c r="Q824" s="335"/>
      <c r="R824" s="335">
        <v>0</v>
      </c>
      <c r="S824" s="331">
        <f>O824/2</f>
        <v>0</v>
      </c>
      <c r="U824" s="331" t="str">
        <f ca="1">Calculos!CK$122</f>
        <v>-</v>
      </c>
      <c r="V824" s="332"/>
      <c r="W824" s="1"/>
    </row>
    <row r="825" spans="1:23" ht="20.100000000000001" customHeight="1" x14ac:dyDescent="0.25">
      <c r="A825" s="18"/>
      <c r="B825" s="18"/>
      <c r="C825" s="18"/>
      <c r="D825" s="7"/>
      <c r="E825" s="326"/>
      <c r="F825" s="1471"/>
      <c r="G825" s="1471"/>
      <c r="H825" s="1471"/>
      <c r="I825" s="1471"/>
      <c r="J825" s="1286" t="s">
        <v>8027</v>
      </c>
      <c r="K825" s="1286"/>
      <c r="L825" s="1286"/>
      <c r="M825" s="1286"/>
      <c r="N825" s="334"/>
      <c r="O825" s="334"/>
      <c r="P825" s="335"/>
      <c r="Q825" s="335"/>
      <c r="R825" s="335"/>
      <c r="U825" s="331" t="str">
        <f ca="1">Calculos!CK$123</f>
        <v>-</v>
      </c>
      <c r="V825" s="332"/>
      <c r="W825" s="1"/>
    </row>
    <row r="826" spans="1:23" ht="20.100000000000001" customHeight="1" x14ac:dyDescent="0.25">
      <c r="A826" s="18"/>
      <c r="B826" s="18"/>
      <c r="C826" s="18"/>
      <c r="D826" s="7"/>
      <c r="E826" s="326"/>
      <c r="F826" s="1471"/>
      <c r="G826" s="1471"/>
      <c r="H826" s="1471"/>
      <c r="I826" s="1471"/>
      <c r="J826" s="1286"/>
      <c r="K826" s="1286"/>
      <c r="L826" s="1286"/>
      <c r="M826" s="1286"/>
      <c r="N826" s="334"/>
      <c r="O826" s="334"/>
      <c r="P826" s="335"/>
      <c r="Q826" s="335"/>
      <c r="R826" s="335"/>
      <c r="U826" s="331" t="str">
        <f ca="1">Calculos!CK$124</f>
        <v>-</v>
      </c>
      <c r="V826" s="332"/>
      <c r="W826" s="1"/>
    </row>
    <row r="827" spans="1:23" ht="20.100000000000001" customHeight="1" x14ac:dyDescent="0.25">
      <c r="A827" s="18"/>
      <c r="B827" s="18"/>
      <c r="C827" s="18"/>
      <c r="D827" s="7"/>
      <c r="E827" s="326"/>
      <c r="F827" s="1471"/>
      <c r="G827" s="1471"/>
      <c r="H827" s="1471"/>
      <c r="I827" s="1471"/>
      <c r="J827" s="1286"/>
      <c r="K827" s="1286"/>
      <c r="L827" s="1286"/>
      <c r="M827" s="1286"/>
      <c r="N827" s="334"/>
      <c r="O827" s="334"/>
      <c r="P827" s="335"/>
      <c r="Q827" s="335"/>
      <c r="R827" s="335"/>
      <c r="U827" s="331" t="str">
        <f ca="1">Calculos!CK$125</f>
        <v>-</v>
      </c>
      <c r="V827" s="332"/>
      <c r="W827" s="1"/>
    </row>
    <row r="828" spans="1:23" ht="20.100000000000001" customHeight="1" x14ac:dyDescent="0.25">
      <c r="A828" s="18"/>
      <c r="B828" s="18"/>
      <c r="C828" s="18"/>
      <c r="D828" s="7"/>
      <c r="E828" s="326"/>
      <c r="F828" s="1471"/>
      <c r="G828" s="1471"/>
      <c r="H828" s="1471"/>
      <c r="I828" s="1471"/>
      <c r="J828" s="1286"/>
      <c r="K828" s="1286"/>
      <c r="L828" s="1286"/>
      <c r="M828" s="1286"/>
      <c r="N828" s="334"/>
      <c r="O828" s="334"/>
      <c r="P828" s="335"/>
      <c r="Q828" s="335"/>
      <c r="R828" s="335"/>
      <c r="U828" s="331" t="str">
        <f ca="1">Calculos!CK$126</f>
        <v>-</v>
      </c>
      <c r="V828" s="332"/>
      <c r="W828" s="1"/>
    </row>
    <row r="829" spans="1:23" ht="20.100000000000001" customHeight="1" x14ac:dyDescent="0.25">
      <c r="A829" s="18"/>
      <c r="B829" s="18"/>
      <c r="C829" s="18"/>
      <c r="D829" s="7"/>
      <c r="E829" s="326"/>
      <c r="F829" s="1471"/>
      <c r="G829" s="1471"/>
      <c r="H829" s="1471"/>
      <c r="I829" s="1471"/>
      <c r="J829" s="1286"/>
      <c r="K829" s="1286"/>
      <c r="L829" s="1286"/>
      <c r="M829" s="1286"/>
      <c r="N829" s="334"/>
      <c r="O829" s="334"/>
      <c r="P829" s="335"/>
      <c r="Q829" s="335"/>
      <c r="R829" s="335"/>
      <c r="U829" s="331" t="str">
        <f ca="1">Calculos!CK$127</f>
        <v>-</v>
      </c>
      <c r="V829" s="332"/>
      <c r="W829" s="1"/>
    </row>
    <row r="830" spans="1:23" ht="20.100000000000001" customHeight="1" x14ac:dyDescent="0.25">
      <c r="A830" s="18"/>
      <c r="B830" s="18"/>
      <c r="C830" s="18"/>
      <c r="D830" s="7"/>
      <c r="E830" s="326"/>
      <c r="F830" s="1471"/>
      <c r="G830" s="1471"/>
      <c r="H830" s="1471"/>
      <c r="I830" s="1471"/>
      <c r="J830" s="1286"/>
      <c r="K830" s="1286"/>
      <c r="L830" s="1286"/>
      <c r="M830" s="1286"/>
      <c r="N830" s="334"/>
      <c r="O830" s="334"/>
      <c r="P830" s="335"/>
      <c r="Q830" s="335"/>
      <c r="R830" s="335"/>
      <c r="U830" s="331" t="str">
        <f ca="1">Calculos!CK$128</f>
        <v>-</v>
      </c>
      <c r="V830" s="332"/>
      <c r="W830" s="1"/>
    </row>
    <row r="831" spans="1:23" ht="20.100000000000001" customHeight="1" x14ac:dyDescent="0.25">
      <c r="A831" s="18"/>
      <c r="B831" s="18"/>
      <c r="C831" s="18"/>
      <c r="D831" s="7"/>
      <c r="E831" s="326"/>
      <c r="F831" s="1471"/>
      <c r="G831" s="1471"/>
      <c r="H831" s="1471"/>
      <c r="I831" s="1471"/>
      <c r="J831" s="1286"/>
      <c r="K831" s="1286"/>
      <c r="L831" s="1286"/>
      <c r="M831" s="1286"/>
      <c r="N831" s="334"/>
      <c r="O831" s="334"/>
      <c r="P831" s="335"/>
      <c r="Q831" s="335"/>
      <c r="R831" s="335"/>
      <c r="U831" s="331" t="str">
        <f ca="1">Calculos!CK$129</f>
        <v>-</v>
      </c>
      <c r="V831" s="332"/>
      <c r="W831" s="1"/>
    </row>
    <row r="832" spans="1:23" ht="20.100000000000001" customHeight="1" x14ac:dyDescent="0.25">
      <c r="A832" s="18"/>
      <c r="B832" s="18"/>
      <c r="C832" s="18"/>
      <c r="D832" s="7"/>
      <c r="E832" s="326"/>
      <c r="F832" s="1471"/>
      <c r="G832" s="1471"/>
      <c r="H832" s="1471"/>
      <c r="I832" s="1471"/>
      <c r="J832" s="1286"/>
      <c r="K832" s="1286"/>
      <c r="L832" s="1286"/>
      <c r="M832" s="1286"/>
      <c r="N832" s="334"/>
      <c r="O832" s="334"/>
      <c r="P832" s="335"/>
      <c r="Q832" s="335"/>
      <c r="R832" s="335"/>
      <c r="U832" s="331" t="str">
        <f ca="1">Calculos!CK$130</f>
        <v>-</v>
      </c>
      <c r="V832" s="332"/>
      <c r="W832" s="1"/>
    </row>
    <row r="833" spans="1:23" ht="20.100000000000001" customHeight="1" x14ac:dyDescent="0.25">
      <c r="A833" s="18"/>
      <c r="B833" s="18"/>
      <c r="C833" s="18"/>
      <c r="D833" s="7"/>
      <c r="E833" s="326"/>
      <c r="F833" s="1471"/>
      <c r="G833" s="1471"/>
      <c r="H833" s="1471"/>
      <c r="I833" s="1471"/>
      <c r="J833" s="1286"/>
      <c r="K833" s="1286"/>
      <c r="L833" s="1286"/>
      <c r="M833" s="1286"/>
      <c r="N833" s="334"/>
      <c r="O833" s="334"/>
      <c r="P833" s="335"/>
      <c r="Q833" s="335"/>
      <c r="R833" s="335"/>
      <c r="U833" s="331" t="str">
        <f ca="1">Calculos!CK$131</f>
        <v>-</v>
      </c>
      <c r="V833" s="332"/>
      <c r="W833" s="7"/>
    </row>
    <row r="834" spans="1:23" ht="20.100000000000001" customHeight="1" x14ac:dyDescent="0.25">
      <c r="A834" s="18"/>
      <c r="B834" s="18"/>
      <c r="C834" s="18"/>
      <c r="D834" s="7"/>
      <c r="E834" s="326"/>
      <c r="F834" s="1471"/>
      <c r="G834" s="1471"/>
      <c r="H834" s="1471"/>
      <c r="I834" s="1471"/>
      <c r="J834" s="1286"/>
      <c r="K834" s="1286"/>
      <c r="L834" s="1286"/>
      <c r="M834" s="1286"/>
      <c r="N834" s="334"/>
      <c r="O834" s="334"/>
      <c r="P834" s="335"/>
      <c r="Q834" s="335"/>
      <c r="R834" s="335"/>
      <c r="U834" s="331" t="str">
        <f ca="1">Calculos!CK$132</f>
        <v>-</v>
      </c>
      <c r="V834" s="329"/>
      <c r="W834" s="7"/>
    </row>
    <row r="835" spans="1:23" ht="20.100000000000001" customHeight="1" x14ac:dyDescent="0.25">
      <c r="A835" s="18"/>
      <c r="B835" s="18"/>
      <c r="C835" s="18"/>
      <c r="D835" s="7"/>
      <c r="E835" s="326"/>
      <c r="F835" s="1471"/>
      <c r="G835" s="1471"/>
      <c r="H835" s="1471"/>
      <c r="I835" s="1471"/>
      <c r="J835" s="1472" t="s">
        <v>80</v>
      </c>
      <c r="K835" s="1473"/>
      <c r="L835" s="1473"/>
      <c r="M835" s="1474"/>
      <c r="N835" s="334"/>
      <c r="O835" s="334"/>
      <c r="P835" s="335"/>
      <c r="Q835" s="335"/>
      <c r="R835" s="335" t="s">
        <v>10</v>
      </c>
      <c r="U835" s="331" t="str">
        <f ca="1">Calculos!CK$133</f>
        <v>-</v>
      </c>
      <c r="V835" s="329"/>
      <c r="W835" s="1"/>
    </row>
    <row r="836" spans="1:23" ht="20.100000000000001" hidden="1" customHeight="1" x14ac:dyDescent="0.25">
      <c r="A836" s="18"/>
      <c r="B836" s="18"/>
      <c r="C836" s="18"/>
      <c r="D836" s="7"/>
      <c r="E836" s="326"/>
      <c r="V836" s="329"/>
      <c r="W836" s="1"/>
    </row>
    <row r="837" spans="1:23" ht="20.100000000000001" customHeight="1" x14ac:dyDescent="0.25">
      <c r="A837" s="18"/>
      <c r="B837" s="18"/>
      <c r="C837" s="18"/>
      <c r="D837" s="7"/>
      <c r="E837" s="336"/>
      <c r="F837" s="337"/>
      <c r="G837" s="337"/>
      <c r="H837" s="337"/>
      <c r="I837" s="337"/>
      <c r="J837" s="337"/>
      <c r="K837" s="337"/>
      <c r="L837" s="337"/>
      <c r="M837" s="337"/>
      <c r="N837" s="337"/>
      <c r="O837" s="337"/>
      <c r="P837" s="337"/>
      <c r="Q837" s="337"/>
      <c r="R837" s="337"/>
      <c r="S837" s="337"/>
      <c r="T837" s="337"/>
      <c r="U837" s="337"/>
      <c r="V837" s="338"/>
      <c r="W837" s="1"/>
    </row>
    <row r="838" spans="1:23" ht="30" customHeight="1" x14ac:dyDescent="0.25">
      <c r="A838" s="18"/>
      <c r="B838" s="18"/>
      <c r="C838" s="18"/>
      <c r="D838" s="7"/>
      <c r="E838" s="7"/>
      <c r="F838" s="7"/>
      <c r="G838" s="7"/>
      <c r="H838" s="7"/>
      <c r="I838" s="7"/>
      <c r="J838" s="7"/>
      <c r="K838" s="7"/>
      <c r="L838" s="7"/>
      <c r="M838" s="7"/>
      <c r="N838" s="7"/>
      <c r="O838" s="7"/>
      <c r="P838" s="7"/>
      <c r="Q838" s="7"/>
      <c r="R838" s="7"/>
      <c r="S838" s="7"/>
      <c r="T838" s="7"/>
      <c r="U838" s="7"/>
      <c r="V838" s="7"/>
      <c r="W838" s="1"/>
    </row>
    <row r="839" spans="1:23" ht="20.100000000000001" customHeight="1" x14ac:dyDescent="0.25">
      <c r="A839" s="18"/>
      <c r="B839" s="18"/>
      <c r="C839" s="18"/>
      <c r="D839" s="7"/>
      <c r="E839" s="321"/>
      <c r="F839" s="322"/>
      <c r="G839" s="323"/>
      <c r="H839" s="323"/>
      <c r="I839" s="323"/>
      <c r="J839" s="323"/>
      <c r="K839" s="323"/>
      <c r="L839" s="323"/>
      <c r="M839" s="323"/>
      <c r="N839" s="323"/>
      <c r="O839" s="323"/>
      <c r="P839" s="323"/>
      <c r="Q839" s="323"/>
      <c r="R839" s="323"/>
      <c r="S839" s="339"/>
      <c r="T839" s="339"/>
      <c r="U839" s="340"/>
      <c r="V839" s="325"/>
      <c r="W839" s="1"/>
    </row>
    <row r="840" spans="1:23" ht="45" customHeight="1" x14ac:dyDescent="0.25">
      <c r="A840" s="18"/>
      <c r="B840" s="18"/>
      <c r="C840" s="18"/>
      <c r="D840" s="7"/>
      <c r="E840" s="326"/>
      <c r="F840" s="1469" t="s">
        <v>8609</v>
      </c>
      <c r="G840" s="1470"/>
      <c r="H840" s="1470"/>
      <c r="I840" s="1470"/>
      <c r="J840" s="1470"/>
      <c r="K840" s="1470"/>
      <c r="L840" s="1470"/>
      <c r="M840" s="1470"/>
      <c r="N840" s="327" t="str">
        <f ca="1">"Concentração"&amp;" "&amp;Calculos!$BJ$3</f>
        <v>Concentração -</v>
      </c>
      <c r="O840" s="327" t="s">
        <v>6038</v>
      </c>
      <c r="P840" s="327" t="s">
        <v>8126</v>
      </c>
      <c r="Q840" s="327" t="s">
        <v>8028</v>
      </c>
      <c r="R840" s="327" t="s">
        <v>8603</v>
      </c>
      <c r="S840" s="327" t="s">
        <v>8127</v>
      </c>
      <c r="U840" s="328" t="s">
        <v>119</v>
      </c>
      <c r="V840" s="332"/>
      <c r="W840" s="1"/>
    </row>
    <row r="841" spans="1:23" ht="20.100000000000001" customHeight="1" x14ac:dyDescent="0.25">
      <c r="A841" s="18"/>
      <c r="B841" s="18"/>
      <c r="C841" s="18"/>
      <c r="D841" s="7"/>
      <c r="E841" s="326"/>
      <c r="F841" s="1471" t="str">
        <f ca="1">Calculos!$BJ$6</f>
        <v>-</v>
      </c>
      <c r="G841" s="1471"/>
      <c r="H841" s="1471"/>
      <c r="I841" s="1471"/>
      <c r="J841" s="1472" t="s">
        <v>7103</v>
      </c>
      <c r="K841" s="1473"/>
      <c r="L841" s="1473"/>
      <c r="M841" s="1474"/>
      <c r="N841" s="188"/>
      <c r="O841" s="188"/>
      <c r="P841" s="330"/>
      <c r="Q841" s="330"/>
      <c r="R841" s="187">
        <v>0</v>
      </c>
      <c r="S841" s="331">
        <f>O841/2</f>
        <v>0</v>
      </c>
      <c r="U841" s="331" t="str">
        <f ca="1">Calculos!CK$138</f>
        <v>-</v>
      </c>
      <c r="V841" s="332"/>
      <c r="W841" s="1"/>
    </row>
    <row r="842" spans="1:23" ht="20.100000000000001" customHeight="1" x14ac:dyDescent="0.25">
      <c r="A842" s="18"/>
      <c r="B842" s="18"/>
      <c r="C842" s="18"/>
      <c r="D842" s="7"/>
      <c r="E842" s="326"/>
      <c r="F842" s="1471"/>
      <c r="G842" s="1471"/>
      <c r="H842" s="1471"/>
      <c r="I842" s="1471"/>
      <c r="J842" s="1286" t="s">
        <v>8027</v>
      </c>
      <c r="K842" s="1286"/>
      <c r="L842" s="1286"/>
      <c r="M842" s="1286"/>
      <c r="N842" s="188"/>
      <c r="O842" s="188"/>
      <c r="P842" s="330"/>
      <c r="Q842" s="330"/>
      <c r="R842" s="187"/>
      <c r="U842" s="331" t="str">
        <f ca="1">Calculos!CK$139</f>
        <v>-</v>
      </c>
      <c r="V842" s="332"/>
      <c r="W842" s="1"/>
    </row>
    <row r="843" spans="1:23" ht="20.100000000000001" customHeight="1" x14ac:dyDescent="0.25">
      <c r="A843" s="18"/>
      <c r="B843" s="18"/>
      <c r="C843" s="18"/>
      <c r="D843" s="7"/>
      <c r="E843" s="326"/>
      <c r="F843" s="1471"/>
      <c r="G843" s="1471"/>
      <c r="H843" s="1471"/>
      <c r="I843" s="1471"/>
      <c r="J843" s="1286"/>
      <c r="K843" s="1286"/>
      <c r="L843" s="1286"/>
      <c r="M843" s="1286"/>
      <c r="N843" s="188"/>
      <c r="O843" s="188"/>
      <c r="P843" s="330"/>
      <c r="Q843" s="330"/>
      <c r="R843" s="187"/>
      <c r="U843" s="331" t="str">
        <f ca="1">Calculos!CK$140</f>
        <v>-</v>
      </c>
      <c r="V843" s="332"/>
      <c r="W843" s="1"/>
    </row>
    <row r="844" spans="1:23" ht="20.100000000000001" customHeight="1" x14ac:dyDescent="0.25">
      <c r="A844" s="18"/>
      <c r="B844" s="18"/>
      <c r="C844" s="18"/>
      <c r="D844" s="7"/>
      <c r="E844" s="326"/>
      <c r="F844" s="1471"/>
      <c r="G844" s="1471"/>
      <c r="H844" s="1471"/>
      <c r="I844" s="1471"/>
      <c r="J844" s="1286"/>
      <c r="K844" s="1286"/>
      <c r="L844" s="1286"/>
      <c r="M844" s="1286"/>
      <c r="N844" s="188"/>
      <c r="O844" s="188"/>
      <c r="P844" s="330"/>
      <c r="Q844" s="330"/>
      <c r="R844" s="187"/>
      <c r="U844" s="331" t="str">
        <f ca="1">Calculos!CK$141</f>
        <v>-</v>
      </c>
      <c r="V844" s="332"/>
      <c r="W844" s="1"/>
    </row>
    <row r="845" spans="1:23" ht="20.100000000000001" customHeight="1" x14ac:dyDescent="0.25">
      <c r="A845" s="18"/>
      <c r="B845" s="18"/>
      <c r="C845" s="18"/>
      <c r="D845" s="7"/>
      <c r="E845" s="326"/>
      <c r="F845" s="1471"/>
      <c r="G845" s="1471"/>
      <c r="H845" s="1471"/>
      <c r="I845" s="1471"/>
      <c r="J845" s="1286"/>
      <c r="K845" s="1286"/>
      <c r="L845" s="1286"/>
      <c r="M845" s="1286"/>
      <c r="N845" s="188"/>
      <c r="O845" s="188"/>
      <c r="P845" s="330"/>
      <c r="Q845" s="330"/>
      <c r="R845" s="187"/>
      <c r="U845" s="331" t="str">
        <f ca="1">Calculos!CK$142</f>
        <v>-</v>
      </c>
      <c r="V845" s="332"/>
      <c r="W845" s="1"/>
    </row>
    <row r="846" spans="1:23" ht="20.100000000000001" customHeight="1" x14ac:dyDescent="0.25">
      <c r="A846" s="18"/>
      <c r="B846" s="18"/>
      <c r="C846" s="18"/>
      <c r="D846" s="7"/>
      <c r="E846" s="326"/>
      <c r="F846" s="1471"/>
      <c r="G846" s="1471"/>
      <c r="H846" s="1471"/>
      <c r="I846" s="1471"/>
      <c r="J846" s="1286"/>
      <c r="K846" s="1286"/>
      <c r="L846" s="1286"/>
      <c r="M846" s="1286"/>
      <c r="N846" s="188"/>
      <c r="O846" s="188"/>
      <c r="P846" s="330"/>
      <c r="Q846" s="330"/>
      <c r="R846" s="187"/>
      <c r="U846" s="331" t="str">
        <f ca="1">Calculos!CK$143</f>
        <v>-</v>
      </c>
      <c r="V846" s="332"/>
      <c r="W846" s="1"/>
    </row>
    <row r="847" spans="1:23" ht="20.100000000000001" customHeight="1" x14ac:dyDescent="0.25">
      <c r="A847" s="18"/>
      <c r="B847" s="18"/>
      <c r="C847" s="18"/>
      <c r="D847" s="7"/>
      <c r="E847" s="326"/>
      <c r="F847" s="1471"/>
      <c r="G847" s="1471"/>
      <c r="H847" s="1471"/>
      <c r="I847" s="1471"/>
      <c r="J847" s="1286"/>
      <c r="K847" s="1286"/>
      <c r="L847" s="1286"/>
      <c r="M847" s="1286"/>
      <c r="N847" s="188"/>
      <c r="O847" s="188"/>
      <c r="P847" s="330"/>
      <c r="Q847" s="330"/>
      <c r="R847" s="187"/>
      <c r="U847" s="331" t="str">
        <f ca="1">Calculos!CK$144</f>
        <v>-</v>
      </c>
      <c r="V847" s="332"/>
      <c r="W847" s="1"/>
    </row>
    <row r="848" spans="1:23" ht="20.100000000000001" customHeight="1" x14ac:dyDescent="0.25">
      <c r="A848" s="18"/>
      <c r="B848" s="18"/>
      <c r="C848" s="18"/>
      <c r="D848" s="7"/>
      <c r="E848" s="326"/>
      <c r="F848" s="1471"/>
      <c r="G848" s="1471"/>
      <c r="H848" s="1471"/>
      <c r="I848" s="1471"/>
      <c r="J848" s="1286"/>
      <c r="K848" s="1286"/>
      <c r="L848" s="1286"/>
      <c r="M848" s="1286"/>
      <c r="N848" s="188"/>
      <c r="O848" s="188"/>
      <c r="P848" s="330"/>
      <c r="Q848" s="330"/>
      <c r="R848" s="187"/>
      <c r="U848" s="331" t="str">
        <f ca="1">Calculos!CK$145</f>
        <v>-</v>
      </c>
      <c r="V848" s="332"/>
      <c r="W848" s="7"/>
    </row>
    <row r="849" spans="1:23" ht="20.100000000000001" customHeight="1" x14ac:dyDescent="0.25">
      <c r="A849" s="18"/>
      <c r="B849" s="18"/>
      <c r="C849" s="18"/>
      <c r="D849" s="7"/>
      <c r="E849" s="326"/>
      <c r="F849" s="1471"/>
      <c r="G849" s="1471"/>
      <c r="H849" s="1471"/>
      <c r="I849" s="1471"/>
      <c r="J849" s="1286"/>
      <c r="K849" s="1286"/>
      <c r="L849" s="1286"/>
      <c r="M849" s="1286"/>
      <c r="N849" s="188"/>
      <c r="O849" s="188"/>
      <c r="P849" s="330"/>
      <c r="Q849" s="330"/>
      <c r="R849" s="187"/>
      <c r="U849" s="331" t="str">
        <f ca="1">Calculos!CK$146</f>
        <v>-</v>
      </c>
      <c r="V849" s="332"/>
      <c r="W849" s="1"/>
    </row>
    <row r="850" spans="1:23" ht="20.100000000000001" customHeight="1" x14ac:dyDescent="0.25">
      <c r="A850" s="18"/>
      <c r="B850" s="18"/>
      <c r="C850" s="18"/>
      <c r="D850" s="7"/>
      <c r="E850" s="326"/>
      <c r="F850" s="1471"/>
      <c r="G850" s="1471"/>
      <c r="H850" s="1471"/>
      <c r="I850" s="1471"/>
      <c r="J850" s="1286"/>
      <c r="K850" s="1286"/>
      <c r="L850" s="1286"/>
      <c r="M850" s="1286"/>
      <c r="N850" s="188"/>
      <c r="O850" s="188"/>
      <c r="P850" s="330"/>
      <c r="Q850" s="330"/>
      <c r="R850" s="187"/>
      <c r="U850" s="331" t="str">
        <f ca="1">Calculos!CK$147</f>
        <v>-</v>
      </c>
      <c r="V850" s="332"/>
      <c r="W850" s="7"/>
    </row>
    <row r="851" spans="1:23" ht="20.100000000000001" customHeight="1" x14ac:dyDescent="0.25">
      <c r="A851" s="18"/>
      <c r="B851" s="18"/>
      <c r="C851" s="18"/>
      <c r="D851" s="7"/>
      <c r="E851" s="326"/>
      <c r="F851" s="1471"/>
      <c r="G851" s="1471"/>
      <c r="H851" s="1471"/>
      <c r="I851" s="1471"/>
      <c r="J851" s="1286"/>
      <c r="K851" s="1286"/>
      <c r="L851" s="1286"/>
      <c r="M851" s="1286"/>
      <c r="N851" s="188"/>
      <c r="O851" s="188"/>
      <c r="P851" s="330"/>
      <c r="Q851" s="330"/>
      <c r="R851" s="187"/>
      <c r="U851" s="331" t="str">
        <f ca="1">Calculos!CK$148</f>
        <v>-</v>
      </c>
      <c r="V851" s="332"/>
      <c r="W851" s="7"/>
    </row>
    <row r="852" spans="1:23" ht="20.100000000000001" customHeight="1" x14ac:dyDescent="0.25">
      <c r="A852" s="18"/>
      <c r="B852" s="18"/>
      <c r="C852" s="18"/>
      <c r="D852" s="7"/>
      <c r="E852" s="326"/>
      <c r="F852" s="1471"/>
      <c r="G852" s="1471"/>
      <c r="H852" s="1471"/>
      <c r="I852" s="1471"/>
      <c r="J852" s="1472" t="s">
        <v>80</v>
      </c>
      <c r="K852" s="1473"/>
      <c r="L852" s="1473"/>
      <c r="M852" s="1474"/>
      <c r="N852" s="188"/>
      <c r="O852" s="188"/>
      <c r="P852" s="330"/>
      <c r="Q852" s="330"/>
      <c r="R852" s="187" t="s">
        <v>10</v>
      </c>
      <c r="U852" s="331" t="str">
        <f ca="1">Calculos!CK$149</f>
        <v>-</v>
      </c>
      <c r="V852" s="332"/>
      <c r="W852" s="1"/>
    </row>
    <row r="853" spans="1:23" ht="20.100000000000001" customHeight="1" x14ac:dyDescent="0.25">
      <c r="A853" s="18"/>
      <c r="B853" s="18"/>
      <c r="C853" s="18"/>
      <c r="D853" s="7"/>
      <c r="E853" s="326"/>
      <c r="V853" s="332"/>
      <c r="W853" s="1"/>
    </row>
    <row r="854" spans="1:23" ht="20.100000000000001" hidden="1" customHeight="1" x14ac:dyDescent="0.25">
      <c r="A854" s="18"/>
      <c r="B854" s="18"/>
      <c r="C854" s="18"/>
      <c r="D854" s="7"/>
      <c r="E854" s="326"/>
      <c r="V854" s="332"/>
      <c r="W854" s="1"/>
    </row>
    <row r="855" spans="1:23" ht="20.100000000000001" hidden="1" customHeight="1" x14ac:dyDescent="0.25">
      <c r="A855" s="18"/>
      <c r="B855" s="18"/>
      <c r="C855" s="18"/>
      <c r="D855" s="7"/>
      <c r="E855" s="326"/>
      <c r="V855" s="332"/>
      <c r="W855" s="1"/>
    </row>
    <row r="856" spans="1:23" ht="20.100000000000001" customHeight="1" x14ac:dyDescent="0.25">
      <c r="A856" s="18"/>
      <c r="B856" s="18"/>
      <c r="C856" s="18"/>
      <c r="D856" s="7"/>
      <c r="E856" s="326"/>
      <c r="V856" s="332"/>
      <c r="W856" s="1"/>
    </row>
    <row r="857" spans="1:23" ht="45" customHeight="1" x14ac:dyDescent="0.25">
      <c r="A857" s="18"/>
      <c r="B857" s="18"/>
      <c r="C857" s="18"/>
      <c r="D857" s="7"/>
      <c r="E857" s="326"/>
      <c r="F857" s="1475" t="s">
        <v>8618</v>
      </c>
      <c r="G857" s="1476"/>
      <c r="H857" s="1476"/>
      <c r="I857" s="1476"/>
      <c r="J857" s="1476"/>
      <c r="K857" s="1476"/>
      <c r="L857" s="1476"/>
      <c r="M857" s="1476"/>
      <c r="N857" s="333" t="str">
        <f ca="1">"Concentração"&amp;" "&amp;Calculos!$BJ$3</f>
        <v>Concentração -</v>
      </c>
      <c r="O857" s="333" t="s">
        <v>6038</v>
      </c>
      <c r="P857" s="333" t="s">
        <v>8126</v>
      </c>
      <c r="Q857" s="333" t="s">
        <v>8028</v>
      </c>
      <c r="R857" s="333" t="s">
        <v>8603</v>
      </c>
      <c r="S857" s="333" t="s">
        <v>8127</v>
      </c>
      <c r="U857" s="328" t="s">
        <v>119</v>
      </c>
      <c r="V857" s="332"/>
      <c r="W857" s="1"/>
    </row>
    <row r="858" spans="1:23" ht="20.100000000000001" customHeight="1" x14ac:dyDescent="0.25">
      <c r="A858" s="18"/>
      <c r="B858" s="18"/>
      <c r="C858" s="18"/>
      <c r="D858" s="7"/>
      <c r="E858" s="326"/>
      <c r="F858" s="1471" t="str">
        <f ca="1">Calculos!$BJ$6</f>
        <v>-</v>
      </c>
      <c r="G858" s="1471"/>
      <c r="H858" s="1471"/>
      <c r="I858" s="1471"/>
      <c r="J858" s="1472" t="s">
        <v>7103</v>
      </c>
      <c r="K858" s="1473"/>
      <c r="L858" s="1473"/>
      <c r="M858" s="1474"/>
      <c r="N858" s="334"/>
      <c r="O858" s="334"/>
      <c r="P858" s="335"/>
      <c r="Q858" s="335"/>
      <c r="R858" s="335">
        <v>0</v>
      </c>
      <c r="S858" s="331">
        <f>O858/2</f>
        <v>0</v>
      </c>
      <c r="U858" s="331" t="str">
        <f ca="1">Calculos!CK$154</f>
        <v>-</v>
      </c>
      <c r="V858" s="332"/>
      <c r="W858" s="1"/>
    </row>
    <row r="859" spans="1:23" ht="20.100000000000001" customHeight="1" x14ac:dyDescent="0.25">
      <c r="A859" s="18"/>
      <c r="B859" s="18"/>
      <c r="C859" s="18"/>
      <c r="D859" s="7"/>
      <c r="E859" s="326"/>
      <c r="F859" s="1471"/>
      <c r="G859" s="1471"/>
      <c r="H859" s="1471"/>
      <c r="I859" s="1471"/>
      <c r="J859" s="1286" t="s">
        <v>8027</v>
      </c>
      <c r="K859" s="1286"/>
      <c r="L859" s="1286"/>
      <c r="M859" s="1286"/>
      <c r="N859" s="334"/>
      <c r="O859" s="334"/>
      <c r="P859" s="335"/>
      <c r="Q859" s="335"/>
      <c r="R859" s="335"/>
      <c r="U859" s="331" t="str">
        <f ca="1">Calculos!CK$155</f>
        <v>-</v>
      </c>
      <c r="V859" s="332"/>
      <c r="W859" s="1"/>
    </row>
    <row r="860" spans="1:23" ht="20.100000000000001" customHeight="1" x14ac:dyDescent="0.25">
      <c r="A860" s="18"/>
      <c r="B860" s="18"/>
      <c r="C860" s="18"/>
      <c r="D860" s="7"/>
      <c r="E860" s="326"/>
      <c r="F860" s="1471"/>
      <c r="G860" s="1471"/>
      <c r="H860" s="1471"/>
      <c r="I860" s="1471"/>
      <c r="J860" s="1286"/>
      <c r="K860" s="1286"/>
      <c r="L860" s="1286"/>
      <c r="M860" s="1286"/>
      <c r="N860" s="334"/>
      <c r="O860" s="334"/>
      <c r="P860" s="335"/>
      <c r="Q860" s="335"/>
      <c r="R860" s="335"/>
      <c r="U860" s="331" t="str">
        <f ca="1">Calculos!CK$156</f>
        <v>-</v>
      </c>
      <c r="V860" s="332"/>
      <c r="W860" s="1"/>
    </row>
    <row r="861" spans="1:23" ht="20.100000000000001" customHeight="1" x14ac:dyDescent="0.25">
      <c r="A861" s="18"/>
      <c r="B861" s="18"/>
      <c r="C861" s="18"/>
      <c r="D861" s="7"/>
      <c r="E861" s="326"/>
      <c r="F861" s="1471"/>
      <c r="G861" s="1471"/>
      <c r="H861" s="1471"/>
      <c r="I861" s="1471"/>
      <c r="J861" s="1286"/>
      <c r="K861" s="1286"/>
      <c r="L861" s="1286"/>
      <c r="M861" s="1286"/>
      <c r="N861" s="334"/>
      <c r="O861" s="334"/>
      <c r="P861" s="335"/>
      <c r="Q861" s="335"/>
      <c r="R861" s="335"/>
      <c r="U861" s="331" t="str">
        <f ca="1">Calculos!CK$157</f>
        <v>-</v>
      </c>
      <c r="V861" s="332"/>
      <c r="W861" s="1"/>
    </row>
    <row r="862" spans="1:23" ht="20.100000000000001" customHeight="1" x14ac:dyDescent="0.25">
      <c r="A862" s="18"/>
      <c r="B862" s="18"/>
      <c r="C862" s="18"/>
      <c r="D862" s="7"/>
      <c r="E862" s="326"/>
      <c r="F862" s="1471"/>
      <c r="G862" s="1471"/>
      <c r="H862" s="1471"/>
      <c r="I862" s="1471"/>
      <c r="J862" s="1286"/>
      <c r="K862" s="1286"/>
      <c r="L862" s="1286"/>
      <c r="M862" s="1286"/>
      <c r="N862" s="334"/>
      <c r="O862" s="334"/>
      <c r="P862" s="335"/>
      <c r="Q862" s="335"/>
      <c r="R862" s="335"/>
      <c r="U862" s="331" t="str">
        <f ca="1">Calculos!CK$158</f>
        <v>-</v>
      </c>
      <c r="V862" s="332"/>
      <c r="W862" s="1"/>
    </row>
    <row r="863" spans="1:23" ht="20.100000000000001" customHeight="1" x14ac:dyDescent="0.25">
      <c r="A863" s="18"/>
      <c r="B863" s="18"/>
      <c r="C863" s="18"/>
      <c r="D863" s="7"/>
      <c r="E863" s="326"/>
      <c r="F863" s="1471"/>
      <c r="G863" s="1471"/>
      <c r="H863" s="1471"/>
      <c r="I863" s="1471"/>
      <c r="J863" s="1286"/>
      <c r="K863" s="1286"/>
      <c r="L863" s="1286"/>
      <c r="M863" s="1286"/>
      <c r="N863" s="334"/>
      <c r="O863" s="334"/>
      <c r="P863" s="335"/>
      <c r="Q863" s="335"/>
      <c r="R863" s="335"/>
      <c r="U863" s="331" t="str">
        <f ca="1">Calculos!CK$159</f>
        <v>-</v>
      </c>
      <c r="V863" s="332"/>
      <c r="W863" s="1"/>
    </row>
    <row r="864" spans="1:23" ht="20.100000000000001" customHeight="1" x14ac:dyDescent="0.25">
      <c r="A864" s="18"/>
      <c r="B864" s="18"/>
      <c r="C864" s="18"/>
      <c r="D864" s="7"/>
      <c r="E864" s="326"/>
      <c r="F864" s="1471"/>
      <c r="G864" s="1471"/>
      <c r="H864" s="1471"/>
      <c r="I864" s="1471"/>
      <c r="J864" s="1286"/>
      <c r="K864" s="1286"/>
      <c r="L864" s="1286"/>
      <c r="M864" s="1286"/>
      <c r="N864" s="334"/>
      <c r="O864" s="334"/>
      <c r="P864" s="335"/>
      <c r="Q864" s="335"/>
      <c r="R864" s="335"/>
      <c r="U864" s="331" t="str">
        <f ca="1">Calculos!CK$160</f>
        <v>-</v>
      </c>
      <c r="V864" s="332"/>
      <c r="W864" s="1"/>
    </row>
    <row r="865" spans="1:23" ht="20.100000000000001" customHeight="1" x14ac:dyDescent="0.25">
      <c r="A865" s="18"/>
      <c r="B865" s="18"/>
      <c r="C865" s="18"/>
      <c r="D865" s="7"/>
      <c r="E865" s="326"/>
      <c r="F865" s="1471"/>
      <c r="G865" s="1471"/>
      <c r="H865" s="1471"/>
      <c r="I865" s="1471"/>
      <c r="J865" s="1286"/>
      <c r="K865" s="1286"/>
      <c r="L865" s="1286"/>
      <c r="M865" s="1286"/>
      <c r="N865" s="334"/>
      <c r="O865" s="334"/>
      <c r="P865" s="335"/>
      <c r="Q865" s="335"/>
      <c r="R865" s="335"/>
      <c r="U865" s="331" t="str">
        <f ca="1">Calculos!CK$161</f>
        <v>-</v>
      </c>
      <c r="V865" s="332"/>
      <c r="W865" s="1"/>
    </row>
    <row r="866" spans="1:23" ht="20.100000000000001" customHeight="1" x14ac:dyDescent="0.25">
      <c r="A866" s="18"/>
      <c r="B866" s="18"/>
      <c r="C866" s="18"/>
      <c r="D866" s="7"/>
      <c r="E866" s="326"/>
      <c r="F866" s="1471"/>
      <c r="G866" s="1471"/>
      <c r="H866" s="1471"/>
      <c r="I866" s="1471"/>
      <c r="J866" s="1286"/>
      <c r="K866" s="1286"/>
      <c r="L866" s="1286"/>
      <c r="M866" s="1286"/>
      <c r="N866" s="334"/>
      <c r="O866" s="334"/>
      <c r="P866" s="335"/>
      <c r="Q866" s="335"/>
      <c r="R866" s="335"/>
      <c r="U866" s="331" t="str">
        <f ca="1">Calculos!CK$162</f>
        <v>-</v>
      </c>
      <c r="V866" s="332"/>
      <c r="W866" s="1"/>
    </row>
    <row r="867" spans="1:23" ht="20.100000000000001" customHeight="1" x14ac:dyDescent="0.25">
      <c r="A867" s="18"/>
      <c r="B867" s="18"/>
      <c r="C867" s="18"/>
      <c r="D867" s="7"/>
      <c r="E867" s="326"/>
      <c r="F867" s="1471"/>
      <c r="G867" s="1471"/>
      <c r="H867" s="1471"/>
      <c r="I867" s="1471"/>
      <c r="J867" s="1286"/>
      <c r="K867" s="1286"/>
      <c r="L867" s="1286"/>
      <c r="M867" s="1286"/>
      <c r="N867" s="334"/>
      <c r="O867" s="334"/>
      <c r="P867" s="335"/>
      <c r="Q867" s="335"/>
      <c r="R867" s="335"/>
      <c r="U867" s="331" t="str">
        <f ca="1">Calculos!CK$163</f>
        <v>-</v>
      </c>
      <c r="V867" s="332"/>
      <c r="W867" s="7"/>
    </row>
    <row r="868" spans="1:23" ht="20.100000000000001" customHeight="1" x14ac:dyDescent="0.25">
      <c r="A868" s="18"/>
      <c r="B868" s="18"/>
      <c r="C868" s="18"/>
      <c r="D868" s="7"/>
      <c r="E868" s="326"/>
      <c r="F868" s="1471"/>
      <c r="G868" s="1471"/>
      <c r="H868" s="1471"/>
      <c r="I868" s="1471"/>
      <c r="J868" s="1286"/>
      <c r="K868" s="1286"/>
      <c r="L868" s="1286"/>
      <c r="M868" s="1286"/>
      <c r="N868" s="334"/>
      <c r="O868" s="334"/>
      <c r="P868" s="335"/>
      <c r="Q868" s="335"/>
      <c r="R868" s="335"/>
      <c r="U868" s="331" t="str">
        <f ca="1">Calculos!CK$164</f>
        <v>-</v>
      </c>
      <c r="V868" s="329"/>
      <c r="W868" s="7"/>
    </row>
    <row r="869" spans="1:23" ht="20.100000000000001" customHeight="1" x14ac:dyDescent="0.25">
      <c r="A869" s="18"/>
      <c r="B869" s="18"/>
      <c r="C869" s="18"/>
      <c r="D869" s="7"/>
      <c r="E869" s="326"/>
      <c r="F869" s="1471"/>
      <c r="G869" s="1471"/>
      <c r="H869" s="1471"/>
      <c r="I869" s="1471"/>
      <c r="J869" s="1472" t="s">
        <v>80</v>
      </c>
      <c r="K869" s="1473"/>
      <c r="L869" s="1473"/>
      <c r="M869" s="1474"/>
      <c r="N869" s="334"/>
      <c r="O869" s="334"/>
      <c r="P869" s="335"/>
      <c r="Q869" s="335"/>
      <c r="R869" s="335" t="s">
        <v>10</v>
      </c>
      <c r="U869" s="331" t="str">
        <f ca="1">Calculos!CK$165</f>
        <v>-</v>
      </c>
      <c r="V869" s="329"/>
      <c r="W869" s="1"/>
    </row>
    <row r="870" spans="1:23" ht="20.100000000000001" hidden="1" customHeight="1" x14ac:dyDescent="0.25">
      <c r="A870" s="18"/>
      <c r="B870" s="18"/>
      <c r="C870" s="18"/>
      <c r="D870" s="7"/>
      <c r="E870" s="326"/>
      <c r="V870" s="329"/>
      <c r="W870" s="1"/>
    </row>
    <row r="871" spans="1:23" ht="20.100000000000001" customHeight="1" x14ac:dyDescent="0.25">
      <c r="A871" s="18"/>
      <c r="B871" s="18"/>
      <c r="C871" s="18"/>
      <c r="D871" s="7"/>
      <c r="E871" s="336"/>
      <c r="F871" s="337"/>
      <c r="G871" s="337"/>
      <c r="H871" s="337"/>
      <c r="I871" s="337"/>
      <c r="J871" s="337"/>
      <c r="K871" s="337"/>
      <c r="L871" s="337"/>
      <c r="M871" s="337"/>
      <c r="N871" s="337"/>
      <c r="O871" s="337"/>
      <c r="P871" s="337"/>
      <c r="Q871" s="337"/>
      <c r="R871" s="337"/>
      <c r="S871" s="337"/>
      <c r="T871" s="337"/>
      <c r="U871" s="337"/>
      <c r="V871" s="338"/>
      <c r="W871" s="1"/>
    </row>
    <row r="872" spans="1:23" ht="30" customHeight="1" x14ac:dyDescent="0.25">
      <c r="A872" s="18"/>
      <c r="B872" s="18"/>
      <c r="C872" s="18"/>
      <c r="D872" s="7"/>
      <c r="E872" s="1"/>
      <c r="F872" s="1"/>
      <c r="G872" s="1"/>
      <c r="H872" s="1"/>
      <c r="I872" s="1"/>
      <c r="J872" s="1"/>
      <c r="K872" s="1"/>
      <c r="L872" s="1"/>
      <c r="M872" s="1"/>
      <c r="N872" s="1"/>
      <c r="O872" s="1"/>
      <c r="P872" s="1"/>
      <c r="Q872" s="1"/>
      <c r="R872" s="1"/>
      <c r="S872" s="1"/>
      <c r="T872" s="1"/>
      <c r="U872" s="1"/>
      <c r="V872" s="1"/>
      <c r="W872" s="1"/>
    </row>
    <row r="873" spans="1:23" ht="20.100000000000001" customHeight="1" x14ac:dyDescent="0.25">
      <c r="A873" s="18"/>
      <c r="B873" s="18"/>
      <c r="C873" s="18"/>
      <c r="D873" s="7"/>
      <c r="E873" s="321"/>
      <c r="F873" s="322"/>
      <c r="G873" s="323"/>
      <c r="H873" s="323"/>
      <c r="I873" s="323"/>
      <c r="J873" s="323"/>
      <c r="K873" s="323"/>
      <c r="L873" s="323"/>
      <c r="M873" s="323"/>
      <c r="N873" s="323"/>
      <c r="O873" s="323"/>
      <c r="P873" s="323"/>
      <c r="Q873" s="323"/>
      <c r="R873" s="339"/>
      <c r="S873" s="339"/>
      <c r="T873" s="339"/>
      <c r="U873" s="339"/>
      <c r="V873" s="342"/>
      <c r="W873" s="1"/>
    </row>
    <row r="874" spans="1:23" ht="45" customHeight="1" x14ac:dyDescent="0.25">
      <c r="A874" s="18"/>
      <c r="B874" s="18"/>
      <c r="C874" s="18"/>
      <c r="D874" s="7"/>
      <c r="E874" s="326"/>
      <c r="F874" s="1469" t="s">
        <v>8610</v>
      </c>
      <c r="G874" s="1470"/>
      <c r="H874" s="1470"/>
      <c r="I874" s="1470"/>
      <c r="J874" s="1470"/>
      <c r="K874" s="1470"/>
      <c r="L874" s="1470"/>
      <c r="M874" s="1470"/>
      <c r="N874" s="327" t="str">
        <f ca="1">"Concentração"&amp;" "&amp;Calculos!$BJ$3</f>
        <v>Concentração -</v>
      </c>
      <c r="O874" s="327" t="s">
        <v>6038</v>
      </c>
      <c r="P874" s="327" t="s">
        <v>8126</v>
      </c>
      <c r="Q874" s="327" t="s">
        <v>8028</v>
      </c>
      <c r="R874" s="327" t="s">
        <v>8603</v>
      </c>
      <c r="S874" s="327" t="s">
        <v>8127</v>
      </c>
      <c r="U874" s="328" t="s">
        <v>119</v>
      </c>
      <c r="V874" s="332"/>
      <c r="W874" s="1"/>
    </row>
    <row r="875" spans="1:23" ht="20.100000000000001" customHeight="1" x14ac:dyDescent="0.25">
      <c r="A875" s="18"/>
      <c r="B875" s="18"/>
      <c r="C875" s="18"/>
      <c r="D875" s="7"/>
      <c r="E875" s="326"/>
      <c r="F875" s="1471" t="str">
        <f ca="1">Calculos!$BJ$6</f>
        <v>-</v>
      </c>
      <c r="G875" s="1471"/>
      <c r="H875" s="1471"/>
      <c r="I875" s="1471"/>
      <c r="J875" s="1472" t="s">
        <v>7103</v>
      </c>
      <c r="K875" s="1473"/>
      <c r="L875" s="1473"/>
      <c r="M875" s="1474"/>
      <c r="N875" s="188"/>
      <c r="O875" s="188"/>
      <c r="P875" s="330"/>
      <c r="Q875" s="330"/>
      <c r="R875" s="187">
        <v>0</v>
      </c>
      <c r="S875" s="331">
        <f>O875/2</f>
        <v>0</v>
      </c>
      <c r="U875" s="331" t="str">
        <f ca="1">Calculos!CK$170</f>
        <v>-</v>
      </c>
      <c r="V875" s="332"/>
      <c r="W875" s="1"/>
    </row>
    <row r="876" spans="1:23" ht="20.100000000000001" customHeight="1" x14ac:dyDescent="0.25">
      <c r="A876" s="18"/>
      <c r="B876" s="18"/>
      <c r="C876" s="18"/>
      <c r="D876" s="7"/>
      <c r="E876" s="326"/>
      <c r="F876" s="1471"/>
      <c r="G876" s="1471"/>
      <c r="H876" s="1471"/>
      <c r="I876" s="1471"/>
      <c r="J876" s="1286" t="s">
        <v>8027</v>
      </c>
      <c r="K876" s="1286"/>
      <c r="L876" s="1286"/>
      <c r="M876" s="1286"/>
      <c r="N876" s="188"/>
      <c r="O876" s="188"/>
      <c r="P876" s="330"/>
      <c r="Q876" s="330"/>
      <c r="R876" s="187"/>
      <c r="U876" s="331" t="str">
        <f ca="1">Calculos!CK$171</f>
        <v>-</v>
      </c>
      <c r="V876" s="332"/>
      <c r="W876" s="1"/>
    </row>
    <row r="877" spans="1:23" ht="20.100000000000001" customHeight="1" x14ac:dyDescent="0.25">
      <c r="A877" s="18"/>
      <c r="B877" s="18"/>
      <c r="C877" s="18"/>
      <c r="D877" s="7"/>
      <c r="E877" s="326"/>
      <c r="F877" s="1471"/>
      <c r="G877" s="1471"/>
      <c r="H877" s="1471"/>
      <c r="I877" s="1471"/>
      <c r="J877" s="1286"/>
      <c r="K877" s="1286"/>
      <c r="L877" s="1286"/>
      <c r="M877" s="1286"/>
      <c r="N877" s="188"/>
      <c r="O877" s="188"/>
      <c r="P877" s="330"/>
      <c r="Q877" s="330"/>
      <c r="R877" s="187"/>
      <c r="U877" s="331" t="str">
        <f ca="1">Calculos!CK$172</f>
        <v>-</v>
      </c>
      <c r="V877" s="332"/>
      <c r="W877" s="1"/>
    </row>
    <row r="878" spans="1:23" ht="20.100000000000001" customHeight="1" x14ac:dyDescent="0.25">
      <c r="A878" s="18"/>
      <c r="B878" s="18"/>
      <c r="C878" s="18"/>
      <c r="D878" s="7"/>
      <c r="E878" s="326"/>
      <c r="F878" s="1471"/>
      <c r="G878" s="1471"/>
      <c r="H878" s="1471"/>
      <c r="I878" s="1471"/>
      <c r="J878" s="1286"/>
      <c r="K878" s="1286"/>
      <c r="L878" s="1286"/>
      <c r="M878" s="1286"/>
      <c r="N878" s="188"/>
      <c r="O878" s="188"/>
      <c r="P878" s="330"/>
      <c r="Q878" s="330"/>
      <c r="R878" s="187"/>
      <c r="U878" s="331" t="str">
        <f ca="1">Calculos!CK$173</f>
        <v>-</v>
      </c>
      <c r="V878" s="332"/>
      <c r="W878" s="1"/>
    </row>
    <row r="879" spans="1:23" ht="20.100000000000001" customHeight="1" x14ac:dyDescent="0.25">
      <c r="A879" s="18"/>
      <c r="B879" s="18"/>
      <c r="C879" s="18"/>
      <c r="D879" s="7"/>
      <c r="E879" s="326"/>
      <c r="F879" s="1471"/>
      <c r="G879" s="1471"/>
      <c r="H879" s="1471"/>
      <c r="I879" s="1471"/>
      <c r="J879" s="1286"/>
      <c r="K879" s="1286"/>
      <c r="L879" s="1286"/>
      <c r="M879" s="1286"/>
      <c r="N879" s="188"/>
      <c r="O879" s="188"/>
      <c r="P879" s="330"/>
      <c r="Q879" s="330"/>
      <c r="R879" s="187"/>
      <c r="U879" s="331" t="str">
        <f ca="1">Calculos!CK$174</f>
        <v>-</v>
      </c>
      <c r="V879" s="332"/>
      <c r="W879" s="1"/>
    </row>
    <row r="880" spans="1:23" ht="20.100000000000001" customHeight="1" x14ac:dyDescent="0.25">
      <c r="A880" s="18"/>
      <c r="B880" s="18"/>
      <c r="C880" s="18"/>
      <c r="D880" s="7"/>
      <c r="E880" s="326"/>
      <c r="F880" s="1471"/>
      <c r="G880" s="1471"/>
      <c r="H880" s="1471"/>
      <c r="I880" s="1471"/>
      <c r="J880" s="1286"/>
      <c r="K880" s="1286"/>
      <c r="L880" s="1286"/>
      <c r="M880" s="1286"/>
      <c r="N880" s="188"/>
      <c r="O880" s="188"/>
      <c r="P880" s="330"/>
      <c r="Q880" s="330"/>
      <c r="R880" s="187"/>
      <c r="U880" s="331" t="str">
        <f ca="1">Calculos!CK$175</f>
        <v>-</v>
      </c>
      <c r="V880" s="332"/>
      <c r="W880" s="1"/>
    </row>
    <row r="881" spans="1:23" ht="20.100000000000001" customHeight="1" x14ac:dyDescent="0.25">
      <c r="A881" s="18"/>
      <c r="B881" s="18"/>
      <c r="C881" s="18"/>
      <c r="D881" s="7"/>
      <c r="E881" s="326"/>
      <c r="F881" s="1471"/>
      <c r="G881" s="1471"/>
      <c r="H881" s="1471"/>
      <c r="I881" s="1471"/>
      <c r="J881" s="1286"/>
      <c r="K881" s="1286"/>
      <c r="L881" s="1286"/>
      <c r="M881" s="1286"/>
      <c r="N881" s="188"/>
      <c r="O881" s="188"/>
      <c r="P881" s="330"/>
      <c r="Q881" s="330"/>
      <c r="R881" s="187"/>
      <c r="U881" s="331" t="str">
        <f ca="1">Calculos!CK$176</f>
        <v>-</v>
      </c>
      <c r="V881" s="332"/>
      <c r="W881" s="1"/>
    </row>
    <row r="882" spans="1:23" ht="20.100000000000001" customHeight="1" x14ac:dyDescent="0.25">
      <c r="A882" s="18"/>
      <c r="B882" s="18"/>
      <c r="C882" s="18"/>
      <c r="D882" s="7"/>
      <c r="E882" s="326"/>
      <c r="F882" s="1471"/>
      <c r="G882" s="1471"/>
      <c r="H882" s="1471"/>
      <c r="I882" s="1471"/>
      <c r="J882" s="1286"/>
      <c r="K882" s="1286"/>
      <c r="L882" s="1286"/>
      <c r="M882" s="1286"/>
      <c r="N882" s="188"/>
      <c r="O882" s="188"/>
      <c r="P882" s="330"/>
      <c r="Q882" s="330"/>
      <c r="R882" s="187"/>
      <c r="U882" s="331" t="str">
        <f ca="1">Calculos!CK$177</f>
        <v>-</v>
      </c>
      <c r="V882" s="332"/>
      <c r="W882" s="1"/>
    </row>
    <row r="883" spans="1:23" ht="20.100000000000001" customHeight="1" x14ac:dyDescent="0.25">
      <c r="A883" s="18"/>
      <c r="B883" s="18"/>
      <c r="C883" s="18"/>
      <c r="D883" s="7"/>
      <c r="E883" s="326"/>
      <c r="F883" s="1471"/>
      <c r="G883" s="1471"/>
      <c r="H883" s="1471"/>
      <c r="I883" s="1471"/>
      <c r="J883" s="1286"/>
      <c r="K883" s="1286"/>
      <c r="L883" s="1286"/>
      <c r="M883" s="1286"/>
      <c r="N883" s="188"/>
      <c r="O883" s="188"/>
      <c r="P883" s="330"/>
      <c r="Q883" s="330"/>
      <c r="R883" s="187"/>
      <c r="U883" s="331" t="str">
        <f ca="1">Calculos!CK$178</f>
        <v>-</v>
      </c>
      <c r="V883" s="332"/>
      <c r="W883" s="1"/>
    </row>
    <row r="884" spans="1:23" ht="20.100000000000001" customHeight="1" x14ac:dyDescent="0.25">
      <c r="A884" s="18"/>
      <c r="B884" s="18"/>
      <c r="C884" s="18"/>
      <c r="D884" s="7"/>
      <c r="E884" s="326"/>
      <c r="F884" s="1471"/>
      <c r="G884" s="1471"/>
      <c r="H884" s="1471"/>
      <c r="I884" s="1471"/>
      <c r="J884" s="1286"/>
      <c r="K884" s="1286"/>
      <c r="L884" s="1286"/>
      <c r="M884" s="1286"/>
      <c r="N884" s="188"/>
      <c r="O884" s="188"/>
      <c r="P884" s="330"/>
      <c r="Q884" s="330"/>
      <c r="R884" s="187"/>
      <c r="U884" s="331" t="str">
        <f ca="1">Calculos!CK$179</f>
        <v>-</v>
      </c>
      <c r="V884" s="332"/>
      <c r="W884" s="1"/>
    </row>
    <row r="885" spans="1:23" ht="20.100000000000001" customHeight="1" x14ac:dyDescent="0.25">
      <c r="A885" s="18"/>
      <c r="B885" s="18"/>
      <c r="C885" s="18"/>
      <c r="D885" s="7"/>
      <c r="E885" s="326"/>
      <c r="F885" s="1471"/>
      <c r="G885" s="1471"/>
      <c r="H885" s="1471"/>
      <c r="I885" s="1471"/>
      <c r="J885" s="1286"/>
      <c r="K885" s="1286"/>
      <c r="L885" s="1286"/>
      <c r="M885" s="1286"/>
      <c r="N885" s="188"/>
      <c r="O885" s="188"/>
      <c r="P885" s="330"/>
      <c r="Q885" s="330"/>
      <c r="R885" s="187"/>
      <c r="U885" s="331" t="str">
        <f ca="1">Calculos!CK$180</f>
        <v>-</v>
      </c>
      <c r="V885" s="332"/>
      <c r="W885" s="1"/>
    </row>
    <row r="886" spans="1:23" ht="20.100000000000001" customHeight="1" x14ac:dyDescent="0.25">
      <c r="A886" s="18"/>
      <c r="B886" s="18"/>
      <c r="C886" s="18"/>
      <c r="D886" s="7"/>
      <c r="E886" s="326"/>
      <c r="F886" s="1471"/>
      <c r="G886" s="1471"/>
      <c r="H886" s="1471"/>
      <c r="I886" s="1471"/>
      <c r="J886" s="1472" t="s">
        <v>80</v>
      </c>
      <c r="K886" s="1473"/>
      <c r="L886" s="1473"/>
      <c r="M886" s="1474"/>
      <c r="N886" s="188"/>
      <c r="O886" s="188"/>
      <c r="P886" s="330"/>
      <c r="Q886" s="330"/>
      <c r="R886" s="187" t="s">
        <v>10</v>
      </c>
      <c r="U886" s="331" t="str">
        <f ca="1">Calculos!CK$181</f>
        <v>-</v>
      </c>
      <c r="V886" s="332"/>
      <c r="W886" s="1"/>
    </row>
    <row r="887" spans="1:23" ht="20.100000000000001" customHeight="1" x14ac:dyDescent="0.25">
      <c r="A887" s="18"/>
      <c r="B887" s="18"/>
      <c r="C887" s="18"/>
      <c r="D887" s="7"/>
      <c r="E887" s="326"/>
      <c r="V887" s="332"/>
      <c r="W887" s="1"/>
    </row>
    <row r="888" spans="1:23" ht="20.100000000000001" hidden="1" customHeight="1" x14ac:dyDescent="0.25">
      <c r="A888" s="18"/>
      <c r="B888" s="18"/>
      <c r="C888" s="18"/>
      <c r="D888" s="7"/>
      <c r="E888" s="326"/>
      <c r="V888" s="332"/>
      <c r="W888" s="1"/>
    </row>
    <row r="889" spans="1:23" ht="20.100000000000001" hidden="1" customHeight="1" x14ac:dyDescent="0.25">
      <c r="A889" s="18"/>
      <c r="B889" s="18"/>
      <c r="C889" s="18"/>
      <c r="D889" s="7"/>
      <c r="E889" s="326"/>
      <c r="V889" s="332"/>
      <c r="W889" s="7"/>
    </row>
    <row r="890" spans="1:23" ht="20.100000000000001" customHeight="1" x14ac:dyDescent="0.25">
      <c r="A890" s="18"/>
      <c r="B890" s="18"/>
      <c r="C890" s="18"/>
      <c r="D890" s="7"/>
      <c r="E890" s="326"/>
      <c r="V890" s="332"/>
      <c r="W890" s="7"/>
    </row>
    <row r="891" spans="1:23" ht="45" customHeight="1" x14ac:dyDescent="0.25">
      <c r="A891" s="18"/>
      <c r="B891" s="18"/>
      <c r="C891" s="18"/>
      <c r="D891" s="7"/>
      <c r="E891" s="326"/>
      <c r="F891" s="1475" t="s">
        <v>8619</v>
      </c>
      <c r="G891" s="1476"/>
      <c r="H891" s="1476"/>
      <c r="I891" s="1476"/>
      <c r="J891" s="1476"/>
      <c r="K891" s="1476"/>
      <c r="L891" s="1476"/>
      <c r="M891" s="1476"/>
      <c r="N891" s="333" t="str">
        <f ca="1">"Concentração"&amp;" "&amp;Calculos!$BJ$3</f>
        <v>Concentração -</v>
      </c>
      <c r="O891" s="333" t="s">
        <v>6038</v>
      </c>
      <c r="P891" s="333" t="s">
        <v>8126</v>
      </c>
      <c r="Q891" s="333" t="s">
        <v>8028</v>
      </c>
      <c r="R891" s="333" t="s">
        <v>8603</v>
      </c>
      <c r="S891" s="333" t="s">
        <v>8127</v>
      </c>
      <c r="U891" s="328" t="s">
        <v>119</v>
      </c>
      <c r="V891" s="332"/>
      <c r="W891" s="1"/>
    </row>
    <row r="892" spans="1:23" ht="20.100000000000001" customHeight="1" x14ac:dyDescent="0.25">
      <c r="A892" s="18"/>
      <c r="B892" s="18"/>
      <c r="C892" s="18"/>
      <c r="D892" s="7"/>
      <c r="E892" s="326"/>
      <c r="F892" s="1471" t="str">
        <f ca="1">Calculos!$BJ$6</f>
        <v>-</v>
      </c>
      <c r="G892" s="1471"/>
      <c r="H892" s="1471"/>
      <c r="I892" s="1471"/>
      <c r="J892" s="1472" t="s">
        <v>7103</v>
      </c>
      <c r="K892" s="1473"/>
      <c r="L892" s="1473"/>
      <c r="M892" s="1474"/>
      <c r="N892" s="334"/>
      <c r="O892" s="334"/>
      <c r="P892" s="335"/>
      <c r="Q892" s="335"/>
      <c r="R892" s="335">
        <v>0</v>
      </c>
      <c r="S892" s="331">
        <f>O892/2</f>
        <v>0</v>
      </c>
      <c r="U892" s="331" t="str">
        <f ca="1">Calculos!CK$186</f>
        <v>-</v>
      </c>
      <c r="V892" s="332"/>
      <c r="W892" s="1"/>
    </row>
    <row r="893" spans="1:23" ht="20.100000000000001" customHeight="1" x14ac:dyDescent="0.25">
      <c r="A893" s="18"/>
      <c r="B893" s="18"/>
      <c r="C893" s="18"/>
      <c r="D893" s="7"/>
      <c r="E893" s="326"/>
      <c r="F893" s="1471"/>
      <c r="G893" s="1471"/>
      <c r="H893" s="1471"/>
      <c r="I893" s="1471"/>
      <c r="J893" s="1286" t="s">
        <v>8027</v>
      </c>
      <c r="K893" s="1286"/>
      <c r="L893" s="1286"/>
      <c r="M893" s="1286"/>
      <c r="N893" s="334"/>
      <c r="O893" s="334"/>
      <c r="P893" s="335"/>
      <c r="Q893" s="335"/>
      <c r="R893" s="335"/>
      <c r="U893" s="331" t="str">
        <f ca="1">Calculos!CK$187</f>
        <v>-</v>
      </c>
      <c r="V893" s="332"/>
      <c r="W893" s="1"/>
    </row>
    <row r="894" spans="1:23" ht="20.100000000000001" customHeight="1" x14ac:dyDescent="0.25">
      <c r="A894" s="18"/>
      <c r="B894" s="18"/>
      <c r="C894" s="18"/>
      <c r="D894" s="7"/>
      <c r="E894" s="326"/>
      <c r="F894" s="1471"/>
      <c r="G894" s="1471"/>
      <c r="H894" s="1471"/>
      <c r="I894" s="1471"/>
      <c r="J894" s="1286"/>
      <c r="K894" s="1286"/>
      <c r="L894" s="1286"/>
      <c r="M894" s="1286"/>
      <c r="N894" s="334"/>
      <c r="O894" s="334"/>
      <c r="P894" s="335"/>
      <c r="Q894" s="335"/>
      <c r="R894" s="335"/>
      <c r="U894" s="331" t="str">
        <f ca="1">Calculos!CK$188</f>
        <v>-</v>
      </c>
      <c r="V894" s="332"/>
      <c r="W894" s="1"/>
    </row>
    <row r="895" spans="1:23" ht="20.100000000000001" customHeight="1" x14ac:dyDescent="0.25">
      <c r="A895" s="18"/>
      <c r="B895" s="18"/>
      <c r="C895" s="18"/>
      <c r="D895" s="7"/>
      <c r="E895" s="326"/>
      <c r="F895" s="1471"/>
      <c r="G895" s="1471"/>
      <c r="H895" s="1471"/>
      <c r="I895" s="1471"/>
      <c r="J895" s="1286"/>
      <c r="K895" s="1286"/>
      <c r="L895" s="1286"/>
      <c r="M895" s="1286"/>
      <c r="N895" s="334"/>
      <c r="O895" s="334"/>
      <c r="P895" s="335"/>
      <c r="Q895" s="335"/>
      <c r="R895" s="335"/>
      <c r="U895" s="331" t="str">
        <f ca="1">Calculos!CK$189</f>
        <v>-</v>
      </c>
      <c r="V895" s="332"/>
      <c r="W895" s="1"/>
    </row>
    <row r="896" spans="1:23" ht="20.100000000000001" customHeight="1" x14ac:dyDescent="0.25">
      <c r="A896" s="18"/>
      <c r="B896" s="18"/>
      <c r="C896" s="18"/>
      <c r="D896" s="7"/>
      <c r="E896" s="326"/>
      <c r="F896" s="1471"/>
      <c r="G896" s="1471"/>
      <c r="H896" s="1471"/>
      <c r="I896" s="1471"/>
      <c r="J896" s="1286"/>
      <c r="K896" s="1286"/>
      <c r="L896" s="1286"/>
      <c r="M896" s="1286"/>
      <c r="N896" s="334"/>
      <c r="O896" s="334"/>
      <c r="P896" s="335"/>
      <c r="Q896" s="335"/>
      <c r="R896" s="335"/>
      <c r="U896" s="331" t="str">
        <f ca="1">Calculos!CK$190</f>
        <v>-</v>
      </c>
      <c r="V896" s="332"/>
      <c r="W896" s="1"/>
    </row>
    <row r="897" spans="1:23" ht="20.100000000000001" customHeight="1" x14ac:dyDescent="0.25">
      <c r="A897" s="18"/>
      <c r="B897" s="18"/>
      <c r="C897" s="18"/>
      <c r="D897" s="7"/>
      <c r="E897" s="326"/>
      <c r="F897" s="1471"/>
      <c r="G897" s="1471"/>
      <c r="H897" s="1471"/>
      <c r="I897" s="1471"/>
      <c r="J897" s="1286"/>
      <c r="K897" s="1286"/>
      <c r="L897" s="1286"/>
      <c r="M897" s="1286"/>
      <c r="N897" s="334"/>
      <c r="O897" s="334"/>
      <c r="P897" s="335"/>
      <c r="Q897" s="335"/>
      <c r="R897" s="335"/>
      <c r="U897" s="331" t="str">
        <f ca="1">Calculos!CK$191</f>
        <v>-</v>
      </c>
      <c r="V897" s="332"/>
      <c r="W897" s="1"/>
    </row>
    <row r="898" spans="1:23" ht="20.100000000000001" customHeight="1" x14ac:dyDescent="0.25">
      <c r="A898" s="18"/>
      <c r="B898" s="18"/>
      <c r="C898" s="18"/>
      <c r="D898" s="7"/>
      <c r="E898" s="326"/>
      <c r="F898" s="1471"/>
      <c r="G898" s="1471"/>
      <c r="H898" s="1471"/>
      <c r="I898" s="1471"/>
      <c r="J898" s="1286"/>
      <c r="K898" s="1286"/>
      <c r="L898" s="1286"/>
      <c r="M898" s="1286"/>
      <c r="N898" s="334"/>
      <c r="O898" s="334"/>
      <c r="P898" s="335"/>
      <c r="Q898" s="335"/>
      <c r="R898" s="335"/>
      <c r="U898" s="331" t="str">
        <f ca="1">Calculos!CK$192</f>
        <v>-</v>
      </c>
      <c r="V898" s="332"/>
      <c r="W898" s="1"/>
    </row>
    <row r="899" spans="1:23" ht="20.100000000000001" customHeight="1" x14ac:dyDescent="0.25">
      <c r="A899" s="18"/>
      <c r="B899" s="18"/>
      <c r="C899" s="18"/>
      <c r="D899" s="7"/>
      <c r="E899" s="326"/>
      <c r="F899" s="1471"/>
      <c r="G899" s="1471"/>
      <c r="H899" s="1471"/>
      <c r="I899" s="1471"/>
      <c r="J899" s="1286"/>
      <c r="K899" s="1286"/>
      <c r="L899" s="1286"/>
      <c r="M899" s="1286"/>
      <c r="N899" s="334"/>
      <c r="O899" s="334"/>
      <c r="P899" s="335"/>
      <c r="Q899" s="335"/>
      <c r="R899" s="335"/>
      <c r="U899" s="331" t="str">
        <f ca="1">Calculos!CK$193</f>
        <v>-</v>
      </c>
      <c r="V899" s="332"/>
      <c r="W899" s="1"/>
    </row>
    <row r="900" spans="1:23" ht="20.100000000000001" customHeight="1" x14ac:dyDescent="0.25">
      <c r="A900" s="18"/>
      <c r="B900" s="18"/>
      <c r="C900" s="18"/>
      <c r="D900" s="7"/>
      <c r="E900" s="326"/>
      <c r="F900" s="1471"/>
      <c r="G900" s="1471"/>
      <c r="H900" s="1471"/>
      <c r="I900" s="1471"/>
      <c r="J900" s="1286"/>
      <c r="K900" s="1286"/>
      <c r="L900" s="1286"/>
      <c r="M900" s="1286"/>
      <c r="N900" s="334"/>
      <c r="O900" s="334"/>
      <c r="P900" s="335"/>
      <c r="Q900" s="335"/>
      <c r="R900" s="335"/>
      <c r="U900" s="331" t="str">
        <f ca="1">Calculos!CK$194</f>
        <v>-</v>
      </c>
      <c r="V900" s="332"/>
      <c r="W900" s="1"/>
    </row>
    <row r="901" spans="1:23" ht="20.100000000000001" customHeight="1" x14ac:dyDescent="0.25">
      <c r="A901" s="18"/>
      <c r="B901" s="18"/>
      <c r="C901" s="18"/>
      <c r="D901" s="7"/>
      <c r="E901" s="326"/>
      <c r="F901" s="1471"/>
      <c r="G901" s="1471"/>
      <c r="H901" s="1471"/>
      <c r="I901" s="1471"/>
      <c r="J901" s="1286"/>
      <c r="K901" s="1286"/>
      <c r="L901" s="1286"/>
      <c r="M901" s="1286"/>
      <c r="N901" s="334"/>
      <c r="O901" s="334"/>
      <c r="P901" s="335"/>
      <c r="Q901" s="335"/>
      <c r="R901" s="335"/>
      <c r="U901" s="331" t="str">
        <f ca="1">Calculos!CK$195</f>
        <v>-</v>
      </c>
      <c r="V901" s="332"/>
      <c r="W901" s="1"/>
    </row>
    <row r="902" spans="1:23" ht="20.100000000000001" customHeight="1" x14ac:dyDescent="0.25">
      <c r="A902" s="18"/>
      <c r="B902" s="18"/>
      <c r="C902" s="18"/>
      <c r="D902" s="7"/>
      <c r="E902" s="326"/>
      <c r="F902" s="1471"/>
      <c r="G902" s="1471"/>
      <c r="H902" s="1471"/>
      <c r="I902" s="1471"/>
      <c r="J902" s="1286"/>
      <c r="K902" s="1286"/>
      <c r="L902" s="1286"/>
      <c r="M902" s="1286"/>
      <c r="N902" s="334"/>
      <c r="O902" s="334"/>
      <c r="P902" s="335"/>
      <c r="Q902" s="335"/>
      <c r="R902" s="335"/>
      <c r="U902" s="331" t="str">
        <f ca="1">Calculos!CK$196</f>
        <v>-</v>
      </c>
      <c r="V902" s="329"/>
      <c r="W902" s="1"/>
    </row>
    <row r="903" spans="1:23" ht="20.100000000000001" customHeight="1" x14ac:dyDescent="0.25">
      <c r="A903" s="18"/>
      <c r="B903" s="18"/>
      <c r="C903" s="18"/>
      <c r="D903" s="7"/>
      <c r="E903" s="326"/>
      <c r="F903" s="1471"/>
      <c r="G903" s="1471"/>
      <c r="H903" s="1471"/>
      <c r="I903" s="1471"/>
      <c r="J903" s="1472" t="s">
        <v>80</v>
      </c>
      <c r="K903" s="1473"/>
      <c r="L903" s="1473"/>
      <c r="M903" s="1474"/>
      <c r="N903" s="334"/>
      <c r="O903" s="334"/>
      <c r="P903" s="335"/>
      <c r="Q903" s="335"/>
      <c r="R903" s="335" t="s">
        <v>10</v>
      </c>
      <c r="U903" s="331" t="str">
        <f ca="1">Calculos!CK$197</f>
        <v>-</v>
      </c>
      <c r="V903" s="329"/>
      <c r="W903" s="1"/>
    </row>
    <row r="904" spans="1:23" ht="20.100000000000001" hidden="1" customHeight="1" x14ac:dyDescent="0.25">
      <c r="A904" s="18"/>
      <c r="B904" s="18"/>
      <c r="C904" s="18"/>
      <c r="D904" s="7"/>
      <c r="E904" s="326"/>
      <c r="V904" s="329"/>
      <c r="W904" s="1"/>
    </row>
    <row r="905" spans="1:23" ht="20.100000000000001" customHeight="1" x14ac:dyDescent="0.25">
      <c r="A905" s="18"/>
      <c r="B905" s="18"/>
      <c r="C905" s="18"/>
      <c r="D905" s="7"/>
      <c r="E905" s="336"/>
      <c r="F905" s="337"/>
      <c r="G905" s="337"/>
      <c r="H905" s="337"/>
      <c r="I905" s="337"/>
      <c r="J905" s="337"/>
      <c r="K905" s="337"/>
      <c r="L905" s="337"/>
      <c r="M905" s="337"/>
      <c r="N905" s="337"/>
      <c r="O905" s="337"/>
      <c r="P905" s="337"/>
      <c r="Q905" s="337"/>
      <c r="R905" s="337"/>
      <c r="S905" s="337"/>
      <c r="T905" s="337"/>
      <c r="U905" s="337"/>
      <c r="V905" s="338"/>
      <c r="W905" s="1"/>
    </row>
    <row r="906" spans="1:23" ht="30" customHeight="1" x14ac:dyDescent="0.25">
      <c r="A906" s="18"/>
      <c r="B906" s="18"/>
      <c r="C906" s="18"/>
      <c r="D906" s="7"/>
      <c r="E906" s="1"/>
      <c r="F906" s="1"/>
      <c r="G906" s="1"/>
      <c r="H906" s="1"/>
      <c r="I906" s="1"/>
      <c r="J906" s="1"/>
      <c r="K906" s="1"/>
      <c r="L906" s="1"/>
      <c r="M906" s="1"/>
      <c r="N906" s="1"/>
      <c r="O906" s="1"/>
      <c r="P906" s="1"/>
      <c r="Q906" s="1"/>
      <c r="R906" s="1"/>
      <c r="S906" s="1"/>
      <c r="T906" s="1"/>
      <c r="U906" s="1"/>
      <c r="V906" s="1"/>
      <c r="W906" s="7"/>
    </row>
    <row r="907" spans="1:23" ht="20.100000000000001" customHeight="1" x14ac:dyDescent="0.25">
      <c r="A907" s="18"/>
      <c r="B907" s="18"/>
      <c r="C907" s="18"/>
      <c r="D907" s="7"/>
      <c r="E907" s="321"/>
      <c r="F907" s="322"/>
      <c r="G907" s="323"/>
      <c r="H907" s="323"/>
      <c r="I907" s="323"/>
      <c r="J907" s="323"/>
      <c r="K907" s="323"/>
      <c r="L907" s="323"/>
      <c r="M907" s="323"/>
      <c r="N907" s="323"/>
      <c r="O907" s="323"/>
      <c r="P907" s="323"/>
      <c r="Q907" s="323"/>
      <c r="R907" s="323"/>
      <c r="S907" s="339"/>
      <c r="T907" s="339"/>
      <c r="U907" s="340"/>
      <c r="V907" s="325"/>
      <c r="W907" s="7"/>
    </row>
    <row r="908" spans="1:23" ht="45" customHeight="1" x14ac:dyDescent="0.25">
      <c r="A908" s="18"/>
      <c r="B908" s="18"/>
      <c r="C908" s="18"/>
      <c r="D908" s="7"/>
      <c r="E908" s="326"/>
      <c r="F908" s="1469" t="s">
        <v>8611</v>
      </c>
      <c r="G908" s="1470"/>
      <c r="H908" s="1470"/>
      <c r="I908" s="1470"/>
      <c r="J908" s="1470"/>
      <c r="K908" s="1470"/>
      <c r="L908" s="1470"/>
      <c r="M908" s="1470"/>
      <c r="N908" s="327" t="str">
        <f ca="1">"Concentração"&amp;" "&amp;Calculos!$BJ$3</f>
        <v>Concentração -</v>
      </c>
      <c r="O908" s="327" t="s">
        <v>6038</v>
      </c>
      <c r="P908" s="327" t="s">
        <v>8126</v>
      </c>
      <c r="Q908" s="327" t="s">
        <v>8028</v>
      </c>
      <c r="R908" s="327" t="s">
        <v>8603</v>
      </c>
      <c r="S908" s="327" t="s">
        <v>8127</v>
      </c>
      <c r="U908" s="328" t="s">
        <v>119</v>
      </c>
      <c r="V908" s="332"/>
      <c r="W908" s="1"/>
    </row>
    <row r="909" spans="1:23" ht="20.100000000000001" customHeight="1" x14ac:dyDescent="0.25">
      <c r="A909" s="18"/>
      <c r="B909" s="18"/>
      <c r="C909" s="18"/>
      <c r="D909" s="7"/>
      <c r="E909" s="326"/>
      <c r="F909" s="1471" t="str">
        <f ca="1">Calculos!$BJ$6</f>
        <v>-</v>
      </c>
      <c r="G909" s="1471"/>
      <c r="H909" s="1471"/>
      <c r="I909" s="1471"/>
      <c r="J909" s="1472" t="s">
        <v>7103</v>
      </c>
      <c r="K909" s="1473"/>
      <c r="L909" s="1473"/>
      <c r="M909" s="1474"/>
      <c r="N909" s="188"/>
      <c r="O909" s="188"/>
      <c r="P909" s="330"/>
      <c r="Q909" s="330"/>
      <c r="R909" s="187">
        <v>0</v>
      </c>
      <c r="S909" s="331">
        <f>O909/2</f>
        <v>0</v>
      </c>
      <c r="U909" s="331" t="str">
        <f ca="1">Calculos!CK$202</f>
        <v>-</v>
      </c>
      <c r="V909" s="332"/>
      <c r="W909" s="1"/>
    </row>
    <row r="910" spans="1:23" ht="20.100000000000001" customHeight="1" x14ac:dyDescent="0.25">
      <c r="A910" s="18"/>
      <c r="B910" s="18"/>
      <c r="C910" s="18"/>
      <c r="D910" s="7"/>
      <c r="E910" s="326"/>
      <c r="F910" s="1471"/>
      <c r="G910" s="1471"/>
      <c r="H910" s="1471"/>
      <c r="I910" s="1471"/>
      <c r="J910" s="1286" t="s">
        <v>8027</v>
      </c>
      <c r="K910" s="1286"/>
      <c r="L910" s="1286"/>
      <c r="M910" s="1286"/>
      <c r="N910" s="188"/>
      <c r="O910" s="188"/>
      <c r="P910" s="330"/>
      <c r="Q910" s="330"/>
      <c r="R910" s="187"/>
      <c r="U910" s="331" t="str">
        <f ca="1">Calculos!CK$203</f>
        <v>-</v>
      </c>
      <c r="V910" s="332"/>
      <c r="W910" s="1"/>
    </row>
    <row r="911" spans="1:23" ht="20.100000000000001" customHeight="1" x14ac:dyDescent="0.25">
      <c r="A911" s="18"/>
      <c r="B911" s="18"/>
      <c r="C911" s="18"/>
      <c r="D911" s="7"/>
      <c r="E911" s="326"/>
      <c r="F911" s="1471"/>
      <c r="G911" s="1471"/>
      <c r="H911" s="1471"/>
      <c r="I911" s="1471"/>
      <c r="J911" s="1286"/>
      <c r="K911" s="1286"/>
      <c r="L911" s="1286"/>
      <c r="M911" s="1286"/>
      <c r="N911" s="188"/>
      <c r="O911" s="188"/>
      <c r="P911" s="330"/>
      <c r="Q911" s="330"/>
      <c r="R911" s="187"/>
      <c r="U911" s="331" t="str">
        <f ca="1">Calculos!CK$204</f>
        <v>-</v>
      </c>
      <c r="V911" s="332"/>
      <c r="W911" s="1"/>
    </row>
    <row r="912" spans="1:23" ht="20.100000000000001" customHeight="1" x14ac:dyDescent="0.25">
      <c r="A912" s="18"/>
      <c r="B912" s="18"/>
      <c r="C912" s="18"/>
      <c r="D912" s="7"/>
      <c r="E912" s="326"/>
      <c r="F912" s="1471"/>
      <c r="G912" s="1471"/>
      <c r="H912" s="1471"/>
      <c r="I912" s="1471"/>
      <c r="J912" s="1286"/>
      <c r="K912" s="1286"/>
      <c r="L912" s="1286"/>
      <c r="M912" s="1286"/>
      <c r="N912" s="188"/>
      <c r="O912" s="188"/>
      <c r="P912" s="330"/>
      <c r="Q912" s="330"/>
      <c r="R912" s="187"/>
      <c r="U912" s="331" t="str">
        <f ca="1">Calculos!CK$205</f>
        <v>-</v>
      </c>
      <c r="V912" s="332"/>
      <c r="W912" s="1"/>
    </row>
    <row r="913" spans="1:23" ht="20.100000000000001" customHeight="1" x14ac:dyDescent="0.25">
      <c r="A913" s="18"/>
      <c r="B913" s="18"/>
      <c r="C913" s="18"/>
      <c r="D913" s="7"/>
      <c r="E913" s="326"/>
      <c r="F913" s="1471"/>
      <c r="G913" s="1471"/>
      <c r="H913" s="1471"/>
      <c r="I913" s="1471"/>
      <c r="J913" s="1286"/>
      <c r="K913" s="1286"/>
      <c r="L913" s="1286"/>
      <c r="M913" s="1286"/>
      <c r="N913" s="188"/>
      <c r="O913" s="188"/>
      <c r="P913" s="330"/>
      <c r="Q913" s="330"/>
      <c r="R913" s="187"/>
      <c r="U913" s="331" t="str">
        <f ca="1">Calculos!CK$206</f>
        <v>-</v>
      </c>
      <c r="V913" s="332"/>
      <c r="W913" s="1"/>
    </row>
    <row r="914" spans="1:23" ht="20.100000000000001" customHeight="1" x14ac:dyDescent="0.25">
      <c r="A914" s="18"/>
      <c r="B914" s="18"/>
      <c r="C914" s="18"/>
      <c r="D914" s="7"/>
      <c r="E914" s="326"/>
      <c r="F914" s="1471"/>
      <c r="G914" s="1471"/>
      <c r="H914" s="1471"/>
      <c r="I914" s="1471"/>
      <c r="J914" s="1286"/>
      <c r="K914" s="1286"/>
      <c r="L914" s="1286"/>
      <c r="M914" s="1286"/>
      <c r="N914" s="188"/>
      <c r="O914" s="188"/>
      <c r="P914" s="330"/>
      <c r="Q914" s="330"/>
      <c r="R914" s="187"/>
      <c r="U914" s="331" t="str">
        <f ca="1">Calculos!CK$207</f>
        <v>-</v>
      </c>
      <c r="V914" s="332"/>
      <c r="W914" s="1"/>
    </row>
    <row r="915" spans="1:23" ht="20.100000000000001" customHeight="1" x14ac:dyDescent="0.25">
      <c r="A915" s="18"/>
      <c r="B915" s="18"/>
      <c r="C915" s="18"/>
      <c r="D915" s="7"/>
      <c r="E915" s="326"/>
      <c r="F915" s="1471"/>
      <c r="G915" s="1471"/>
      <c r="H915" s="1471"/>
      <c r="I915" s="1471"/>
      <c r="J915" s="1286"/>
      <c r="K915" s="1286"/>
      <c r="L915" s="1286"/>
      <c r="M915" s="1286"/>
      <c r="N915" s="188"/>
      <c r="O915" s="188"/>
      <c r="P915" s="330"/>
      <c r="Q915" s="330"/>
      <c r="R915" s="187"/>
      <c r="U915" s="331" t="str">
        <f ca="1">Calculos!CK$208</f>
        <v>-</v>
      </c>
      <c r="V915" s="332"/>
      <c r="W915" s="1"/>
    </row>
    <row r="916" spans="1:23" ht="20.100000000000001" customHeight="1" x14ac:dyDescent="0.25">
      <c r="A916" s="18"/>
      <c r="B916" s="18"/>
      <c r="C916" s="18"/>
      <c r="D916" s="7"/>
      <c r="E916" s="326"/>
      <c r="F916" s="1471"/>
      <c r="G916" s="1471"/>
      <c r="H916" s="1471"/>
      <c r="I916" s="1471"/>
      <c r="J916" s="1286"/>
      <c r="K916" s="1286"/>
      <c r="L916" s="1286"/>
      <c r="M916" s="1286"/>
      <c r="N916" s="188"/>
      <c r="O916" s="188"/>
      <c r="P916" s="330"/>
      <c r="Q916" s="330"/>
      <c r="R916" s="187"/>
      <c r="U916" s="331" t="str">
        <f ca="1">Calculos!CK$209</f>
        <v>-</v>
      </c>
      <c r="V916" s="332"/>
      <c r="W916" s="1"/>
    </row>
    <row r="917" spans="1:23" ht="20.100000000000001" customHeight="1" x14ac:dyDescent="0.25">
      <c r="A917" s="18"/>
      <c r="B917" s="18"/>
      <c r="C917" s="18"/>
      <c r="D917" s="7"/>
      <c r="E917" s="326"/>
      <c r="F917" s="1471"/>
      <c r="G917" s="1471"/>
      <c r="H917" s="1471"/>
      <c r="I917" s="1471"/>
      <c r="J917" s="1286"/>
      <c r="K917" s="1286"/>
      <c r="L917" s="1286"/>
      <c r="M917" s="1286"/>
      <c r="N917" s="188"/>
      <c r="O917" s="188"/>
      <c r="P917" s="330"/>
      <c r="Q917" s="330"/>
      <c r="R917" s="187"/>
      <c r="U917" s="331" t="str">
        <f ca="1">Calculos!CK$210</f>
        <v>-</v>
      </c>
      <c r="V917" s="332"/>
      <c r="W917" s="1"/>
    </row>
    <row r="918" spans="1:23" ht="20.100000000000001" customHeight="1" x14ac:dyDescent="0.25">
      <c r="A918" s="18"/>
      <c r="B918" s="18"/>
      <c r="C918" s="18"/>
      <c r="D918" s="7"/>
      <c r="E918" s="326"/>
      <c r="F918" s="1471"/>
      <c r="G918" s="1471"/>
      <c r="H918" s="1471"/>
      <c r="I918" s="1471"/>
      <c r="J918" s="1286"/>
      <c r="K918" s="1286"/>
      <c r="L918" s="1286"/>
      <c r="M918" s="1286"/>
      <c r="N918" s="188"/>
      <c r="O918" s="188"/>
      <c r="P918" s="330"/>
      <c r="Q918" s="330"/>
      <c r="R918" s="187"/>
      <c r="U918" s="331" t="str">
        <f ca="1">Calculos!CK$211</f>
        <v>-</v>
      </c>
      <c r="V918" s="332"/>
      <c r="W918" s="1"/>
    </row>
    <row r="919" spans="1:23" ht="20.100000000000001" customHeight="1" x14ac:dyDescent="0.25">
      <c r="A919" s="18"/>
      <c r="B919" s="18"/>
      <c r="C919" s="18"/>
      <c r="D919" s="7"/>
      <c r="E919" s="326"/>
      <c r="F919" s="1471"/>
      <c r="G919" s="1471"/>
      <c r="H919" s="1471"/>
      <c r="I919" s="1471"/>
      <c r="J919" s="1286"/>
      <c r="K919" s="1286"/>
      <c r="L919" s="1286"/>
      <c r="M919" s="1286"/>
      <c r="N919" s="188"/>
      <c r="O919" s="188"/>
      <c r="P919" s="330"/>
      <c r="Q919" s="330"/>
      <c r="R919" s="187"/>
      <c r="U919" s="331" t="str">
        <f ca="1">Calculos!CK$212</f>
        <v>-</v>
      </c>
      <c r="V919" s="332"/>
      <c r="W919" s="1"/>
    </row>
    <row r="920" spans="1:23" ht="20.100000000000001" customHeight="1" x14ac:dyDescent="0.25">
      <c r="A920" s="18"/>
      <c r="B920" s="18"/>
      <c r="C920" s="18"/>
      <c r="D920" s="7"/>
      <c r="E920" s="326"/>
      <c r="F920" s="1471"/>
      <c r="G920" s="1471"/>
      <c r="H920" s="1471"/>
      <c r="I920" s="1471"/>
      <c r="J920" s="1472" t="s">
        <v>80</v>
      </c>
      <c r="K920" s="1473"/>
      <c r="L920" s="1473"/>
      <c r="M920" s="1474"/>
      <c r="N920" s="188"/>
      <c r="O920" s="188"/>
      <c r="P920" s="330"/>
      <c r="Q920" s="330"/>
      <c r="R920" s="187" t="s">
        <v>10</v>
      </c>
      <c r="U920" s="331" t="str">
        <f ca="1">Calculos!CK$213</f>
        <v>-</v>
      </c>
      <c r="V920" s="332"/>
      <c r="W920" s="1"/>
    </row>
    <row r="921" spans="1:23" ht="20.100000000000001" customHeight="1" x14ac:dyDescent="0.25">
      <c r="A921" s="18"/>
      <c r="B921" s="18"/>
      <c r="C921" s="18"/>
      <c r="D921" s="7"/>
      <c r="E921" s="326"/>
      <c r="V921" s="332"/>
      <c r="W921" s="1"/>
    </row>
    <row r="922" spans="1:23" ht="20.100000000000001" hidden="1" customHeight="1" x14ac:dyDescent="0.25">
      <c r="A922" s="18"/>
      <c r="B922" s="18"/>
      <c r="C922" s="18"/>
      <c r="D922" s="7"/>
      <c r="E922" s="326"/>
      <c r="V922" s="332"/>
      <c r="W922" s="1"/>
    </row>
    <row r="923" spans="1:23" ht="20.100000000000001" hidden="1" customHeight="1" x14ac:dyDescent="0.25">
      <c r="A923" s="18"/>
      <c r="B923" s="18"/>
      <c r="C923" s="18"/>
      <c r="D923" s="7"/>
      <c r="E923" s="326"/>
      <c r="V923" s="332"/>
      <c r="W923" s="1"/>
    </row>
    <row r="924" spans="1:23" ht="20.100000000000001" customHeight="1" x14ac:dyDescent="0.25">
      <c r="A924" s="18"/>
      <c r="B924" s="18"/>
      <c r="C924" s="18"/>
      <c r="D924" s="7"/>
      <c r="E924" s="326"/>
      <c r="V924" s="332"/>
      <c r="W924" s="1"/>
    </row>
    <row r="925" spans="1:23" ht="45" customHeight="1" x14ac:dyDescent="0.25">
      <c r="A925" s="18"/>
      <c r="B925" s="18"/>
      <c r="C925" s="18"/>
      <c r="D925" s="7"/>
      <c r="E925" s="326"/>
      <c r="F925" s="1475" t="s">
        <v>8620</v>
      </c>
      <c r="G925" s="1476"/>
      <c r="H925" s="1476"/>
      <c r="I925" s="1476"/>
      <c r="J925" s="1476"/>
      <c r="K925" s="1476"/>
      <c r="L925" s="1476"/>
      <c r="M925" s="1476"/>
      <c r="N925" s="333" t="str">
        <f ca="1">"Concentração"&amp;" "&amp;Calculos!$BJ$3</f>
        <v>Concentração -</v>
      </c>
      <c r="O925" s="333" t="s">
        <v>6038</v>
      </c>
      <c r="P925" s="333" t="s">
        <v>8126</v>
      </c>
      <c r="Q925" s="333" t="s">
        <v>8028</v>
      </c>
      <c r="R925" s="333" t="s">
        <v>8603</v>
      </c>
      <c r="S925" s="333" t="s">
        <v>8127</v>
      </c>
      <c r="U925" s="328" t="s">
        <v>119</v>
      </c>
      <c r="V925" s="332"/>
      <c r="W925" s="1"/>
    </row>
    <row r="926" spans="1:23" ht="20.100000000000001" customHeight="1" x14ac:dyDescent="0.25">
      <c r="A926" s="18"/>
      <c r="B926" s="18"/>
      <c r="C926" s="18"/>
      <c r="D926" s="7"/>
      <c r="E926" s="326"/>
      <c r="F926" s="1471" t="str">
        <f ca="1">Calculos!$BJ$6</f>
        <v>-</v>
      </c>
      <c r="G926" s="1471"/>
      <c r="H926" s="1471"/>
      <c r="I926" s="1471"/>
      <c r="J926" s="1472" t="s">
        <v>7103</v>
      </c>
      <c r="K926" s="1473"/>
      <c r="L926" s="1473"/>
      <c r="M926" s="1474"/>
      <c r="N926" s="334"/>
      <c r="O926" s="334"/>
      <c r="P926" s="335"/>
      <c r="Q926" s="335"/>
      <c r="R926" s="335">
        <v>0</v>
      </c>
      <c r="S926" s="331">
        <f>O926/2</f>
        <v>0</v>
      </c>
      <c r="U926" s="331" t="str">
        <f ca="1">Calculos!CK$218</f>
        <v>-</v>
      </c>
      <c r="V926" s="332"/>
      <c r="W926" s="1"/>
    </row>
    <row r="927" spans="1:23" ht="20.100000000000001" customHeight="1" x14ac:dyDescent="0.25">
      <c r="A927" s="18"/>
      <c r="B927" s="18"/>
      <c r="C927" s="18"/>
      <c r="D927" s="7"/>
      <c r="E927" s="326"/>
      <c r="F927" s="1471"/>
      <c r="G927" s="1471"/>
      <c r="H927" s="1471"/>
      <c r="I927" s="1471"/>
      <c r="J927" s="1286" t="s">
        <v>8027</v>
      </c>
      <c r="K927" s="1286"/>
      <c r="L927" s="1286"/>
      <c r="M927" s="1286"/>
      <c r="N927" s="334"/>
      <c r="O927" s="334"/>
      <c r="P927" s="335"/>
      <c r="Q927" s="335"/>
      <c r="R927" s="335"/>
      <c r="U927" s="331" t="str">
        <f ca="1">Calculos!CK$219</f>
        <v>-</v>
      </c>
      <c r="V927" s="332"/>
      <c r="W927" s="1"/>
    </row>
    <row r="928" spans="1:23" ht="20.100000000000001" customHeight="1" x14ac:dyDescent="0.25">
      <c r="A928" s="18"/>
      <c r="B928" s="18"/>
      <c r="C928" s="18"/>
      <c r="D928" s="7"/>
      <c r="E928" s="326"/>
      <c r="F928" s="1471"/>
      <c r="G928" s="1471"/>
      <c r="H928" s="1471"/>
      <c r="I928" s="1471"/>
      <c r="J928" s="1286"/>
      <c r="K928" s="1286"/>
      <c r="L928" s="1286"/>
      <c r="M928" s="1286"/>
      <c r="N928" s="334"/>
      <c r="O928" s="334"/>
      <c r="P928" s="335"/>
      <c r="Q928" s="335"/>
      <c r="R928" s="335"/>
      <c r="U928" s="331" t="str">
        <f ca="1">Calculos!CK$220</f>
        <v>-</v>
      </c>
      <c r="V928" s="332"/>
      <c r="W928" s="7"/>
    </row>
    <row r="929" spans="1:23" ht="20.100000000000001" customHeight="1" x14ac:dyDescent="0.25">
      <c r="A929" s="18"/>
      <c r="B929" s="18"/>
      <c r="C929" s="18"/>
      <c r="D929" s="7"/>
      <c r="E929" s="326"/>
      <c r="F929" s="1471"/>
      <c r="G929" s="1471"/>
      <c r="H929" s="1471"/>
      <c r="I929" s="1471"/>
      <c r="J929" s="1286"/>
      <c r="K929" s="1286"/>
      <c r="L929" s="1286"/>
      <c r="M929" s="1286"/>
      <c r="N929" s="334"/>
      <c r="O929" s="334"/>
      <c r="P929" s="335"/>
      <c r="Q929" s="335"/>
      <c r="R929" s="335"/>
      <c r="U929" s="331" t="str">
        <f ca="1">Calculos!CK$221</f>
        <v>-</v>
      </c>
      <c r="V929" s="332"/>
      <c r="W929" s="7"/>
    </row>
    <row r="930" spans="1:23" ht="20.100000000000001" customHeight="1" x14ac:dyDescent="0.25">
      <c r="A930" s="18"/>
      <c r="B930" s="18"/>
      <c r="C930" s="18"/>
      <c r="D930" s="7"/>
      <c r="E930" s="326"/>
      <c r="F930" s="1471"/>
      <c r="G930" s="1471"/>
      <c r="H930" s="1471"/>
      <c r="I930" s="1471"/>
      <c r="J930" s="1286"/>
      <c r="K930" s="1286"/>
      <c r="L930" s="1286"/>
      <c r="M930" s="1286"/>
      <c r="N930" s="334"/>
      <c r="O930" s="334"/>
      <c r="P930" s="335"/>
      <c r="Q930" s="335"/>
      <c r="R930" s="335"/>
      <c r="U930" s="331" t="str">
        <f ca="1">Calculos!CK$222</f>
        <v>-</v>
      </c>
      <c r="V930" s="332"/>
      <c r="W930" s="1"/>
    </row>
    <row r="931" spans="1:23" ht="20.100000000000001" customHeight="1" x14ac:dyDescent="0.25">
      <c r="A931" s="18"/>
      <c r="B931" s="18"/>
      <c r="C931" s="18"/>
      <c r="D931" s="7"/>
      <c r="E931" s="326"/>
      <c r="F931" s="1471"/>
      <c r="G931" s="1471"/>
      <c r="H931" s="1471"/>
      <c r="I931" s="1471"/>
      <c r="J931" s="1286"/>
      <c r="K931" s="1286"/>
      <c r="L931" s="1286"/>
      <c r="M931" s="1286"/>
      <c r="N931" s="334"/>
      <c r="O931" s="334"/>
      <c r="P931" s="335"/>
      <c r="Q931" s="335"/>
      <c r="R931" s="335"/>
      <c r="U931" s="331" t="str">
        <f ca="1">Calculos!CK$223</f>
        <v>-</v>
      </c>
      <c r="V931" s="332"/>
      <c r="W931" s="1"/>
    </row>
    <row r="932" spans="1:23" ht="20.100000000000001" customHeight="1" x14ac:dyDescent="0.25">
      <c r="A932" s="18"/>
      <c r="B932" s="18"/>
      <c r="C932" s="18"/>
      <c r="D932" s="7"/>
      <c r="E932" s="326"/>
      <c r="F932" s="1471"/>
      <c r="G932" s="1471"/>
      <c r="H932" s="1471"/>
      <c r="I932" s="1471"/>
      <c r="J932" s="1286"/>
      <c r="K932" s="1286"/>
      <c r="L932" s="1286"/>
      <c r="M932" s="1286"/>
      <c r="N932" s="334"/>
      <c r="O932" s="334"/>
      <c r="P932" s="335"/>
      <c r="Q932" s="335"/>
      <c r="R932" s="335"/>
      <c r="U932" s="331" t="str">
        <f ca="1">Calculos!CK$224</f>
        <v>-</v>
      </c>
      <c r="V932" s="332"/>
      <c r="W932" s="1"/>
    </row>
    <row r="933" spans="1:23" ht="20.100000000000001" customHeight="1" x14ac:dyDescent="0.25">
      <c r="A933" s="18"/>
      <c r="B933" s="18"/>
      <c r="C933" s="18"/>
      <c r="D933" s="7"/>
      <c r="E933" s="326"/>
      <c r="F933" s="1471"/>
      <c r="G933" s="1471"/>
      <c r="H933" s="1471"/>
      <c r="I933" s="1471"/>
      <c r="J933" s="1286"/>
      <c r="K933" s="1286"/>
      <c r="L933" s="1286"/>
      <c r="M933" s="1286"/>
      <c r="N933" s="334"/>
      <c r="O933" s="334"/>
      <c r="P933" s="335"/>
      <c r="Q933" s="335"/>
      <c r="R933" s="335"/>
      <c r="U933" s="331" t="str">
        <f ca="1">Calculos!CK$225</f>
        <v>-</v>
      </c>
      <c r="V933" s="332"/>
      <c r="W933" s="1"/>
    </row>
    <row r="934" spans="1:23" ht="20.100000000000001" customHeight="1" x14ac:dyDescent="0.25">
      <c r="A934" s="18"/>
      <c r="B934" s="18"/>
      <c r="C934" s="18"/>
      <c r="D934" s="7"/>
      <c r="E934" s="326"/>
      <c r="F934" s="1471"/>
      <c r="G934" s="1471"/>
      <c r="H934" s="1471"/>
      <c r="I934" s="1471"/>
      <c r="J934" s="1286"/>
      <c r="K934" s="1286"/>
      <c r="L934" s="1286"/>
      <c r="M934" s="1286"/>
      <c r="N934" s="334"/>
      <c r="O934" s="334"/>
      <c r="P934" s="335"/>
      <c r="Q934" s="335"/>
      <c r="R934" s="335"/>
      <c r="U934" s="331" t="str">
        <f ca="1">Calculos!CK$226</f>
        <v>-</v>
      </c>
      <c r="V934" s="332"/>
      <c r="W934" s="1"/>
    </row>
    <row r="935" spans="1:23" ht="20.100000000000001" customHeight="1" x14ac:dyDescent="0.25">
      <c r="A935" s="18"/>
      <c r="B935" s="18"/>
      <c r="C935" s="18"/>
      <c r="D935" s="7"/>
      <c r="E935" s="326"/>
      <c r="F935" s="1471"/>
      <c r="G935" s="1471"/>
      <c r="H935" s="1471"/>
      <c r="I935" s="1471"/>
      <c r="J935" s="1286"/>
      <c r="K935" s="1286"/>
      <c r="L935" s="1286"/>
      <c r="M935" s="1286"/>
      <c r="N935" s="334"/>
      <c r="O935" s="334"/>
      <c r="P935" s="335"/>
      <c r="Q935" s="335"/>
      <c r="R935" s="335"/>
      <c r="U935" s="331" t="str">
        <f ca="1">Calculos!CK$227</f>
        <v>-</v>
      </c>
      <c r="V935" s="332"/>
      <c r="W935" s="1"/>
    </row>
    <row r="936" spans="1:23" ht="20.100000000000001" customHeight="1" x14ac:dyDescent="0.25">
      <c r="A936" s="18"/>
      <c r="B936" s="18"/>
      <c r="C936" s="18"/>
      <c r="D936" s="7"/>
      <c r="E936" s="326"/>
      <c r="F936" s="1471"/>
      <c r="G936" s="1471"/>
      <c r="H936" s="1471"/>
      <c r="I936" s="1471"/>
      <c r="J936" s="1286"/>
      <c r="K936" s="1286"/>
      <c r="L936" s="1286"/>
      <c r="M936" s="1286"/>
      <c r="N936" s="334"/>
      <c r="O936" s="334"/>
      <c r="P936" s="335"/>
      <c r="Q936" s="335"/>
      <c r="R936" s="335"/>
      <c r="U936" s="331" t="str">
        <f ca="1">Calculos!CK$228</f>
        <v>-</v>
      </c>
      <c r="V936" s="329"/>
      <c r="W936" s="1"/>
    </row>
    <row r="937" spans="1:23" ht="20.100000000000001" customHeight="1" x14ac:dyDescent="0.25">
      <c r="A937" s="18"/>
      <c r="B937" s="18"/>
      <c r="C937" s="18"/>
      <c r="D937" s="7"/>
      <c r="E937" s="326"/>
      <c r="F937" s="1471"/>
      <c r="G937" s="1471"/>
      <c r="H937" s="1471"/>
      <c r="I937" s="1471"/>
      <c r="J937" s="1472" t="s">
        <v>80</v>
      </c>
      <c r="K937" s="1473"/>
      <c r="L937" s="1473"/>
      <c r="M937" s="1474"/>
      <c r="N937" s="334"/>
      <c r="O937" s="334"/>
      <c r="P937" s="335"/>
      <c r="Q937" s="335"/>
      <c r="R937" s="335" t="s">
        <v>10</v>
      </c>
      <c r="U937" s="331" t="str">
        <f ca="1">Calculos!CK$229</f>
        <v>-</v>
      </c>
      <c r="V937" s="329"/>
      <c r="W937" s="1"/>
    </row>
    <row r="938" spans="1:23" ht="20.100000000000001" hidden="1" customHeight="1" x14ac:dyDescent="0.25">
      <c r="A938" s="18"/>
      <c r="B938" s="18"/>
      <c r="C938" s="18"/>
      <c r="D938" s="7"/>
      <c r="E938" s="326"/>
      <c r="V938" s="329"/>
      <c r="W938" s="1"/>
    </row>
    <row r="939" spans="1:23" ht="20.100000000000001" customHeight="1" x14ac:dyDescent="0.25">
      <c r="A939" s="18"/>
      <c r="B939" s="18"/>
      <c r="C939" s="18"/>
      <c r="D939" s="7"/>
      <c r="E939" s="336"/>
      <c r="F939" s="337"/>
      <c r="G939" s="337"/>
      <c r="H939" s="337"/>
      <c r="I939" s="337"/>
      <c r="J939" s="337"/>
      <c r="K939" s="337"/>
      <c r="L939" s="337"/>
      <c r="M939" s="337"/>
      <c r="N939" s="337"/>
      <c r="O939" s="337"/>
      <c r="P939" s="337"/>
      <c r="Q939" s="337"/>
      <c r="R939" s="337"/>
      <c r="S939" s="337"/>
      <c r="T939" s="337"/>
      <c r="U939" s="337"/>
      <c r="V939" s="338"/>
      <c r="W939" s="1"/>
    </row>
    <row r="940" spans="1:23" ht="30" customHeight="1" x14ac:dyDescent="0.25">
      <c r="A940" s="18"/>
      <c r="B940" s="18"/>
      <c r="C940" s="18"/>
      <c r="D940" s="7"/>
      <c r="E940" s="1"/>
      <c r="F940" s="1"/>
      <c r="G940" s="1"/>
      <c r="H940" s="1"/>
      <c r="I940" s="1"/>
      <c r="J940" s="1"/>
      <c r="K940" s="1"/>
      <c r="L940" s="1"/>
      <c r="M940" s="1"/>
      <c r="N940" s="1"/>
      <c r="O940" s="1"/>
      <c r="P940" s="1"/>
      <c r="Q940" s="1"/>
      <c r="R940" s="1"/>
      <c r="S940" s="1"/>
      <c r="T940" s="1"/>
      <c r="U940" s="1"/>
      <c r="V940" s="1"/>
      <c r="W940" s="1"/>
    </row>
    <row r="941" spans="1:23" ht="20.100000000000001" customHeight="1" x14ac:dyDescent="0.25">
      <c r="A941" s="18"/>
      <c r="B941" s="18"/>
      <c r="C941" s="18"/>
      <c r="D941" s="7"/>
      <c r="E941" s="321"/>
      <c r="F941" s="322"/>
      <c r="G941" s="323"/>
      <c r="H941" s="323"/>
      <c r="I941" s="323"/>
      <c r="J941" s="323"/>
      <c r="K941" s="323"/>
      <c r="L941" s="323"/>
      <c r="M941" s="323"/>
      <c r="N941" s="323"/>
      <c r="O941" s="323"/>
      <c r="P941" s="323"/>
      <c r="Q941" s="323"/>
      <c r="R941" s="323"/>
      <c r="S941" s="339"/>
      <c r="T941" s="339"/>
      <c r="U941" s="340"/>
      <c r="V941" s="325"/>
      <c r="W941" s="1"/>
    </row>
    <row r="942" spans="1:23" ht="45" customHeight="1" x14ac:dyDescent="0.25">
      <c r="A942" s="18"/>
      <c r="B942" s="18"/>
      <c r="C942" s="18"/>
      <c r="D942" s="7"/>
      <c r="E942" s="326"/>
      <c r="F942" s="1469" t="s">
        <v>8612</v>
      </c>
      <c r="G942" s="1470"/>
      <c r="H942" s="1470"/>
      <c r="I942" s="1470"/>
      <c r="J942" s="1470"/>
      <c r="K942" s="1470"/>
      <c r="L942" s="1470"/>
      <c r="M942" s="1470"/>
      <c r="N942" s="327" t="str">
        <f ca="1">"Concentração"&amp;" "&amp;Calculos!$BJ$3</f>
        <v>Concentração -</v>
      </c>
      <c r="O942" s="327" t="s">
        <v>6038</v>
      </c>
      <c r="P942" s="327" t="s">
        <v>8126</v>
      </c>
      <c r="Q942" s="327" t="s">
        <v>8028</v>
      </c>
      <c r="R942" s="327" t="s">
        <v>8603</v>
      </c>
      <c r="S942" s="327" t="s">
        <v>8127</v>
      </c>
      <c r="U942" s="328" t="s">
        <v>119</v>
      </c>
      <c r="V942" s="332"/>
      <c r="W942" s="1"/>
    </row>
    <row r="943" spans="1:23" ht="20.100000000000001" customHeight="1" x14ac:dyDescent="0.25">
      <c r="A943" s="18"/>
      <c r="B943" s="18"/>
      <c r="C943" s="18"/>
      <c r="D943" s="7"/>
      <c r="E943" s="326"/>
      <c r="F943" s="1471" t="str">
        <f ca="1">Calculos!$BJ$6</f>
        <v>-</v>
      </c>
      <c r="G943" s="1471"/>
      <c r="H943" s="1471"/>
      <c r="I943" s="1471"/>
      <c r="J943" s="1472" t="s">
        <v>7103</v>
      </c>
      <c r="K943" s="1473"/>
      <c r="L943" s="1473"/>
      <c r="M943" s="1474"/>
      <c r="N943" s="188"/>
      <c r="O943" s="188"/>
      <c r="P943" s="330"/>
      <c r="Q943" s="330"/>
      <c r="R943" s="187">
        <v>0</v>
      </c>
      <c r="S943" s="331">
        <f>O943/2</f>
        <v>0</v>
      </c>
      <c r="U943" s="331" t="str">
        <f ca="1">Calculos!CK$234</f>
        <v>-</v>
      </c>
      <c r="V943" s="332"/>
      <c r="W943" s="1"/>
    </row>
    <row r="944" spans="1:23" ht="20.100000000000001" customHeight="1" x14ac:dyDescent="0.25">
      <c r="A944" s="18"/>
      <c r="B944" s="18"/>
      <c r="C944" s="18"/>
      <c r="D944" s="7"/>
      <c r="E944" s="326"/>
      <c r="F944" s="1471"/>
      <c r="G944" s="1471"/>
      <c r="H944" s="1471"/>
      <c r="I944" s="1471"/>
      <c r="J944" s="1286" t="s">
        <v>8027</v>
      </c>
      <c r="K944" s="1286"/>
      <c r="L944" s="1286"/>
      <c r="M944" s="1286"/>
      <c r="N944" s="188"/>
      <c r="O944" s="188"/>
      <c r="P944" s="330"/>
      <c r="Q944" s="330"/>
      <c r="R944" s="187"/>
      <c r="U944" s="331" t="str">
        <f ca="1">Calculos!CK$235</f>
        <v>-</v>
      </c>
      <c r="V944" s="332"/>
      <c r="W944" s="1"/>
    </row>
    <row r="945" spans="1:23" ht="20.100000000000001" customHeight="1" x14ac:dyDescent="0.25">
      <c r="A945" s="18"/>
      <c r="B945" s="18"/>
      <c r="C945" s="18"/>
      <c r="D945" s="7"/>
      <c r="E945" s="326"/>
      <c r="F945" s="1471"/>
      <c r="G945" s="1471"/>
      <c r="H945" s="1471"/>
      <c r="I945" s="1471"/>
      <c r="J945" s="1286"/>
      <c r="K945" s="1286"/>
      <c r="L945" s="1286"/>
      <c r="M945" s="1286"/>
      <c r="N945" s="188"/>
      <c r="O945" s="188"/>
      <c r="P945" s="330"/>
      <c r="Q945" s="330"/>
      <c r="R945" s="187"/>
      <c r="U945" s="331" t="str">
        <f ca="1">Calculos!CK$236</f>
        <v>-</v>
      </c>
      <c r="V945" s="332"/>
      <c r="W945" s="7"/>
    </row>
    <row r="946" spans="1:23" ht="20.100000000000001" customHeight="1" x14ac:dyDescent="0.25">
      <c r="A946" s="18"/>
      <c r="B946" s="18"/>
      <c r="C946" s="18"/>
      <c r="D946" s="7"/>
      <c r="E946" s="326"/>
      <c r="F946" s="1471"/>
      <c r="G946" s="1471"/>
      <c r="H946" s="1471"/>
      <c r="I946" s="1471"/>
      <c r="J946" s="1286"/>
      <c r="K946" s="1286"/>
      <c r="L946" s="1286"/>
      <c r="M946" s="1286"/>
      <c r="N946" s="188"/>
      <c r="O946" s="188"/>
      <c r="P946" s="330"/>
      <c r="Q946" s="330"/>
      <c r="R946" s="187"/>
      <c r="U946" s="331" t="str">
        <f ca="1">Calculos!CK$237</f>
        <v>-</v>
      </c>
      <c r="V946" s="332"/>
      <c r="W946" s="7"/>
    </row>
    <row r="947" spans="1:23" ht="20.100000000000001" customHeight="1" x14ac:dyDescent="0.25">
      <c r="A947" s="18"/>
      <c r="B947" s="18"/>
      <c r="C947" s="18"/>
      <c r="D947" s="7"/>
      <c r="E947" s="326"/>
      <c r="F947" s="1471"/>
      <c r="G947" s="1471"/>
      <c r="H947" s="1471"/>
      <c r="I947" s="1471"/>
      <c r="J947" s="1286"/>
      <c r="K947" s="1286"/>
      <c r="L947" s="1286"/>
      <c r="M947" s="1286"/>
      <c r="N947" s="188"/>
      <c r="O947" s="188"/>
      <c r="P947" s="330"/>
      <c r="Q947" s="330"/>
      <c r="R947" s="187"/>
      <c r="U947" s="331" t="str">
        <f ca="1">Calculos!CK$238</f>
        <v>-</v>
      </c>
      <c r="V947" s="332"/>
      <c r="W947" s="1"/>
    </row>
    <row r="948" spans="1:23" ht="20.100000000000001" customHeight="1" x14ac:dyDescent="0.25">
      <c r="A948" s="18"/>
      <c r="B948" s="18"/>
      <c r="C948" s="18"/>
      <c r="D948" s="7"/>
      <c r="E948" s="326"/>
      <c r="F948" s="1471"/>
      <c r="G948" s="1471"/>
      <c r="H948" s="1471"/>
      <c r="I948" s="1471"/>
      <c r="J948" s="1286"/>
      <c r="K948" s="1286"/>
      <c r="L948" s="1286"/>
      <c r="M948" s="1286"/>
      <c r="N948" s="188"/>
      <c r="O948" s="188"/>
      <c r="P948" s="330"/>
      <c r="Q948" s="330"/>
      <c r="R948" s="187"/>
      <c r="U948" s="331" t="str">
        <f ca="1">Calculos!CK$239</f>
        <v>-</v>
      </c>
      <c r="V948" s="332"/>
      <c r="W948" s="1"/>
    </row>
    <row r="949" spans="1:23" ht="20.100000000000001" customHeight="1" x14ac:dyDescent="0.25">
      <c r="A949" s="18"/>
      <c r="B949" s="18"/>
      <c r="C949" s="18"/>
      <c r="D949" s="7"/>
      <c r="E949" s="326"/>
      <c r="F949" s="1471"/>
      <c r="G949" s="1471"/>
      <c r="H949" s="1471"/>
      <c r="I949" s="1471"/>
      <c r="J949" s="1286"/>
      <c r="K949" s="1286"/>
      <c r="L949" s="1286"/>
      <c r="M949" s="1286"/>
      <c r="N949" s="188"/>
      <c r="O949" s="188"/>
      <c r="P949" s="330"/>
      <c r="Q949" s="330"/>
      <c r="R949" s="187"/>
      <c r="U949" s="331" t="str">
        <f ca="1">Calculos!CK$240</f>
        <v>-</v>
      </c>
      <c r="V949" s="332"/>
      <c r="W949" s="1"/>
    </row>
    <row r="950" spans="1:23" ht="20.100000000000001" customHeight="1" x14ac:dyDescent="0.25">
      <c r="A950" s="18"/>
      <c r="B950" s="18"/>
      <c r="C950" s="18"/>
      <c r="D950" s="7"/>
      <c r="E950" s="326"/>
      <c r="F950" s="1471"/>
      <c r="G950" s="1471"/>
      <c r="H950" s="1471"/>
      <c r="I950" s="1471"/>
      <c r="J950" s="1286"/>
      <c r="K950" s="1286"/>
      <c r="L950" s="1286"/>
      <c r="M950" s="1286"/>
      <c r="N950" s="188"/>
      <c r="O950" s="188"/>
      <c r="P950" s="330"/>
      <c r="Q950" s="330"/>
      <c r="R950" s="187"/>
      <c r="U950" s="331" t="str">
        <f ca="1">Calculos!CK$241</f>
        <v>-</v>
      </c>
      <c r="V950" s="332"/>
      <c r="W950" s="1"/>
    </row>
    <row r="951" spans="1:23" ht="20.100000000000001" customHeight="1" x14ac:dyDescent="0.25">
      <c r="A951" s="18"/>
      <c r="B951" s="18"/>
      <c r="C951" s="18"/>
      <c r="D951" s="7"/>
      <c r="E951" s="326"/>
      <c r="F951" s="1471"/>
      <c r="G951" s="1471"/>
      <c r="H951" s="1471"/>
      <c r="I951" s="1471"/>
      <c r="J951" s="1286"/>
      <c r="K951" s="1286"/>
      <c r="L951" s="1286"/>
      <c r="M951" s="1286"/>
      <c r="N951" s="188"/>
      <c r="O951" s="188"/>
      <c r="P951" s="330"/>
      <c r="Q951" s="330"/>
      <c r="R951" s="187"/>
      <c r="U951" s="331" t="str">
        <f ca="1">Calculos!CK$242</f>
        <v>-</v>
      </c>
      <c r="V951" s="332"/>
      <c r="W951" s="1"/>
    </row>
    <row r="952" spans="1:23" ht="20.100000000000001" customHeight="1" x14ac:dyDescent="0.25">
      <c r="A952" s="18"/>
      <c r="B952" s="18"/>
      <c r="C952" s="18"/>
      <c r="D952" s="7"/>
      <c r="E952" s="326"/>
      <c r="F952" s="1471"/>
      <c r="G952" s="1471"/>
      <c r="H952" s="1471"/>
      <c r="I952" s="1471"/>
      <c r="J952" s="1286"/>
      <c r="K952" s="1286"/>
      <c r="L952" s="1286"/>
      <c r="M952" s="1286"/>
      <c r="N952" s="188"/>
      <c r="O952" s="188"/>
      <c r="P952" s="330"/>
      <c r="Q952" s="330"/>
      <c r="R952" s="187"/>
      <c r="U952" s="331" t="str">
        <f ca="1">Calculos!CK$243</f>
        <v>-</v>
      </c>
      <c r="V952" s="332"/>
      <c r="W952" s="1"/>
    </row>
    <row r="953" spans="1:23" ht="20.100000000000001" customHeight="1" x14ac:dyDescent="0.25">
      <c r="A953" s="18"/>
      <c r="B953" s="18"/>
      <c r="C953" s="18"/>
      <c r="D953" s="7"/>
      <c r="E953" s="326"/>
      <c r="F953" s="1471"/>
      <c r="G953" s="1471"/>
      <c r="H953" s="1471"/>
      <c r="I953" s="1471"/>
      <c r="J953" s="1286"/>
      <c r="K953" s="1286"/>
      <c r="L953" s="1286"/>
      <c r="M953" s="1286"/>
      <c r="N953" s="188"/>
      <c r="O953" s="188"/>
      <c r="P953" s="330"/>
      <c r="Q953" s="330"/>
      <c r="R953" s="187"/>
      <c r="U953" s="331" t="str">
        <f ca="1">Calculos!CK$244</f>
        <v>-</v>
      </c>
      <c r="V953" s="332"/>
      <c r="W953" s="1"/>
    </row>
    <row r="954" spans="1:23" ht="20.100000000000001" customHeight="1" x14ac:dyDescent="0.25">
      <c r="A954" s="18"/>
      <c r="B954" s="18"/>
      <c r="C954" s="18"/>
      <c r="D954" s="7"/>
      <c r="E954" s="326"/>
      <c r="F954" s="1471"/>
      <c r="G954" s="1471"/>
      <c r="H954" s="1471"/>
      <c r="I954" s="1471"/>
      <c r="J954" s="1472" t="s">
        <v>80</v>
      </c>
      <c r="K954" s="1473"/>
      <c r="L954" s="1473"/>
      <c r="M954" s="1474"/>
      <c r="N954" s="188"/>
      <c r="O954" s="188"/>
      <c r="P954" s="330"/>
      <c r="Q954" s="330"/>
      <c r="R954" s="187" t="s">
        <v>10</v>
      </c>
      <c r="U954" s="331" t="str">
        <f ca="1">Calculos!CK$245</f>
        <v>-</v>
      </c>
      <c r="V954" s="332"/>
      <c r="W954" s="1"/>
    </row>
    <row r="955" spans="1:23" ht="20.100000000000001" customHeight="1" x14ac:dyDescent="0.25">
      <c r="A955" s="18"/>
      <c r="B955" s="18"/>
      <c r="C955" s="18"/>
      <c r="D955" s="7"/>
      <c r="E955" s="326"/>
      <c r="V955" s="332"/>
      <c r="W955" s="1"/>
    </row>
    <row r="956" spans="1:23" ht="20.100000000000001" hidden="1" customHeight="1" x14ac:dyDescent="0.25">
      <c r="A956" s="18"/>
      <c r="B956" s="18"/>
      <c r="C956" s="18"/>
      <c r="D956" s="7"/>
      <c r="E956" s="326"/>
      <c r="V956" s="332"/>
      <c r="W956" s="1"/>
    </row>
    <row r="957" spans="1:23" ht="20.100000000000001" hidden="1" customHeight="1" x14ac:dyDescent="0.25">
      <c r="A957" s="18"/>
      <c r="B957" s="18"/>
      <c r="C957" s="18"/>
      <c r="D957" s="7"/>
      <c r="E957" s="326"/>
      <c r="V957" s="332"/>
      <c r="W957" s="1"/>
    </row>
    <row r="958" spans="1:23" ht="20.100000000000001" customHeight="1" x14ac:dyDescent="0.25">
      <c r="A958" s="18"/>
      <c r="B958" s="18"/>
      <c r="C958" s="18"/>
      <c r="D958" s="7"/>
      <c r="E958" s="326"/>
      <c r="V958" s="332"/>
      <c r="W958" s="1"/>
    </row>
    <row r="959" spans="1:23" ht="45" customHeight="1" x14ac:dyDescent="0.25">
      <c r="A959" s="18"/>
      <c r="B959" s="18"/>
      <c r="C959" s="18"/>
      <c r="D959" s="7"/>
      <c r="E959" s="326"/>
      <c r="F959" s="1475" t="s">
        <v>8621</v>
      </c>
      <c r="G959" s="1476"/>
      <c r="H959" s="1476"/>
      <c r="I959" s="1476"/>
      <c r="J959" s="1476"/>
      <c r="K959" s="1476"/>
      <c r="L959" s="1476"/>
      <c r="M959" s="1476"/>
      <c r="N959" s="333" t="str">
        <f ca="1">"Concentração"&amp;" "&amp;Calculos!$BJ$3</f>
        <v>Concentração -</v>
      </c>
      <c r="O959" s="333" t="s">
        <v>6038</v>
      </c>
      <c r="P959" s="333" t="s">
        <v>8126</v>
      </c>
      <c r="Q959" s="333" t="s">
        <v>8028</v>
      </c>
      <c r="R959" s="333" t="s">
        <v>8603</v>
      </c>
      <c r="S959" s="333" t="s">
        <v>8127</v>
      </c>
      <c r="U959" s="328" t="s">
        <v>119</v>
      </c>
      <c r="V959" s="332"/>
      <c r="W959" s="1"/>
    </row>
    <row r="960" spans="1:23" ht="20.100000000000001" customHeight="1" x14ac:dyDescent="0.25">
      <c r="A960" s="18"/>
      <c r="B960" s="18"/>
      <c r="C960" s="18"/>
      <c r="D960" s="7"/>
      <c r="E960" s="326"/>
      <c r="F960" s="1471" t="str">
        <f ca="1">Calculos!$BJ$6</f>
        <v>-</v>
      </c>
      <c r="G960" s="1471"/>
      <c r="H960" s="1471"/>
      <c r="I960" s="1471"/>
      <c r="J960" s="1472" t="s">
        <v>7103</v>
      </c>
      <c r="K960" s="1473"/>
      <c r="L960" s="1473"/>
      <c r="M960" s="1474"/>
      <c r="N960" s="334"/>
      <c r="O960" s="334"/>
      <c r="P960" s="335"/>
      <c r="Q960" s="335"/>
      <c r="R960" s="335">
        <v>0</v>
      </c>
      <c r="S960" s="331">
        <f>O960/2</f>
        <v>0</v>
      </c>
      <c r="U960" s="331" t="str">
        <f ca="1">Calculos!CK$250</f>
        <v>-</v>
      </c>
      <c r="V960" s="332"/>
      <c r="W960" s="1"/>
    </row>
    <row r="961" spans="1:23" ht="20.100000000000001" customHeight="1" x14ac:dyDescent="0.25">
      <c r="A961" s="18"/>
      <c r="B961" s="18"/>
      <c r="C961" s="18"/>
      <c r="D961" s="7"/>
      <c r="E961" s="326"/>
      <c r="F961" s="1471"/>
      <c r="G961" s="1471"/>
      <c r="H961" s="1471"/>
      <c r="I961" s="1471"/>
      <c r="J961" s="1286" t="s">
        <v>8027</v>
      </c>
      <c r="K961" s="1286"/>
      <c r="L961" s="1286"/>
      <c r="M961" s="1286"/>
      <c r="N961" s="334"/>
      <c r="O961" s="334"/>
      <c r="P961" s="335"/>
      <c r="Q961" s="335"/>
      <c r="R961" s="335"/>
      <c r="U961" s="331" t="str">
        <f ca="1">Calculos!CK$251</f>
        <v>-</v>
      </c>
      <c r="V961" s="332"/>
      <c r="W961" s="1"/>
    </row>
    <row r="962" spans="1:23" ht="20.100000000000001" customHeight="1" x14ac:dyDescent="0.25">
      <c r="A962" s="18"/>
      <c r="B962" s="18"/>
      <c r="C962" s="18"/>
      <c r="D962" s="7"/>
      <c r="E962" s="326"/>
      <c r="F962" s="1471"/>
      <c r="G962" s="1471"/>
      <c r="H962" s="1471"/>
      <c r="I962" s="1471"/>
      <c r="J962" s="1286"/>
      <c r="K962" s="1286"/>
      <c r="L962" s="1286"/>
      <c r="M962" s="1286"/>
      <c r="N962" s="334"/>
      <c r="O962" s="334"/>
      <c r="P962" s="335"/>
      <c r="Q962" s="335"/>
      <c r="R962" s="335"/>
      <c r="U962" s="331" t="str">
        <f ca="1">Calculos!CK$252</f>
        <v>-</v>
      </c>
      <c r="V962" s="332"/>
      <c r="W962" s="1"/>
    </row>
    <row r="963" spans="1:23" ht="20.100000000000001" customHeight="1" x14ac:dyDescent="0.25">
      <c r="A963" s="18"/>
      <c r="B963" s="18"/>
      <c r="C963" s="18"/>
      <c r="D963" s="7"/>
      <c r="E963" s="326"/>
      <c r="F963" s="1471"/>
      <c r="G963" s="1471"/>
      <c r="H963" s="1471"/>
      <c r="I963" s="1471"/>
      <c r="J963" s="1286"/>
      <c r="K963" s="1286"/>
      <c r="L963" s="1286"/>
      <c r="M963" s="1286"/>
      <c r="N963" s="334"/>
      <c r="O963" s="334"/>
      <c r="P963" s="335"/>
      <c r="Q963" s="335"/>
      <c r="R963" s="335"/>
      <c r="U963" s="331" t="str">
        <f ca="1">Calculos!CK$253</f>
        <v>-</v>
      </c>
      <c r="V963" s="332"/>
      <c r="W963" s="1"/>
    </row>
    <row r="964" spans="1:23" ht="20.100000000000001" customHeight="1" x14ac:dyDescent="0.25">
      <c r="A964" s="18"/>
      <c r="B964" s="18"/>
      <c r="C964" s="18"/>
      <c r="D964" s="7"/>
      <c r="E964" s="326"/>
      <c r="F964" s="1471"/>
      <c r="G964" s="1471"/>
      <c r="H964" s="1471"/>
      <c r="I964" s="1471"/>
      <c r="J964" s="1286"/>
      <c r="K964" s="1286"/>
      <c r="L964" s="1286"/>
      <c r="M964" s="1286"/>
      <c r="N964" s="334"/>
      <c r="O964" s="334"/>
      <c r="P964" s="335"/>
      <c r="Q964" s="335"/>
      <c r="R964" s="335"/>
      <c r="U964" s="331" t="str">
        <f ca="1">Calculos!CK$254</f>
        <v>-</v>
      </c>
      <c r="V964" s="332"/>
      <c r="W964" s="1"/>
    </row>
    <row r="965" spans="1:23" ht="20.100000000000001" customHeight="1" x14ac:dyDescent="0.25">
      <c r="A965" s="18"/>
      <c r="B965" s="18"/>
      <c r="C965" s="18"/>
      <c r="D965" s="7"/>
      <c r="E965" s="326"/>
      <c r="F965" s="1471"/>
      <c r="G965" s="1471"/>
      <c r="H965" s="1471"/>
      <c r="I965" s="1471"/>
      <c r="J965" s="1286"/>
      <c r="K965" s="1286"/>
      <c r="L965" s="1286"/>
      <c r="M965" s="1286"/>
      <c r="N965" s="334"/>
      <c r="O965" s="334"/>
      <c r="P965" s="335"/>
      <c r="Q965" s="335"/>
      <c r="R965" s="335"/>
      <c r="U965" s="331" t="str">
        <f ca="1">Calculos!CK$255</f>
        <v>-</v>
      </c>
      <c r="V965" s="332"/>
      <c r="W965" s="1"/>
    </row>
    <row r="966" spans="1:23" ht="20.100000000000001" customHeight="1" x14ac:dyDescent="0.25">
      <c r="A966" s="18"/>
      <c r="B966" s="18"/>
      <c r="C966" s="18"/>
      <c r="D966" s="7"/>
      <c r="E966" s="326"/>
      <c r="F966" s="1471"/>
      <c r="G966" s="1471"/>
      <c r="H966" s="1471"/>
      <c r="I966" s="1471"/>
      <c r="J966" s="1286"/>
      <c r="K966" s="1286"/>
      <c r="L966" s="1286"/>
      <c r="M966" s="1286"/>
      <c r="N966" s="334"/>
      <c r="O966" s="334"/>
      <c r="P966" s="335"/>
      <c r="Q966" s="335"/>
      <c r="R966" s="335"/>
      <c r="U966" s="331" t="str">
        <f ca="1">Calculos!CK$256</f>
        <v>-</v>
      </c>
      <c r="V966" s="332"/>
      <c r="W966" s="1"/>
    </row>
    <row r="967" spans="1:23" ht="20.100000000000001" customHeight="1" x14ac:dyDescent="0.25">
      <c r="A967" s="18"/>
      <c r="B967" s="18"/>
      <c r="C967" s="18"/>
      <c r="D967" s="7"/>
      <c r="E967" s="326"/>
      <c r="F967" s="1471"/>
      <c r="G967" s="1471"/>
      <c r="H967" s="1471"/>
      <c r="I967" s="1471"/>
      <c r="J967" s="1286"/>
      <c r="K967" s="1286"/>
      <c r="L967" s="1286"/>
      <c r="M967" s="1286"/>
      <c r="N967" s="334"/>
      <c r="O967" s="334"/>
      <c r="P967" s="335"/>
      <c r="Q967" s="335"/>
      <c r="R967" s="335"/>
      <c r="U967" s="331" t="str">
        <f ca="1">Calculos!CK$257</f>
        <v>-</v>
      </c>
      <c r="V967" s="332"/>
      <c r="W967" s="7"/>
    </row>
    <row r="968" spans="1:23" ht="20.100000000000001" customHeight="1" x14ac:dyDescent="0.25">
      <c r="A968" s="18"/>
      <c r="B968" s="18"/>
      <c r="C968" s="18"/>
      <c r="D968" s="7"/>
      <c r="E968" s="326"/>
      <c r="F968" s="1471"/>
      <c r="G968" s="1471"/>
      <c r="H968" s="1471"/>
      <c r="I968" s="1471"/>
      <c r="J968" s="1286"/>
      <c r="K968" s="1286"/>
      <c r="L968" s="1286"/>
      <c r="M968" s="1286"/>
      <c r="N968" s="334"/>
      <c r="O968" s="334"/>
      <c r="P968" s="335"/>
      <c r="Q968" s="335"/>
      <c r="R968" s="335"/>
      <c r="U968" s="331" t="str">
        <f ca="1">Calculos!CK$258</f>
        <v>-</v>
      </c>
      <c r="V968" s="332"/>
      <c r="W968" s="7"/>
    </row>
    <row r="969" spans="1:23" ht="20.100000000000001" customHeight="1" x14ac:dyDescent="0.25">
      <c r="A969" s="18"/>
      <c r="B969" s="18"/>
      <c r="C969" s="18"/>
      <c r="D969" s="7"/>
      <c r="E969" s="326"/>
      <c r="F969" s="1471"/>
      <c r="G969" s="1471"/>
      <c r="H969" s="1471"/>
      <c r="I969" s="1471"/>
      <c r="J969" s="1286"/>
      <c r="K969" s="1286"/>
      <c r="L969" s="1286"/>
      <c r="M969" s="1286"/>
      <c r="N969" s="334"/>
      <c r="O969" s="334"/>
      <c r="P969" s="335"/>
      <c r="Q969" s="335"/>
      <c r="R969" s="335"/>
      <c r="U969" s="331" t="str">
        <f ca="1">Calculos!CK$259</f>
        <v>-</v>
      </c>
      <c r="V969" s="332"/>
      <c r="W969" s="1"/>
    </row>
    <row r="970" spans="1:23" ht="20.100000000000001" customHeight="1" x14ac:dyDescent="0.25">
      <c r="A970" s="18"/>
      <c r="B970" s="18"/>
      <c r="C970" s="18"/>
      <c r="D970" s="7"/>
      <c r="E970" s="326"/>
      <c r="F970" s="1471"/>
      <c r="G970" s="1471"/>
      <c r="H970" s="1471"/>
      <c r="I970" s="1471"/>
      <c r="J970" s="1286"/>
      <c r="K970" s="1286"/>
      <c r="L970" s="1286"/>
      <c r="M970" s="1286"/>
      <c r="N970" s="334"/>
      <c r="O970" s="334"/>
      <c r="P970" s="335"/>
      <c r="Q970" s="335"/>
      <c r="R970" s="335"/>
      <c r="U970" s="331" t="str">
        <f ca="1">Calculos!CK$260</f>
        <v>-</v>
      </c>
      <c r="V970" s="329"/>
      <c r="W970" s="1"/>
    </row>
    <row r="971" spans="1:23" ht="20.100000000000001" customHeight="1" x14ac:dyDescent="0.25">
      <c r="A971" s="18"/>
      <c r="B971" s="18"/>
      <c r="C971" s="18"/>
      <c r="D971" s="7"/>
      <c r="E971" s="326"/>
      <c r="F971" s="1471"/>
      <c r="G971" s="1471"/>
      <c r="H971" s="1471"/>
      <c r="I971" s="1471"/>
      <c r="J971" s="1472" t="s">
        <v>80</v>
      </c>
      <c r="K971" s="1473"/>
      <c r="L971" s="1473"/>
      <c r="M971" s="1474"/>
      <c r="N971" s="334"/>
      <c r="O971" s="334"/>
      <c r="P971" s="335"/>
      <c r="Q971" s="335"/>
      <c r="R971" s="335" t="s">
        <v>10</v>
      </c>
      <c r="U971" s="331" t="str">
        <f ca="1">Calculos!CK$261</f>
        <v>-</v>
      </c>
      <c r="V971" s="329"/>
      <c r="W971" s="1"/>
    </row>
    <row r="972" spans="1:23" ht="20.100000000000001" hidden="1" customHeight="1" x14ac:dyDescent="0.25">
      <c r="A972" s="18"/>
      <c r="B972" s="18"/>
      <c r="C972" s="18"/>
      <c r="D972" s="7"/>
      <c r="E972" s="326"/>
      <c r="V972" s="329"/>
      <c r="W972" s="1"/>
    </row>
    <row r="973" spans="1:23" ht="20.100000000000001" customHeight="1" x14ac:dyDescent="0.25">
      <c r="A973" s="18"/>
      <c r="B973" s="18"/>
      <c r="C973" s="18"/>
      <c r="D973" s="7"/>
      <c r="E973" s="336"/>
      <c r="F973" s="337"/>
      <c r="G973" s="337"/>
      <c r="H973" s="337"/>
      <c r="I973" s="337"/>
      <c r="J973" s="337"/>
      <c r="K973" s="337"/>
      <c r="L973" s="337"/>
      <c r="M973" s="337"/>
      <c r="N973" s="337"/>
      <c r="O973" s="337"/>
      <c r="P973" s="337"/>
      <c r="Q973" s="337"/>
      <c r="R973" s="337"/>
      <c r="S973" s="337"/>
      <c r="T973" s="337"/>
      <c r="U973" s="337"/>
      <c r="V973" s="338"/>
      <c r="W973" s="1"/>
    </row>
    <row r="974" spans="1:23" ht="30" customHeight="1" x14ac:dyDescent="0.25">
      <c r="A974" s="18"/>
      <c r="B974" s="18"/>
      <c r="C974" s="18"/>
      <c r="D974" s="7"/>
      <c r="E974" s="1"/>
      <c r="F974" s="1"/>
      <c r="G974" s="1"/>
      <c r="H974" s="1"/>
      <c r="I974" s="1"/>
      <c r="J974" s="1"/>
      <c r="K974" s="1"/>
      <c r="L974" s="1"/>
      <c r="M974" s="1"/>
      <c r="N974" s="1"/>
      <c r="O974" s="1"/>
      <c r="P974" s="1"/>
      <c r="Q974" s="1"/>
      <c r="R974" s="1"/>
      <c r="S974" s="1"/>
      <c r="T974" s="1"/>
      <c r="U974" s="1"/>
      <c r="V974" s="1"/>
      <c r="W974" s="1"/>
    </row>
    <row r="975" spans="1:23" ht="20.100000000000001" customHeight="1" x14ac:dyDescent="0.25">
      <c r="A975" s="18"/>
      <c r="B975" s="18"/>
      <c r="C975" s="18"/>
      <c r="D975" s="7"/>
      <c r="E975" s="321"/>
      <c r="F975" s="322"/>
      <c r="G975" s="323"/>
      <c r="H975" s="323"/>
      <c r="I975" s="323"/>
      <c r="J975" s="323"/>
      <c r="K975" s="323"/>
      <c r="L975" s="323"/>
      <c r="M975" s="323"/>
      <c r="N975" s="323"/>
      <c r="O975" s="323"/>
      <c r="P975" s="323"/>
      <c r="Q975" s="323"/>
      <c r="R975" s="323"/>
      <c r="S975" s="339"/>
      <c r="T975" s="339"/>
      <c r="U975" s="340"/>
      <c r="V975" s="325"/>
      <c r="W975" s="1"/>
    </row>
    <row r="976" spans="1:23" ht="45" customHeight="1" x14ac:dyDescent="0.25">
      <c r="A976" s="18"/>
      <c r="B976" s="18"/>
      <c r="C976" s="18"/>
      <c r="D976" s="7"/>
      <c r="E976" s="326"/>
      <c r="F976" s="1469" t="s">
        <v>8613</v>
      </c>
      <c r="G976" s="1470"/>
      <c r="H976" s="1470"/>
      <c r="I976" s="1470"/>
      <c r="J976" s="1470"/>
      <c r="K976" s="1470"/>
      <c r="L976" s="1470"/>
      <c r="M976" s="1470"/>
      <c r="N976" s="327" t="str">
        <f ca="1">"Concentração"&amp;" "&amp;Calculos!$BJ$3</f>
        <v>Concentração -</v>
      </c>
      <c r="O976" s="327" t="s">
        <v>6038</v>
      </c>
      <c r="P976" s="327" t="s">
        <v>8126</v>
      </c>
      <c r="Q976" s="327" t="s">
        <v>8028</v>
      </c>
      <c r="R976" s="327" t="s">
        <v>8603</v>
      </c>
      <c r="S976" s="327" t="s">
        <v>8127</v>
      </c>
      <c r="U976" s="328" t="s">
        <v>119</v>
      </c>
      <c r="V976" s="332"/>
      <c r="W976" s="1"/>
    </row>
    <row r="977" spans="1:23" ht="20.100000000000001" customHeight="1" x14ac:dyDescent="0.25">
      <c r="A977" s="18"/>
      <c r="B977" s="18"/>
      <c r="C977" s="18"/>
      <c r="D977" s="7"/>
      <c r="E977" s="326"/>
      <c r="F977" s="1471" t="str">
        <f ca="1">Calculos!$BJ$6</f>
        <v>-</v>
      </c>
      <c r="G977" s="1471"/>
      <c r="H977" s="1471"/>
      <c r="I977" s="1471"/>
      <c r="J977" s="1472" t="s">
        <v>7103</v>
      </c>
      <c r="K977" s="1473"/>
      <c r="L977" s="1473"/>
      <c r="M977" s="1474"/>
      <c r="N977" s="188"/>
      <c r="O977" s="188"/>
      <c r="P977" s="330"/>
      <c r="Q977" s="330"/>
      <c r="R977" s="187">
        <v>0</v>
      </c>
      <c r="S977" s="331">
        <f>O977/2</f>
        <v>0</v>
      </c>
      <c r="U977" s="331" t="str">
        <f ca="1">Calculos!CK$266</f>
        <v>-</v>
      </c>
      <c r="V977" s="332"/>
      <c r="W977" s="1"/>
    </row>
    <row r="978" spans="1:23" ht="20.100000000000001" customHeight="1" x14ac:dyDescent="0.25">
      <c r="A978" s="18"/>
      <c r="B978" s="18"/>
      <c r="C978" s="18"/>
      <c r="D978" s="7"/>
      <c r="E978" s="326"/>
      <c r="F978" s="1471"/>
      <c r="G978" s="1471"/>
      <c r="H978" s="1471"/>
      <c r="I978" s="1471"/>
      <c r="J978" s="1286" t="s">
        <v>8027</v>
      </c>
      <c r="K978" s="1286"/>
      <c r="L978" s="1286"/>
      <c r="M978" s="1286"/>
      <c r="N978" s="188"/>
      <c r="O978" s="188"/>
      <c r="P978" s="330"/>
      <c r="Q978" s="330"/>
      <c r="R978" s="187"/>
      <c r="U978" s="331" t="str">
        <f ca="1">Calculos!CK$267</f>
        <v>-</v>
      </c>
      <c r="V978" s="332"/>
      <c r="W978" s="1"/>
    </row>
    <row r="979" spans="1:23" ht="20.100000000000001" customHeight="1" x14ac:dyDescent="0.25">
      <c r="A979" s="18"/>
      <c r="B979" s="18"/>
      <c r="C979" s="18"/>
      <c r="D979" s="7"/>
      <c r="E979" s="326"/>
      <c r="F979" s="1471"/>
      <c r="G979" s="1471"/>
      <c r="H979" s="1471"/>
      <c r="I979" s="1471"/>
      <c r="J979" s="1286"/>
      <c r="K979" s="1286"/>
      <c r="L979" s="1286"/>
      <c r="M979" s="1286"/>
      <c r="N979" s="188"/>
      <c r="O979" s="188"/>
      <c r="P979" s="330"/>
      <c r="Q979" s="330"/>
      <c r="R979" s="187"/>
      <c r="U979" s="331" t="str">
        <f ca="1">Calculos!CK$268</f>
        <v>-</v>
      </c>
      <c r="V979" s="332"/>
      <c r="W979" s="1"/>
    </row>
    <row r="980" spans="1:23" ht="20.100000000000001" customHeight="1" x14ac:dyDescent="0.25">
      <c r="A980" s="18"/>
      <c r="B980" s="18"/>
      <c r="C980" s="18"/>
      <c r="D980" s="7"/>
      <c r="E980" s="326"/>
      <c r="F980" s="1471"/>
      <c r="G980" s="1471"/>
      <c r="H980" s="1471"/>
      <c r="I980" s="1471"/>
      <c r="J980" s="1286"/>
      <c r="K980" s="1286"/>
      <c r="L980" s="1286"/>
      <c r="M980" s="1286"/>
      <c r="N980" s="188"/>
      <c r="O980" s="188"/>
      <c r="P980" s="330"/>
      <c r="Q980" s="330"/>
      <c r="R980" s="187"/>
      <c r="U980" s="331" t="str">
        <f ca="1">Calculos!CK$269</f>
        <v>-</v>
      </c>
      <c r="V980" s="332"/>
      <c r="W980" s="1"/>
    </row>
    <row r="981" spans="1:23" ht="20.100000000000001" customHeight="1" x14ac:dyDescent="0.25">
      <c r="A981" s="18"/>
      <c r="B981" s="18"/>
      <c r="C981" s="18"/>
      <c r="D981" s="7"/>
      <c r="E981" s="326"/>
      <c r="F981" s="1471"/>
      <c r="G981" s="1471"/>
      <c r="H981" s="1471"/>
      <c r="I981" s="1471"/>
      <c r="J981" s="1286"/>
      <c r="K981" s="1286"/>
      <c r="L981" s="1286"/>
      <c r="M981" s="1286"/>
      <c r="N981" s="188"/>
      <c r="O981" s="188"/>
      <c r="P981" s="330"/>
      <c r="Q981" s="330"/>
      <c r="R981" s="187"/>
      <c r="U981" s="331" t="str">
        <f ca="1">Calculos!CK$270</f>
        <v>-</v>
      </c>
      <c r="V981" s="332"/>
      <c r="W981" s="1"/>
    </row>
    <row r="982" spans="1:23" ht="20.100000000000001" customHeight="1" x14ac:dyDescent="0.25">
      <c r="A982" s="18"/>
      <c r="B982" s="18"/>
      <c r="C982" s="18"/>
      <c r="D982" s="7"/>
      <c r="E982" s="326"/>
      <c r="F982" s="1471"/>
      <c r="G982" s="1471"/>
      <c r="H982" s="1471"/>
      <c r="I982" s="1471"/>
      <c r="J982" s="1286"/>
      <c r="K982" s="1286"/>
      <c r="L982" s="1286"/>
      <c r="M982" s="1286"/>
      <c r="N982" s="188"/>
      <c r="O982" s="188"/>
      <c r="P982" s="330"/>
      <c r="Q982" s="330"/>
      <c r="R982" s="187"/>
      <c r="U982" s="331" t="str">
        <f ca="1">Calculos!CK$271</f>
        <v>-</v>
      </c>
      <c r="V982" s="332"/>
      <c r="W982" s="1"/>
    </row>
    <row r="983" spans="1:23" ht="20.100000000000001" customHeight="1" x14ac:dyDescent="0.25">
      <c r="A983" s="18"/>
      <c r="B983" s="18"/>
      <c r="C983" s="18"/>
      <c r="D983" s="7"/>
      <c r="E983" s="326"/>
      <c r="F983" s="1471"/>
      <c r="G983" s="1471"/>
      <c r="H983" s="1471"/>
      <c r="I983" s="1471"/>
      <c r="J983" s="1286"/>
      <c r="K983" s="1286"/>
      <c r="L983" s="1286"/>
      <c r="M983" s="1286"/>
      <c r="N983" s="188"/>
      <c r="O983" s="188"/>
      <c r="P983" s="330"/>
      <c r="Q983" s="330"/>
      <c r="R983" s="187"/>
      <c r="U983" s="331" t="str">
        <f ca="1">Calculos!CK$272</f>
        <v>-</v>
      </c>
      <c r="V983" s="332"/>
      <c r="W983" s="1"/>
    </row>
    <row r="984" spans="1:23" ht="20.100000000000001" customHeight="1" x14ac:dyDescent="0.25">
      <c r="A984" s="18"/>
      <c r="B984" s="18"/>
      <c r="C984" s="18"/>
      <c r="D984" s="7"/>
      <c r="E984" s="326"/>
      <c r="F984" s="1471"/>
      <c r="G984" s="1471"/>
      <c r="H984" s="1471"/>
      <c r="I984" s="1471"/>
      <c r="J984" s="1286"/>
      <c r="K984" s="1286"/>
      <c r="L984" s="1286"/>
      <c r="M984" s="1286"/>
      <c r="N984" s="188"/>
      <c r="O984" s="188"/>
      <c r="P984" s="330"/>
      <c r="Q984" s="330"/>
      <c r="R984" s="187"/>
      <c r="U984" s="331" t="str">
        <f ca="1">Calculos!CK$273</f>
        <v>-</v>
      </c>
      <c r="V984" s="332"/>
      <c r="W984" s="7"/>
    </row>
    <row r="985" spans="1:23" ht="20.100000000000001" customHeight="1" x14ac:dyDescent="0.25">
      <c r="A985" s="18"/>
      <c r="B985" s="18"/>
      <c r="C985" s="18"/>
      <c r="D985" s="7"/>
      <c r="E985" s="326"/>
      <c r="F985" s="1471"/>
      <c r="G985" s="1471"/>
      <c r="H985" s="1471"/>
      <c r="I985" s="1471"/>
      <c r="J985" s="1286"/>
      <c r="K985" s="1286"/>
      <c r="L985" s="1286"/>
      <c r="M985" s="1286"/>
      <c r="N985" s="188"/>
      <c r="O985" s="188"/>
      <c r="P985" s="330"/>
      <c r="Q985" s="330"/>
      <c r="R985" s="187"/>
      <c r="U985" s="331" t="str">
        <f ca="1">Calculos!CK$274</f>
        <v>-</v>
      </c>
      <c r="V985" s="332"/>
      <c r="W985" s="7"/>
    </row>
    <row r="986" spans="1:23" ht="20.100000000000001" customHeight="1" x14ac:dyDescent="0.25">
      <c r="A986" s="18"/>
      <c r="B986" s="18"/>
      <c r="C986" s="18"/>
      <c r="D986" s="7"/>
      <c r="E986" s="326"/>
      <c r="F986" s="1471"/>
      <c r="G986" s="1471"/>
      <c r="H986" s="1471"/>
      <c r="I986" s="1471"/>
      <c r="J986" s="1286"/>
      <c r="K986" s="1286"/>
      <c r="L986" s="1286"/>
      <c r="M986" s="1286"/>
      <c r="N986" s="188"/>
      <c r="O986" s="188"/>
      <c r="P986" s="330"/>
      <c r="Q986" s="330"/>
      <c r="R986" s="187"/>
      <c r="U986" s="331" t="str">
        <f ca="1">Calculos!CK$275</f>
        <v>-</v>
      </c>
      <c r="V986" s="332"/>
      <c r="W986" s="1"/>
    </row>
    <row r="987" spans="1:23" ht="20.100000000000001" customHeight="1" x14ac:dyDescent="0.25">
      <c r="A987" s="18"/>
      <c r="B987" s="18"/>
      <c r="C987" s="18"/>
      <c r="D987" s="7"/>
      <c r="E987" s="326"/>
      <c r="F987" s="1471"/>
      <c r="G987" s="1471"/>
      <c r="H987" s="1471"/>
      <c r="I987" s="1471"/>
      <c r="J987" s="1286"/>
      <c r="K987" s="1286"/>
      <c r="L987" s="1286"/>
      <c r="M987" s="1286"/>
      <c r="N987" s="188"/>
      <c r="O987" s="188"/>
      <c r="P987" s="330"/>
      <c r="Q987" s="330"/>
      <c r="R987" s="187"/>
      <c r="U987" s="331" t="str">
        <f ca="1">Calculos!CK$276</f>
        <v>-</v>
      </c>
      <c r="V987" s="332"/>
      <c r="W987" s="1"/>
    </row>
    <row r="988" spans="1:23" ht="20.100000000000001" customHeight="1" x14ac:dyDescent="0.25">
      <c r="A988" s="18"/>
      <c r="B988" s="18"/>
      <c r="C988" s="18"/>
      <c r="D988" s="7"/>
      <c r="E988" s="326"/>
      <c r="F988" s="1471"/>
      <c r="G988" s="1471"/>
      <c r="H988" s="1471"/>
      <c r="I988" s="1471"/>
      <c r="J988" s="1472" t="s">
        <v>80</v>
      </c>
      <c r="K988" s="1473"/>
      <c r="L988" s="1473"/>
      <c r="M988" s="1474"/>
      <c r="N988" s="188"/>
      <c r="O988" s="188"/>
      <c r="P988" s="330"/>
      <c r="Q988" s="330"/>
      <c r="R988" s="187" t="s">
        <v>10</v>
      </c>
      <c r="U988" s="331" t="str">
        <f ca="1">Calculos!CK$277</f>
        <v>-</v>
      </c>
      <c r="V988" s="332"/>
      <c r="W988" s="1"/>
    </row>
    <row r="989" spans="1:23" ht="20.100000000000001" customHeight="1" x14ac:dyDescent="0.25">
      <c r="A989" s="18"/>
      <c r="B989" s="18"/>
      <c r="C989" s="18"/>
      <c r="D989" s="7"/>
      <c r="E989" s="326"/>
      <c r="V989" s="332"/>
      <c r="W989" s="1"/>
    </row>
    <row r="990" spans="1:23" ht="20.100000000000001" hidden="1" customHeight="1" x14ac:dyDescent="0.25">
      <c r="A990" s="18"/>
      <c r="B990" s="18"/>
      <c r="C990" s="18"/>
      <c r="D990" s="7"/>
      <c r="E990" s="326"/>
      <c r="V990" s="332"/>
      <c r="W990" s="1"/>
    </row>
    <row r="991" spans="1:23" ht="20.100000000000001" hidden="1" customHeight="1" x14ac:dyDescent="0.25">
      <c r="A991" s="18"/>
      <c r="B991" s="18"/>
      <c r="C991" s="18"/>
      <c r="D991" s="7"/>
      <c r="E991" s="326"/>
      <c r="V991" s="332"/>
      <c r="W991" s="1"/>
    </row>
    <row r="992" spans="1:23" ht="20.100000000000001" customHeight="1" x14ac:dyDescent="0.25">
      <c r="A992" s="18"/>
      <c r="B992" s="18"/>
      <c r="C992" s="18"/>
      <c r="D992" s="7"/>
      <c r="E992" s="326"/>
      <c r="V992" s="332"/>
      <c r="W992" s="1"/>
    </row>
    <row r="993" spans="1:23" ht="45" customHeight="1" x14ac:dyDescent="0.25">
      <c r="A993" s="18"/>
      <c r="B993" s="18"/>
      <c r="C993" s="18"/>
      <c r="D993" s="7"/>
      <c r="E993" s="326"/>
      <c r="F993" s="1475" t="s">
        <v>8622</v>
      </c>
      <c r="G993" s="1476"/>
      <c r="H993" s="1476"/>
      <c r="I993" s="1476"/>
      <c r="J993" s="1476"/>
      <c r="K993" s="1476"/>
      <c r="L993" s="1476"/>
      <c r="M993" s="1476"/>
      <c r="N993" s="333" t="str">
        <f ca="1">"Concentração"&amp;" "&amp;Calculos!$BJ$3</f>
        <v>Concentração -</v>
      </c>
      <c r="O993" s="333" t="s">
        <v>6038</v>
      </c>
      <c r="P993" s="333" t="s">
        <v>8126</v>
      </c>
      <c r="Q993" s="333" t="s">
        <v>8028</v>
      </c>
      <c r="R993" s="333" t="s">
        <v>8603</v>
      </c>
      <c r="S993" s="333" t="s">
        <v>8127</v>
      </c>
      <c r="U993" s="328" t="s">
        <v>119</v>
      </c>
      <c r="V993" s="332"/>
      <c r="W993" s="1"/>
    </row>
    <row r="994" spans="1:23" ht="20.100000000000001" customHeight="1" x14ac:dyDescent="0.25">
      <c r="A994" s="18"/>
      <c r="B994" s="18"/>
      <c r="C994" s="18"/>
      <c r="D994" s="7"/>
      <c r="E994" s="326"/>
      <c r="F994" s="1471" t="str">
        <f ca="1">Calculos!$BJ$6</f>
        <v>-</v>
      </c>
      <c r="G994" s="1471"/>
      <c r="H994" s="1471"/>
      <c r="I994" s="1471"/>
      <c r="J994" s="1472" t="s">
        <v>7103</v>
      </c>
      <c r="K994" s="1473"/>
      <c r="L994" s="1473"/>
      <c r="M994" s="1474"/>
      <c r="N994" s="334"/>
      <c r="O994" s="334"/>
      <c r="P994" s="335"/>
      <c r="Q994" s="335"/>
      <c r="R994" s="335">
        <v>0</v>
      </c>
      <c r="S994" s="331">
        <f>O994/2</f>
        <v>0</v>
      </c>
      <c r="U994" s="331" t="str">
        <f ca="1">Calculos!CK$282</f>
        <v>-</v>
      </c>
      <c r="V994" s="332"/>
      <c r="W994" s="1"/>
    </row>
    <row r="995" spans="1:23" ht="20.100000000000001" customHeight="1" x14ac:dyDescent="0.25">
      <c r="A995" s="18"/>
      <c r="B995" s="18"/>
      <c r="C995" s="18"/>
      <c r="D995" s="7"/>
      <c r="E995" s="326"/>
      <c r="F995" s="1471"/>
      <c r="G995" s="1471"/>
      <c r="H995" s="1471"/>
      <c r="I995" s="1471"/>
      <c r="J995" s="1286" t="s">
        <v>8027</v>
      </c>
      <c r="K995" s="1286"/>
      <c r="L995" s="1286"/>
      <c r="M995" s="1286"/>
      <c r="N995" s="334"/>
      <c r="O995" s="334"/>
      <c r="P995" s="335"/>
      <c r="Q995" s="335"/>
      <c r="R995" s="335"/>
      <c r="U995" s="331" t="str">
        <f ca="1">Calculos!CK$283</f>
        <v>-</v>
      </c>
      <c r="V995" s="332"/>
      <c r="W995" s="1"/>
    </row>
    <row r="996" spans="1:23" ht="20.100000000000001" customHeight="1" x14ac:dyDescent="0.25">
      <c r="A996" s="18"/>
      <c r="B996" s="18"/>
      <c r="C996" s="18"/>
      <c r="D996" s="7"/>
      <c r="E996" s="326"/>
      <c r="F996" s="1471"/>
      <c r="G996" s="1471"/>
      <c r="H996" s="1471"/>
      <c r="I996" s="1471"/>
      <c r="J996" s="1286"/>
      <c r="K996" s="1286"/>
      <c r="L996" s="1286"/>
      <c r="M996" s="1286"/>
      <c r="N996" s="334"/>
      <c r="O996" s="334"/>
      <c r="P996" s="335"/>
      <c r="Q996" s="335"/>
      <c r="R996" s="335"/>
      <c r="U996" s="331" t="str">
        <f ca="1">Calculos!CK$284</f>
        <v>-</v>
      </c>
      <c r="V996" s="332"/>
      <c r="W996" s="1"/>
    </row>
    <row r="997" spans="1:23" ht="20.100000000000001" customHeight="1" x14ac:dyDescent="0.25">
      <c r="A997" s="18"/>
      <c r="B997" s="18"/>
      <c r="C997" s="18"/>
      <c r="D997" s="7"/>
      <c r="E997" s="326"/>
      <c r="F997" s="1471"/>
      <c r="G997" s="1471"/>
      <c r="H997" s="1471"/>
      <c r="I997" s="1471"/>
      <c r="J997" s="1286"/>
      <c r="K997" s="1286"/>
      <c r="L997" s="1286"/>
      <c r="M997" s="1286"/>
      <c r="N997" s="334"/>
      <c r="O997" s="334"/>
      <c r="P997" s="335"/>
      <c r="Q997" s="335"/>
      <c r="R997" s="335"/>
      <c r="U997" s="331" t="str">
        <f ca="1">Calculos!CK$285</f>
        <v>-</v>
      </c>
      <c r="V997" s="332"/>
      <c r="W997" s="1"/>
    </row>
    <row r="998" spans="1:23" ht="20.100000000000001" customHeight="1" x14ac:dyDescent="0.25">
      <c r="A998" s="18"/>
      <c r="B998" s="18"/>
      <c r="C998" s="18"/>
      <c r="D998" s="7"/>
      <c r="E998" s="326"/>
      <c r="F998" s="1471"/>
      <c r="G998" s="1471"/>
      <c r="H998" s="1471"/>
      <c r="I998" s="1471"/>
      <c r="J998" s="1286"/>
      <c r="K998" s="1286"/>
      <c r="L998" s="1286"/>
      <c r="M998" s="1286"/>
      <c r="N998" s="334"/>
      <c r="O998" s="334"/>
      <c r="P998" s="335"/>
      <c r="Q998" s="335"/>
      <c r="R998" s="335"/>
      <c r="U998" s="331" t="str">
        <f ca="1">Calculos!CK$286</f>
        <v>-</v>
      </c>
      <c r="V998" s="332"/>
      <c r="W998" s="1"/>
    </row>
    <row r="999" spans="1:23" ht="20.100000000000001" customHeight="1" x14ac:dyDescent="0.25">
      <c r="A999" s="18"/>
      <c r="B999" s="18"/>
      <c r="C999" s="18"/>
      <c r="D999" s="7"/>
      <c r="E999" s="326"/>
      <c r="F999" s="1471"/>
      <c r="G999" s="1471"/>
      <c r="H999" s="1471"/>
      <c r="I999" s="1471"/>
      <c r="J999" s="1286"/>
      <c r="K999" s="1286"/>
      <c r="L999" s="1286"/>
      <c r="M999" s="1286"/>
      <c r="N999" s="334"/>
      <c r="O999" s="334"/>
      <c r="P999" s="335"/>
      <c r="Q999" s="335"/>
      <c r="R999" s="335"/>
      <c r="U999" s="331" t="str">
        <f ca="1">Calculos!CK$287</f>
        <v>-</v>
      </c>
      <c r="V999" s="332"/>
      <c r="W999" s="1"/>
    </row>
    <row r="1000" spans="1:23" ht="20.100000000000001" customHeight="1" x14ac:dyDescent="0.25">
      <c r="A1000" s="18"/>
      <c r="B1000" s="18"/>
      <c r="C1000" s="18"/>
      <c r="D1000" s="7"/>
      <c r="E1000" s="326"/>
      <c r="F1000" s="1471"/>
      <c r="G1000" s="1471"/>
      <c r="H1000" s="1471"/>
      <c r="I1000" s="1471"/>
      <c r="J1000" s="1286"/>
      <c r="K1000" s="1286"/>
      <c r="L1000" s="1286"/>
      <c r="M1000" s="1286"/>
      <c r="N1000" s="334"/>
      <c r="O1000" s="334"/>
      <c r="P1000" s="335"/>
      <c r="Q1000" s="335"/>
      <c r="R1000" s="335"/>
      <c r="U1000" s="331" t="str">
        <f ca="1">Calculos!CK$288</f>
        <v>-</v>
      </c>
      <c r="V1000" s="332"/>
      <c r="W1000" s="1"/>
    </row>
    <row r="1001" spans="1:23" ht="20.100000000000001" customHeight="1" x14ac:dyDescent="0.25">
      <c r="A1001" s="18"/>
      <c r="B1001" s="18"/>
      <c r="C1001" s="18"/>
      <c r="D1001" s="7"/>
      <c r="E1001" s="326"/>
      <c r="F1001" s="1471"/>
      <c r="G1001" s="1471"/>
      <c r="H1001" s="1471"/>
      <c r="I1001" s="1471"/>
      <c r="J1001" s="1286"/>
      <c r="K1001" s="1286"/>
      <c r="L1001" s="1286"/>
      <c r="M1001" s="1286"/>
      <c r="N1001" s="334"/>
      <c r="O1001" s="334"/>
      <c r="P1001" s="335"/>
      <c r="Q1001" s="335"/>
      <c r="R1001" s="335"/>
      <c r="U1001" s="331" t="str">
        <f ca="1">Calculos!CK$289</f>
        <v>-</v>
      </c>
      <c r="V1001" s="332"/>
      <c r="W1001" s="1"/>
    </row>
    <row r="1002" spans="1:23" ht="20.100000000000001" customHeight="1" x14ac:dyDescent="0.25">
      <c r="A1002" s="18"/>
      <c r="B1002" s="18"/>
      <c r="C1002" s="18"/>
      <c r="D1002" s="7"/>
      <c r="E1002" s="326"/>
      <c r="F1002" s="1471"/>
      <c r="G1002" s="1471"/>
      <c r="H1002" s="1471"/>
      <c r="I1002" s="1471"/>
      <c r="J1002" s="1286"/>
      <c r="K1002" s="1286"/>
      <c r="L1002" s="1286"/>
      <c r="M1002" s="1286"/>
      <c r="N1002" s="334"/>
      <c r="O1002" s="334"/>
      <c r="P1002" s="335"/>
      <c r="Q1002" s="335"/>
      <c r="R1002" s="335"/>
      <c r="U1002" s="331" t="str">
        <f ca="1">Calculos!CK$290</f>
        <v>-</v>
      </c>
      <c r="V1002" s="332"/>
      <c r="W1002" s="1"/>
    </row>
    <row r="1003" spans="1:23" ht="20.100000000000001" customHeight="1" x14ac:dyDescent="0.25">
      <c r="A1003" s="18"/>
      <c r="B1003" s="18"/>
      <c r="C1003" s="18"/>
      <c r="D1003" s="7"/>
      <c r="E1003" s="326"/>
      <c r="F1003" s="1471"/>
      <c r="G1003" s="1471"/>
      <c r="H1003" s="1471"/>
      <c r="I1003" s="1471"/>
      <c r="J1003" s="1286"/>
      <c r="K1003" s="1286"/>
      <c r="L1003" s="1286"/>
      <c r="M1003" s="1286"/>
      <c r="N1003" s="334"/>
      <c r="O1003" s="334"/>
      <c r="P1003" s="335"/>
      <c r="Q1003" s="335"/>
      <c r="R1003" s="335"/>
      <c r="U1003" s="331" t="str">
        <f ca="1">Calculos!CK$291</f>
        <v>-</v>
      </c>
      <c r="V1003" s="332"/>
      <c r="W1003" s="1"/>
    </row>
    <row r="1004" spans="1:23" ht="20.100000000000001" customHeight="1" x14ac:dyDescent="0.25">
      <c r="A1004" s="18"/>
      <c r="B1004" s="18"/>
      <c r="C1004" s="18"/>
      <c r="D1004" s="7"/>
      <c r="E1004" s="326"/>
      <c r="F1004" s="1471"/>
      <c r="G1004" s="1471"/>
      <c r="H1004" s="1471"/>
      <c r="I1004" s="1471"/>
      <c r="J1004" s="1286"/>
      <c r="K1004" s="1286"/>
      <c r="L1004" s="1286"/>
      <c r="M1004" s="1286"/>
      <c r="N1004" s="334"/>
      <c r="O1004" s="334"/>
      <c r="P1004" s="335"/>
      <c r="Q1004" s="335"/>
      <c r="R1004" s="335"/>
      <c r="U1004" s="331" t="str">
        <f ca="1">Calculos!CK$292</f>
        <v>-</v>
      </c>
      <c r="V1004" s="329"/>
      <c r="W1004" s="1"/>
    </row>
    <row r="1005" spans="1:23" ht="20.100000000000001" customHeight="1" x14ac:dyDescent="0.25">
      <c r="A1005" s="18"/>
      <c r="B1005" s="18"/>
      <c r="C1005" s="18"/>
      <c r="D1005" s="7"/>
      <c r="E1005" s="326"/>
      <c r="F1005" s="1471"/>
      <c r="G1005" s="1471"/>
      <c r="H1005" s="1471"/>
      <c r="I1005" s="1471"/>
      <c r="J1005" s="1472" t="s">
        <v>80</v>
      </c>
      <c r="K1005" s="1473"/>
      <c r="L1005" s="1473"/>
      <c r="M1005" s="1474"/>
      <c r="N1005" s="334"/>
      <c r="O1005" s="334"/>
      <c r="P1005" s="335"/>
      <c r="Q1005" s="335"/>
      <c r="R1005" s="335" t="s">
        <v>10</v>
      </c>
      <c r="U1005" s="331" t="str">
        <f ca="1">Calculos!CK$293</f>
        <v>-</v>
      </c>
      <c r="V1005" s="329"/>
      <c r="W1005" s="1"/>
    </row>
    <row r="1006" spans="1:23" ht="20.100000000000001" hidden="1" customHeight="1" x14ac:dyDescent="0.25">
      <c r="A1006" s="18"/>
      <c r="B1006" s="18"/>
      <c r="C1006" s="18"/>
      <c r="D1006" s="7"/>
      <c r="E1006" s="326"/>
      <c r="V1006" s="329"/>
      <c r="W1006" s="7"/>
    </row>
    <row r="1007" spans="1:23" ht="20.100000000000001" customHeight="1" x14ac:dyDescent="0.25">
      <c r="A1007" s="18"/>
      <c r="B1007" s="18"/>
      <c r="C1007" s="18"/>
      <c r="D1007" s="7"/>
      <c r="E1007" s="336"/>
      <c r="F1007" s="337"/>
      <c r="G1007" s="337"/>
      <c r="H1007" s="337"/>
      <c r="I1007" s="337"/>
      <c r="J1007" s="337"/>
      <c r="K1007" s="337"/>
      <c r="L1007" s="337"/>
      <c r="M1007" s="337"/>
      <c r="N1007" s="337"/>
      <c r="O1007" s="337"/>
      <c r="P1007" s="337"/>
      <c r="Q1007" s="337"/>
      <c r="R1007" s="337"/>
      <c r="S1007" s="337"/>
      <c r="T1007" s="337"/>
      <c r="U1007" s="337"/>
      <c r="V1007" s="338"/>
      <c r="W1007" s="7"/>
    </row>
    <row r="1008" spans="1:23" ht="30" customHeight="1" x14ac:dyDescent="0.25">
      <c r="A1008" s="18"/>
      <c r="B1008" s="18"/>
      <c r="C1008" s="18"/>
      <c r="D1008" s="7"/>
      <c r="E1008" s="1"/>
      <c r="F1008" s="1"/>
      <c r="G1008" s="1"/>
      <c r="H1008" s="1"/>
      <c r="I1008" s="1"/>
      <c r="J1008" s="1"/>
      <c r="K1008" s="1"/>
      <c r="L1008" s="1"/>
      <c r="M1008" s="1"/>
      <c r="N1008" s="1"/>
      <c r="O1008" s="1"/>
      <c r="P1008" s="1"/>
      <c r="Q1008" s="1"/>
      <c r="R1008" s="1"/>
      <c r="S1008" s="1"/>
      <c r="T1008" s="1"/>
      <c r="U1008" s="1"/>
      <c r="V1008" s="1"/>
      <c r="W1008" s="1"/>
    </row>
    <row r="1009" spans="1:23" ht="20.100000000000001" customHeight="1" x14ac:dyDescent="0.25">
      <c r="A1009" s="18"/>
      <c r="B1009" s="18"/>
      <c r="C1009" s="18"/>
      <c r="D1009" s="7"/>
      <c r="E1009" s="321"/>
      <c r="F1009" s="322"/>
      <c r="G1009" s="323"/>
      <c r="H1009" s="323"/>
      <c r="I1009" s="323"/>
      <c r="J1009" s="323"/>
      <c r="K1009" s="323"/>
      <c r="L1009" s="323"/>
      <c r="M1009" s="323"/>
      <c r="N1009" s="323"/>
      <c r="O1009" s="323"/>
      <c r="P1009" s="323"/>
      <c r="Q1009" s="323"/>
      <c r="R1009" s="323"/>
      <c r="S1009" s="339"/>
      <c r="T1009" s="339"/>
      <c r="U1009" s="340"/>
      <c r="V1009" s="325"/>
      <c r="W1009" s="1"/>
    </row>
    <row r="1010" spans="1:23" ht="45" customHeight="1" x14ac:dyDescent="0.25">
      <c r="A1010" s="18"/>
      <c r="B1010" s="18"/>
      <c r="C1010" s="18"/>
      <c r="D1010" s="7"/>
      <c r="E1010" s="326"/>
      <c r="F1010" s="1469" t="s">
        <v>8614</v>
      </c>
      <c r="G1010" s="1470"/>
      <c r="H1010" s="1470"/>
      <c r="I1010" s="1470"/>
      <c r="J1010" s="1470"/>
      <c r="K1010" s="1470"/>
      <c r="L1010" s="1470"/>
      <c r="M1010" s="1470"/>
      <c r="N1010" s="327" t="str">
        <f ca="1">"Concentração"&amp;" "&amp;Calculos!$BJ$3</f>
        <v>Concentração -</v>
      </c>
      <c r="O1010" s="327" t="s">
        <v>6038</v>
      </c>
      <c r="P1010" s="327" t="s">
        <v>8126</v>
      </c>
      <c r="Q1010" s="327" t="s">
        <v>8028</v>
      </c>
      <c r="R1010" s="327" t="s">
        <v>8603</v>
      </c>
      <c r="S1010" s="327" t="s">
        <v>8127</v>
      </c>
      <c r="U1010" s="328" t="s">
        <v>119</v>
      </c>
      <c r="V1010" s="332"/>
      <c r="W1010" s="1"/>
    </row>
    <row r="1011" spans="1:23" ht="20.100000000000001" customHeight="1" x14ac:dyDescent="0.25">
      <c r="A1011" s="18"/>
      <c r="B1011" s="18"/>
      <c r="C1011" s="18"/>
      <c r="D1011" s="7"/>
      <c r="E1011" s="326"/>
      <c r="F1011" s="1471" t="str">
        <f ca="1">Calculos!$BJ$6</f>
        <v>-</v>
      </c>
      <c r="G1011" s="1471"/>
      <c r="H1011" s="1471"/>
      <c r="I1011" s="1471"/>
      <c r="J1011" s="1472" t="s">
        <v>7103</v>
      </c>
      <c r="K1011" s="1473"/>
      <c r="L1011" s="1473"/>
      <c r="M1011" s="1474"/>
      <c r="N1011" s="188"/>
      <c r="O1011" s="188"/>
      <c r="P1011" s="330"/>
      <c r="Q1011" s="330"/>
      <c r="R1011" s="187">
        <v>0</v>
      </c>
      <c r="S1011" s="331">
        <f>O1011/2</f>
        <v>0</v>
      </c>
      <c r="U1011" s="331" t="str">
        <f ca="1">Calculos!CK$298</f>
        <v>-</v>
      </c>
      <c r="V1011" s="332"/>
      <c r="W1011" s="1"/>
    </row>
    <row r="1012" spans="1:23" ht="20.100000000000001" customHeight="1" x14ac:dyDescent="0.25">
      <c r="A1012" s="18"/>
      <c r="B1012" s="18"/>
      <c r="C1012" s="18"/>
      <c r="D1012" s="7"/>
      <c r="E1012" s="326"/>
      <c r="F1012" s="1471"/>
      <c r="G1012" s="1471"/>
      <c r="H1012" s="1471"/>
      <c r="I1012" s="1471"/>
      <c r="J1012" s="1286" t="s">
        <v>8027</v>
      </c>
      <c r="K1012" s="1286"/>
      <c r="L1012" s="1286"/>
      <c r="M1012" s="1286"/>
      <c r="N1012" s="188"/>
      <c r="O1012" s="188"/>
      <c r="P1012" s="330"/>
      <c r="Q1012" s="330"/>
      <c r="R1012" s="187"/>
      <c r="U1012" s="331" t="str">
        <f ca="1">Calculos!CK$299</f>
        <v>-</v>
      </c>
      <c r="V1012" s="332"/>
      <c r="W1012" s="1"/>
    </row>
    <row r="1013" spans="1:23" ht="20.100000000000001" customHeight="1" x14ac:dyDescent="0.25">
      <c r="A1013" s="18"/>
      <c r="B1013" s="18"/>
      <c r="C1013" s="18"/>
      <c r="D1013" s="7"/>
      <c r="E1013" s="326"/>
      <c r="F1013" s="1471"/>
      <c r="G1013" s="1471"/>
      <c r="H1013" s="1471"/>
      <c r="I1013" s="1471"/>
      <c r="J1013" s="1286"/>
      <c r="K1013" s="1286"/>
      <c r="L1013" s="1286"/>
      <c r="M1013" s="1286"/>
      <c r="N1013" s="188"/>
      <c r="O1013" s="188"/>
      <c r="P1013" s="330"/>
      <c r="Q1013" s="330"/>
      <c r="R1013" s="187"/>
      <c r="U1013" s="331" t="str">
        <f ca="1">Calculos!CK$300</f>
        <v>-</v>
      </c>
      <c r="V1013" s="332"/>
      <c r="W1013" s="1"/>
    </row>
    <row r="1014" spans="1:23" ht="20.100000000000001" customHeight="1" x14ac:dyDescent="0.25">
      <c r="A1014" s="18"/>
      <c r="B1014" s="18"/>
      <c r="C1014" s="18"/>
      <c r="D1014" s="7"/>
      <c r="E1014" s="326"/>
      <c r="F1014" s="1471"/>
      <c r="G1014" s="1471"/>
      <c r="H1014" s="1471"/>
      <c r="I1014" s="1471"/>
      <c r="J1014" s="1286"/>
      <c r="K1014" s="1286"/>
      <c r="L1014" s="1286"/>
      <c r="M1014" s="1286"/>
      <c r="N1014" s="188"/>
      <c r="O1014" s="188"/>
      <c r="P1014" s="330"/>
      <c r="Q1014" s="330"/>
      <c r="R1014" s="187"/>
      <c r="U1014" s="331" t="str">
        <f ca="1">Calculos!CK$301</f>
        <v>-</v>
      </c>
      <c r="V1014" s="332"/>
      <c r="W1014" s="1"/>
    </row>
    <row r="1015" spans="1:23" ht="20.100000000000001" customHeight="1" x14ac:dyDescent="0.25">
      <c r="A1015" s="18"/>
      <c r="B1015" s="18"/>
      <c r="C1015" s="18"/>
      <c r="D1015" s="7"/>
      <c r="E1015" s="326"/>
      <c r="F1015" s="1471"/>
      <c r="G1015" s="1471"/>
      <c r="H1015" s="1471"/>
      <c r="I1015" s="1471"/>
      <c r="J1015" s="1286"/>
      <c r="K1015" s="1286"/>
      <c r="L1015" s="1286"/>
      <c r="M1015" s="1286"/>
      <c r="N1015" s="188"/>
      <c r="O1015" s="188"/>
      <c r="P1015" s="330"/>
      <c r="Q1015" s="330"/>
      <c r="R1015" s="187"/>
      <c r="U1015" s="331" t="str">
        <f ca="1">Calculos!CK$302</f>
        <v>-</v>
      </c>
      <c r="V1015" s="332"/>
      <c r="W1015" s="1"/>
    </row>
    <row r="1016" spans="1:23" ht="20.100000000000001" customHeight="1" x14ac:dyDescent="0.25">
      <c r="A1016" s="18"/>
      <c r="B1016" s="18"/>
      <c r="C1016" s="18"/>
      <c r="D1016" s="7"/>
      <c r="E1016" s="326"/>
      <c r="F1016" s="1471"/>
      <c r="G1016" s="1471"/>
      <c r="H1016" s="1471"/>
      <c r="I1016" s="1471"/>
      <c r="J1016" s="1286"/>
      <c r="K1016" s="1286"/>
      <c r="L1016" s="1286"/>
      <c r="M1016" s="1286"/>
      <c r="N1016" s="188"/>
      <c r="O1016" s="188"/>
      <c r="P1016" s="330"/>
      <c r="Q1016" s="330"/>
      <c r="R1016" s="187"/>
      <c r="U1016" s="331" t="str">
        <f ca="1">Calculos!CK$303</f>
        <v>-</v>
      </c>
      <c r="V1016" s="332"/>
      <c r="W1016" s="1"/>
    </row>
    <row r="1017" spans="1:23" ht="20.100000000000001" customHeight="1" x14ac:dyDescent="0.25">
      <c r="A1017" s="18"/>
      <c r="B1017" s="18"/>
      <c r="C1017" s="18"/>
      <c r="D1017" s="7"/>
      <c r="E1017" s="326"/>
      <c r="F1017" s="1471"/>
      <c r="G1017" s="1471"/>
      <c r="H1017" s="1471"/>
      <c r="I1017" s="1471"/>
      <c r="J1017" s="1286"/>
      <c r="K1017" s="1286"/>
      <c r="L1017" s="1286"/>
      <c r="M1017" s="1286"/>
      <c r="N1017" s="188"/>
      <c r="O1017" s="188"/>
      <c r="P1017" s="330"/>
      <c r="Q1017" s="330"/>
      <c r="R1017" s="187"/>
      <c r="U1017" s="331" t="str">
        <f ca="1">Calculos!CK$304</f>
        <v>-</v>
      </c>
      <c r="V1017" s="332"/>
      <c r="W1017" s="1"/>
    </row>
    <row r="1018" spans="1:23" ht="20.100000000000001" customHeight="1" x14ac:dyDescent="0.25">
      <c r="A1018" s="18"/>
      <c r="B1018" s="18"/>
      <c r="C1018" s="18"/>
      <c r="D1018" s="7"/>
      <c r="E1018" s="326"/>
      <c r="F1018" s="1471"/>
      <c r="G1018" s="1471"/>
      <c r="H1018" s="1471"/>
      <c r="I1018" s="1471"/>
      <c r="J1018" s="1286"/>
      <c r="K1018" s="1286"/>
      <c r="L1018" s="1286"/>
      <c r="M1018" s="1286"/>
      <c r="N1018" s="188"/>
      <c r="O1018" s="188"/>
      <c r="P1018" s="330"/>
      <c r="Q1018" s="330"/>
      <c r="R1018" s="187"/>
      <c r="U1018" s="331" t="str">
        <f ca="1">Calculos!CK$305</f>
        <v>-</v>
      </c>
      <c r="V1018" s="332"/>
      <c r="W1018" s="1"/>
    </row>
    <row r="1019" spans="1:23" ht="20.100000000000001" customHeight="1" x14ac:dyDescent="0.25">
      <c r="A1019" s="18"/>
      <c r="B1019" s="18"/>
      <c r="C1019" s="18"/>
      <c r="D1019" s="7"/>
      <c r="E1019" s="326"/>
      <c r="F1019" s="1471"/>
      <c r="G1019" s="1471"/>
      <c r="H1019" s="1471"/>
      <c r="I1019" s="1471"/>
      <c r="J1019" s="1286"/>
      <c r="K1019" s="1286"/>
      <c r="L1019" s="1286"/>
      <c r="M1019" s="1286"/>
      <c r="N1019" s="188"/>
      <c r="O1019" s="188"/>
      <c r="P1019" s="330"/>
      <c r="Q1019" s="330"/>
      <c r="R1019" s="187"/>
      <c r="U1019" s="331" t="str">
        <f ca="1">Calculos!CK$306</f>
        <v>-</v>
      </c>
      <c r="V1019" s="332"/>
      <c r="W1019" s="1"/>
    </row>
    <row r="1020" spans="1:23" ht="20.100000000000001" customHeight="1" x14ac:dyDescent="0.25">
      <c r="A1020" s="18"/>
      <c r="B1020" s="18"/>
      <c r="C1020" s="18"/>
      <c r="D1020" s="7"/>
      <c r="E1020" s="326"/>
      <c r="F1020" s="1471"/>
      <c r="G1020" s="1471"/>
      <c r="H1020" s="1471"/>
      <c r="I1020" s="1471"/>
      <c r="J1020" s="1286"/>
      <c r="K1020" s="1286"/>
      <c r="L1020" s="1286"/>
      <c r="M1020" s="1286"/>
      <c r="N1020" s="188"/>
      <c r="O1020" s="188"/>
      <c r="P1020" s="330"/>
      <c r="Q1020" s="330"/>
      <c r="R1020" s="187"/>
      <c r="U1020" s="331" t="str">
        <f ca="1">Calculos!CK$307</f>
        <v>-</v>
      </c>
      <c r="V1020" s="332"/>
      <c r="W1020" s="1"/>
    </row>
    <row r="1021" spans="1:23" ht="20.100000000000001" customHeight="1" x14ac:dyDescent="0.25">
      <c r="A1021" s="18"/>
      <c r="B1021" s="18"/>
      <c r="C1021" s="18"/>
      <c r="D1021" s="7"/>
      <c r="E1021" s="326"/>
      <c r="F1021" s="1471"/>
      <c r="G1021" s="1471"/>
      <c r="H1021" s="1471"/>
      <c r="I1021" s="1471"/>
      <c r="J1021" s="1286"/>
      <c r="K1021" s="1286"/>
      <c r="L1021" s="1286"/>
      <c r="M1021" s="1286"/>
      <c r="N1021" s="188"/>
      <c r="O1021" s="188"/>
      <c r="P1021" s="330"/>
      <c r="Q1021" s="330"/>
      <c r="R1021" s="187"/>
      <c r="U1021" s="331" t="str">
        <f ca="1">Calculos!CK$308</f>
        <v>-</v>
      </c>
      <c r="V1021" s="332"/>
      <c r="W1021" s="1"/>
    </row>
    <row r="1022" spans="1:23" ht="20.100000000000001" customHeight="1" x14ac:dyDescent="0.25">
      <c r="A1022" s="18"/>
      <c r="B1022" s="18"/>
      <c r="C1022" s="18"/>
      <c r="D1022" s="7"/>
      <c r="E1022" s="326"/>
      <c r="F1022" s="1471"/>
      <c r="G1022" s="1471"/>
      <c r="H1022" s="1471"/>
      <c r="I1022" s="1471"/>
      <c r="J1022" s="1472" t="s">
        <v>80</v>
      </c>
      <c r="K1022" s="1473"/>
      <c r="L1022" s="1473"/>
      <c r="M1022" s="1474"/>
      <c r="N1022" s="188"/>
      <c r="O1022" s="188"/>
      <c r="P1022" s="330"/>
      <c r="Q1022" s="330"/>
      <c r="R1022" s="187" t="s">
        <v>10</v>
      </c>
      <c r="U1022" s="331" t="str">
        <f ca="1">Calculos!CK$309</f>
        <v>-</v>
      </c>
      <c r="V1022" s="332"/>
      <c r="W1022" s="1"/>
    </row>
    <row r="1023" spans="1:23" ht="20.100000000000001" customHeight="1" x14ac:dyDescent="0.25">
      <c r="A1023" s="18"/>
      <c r="B1023" s="18"/>
      <c r="C1023" s="18"/>
      <c r="D1023" s="7"/>
      <c r="E1023" s="326"/>
      <c r="V1023" s="332"/>
      <c r="W1023" s="7"/>
    </row>
    <row r="1024" spans="1:23" ht="20.100000000000001" hidden="1" customHeight="1" x14ac:dyDescent="0.25">
      <c r="A1024" s="18"/>
      <c r="B1024" s="18"/>
      <c r="C1024" s="18"/>
      <c r="D1024" s="7"/>
      <c r="E1024" s="326"/>
      <c r="V1024" s="332"/>
      <c r="W1024" s="7"/>
    </row>
    <row r="1025" spans="1:23" ht="20.100000000000001" hidden="1" customHeight="1" x14ac:dyDescent="0.25">
      <c r="A1025" s="18"/>
      <c r="B1025" s="18"/>
      <c r="C1025" s="18"/>
      <c r="D1025" s="7"/>
      <c r="E1025" s="326"/>
      <c r="V1025" s="332"/>
      <c r="W1025" s="1"/>
    </row>
    <row r="1026" spans="1:23" ht="20.100000000000001" customHeight="1" x14ac:dyDescent="0.25">
      <c r="A1026" s="18"/>
      <c r="B1026" s="18"/>
      <c r="C1026" s="18"/>
      <c r="D1026" s="7"/>
      <c r="E1026" s="326"/>
      <c r="V1026" s="332"/>
      <c r="W1026" s="1"/>
    </row>
    <row r="1027" spans="1:23" ht="45" customHeight="1" x14ac:dyDescent="0.25">
      <c r="A1027" s="18"/>
      <c r="B1027" s="18"/>
      <c r="C1027" s="18"/>
      <c r="D1027" s="7"/>
      <c r="E1027" s="326"/>
      <c r="F1027" s="1475" t="s">
        <v>8623</v>
      </c>
      <c r="G1027" s="1476"/>
      <c r="H1027" s="1476"/>
      <c r="I1027" s="1476"/>
      <c r="J1027" s="1476"/>
      <c r="K1027" s="1476"/>
      <c r="L1027" s="1476"/>
      <c r="M1027" s="1476"/>
      <c r="N1027" s="333" t="str">
        <f ca="1">"Concentração"&amp;" "&amp;Calculos!$BJ$3</f>
        <v>Concentração -</v>
      </c>
      <c r="O1027" s="333" t="s">
        <v>6038</v>
      </c>
      <c r="P1027" s="333" t="s">
        <v>8126</v>
      </c>
      <c r="Q1027" s="333" t="s">
        <v>8028</v>
      </c>
      <c r="R1027" s="333" t="s">
        <v>8603</v>
      </c>
      <c r="S1027" s="333" t="s">
        <v>8127</v>
      </c>
      <c r="U1027" s="328" t="s">
        <v>119</v>
      </c>
      <c r="V1027" s="332"/>
      <c r="W1027" s="1"/>
    </row>
    <row r="1028" spans="1:23" ht="20.100000000000001" customHeight="1" x14ac:dyDescent="0.25">
      <c r="A1028" s="18"/>
      <c r="B1028" s="18"/>
      <c r="C1028" s="18"/>
      <c r="D1028" s="7"/>
      <c r="E1028" s="326"/>
      <c r="F1028" s="1471" t="str">
        <f ca="1">Calculos!$BJ$6</f>
        <v>-</v>
      </c>
      <c r="G1028" s="1471"/>
      <c r="H1028" s="1471"/>
      <c r="I1028" s="1471"/>
      <c r="J1028" s="1472" t="s">
        <v>7103</v>
      </c>
      <c r="K1028" s="1473"/>
      <c r="L1028" s="1473"/>
      <c r="M1028" s="1474"/>
      <c r="N1028" s="334"/>
      <c r="O1028" s="334"/>
      <c r="P1028" s="335"/>
      <c r="Q1028" s="335"/>
      <c r="R1028" s="335">
        <v>0</v>
      </c>
      <c r="S1028" s="331">
        <f>O1028/2</f>
        <v>0</v>
      </c>
      <c r="U1028" s="331" t="str">
        <f ca="1">Calculos!CK$314</f>
        <v>-</v>
      </c>
      <c r="V1028" s="332"/>
      <c r="W1028" s="1"/>
    </row>
    <row r="1029" spans="1:23" ht="20.100000000000001" customHeight="1" x14ac:dyDescent="0.25">
      <c r="A1029" s="18"/>
      <c r="B1029" s="18"/>
      <c r="C1029" s="18"/>
      <c r="D1029" s="7"/>
      <c r="E1029" s="326"/>
      <c r="F1029" s="1471"/>
      <c r="G1029" s="1471"/>
      <c r="H1029" s="1471"/>
      <c r="I1029" s="1471"/>
      <c r="J1029" s="1286" t="s">
        <v>8027</v>
      </c>
      <c r="K1029" s="1286"/>
      <c r="L1029" s="1286"/>
      <c r="M1029" s="1286"/>
      <c r="N1029" s="334"/>
      <c r="O1029" s="334"/>
      <c r="P1029" s="335"/>
      <c r="Q1029" s="335"/>
      <c r="R1029" s="335"/>
      <c r="U1029" s="331" t="str">
        <f ca="1">Calculos!CK$315</f>
        <v>-</v>
      </c>
      <c r="V1029" s="332"/>
      <c r="W1029" s="1"/>
    </row>
    <row r="1030" spans="1:23" ht="20.100000000000001" customHeight="1" x14ac:dyDescent="0.25">
      <c r="A1030" s="18"/>
      <c r="B1030" s="18"/>
      <c r="C1030" s="18"/>
      <c r="D1030" s="7"/>
      <c r="E1030" s="326"/>
      <c r="F1030" s="1471"/>
      <c r="G1030" s="1471"/>
      <c r="H1030" s="1471"/>
      <c r="I1030" s="1471"/>
      <c r="J1030" s="1286"/>
      <c r="K1030" s="1286"/>
      <c r="L1030" s="1286"/>
      <c r="M1030" s="1286"/>
      <c r="N1030" s="334"/>
      <c r="O1030" s="334"/>
      <c r="P1030" s="335"/>
      <c r="Q1030" s="335"/>
      <c r="R1030" s="335"/>
      <c r="U1030" s="331" t="str">
        <f ca="1">Calculos!CK$316</f>
        <v>-</v>
      </c>
      <c r="V1030" s="332"/>
      <c r="W1030" s="1"/>
    </row>
    <row r="1031" spans="1:23" ht="20.100000000000001" customHeight="1" x14ac:dyDescent="0.25">
      <c r="A1031" s="18"/>
      <c r="B1031" s="18"/>
      <c r="C1031" s="18"/>
      <c r="D1031" s="7"/>
      <c r="E1031" s="326"/>
      <c r="F1031" s="1471"/>
      <c r="G1031" s="1471"/>
      <c r="H1031" s="1471"/>
      <c r="I1031" s="1471"/>
      <c r="J1031" s="1286"/>
      <c r="K1031" s="1286"/>
      <c r="L1031" s="1286"/>
      <c r="M1031" s="1286"/>
      <c r="N1031" s="334"/>
      <c r="O1031" s="334"/>
      <c r="P1031" s="335"/>
      <c r="Q1031" s="335"/>
      <c r="R1031" s="335"/>
      <c r="U1031" s="331" t="str">
        <f ca="1">Calculos!CK$317</f>
        <v>-</v>
      </c>
      <c r="V1031" s="332"/>
      <c r="W1031" s="1"/>
    </row>
    <row r="1032" spans="1:23" ht="20.100000000000001" customHeight="1" x14ac:dyDescent="0.25">
      <c r="A1032" s="18"/>
      <c r="B1032" s="18"/>
      <c r="C1032" s="18"/>
      <c r="D1032" s="7"/>
      <c r="E1032" s="326"/>
      <c r="F1032" s="1471"/>
      <c r="G1032" s="1471"/>
      <c r="H1032" s="1471"/>
      <c r="I1032" s="1471"/>
      <c r="J1032" s="1286"/>
      <c r="K1032" s="1286"/>
      <c r="L1032" s="1286"/>
      <c r="M1032" s="1286"/>
      <c r="N1032" s="334"/>
      <c r="O1032" s="334"/>
      <c r="P1032" s="335"/>
      <c r="Q1032" s="335"/>
      <c r="R1032" s="335"/>
      <c r="U1032" s="331" t="str">
        <f ca="1">Calculos!CK$318</f>
        <v>-</v>
      </c>
      <c r="V1032" s="332"/>
      <c r="W1032" s="1"/>
    </row>
    <row r="1033" spans="1:23" ht="20.100000000000001" customHeight="1" x14ac:dyDescent="0.25">
      <c r="A1033" s="18"/>
      <c r="B1033" s="18"/>
      <c r="C1033" s="18"/>
      <c r="D1033" s="7"/>
      <c r="E1033" s="326"/>
      <c r="F1033" s="1471"/>
      <c r="G1033" s="1471"/>
      <c r="H1033" s="1471"/>
      <c r="I1033" s="1471"/>
      <c r="J1033" s="1286"/>
      <c r="K1033" s="1286"/>
      <c r="L1033" s="1286"/>
      <c r="M1033" s="1286"/>
      <c r="N1033" s="334"/>
      <c r="O1033" s="334"/>
      <c r="P1033" s="335"/>
      <c r="Q1033" s="335"/>
      <c r="R1033" s="335"/>
      <c r="U1033" s="331" t="str">
        <f ca="1">Calculos!CK$319</f>
        <v>-</v>
      </c>
      <c r="V1033" s="332"/>
      <c r="W1033" s="1"/>
    </row>
    <row r="1034" spans="1:23" ht="20.100000000000001" customHeight="1" x14ac:dyDescent="0.25">
      <c r="A1034" s="18"/>
      <c r="B1034" s="18"/>
      <c r="C1034" s="18"/>
      <c r="D1034" s="7"/>
      <c r="E1034" s="326"/>
      <c r="F1034" s="1471"/>
      <c r="G1034" s="1471"/>
      <c r="H1034" s="1471"/>
      <c r="I1034" s="1471"/>
      <c r="J1034" s="1286"/>
      <c r="K1034" s="1286"/>
      <c r="L1034" s="1286"/>
      <c r="M1034" s="1286"/>
      <c r="N1034" s="334"/>
      <c r="O1034" s="334"/>
      <c r="P1034" s="335"/>
      <c r="Q1034" s="335"/>
      <c r="R1034" s="335"/>
      <c r="U1034" s="331" t="str">
        <f ca="1">Calculos!CK$320</f>
        <v>-</v>
      </c>
      <c r="V1034" s="332"/>
      <c r="W1034" s="1"/>
    </row>
    <row r="1035" spans="1:23" ht="20.100000000000001" customHeight="1" x14ac:dyDescent="0.25">
      <c r="A1035" s="18"/>
      <c r="B1035" s="18"/>
      <c r="C1035" s="18"/>
      <c r="D1035" s="7"/>
      <c r="E1035" s="326"/>
      <c r="F1035" s="1471"/>
      <c r="G1035" s="1471"/>
      <c r="H1035" s="1471"/>
      <c r="I1035" s="1471"/>
      <c r="J1035" s="1286"/>
      <c r="K1035" s="1286"/>
      <c r="L1035" s="1286"/>
      <c r="M1035" s="1286"/>
      <c r="N1035" s="334"/>
      <c r="O1035" s="334"/>
      <c r="P1035" s="335"/>
      <c r="Q1035" s="335"/>
      <c r="R1035" s="335"/>
      <c r="U1035" s="331" t="str">
        <f ca="1">Calculos!CK$321</f>
        <v>-</v>
      </c>
      <c r="V1035" s="332"/>
      <c r="W1035" s="1"/>
    </row>
    <row r="1036" spans="1:23" ht="20.100000000000001" customHeight="1" x14ac:dyDescent="0.25">
      <c r="A1036" s="18"/>
      <c r="B1036" s="18"/>
      <c r="C1036" s="18"/>
      <c r="D1036" s="7"/>
      <c r="E1036" s="326"/>
      <c r="F1036" s="1471"/>
      <c r="G1036" s="1471"/>
      <c r="H1036" s="1471"/>
      <c r="I1036" s="1471"/>
      <c r="J1036" s="1286"/>
      <c r="K1036" s="1286"/>
      <c r="L1036" s="1286"/>
      <c r="M1036" s="1286"/>
      <c r="N1036" s="334"/>
      <c r="O1036" s="334"/>
      <c r="P1036" s="335"/>
      <c r="Q1036" s="335"/>
      <c r="R1036" s="335"/>
      <c r="U1036" s="331" t="str">
        <f ca="1">Calculos!CK$322</f>
        <v>-</v>
      </c>
      <c r="V1036" s="332"/>
      <c r="W1036" s="1"/>
    </row>
    <row r="1037" spans="1:23" ht="20.100000000000001" customHeight="1" x14ac:dyDescent="0.25">
      <c r="A1037" s="18"/>
      <c r="B1037" s="18"/>
      <c r="C1037" s="18"/>
      <c r="D1037" s="7"/>
      <c r="E1037" s="326"/>
      <c r="F1037" s="1471"/>
      <c r="G1037" s="1471"/>
      <c r="H1037" s="1471"/>
      <c r="I1037" s="1471"/>
      <c r="J1037" s="1286"/>
      <c r="K1037" s="1286"/>
      <c r="L1037" s="1286"/>
      <c r="M1037" s="1286"/>
      <c r="N1037" s="334"/>
      <c r="O1037" s="334"/>
      <c r="P1037" s="335"/>
      <c r="Q1037" s="335"/>
      <c r="R1037" s="335"/>
      <c r="U1037" s="331" t="str">
        <f ca="1">Calculos!CK$323</f>
        <v>-</v>
      </c>
      <c r="V1037" s="332"/>
      <c r="W1037" s="1"/>
    </row>
    <row r="1038" spans="1:23" ht="20.100000000000001" customHeight="1" x14ac:dyDescent="0.25">
      <c r="A1038" s="18"/>
      <c r="B1038" s="18"/>
      <c r="C1038" s="18"/>
      <c r="D1038" s="7"/>
      <c r="E1038" s="326"/>
      <c r="F1038" s="1471"/>
      <c r="G1038" s="1471"/>
      <c r="H1038" s="1471"/>
      <c r="I1038" s="1471"/>
      <c r="J1038" s="1286"/>
      <c r="K1038" s="1286"/>
      <c r="L1038" s="1286"/>
      <c r="M1038" s="1286"/>
      <c r="N1038" s="334"/>
      <c r="O1038" s="334"/>
      <c r="P1038" s="335"/>
      <c r="Q1038" s="335"/>
      <c r="R1038" s="335"/>
      <c r="U1038" s="331" t="str">
        <f ca="1">Calculos!CK$324</f>
        <v>-</v>
      </c>
      <c r="V1038" s="329"/>
      <c r="W1038" s="1"/>
    </row>
    <row r="1039" spans="1:23" ht="20.100000000000001" customHeight="1" x14ac:dyDescent="0.25">
      <c r="A1039" s="18"/>
      <c r="B1039" s="18"/>
      <c r="C1039" s="18"/>
      <c r="D1039" s="7"/>
      <c r="E1039" s="326"/>
      <c r="F1039" s="1471"/>
      <c r="G1039" s="1471"/>
      <c r="H1039" s="1471"/>
      <c r="I1039" s="1471"/>
      <c r="J1039" s="1472" t="s">
        <v>80</v>
      </c>
      <c r="K1039" s="1473"/>
      <c r="L1039" s="1473"/>
      <c r="M1039" s="1474"/>
      <c r="N1039" s="334"/>
      <c r="O1039" s="334"/>
      <c r="P1039" s="335"/>
      <c r="Q1039" s="335"/>
      <c r="R1039" s="335" t="s">
        <v>10</v>
      </c>
      <c r="U1039" s="331" t="str">
        <f ca="1">Calculos!CK$325</f>
        <v>-</v>
      </c>
      <c r="V1039" s="329"/>
      <c r="W1039" s="1"/>
    </row>
    <row r="1040" spans="1:23" ht="20.100000000000001" customHeight="1" x14ac:dyDescent="0.25">
      <c r="A1040" s="18"/>
      <c r="B1040" s="18"/>
      <c r="C1040" s="18"/>
      <c r="D1040" s="7"/>
      <c r="E1040" s="336"/>
      <c r="F1040" s="337"/>
      <c r="G1040" s="337"/>
      <c r="H1040" s="337"/>
      <c r="I1040" s="337"/>
      <c r="J1040" s="337"/>
      <c r="K1040" s="337"/>
      <c r="L1040" s="337"/>
      <c r="M1040" s="337"/>
      <c r="N1040" s="337"/>
      <c r="O1040" s="337"/>
      <c r="P1040" s="337"/>
      <c r="Q1040" s="337"/>
      <c r="R1040" s="337"/>
      <c r="S1040" s="337"/>
      <c r="T1040" s="337"/>
      <c r="U1040" s="337"/>
      <c r="V1040" s="338"/>
      <c r="W1040" s="1"/>
    </row>
    <row r="1041" spans="1:3" s="7" customFormat="1" ht="20.100000000000001" customHeight="1" x14ac:dyDescent="0.25">
      <c r="A1041" s="18"/>
      <c r="B1041" s="18"/>
      <c r="C1041" s="18"/>
    </row>
    <row r="1042" spans="1:3" s="7" customFormat="1" ht="20.100000000000001" customHeight="1" x14ac:dyDescent="0.25">
      <c r="A1042" s="18"/>
      <c r="B1042" s="18"/>
      <c r="C1042" s="18"/>
    </row>
    <row r="1043" spans="1:3" s="7" customFormat="1" ht="20.100000000000001" customHeight="1" x14ac:dyDescent="0.25">
      <c r="A1043" s="18"/>
      <c r="B1043" s="18"/>
      <c r="C1043" s="18"/>
    </row>
    <row r="1044" spans="1:3" s="7" customFormat="1" ht="20.100000000000001" customHeight="1" x14ac:dyDescent="0.25">
      <c r="A1044" s="18"/>
      <c r="B1044" s="18"/>
      <c r="C1044" s="18"/>
    </row>
  </sheetData>
  <sheetProtection algorithmName="SHA-512" hashValue="WRkk8LUGhxFjZc/AA45l31nTmAYiOQxGo8Zp/cl6l35UN5dxbbeIGjfqwP9x9BNdWGcqUhYE2GqlJb27ds+32w==" saltValue="K8OU3c3qOtmtU1nT3fV1XQ==" spinCount="100000" sheet="1" objects="1" scenarios="1" formatColumns="0" formatRows="0"/>
  <mergeCells count="302">
    <mergeCell ref="F1027:M1027"/>
    <mergeCell ref="F1028:I1039"/>
    <mergeCell ref="J1028:M1028"/>
    <mergeCell ref="J1029:M1038"/>
    <mergeCell ref="J1039:M1039"/>
    <mergeCell ref="F993:M993"/>
    <mergeCell ref="F994:I1005"/>
    <mergeCell ref="J994:M994"/>
    <mergeCell ref="J995:M1004"/>
    <mergeCell ref="J1005:M1005"/>
    <mergeCell ref="F1010:M1010"/>
    <mergeCell ref="F1011:I1022"/>
    <mergeCell ref="J1011:M1011"/>
    <mergeCell ref="J1012:M1021"/>
    <mergeCell ref="J1022:M1022"/>
    <mergeCell ref="F959:M959"/>
    <mergeCell ref="F960:I971"/>
    <mergeCell ref="J960:M960"/>
    <mergeCell ref="J961:M970"/>
    <mergeCell ref="J971:M971"/>
    <mergeCell ref="F976:M976"/>
    <mergeCell ref="F977:I988"/>
    <mergeCell ref="J977:M977"/>
    <mergeCell ref="J978:M987"/>
    <mergeCell ref="J988:M988"/>
    <mergeCell ref="J869:M869"/>
    <mergeCell ref="F874:M874"/>
    <mergeCell ref="F875:I886"/>
    <mergeCell ref="J875:M875"/>
    <mergeCell ref="J876:M885"/>
    <mergeCell ref="J886:M886"/>
    <mergeCell ref="F908:M908"/>
    <mergeCell ref="F909:I920"/>
    <mergeCell ref="J909:M909"/>
    <mergeCell ref="J910:M919"/>
    <mergeCell ref="J920:M920"/>
    <mergeCell ref="F891:M891"/>
    <mergeCell ref="F892:I903"/>
    <mergeCell ref="J892:M892"/>
    <mergeCell ref="J893:M902"/>
    <mergeCell ref="J903:M903"/>
    <mergeCell ref="F755:M755"/>
    <mergeCell ref="F756:I767"/>
    <mergeCell ref="J756:M756"/>
    <mergeCell ref="J757:M766"/>
    <mergeCell ref="J824:M824"/>
    <mergeCell ref="F806:M806"/>
    <mergeCell ref="F807:I818"/>
    <mergeCell ref="J807:M807"/>
    <mergeCell ref="J808:M817"/>
    <mergeCell ref="J818:M818"/>
    <mergeCell ref="F823:M823"/>
    <mergeCell ref="F824:I835"/>
    <mergeCell ref="J825:M834"/>
    <mergeCell ref="J835:M835"/>
    <mergeCell ref="F721:M721"/>
    <mergeCell ref="F722:I733"/>
    <mergeCell ref="J722:M722"/>
    <mergeCell ref="J723:M732"/>
    <mergeCell ref="J733:M733"/>
    <mergeCell ref="F738:M738"/>
    <mergeCell ref="F739:I750"/>
    <mergeCell ref="J739:M739"/>
    <mergeCell ref="J740:M749"/>
    <mergeCell ref="J750:M750"/>
    <mergeCell ref="J666:M675"/>
    <mergeCell ref="J676:M676"/>
    <mergeCell ref="F681:M681"/>
    <mergeCell ref="F682:I693"/>
    <mergeCell ref="J682:M682"/>
    <mergeCell ref="J683:M692"/>
    <mergeCell ref="J693:M693"/>
    <mergeCell ref="F704:M704"/>
    <mergeCell ref="F705:I716"/>
    <mergeCell ref="J705:M705"/>
    <mergeCell ref="J706:M715"/>
    <mergeCell ref="J716:M716"/>
    <mergeCell ref="F375:M375"/>
    <mergeCell ref="F376:I387"/>
    <mergeCell ref="J376:M376"/>
    <mergeCell ref="J377:M386"/>
    <mergeCell ref="F562:M562"/>
    <mergeCell ref="F563:I574"/>
    <mergeCell ref="J563:M563"/>
    <mergeCell ref="J564:M573"/>
    <mergeCell ref="J574:M574"/>
    <mergeCell ref="J387:M387"/>
    <mergeCell ref="F392:M392"/>
    <mergeCell ref="F393:I404"/>
    <mergeCell ref="J393:M393"/>
    <mergeCell ref="J394:M403"/>
    <mergeCell ref="J404:M404"/>
    <mergeCell ref="F409:M409"/>
    <mergeCell ref="F410:I421"/>
    <mergeCell ref="J410:M410"/>
    <mergeCell ref="J411:M420"/>
    <mergeCell ref="J421:M421"/>
    <mergeCell ref="F426:M426"/>
    <mergeCell ref="F427:I438"/>
    <mergeCell ref="J427:M427"/>
    <mergeCell ref="J428:M437"/>
    <mergeCell ref="F336:I347"/>
    <mergeCell ref="J336:M336"/>
    <mergeCell ref="J337:M346"/>
    <mergeCell ref="J347:M347"/>
    <mergeCell ref="F358:M358"/>
    <mergeCell ref="F359:I370"/>
    <mergeCell ref="J359:M359"/>
    <mergeCell ref="J360:M369"/>
    <mergeCell ref="J370:M370"/>
    <mergeCell ref="F2:T7"/>
    <mergeCell ref="F284:M284"/>
    <mergeCell ref="F285:I296"/>
    <mergeCell ref="J285:M285"/>
    <mergeCell ref="J286:M295"/>
    <mergeCell ref="J13:M13"/>
    <mergeCell ref="J47:M47"/>
    <mergeCell ref="J166:M166"/>
    <mergeCell ref="J167:M176"/>
    <mergeCell ref="J177:M177"/>
    <mergeCell ref="F182:M182"/>
    <mergeCell ref="F183:I194"/>
    <mergeCell ref="J183:M183"/>
    <mergeCell ref="J184:M193"/>
    <mergeCell ref="J194:M194"/>
    <mergeCell ref="F29:M29"/>
    <mergeCell ref="F30:I41"/>
    <mergeCell ref="J30:M30"/>
    <mergeCell ref="J31:M40"/>
    <mergeCell ref="J41:M41"/>
    <mergeCell ref="F63:M63"/>
    <mergeCell ref="F64:I75"/>
    <mergeCell ref="J64:M64"/>
    <mergeCell ref="J65:M74"/>
    <mergeCell ref="F199:M199"/>
    <mergeCell ref="J313:M313"/>
    <mergeCell ref="F267:M267"/>
    <mergeCell ref="F268:I279"/>
    <mergeCell ref="J126:M126"/>
    <mergeCell ref="J319:M319"/>
    <mergeCell ref="J320:M329"/>
    <mergeCell ref="J330:M330"/>
    <mergeCell ref="F165:M165"/>
    <mergeCell ref="F166:I177"/>
    <mergeCell ref="F233:M233"/>
    <mergeCell ref="F250:M250"/>
    <mergeCell ref="F251:I262"/>
    <mergeCell ref="J251:M251"/>
    <mergeCell ref="J252:M261"/>
    <mergeCell ref="J262:M262"/>
    <mergeCell ref="F234:I245"/>
    <mergeCell ref="J234:M234"/>
    <mergeCell ref="J235:M244"/>
    <mergeCell ref="J245:M245"/>
    <mergeCell ref="J218:M227"/>
    <mergeCell ref="J228:M228"/>
    <mergeCell ref="F200:I211"/>
    <mergeCell ref="F81:I92"/>
    <mergeCell ref="J81:M81"/>
    <mergeCell ref="J82:M91"/>
    <mergeCell ref="J92:M92"/>
    <mergeCell ref="F131:M131"/>
    <mergeCell ref="F132:I143"/>
    <mergeCell ref="J133:M142"/>
    <mergeCell ref="J143:M143"/>
    <mergeCell ref="J132:M132"/>
    <mergeCell ref="F335:M335"/>
    <mergeCell ref="J268:M268"/>
    <mergeCell ref="J269:M278"/>
    <mergeCell ref="J279:M279"/>
    <mergeCell ref="J200:M200"/>
    <mergeCell ref="J201:M210"/>
    <mergeCell ref="J211:M211"/>
    <mergeCell ref="F216:M216"/>
    <mergeCell ref="F217:I228"/>
    <mergeCell ref="J217:M217"/>
    <mergeCell ref="J296:M296"/>
    <mergeCell ref="F301:M301"/>
    <mergeCell ref="F302:I313"/>
    <mergeCell ref="J302:M302"/>
    <mergeCell ref="J303:M312"/>
    <mergeCell ref="F318:M318"/>
    <mergeCell ref="F319:I330"/>
    <mergeCell ref="F12:M12"/>
    <mergeCell ref="F46:M46"/>
    <mergeCell ref="J24:M24"/>
    <mergeCell ref="J14:M23"/>
    <mergeCell ref="J75:M75"/>
    <mergeCell ref="F148:M148"/>
    <mergeCell ref="F149:I160"/>
    <mergeCell ref="J149:M149"/>
    <mergeCell ref="J150:M159"/>
    <mergeCell ref="J160:M160"/>
    <mergeCell ref="F13:I24"/>
    <mergeCell ref="F47:I58"/>
    <mergeCell ref="J48:M57"/>
    <mergeCell ref="J58:M58"/>
    <mergeCell ref="J109:M109"/>
    <mergeCell ref="F97:M97"/>
    <mergeCell ref="F98:I109"/>
    <mergeCell ref="J98:M98"/>
    <mergeCell ref="J99:M108"/>
    <mergeCell ref="F114:M114"/>
    <mergeCell ref="F115:I126"/>
    <mergeCell ref="J115:M115"/>
    <mergeCell ref="J116:M125"/>
    <mergeCell ref="F80:M80"/>
    <mergeCell ref="J438:M438"/>
    <mergeCell ref="F443:M443"/>
    <mergeCell ref="F444:I455"/>
    <mergeCell ref="J444:M444"/>
    <mergeCell ref="J445:M454"/>
    <mergeCell ref="J455:M455"/>
    <mergeCell ref="F460:M460"/>
    <mergeCell ref="F461:I472"/>
    <mergeCell ref="J461:M461"/>
    <mergeCell ref="J462:M471"/>
    <mergeCell ref="J472:M472"/>
    <mergeCell ref="F477:M477"/>
    <mergeCell ref="F478:I489"/>
    <mergeCell ref="J479:M488"/>
    <mergeCell ref="J489:M489"/>
    <mergeCell ref="J478:M478"/>
    <mergeCell ref="F512:I523"/>
    <mergeCell ref="J512:M512"/>
    <mergeCell ref="J513:M522"/>
    <mergeCell ref="J523:M523"/>
    <mergeCell ref="J506:M506"/>
    <mergeCell ref="F494:M494"/>
    <mergeCell ref="F495:I506"/>
    <mergeCell ref="J495:M495"/>
    <mergeCell ref="J496:M505"/>
    <mergeCell ref="F511:M511"/>
    <mergeCell ref="F528:M528"/>
    <mergeCell ref="F529:I540"/>
    <mergeCell ref="J529:M529"/>
    <mergeCell ref="J530:M539"/>
    <mergeCell ref="J540:M540"/>
    <mergeCell ref="F545:M545"/>
    <mergeCell ref="F546:I557"/>
    <mergeCell ref="J546:M546"/>
    <mergeCell ref="J547:M556"/>
    <mergeCell ref="J557:M557"/>
    <mergeCell ref="J665:M665"/>
    <mergeCell ref="F579:M579"/>
    <mergeCell ref="F580:I591"/>
    <mergeCell ref="J580:M580"/>
    <mergeCell ref="J581:M590"/>
    <mergeCell ref="J591:M591"/>
    <mergeCell ref="F596:M596"/>
    <mergeCell ref="F597:I608"/>
    <mergeCell ref="J597:M597"/>
    <mergeCell ref="J598:M607"/>
    <mergeCell ref="J608:M608"/>
    <mergeCell ref="J859:M868"/>
    <mergeCell ref="F613:M613"/>
    <mergeCell ref="F614:I625"/>
    <mergeCell ref="J614:M614"/>
    <mergeCell ref="J615:M624"/>
    <mergeCell ref="J625:M625"/>
    <mergeCell ref="J767:M767"/>
    <mergeCell ref="F772:M772"/>
    <mergeCell ref="F773:I784"/>
    <mergeCell ref="J773:M773"/>
    <mergeCell ref="J774:M783"/>
    <mergeCell ref="J784:M784"/>
    <mergeCell ref="F630:M630"/>
    <mergeCell ref="F631:I642"/>
    <mergeCell ref="J631:M631"/>
    <mergeCell ref="J632:M641"/>
    <mergeCell ref="J642:M642"/>
    <mergeCell ref="F647:M647"/>
    <mergeCell ref="F648:I659"/>
    <mergeCell ref="J648:M648"/>
    <mergeCell ref="J649:M658"/>
    <mergeCell ref="J659:M659"/>
    <mergeCell ref="F664:M664"/>
    <mergeCell ref="F665:I676"/>
    <mergeCell ref="E9:V9"/>
    <mergeCell ref="F942:M942"/>
    <mergeCell ref="F943:I954"/>
    <mergeCell ref="J943:M943"/>
    <mergeCell ref="J944:M953"/>
    <mergeCell ref="J954:M954"/>
    <mergeCell ref="F789:M789"/>
    <mergeCell ref="F790:I801"/>
    <mergeCell ref="J790:M790"/>
    <mergeCell ref="J791:M800"/>
    <mergeCell ref="J801:M801"/>
    <mergeCell ref="F925:M925"/>
    <mergeCell ref="F926:I937"/>
    <mergeCell ref="J926:M926"/>
    <mergeCell ref="J927:M936"/>
    <mergeCell ref="J937:M937"/>
    <mergeCell ref="F840:M840"/>
    <mergeCell ref="F841:I852"/>
    <mergeCell ref="J841:M841"/>
    <mergeCell ref="J852:M852"/>
    <mergeCell ref="J842:M851"/>
    <mergeCell ref="F857:M857"/>
    <mergeCell ref="F858:I869"/>
    <mergeCell ref="J858:M858"/>
  </mergeCells>
  <dataValidations xWindow="611" yWindow="522" count="8">
    <dataValidation allowBlank="1" showInputMessage="1" showErrorMessage="1" promptTitle="Ajuda" prompt="Caso existam dois controles negativos, devem ser preenchidos os resultados do controle negativo com solvente." sqref="J13:M13 J529:M529 J546:M546 J563:M563 J580:M580 J597:M597 J614:M614 J30:M30 J183:M183 J200:M200 J217:M217 J234:M234 J251:M251 J268:M268 J285:M285 J302:M302 J319:M319 J336:M336 J631:M631 J648:M648 J47:M47 J64:M64 J81:M81 J98:M98 J115:M115 J132:M132 J149:M149 J166:M166 J665:M665 J682:M682 J393:M393 J410:M410 J427:M427 J444:M444 J461:M461 J478:M478 J495:M495 J512:M512 J359:M359 J376:M376 J705:M705 J722:M722 J875:M875 J892:M892 J909:M909 J926:M926 J943:M943 J960:M960 J977:M977 J994:M994 J1011:M1011 J1028:M1028 J739:M739 J756:M756 J773:M773 J790:M790 J807:M807 J824:M824 J841:M841 J858:M858" xr:uid="{A25AB56F-F552-4B66-9218-9175BAB4C7C1}"/>
    <dataValidation allowBlank="1" showInputMessage="1" showErrorMessage="1" prompt="Concentrações que tenham mais de uma triplicata com citotoxicidade maior ou igual a 50% devem ser consideradas como não analisáveis e podem ser representadas por: TOX ou 0 ou -." sqref="O704 O12 O721 O738 O755 O772 O789 O806 O823 O840 O857 O874 O891 O908 O925 O942 O959 O976 O993 O1010 O29 O46 O63 O80 O97 O114 O131 O148 O165 O182 O199 O216 O233 O250 O267 O284 O301 O318 O335 O1027 O358 O375 O392 O409 O426 O443 O460 O477 O494 O511 O528 O545 O562 O579 O596 O613 O630 O647 O664 O681" xr:uid="{CA8A458C-B605-42A8-934D-021B60EB5FA8}"/>
    <dataValidation allowBlank="1" showInputMessage="1" showErrorMessage="1" prompt="Preencher com &quot;x&quot; as concentrações em que foi observado precipitado e este interferiu na leitura dos resultados." sqref="P664 P681 P704 P721 P738 P755 P772 P789 P806 P823 P840 P857 P874 P891 P908 P925 P942 P959 P976 P993 P12 P29 P630 P647 P46 P63 P80 P97 P114 P131 P148 P165 P182 P199 P216 P233 P250 P267 P284 P301 P318 P335 P358 P375 P392 P409 P426 P443 P460 P477 P494 P511 P528 P545 P562 P579 P596 P613 P1010 P1027" xr:uid="{772154D0-4C8D-4A1F-8531-40A28FFAB00E}"/>
    <dataValidation allowBlank="1" showInputMessage="1" showErrorMessage="1" prompt="Preencher com &quot;x&quot; as concentrações em que foi observada alteração do background." sqref="Q664 Q681 Q704 Q721 Q738 Q755 Q772 Q789 Q806 Q823 Q840 Q857 Q874 Q891 Q908 Q925 Q942 Q959 Q976 Q993 Q12 Q29 Q630 Q647 Q46 Q63 Q80 Q97 Q114 Q131 Q148 Q165 Q182 Q199 Q216 Q233 Q250 Q267 Q284 Q301 Q318 Q335 Q358 Q375 Q392 Q409 Q426 Q443 Q460 Q477 Q494 Q511 Q528 Q545 Q562 Q579 Q596 Q613 Q1010 Q1027" xr:uid="{5EFD28C5-97AC-41A9-AEA5-F0912478C88D}"/>
    <dataValidation allowBlank="1" showInputMessage="1" showErrorMessage="1" prompt="Valor de referência mínimo para considerar que houve redução de UFC &gt;= 50%. Logo, qualquer replicata com UFC igual ou menor que esse valor de referência, deverá ser considerada para o preenchimento da coluna ao lado." sqref="S12 S29 S976 S993 S46 S63 S80 S97 S114 S131 S148 S165 S182 S199 S216 S233 S250 S267 S284 S301 S318 S335 S358 S375 S392 S409 S426 S443 S460 S477 S494 S511 S528 S545 S562 S579 S596 S613 S630 S647 S664 S681 S704 S721 S738 S755 S772 S789 S806 S823 S840 S857 S874 S891 S908 S925 S942 S959 S1010 S1027" xr:uid="{CE3282E9-9EB9-4BCD-A3C6-6ED1EAF6D146}"/>
    <dataValidation allowBlank="1" showInputMessage="1" showErrorMessage="1" prompt="Total de replicatas que tiveram redução maior ou igual a 50% no nº de colônias revertentes. _x000a__x000a_* Preencher apenas nas concentrações em que a redução foi observada._x000a_* Resultados como &quot;TOX&quot; ou &quot;-&quot;, indicam que houve redução nas 3 replicatas." sqref="R12 R29 R46 R63 R80 R97 R114 R131 R148 R165 R182 R199 R216 R233 R250 R267 R284 R301 R318 R335 R358 R375 R392 R409 R426 R443 R460 R477 R494 R511 R528 R545 R562 R579 R596 R613 R630 R647 R664 R681 R704 R721 R738 R755 R772 R789 R806 R823 R840 R857 R874 R891 R908 R925 R942 R959 R976 R993 R1010 R1027" xr:uid="{06252C85-E050-4FCF-B4D2-EAFAA954893B}"/>
    <dataValidation type="list" allowBlank="1" showInputMessage="1" showErrorMessage="1" errorTitle="Valor inválido" error="Deve ser preenchida a quantidade de placas em que houve redução no número de revertentes maior ou igual a 50%; " sqref="R13:R24 R30:R41 R47:R58 R64:R75 R81:R92 R98:R109 R115:R126 R132:R143 R149:R160 R166:R177 R183:R194 R200:R211 R217:R228 R234:R245 R251:R262 R268:R279 R285:R296 R302:R313 R319:R330 R336:R347 R359:R370 R376:R387 R393:R404 R410:R421 R427:R438 R444:R455 R461:R472 R478:R489 R495:R506 R512:R523 R529:R540 R546:R557 R563:R574 R580:R591 R597:R608 R614:R625 R631:R642 R648:R659 R665:R676 R682:R693 R705:R716 R722:R733 R739:R750 R756:R767 R773:R784 R790:R801 R807:R818 R824:R835 R841:R852 R858:R869 R875:R886 R892:R903 R909:R920 R926:R937 R943:R954 R960:R971 R977:R988 R994:R1005 R1011:R1022 R1028:R1039" xr:uid="{435F7500-C942-478C-8C8A-036478207DFF}">
      <formula1>"0,1,2,3,-"</formula1>
    </dataValidation>
    <dataValidation type="list" allowBlank="1" showInputMessage="1" showErrorMessage="1" errorTitle="Valor inválido" error="Preencher apenas com um &quot;x&quot; para indicar que houve alteração na concentração testada." sqref="P13:Q24 P30:Q41 P47:Q58 P64:Q75 P81:Q92 P98:Q109 P115:Q126 P132:Q143 P149:Q160 P166:Q177 P183:Q194 P200:Q211 P217:Q228 P234:Q245 P251:Q262 P268:Q279 P285:Q296 P302:Q313 P319:Q330 P336:Q347 P359:Q370 P376:Q387 P393:Q404 P410:Q421 P427:Q438 P444:Q455 P461:Q472 P478:Q489 P495:Q506 P512:Q523 P529:Q540 P546:Q557 P563:Q574 P580:Q591 P597:Q608 P614:Q625 P631:Q642 P648:Q659 P665:Q676 P682:Q693 P705:Q716 P722:Q733 P739:Q750 P756:Q767 P773:Q784 P790:Q801 P807:Q818 P824:Q835 P841:Q852 P858:Q869 P875:Q886 P892:Q903 P909:Q920 P926:Q937 P943:Q954 P960:Q971 P977:Q988 P994:Q1005 P1011:Q1022 P1028:Q1039" xr:uid="{8888B3A1-D6A8-4693-AC65-2B0BDBCA5C93}">
      <formula1>"x"</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7D72-16FB-428B-8638-5A48DE16817F}">
  <sheetPr codeName="Planilha30">
    <tabColor theme="8" tint="0.59999389629810485"/>
    <outlinePr summaryBelow="0" summaryRight="0"/>
  </sheetPr>
  <dimension ref="A1:DN207"/>
  <sheetViews>
    <sheetView showGridLines="0" topLeftCell="D1" workbookViewId="0">
      <selection activeCell="D1" sqref="D1"/>
    </sheetView>
  </sheetViews>
  <sheetFormatPr defaultColWidth="0" defaultRowHeight="15" customHeight="1" zeroHeight="1" outlineLevelRow="1" x14ac:dyDescent="0.25"/>
  <cols>
    <col min="1" max="3" width="2.7109375" style="20" hidden="1" customWidth="1"/>
    <col min="4" max="5" width="2.7109375" style="20" customWidth="1"/>
    <col min="6" max="13" width="4.7109375" style="20" customWidth="1"/>
    <col min="14" max="14" width="5.7109375" style="20" customWidth="1"/>
    <col min="15" max="57" width="4.7109375" style="20" customWidth="1"/>
    <col min="58" max="16384" width="9.140625" style="20" hidden="1"/>
  </cols>
  <sheetData>
    <row r="1" spans="1:57" x14ac:dyDescent="0.25">
      <c r="A1" s="18"/>
      <c r="B1" s="18"/>
      <c r="C1" s="18"/>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spans="1:57" ht="15" customHeight="1" x14ac:dyDescent="0.25">
      <c r="A2" s="18"/>
      <c r="B2" s="18"/>
      <c r="C2" s="18"/>
      <c r="D2" s="1"/>
      <c r="E2" s="2"/>
      <c r="F2" s="1148" t="s">
        <v>6056</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035" t="s">
        <v>0</v>
      </c>
      <c r="AJ2" s="1035"/>
      <c r="AK2" s="1035"/>
      <c r="AL2" s="1035"/>
      <c r="AM2" s="1035"/>
      <c r="AN2" s="1035"/>
      <c r="AO2" s="2"/>
      <c r="AP2" s="2"/>
      <c r="AQ2" s="2"/>
      <c r="AR2" s="2"/>
      <c r="AS2" s="2"/>
      <c r="AT2" s="2"/>
      <c r="AU2" s="2"/>
      <c r="AV2" s="2"/>
      <c r="AW2" s="2"/>
      <c r="AX2" s="2"/>
      <c r="AY2" s="2"/>
      <c r="AZ2" s="2"/>
      <c r="BA2" s="2"/>
      <c r="BB2" s="2"/>
      <c r="BC2" s="2"/>
      <c r="BD2" s="2"/>
      <c r="BE2" s="2"/>
    </row>
    <row r="3" spans="1:57" ht="15" customHeight="1" x14ac:dyDescent="0.25">
      <c r="A3" s="18"/>
      <c r="B3" s="18"/>
      <c r="C3" s="18"/>
      <c r="D3" s="1"/>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035"/>
      <c r="AJ3" s="1035"/>
      <c r="AK3" s="1035"/>
      <c r="AL3" s="1035"/>
      <c r="AM3" s="1035"/>
      <c r="AN3" s="1035"/>
      <c r="AO3" s="2"/>
      <c r="AP3" s="2"/>
      <c r="AQ3" s="2"/>
      <c r="AR3" s="2"/>
      <c r="AS3" s="2"/>
      <c r="AT3" s="2"/>
      <c r="AU3" s="2"/>
      <c r="AV3" s="2"/>
      <c r="AW3" s="2"/>
      <c r="AX3" s="2"/>
      <c r="AY3" s="2"/>
      <c r="AZ3" s="2"/>
      <c r="BA3" s="2"/>
      <c r="BB3" s="2"/>
      <c r="BC3" s="2"/>
      <c r="BD3" s="2"/>
      <c r="BE3" s="2"/>
    </row>
    <row r="4" spans="1:57" ht="15" customHeight="1" x14ac:dyDescent="0.25">
      <c r="A4" s="18"/>
      <c r="B4" s="18"/>
      <c r="C4" s="18"/>
      <c r="D4" s="1"/>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035"/>
      <c r="AJ4" s="1035"/>
      <c r="AK4" s="1035"/>
      <c r="AL4" s="1035"/>
      <c r="AM4" s="1035"/>
      <c r="AN4" s="1035"/>
      <c r="AO4" s="2"/>
      <c r="AP4" s="2"/>
      <c r="AQ4" s="2"/>
      <c r="AR4" s="2"/>
      <c r="AS4" s="2"/>
      <c r="AT4" s="2"/>
      <c r="AU4" s="2"/>
      <c r="AV4" s="2"/>
      <c r="AW4" s="2"/>
      <c r="AX4" s="2"/>
      <c r="AY4" s="2"/>
      <c r="AZ4" s="2"/>
      <c r="BA4" s="2"/>
      <c r="BB4" s="2"/>
      <c r="BC4" s="2"/>
      <c r="BD4" s="2"/>
      <c r="BE4" s="2"/>
    </row>
    <row r="5" spans="1:57" ht="15" customHeight="1" x14ac:dyDescent="0.25">
      <c r="A5" s="18"/>
      <c r="B5" s="18"/>
      <c r="C5" s="18"/>
      <c r="D5" s="1"/>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148"/>
      <c r="AI5" s="1035"/>
      <c r="AJ5" s="1035"/>
      <c r="AK5" s="1035"/>
      <c r="AL5" s="1035"/>
      <c r="AM5" s="1035"/>
      <c r="AN5" s="1035"/>
      <c r="AO5" s="2"/>
      <c r="AP5" s="2"/>
      <c r="AQ5" s="2"/>
      <c r="AR5" s="2"/>
      <c r="AS5" s="2"/>
      <c r="AT5" s="2"/>
      <c r="AU5" s="2"/>
      <c r="AV5" s="2"/>
      <c r="AW5" s="2"/>
      <c r="AX5" s="2"/>
      <c r="AY5" s="2"/>
      <c r="AZ5" s="2"/>
      <c r="BA5" s="2"/>
      <c r="BB5" s="2"/>
      <c r="BC5" s="2"/>
      <c r="BD5" s="2"/>
      <c r="BE5" s="2"/>
    </row>
    <row r="6" spans="1:57" ht="15" customHeight="1" x14ac:dyDescent="0.25">
      <c r="A6" s="18"/>
      <c r="B6" s="18"/>
      <c r="C6" s="18"/>
      <c r="D6" s="1"/>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148"/>
      <c r="AI6" s="1035"/>
      <c r="AJ6" s="1035"/>
      <c r="AK6" s="1035"/>
      <c r="AL6" s="1035"/>
      <c r="AM6" s="1035"/>
      <c r="AN6" s="1035"/>
      <c r="AO6" s="2"/>
      <c r="AP6" s="2"/>
      <c r="AQ6" s="2"/>
      <c r="AR6" s="73"/>
      <c r="AS6" s="2"/>
      <c r="AT6" s="2"/>
      <c r="AU6" s="2"/>
      <c r="AV6" s="2"/>
      <c r="AW6" s="2"/>
      <c r="AX6" s="2"/>
      <c r="AY6" s="2"/>
      <c r="AZ6" s="2"/>
      <c r="BA6" s="2"/>
      <c r="BB6" s="2"/>
      <c r="BC6" s="2"/>
      <c r="BD6" s="2"/>
      <c r="BE6" s="2"/>
    </row>
    <row r="7" spans="1:57" ht="20.100000000000001" customHeight="1" x14ac:dyDescent="0.25">
      <c r="A7" s="18"/>
      <c r="B7" s="18"/>
      <c r="C7" s="18"/>
      <c r="D7" s="1"/>
      <c r="E7" s="158"/>
      <c r="F7" s="1024" t="str">
        <f ca="1">Alertas!S17</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c r="AS7" s="2"/>
      <c r="AT7" s="2"/>
      <c r="AU7" s="2"/>
      <c r="AV7" s="2"/>
      <c r="AW7" s="2"/>
      <c r="AX7" s="2"/>
      <c r="AY7" s="2"/>
      <c r="AZ7" s="2"/>
      <c r="BA7" s="2"/>
      <c r="BB7" s="2"/>
      <c r="BC7" s="2"/>
      <c r="BD7" s="2"/>
      <c r="BE7" s="2"/>
    </row>
    <row r="8" spans="1:57" ht="15" customHeight="1" x14ac:dyDescent="0.25">
      <c r="A8" s="18"/>
      <c r="B8" s="18"/>
      <c r="C8" s="18"/>
      <c r="D8" s="1"/>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row>
    <row r="9" spans="1:57" ht="15" hidden="1" customHeight="1" x14ac:dyDescent="0.25">
      <c r="A9" s="18"/>
      <c r="B9" s="18"/>
      <c r="C9" s="18"/>
      <c r="D9" s="1"/>
      <c r="E9" s="7"/>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row>
    <row r="10" spans="1:57" ht="15" hidden="1" customHeight="1" x14ac:dyDescent="0.25">
      <c r="A10" s="18"/>
      <c r="B10" s="18"/>
      <c r="C10" s="18"/>
      <c r="D10" s="1"/>
      <c r="E10" s="7"/>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row>
    <row r="11" spans="1:57" ht="15" customHeight="1" x14ac:dyDescent="0.25">
      <c r="A11" s="18"/>
      <c r="B11" s="18"/>
      <c r="C11" s="18"/>
      <c r="D11" s="1"/>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row>
    <row r="12" spans="1:57" ht="30" customHeight="1" x14ac:dyDescent="0.25">
      <c r="A12" s="18"/>
      <c r="B12" s="18"/>
      <c r="C12" s="18"/>
      <c r="D12" s="1"/>
      <c r="E12" s="2"/>
      <c r="F12" s="1149" t="s">
        <v>30</v>
      </c>
      <c r="G12" s="1094"/>
      <c r="H12" s="1094"/>
      <c r="I12" s="1094"/>
      <c r="J12" s="1094"/>
      <c r="K12" s="1094"/>
      <c r="L12" s="1104"/>
      <c r="M12" s="148" t="s">
        <v>186</v>
      </c>
      <c r="N12" s="1032"/>
      <c r="O12" s="1033"/>
      <c r="P12" s="1033"/>
      <c r="Q12" s="1033"/>
      <c r="R12" s="1033"/>
      <c r="S12" s="1033"/>
      <c r="T12" s="1033"/>
      <c r="U12" s="1033"/>
      <c r="V12" s="1033"/>
      <c r="W12" s="1033"/>
      <c r="X12" s="1033"/>
      <c r="Y12" s="1033"/>
      <c r="Z12" s="1034"/>
      <c r="AA12" s="1008" t="s">
        <v>294</v>
      </c>
      <c r="AB12" s="1009"/>
      <c r="AC12" s="1009"/>
      <c r="AD12" s="1041"/>
      <c r="AE12" s="148" t="s">
        <v>186</v>
      </c>
      <c r="AF12" s="1032"/>
      <c r="AG12" s="1033"/>
      <c r="AH12" s="1033"/>
      <c r="AI12" s="1033"/>
      <c r="AJ12" s="1034"/>
      <c r="AK12" s="2"/>
      <c r="AL12" s="2"/>
      <c r="AM12" s="2"/>
      <c r="AN12" s="2"/>
      <c r="AO12" s="2"/>
      <c r="AP12" s="2"/>
      <c r="AQ12" s="2"/>
      <c r="AR12" s="2"/>
      <c r="AS12" s="2"/>
      <c r="AT12" s="2"/>
      <c r="AU12" s="2"/>
      <c r="AV12" s="2"/>
      <c r="AW12" s="2"/>
      <c r="AX12" s="2"/>
      <c r="AY12" s="2"/>
      <c r="AZ12" s="2"/>
      <c r="BA12" s="2"/>
      <c r="BB12" s="2"/>
      <c r="BC12" s="2"/>
      <c r="BD12" s="2"/>
      <c r="BE12" s="2"/>
    </row>
    <row r="13" spans="1:57" ht="60" customHeight="1" x14ac:dyDescent="0.25">
      <c r="A13" s="18"/>
      <c r="B13" s="18"/>
      <c r="C13" s="18"/>
      <c r="D13" s="1"/>
      <c r="E13" s="2"/>
      <c r="F13" s="1008" t="s">
        <v>7300</v>
      </c>
      <c r="G13" s="1009"/>
      <c r="H13" s="1009"/>
      <c r="I13" s="1009"/>
      <c r="J13" s="1009"/>
      <c r="K13" s="1009"/>
      <c r="L13" s="1041"/>
      <c r="M13" s="148" t="s">
        <v>186</v>
      </c>
      <c r="N13" s="1140"/>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2"/>
      <c r="AK13" s="1158" t="s">
        <v>271</v>
      </c>
      <c r="AL13" s="1159"/>
      <c r="AM13" s="1159"/>
      <c r="AN13" s="1159"/>
      <c r="AO13" s="2"/>
      <c r="AP13" s="2"/>
      <c r="AQ13" s="2"/>
      <c r="AR13" s="2"/>
      <c r="AS13" s="2"/>
      <c r="AT13" s="2"/>
      <c r="AU13" s="2"/>
      <c r="AV13" s="2"/>
      <c r="AW13" s="2"/>
      <c r="AX13" s="2"/>
      <c r="AY13" s="2"/>
      <c r="AZ13" s="2"/>
      <c r="BA13" s="2"/>
      <c r="BB13" s="2"/>
      <c r="BC13" s="2"/>
      <c r="BD13" s="2"/>
      <c r="BE13" s="2"/>
    </row>
    <row r="14" spans="1:57" ht="20.100000000000001" customHeight="1" x14ac:dyDescent="0.25">
      <c r="A14" s="18"/>
      <c r="B14" s="18"/>
      <c r="C14" s="18"/>
      <c r="D14" s="1"/>
      <c r="E14" s="2"/>
      <c r="F14" s="1008" t="s">
        <v>6029</v>
      </c>
      <c r="G14" s="1009"/>
      <c r="H14" s="1009"/>
      <c r="I14" s="1009"/>
      <c r="J14" s="1009"/>
      <c r="K14" s="1009"/>
      <c r="L14" s="1041"/>
      <c r="M14" s="148" t="s">
        <v>186</v>
      </c>
      <c r="N14" s="1147"/>
      <c r="O14" s="1096"/>
      <c r="P14" s="1096"/>
      <c r="Q14" s="1096"/>
      <c r="R14" s="1096"/>
      <c r="S14" s="1097"/>
      <c r="T14" s="160"/>
      <c r="U14" s="160"/>
      <c r="V14" s="160"/>
      <c r="W14" s="160"/>
      <c r="X14" s="160"/>
      <c r="Y14" s="160"/>
      <c r="Z14" s="160"/>
      <c r="AA14" s="175"/>
      <c r="AB14" s="175"/>
      <c r="AC14" s="175"/>
      <c r="AD14" s="175"/>
      <c r="AE14" s="175"/>
      <c r="AF14" s="160"/>
      <c r="AG14" s="160"/>
      <c r="AH14" s="160"/>
      <c r="AI14" s="160"/>
      <c r="AJ14" s="160"/>
      <c r="AK14" s="2"/>
      <c r="AL14" s="2"/>
      <c r="AM14" s="2"/>
      <c r="AN14" s="2"/>
      <c r="AO14" s="2"/>
      <c r="AP14" s="2"/>
      <c r="AQ14" s="2"/>
      <c r="AR14" s="2"/>
      <c r="AS14" s="2"/>
      <c r="AT14" s="2"/>
      <c r="AU14" s="2"/>
      <c r="AV14" s="2"/>
      <c r="AW14" s="2"/>
      <c r="AX14" s="2"/>
      <c r="AY14" s="2"/>
      <c r="AZ14" s="2"/>
      <c r="BA14" s="2"/>
      <c r="BB14" s="2"/>
      <c r="BC14" s="2"/>
      <c r="BD14" s="2"/>
      <c r="BE14" s="2"/>
    </row>
    <row r="15" spans="1:57" ht="20.100000000000001" customHeight="1" x14ac:dyDescent="0.25">
      <c r="A15" s="18"/>
      <c r="B15" s="18"/>
      <c r="C15" s="18"/>
      <c r="D15" s="1"/>
      <c r="E15" s="2"/>
      <c r="F15" s="1149" t="s">
        <v>218</v>
      </c>
      <c r="G15" s="1094"/>
      <c r="H15" s="1094"/>
      <c r="I15" s="1094"/>
      <c r="J15" s="1094"/>
      <c r="K15" s="1094"/>
      <c r="L15" s="1104"/>
      <c r="M15" s="148" t="s">
        <v>186</v>
      </c>
      <c r="N15" s="1432" t="s">
        <v>5702</v>
      </c>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4"/>
      <c r="AK15" s="2"/>
      <c r="AL15" s="2"/>
      <c r="AM15" s="2"/>
      <c r="AN15" s="2"/>
      <c r="AO15" s="2"/>
      <c r="AP15" s="2"/>
      <c r="AQ15" s="2"/>
      <c r="AR15" s="2"/>
      <c r="AS15" s="2"/>
      <c r="AT15" s="2"/>
      <c r="AU15" s="2"/>
      <c r="AV15" s="2"/>
      <c r="AW15" s="2"/>
      <c r="AX15" s="2"/>
      <c r="AY15" s="2"/>
      <c r="AZ15" s="2"/>
      <c r="BA15" s="2"/>
      <c r="BB15" s="2"/>
      <c r="BC15" s="2"/>
      <c r="BD15" s="2"/>
      <c r="BE15" s="2"/>
    </row>
    <row r="16" spans="1:57" ht="20.100000000000001" customHeight="1" x14ac:dyDescent="0.25">
      <c r="A16" s="18"/>
      <c r="B16" s="18"/>
      <c r="C16" s="18"/>
      <c r="D16" s="1"/>
      <c r="E16" s="2"/>
      <c r="F16" s="1149" t="s">
        <v>311</v>
      </c>
      <c r="G16" s="1094"/>
      <c r="H16" s="1094"/>
      <c r="I16" s="1094"/>
      <c r="J16" s="1094"/>
      <c r="K16" s="1094"/>
      <c r="L16" s="1094"/>
      <c r="M16" s="1150"/>
      <c r="N16" s="1276"/>
      <c r="O16" s="1277"/>
      <c r="P16" s="1277"/>
      <c r="Q16" s="1277"/>
      <c r="R16" s="1277"/>
      <c r="S16" s="1277"/>
      <c r="T16" s="1277"/>
      <c r="U16" s="1277"/>
      <c r="V16" s="1277"/>
      <c r="W16" s="1277"/>
      <c r="X16" s="1277"/>
      <c r="Y16" s="1277"/>
      <c r="Z16" s="1277"/>
      <c r="AA16" s="1277"/>
      <c r="AB16" s="1277"/>
      <c r="AC16" s="1277"/>
      <c r="AD16" s="1277"/>
      <c r="AE16" s="1277"/>
      <c r="AF16" s="1277"/>
      <c r="AG16" s="1277"/>
      <c r="AH16" s="1277"/>
      <c r="AI16" s="1277"/>
      <c r="AJ16" s="1278"/>
      <c r="AK16" s="2"/>
      <c r="AL16" s="2"/>
      <c r="AM16" s="2"/>
      <c r="AN16" s="2"/>
      <c r="AO16" s="2"/>
      <c r="AP16" s="2"/>
      <c r="AQ16" s="2"/>
      <c r="AR16" s="2"/>
      <c r="AS16" s="2"/>
      <c r="AT16" s="2"/>
      <c r="AU16" s="2"/>
      <c r="AV16" s="2"/>
      <c r="AW16" s="2"/>
      <c r="AX16" s="2"/>
      <c r="AY16" s="2"/>
      <c r="AZ16" s="2"/>
      <c r="BA16" s="2"/>
      <c r="BB16" s="2"/>
      <c r="BC16" s="2"/>
      <c r="BD16" s="2"/>
      <c r="BE16" s="2"/>
    </row>
    <row r="17" spans="1:57" ht="20.100000000000001" customHeight="1" x14ac:dyDescent="0.25">
      <c r="A17" s="18"/>
      <c r="B17" s="18"/>
      <c r="C17" s="18"/>
      <c r="D17" s="1"/>
      <c r="E17" s="2"/>
      <c r="F17" s="1008" t="s">
        <v>7301</v>
      </c>
      <c r="G17" s="1009"/>
      <c r="H17" s="1009"/>
      <c r="I17" s="1009"/>
      <c r="J17" s="1009"/>
      <c r="K17" s="1009"/>
      <c r="L17" s="1009"/>
      <c r="M17" s="1010"/>
      <c r="N17" s="1151" t="s">
        <v>6030</v>
      </c>
      <c r="O17" s="1088"/>
      <c r="P17" s="1089"/>
      <c r="Q17" s="148" t="s">
        <v>186</v>
      </c>
      <c r="R17" s="999"/>
      <c r="S17" s="1000"/>
      <c r="T17" s="1000"/>
      <c r="U17" s="1000"/>
      <c r="V17" s="1000"/>
      <c r="W17" s="1000"/>
      <c r="X17" s="1001"/>
      <c r="Y17" s="1008" t="s">
        <v>31</v>
      </c>
      <c r="Z17" s="1009"/>
      <c r="AA17" s="1009"/>
      <c r="AB17" s="1041"/>
      <c r="AC17" s="148" t="s">
        <v>186</v>
      </c>
      <c r="AD17" s="999"/>
      <c r="AE17" s="1000"/>
      <c r="AF17" s="1000"/>
      <c r="AG17" s="1000"/>
      <c r="AH17" s="1000"/>
      <c r="AI17" s="1000"/>
      <c r="AJ17" s="1001"/>
      <c r="AK17" s="2"/>
      <c r="AL17" s="2"/>
      <c r="AM17" s="2"/>
      <c r="AN17" s="2"/>
      <c r="AO17" s="2"/>
      <c r="AP17" s="2"/>
      <c r="AQ17" s="2"/>
      <c r="AR17" s="2"/>
      <c r="AS17" s="2"/>
      <c r="AT17" s="2"/>
      <c r="AU17" s="2"/>
      <c r="AV17" s="2"/>
      <c r="AW17" s="2"/>
      <c r="AX17" s="2"/>
      <c r="AY17" s="2"/>
      <c r="AZ17" s="2"/>
      <c r="BA17" s="2"/>
      <c r="BB17" s="2"/>
      <c r="BC17" s="2"/>
      <c r="BD17" s="2"/>
      <c r="BE17" s="2"/>
    </row>
    <row r="18" spans="1:57" ht="20.100000000000001" customHeight="1" x14ac:dyDescent="0.25">
      <c r="A18" s="18"/>
      <c r="B18" s="18"/>
      <c r="C18" s="18"/>
      <c r="D18" s="1"/>
      <c r="E18" s="2"/>
      <c r="F18" s="1008" t="s">
        <v>5720</v>
      </c>
      <c r="G18" s="1009"/>
      <c r="H18" s="1009"/>
      <c r="I18" s="1009"/>
      <c r="J18" s="1009"/>
      <c r="K18" s="1009"/>
      <c r="L18" s="1009"/>
      <c r="M18" s="148" t="s">
        <v>186</v>
      </c>
      <c r="N18" s="1445"/>
      <c r="O18" s="1446"/>
      <c r="P18" s="1446"/>
      <c r="Q18" s="1446"/>
      <c r="R18" s="1446"/>
      <c r="S18" s="1447"/>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row>
    <row r="19" spans="1:57" ht="20.100000000000001" customHeight="1" x14ac:dyDescent="0.25">
      <c r="A19" s="18"/>
      <c r="B19" s="18"/>
      <c r="C19" s="18"/>
      <c r="D19" s="1"/>
      <c r="E19" s="2"/>
      <c r="F19" s="2"/>
      <c r="G19" s="2"/>
      <c r="H19" s="2"/>
      <c r="I19" s="2"/>
      <c r="J19" s="2"/>
      <c r="K19" s="2"/>
      <c r="L19" s="2"/>
      <c r="M19" s="2"/>
      <c r="N19" s="2"/>
      <c r="O19" s="2"/>
      <c r="P19" s="2"/>
      <c r="Q19" s="2"/>
      <c r="R19" s="2"/>
      <c r="S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row>
    <row r="20" spans="1:57" ht="20.100000000000001" customHeight="1" x14ac:dyDescent="0.25">
      <c r="A20" s="18"/>
      <c r="B20" s="18"/>
      <c r="C20" s="18"/>
      <c r="D20" s="1"/>
      <c r="E20" s="2"/>
      <c r="F20" s="1121"/>
      <c r="G20" s="1121"/>
      <c r="H20" s="1121"/>
      <c r="I20" s="1121"/>
      <c r="J20" s="1121"/>
      <c r="K20" s="1121"/>
      <c r="L20" s="1121"/>
      <c r="M20" s="351"/>
      <c r="N20" s="1478"/>
      <c r="O20" s="1478"/>
      <c r="P20" s="1478"/>
      <c r="Q20" s="1478"/>
      <c r="R20" s="1478"/>
      <c r="S20" s="1478"/>
      <c r="T20" s="2"/>
      <c r="U20" s="2"/>
      <c r="V20" s="2"/>
      <c r="W20" s="153"/>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row>
    <row r="21" spans="1:57" ht="24.95" customHeight="1" x14ac:dyDescent="0.25">
      <c r="A21" s="18"/>
      <c r="B21" s="18"/>
      <c r="C21" s="18"/>
      <c r="D21" s="1"/>
      <c r="E21" s="2"/>
      <c r="F21" s="1196" t="s">
        <v>124</v>
      </c>
      <c r="G21" s="1121"/>
      <c r="H21" s="1121"/>
      <c r="I21" s="1121"/>
      <c r="J21" s="1121"/>
      <c r="K21" s="1121"/>
      <c r="L21" s="1353"/>
      <c r="M21" s="352" t="s">
        <v>186</v>
      </c>
      <c r="N21" s="1169"/>
      <c r="O21" s="1170"/>
      <c r="P21" s="1170"/>
      <c r="Q21" s="1170"/>
      <c r="R21" s="1170"/>
      <c r="S21" s="983"/>
      <c r="T21" s="2"/>
      <c r="U21" s="2"/>
      <c r="V21" s="2"/>
      <c r="W21" s="153"/>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row>
    <row r="22" spans="1:57" ht="20.100000000000001" hidden="1" customHeight="1" x14ac:dyDescent="0.25">
      <c r="A22" s="18"/>
      <c r="B22" s="18"/>
      <c r="C22" s="18"/>
      <c r="D22" s="1"/>
      <c r="E22" s="2"/>
      <c r="T22" s="2"/>
      <c r="U22" s="2"/>
      <c r="V22" s="2"/>
      <c r="W22" s="153"/>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row>
    <row r="23" spans="1:57" ht="20.100000000000001" hidden="1" customHeight="1" x14ac:dyDescent="0.25">
      <c r="A23" s="18"/>
      <c r="B23" s="18"/>
      <c r="C23" s="18"/>
      <c r="D23" s="1"/>
      <c r="E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row>
    <row r="24" spans="1:57" ht="20.100000000000001" customHeight="1" x14ac:dyDescent="0.25">
      <c r="A24" s="18"/>
      <c r="B24" s="18"/>
      <c r="C24" s="18"/>
      <c r="D24" s="1"/>
      <c r="E24" s="2"/>
      <c r="T24" s="2"/>
      <c r="U24" s="2"/>
      <c r="V24" s="2"/>
      <c r="W24" s="249"/>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row>
    <row r="25" spans="1:57" ht="50.1" customHeight="1" x14ac:dyDescent="0.25">
      <c r="A25" s="18"/>
      <c r="B25" s="18"/>
      <c r="C25" s="18"/>
      <c r="D25" s="1"/>
      <c r="E25" s="2"/>
      <c r="F25" s="1149" t="s">
        <v>87</v>
      </c>
      <c r="G25" s="1094"/>
      <c r="H25" s="1094"/>
      <c r="I25" s="1094"/>
      <c r="J25" s="1094"/>
      <c r="K25" s="1094"/>
      <c r="L25" s="1104"/>
      <c r="M25" s="148" t="s">
        <v>186</v>
      </c>
      <c r="N25" s="1147"/>
      <c r="O25" s="1096"/>
      <c r="P25" s="1096"/>
      <c r="Q25" s="1096"/>
      <c r="R25" s="1096"/>
      <c r="S25" s="1097"/>
      <c r="T25" s="2"/>
      <c r="U25" s="2"/>
      <c r="V25" s="2"/>
      <c r="W25" s="153"/>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row>
    <row r="26" spans="1:57" ht="50.1" customHeight="1" x14ac:dyDescent="0.25">
      <c r="A26" s="18"/>
      <c r="B26" s="18"/>
      <c r="C26" s="18"/>
      <c r="D26" s="1"/>
      <c r="E26" s="2"/>
      <c r="F26" s="1149" t="s">
        <v>349</v>
      </c>
      <c r="G26" s="1094"/>
      <c r="H26" s="1094"/>
      <c r="I26" s="1094"/>
      <c r="J26" s="1094"/>
      <c r="K26" s="1094"/>
      <c r="L26" s="1094"/>
      <c r="M26" s="148" t="s">
        <v>186</v>
      </c>
      <c r="N26" s="1449"/>
      <c r="O26" s="1450"/>
      <c r="P26" s="1450"/>
      <c r="Q26" s="1450"/>
      <c r="R26" s="1450"/>
      <c r="S26" s="1451"/>
      <c r="AN26" s="349"/>
      <c r="AO26" s="349"/>
      <c r="AP26" s="349"/>
      <c r="AQ26" s="349"/>
      <c r="AR26" s="349"/>
      <c r="AS26" s="349"/>
      <c r="AT26" s="349"/>
      <c r="AU26" s="349"/>
      <c r="AV26" s="349"/>
      <c r="AW26" s="349"/>
      <c r="AX26" s="349"/>
      <c r="AY26" s="349"/>
      <c r="AZ26" s="349"/>
      <c r="BA26" s="2"/>
      <c r="BB26" s="2"/>
      <c r="BC26" s="2"/>
      <c r="BD26" s="2"/>
      <c r="BE26" s="2"/>
    </row>
    <row r="27" spans="1:57" ht="20.100000000000001" customHeight="1" x14ac:dyDescent="0.25">
      <c r="A27" s="18"/>
      <c r="B27" s="18"/>
      <c r="C27" s="18"/>
      <c r="D27" s="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0.100000000000001" customHeight="1" x14ac:dyDescent="0.25">
      <c r="A28" s="18"/>
      <c r="B28" s="18"/>
      <c r="C28" s="18"/>
      <c r="D28" s="1"/>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row>
    <row r="29" spans="1:57" ht="20.100000000000001" customHeight="1" x14ac:dyDescent="0.25">
      <c r="A29" s="18"/>
      <c r="B29" s="18"/>
      <c r="C29" s="18"/>
      <c r="D29" s="1"/>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row>
    <row r="30" spans="1:57" ht="30" customHeight="1" x14ac:dyDescent="0.25">
      <c r="A30" s="18"/>
      <c r="B30" s="18"/>
      <c r="C30" s="18"/>
      <c r="D30" s="1"/>
      <c r="E30" s="2"/>
      <c r="F30" s="1149" t="s">
        <v>350</v>
      </c>
      <c r="G30" s="1094"/>
      <c r="H30" s="1094"/>
      <c r="I30" s="1094"/>
      <c r="J30" s="1094"/>
      <c r="K30" s="1094"/>
      <c r="L30" s="1104"/>
      <c r="M30" s="181" t="s">
        <v>186</v>
      </c>
      <c r="N30" s="981"/>
      <c r="O30" s="982"/>
      <c r="P30" s="982"/>
      <c r="Q30" s="982"/>
      <c r="R30" s="982"/>
      <c r="S30" s="121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row>
    <row r="31" spans="1:57" ht="20.100000000000001" customHeight="1" x14ac:dyDescent="0.25">
      <c r="A31" s="18"/>
      <c r="B31" s="18"/>
      <c r="C31" s="18"/>
      <c r="D31" s="1"/>
      <c r="E31" s="2"/>
      <c r="F31" s="2"/>
      <c r="G31" s="2"/>
      <c r="H31" s="2"/>
      <c r="I31" s="2"/>
      <c r="J31" s="2"/>
      <c r="K31" s="2"/>
      <c r="L31" s="2"/>
      <c r="M31" s="2"/>
      <c r="N31" s="277" t="s">
        <v>248</v>
      </c>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row>
    <row r="32" spans="1:57" ht="15" customHeight="1" x14ac:dyDescent="0.25">
      <c r="A32" s="18"/>
      <c r="B32" s="18"/>
      <c r="C32" s="18"/>
      <c r="D32" s="1"/>
      <c r="E32" s="2"/>
      <c r="F32" s="2"/>
      <c r="G32" s="2"/>
      <c r="H32" s="2"/>
      <c r="I32" s="2"/>
      <c r="J32" s="2"/>
      <c r="K32" s="2"/>
      <c r="L32" s="2"/>
      <c r="M32" s="2"/>
      <c r="N32" s="2"/>
      <c r="O32" s="2"/>
      <c r="P32" s="2"/>
      <c r="Q32" s="2"/>
      <c r="R32" s="2"/>
      <c r="S32" s="2"/>
      <c r="T32" s="2"/>
      <c r="U32" s="2"/>
      <c r="V32" s="2"/>
      <c r="W32" s="2"/>
      <c r="X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row>
    <row r="33" spans="1:57" ht="20.100000000000001" customHeight="1" x14ac:dyDescent="0.25">
      <c r="A33" s="18"/>
      <c r="B33" s="18"/>
      <c r="C33" s="18"/>
      <c r="D33" s="1"/>
      <c r="E33" s="2"/>
      <c r="F33" s="2"/>
      <c r="G33" s="2"/>
      <c r="H33" s="2"/>
      <c r="I33" s="2"/>
      <c r="J33" s="1435" t="s">
        <v>207</v>
      </c>
      <c r="K33" s="1436"/>
      <c r="L33" s="1436"/>
      <c r="M33" s="1436"/>
      <c r="N33" s="1436"/>
      <c r="O33" s="1436"/>
      <c r="P33" s="1436"/>
      <c r="Q33" s="1436"/>
      <c r="R33" s="1436"/>
      <c r="S33" s="1436"/>
      <c r="T33" s="1436"/>
      <c r="U33" s="1436"/>
      <c r="V33" s="1436"/>
      <c r="W33" s="1436"/>
      <c r="X33" s="1436"/>
      <c r="Y33" s="1436"/>
      <c r="Z33" s="2"/>
      <c r="AA33" s="2"/>
      <c r="AB33" s="2"/>
      <c r="AG33" s="1436" t="s">
        <v>208</v>
      </c>
      <c r="AH33" s="1436"/>
      <c r="AI33" s="1436"/>
      <c r="AJ33" s="1436"/>
      <c r="AK33" s="1436"/>
      <c r="AL33" s="1436"/>
      <c r="AM33" s="1436"/>
      <c r="AN33" s="1436"/>
      <c r="AO33" s="1436"/>
      <c r="AP33" s="1436"/>
      <c r="AQ33" s="1436"/>
      <c r="AR33" s="1436"/>
      <c r="AS33" s="1436"/>
      <c r="AT33" s="1436"/>
      <c r="AU33" s="1436"/>
      <c r="AV33" s="1440"/>
      <c r="AW33" s="2"/>
      <c r="AX33" s="2"/>
      <c r="AY33" s="2"/>
      <c r="AZ33" s="2"/>
      <c r="BA33" s="2"/>
    </row>
    <row r="34" spans="1:57" ht="20.100000000000001" customHeight="1" x14ac:dyDescent="0.25">
      <c r="A34" s="18"/>
      <c r="B34" s="18"/>
      <c r="C34" s="18"/>
      <c r="D34" s="1"/>
      <c r="E34" s="2"/>
      <c r="F34" s="2"/>
      <c r="G34" s="2"/>
      <c r="H34" s="2"/>
      <c r="I34" s="2"/>
      <c r="J34" s="1004" t="s">
        <v>190</v>
      </c>
      <c r="K34" s="1314"/>
      <c r="L34" s="1314"/>
      <c r="M34" s="1314"/>
      <c r="N34" s="1314"/>
      <c r="O34" s="1314"/>
      <c r="P34" s="1314"/>
      <c r="Q34" s="1314"/>
      <c r="R34" s="1004" t="s">
        <v>191</v>
      </c>
      <c r="S34" s="1314"/>
      <c r="T34" s="1314"/>
      <c r="U34" s="1314"/>
      <c r="V34" s="1314"/>
      <c r="W34" s="1314"/>
      <c r="X34" s="1314"/>
      <c r="Y34" s="1315"/>
      <c r="Z34" s="2"/>
      <c r="AA34" s="2"/>
      <c r="AB34" s="2"/>
      <c r="AG34" s="1004" t="s">
        <v>190</v>
      </c>
      <c r="AH34" s="1314"/>
      <c r="AI34" s="1314"/>
      <c r="AJ34" s="1314"/>
      <c r="AK34" s="1314"/>
      <c r="AL34" s="1314"/>
      <c r="AM34" s="1314"/>
      <c r="AN34" s="1315"/>
      <c r="AO34" s="1314" t="s">
        <v>191</v>
      </c>
      <c r="AP34" s="1314"/>
      <c r="AQ34" s="1314"/>
      <c r="AR34" s="1314"/>
      <c r="AS34" s="1314"/>
      <c r="AT34" s="1314"/>
      <c r="AU34" s="1314"/>
      <c r="AV34" s="1315"/>
      <c r="AW34" s="2"/>
      <c r="AX34" s="2"/>
      <c r="AY34" s="2"/>
      <c r="AZ34" s="2"/>
      <c r="BA34" s="2"/>
    </row>
    <row r="35" spans="1:57" ht="20.100000000000001" customHeight="1" x14ac:dyDescent="0.25">
      <c r="A35" s="18"/>
      <c r="B35" s="18"/>
      <c r="C35" s="18"/>
      <c r="D35" s="1"/>
      <c r="E35" s="2"/>
      <c r="F35" s="1366" t="s">
        <v>347</v>
      </c>
      <c r="G35" s="1367"/>
      <c r="H35" s="1367"/>
      <c r="I35" s="1368"/>
      <c r="J35" s="1366" t="s">
        <v>10</v>
      </c>
      <c r="K35" s="1367"/>
      <c r="L35" s="1367"/>
      <c r="M35" s="1368"/>
      <c r="N35" s="1366" t="s">
        <v>237</v>
      </c>
      <c r="O35" s="1367"/>
      <c r="P35" s="1367"/>
      <c r="Q35" s="1367"/>
      <c r="R35" s="1366" t="s">
        <v>10</v>
      </c>
      <c r="S35" s="1367"/>
      <c r="T35" s="1367"/>
      <c r="U35" s="1368"/>
      <c r="V35" s="1366" t="s">
        <v>237</v>
      </c>
      <c r="W35" s="1367"/>
      <c r="X35" s="1367"/>
      <c r="Y35" s="1368"/>
      <c r="Z35" s="2"/>
      <c r="AA35" s="2"/>
      <c r="AB35" s="2"/>
      <c r="AC35" s="1366" t="s">
        <v>347</v>
      </c>
      <c r="AD35" s="1367"/>
      <c r="AE35" s="1367"/>
      <c r="AF35" s="1368"/>
      <c r="AG35" s="1366" t="s">
        <v>10</v>
      </c>
      <c r="AH35" s="1367"/>
      <c r="AI35" s="1367"/>
      <c r="AJ35" s="1368"/>
      <c r="AK35" s="1366" t="s">
        <v>237</v>
      </c>
      <c r="AL35" s="1367"/>
      <c r="AM35" s="1367"/>
      <c r="AN35" s="1368"/>
      <c r="AO35" s="1366" t="s">
        <v>10</v>
      </c>
      <c r="AP35" s="1367"/>
      <c r="AQ35" s="1367"/>
      <c r="AR35" s="1368"/>
      <c r="AS35" s="1366" t="s">
        <v>237</v>
      </c>
      <c r="AT35" s="1367"/>
      <c r="AU35" s="1367"/>
      <c r="AV35" s="1368"/>
      <c r="AW35" s="2"/>
      <c r="AX35" s="2"/>
      <c r="AY35" s="2"/>
      <c r="AZ35" s="2"/>
      <c r="BA35" s="2"/>
    </row>
    <row r="36" spans="1:57" ht="20.100000000000001" customHeight="1" x14ac:dyDescent="0.25">
      <c r="A36" s="18"/>
      <c r="B36" s="18"/>
      <c r="C36" s="18"/>
      <c r="D36" s="1"/>
      <c r="E36" s="2"/>
      <c r="F36" s="1366" t="s">
        <v>5800</v>
      </c>
      <c r="G36" s="1367"/>
      <c r="H36" s="1367"/>
      <c r="I36" s="1368"/>
      <c r="J36" s="1429" t="s">
        <v>109</v>
      </c>
      <c r="K36" s="1430"/>
      <c r="L36" s="1429" t="s">
        <v>110</v>
      </c>
      <c r="M36" s="1430"/>
      <c r="N36" s="1429" t="s">
        <v>109</v>
      </c>
      <c r="O36" s="1430"/>
      <c r="P36" s="1429" t="s">
        <v>110</v>
      </c>
      <c r="Q36" s="1431"/>
      <c r="R36" s="1429" t="s">
        <v>109</v>
      </c>
      <c r="S36" s="1430"/>
      <c r="T36" s="1429" t="s">
        <v>110</v>
      </c>
      <c r="U36" s="1430"/>
      <c r="V36" s="1429" t="s">
        <v>109</v>
      </c>
      <c r="W36" s="1430"/>
      <c r="X36" s="1429" t="s">
        <v>110</v>
      </c>
      <c r="Y36" s="1430"/>
      <c r="Z36" s="2"/>
      <c r="AA36" s="2"/>
      <c r="AB36" s="2"/>
      <c r="AC36" s="1366" t="s">
        <v>5800</v>
      </c>
      <c r="AD36" s="1367"/>
      <c r="AE36" s="1367"/>
      <c r="AF36" s="1368"/>
      <c r="AG36" s="1429" t="s">
        <v>109</v>
      </c>
      <c r="AH36" s="1430"/>
      <c r="AI36" s="1429" t="s">
        <v>110</v>
      </c>
      <c r="AJ36" s="1430"/>
      <c r="AK36" s="1429" t="s">
        <v>109</v>
      </c>
      <c r="AL36" s="1430"/>
      <c r="AM36" s="1429" t="s">
        <v>110</v>
      </c>
      <c r="AN36" s="1430"/>
      <c r="AO36" s="1431" t="s">
        <v>109</v>
      </c>
      <c r="AP36" s="1430"/>
      <c r="AQ36" s="1429" t="s">
        <v>110</v>
      </c>
      <c r="AR36" s="1430"/>
      <c r="AS36" s="1429" t="s">
        <v>109</v>
      </c>
      <c r="AT36" s="1430"/>
      <c r="AU36" s="1429" t="s">
        <v>110</v>
      </c>
      <c r="AV36" s="1430"/>
      <c r="AW36" s="2"/>
      <c r="AX36" s="2"/>
      <c r="AY36" s="2"/>
      <c r="AZ36" s="2"/>
      <c r="BA36" s="2"/>
    </row>
    <row r="37" spans="1:57" ht="20.100000000000001" customHeight="1" x14ac:dyDescent="0.25">
      <c r="A37" s="18"/>
      <c r="B37" s="18"/>
      <c r="C37" s="18"/>
      <c r="D37" s="1"/>
      <c r="E37" s="2"/>
      <c r="F37" s="1366" t="s">
        <v>90</v>
      </c>
      <c r="G37" s="1367"/>
      <c r="H37" s="1367"/>
      <c r="I37" s="1368"/>
      <c r="J37" s="1218"/>
      <c r="K37" s="1220"/>
      <c r="L37" s="1218"/>
      <c r="M37" s="1220"/>
      <c r="N37" s="1218"/>
      <c r="O37" s="1220"/>
      <c r="P37" s="1218"/>
      <c r="Q37" s="1220"/>
      <c r="R37" s="1441"/>
      <c r="S37" s="1442"/>
      <c r="T37" s="1441"/>
      <c r="U37" s="1442"/>
      <c r="V37" s="1441"/>
      <c r="W37" s="1442"/>
      <c r="X37" s="1441"/>
      <c r="Y37" s="1442"/>
      <c r="Z37" s="2"/>
      <c r="AA37" s="2"/>
      <c r="AB37" s="2"/>
      <c r="AC37" s="1366" t="s">
        <v>90</v>
      </c>
      <c r="AD37" s="1367"/>
      <c r="AE37" s="1367"/>
      <c r="AF37" s="1368"/>
      <c r="AG37" s="1218"/>
      <c r="AH37" s="1220"/>
      <c r="AI37" s="1218"/>
      <c r="AJ37" s="1220"/>
      <c r="AK37" s="1218"/>
      <c r="AL37" s="1220"/>
      <c r="AM37" s="1218"/>
      <c r="AN37" s="1220"/>
      <c r="AO37" s="1441"/>
      <c r="AP37" s="1442"/>
      <c r="AQ37" s="1441"/>
      <c r="AR37" s="1442"/>
      <c r="AS37" s="1441"/>
      <c r="AT37" s="1442"/>
      <c r="AU37" s="1441"/>
      <c r="AV37" s="1442"/>
      <c r="AW37" s="2"/>
      <c r="AX37" s="2"/>
      <c r="AY37" s="2"/>
      <c r="AZ37" s="2"/>
      <c r="BA37" s="2"/>
    </row>
    <row r="38" spans="1:57" ht="20.100000000000001" customHeight="1" x14ac:dyDescent="0.25">
      <c r="A38" s="18"/>
      <c r="B38" s="18"/>
      <c r="C38" s="18"/>
      <c r="D38" s="1"/>
      <c r="E38" s="2"/>
      <c r="F38" s="1366" t="s">
        <v>91</v>
      </c>
      <c r="G38" s="1367"/>
      <c r="H38" s="1367"/>
      <c r="I38" s="1368"/>
      <c r="J38" s="1218"/>
      <c r="K38" s="1220"/>
      <c r="L38" s="1218"/>
      <c r="M38" s="1220"/>
      <c r="N38" s="1218"/>
      <c r="O38" s="1220"/>
      <c r="P38" s="1218"/>
      <c r="Q38" s="1220"/>
      <c r="R38" s="1441"/>
      <c r="S38" s="1442"/>
      <c r="T38" s="1441"/>
      <c r="U38" s="1442"/>
      <c r="V38" s="1441"/>
      <c r="W38" s="1442"/>
      <c r="X38" s="1441"/>
      <c r="Y38" s="1442"/>
      <c r="Z38" s="2"/>
      <c r="AA38" s="2"/>
      <c r="AB38" s="2"/>
      <c r="AC38" s="1366" t="s">
        <v>91</v>
      </c>
      <c r="AD38" s="1367"/>
      <c r="AE38" s="1367"/>
      <c r="AF38" s="1368"/>
      <c r="AG38" s="1218"/>
      <c r="AH38" s="1220"/>
      <c r="AI38" s="1218"/>
      <c r="AJ38" s="1220"/>
      <c r="AK38" s="1218"/>
      <c r="AL38" s="1220"/>
      <c r="AM38" s="1218"/>
      <c r="AN38" s="1220"/>
      <c r="AO38" s="1441"/>
      <c r="AP38" s="1442"/>
      <c r="AQ38" s="1441"/>
      <c r="AR38" s="1442"/>
      <c r="AS38" s="1441"/>
      <c r="AT38" s="1442"/>
      <c r="AU38" s="1441"/>
      <c r="AV38" s="1442"/>
      <c r="AW38" s="2"/>
      <c r="AX38" s="2"/>
      <c r="AY38" s="2"/>
      <c r="AZ38" s="2"/>
      <c r="BA38" s="2"/>
    </row>
    <row r="39" spans="1:57" ht="20.100000000000001" customHeight="1" x14ac:dyDescent="0.25">
      <c r="A39" s="18"/>
      <c r="B39" s="18"/>
      <c r="C39" s="18"/>
      <c r="D39" s="1"/>
      <c r="E39" s="2"/>
      <c r="F39" s="1366" t="s">
        <v>92</v>
      </c>
      <c r="G39" s="1367"/>
      <c r="H39" s="1367"/>
      <c r="I39" s="1368"/>
      <c r="J39" s="1218"/>
      <c r="K39" s="1220"/>
      <c r="L39" s="1218"/>
      <c r="M39" s="1220"/>
      <c r="N39" s="1218"/>
      <c r="O39" s="1220"/>
      <c r="P39" s="1218"/>
      <c r="Q39" s="1220"/>
      <c r="R39" s="1441"/>
      <c r="S39" s="1442"/>
      <c r="T39" s="1441"/>
      <c r="U39" s="1442"/>
      <c r="V39" s="1441"/>
      <c r="W39" s="1442"/>
      <c r="X39" s="1441"/>
      <c r="Y39" s="1442"/>
      <c r="Z39" s="2"/>
      <c r="AA39" s="2"/>
      <c r="AB39" s="2"/>
      <c r="AC39" s="1366" t="s">
        <v>92</v>
      </c>
      <c r="AD39" s="1367"/>
      <c r="AE39" s="1367"/>
      <c r="AF39" s="1368"/>
      <c r="AG39" s="1218"/>
      <c r="AH39" s="1220"/>
      <c r="AI39" s="1218"/>
      <c r="AJ39" s="1220"/>
      <c r="AK39" s="1218"/>
      <c r="AL39" s="1220"/>
      <c r="AM39" s="1218"/>
      <c r="AN39" s="1220"/>
      <c r="AO39" s="1441"/>
      <c r="AP39" s="1442"/>
      <c r="AQ39" s="1441"/>
      <c r="AR39" s="1442"/>
      <c r="AS39" s="1441"/>
      <c r="AT39" s="1442"/>
      <c r="AU39" s="1441"/>
      <c r="AV39" s="1442"/>
      <c r="AW39" s="2"/>
      <c r="AX39" s="2"/>
      <c r="AY39" s="2"/>
      <c r="AZ39" s="2"/>
      <c r="BA39" s="2"/>
    </row>
    <row r="40" spans="1:57" ht="20.100000000000001" customHeight="1" x14ac:dyDescent="0.25">
      <c r="A40" s="18"/>
      <c r="B40" s="18"/>
      <c r="C40" s="18"/>
      <c r="D40" s="1"/>
      <c r="E40" s="2"/>
      <c r="F40" s="1366" t="s">
        <v>93</v>
      </c>
      <c r="G40" s="1367"/>
      <c r="H40" s="1367"/>
      <c r="I40" s="1368"/>
      <c r="J40" s="1218"/>
      <c r="K40" s="1220"/>
      <c r="L40" s="1218"/>
      <c r="M40" s="1220"/>
      <c r="N40" s="1218"/>
      <c r="O40" s="1220"/>
      <c r="P40" s="1218"/>
      <c r="Q40" s="1220"/>
      <c r="R40" s="1441"/>
      <c r="S40" s="1442"/>
      <c r="T40" s="1441"/>
      <c r="U40" s="1442"/>
      <c r="V40" s="1441"/>
      <c r="W40" s="1442"/>
      <c r="X40" s="1441"/>
      <c r="Y40" s="1442"/>
      <c r="Z40" s="2"/>
      <c r="AA40" s="2"/>
      <c r="AB40" s="2"/>
      <c r="AC40" s="1366" t="s">
        <v>93</v>
      </c>
      <c r="AD40" s="1367"/>
      <c r="AE40" s="1367"/>
      <c r="AF40" s="1368"/>
      <c r="AG40" s="1218"/>
      <c r="AH40" s="1220"/>
      <c r="AI40" s="1218"/>
      <c r="AJ40" s="1220"/>
      <c r="AK40" s="1218"/>
      <c r="AL40" s="1220"/>
      <c r="AM40" s="1218"/>
      <c r="AN40" s="1220"/>
      <c r="AO40" s="1441"/>
      <c r="AP40" s="1442"/>
      <c r="AQ40" s="1441"/>
      <c r="AR40" s="1442"/>
      <c r="AS40" s="1441"/>
      <c r="AT40" s="1442"/>
      <c r="AU40" s="1441"/>
      <c r="AV40" s="1442"/>
      <c r="AW40" s="2"/>
      <c r="AX40" s="2"/>
      <c r="AY40" s="2"/>
      <c r="AZ40" s="2"/>
      <c r="BA40" s="2"/>
    </row>
    <row r="41" spans="1:57" ht="20.100000000000001" customHeight="1" x14ac:dyDescent="0.25">
      <c r="A41" s="18"/>
      <c r="B41" s="18"/>
      <c r="C41" s="18"/>
      <c r="D41" s="1"/>
      <c r="E41" s="2"/>
      <c r="F41" s="1366" t="s">
        <v>94</v>
      </c>
      <c r="G41" s="1367"/>
      <c r="H41" s="1367"/>
      <c r="I41" s="1368"/>
      <c r="J41" s="1218"/>
      <c r="K41" s="1220"/>
      <c r="L41" s="1218"/>
      <c r="M41" s="1220"/>
      <c r="N41" s="1218"/>
      <c r="O41" s="1220"/>
      <c r="P41" s="1218"/>
      <c r="Q41" s="1220"/>
      <c r="R41" s="1441"/>
      <c r="S41" s="1442"/>
      <c r="T41" s="1441"/>
      <c r="U41" s="1442"/>
      <c r="V41" s="1441"/>
      <c r="W41" s="1442"/>
      <c r="X41" s="1441"/>
      <c r="Y41" s="1442"/>
      <c r="Z41" s="2"/>
      <c r="AA41" s="2"/>
      <c r="AB41" s="2"/>
      <c r="AC41" s="1366" t="s">
        <v>94</v>
      </c>
      <c r="AD41" s="1367"/>
      <c r="AE41" s="1367"/>
      <c r="AF41" s="1368"/>
      <c r="AG41" s="1218"/>
      <c r="AH41" s="1220"/>
      <c r="AI41" s="1218"/>
      <c r="AJ41" s="1220"/>
      <c r="AK41" s="1218"/>
      <c r="AL41" s="1220"/>
      <c r="AM41" s="1218"/>
      <c r="AN41" s="1220"/>
      <c r="AO41" s="1441"/>
      <c r="AP41" s="1442"/>
      <c r="AQ41" s="1441"/>
      <c r="AR41" s="1442"/>
      <c r="AS41" s="1441"/>
      <c r="AT41" s="1442"/>
      <c r="AU41" s="1441"/>
      <c r="AV41" s="1442"/>
      <c r="AW41" s="2"/>
      <c r="AX41" s="2"/>
      <c r="AY41" s="2"/>
      <c r="AZ41" s="2"/>
      <c r="BA41" s="2"/>
    </row>
    <row r="42" spans="1:57" ht="20.100000000000001" customHeight="1" x14ac:dyDescent="0.25">
      <c r="A42" s="18"/>
      <c r="B42" s="18"/>
      <c r="C42" s="18"/>
      <c r="D42" s="1"/>
      <c r="E42" s="2"/>
      <c r="F42" s="1366" t="s">
        <v>95</v>
      </c>
      <c r="G42" s="1367"/>
      <c r="H42" s="1367"/>
      <c r="I42" s="1368"/>
      <c r="J42" s="1218"/>
      <c r="K42" s="1220"/>
      <c r="L42" s="1218"/>
      <c r="M42" s="1220"/>
      <c r="N42" s="1218"/>
      <c r="O42" s="1220"/>
      <c r="P42" s="1218"/>
      <c r="Q42" s="1220"/>
      <c r="R42" s="1441"/>
      <c r="S42" s="1442"/>
      <c r="T42" s="1441"/>
      <c r="U42" s="1442"/>
      <c r="V42" s="1441"/>
      <c r="W42" s="1442"/>
      <c r="X42" s="1441"/>
      <c r="Y42" s="1442"/>
      <c r="Z42" s="2"/>
      <c r="AA42" s="2"/>
      <c r="AB42" s="2"/>
      <c r="AC42" s="1366" t="s">
        <v>95</v>
      </c>
      <c r="AD42" s="1367"/>
      <c r="AE42" s="1367"/>
      <c r="AF42" s="1368"/>
      <c r="AG42" s="1218"/>
      <c r="AH42" s="1220"/>
      <c r="AI42" s="1218"/>
      <c r="AJ42" s="1220"/>
      <c r="AK42" s="1218"/>
      <c r="AL42" s="1220"/>
      <c r="AM42" s="1218"/>
      <c r="AN42" s="1220"/>
      <c r="AO42" s="1441"/>
      <c r="AP42" s="1442"/>
      <c r="AQ42" s="1441"/>
      <c r="AR42" s="1442"/>
      <c r="AS42" s="1441"/>
      <c r="AT42" s="1442"/>
      <c r="AU42" s="1441"/>
      <c r="AV42" s="1442"/>
      <c r="AW42" s="2"/>
      <c r="AX42" s="2"/>
      <c r="AY42" s="2"/>
      <c r="AZ42" s="2"/>
      <c r="BA42" s="2"/>
    </row>
    <row r="43" spans="1:57" ht="20.100000000000001" customHeight="1" x14ac:dyDescent="0.25">
      <c r="A43" s="18"/>
      <c r="B43" s="18"/>
      <c r="C43" s="18"/>
      <c r="D43" s="1"/>
      <c r="E43" s="2"/>
      <c r="F43" s="1366" t="s">
        <v>96</v>
      </c>
      <c r="G43" s="1367"/>
      <c r="H43" s="1367"/>
      <c r="I43" s="1368"/>
      <c r="J43" s="1218"/>
      <c r="K43" s="1220"/>
      <c r="L43" s="1218"/>
      <c r="M43" s="1220"/>
      <c r="N43" s="1218"/>
      <c r="O43" s="1220"/>
      <c r="P43" s="1218"/>
      <c r="Q43" s="1220"/>
      <c r="R43" s="1441"/>
      <c r="S43" s="1442"/>
      <c r="T43" s="1441"/>
      <c r="U43" s="1442"/>
      <c r="V43" s="1441"/>
      <c r="W43" s="1442"/>
      <c r="X43" s="1441"/>
      <c r="Y43" s="1442"/>
      <c r="Z43" s="2"/>
      <c r="AA43" s="2"/>
      <c r="AB43" s="2"/>
      <c r="AC43" s="1366" t="s">
        <v>96</v>
      </c>
      <c r="AD43" s="1367"/>
      <c r="AE43" s="1367"/>
      <c r="AF43" s="1368"/>
      <c r="AG43" s="1218"/>
      <c r="AH43" s="1220"/>
      <c r="AI43" s="1218"/>
      <c r="AJ43" s="1220"/>
      <c r="AK43" s="1218"/>
      <c r="AL43" s="1220"/>
      <c r="AM43" s="1218"/>
      <c r="AN43" s="1220"/>
      <c r="AO43" s="1441"/>
      <c r="AP43" s="1442"/>
      <c r="AQ43" s="1441"/>
      <c r="AR43" s="1442"/>
      <c r="AS43" s="1441"/>
      <c r="AT43" s="1442"/>
      <c r="AU43" s="1441"/>
      <c r="AV43" s="1442"/>
      <c r="AW43" s="2"/>
      <c r="AX43" s="2"/>
      <c r="AY43" s="2"/>
      <c r="AZ43" s="2"/>
      <c r="BA43" s="2"/>
    </row>
    <row r="44" spans="1:57" ht="20.100000000000001" customHeight="1" x14ac:dyDescent="0.25">
      <c r="A44" s="18"/>
      <c r="B44" s="18"/>
      <c r="C44" s="18"/>
      <c r="D44" s="1"/>
      <c r="E44" s="2"/>
      <c r="F44" s="1366" t="s">
        <v>97</v>
      </c>
      <c r="G44" s="1367"/>
      <c r="H44" s="1367"/>
      <c r="I44" s="1368"/>
      <c r="J44" s="1218"/>
      <c r="K44" s="1220"/>
      <c r="L44" s="1218"/>
      <c r="M44" s="1220"/>
      <c r="N44" s="1218"/>
      <c r="O44" s="1220"/>
      <c r="P44" s="1218"/>
      <c r="Q44" s="1220"/>
      <c r="R44" s="1441"/>
      <c r="S44" s="1442"/>
      <c r="T44" s="1441"/>
      <c r="U44" s="1442"/>
      <c r="V44" s="1441"/>
      <c r="W44" s="1442"/>
      <c r="X44" s="1441"/>
      <c r="Y44" s="1442"/>
      <c r="Z44" s="2"/>
      <c r="AA44" s="2"/>
      <c r="AB44" s="2"/>
      <c r="AC44" s="1366" t="s">
        <v>97</v>
      </c>
      <c r="AD44" s="1367"/>
      <c r="AE44" s="1367"/>
      <c r="AF44" s="1368"/>
      <c r="AG44" s="1218"/>
      <c r="AH44" s="1220"/>
      <c r="AI44" s="1218"/>
      <c r="AJ44" s="1220"/>
      <c r="AK44" s="1218"/>
      <c r="AL44" s="1220"/>
      <c r="AM44" s="1218"/>
      <c r="AN44" s="1220"/>
      <c r="AO44" s="1441"/>
      <c r="AP44" s="1442"/>
      <c r="AQ44" s="1441"/>
      <c r="AR44" s="1442"/>
      <c r="AS44" s="1441"/>
      <c r="AT44" s="1442"/>
      <c r="AU44" s="1441"/>
      <c r="AV44" s="1442"/>
      <c r="AW44" s="2"/>
      <c r="AX44" s="2"/>
      <c r="AY44" s="2"/>
      <c r="AZ44" s="2"/>
      <c r="BA44" s="2"/>
    </row>
    <row r="45" spans="1:57" ht="20.100000000000001" customHeight="1" x14ac:dyDescent="0.25">
      <c r="A45" s="18"/>
      <c r="B45" s="18"/>
      <c r="C45" s="18"/>
      <c r="D45" s="1"/>
      <c r="E45" s="2"/>
      <c r="F45" s="1366" t="s">
        <v>98</v>
      </c>
      <c r="G45" s="1367"/>
      <c r="H45" s="1367"/>
      <c r="I45" s="1368"/>
      <c r="J45" s="1218"/>
      <c r="K45" s="1220"/>
      <c r="L45" s="1218"/>
      <c r="M45" s="1220"/>
      <c r="N45" s="1218"/>
      <c r="O45" s="1220"/>
      <c r="P45" s="1218"/>
      <c r="Q45" s="1220"/>
      <c r="R45" s="1441"/>
      <c r="S45" s="1442"/>
      <c r="T45" s="1441"/>
      <c r="U45" s="1442"/>
      <c r="V45" s="1441"/>
      <c r="W45" s="1442"/>
      <c r="X45" s="1441"/>
      <c r="Y45" s="1442"/>
      <c r="Z45" s="2"/>
      <c r="AA45" s="2"/>
      <c r="AB45" s="2"/>
      <c r="AC45" s="1366" t="s">
        <v>98</v>
      </c>
      <c r="AD45" s="1367"/>
      <c r="AE45" s="1367"/>
      <c r="AF45" s="1368"/>
      <c r="AG45" s="1218"/>
      <c r="AH45" s="1220"/>
      <c r="AI45" s="1218"/>
      <c r="AJ45" s="1220"/>
      <c r="AK45" s="1218"/>
      <c r="AL45" s="1220"/>
      <c r="AM45" s="1218"/>
      <c r="AN45" s="1220"/>
      <c r="AO45" s="1441"/>
      <c r="AP45" s="1442"/>
      <c r="AQ45" s="1441"/>
      <c r="AR45" s="1442"/>
      <c r="AS45" s="1441"/>
      <c r="AT45" s="1442"/>
      <c r="AU45" s="1441"/>
      <c r="AV45" s="1442"/>
      <c r="AW45" s="2"/>
      <c r="AX45" s="2"/>
      <c r="AY45" s="2"/>
      <c r="AZ45" s="2"/>
      <c r="BA45" s="2"/>
    </row>
    <row r="46" spans="1:57" ht="20.100000000000001" customHeight="1" x14ac:dyDescent="0.25">
      <c r="A46" s="18"/>
      <c r="B46" s="18"/>
      <c r="C46" s="18"/>
      <c r="D46" s="1"/>
      <c r="E46" s="2"/>
      <c r="F46" s="1366" t="s">
        <v>99</v>
      </c>
      <c r="G46" s="1367"/>
      <c r="H46" s="1367"/>
      <c r="I46" s="1368"/>
      <c r="J46" s="1218"/>
      <c r="K46" s="1220"/>
      <c r="L46" s="1218"/>
      <c r="M46" s="1220"/>
      <c r="N46" s="1218"/>
      <c r="O46" s="1220"/>
      <c r="P46" s="1218"/>
      <c r="Q46" s="1220"/>
      <c r="R46" s="1441"/>
      <c r="S46" s="1442"/>
      <c r="T46" s="1441"/>
      <c r="U46" s="1442"/>
      <c r="V46" s="1441"/>
      <c r="W46" s="1442"/>
      <c r="X46" s="1441"/>
      <c r="Y46" s="1442"/>
      <c r="Z46" s="2"/>
      <c r="AA46" s="2"/>
      <c r="AB46" s="2"/>
      <c r="AC46" s="1366" t="s">
        <v>99</v>
      </c>
      <c r="AD46" s="1367"/>
      <c r="AE46" s="1367"/>
      <c r="AF46" s="1368"/>
      <c r="AG46" s="1218"/>
      <c r="AH46" s="1220"/>
      <c r="AI46" s="1218"/>
      <c r="AJ46" s="1220"/>
      <c r="AK46" s="1218"/>
      <c r="AL46" s="1220"/>
      <c r="AM46" s="1218"/>
      <c r="AN46" s="1220"/>
      <c r="AO46" s="1441"/>
      <c r="AP46" s="1442"/>
      <c r="AQ46" s="1441"/>
      <c r="AR46" s="1442"/>
      <c r="AS46" s="1441"/>
      <c r="AT46" s="1442"/>
      <c r="AU46" s="1441"/>
      <c r="AV46" s="1442"/>
      <c r="AW46" s="2"/>
      <c r="AX46" s="2"/>
      <c r="AY46" s="2"/>
      <c r="AZ46" s="2"/>
      <c r="BA46" s="2"/>
    </row>
    <row r="47" spans="1:57" ht="20.100000000000001" customHeight="1" x14ac:dyDescent="0.25">
      <c r="A47" s="18"/>
      <c r="B47" s="18"/>
      <c r="C47" s="18"/>
      <c r="D47" s="1"/>
      <c r="E47" s="2"/>
      <c r="F47" s="2"/>
      <c r="G47" s="2"/>
      <c r="H47" s="2"/>
      <c r="I47" s="2"/>
      <c r="J47" s="1425" t="s">
        <v>348</v>
      </c>
      <c r="K47" s="1425"/>
      <c r="L47" s="1425"/>
      <c r="M47" s="1425"/>
      <c r="N47" s="1425"/>
      <c r="O47" s="1425"/>
      <c r="P47" s="1425"/>
      <c r="Q47" s="1425"/>
      <c r="R47" s="1425"/>
      <c r="S47" s="1425"/>
      <c r="T47" s="1425"/>
      <c r="U47" s="1425"/>
      <c r="V47" s="1425"/>
      <c r="W47" s="1425"/>
      <c r="X47" s="1425"/>
      <c r="Y47" s="1425"/>
      <c r="Z47" s="1426"/>
      <c r="AA47" s="1426"/>
      <c r="AB47" s="1426"/>
      <c r="AC47" s="1425"/>
      <c r="AD47" s="1425"/>
      <c r="AE47" s="1425"/>
      <c r="AF47" s="1425"/>
      <c r="AG47" s="1425"/>
      <c r="AH47" s="1425"/>
      <c r="AI47" s="1425"/>
      <c r="AJ47" s="1425"/>
      <c r="AK47" s="1425"/>
      <c r="AL47" s="1425"/>
      <c r="AM47" s="1425"/>
      <c r="AN47" s="1425"/>
      <c r="AO47" s="1425"/>
      <c r="AP47" s="2"/>
      <c r="AQ47" s="2"/>
      <c r="AR47" s="2"/>
      <c r="AS47" s="2"/>
      <c r="AT47" s="2"/>
      <c r="AU47" s="2"/>
      <c r="AV47" s="2"/>
      <c r="AW47" s="2"/>
      <c r="AX47" s="2"/>
      <c r="AY47" s="2"/>
      <c r="AZ47" s="2"/>
      <c r="BA47" s="2"/>
      <c r="BB47" s="2"/>
      <c r="BC47" s="2"/>
      <c r="BD47" s="2"/>
      <c r="BE47" s="2"/>
    </row>
    <row r="48" spans="1:57" ht="20.100000000000001" customHeight="1" x14ac:dyDescent="0.25">
      <c r="A48" s="18"/>
      <c r="B48" s="18"/>
      <c r="C48" s="18"/>
      <c r="D48" s="1"/>
      <c r="E48" s="2"/>
      <c r="F48" s="2"/>
      <c r="G48" s="2"/>
      <c r="H48" s="2"/>
      <c r="I48" s="2"/>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426"/>
      <c r="AK48" s="1426"/>
      <c r="AL48" s="1426"/>
      <c r="AM48" s="1426"/>
      <c r="AN48" s="1426"/>
      <c r="AO48" s="1426"/>
      <c r="AP48" s="2"/>
      <c r="AQ48" s="2"/>
      <c r="AR48" s="2"/>
      <c r="AS48" s="2"/>
      <c r="AT48" s="2"/>
      <c r="AU48" s="2"/>
      <c r="AV48" s="2"/>
      <c r="AW48" s="2"/>
      <c r="AX48" s="2"/>
      <c r="AY48" s="2"/>
      <c r="AZ48" s="2"/>
      <c r="BA48" s="2"/>
      <c r="BB48" s="2"/>
      <c r="BC48" s="2"/>
      <c r="BD48" s="2"/>
      <c r="BE48" s="2"/>
    </row>
    <row r="49" spans="1:57" ht="20.100000000000001" customHeight="1" x14ac:dyDescent="0.25">
      <c r="A49" s="18"/>
      <c r="B49" s="18"/>
      <c r="C49" s="18"/>
      <c r="D49" s="1"/>
      <c r="E49" s="7"/>
      <c r="F49" s="7"/>
      <c r="G49" s="7"/>
      <c r="H49" s="7"/>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7"/>
      <c r="AP49" s="7"/>
      <c r="AQ49" s="7"/>
      <c r="AR49" s="7"/>
      <c r="AS49" s="7"/>
      <c r="AT49" s="7"/>
      <c r="AU49" s="7"/>
      <c r="AV49" s="7"/>
      <c r="AW49" s="7"/>
      <c r="AX49" s="7"/>
      <c r="AY49" s="7"/>
      <c r="AZ49" s="7"/>
      <c r="BA49" s="7"/>
      <c r="BB49" s="7"/>
      <c r="BC49" s="7"/>
      <c r="BD49" s="7"/>
      <c r="BE49" s="7"/>
    </row>
    <row r="50" spans="1:57" ht="20.100000000000001" hidden="1" customHeight="1" x14ac:dyDescent="0.25">
      <c r="A50" s="18"/>
      <c r="B50" s="18"/>
      <c r="C50" s="18"/>
      <c r="D50" s="1"/>
      <c r="E50" s="7"/>
      <c r="F50" s="2"/>
      <c r="G50" s="2"/>
      <c r="H50" s="2"/>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2"/>
      <c r="AP50" s="2"/>
      <c r="AQ50" s="2"/>
      <c r="AR50" s="2"/>
      <c r="AS50" s="2"/>
      <c r="AT50" s="2"/>
      <c r="AU50" s="2"/>
      <c r="AV50" s="2"/>
      <c r="AW50" s="2"/>
      <c r="AX50" s="2"/>
      <c r="AY50" s="2"/>
      <c r="AZ50" s="2"/>
      <c r="BA50" s="2"/>
      <c r="BB50" s="2"/>
      <c r="BC50" s="2"/>
      <c r="BD50" s="2"/>
      <c r="BE50" s="2"/>
    </row>
    <row r="51" spans="1:57" ht="20.100000000000001" customHeight="1" x14ac:dyDescent="0.25">
      <c r="A51" s="18"/>
      <c r="B51" s="18"/>
      <c r="C51" s="18"/>
      <c r="D51" s="1"/>
      <c r="E51" s="2"/>
      <c r="F51" s="2"/>
      <c r="G51" s="2"/>
      <c r="H51" s="2"/>
      <c r="I51" s="2"/>
      <c r="J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21.95" customHeight="1" x14ac:dyDescent="0.25">
      <c r="A52" s="18"/>
      <c r="B52" s="18"/>
      <c r="C52" s="18"/>
      <c r="D52" s="1"/>
      <c r="E52" s="2"/>
      <c r="F52" s="281" t="s">
        <v>8649</v>
      </c>
      <c r="G52" s="226" t="s">
        <v>8650</v>
      </c>
      <c r="H52" s="2"/>
      <c r="I52" s="2"/>
      <c r="J52" s="350"/>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21.95" customHeight="1" outlineLevel="1" x14ac:dyDescent="0.25">
      <c r="A53" s="18"/>
      <c r="B53" s="18"/>
      <c r="C53" s="18"/>
      <c r="D53" s="1"/>
      <c r="E53" s="2"/>
      <c r="F53" s="1427" t="s">
        <v>8091</v>
      </c>
      <c r="G53" s="1427"/>
      <c r="H53" s="1427"/>
      <c r="I53" s="1428"/>
      <c r="J53" s="1357" t="s">
        <v>5741</v>
      </c>
      <c r="K53" s="1358"/>
      <c r="L53" s="1358"/>
      <c r="M53" s="1358"/>
      <c r="N53" s="1358"/>
      <c r="O53" s="1358"/>
      <c r="P53" s="1358"/>
      <c r="Q53" s="1465"/>
      <c r="R53" s="1477" t="s">
        <v>101</v>
      </c>
      <c r="S53" s="1358"/>
      <c r="T53" s="1358"/>
      <c r="U53" s="1358"/>
      <c r="V53" s="1358"/>
      <c r="W53" s="1358"/>
      <c r="X53" s="1358"/>
      <c r="Y53" s="1465"/>
      <c r="Z53" s="1358" t="s">
        <v>5743</v>
      </c>
      <c r="AA53" s="1358"/>
      <c r="AB53" s="1358"/>
      <c r="AC53" s="1358"/>
      <c r="AD53" s="1358"/>
      <c r="AE53" s="1358"/>
      <c r="AF53" s="1358"/>
      <c r="AG53" s="1359"/>
      <c r="AJ53" s="2"/>
    </row>
    <row r="54" spans="1:57" ht="21.95" customHeight="1" outlineLevel="1" x14ac:dyDescent="0.25">
      <c r="A54" s="18"/>
      <c r="B54" s="18"/>
      <c r="C54" s="18"/>
      <c r="D54" s="1"/>
      <c r="E54" s="2"/>
      <c r="F54" s="1427" t="s">
        <v>5802</v>
      </c>
      <c r="G54" s="1427"/>
      <c r="H54" s="1427"/>
      <c r="I54" s="1428"/>
      <c r="J54" s="1456" t="str">
        <f ca="1">'Calculos(2)'!$CQ$11</f>
        <v>-</v>
      </c>
      <c r="K54" s="1457"/>
      <c r="L54" s="1457"/>
      <c r="M54" s="1457"/>
      <c r="N54" s="1457"/>
      <c r="O54" s="1457"/>
      <c r="P54" s="1457"/>
      <c r="Q54" s="1458"/>
      <c r="R54" s="1459" t="str">
        <f ca="1">'Calculos(2)'!$CQ$16</f>
        <v>-</v>
      </c>
      <c r="S54" s="1460"/>
      <c r="T54" s="1460"/>
      <c r="U54" s="1460"/>
      <c r="V54" s="1460"/>
      <c r="W54" s="1460"/>
      <c r="X54" s="1460"/>
      <c r="Y54" s="1461"/>
      <c r="Z54" s="1462" t="str">
        <f ca="1">'Calculos(2)'!$CQ$21</f>
        <v>-</v>
      </c>
      <c r="AA54" s="1462"/>
      <c r="AB54" s="1462"/>
      <c r="AC54" s="1462"/>
      <c r="AD54" s="1462"/>
      <c r="AE54" s="1462"/>
      <c r="AF54" s="1462"/>
      <c r="AG54" s="1463"/>
    </row>
    <row r="55" spans="1:57" ht="21.95" customHeight="1" outlineLevel="1" x14ac:dyDescent="0.25">
      <c r="A55" s="18"/>
      <c r="B55" s="18"/>
      <c r="C55" s="18"/>
      <c r="D55" s="1"/>
      <c r="E55" s="2"/>
      <c r="F55" s="1427" t="s">
        <v>8107</v>
      </c>
      <c r="G55" s="1427"/>
      <c r="H55" s="1427"/>
      <c r="I55" s="1428"/>
      <c r="J55" s="1384" t="s">
        <v>7273</v>
      </c>
      <c r="K55" s="1384"/>
      <c r="L55" s="1384"/>
      <c r="M55" s="1384"/>
      <c r="N55" s="1384" t="s">
        <v>7272</v>
      </c>
      <c r="O55" s="1384"/>
      <c r="P55" s="1384"/>
      <c r="Q55" s="1455"/>
      <c r="R55" s="1443" t="s">
        <v>7273</v>
      </c>
      <c r="S55" s="1384"/>
      <c r="T55" s="1384"/>
      <c r="U55" s="1384"/>
      <c r="V55" s="1384" t="s">
        <v>7272</v>
      </c>
      <c r="W55" s="1384"/>
      <c r="X55" s="1384"/>
      <c r="Y55" s="1455"/>
      <c r="Z55" s="1444" t="s">
        <v>7273</v>
      </c>
      <c r="AA55" s="1384"/>
      <c r="AB55" s="1384"/>
      <c r="AC55" s="1384"/>
      <c r="AD55" s="1384" t="s">
        <v>7272</v>
      </c>
      <c r="AE55" s="1384"/>
      <c r="AF55" s="1384"/>
      <c r="AG55" s="1384"/>
    </row>
    <row r="56" spans="1:57" ht="21.95" customHeight="1" outlineLevel="1" x14ac:dyDescent="0.25">
      <c r="A56" s="18"/>
      <c r="B56" s="18"/>
      <c r="C56" s="18"/>
      <c r="D56" s="1"/>
      <c r="E56" s="2"/>
      <c r="F56" s="1427" t="s">
        <v>8108</v>
      </c>
      <c r="G56" s="1427"/>
      <c r="H56" s="1427"/>
      <c r="I56" s="1428"/>
      <c r="J56" s="1394" t="s">
        <v>10</v>
      </c>
      <c r="K56" s="1394"/>
      <c r="L56" s="1394" t="s">
        <v>237</v>
      </c>
      <c r="M56" s="1394"/>
      <c r="N56" s="1421" t="s">
        <v>10</v>
      </c>
      <c r="O56" s="1421"/>
      <c r="P56" s="1421" t="s">
        <v>237</v>
      </c>
      <c r="Q56" s="1422"/>
      <c r="R56" s="1452" t="s">
        <v>10</v>
      </c>
      <c r="S56" s="1394"/>
      <c r="T56" s="1394" t="s">
        <v>237</v>
      </c>
      <c r="U56" s="1453"/>
      <c r="V56" s="1421" t="s">
        <v>10</v>
      </c>
      <c r="W56" s="1421"/>
      <c r="X56" s="1421" t="s">
        <v>237</v>
      </c>
      <c r="Y56" s="1422"/>
      <c r="Z56" s="1393" t="s">
        <v>10</v>
      </c>
      <c r="AA56" s="1394"/>
      <c r="AB56" s="1393" t="s">
        <v>237</v>
      </c>
      <c r="AC56" s="1394"/>
      <c r="AD56" s="1421" t="s">
        <v>10</v>
      </c>
      <c r="AE56" s="1421"/>
      <c r="AF56" s="1421" t="s">
        <v>237</v>
      </c>
      <c r="AG56" s="1421"/>
    </row>
    <row r="57" spans="1:57" ht="21.95" customHeight="1" outlineLevel="1" x14ac:dyDescent="0.25">
      <c r="A57" s="18"/>
      <c r="B57" s="18"/>
      <c r="C57" s="18"/>
      <c r="D57" s="1"/>
      <c r="E57" s="2"/>
      <c r="F57" s="1427" t="s">
        <v>90</v>
      </c>
      <c r="G57" s="1427"/>
      <c r="H57" s="1427"/>
      <c r="I57" s="1428"/>
      <c r="J57" s="1396" t="str">
        <f ca="1">'Calculos(2)'!BI468</f>
        <v/>
      </c>
      <c r="K57" s="1369"/>
      <c r="L57" s="1369" t="str">
        <f ca="1">'Calculos(2)'!BJ468</f>
        <v/>
      </c>
      <c r="M57" s="1370"/>
      <c r="N57" s="1396" t="str">
        <f ca="1">'Calculos(2)'!BO468</f>
        <v/>
      </c>
      <c r="O57" s="1369"/>
      <c r="P57" s="1369" t="str">
        <f ca="1">'Calculos(2)'!BP468</f>
        <v/>
      </c>
      <c r="Q57" s="1423"/>
      <c r="R57" s="1395" t="str">
        <f ca="1">'Calculos(2)'!BK468</f>
        <v/>
      </c>
      <c r="S57" s="1369"/>
      <c r="T57" s="1369" t="str">
        <f ca="1">'Calculos(2)'!BL468</f>
        <v/>
      </c>
      <c r="U57" s="1370"/>
      <c r="V57" s="1396" t="str">
        <f ca="1">'Calculos(2)'!BQ468</f>
        <v/>
      </c>
      <c r="W57" s="1369"/>
      <c r="X57" s="1369" t="str">
        <f ca="1">'Calculos(2)'!BR468</f>
        <v/>
      </c>
      <c r="Y57" s="1423"/>
      <c r="Z57" s="1369" t="str">
        <f ca="1">'Calculos(2)'!BM468</f>
        <v/>
      </c>
      <c r="AA57" s="1370"/>
      <c r="AB57" s="1369" t="str">
        <f ca="1">'Calculos(2)'!BN468</f>
        <v/>
      </c>
      <c r="AC57" s="1370"/>
      <c r="AD57" s="1396" t="str">
        <f ca="1">'Calculos(2)'!BS468</f>
        <v/>
      </c>
      <c r="AE57" s="1369"/>
      <c r="AF57" s="1369" t="str">
        <f ca="1">'Calculos(2)'!BT468</f>
        <v/>
      </c>
      <c r="AG57" s="1370"/>
      <c r="AI57" s="284" t="s">
        <v>8106</v>
      </c>
      <c r="AJ57" s="285"/>
      <c r="AK57" s="285"/>
      <c r="AL57" s="285"/>
      <c r="AM57" s="285"/>
      <c r="AN57" s="286"/>
      <c r="BE57" s="2"/>
    </row>
    <row r="58" spans="1:57" ht="21.95" customHeight="1" outlineLevel="1" x14ac:dyDescent="0.25">
      <c r="A58" s="18"/>
      <c r="B58" s="18"/>
      <c r="C58" s="18"/>
      <c r="D58" s="1"/>
      <c r="E58" s="2"/>
      <c r="F58" s="1427" t="s">
        <v>91</v>
      </c>
      <c r="G58" s="1427"/>
      <c r="H58" s="1427"/>
      <c r="I58" s="1428"/>
      <c r="J58" s="1389" t="str">
        <f ca="1">'Calculos(2)'!BI469</f>
        <v/>
      </c>
      <c r="K58" s="1371"/>
      <c r="L58" s="1371" t="str">
        <f ca="1">'Calculos(2)'!BJ469</f>
        <v/>
      </c>
      <c r="M58" s="1372"/>
      <c r="N58" s="1389" t="str">
        <f ca="1">'Calculos(2)'!BO469</f>
        <v/>
      </c>
      <c r="O58" s="1371"/>
      <c r="P58" s="1371" t="str">
        <f ca="1">'Calculos(2)'!BP469</f>
        <v/>
      </c>
      <c r="Q58" s="1390"/>
      <c r="R58" s="1391" t="str">
        <f ca="1">'Calculos(2)'!BK469</f>
        <v/>
      </c>
      <c r="S58" s="1371"/>
      <c r="T58" s="1371" t="str">
        <f ca="1">'Calculos(2)'!BL469</f>
        <v/>
      </c>
      <c r="U58" s="1372"/>
      <c r="V58" s="1389" t="str">
        <f ca="1">'Calculos(2)'!BQ469</f>
        <v/>
      </c>
      <c r="W58" s="1371"/>
      <c r="X58" s="1371" t="str">
        <f ca="1">'Calculos(2)'!BR469</f>
        <v/>
      </c>
      <c r="Y58" s="1390"/>
      <c r="Z58" s="1369" t="str">
        <f ca="1">'Calculos(2)'!BM469</f>
        <v/>
      </c>
      <c r="AA58" s="1370"/>
      <c r="AB58" s="1371" t="str">
        <f ca="1">'Calculos(2)'!BN469</f>
        <v/>
      </c>
      <c r="AC58" s="1372"/>
      <c r="AD58" s="1389" t="str">
        <f ca="1">'Calculos(2)'!BS469</f>
        <v/>
      </c>
      <c r="AE58" s="1371"/>
      <c r="AF58" s="1371" t="str">
        <f ca="1">'Calculos(2)'!BT469</f>
        <v/>
      </c>
      <c r="AG58" s="1372"/>
      <c r="AI58" s="287" t="s">
        <v>8105</v>
      </c>
      <c r="AJ58" s="288"/>
      <c r="AK58" s="288"/>
      <c r="AL58" s="288"/>
      <c r="AM58" s="288"/>
      <c r="AN58" s="289"/>
      <c r="AY58" s="2"/>
      <c r="AZ58" s="2"/>
      <c r="BA58" s="2"/>
      <c r="BB58" s="2"/>
      <c r="BC58" s="2"/>
      <c r="BD58" s="2"/>
      <c r="BE58" s="2"/>
    </row>
    <row r="59" spans="1:57" ht="21.95" customHeight="1" outlineLevel="1" x14ac:dyDescent="0.25">
      <c r="A59" s="18"/>
      <c r="B59" s="18"/>
      <c r="C59" s="18"/>
      <c r="D59" s="1"/>
      <c r="E59" s="2"/>
      <c r="F59" s="1427" t="s">
        <v>92</v>
      </c>
      <c r="G59" s="1427"/>
      <c r="H59" s="1427"/>
      <c r="I59" s="1428"/>
      <c r="J59" s="1389" t="str">
        <f ca="1">'Calculos(2)'!BI470</f>
        <v/>
      </c>
      <c r="K59" s="1371"/>
      <c r="L59" s="1371" t="str">
        <f ca="1">'Calculos(2)'!BJ470</f>
        <v/>
      </c>
      <c r="M59" s="1372"/>
      <c r="N59" s="1389" t="str">
        <f ca="1">'Calculos(2)'!BO470</f>
        <v/>
      </c>
      <c r="O59" s="1371"/>
      <c r="P59" s="1371" t="str">
        <f ca="1">'Calculos(2)'!BP470</f>
        <v/>
      </c>
      <c r="Q59" s="1390"/>
      <c r="R59" s="1391" t="str">
        <f ca="1">'Calculos(2)'!BK470</f>
        <v/>
      </c>
      <c r="S59" s="1371"/>
      <c r="T59" s="1371" t="str">
        <f ca="1">'Calculos(2)'!BL470</f>
        <v/>
      </c>
      <c r="U59" s="1372"/>
      <c r="V59" s="1389" t="str">
        <f ca="1">'Calculos(2)'!BQ470</f>
        <v/>
      </c>
      <c r="W59" s="1371"/>
      <c r="X59" s="1371" t="str">
        <f ca="1">'Calculos(2)'!BR470</f>
        <v/>
      </c>
      <c r="Y59" s="1390"/>
      <c r="Z59" s="1369" t="str">
        <f ca="1">'Calculos(2)'!BM470</f>
        <v/>
      </c>
      <c r="AA59" s="1370"/>
      <c r="AB59" s="1371" t="str">
        <f ca="1">'Calculos(2)'!BN470</f>
        <v/>
      </c>
      <c r="AC59" s="1372"/>
      <c r="AD59" s="1389" t="str">
        <f ca="1">'Calculos(2)'!BS470</f>
        <v/>
      </c>
      <c r="AE59" s="1371"/>
      <c r="AF59" s="1371" t="str">
        <f ca="1">'Calculos(2)'!BT470</f>
        <v/>
      </c>
      <c r="AG59" s="1372"/>
      <c r="AI59" s="290" t="s">
        <v>8094</v>
      </c>
      <c r="AJ59" s="291"/>
      <c r="AK59" s="291"/>
      <c r="AL59" s="291"/>
      <c r="AM59" s="291"/>
      <c r="AN59" s="292"/>
      <c r="AY59" s="2"/>
      <c r="AZ59" s="2"/>
      <c r="BA59" s="2"/>
      <c r="BB59" s="2"/>
      <c r="BC59" s="2"/>
      <c r="BD59" s="2"/>
      <c r="BE59" s="2"/>
    </row>
    <row r="60" spans="1:57" ht="21.95" customHeight="1" outlineLevel="1" x14ac:dyDescent="0.25">
      <c r="A60" s="18"/>
      <c r="B60" s="18"/>
      <c r="C60" s="18"/>
      <c r="D60" s="1"/>
      <c r="E60" s="2"/>
      <c r="F60" s="1427" t="s">
        <v>93</v>
      </c>
      <c r="G60" s="1427"/>
      <c r="H60" s="1427"/>
      <c r="I60" s="1428"/>
      <c r="J60" s="1389" t="str">
        <f ca="1">'Calculos(2)'!BI471</f>
        <v/>
      </c>
      <c r="K60" s="1371"/>
      <c r="L60" s="1371" t="str">
        <f ca="1">'Calculos(2)'!BJ471</f>
        <v/>
      </c>
      <c r="M60" s="1372"/>
      <c r="N60" s="1389" t="str">
        <f ca="1">'Calculos(2)'!BO471</f>
        <v/>
      </c>
      <c r="O60" s="1371"/>
      <c r="P60" s="1371" t="str">
        <f ca="1">'Calculos(2)'!BP471</f>
        <v/>
      </c>
      <c r="Q60" s="1390"/>
      <c r="R60" s="1391" t="str">
        <f ca="1">'Calculos(2)'!BK471</f>
        <v/>
      </c>
      <c r="S60" s="1371"/>
      <c r="T60" s="1371" t="str">
        <f ca="1">'Calculos(2)'!BL471</f>
        <v/>
      </c>
      <c r="U60" s="1372"/>
      <c r="V60" s="1389" t="str">
        <f ca="1">'Calculos(2)'!BQ471</f>
        <v/>
      </c>
      <c r="W60" s="1371"/>
      <c r="X60" s="1371" t="str">
        <f ca="1">'Calculos(2)'!BR471</f>
        <v/>
      </c>
      <c r="Y60" s="1390"/>
      <c r="Z60" s="1369" t="str">
        <f ca="1">'Calculos(2)'!BM471</f>
        <v/>
      </c>
      <c r="AA60" s="1370"/>
      <c r="AB60" s="1371" t="str">
        <f ca="1">'Calculos(2)'!BN471</f>
        <v/>
      </c>
      <c r="AC60" s="1372"/>
      <c r="AD60" s="1389" t="str">
        <f ca="1">'Calculos(2)'!BS471</f>
        <v/>
      </c>
      <c r="AE60" s="1371"/>
      <c r="AF60" s="1371" t="str">
        <f ca="1">'Calculos(2)'!BT471</f>
        <v/>
      </c>
      <c r="AG60" s="1372"/>
      <c r="AI60" s="293" t="s">
        <v>8095</v>
      </c>
      <c r="AJ60" s="294"/>
      <c r="AK60" s="294"/>
      <c r="AL60" s="294"/>
      <c r="AM60" s="294"/>
      <c r="AN60" s="295"/>
      <c r="AY60" s="2"/>
      <c r="AZ60" s="2"/>
      <c r="BA60" s="2"/>
      <c r="BB60" s="2"/>
      <c r="BC60" s="2"/>
      <c r="BD60" s="2"/>
      <c r="BE60" s="2"/>
    </row>
    <row r="61" spans="1:57" ht="21.95" customHeight="1" outlineLevel="1" x14ac:dyDescent="0.25">
      <c r="A61" s="18"/>
      <c r="B61" s="18"/>
      <c r="C61" s="18"/>
      <c r="D61" s="1"/>
      <c r="E61" s="2"/>
      <c r="F61" s="1427" t="s">
        <v>94</v>
      </c>
      <c r="G61" s="1427"/>
      <c r="H61" s="1427"/>
      <c r="I61" s="1428"/>
      <c r="J61" s="1389" t="str">
        <f ca="1">'Calculos(2)'!BI472</f>
        <v/>
      </c>
      <c r="K61" s="1371"/>
      <c r="L61" s="1371" t="str">
        <f ca="1">'Calculos(2)'!BJ472</f>
        <v/>
      </c>
      <c r="M61" s="1372"/>
      <c r="N61" s="1389" t="str">
        <f ca="1">'Calculos(2)'!BO472</f>
        <v/>
      </c>
      <c r="O61" s="1371"/>
      <c r="P61" s="1371" t="str">
        <f ca="1">'Calculos(2)'!BP472</f>
        <v/>
      </c>
      <c r="Q61" s="1390"/>
      <c r="R61" s="1391" t="str">
        <f ca="1">'Calculos(2)'!BK472</f>
        <v/>
      </c>
      <c r="S61" s="1371"/>
      <c r="T61" s="1371" t="str">
        <f ca="1">'Calculos(2)'!BL472</f>
        <v/>
      </c>
      <c r="U61" s="1372"/>
      <c r="V61" s="1389" t="str">
        <f ca="1">'Calculos(2)'!BQ472</f>
        <v/>
      </c>
      <c r="W61" s="1371"/>
      <c r="X61" s="1371" t="str">
        <f ca="1">'Calculos(2)'!BR472</f>
        <v/>
      </c>
      <c r="Y61" s="1390"/>
      <c r="Z61" s="1369" t="str">
        <f ca="1">'Calculos(2)'!BM472</f>
        <v/>
      </c>
      <c r="AA61" s="1370"/>
      <c r="AB61" s="1371" t="str">
        <f ca="1">'Calculos(2)'!BN472</f>
        <v/>
      </c>
      <c r="AC61" s="1372"/>
      <c r="AD61" s="1389" t="str">
        <f ca="1">'Calculos(2)'!BS472</f>
        <v/>
      </c>
      <c r="AE61" s="1371"/>
      <c r="AF61" s="1371" t="str">
        <f ca="1">'Calculos(2)'!BT472</f>
        <v/>
      </c>
      <c r="AG61" s="1372"/>
      <c r="AI61" s="296" t="s">
        <v>8096</v>
      </c>
      <c r="AJ61" s="297"/>
      <c r="AK61" s="297"/>
      <c r="AL61" s="297"/>
      <c r="AM61" s="297"/>
      <c r="AN61" s="298"/>
      <c r="AY61" s="2"/>
      <c r="AZ61" s="2"/>
      <c r="BA61" s="2"/>
      <c r="BB61" s="2"/>
      <c r="BC61" s="2"/>
      <c r="BD61" s="2"/>
      <c r="BE61" s="2"/>
    </row>
    <row r="62" spans="1:57" ht="21.95" customHeight="1" outlineLevel="1" x14ac:dyDescent="0.25">
      <c r="A62" s="18"/>
      <c r="B62" s="18"/>
      <c r="C62" s="18"/>
      <c r="D62" s="1"/>
      <c r="E62" s="2"/>
      <c r="F62" s="1427" t="s">
        <v>95</v>
      </c>
      <c r="G62" s="1427"/>
      <c r="H62" s="1427"/>
      <c r="I62" s="1428"/>
      <c r="J62" s="1389" t="str">
        <f ca="1">'Calculos(2)'!BI473</f>
        <v/>
      </c>
      <c r="K62" s="1371"/>
      <c r="L62" s="1371" t="str">
        <f ca="1">'Calculos(2)'!BJ473</f>
        <v/>
      </c>
      <c r="M62" s="1372"/>
      <c r="N62" s="1389" t="str">
        <f ca="1">'Calculos(2)'!BO473</f>
        <v/>
      </c>
      <c r="O62" s="1371"/>
      <c r="P62" s="1371" t="str">
        <f ca="1">'Calculos(2)'!BP473</f>
        <v/>
      </c>
      <c r="Q62" s="1390"/>
      <c r="R62" s="1391" t="str">
        <f ca="1">'Calculos(2)'!BK473</f>
        <v/>
      </c>
      <c r="S62" s="1371"/>
      <c r="T62" s="1371" t="str">
        <f ca="1">'Calculos(2)'!BL473</f>
        <v/>
      </c>
      <c r="U62" s="1372"/>
      <c r="V62" s="1389" t="str">
        <f ca="1">'Calculos(2)'!BQ473</f>
        <v/>
      </c>
      <c r="W62" s="1371"/>
      <c r="X62" s="1371" t="str">
        <f ca="1">'Calculos(2)'!BR473</f>
        <v/>
      </c>
      <c r="Y62" s="1390"/>
      <c r="Z62" s="1369" t="str">
        <f ca="1">'Calculos(2)'!BM473</f>
        <v/>
      </c>
      <c r="AA62" s="1370"/>
      <c r="AB62" s="1371" t="str">
        <f ca="1">'Calculos(2)'!BN473</f>
        <v/>
      </c>
      <c r="AC62" s="1372"/>
      <c r="AD62" s="1389" t="str">
        <f ca="1">'Calculos(2)'!BS473</f>
        <v/>
      </c>
      <c r="AE62" s="1371"/>
      <c r="AF62" s="1371" t="str">
        <f ca="1">'Calculos(2)'!BT473</f>
        <v/>
      </c>
      <c r="AG62" s="1372"/>
      <c r="AY62" s="2"/>
      <c r="AZ62" s="2"/>
      <c r="BA62" s="2"/>
      <c r="BB62" s="2"/>
      <c r="BC62" s="2"/>
      <c r="BD62" s="2"/>
      <c r="BE62" s="2"/>
    </row>
    <row r="63" spans="1:57" ht="21.95" customHeight="1" outlineLevel="1" x14ac:dyDescent="0.25">
      <c r="A63" s="18"/>
      <c r="B63" s="18"/>
      <c r="C63" s="18"/>
      <c r="D63" s="1"/>
      <c r="E63" s="2"/>
      <c r="F63" s="1427" t="s">
        <v>96</v>
      </c>
      <c r="G63" s="1427"/>
      <c r="H63" s="1427"/>
      <c r="I63" s="1428"/>
      <c r="J63" s="1389" t="str">
        <f ca="1">'Calculos(2)'!BI474</f>
        <v/>
      </c>
      <c r="K63" s="1371"/>
      <c r="L63" s="1371" t="str">
        <f ca="1">'Calculos(2)'!BJ474</f>
        <v/>
      </c>
      <c r="M63" s="1372"/>
      <c r="N63" s="1389" t="str">
        <f ca="1">'Calculos(2)'!BO474</f>
        <v/>
      </c>
      <c r="O63" s="1371"/>
      <c r="P63" s="1371" t="str">
        <f ca="1">'Calculos(2)'!BP474</f>
        <v/>
      </c>
      <c r="Q63" s="1390"/>
      <c r="R63" s="1391" t="str">
        <f ca="1">'Calculos(2)'!BK474</f>
        <v/>
      </c>
      <c r="S63" s="1371"/>
      <c r="T63" s="1371" t="str">
        <f ca="1">'Calculos(2)'!BL474</f>
        <v/>
      </c>
      <c r="U63" s="1372"/>
      <c r="V63" s="1389" t="str">
        <f ca="1">'Calculos(2)'!BQ474</f>
        <v/>
      </c>
      <c r="W63" s="1371"/>
      <c r="X63" s="1371" t="str">
        <f ca="1">'Calculos(2)'!BR474</f>
        <v/>
      </c>
      <c r="Y63" s="1390"/>
      <c r="Z63" s="1369" t="str">
        <f ca="1">'Calculos(2)'!BM474</f>
        <v/>
      </c>
      <c r="AA63" s="1370"/>
      <c r="AB63" s="1371" t="str">
        <f ca="1">'Calculos(2)'!BN474</f>
        <v/>
      </c>
      <c r="AC63" s="1372"/>
      <c r="AD63" s="1389" t="str">
        <f ca="1">'Calculos(2)'!BS474</f>
        <v/>
      </c>
      <c r="AE63" s="1371"/>
      <c r="AF63" s="1371" t="str">
        <f ca="1">'Calculos(2)'!BT474</f>
        <v/>
      </c>
      <c r="AG63" s="1372"/>
      <c r="AY63" s="2"/>
      <c r="AZ63" s="2"/>
      <c r="BA63" s="2"/>
      <c r="BB63" s="2"/>
      <c r="BC63" s="2"/>
      <c r="BD63" s="2"/>
      <c r="BE63" s="2"/>
    </row>
    <row r="64" spans="1:57" ht="21.95" customHeight="1" outlineLevel="1" x14ac:dyDescent="0.25">
      <c r="A64" s="18"/>
      <c r="B64" s="18"/>
      <c r="C64" s="18"/>
      <c r="D64" s="1"/>
      <c r="E64" s="2"/>
      <c r="F64" s="1427" t="s">
        <v>97</v>
      </c>
      <c r="G64" s="1427"/>
      <c r="H64" s="1427"/>
      <c r="I64" s="1428"/>
      <c r="J64" s="1389" t="str">
        <f ca="1">'Calculos(2)'!BI475</f>
        <v/>
      </c>
      <c r="K64" s="1371"/>
      <c r="L64" s="1371" t="str">
        <f ca="1">'Calculos(2)'!BJ475</f>
        <v/>
      </c>
      <c r="M64" s="1372"/>
      <c r="N64" s="1389" t="str">
        <f ca="1">'Calculos(2)'!BO475</f>
        <v/>
      </c>
      <c r="O64" s="1371"/>
      <c r="P64" s="1371" t="str">
        <f ca="1">'Calculos(2)'!BP475</f>
        <v/>
      </c>
      <c r="Q64" s="1390"/>
      <c r="R64" s="1391" t="str">
        <f ca="1">'Calculos(2)'!BK475</f>
        <v/>
      </c>
      <c r="S64" s="1371"/>
      <c r="T64" s="1371" t="str">
        <f ca="1">'Calculos(2)'!BL475</f>
        <v/>
      </c>
      <c r="U64" s="1372"/>
      <c r="V64" s="1389" t="str">
        <f ca="1">'Calculos(2)'!BQ475</f>
        <v/>
      </c>
      <c r="W64" s="1371"/>
      <c r="X64" s="1371" t="str">
        <f ca="1">'Calculos(2)'!BR475</f>
        <v/>
      </c>
      <c r="Y64" s="1390"/>
      <c r="Z64" s="1369" t="str">
        <f ca="1">'Calculos(2)'!BM475</f>
        <v/>
      </c>
      <c r="AA64" s="1370"/>
      <c r="AB64" s="1371" t="str">
        <f ca="1">'Calculos(2)'!BN475</f>
        <v/>
      </c>
      <c r="AC64" s="1372"/>
      <c r="AD64" s="1389" t="str">
        <f ca="1">'Calculos(2)'!BS475</f>
        <v/>
      </c>
      <c r="AE64" s="1371"/>
      <c r="AF64" s="1371" t="str">
        <f ca="1">'Calculos(2)'!BT475</f>
        <v/>
      </c>
      <c r="AG64" s="1372"/>
      <c r="AY64" s="2"/>
      <c r="AZ64" s="2"/>
      <c r="BA64" s="2"/>
      <c r="BB64" s="2"/>
      <c r="BC64" s="2"/>
      <c r="BD64" s="2"/>
      <c r="BE64" s="2"/>
    </row>
    <row r="65" spans="1:57" ht="21.95" customHeight="1" outlineLevel="1" x14ac:dyDescent="0.25">
      <c r="A65" s="18"/>
      <c r="B65" s="18"/>
      <c r="C65" s="18"/>
      <c r="D65" s="1"/>
      <c r="E65" s="2"/>
      <c r="F65" s="1427" t="s">
        <v>98</v>
      </c>
      <c r="G65" s="1427"/>
      <c r="H65" s="1427"/>
      <c r="I65" s="1428"/>
      <c r="J65" s="1389" t="str">
        <f ca="1">'Calculos(2)'!BI476</f>
        <v/>
      </c>
      <c r="K65" s="1371"/>
      <c r="L65" s="1371" t="str">
        <f ca="1">'Calculos(2)'!BJ476</f>
        <v/>
      </c>
      <c r="M65" s="1372"/>
      <c r="N65" s="1389" t="str">
        <f ca="1">'Calculos(2)'!BO476</f>
        <v/>
      </c>
      <c r="O65" s="1371"/>
      <c r="P65" s="1371" t="str">
        <f ca="1">'Calculos(2)'!BP476</f>
        <v/>
      </c>
      <c r="Q65" s="1390"/>
      <c r="R65" s="1391" t="str">
        <f ca="1">'Calculos(2)'!BK476</f>
        <v/>
      </c>
      <c r="S65" s="1371"/>
      <c r="T65" s="1371" t="str">
        <f ca="1">'Calculos(2)'!BL476</f>
        <v/>
      </c>
      <c r="U65" s="1372"/>
      <c r="V65" s="1389" t="str">
        <f ca="1">'Calculos(2)'!BQ476</f>
        <v/>
      </c>
      <c r="W65" s="1371"/>
      <c r="X65" s="1371" t="str">
        <f ca="1">'Calculos(2)'!BR476</f>
        <v/>
      </c>
      <c r="Y65" s="1390"/>
      <c r="Z65" s="1369" t="str">
        <f ca="1">'Calculos(2)'!BM476</f>
        <v/>
      </c>
      <c r="AA65" s="1370"/>
      <c r="AB65" s="1371" t="str">
        <f ca="1">'Calculos(2)'!BN476</f>
        <v/>
      </c>
      <c r="AC65" s="1372"/>
      <c r="AD65" s="1389" t="str">
        <f ca="1">'Calculos(2)'!BS476</f>
        <v/>
      </c>
      <c r="AE65" s="1371"/>
      <c r="AF65" s="1371" t="str">
        <f ca="1">'Calculos(2)'!BT476</f>
        <v/>
      </c>
      <c r="AG65" s="1372"/>
      <c r="AY65" s="2"/>
      <c r="AZ65" s="2"/>
      <c r="BA65" s="2"/>
      <c r="BB65" s="2"/>
      <c r="BC65" s="2"/>
      <c r="BD65" s="2"/>
      <c r="BE65" s="2"/>
    </row>
    <row r="66" spans="1:57" ht="21.95" customHeight="1" outlineLevel="1" x14ac:dyDescent="0.25">
      <c r="A66" s="18"/>
      <c r="B66" s="18"/>
      <c r="C66" s="18"/>
      <c r="D66" s="1"/>
      <c r="E66" s="2"/>
      <c r="F66" s="1427" t="s">
        <v>99</v>
      </c>
      <c r="G66" s="1427"/>
      <c r="H66" s="1427"/>
      <c r="I66" s="1428"/>
      <c r="J66" s="1397" t="str">
        <f ca="1">'Calculos(2)'!BI477</f>
        <v/>
      </c>
      <c r="K66" s="1373"/>
      <c r="L66" s="1373" t="str">
        <f ca="1">'Calculos(2)'!BJ477</f>
        <v/>
      </c>
      <c r="M66" s="1374"/>
      <c r="N66" s="1397" t="str">
        <f ca="1">'Calculos(2)'!BO477</f>
        <v/>
      </c>
      <c r="O66" s="1373"/>
      <c r="P66" s="1373" t="str">
        <f ca="1">'Calculos(2)'!BP477</f>
        <v/>
      </c>
      <c r="Q66" s="1420"/>
      <c r="R66" s="1398" t="str">
        <f ca="1">'Calculos(2)'!BK477</f>
        <v/>
      </c>
      <c r="S66" s="1373"/>
      <c r="T66" s="1373" t="str">
        <f ca="1">'Calculos(2)'!BL477</f>
        <v/>
      </c>
      <c r="U66" s="1374"/>
      <c r="V66" s="1397" t="str">
        <f ca="1">'Calculos(2)'!BQ477</f>
        <v/>
      </c>
      <c r="W66" s="1373"/>
      <c r="X66" s="1373" t="str">
        <f ca="1">'Calculos(2)'!BR477</f>
        <v/>
      </c>
      <c r="Y66" s="1420"/>
      <c r="Z66" s="1369" t="str">
        <f ca="1">'Calculos(2)'!BM477</f>
        <v/>
      </c>
      <c r="AA66" s="1370"/>
      <c r="AB66" s="1373" t="str">
        <f ca="1">'Calculos(2)'!BN477</f>
        <v/>
      </c>
      <c r="AC66" s="1374"/>
      <c r="AD66" s="1397" t="str">
        <f ca="1">'Calculos(2)'!BS477</f>
        <v/>
      </c>
      <c r="AE66" s="1373"/>
      <c r="AF66" s="1373" t="str">
        <f ca="1">'Calculos(2)'!BT477</f>
        <v/>
      </c>
      <c r="AG66" s="1374"/>
      <c r="AY66" s="2"/>
      <c r="AZ66" s="2"/>
      <c r="BA66" s="2"/>
      <c r="BB66" s="2"/>
      <c r="BC66" s="2"/>
      <c r="BD66" s="2"/>
      <c r="BE66" s="2"/>
    </row>
    <row r="67" spans="1:57" ht="21.95" customHeight="1" outlineLevel="1" x14ac:dyDescent="0.25">
      <c r="A67" s="18"/>
      <c r="B67" s="18"/>
      <c r="C67" s="18"/>
      <c r="D67" s="1"/>
      <c r="E67" s="2"/>
      <c r="F67" s="2"/>
      <c r="G67" s="2"/>
      <c r="H67" s="2"/>
      <c r="I67" s="2"/>
      <c r="J67" s="249" t="s">
        <v>6036</v>
      </c>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20.100000000000001" customHeight="1" x14ac:dyDescent="0.25">
      <c r="A68" s="18"/>
      <c r="B68" s="18"/>
      <c r="C68" s="18"/>
      <c r="D68" s="1"/>
      <c r="E68" s="7"/>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57" ht="20.100000000000001" customHeight="1" x14ac:dyDescent="0.25">
      <c r="A69" s="18"/>
      <c r="B69" s="18"/>
      <c r="C69" s="18"/>
      <c r="D69" s="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row>
    <row r="70" spans="1:57" ht="20.100000000000001" customHeight="1" x14ac:dyDescent="0.25">
      <c r="A70" s="18"/>
      <c r="B70" s="18"/>
      <c r="C70" s="18"/>
      <c r="D70" s="1"/>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20.100000000000001" customHeight="1" x14ac:dyDescent="0.25">
      <c r="A71" s="18"/>
      <c r="B71" s="18"/>
      <c r="C71" s="18"/>
      <c r="D71" s="1"/>
      <c r="E71" s="2"/>
      <c r="F71" s="1149" t="s">
        <v>89</v>
      </c>
      <c r="G71" s="1094"/>
      <c r="H71" s="1094"/>
      <c r="I71" s="1094"/>
      <c r="J71" s="1094"/>
      <c r="K71" s="1094"/>
      <c r="L71" s="1104"/>
      <c r="M71" s="148" t="s">
        <v>186</v>
      </c>
      <c r="N71" s="1259"/>
      <c r="O71" s="1260"/>
      <c r="P71" s="1260"/>
      <c r="Q71" s="1260"/>
      <c r="R71" s="1260"/>
      <c r="S71" s="1261"/>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20.100000000000001" customHeight="1" x14ac:dyDescent="0.25">
      <c r="A72" s="18"/>
      <c r="B72" s="18"/>
      <c r="C72" s="18"/>
      <c r="D72" s="1"/>
      <c r="E72" s="2"/>
      <c r="F72" s="1149" t="s">
        <v>352</v>
      </c>
      <c r="G72" s="1094"/>
      <c r="H72" s="1094"/>
      <c r="I72" s="1094"/>
      <c r="J72" s="1094"/>
      <c r="K72" s="1094"/>
      <c r="L72" s="1104"/>
      <c r="M72" s="148" t="s">
        <v>186</v>
      </c>
      <c r="N72" s="1259"/>
      <c r="O72" s="1260"/>
      <c r="P72" s="1260"/>
      <c r="Q72" s="1260"/>
      <c r="R72" s="1260"/>
      <c r="S72" s="1261"/>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30" customHeight="1" x14ac:dyDescent="0.25">
      <c r="A73" s="18"/>
      <c r="B73" s="18"/>
      <c r="C73" s="18"/>
      <c r="D73" s="1"/>
      <c r="E73" s="2"/>
      <c r="F73" s="1149" t="s">
        <v>130</v>
      </c>
      <c r="G73" s="1094"/>
      <c r="H73" s="1094"/>
      <c r="I73" s="1094"/>
      <c r="J73" s="1094"/>
      <c r="K73" s="1094"/>
      <c r="L73" s="1094"/>
      <c r="M73" s="148" t="s">
        <v>186</v>
      </c>
      <c r="N73" s="1417"/>
      <c r="O73" s="1418"/>
      <c r="P73" s="1418"/>
      <c r="Q73" s="1418"/>
      <c r="R73" s="1418"/>
      <c r="S73" s="1418"/>
      <c r="T73" s="1418"/>
      <c r="U73" s="1418"/>
      <c r="V73" s="1418"/>
      <c r="W73" s="1418"/>
      <c r="X73" s="1418"/>
      <c r="Y73" s="1418"/>
      <c r="Z73" s="1418"/>
      <c r="AA73" s="1418"/>
      <c r="AB73" s="1418"/>
      <c r="AC73" s="1418"/>
      <c r="AD73" s="1418"/>
      <c r="AE73" s="1418"/>
      <c r="AF73" s="1418"/>
      <c r="AG73" s="1418"/>
      <c r="AH73" s="1418"/>
      <c r="AI73" s="1418"/>
      <c r="AJ73" s="1418"/>
      <c r="AK73" s="1418"/>
      <c r="AL73" s="1418"/>
      <c r="AM73" s="1419"/>
      <c r="AN73" s="124"/>
      <c r="AO73" s="124"/>
      <c r="AP73" s="124"/>
      <c r="AQ73" s="124"/>
      <c r="AR73" s="124"/>
      <c r="AS73" s="124"/>
      <c r="AT73" s="124"/>
      <c r="AU73" s="124"/>
      <c r="AV73" s="124"/>
      <c r="AW73" s="124"/>
      <c r="AX73" s="124"/>
      <c r="AY73" s="124"/>
      <c r="AZ73" s="124"/>
      <c r="BA73" s="2"/>
      <c r="BB73" s="2"/>
      <c r="BC73" s="2"/>
      <c r="BD73" s="2"/>
      <c r="BE73" s="2"/>
    </row>
    <row r="74" spans="1:57" ht="20.100000000000001" customHeight="1" x14ac:dyDescent="0.25">
      <c r="A74" s="18"/>
      <c r="B74" s="18"/>
      <c r="C74" s="18"/>
      <c r="D74" s="1"/>
      <c r="E74" s="2"/>
      <c r="F74" s="1149" t="s">
        <v>83</v>
      </c>
      <c r="G74" s="1094"/>
      <c r="H74" s="1094"/>
      <c r="I74" s="1094"/>
      <c r="J74" s="1094"/>
      <c r="K74" s="1094"/>
      <c r="L74" s="1104"/>
      <c r="M74" s="148" t="s">
        <v>186</v>
      </c>
      <c r="N74" s="1413"/>
      <c r="O74" s="1414"/>
      <c r="P74" s="1414"/>
      <c r="Q74" s="1414"/>
      <c r="R74" s="1414"/>
      <c r="S74" s="1414"/>
      <c r="T74" s="1414"/>
      <c r="U74" s="1414"/>
      <c r="V74" s="1414"/>
      <c r="W74" s="1414"/>
      <c r="X74" s="1415"/>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20.100000000000001" customHeight="1" x14ac:dyDescent="0.25">
      <c r="A75" s="18"/>
      <c r="B75" s="18"/>
      <c r="C75" s="18"/>
      <c r="D75" s="1"/>
      <c r="E75" s="2"/>
      <c r="F75" s="1149" t="s">
        <v>100</v>
      </c>
      <c r="G75" s="1094"/>
      <c r="H75" s="1094"/>
      <c r="I75" s="1094"/>
      <c r="J75" s="1094"/>
      <c r="K75" s="1094"/>
      <c r="L75" s="1104"/>
      <c r="M75" s="148" t="s">
        <v>186</v>
      </c>
      <c r="N75" s="1413"/>
      <c r="O75" s="1414"/>
      <c r="P75" s="1414"/>
      <c r="Q75" s="1414"/>
      <c r="R75" s="1414"/>
      <c r="S75" s="1414"/>
      <c r="T75" s="1414"/>
      <c r="U75" s="1414"/>
      <c r="V75" s="1414"/>
      <c r="W75" s="1414"/>
      <c r="X75" s="1415"/>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20.100000000000001" hidden="1" customHeight="1" x14ac:dyDescent="0.25">
      <c r="A76" s="18"/>
      <c r="B76" s="18"/>
      <c r="C76" s="18"/>
      <c r="D76" s="1"/>
      <c r="E76" s="2"/>
      <c r="BE76" s="2"/>
    </row>
    <row r="77" spans="1:57" ht="20.100000000000001" hidden="1" customHeight="1" x14ac:dyDescent="0.25">
      <c r="A77" s="18"/>
      <c r="B77" s="18"/>
      <c r="C77" s="18"/>
      <c r="D77" s="1"/>
      <c r="E77" s="2"/>
      <c r="BE77" s="2"/>
    </row>
    <row r="78" spans="1:57" ht="20.100000000000001" hidden="1" customHeight="1" x14ac:dyDescent="0.25">
      <c r="A78" s="18"/>
      <c r="B78" s="18"/>
      <c r="C78" s="18"/>
      <c r="D78" s="1"/>
      <c r="E78" s="2"/>
      <c r="BE78" s="2"/>
    </row>
    <row r="79" spans="1:57" ht="20.100000000000001" hidden="1" customHeight="1" x14ac:dyDescent="0.25">
      <c r="A79" s="18"/>
      <c r="B79" s="18"/>
      <c r="C79" s="18"/>
      <c r="D79" s="1"/>
      <c r="E79" s="2"/>
      <c r="BE79" s="2"/>
    </row>
    <row r="80" spans="1:57" ht="20.100000000000001" hidden="1" customHeight="1" x14ac:dyDescent="0.25">
      <c r="A80" s="18"/>
      <c r="B80" s="18"/>
      <c r="C80" s="18"/>
      <c r="D80" s="1"/>
      <c r="E80" s="2"/>
      <c r="BE80" s="2"/>
    </row>
    <row r="81" spans="1:118" ht="20.100000000000001" hidden="1" customHeight="1" x14ac:dyDescent="0.25">
      <c r="A81" s="18"/>
      <c r="B81" s="18"/>
      <c r="C81" s="18"/>
      <c r="D81" s="1"/>
      <c r="E81" s="2"/>
      <c r="BE81" s="2"/>
    </row>
    <row r="82" spans="1:118" ht="20.100000000000001" hidden="1" customHeight="1" x14ac:dyDescent="0.25">
      <c r="A82" s="18"/>
      <c r="B82" s="18"/>
      <c r="C82" s="18"/>
      <c r="D82" s="1"/>
      <c r="E82" s="69"/>
      <c r="BE82" s="2"/>
    </row>
    <row r="83" spans="1:118" ht="20.100000000000001" customHeight="1" x14ac:dyDescent="0.25">
      <c r="A83" s="18"/>
      <c r="B83" s="18"/>
      <c r="C83" s="18"/>
      <c r="D83" s="1"/>
      <c r="E83" s="2"/>
      <c r="BE83" s="2"/>
    </row>
    <row r="84" spans="1:118" ht="21.95" customHeight="1" x14ac:dyDescent="0.25">
      <c r="A84" s="18"/>
      <c r="B84" s="18"/>
      <c r="C84" s="18"/>
      <c r="D84" s="1"/>
      <c r="E84" s="2"/>
      <c r="F84" s="1403" t="s">
        <v>8530</v>
      </c>
      <c r="G84" s="1404"/>
      <c r="H84" s="1404"/>
      <c r="I84" s="1404"/>
      <c r="J84" s="1404"/>
      <c r="K84" s="1404"/>
      <c r="L84" s="1404"/>
      <c r="M84" s="1405"/>
      <c r="N84" s="1399" t="s">
        <v>90</v>
      </c>
      <c r="O84" s="1400"/>
      <c r="P84" s="1392" t="str">
        <f ca="1">'Calculos(2)'!CP28</f>
        <v>---</v>
      </c>
      <c r="Q84" s="1392"/>
      <c r="R84" s="1392"/>
      <c r="S84" s="1392"/>
      <c r="T84" s="1412" t="s">
        <v>95</v>
      </c>
      <c r="U84" s="1412"/>
      <c r="V84" s="1412"/>
      <c r="W84" s="1412"/>
      <c r="X84" s="1412"/>
      <c r="Y84" s="1392" t="str">
        <f ca="1">'Calculos(2)'!CR28</f>
        <v>---</v>
      </c>
      <c r="Z84" s="1392"/>
      <c r="AA84" s="1392"/>
      <c r="AB84" s="1392"/>
      <c r="AC84" s="2"/>
      <c r="AD84" s="2"/>
      <c r="AE84" s="2"/>
      <c r="AF84" s="2"/>
      <c r="AG84" s="2"/>
      <c r="AH84" s="2"/>
      <c r="AI84" s="2"/>
      <c r="AJ84" s="2"/>
      <c r="AK84" s="2"/>
      <c r="AL84" s="2"/>
      <c r="AM84" s="2"/>
      <c r="AN84" s="2"/>
      <c r="AO84" s="2"/>
      <c r="AP84" s="2"/>
      <c r="AQ84" s="2"/>
      <c r="AR84" s="2"/>
      <c r="AS84" s="2"/>
      <c r="AT84" s="3"/>
      <c r="AU84" s="3"/>
      <c r="AV84" s="3"/>
      <c r="AW84" s="2"/>
      <c r="AX84" s="2"/>
      <c r="AY84" s="2"/>
      <c r="AZ84" s="2"/>
      <c r="BA84" s="2"/>
      <c r="BB84" s="2"/>
      <c r="BC84" s="2"/>
      <c r="BD84" s="2"/>
      <c r="BE84" s="2"/>
    </row>
    <row r="85" spans="1:118" ht="21.95" customHeight="1" x14ac:dyDescent="0.25">
      <c r="A85" s="18"/>
      <c r="B85" s="18"/>
      <c r="C85" s="18"/>
      <c r="D85" s="1"/>
      <c r="E85" s="2"/>
      <c r="F85" s="1406"/>
      <c r="G85" s="1383"/>
      <c r="H85" s="1383"/>
      <c r="I85" s="1383"/>
      <c r="J85" s="1383"/>
      <c r="K85" s="1383"/>
      <c r="L85" s="1383"/>
      <c r="M85" s="1407"/>
      <c r="N85" s="1401" t="s">
        <v>91</v>
      </c>
      <c r="O85" s="1402"/>
      <c r="P85" s="1392" t="str">
        <f ca="1">'Calculos(2)'!CP29</f>
        <v>---</v>
      </c>
      <c r="Q85" s="1392"/>
      <c r="R85" s="1392"/>
      <c r="S85" s="1392"/>
      <c r="T85" s="1411" t="s">
        <v>96</v>
      </c>
      <c r="U85" s="1411"/>
      <c r="V85" s="1411"/>
      <c r="W85" s="1411"/>
      <c r="X85" s="1411"/>
      <c r="Y85" s="1392" t="str">
        <f ca="1">'Calculos(2)'!CR29</f>
        <v>---</v>
      </c>
      <c r="Z85" s="1392"/>
      <c r="AA85" s="1392"/>
      <c r="AB85" s="1392"/>
      <c r="AC85" s="2"/>
      <c r="AD85" s="2"/>
      <c r="AE85" s="2"/>
      <c r="AF85" s="2"/>
      <c r="AG85" s="2"/>
      <c r="AH85" s="2"/>
      <c r="AI85" s="2"/>
      <c r="AJ85" s="2"/>
      <c r="AK85" s="2"/>
      <c r="AL85" s="2"/>
      <c r="AM85" s="2"/>
      <c r="AN85" s="2"/>
      <c r="AO85" s="2"/>
      <c r="AP85" s="2"/>
      <c r="AQ85" s="2"/>
      <c r="AR85" s="2"/>
      <c r="AS85" s="2"/>
      <c r="AT85" s="3"/>
      <c r="AU85" s="3"/>
      <c r="AV85" s="2"/>
      <c r="AW85" s="2"/>
      <c r="AX85" s="2"/>
      <c r="AY85" s="2"/>
      <c r="AZ85" s="2"/>
      <c r="BA85" s="2"/>
      <c r="BB85" s="2"/>
      <c r="BC85" s="2"/>
      <c r="BD85" s="2"/>
      <c r="BE85" s="2"/>
    </row>
    <row r="86" spans="1:118" ht="21.95" customHeight="1" x14ac:dyDescent="0.25">
      <c r="A86" s="18"/>
      <c r="B86" s="18"/>
      <c r="C86" s="18"/>
      <c r="D86" s="1"/>
      <c r="E86" s="2"/>
      <c r="F86" s="1406"/>
      <c r="G86" s="1383"/>
      <c r="H86" s="1383"/>
      <c r="I86" s="1383"/>
      <c r="J86" s="1383"/>
      <c r="K86" s="1383"/>
      <c r="L86" s="1383"/>
      <c r="M86" s="1407"/>
      <c r="N86" s="1401" t="s">
        <v>92</v>
      </c>
      <c r="O86" s="1402"/>
      <c r="P86" s="1392" t="str">
        <f ca="1">'Calculos(2)'!CP30</f>
        <v>---</v>
      </c>
      <c r="Q86" s="1392"/>
      <c r="R86" s="1392"/>
      <c r="S86" s="1392"/>
      <c r="T86" s="1411" t="s">
        <v>97</v>
      </c>
      <c r="U86" s="1411"/>
      <c r="V86" s="1411"/>
      <c r="W86" s="1411"/>
      <c r="X86" s="1411"/>
      <c r="Y86" s="1392" t="str">
        <f ca="1">'Calculos(2)'!CR30</f>
        <v>---</v>
      </c>
      <c r="Z86" s="1392"/>
      <c r="AA86" s="1392"/>
      <c r="AB86" s="1392"/>
      <c r="AC86" s="2"/>
      <c r="AD86" s="1387"/>
      <c r="AE86" s="1387"/>
      <c r="AF86" s="1387"/>
      <c r="AG86" s="1387"/>
      <c r="AH86" s="1387"/>
      <c r="AI86" s="1387"/>
      <c r="AJ86" s="1387"/>
      <c r="AK86" s="1387"/>
      <c r="AL86" s="3"/>
      <c r="AM86" s="2"/>
      <c r="AN86" s="2"/>
      <c r="AO86" s="2"/>
      <c r="AP86" s="2"/>
      <c r="AQ86" s="2"/>
      <c r="AR86" s="2"/>
      <c r="AS86" s="2"/>
      <c r="AT86" s="3"/>
      <c r="AU86" s="3"/>
      <c r="AV86" s="2"/>
      <c r="AW86" s="2"/>
      <c r="AX86" s="2"/>
      <c r="AY86" s="2"/>
      <c r="AZ86" s="2"/>
      <c r="BA86" s="2"/>
      <c r="BB86" s="2"/>
      <c r="BC86" s="2"/>
      <c r="BD86" s="2"/>
      <c r="BE86" s="124"/>
    </row>
    <row r="87" spans="1:118" ht="21.95" customHeight="1" x14ac:dyDescent="0.25">
      <c r="A87" s="18"/>
      <c r="B87" s="18"/>
      <c r="C87" s="18"/>
      <c r="D87" s="1"/>
      <c r="E87" s="2"/>
      <c r="F87" s="1406"/>
      <c r="G87" s="1383"/>
      <c r="H87" s="1383"/>
      <c r="I87" s="1383"/>
      <c r="J87" s="1383"/>
      <c r="K87" s="1383"/>
      <c r="L87" s="1383"/>
      <c r="M87" s="1407"/>
      <c r="N87" s="1401" t="s">
        <v>93</v>
      </c>
      <c r="O87" s="1402"/>
      <c r="P87" s="1392" t="str">
        <f ca="1">'Calculos(2)'!CP31</f>
        <v>---</v>
      </c>
      <c r="Q87" s="1392"/>
      <c r="R87" s="1392"/>
      <c r="S87" s="1392"/>
      <c r="T87" s="1411" t="s">
        <v>98</v>
      </c>
      <c r="U87" s="1411"/>
      <c r="V87" s="1411"/>
      <c r="W87" s="1411"/>
      <c r="X87" s="1411"/>
      <c r="Y87" s="1392" t="str">
        <f ca="1">'Calculos(2)'!CR31</f>
        <v>---</v>
      </c>
      <c r="Z87" s="1392"/>
      <c r="AA87" s="1392"/>
      <c r="AB87" s="1392"/>
      <c r="AC87" s="2"/>
      <c r="AD87" s="1387"/>
      <c r="AE87" s="1387"/>
      <c r="AF87" s="1387"/>
      <c r="AG87" s="1387"/>
      <c r="AH87" s="1387"/>
      <c r="AI87" s="1387"/>
      <c r="AJ87" s="1387"/>
      <c r="AK87" s="1387"/>
      <c r="AL87" s="3"/>
      <c r="AM87" s="2"/>
      <c r="AN87" s="2"/>
      <c r="AO87" s="2"/>
      <c r="AP87" s="2"/>
      <c r="AQ87" s="2"/>
      <c r="AR87" s="2"/>
      <c r="AS87" s="2"/>
      <c r="AT87" s="3"/>
      <c r="AU87" s="3"/>
      <c r="AV87" s="2"/>
      <c r="AW87" s="2"/>
      <c r="AX87" s="2"/>
      <c r="AY87" s="2"/>
      <c r="AZ87" s="2"/>
      <c r="BA87" s="2"/>
      <c r="BB87" s="2"/>
      <c r="BC87" s="2"/>
      <c r="BD87" s="2"/>
      <c r="BE87" s="2"/>
    </row>
    <row r="88" spans="1:118" ht="21.95" customHeight="1" x14ac:dyDescent="0.25">
      <c r="A88" s="18"/>
      <c r="B88" s="18"/>
      <c r="C88" s="18"/>
      <c r="D88" s="1"/>
      <c r="E88" s="2"/>
      <c r="F88" s="1408"/>
      <c r="G88" s="1409"/>
      <c r="H88" s="1409"/>
      <c r="I88" s="1409"/>
      <c r="J88" s="1409"/>
      <c r="K88" s="1409"/>
      <c r="L88" s="1409"/>
      <c r="M88" s="1410"/>
      <c r="N88" s="1360" t="s">
        <v>94</v>
      </c>
      <c r="O88" s="1424"/>
      <c r="P88" s="1392" t="str">
        <f ca="1">'Calculos(2)'!CP32</f>
        <v>---</v>
      </c>
      <c r="Q88" s="1392"/>
      <c r="R88" s="1392"/>
      <c r="S88" s="1392"/>
      <c r="T88" s="1416" t="s">
        <v>99</v>
      </c>
      <c r="U88" s="1416"/>
      <c r="V88" s="1416"/>
      <c r="W88" s="1416"/>
      <c r="X88" s="1416"/>
      <c r="Y88" s="1392" t="str">
        <f ca="1">'Calculos(2)'!CR32</f>
        <v>---</v>
      </c>
      <c r="Z88" s="1392"/>
      <c r="AA88" s="1392"/>
      <c r="AB88" s="1392"/>
      <c r="AC88" s="2"/>
      <c r="AD88" s="1387"/>
      <c r="AE88" s="1387"/>
      <c r="AF88" s="1387"/>
      <c r="AG88" s="1387"/>
      <c r="AH88" s="1387"/>
      <c r="AI88" s="1387"/>
      <c r="AJ88" s="1387"/>
      <c r="AK88" s="1387"/>
      <c r="AL88" s="3"/>
      <c r="AM88" s="2"/>
      <c r="AN88" s="2"/>
      <c r="AO88" s="2"/>
      <c r="AP88" s="2"/>
      <c r="AQ88" s="2"/>
      <c r="AR88" s="2"/>
      <c r="AS88" s="2"/>
      <c r="AT88" s="2"/>
      <c r="AU88" s="3"/>
      <c r="AV88" s="2"/>
      <c r="AW88" s="2"/>
      <c r="AX88" s="2"/>
      <c r="AY88" s="2"/>
      <c r="AZ88" s="2"/>
      <c r="BA88" s="2"/>
      <c r="BB88" s="2"/>
      <c r="BC88" s="2"/>
      <c r="BD88" s="2"/>
      <c r="BE88" s="2"/>
    </row>
    <row r="89" spans="1:118" ht="39.950000000000003" customHeight="1" x14ac:dyDescent="0.3">
      <c r="A89" s="307"/>
      <c r="B89" s="307"/>
      <c r="C89" s="307"/>
      <c r="D89" s="1"/>
      <c r="E89" s="308"/>
      <c r="F89" s="281" t="s">
        <v>8649</v>
      </c>
      <c r="G89" s="226" t="s">
        <v>8651</v>
      </c>
      <c r="H89" s="314"/>
      <c r="I89" s="314"/>
      <c r="J89" s="314"/>
      <c r="K89" s="314"/>
      <c r="L89" s="314"/>
      <c r="M89" s="314"/>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CA89" s="1360" t="s">
        <v>90</v>
      </c>
      <c r="CB89" s="1361"/>
      <c r="CC89" s="1360" t="s">
        <v>90</v>
      </c>
      <c r="CD89" s="1361"/>
      <c r="CE89" s="1360" t="s">
        <v>91</v>
      </c>
      <c r="CF89" s="1361"/>
      <c r="CG89" s="1360" t="s">
        <v>91</v>
      </c>
      <c r="CH89" s="1361"/>
      <c r="CI89" s="1360" t="s">
        <v>92</v>
      </c>
      <c r="CJ89" s="1361"/>
      <c r="CK89" s="1360" t="s">
        <v>92</v>
      </c>
      <c r="CL89" s="1361"/>
      <c r="CM89" s="1360" t="s">
        <v>93</v>
      </c>
      <c r="CN89" s="1361"/>
      <c r="CO89" s="1360" t="s">
        <v>93</v>
      </c>
      <c r="CP89" s="1361"/>
      <c r="CQ89" s="1360" t="s">
        <v>94</v>
      </c>
      <c r="CR89" s="1361"/>
      <c r="CS89" s="1360" t="s">
        <v>94</v>
      </c>
      <c r="CT89" s="1361"/>
      <c r="CU89" s="1360" t="s">
        <v>95</v>
      </c>
      <c r="CV89" s="1361"/>
      <c r="CW89" s="1360" t="s">
        <v>95</v>
      </c>
      <c r="CX89" s="1361"/>
      <c r="CY89" s="1360" t="s">
        <v>96</v>
      </c>
      <c r="CZ89" s="1361"/>
      <c r="DA89" s="1360" t="s">
        <v>96</v>
      </c>
      <c r="DB89" s="1361"/>
      <c r="DC89" s="1360" t="s">
        <v>97</v>
      </c>
      <c r="DD89" s="1361"/>
      <c r="DE89" s="1360" t="s">
        <v>97</v>
      </c>
      <c r="DF89" s="1361"/>
      <c r="DG89" s="1360" t="s">
        <v>98</v>
      </c>
      <c r="DH89" s="1361"/>
      <c r="DI89" s="1360" t="s">
        <v>98</v>
      </c>
      <c r="DJ89" s="1361"/>
      <c r="DK89" s="1360" t="s">
        <v>8224</v>
      </c>
      <c r="DL89" s="1361"/>
      <c r="DM89" s="1360" t="s">
        <v>8224</v>
      </c>
      <c r="DN89" s="1361"/>
    </row>
    <row r="90" spans="1:118" ht="30" customHeight="1" outlineLevel="1" x14ac:dyDescent="0.25">
      <c r="A90" s="18"/>
      <c r="B90" s="18"/>
      <c r="C90" s="18"/>
      <c r="D90" s="1"/>
      <c r="E90" s="314"/>
      <c r="F90" s="2"/>
      <c r="G90" s="184"/>
      <c r="H90" s="184"/>
      <c r="I90" s="184"/>
      <c r="J90" s="184"/>
      <c r="K90" s="184"/>
      <c r="L90" s="184"/>
      <c r="M90" s="184"/>
      <c r="N90" s="27"/>
      <c r="O90" s="27"/>
      <c r="P90" s="27"/>
      <c r="Q90" s="1388" t="str">
        <f ca="1">IF(P84="---","-",N84)</f>
        <v>-</v>
      </c>
      <c r="R90" s="1388"/>
      <c r="S90" s="1388"/>
      <c r="T90" s="1388"/>
      <c r="U90" s="1385" t="str">
        <f ca="1">IF(P85="---","-",N85)</f>
        <v>-</v>
      </c>
      <c r="V90" s="1385"/>
      <c r="W90" s="1385"/>
      <c r="X90" s="1385"/>
      <c r="Y90" s="1385" t="str">
        <f ca="1">IF(P86="---","-",N86)</f>
        <v>-</v>
      </c>
      <c r="Z90" s="1385"/>
      <c r="AA90" s="1385"/>
      <c r="AB90" s="1385"/>
      <c r="AC90" s="1385" t="str">
        <f ca="1">IF(P87="---","-",N87)</f>
        <v>-</v>
      </c>
      <c r="AD90" s="1385"/>
      <c r="AE90" s="1385"/>
      <c r="AF90" s="1385"/>
      <c r="AG90" s="1385" t="str">
        <f ca="1">IF(P88="---","-",N88)</f>
        <v>-</v>
      </c>
      <c r="AH90" s="1385"/>
      <c r="AI90" s="1385"/>
      <c r="AJ90" s="1385"/>
      <c r="AK90" s="1385" t="str">
        <f ca="1">IF(Y84="---","-",T84)</f>
        <v>-</v>
      </c>
      <c r="AL90" s="1385"/>
      <c r="AM90" s="1385"/>
      <c r="AN90" s="1385"/>
      <c r="AO90" s="1385" t="str">
        <f ca="1">IF(Y85="---","-",T85)</f>
        <v>-</v>
      </c>
      <c r="AP90" s="1385"/>
      <c r="AQ90" s="1385"/>
      <c r="AR90" s="1385"/>
      <c r="AS90" s="1385" t="str">
        <f ca="1">IF(Y86="---","-",T86)</f>
        <v>-</v>
      </c>
      <c r="AT90" s="1385"/>
      <c r="AU90" s="1385"/>
      <c r="AV90" s="1385"/>
      <c r="AW90" s="1385" t="str">
        <f ca="1">IF(Y87="---","-",T87)</f>
        <v>-</v>
      </c>
      <c r="AX90" s="1385"/>
      <c r="AY90" s="1385"/>
      <c r="AZ90" s="1385"/>
      <c r="BA90" s="1385" t="str">
        <f ca="1">IF(Y88="---","-",T88)</f>
        <v>-</v>
      </c>
      <c r="BB90" s="1385"/>
      <c r="BC90" s="1385"/>
      <c r="BD90" s="1385"/>
      <c r="CA90" s="1355">
        <f>INT(RIGHT(VLOOKUP(CA89,'Calculos(2)'!$BH$490:$BI$500,2,0),1))</f>
        <v>2</v>
      </c>
      <c r="CB90" s="1356"/>
      <c r="CC90" s="1355">
        <f>INT(RIGHT(VLOOKUP(CC89,'Calculos(2)'!$BH$490:$BI$500,2,0),1))</f>
        <v>2</v>
      </c>
      <c r="CD90" s="1356"/>
      <c r="CE90" s="1355">
        <f>INT(RIGHT(VLOOKUP(CE89,'Calculos(2)'!$BH$490:$BI$500,2,0),1))</f>
        <v>2</v>
      </c>
      <c r="CF90" s="1356"/>
      <c r="CG90" s="1355">
        <f>INT(RIGHT(VLOOKUP(CG89,'Calculos(2)'!$BH$490:$BI$500,2,0),1))</f>
        <v>2</v>
      </c>
      <c r="CH90" s="1356"/>
      <c r="CI90" s="1355">
        <f>INT(RIGHT(VLOOKUP(CI89,'Calculos(2)'!$BH$490:$BI$500,2,0),1))</f>
        <v>2</v>
      </c>
      <c r="CJ90" s="1356"/>
      <c r="CK90" s="1355">
        <f>INT(RIGHT(VLOOKUP(CK89,'Calculos(2)'!$BH$490:$BI$500,2,0),1))</f>
        <v>2</v>
      </c>
      <c r="CL90" s="1356"/>
      <c r="CM90" s="1355">
        <f>INT(RIGHT(VLOOKUP(CM89,'Calculos(2)'!$BH$490:$BI$500,2,0),1))</f>
        <v>2</v>
      </c>
      <c r="CN90" s="1356"/>
      <c r="CO90" s="1355">
        <f>INT(RIGHT(VLOOKUP(CO89,'Calculos(2)'!$BH$490:$BI$500,2,0),1))</f>
        <v>2</v>
      </c>
      <c r="CP90" s="1356"/>
      <c r="CQ90" s="1355">
        <f>INT(RIGHT(VLOOKUP(CQ89,'Calculos(2)'!$BH$490:$BI$500,2,0),1))</f>
        <v>2</v>
      </c>
      <c r="CR90" s="1356"/>
      <c r="CS90" s="1355">
        <f>INT(RIGHT(VLOOKUP(CS89,'Calculos(2)'!$BH$490:$BI$500,2,0),1))</f>
        <v>2</v>
      </c>
      <c r="CT90" s="1356"/>
      <c r="CU90" s="1355">
        <f>INT(RIGHT(VLOOKUP(CU89,'Calculos(2)'!$BH$490:$BI$500,2,0),1))</f>
        <v>3</v>
      </c>
      <c r="CV90" s="1356"/>
      <c r="CW90" s="1355">
        <f>INT(RIGHT(VLOOKUP(CW89,'Calculos(2)'!$BH$490:$BI$500,2,0),1))</f>
        <v>3</v>
      </c>
      <c r="CX90" s="1356"/>
      <c r="CY90" s="1355">
        <f>INT(RIGHT(VLOOKUP(CY89,'Calculos(2)'!$BH$490:$BI$500,2,0),1))</f>
        <v>3</v>
      </c>
      <c r="CZ90" s="1356"/>
      <c r="DA90" s="1355">
        <f>INT(RIGHT(VLOOKUP(DA89,'Calculos(2)'!$BH$490:$BI$500,2,0),1))</f>
        <v>3</v>
      </c>
      <c r="DB90" s="1356"/>
      <c r="DC90" s="1355">
        <f>INT(RIGHT(VLOOKUP(DC89,'Calculos(2)'!$BH$490:$BI$500,2,0),1))</f>
        <v>3</v>
      </c>
      <c r="DD90" s="1356"/>
      <c r="DE90" s="1355">
        <f>INT(RIGHT(VLOOKUP(DE89,'Calculos(2)'!$BH$490:$BI$500,2,0),1))</f>
        <v>3</v>
      </c>
      <c r="DF90" s="1356"/>
      <c r="DG90" s="1355">
        <f>INT(RIGHT(VLOOKUP(DG89,'Calculos(2)'!$BH$490:$BI$500,2,0),1))</f>
        <v>2</v>
      </c>
      <c r="DH90" s="1356"/>
      <c r="DI90" s="1355">
        <f>INT(RIGHT(VLOOKUP(DI89,'Calculos(2)'!$BH$490:$BI$500,2,0),1))</f>
        <v>2</v>
      </c>
      <c r="DJ90" s="1356"/>
      <c r="DK90" s="1355">
        <f>INT(RIGHT(VLOOKUP(DK89,'Calculos(2)'!$BH$490:$BI$500,2,0),1))</f>
        <v>2</v>
      </c>
      <c r="DL90" s="1356"/>
      <c r="DM90" s="1355">
        <f>INT(RIGHT(VLOOKUP(DM89,'Calculos(2)'!$BH$490:$BI$500,2,0),1))</f>
        <v>2</v>
      </c>
      <c r="DN90" s="1356"/>
    </row>
    <row r="91" spans="1:118" ht="20.100000000000001" customHeight="1" outlineLevel="1" x14ac:dyDescent="0.25">
      <c r="A91" s="18"/>
      <c r="B91" s="18"/>
      <c r="C91" s="18"/>
      <c r="D91" s="1"/>
      <c r="E91" s="314"/>
      <c r="F91" s="2"/>
      <c r="G91" s="184"/>
      <c r="H91" s="184"/>
      <c r="I91" s="184"/>
      <c r="J91" s="184"/>
      <c r="K91" s="184"/>
      <c r="L91" s="184"/>
      <c r="M91" s="1386" t="s">
        <v>6037</v>
      </c>
      <c r="N91" s="1386"/>
      <c r="O91" s="1386"/>
      <c r="P91" s="1386"/>
      <c r="Q91" s="1357" t="s">
        <v>10</v>
      </c>
      <c r="R91" s="1358"/>
      <c r="S91" s="1358" t="s">
        <v>237</v>
      </c>
      <c r="T91" s="1359"/>
      <c r="U91" s="1357" t="s">
        <v>10</v>
      </c>
      <c r="V91" s="1358"/>
      <c r="W91" s="1358" t="s">
        <v>237</v>
      </c>
      <c r="X91" s="1359"/>
      <c r="Y91" s="1357" t="s">
        <v>10</v>
      </c>
      <c r="Z91" s="1358"/>
      <c r="AA91" s="1358" t="s">
        <v>237</v>
      </c>
      <c r="AB91" s="1359"/>
      <c r="AC91" s="1357" t="s">
        <v>10</v>
      </c>
      <c r="AD91" s="1358"/>
      <c r="AE91" s="1358" t="s">
        <v>237</v>
      </c>
      <c r="AF91" s="1359"/>
      <c r="AG91" s="1357" t="s">
        <v>10</v>
      </c>
      <c r="AH91" s="1358"/>
      <c r="AI91" s="1358" t="s">
        <v>237</v>
      </c>
      <c r="AJ91" s="1359"/>
      <c r="AK91" s="1357" t="s">
        <v>10</v>
      </c>
      <c r="AL91" s="1358"/>
      <c r="AM91" s="1358" t="s">
        <v>237</v>
      </c>
      <c r="AN91" s="1359"/>
      <c r="AO91" s="1357" t="s">
        <v>10</v>
      </c>
      <c r="AP91" s="1358"/>
      <c r="AQ91" s="1358" t="s">
        <v>237</v>
      </c>
      <c r="AR91" s="1359"/>
      <c r="AS91" s="1357" t="s">
        <v>10</v>
      </c>
      <c r="AT91" s="1358"/>
      <c r="AU91" s="1358" t="s">
        <v>237</v>
      </c>
      <c r="AV91" s="1359"/>
      <c r="AW91" s="1357" t="s">
        <v>10</v>
      </c>
      <c r="AX91" s="1358"/>
      <c r="AY91" s="1358" t="s">
        <v>237</v>
      </c>
      <c r="AZ91" s="1359"/>
      <c r="BA91" s="1357" t="s">
        <v>10</v>
      </c>
      <c r="BB91" s="1358"/>
      <c r="BC91" s="1358" t="s">
        <v>237</v>
      </c>
      <c r="BD91" s="1359"/>
      <c r="CA91" s="1357" t="s">
        <v>10</v>
      </c>
      <c r="CB91" s="1358"/>
      <c r="CC91" s="1358" t="s">
        <v>237</v>
      </c>
      <c r="CD91" s="1359"/>
      <c r="CE91" s="1357" t="s">
        <v>10</v>
      </c>
      <c r="CF91" s="1358"/>
      <c r="CG91" s="1358" t="s">
        <v>237</v>
      </c>
      <c r="CH91" s="1359"/>
      <c r="CI91" s="1357" t="s">
        <v>10</v>
      </c>
      <c r="CJ91" s="1358"/>
      <c r="CK91" s="1358" t="s">
        <v>237</v>
      </c>
      <c r="CL91" s="1359"/>
      <c r="CM91" s="1357" t="s">
        <v>10</v>
      </c>
      <c r="CN91" s="1358"/>
      <c r="CO91" s="1358" t="s">
        <v>237</v>
      </c>
      <c r="CP91" s="1359"/>
      <c r="CQ91" s="1357" t="s">
        <v>10</v>
      </c>
      <c r="CR91" s="1358"/>
      <c r="CS91" s="1358" t="s">
        <v>237</v>
      </c>
      <c r="CT91" s="1359"/>
      <c r="CU91" s="1357" t="s">
        <v>10</v>
      </c>
      <c r="CV91" s="1358"/>
      <c r="CW91" s="1358" t="s">
        <v>237</v>
      </c>
      <c r="CX91" s="1359"/>
      <c r="CY91" s="1357" t="s">
        <v>10</v>
      </c>
      <c r="CZ91" s="1358"/>
      <c r="DA91" s="1358" t="s">
        <v>237</v>
      </c>
      <c r="DB91" s="1359"/>
      <c r="DC91" s="1357" t="s">
        <v>10</v>
      </c>
      <c r="DD91" s="1358"/>
      <c r="DE91" s="1358" t="s">
        <v>237</v>
      </c>
      <c r="DF91" s="1359"/>
      <c r="DG91" s="1357" t="s">
        <v>10</v>
      </c>
      <c r="DH91" s="1358"/>
      <c r="DI91" s="1358" t="s">
        <v>237</v>
      </c>
      <c r="DJ91" s="1359"/>
      <c r="DK91" s="1357" t="s">
        <v>10</v>
      </c>
      <c r="DL91" s="1358"/>
      <c r="DM91" s="1358" t="s">
        <v>237</v>
      </c>
      <c r="DN91" s="1359"/>
    </row>
    <row r="92" spans="1:118" ht="20.100000000000001" customHeight="1" outlineLevel="1" x14ac:dyDescent="0.25">
      <c r="A92" s="18"/>
      <c r="B92" s="18"/>
      <c r="C92" s="18"/>
      <c r="D92" s="1"/>
      <c r="E92" s="314"/>
      <c r="F92" s="1377" t="s">
        <v>239</v>
      </c>
      <c r="G92" s="1377"/>
      <c r="H92" s="1377"/>
      <c r="I92" s="1377"/>
      <c r="J92" s="1377"/>
      <c r="K92" s="1377"/>
      <c r="L92" s="1377"/>
      <c r="M92" s="1384" t="s">
        <v>7102</v>
      </c>
      <c r="N92" s="1384"/>
      <c r="O92" s="1384"/>
      <c r="P92" s="1384"/>
      <c r="Q92" s="1375" t="str">
        <f ca="1">'Calculos(2)'!BO10</f>
        <v>-</v>
      </c>
      <c r="R92" s="1376"/>
      <c r="S92" s="1375" t="str">
        <f ca="1">'Calculos(2)'!BO26</f>
        <v>-</v>
      </c>
      <c r="T92" s="1376"/>
      <c r="U92" s="1375" t="str">
        <f ca="1">'Calculos(2)'!BO42</f>
        <v>-</v>
      </c>
      <c r="V92" s="1376"/>
      <c r="W92" s="1375" t="str">
        <f ca="1">'Calculos(2)'!BO58</f>
        <v>-</v>
      </c>
      <c r="X92" s="1376"/>
      <c r="Y92" s="1375" t="str">
        <f ca="1">'Calculos(2)'!BO74</f>
        <v>-</v>
      </c>
      <c r="Z92" s="1376"/>
      <c r="AA92" s="1375" t="str">
        <f ca="1">'Calculos(2)'!BO90</f>
        <v>-</v>
      </c>
      <c r="AB92" s="1376"/>
      <c r="AC92" s="1375" t="str">
        <f ca="1">'Calculos(2)'!BO106</f>
        <v>-</v>
      </c>
      <c r="AD92" s="1376"/>
      <c r="AE92" s="1375" t="str">
        <f ca="1">'Calculos(2)'!BO122</f>
        <v>-</v>
      </c>
      <c r="AF92" s="1376"/>
      <c r="AG92" s="1375" t="str">
        <f ca="1">'Calculos(2)'!BO138</f>
        <v>-</v>
      </c>
      <c r="AH92" s="1376"/>
      <c r="AI92" s="1375" t="str">
        <f ca="1">'Calculos(2)'!BO154</f>
        <v>-</v>
      </c>
      <c r="AJ92" s="1376"/>
      <c r="AK92" s="1375" t="str">
        <f ca="1">'Calculos(2)'!BO170</f>
        <v>-</v>
      </c>
      <c r="AL92" s="1376"/>
      <c r="AM92" s="1375" t="str">
        <f ca="1">'Calculos(2)'!BO186</f>
        <v>-</v>
      </c>
      <c r="AN92" s="1376"/>
      <c r="AO92" s="1375" t="str">
        <f ca="1">'Calculos(2)'!BO202</f>
        <v>-</v>
      </c>
      <c r="AP92" s="1376"/>
      <c r="AQ92" s="1375" t="str">
        <f ca="1">'Calculos(2)'!BO218</f>
        <v>-</v>
      </c>
      <c r="AR92" s="1376"/>
      <c r="AS92" s="1375" t="str">
        <f ca="1">'Calculos(2)'!BO234</f>
        <v>-</v>
      </c>
      <c r="AT92" s="1376"/>
      <c r="AU92" s="1375" t="str">
        <f ca="1">'Calculos(2)'!BO250</f>
        <v>-</v>
      </c>
      <c r="AV92" s="1376"/>
      <c r="AW92" s="1375" t="str">
        <f ca="1">'Calculos(2)'!BO266</f>
        <v>-</v>
      </c>
      <c r="AX92" s="1376"/>
      <c r="AY92" s="1375" t="str">
        <f ca="1">'Calculos(2)'!BO282</f>
        <v>-</v>
      </c>
      <c r="AZ92" s="1376"/>
      <c r="BA92" s="1375" t="str">
        <f ca="1">'Calculos(2)'!BO298</f>
        <v>-</v>
      </c>
      <c r="BB92" s="1376"/>
      <c r="BC92" s="1375" t="str">
        <f ca="1">'Calculos(2)'!BO314</f>
        <v>-</v>
      </c>
      <c r="BD92" s="1376"/>
      <c r="CA92" s="1354">
        <f ca="1">IF(Q92="-",0,IF(Q92&gt;=CA$90,1,0))</f>
        <v>0</v>
      </c>
      <c r="CB92" s="1354"/>
      <c r="CC92" s="1354">
        <f t="shared" ref="CC92:CC103" ca="1" si="0">IF(S92="-",0,IF(S92&gt;=CC$90,1,0))</f>
        <v>0</v>
      </c>
      <c r="CD92" s="1354"/>
      <c r="CE92" s="1354">
        <f t="shared" ref="CE92:CE103" ca="1" si="1">IF(U92="-",0,IF(U92&gt;=CE$90,1,0))</f>
        <v>0</v>
      </c>
      <c r="CF92" s="1354"/>
      <c r="CG92" s="1354">
        <f t="shared" ref="CG92:CG103" ca="1" si="2">IF(W92="-",0,IF(W92&gt;=CG$90,1,0))</f>
        <v>0</v>
      </c>
      <c r="CH92" s="1354"/>
      <c r="CI92" s="1354">
        <f t="shared" ref="CI92:CI103" ca="1" si="3">IF(Y92="-",0,IF(Y92&gt;=CI$90,1,0))</f>
        <v>0</v>
      </c>
      <c r="CJ92" s="1354"/>
      <c r="CK92" s="1354">
        <f t="shared" ref="CK92:CK103" ca="1" si="4">IF(AA92="-",0,IF(AA92&gt;=CK$90,1,0))</f>
        <v>0</v>
      </c>
      <c r="CL92" s="1354"/>
      <c r="CM92" s="1354">
        <f t="shared" ref="CM92:CM103" ca="1" si="5">IF(AC92="-",0,IF(AC92&gt;=CM$90,1,0))</f>
        <v>0</v>
      </c>
      <c r="CN92" s="1354"/>
      <c r="CO92" s="1354">
        <f t="shared" ref="CO92:CO103" ca="1" si="6">IF(AE92="-",0,IF(AE92&gt;=CO$90,1,0))</f>
        <v>0</v>
      </c>
      <c r="CP92" s="1354"/>
      <c r="CQ92" s="1354">
        <f t="shared" ref="CQ92:CQ103" ca="1" si="7">IF(AG92="-",0,IF(AG92&gt;=CQ$90,1,0))</f>
        <v>0</v>
      </c>
      <c r="CR92" s="1354"/>
      <c r="CS92" s="1354">
        <f t="shared" ref="CS92:CS103" ca="1" si="8">IF(AI92="-",0,IF(AI92&gt;=CS$90,1,0))</f>
        <v>0</v>
      </c>
      <c r="CT92" s="1354"/>
      <c r="CU92" s="1354">
        <f t="shared" ref="CU92:CU103" ca="1" si="9">IF(AK92="-",0,IF(AK92&gt;=CU$90,1,0))</f>
        <v>0</v>
      </c>
      <c r="CV92" s="1354"/>
      <c r="CW92" s="1354">
        <f t="shared" ref="CW92:CW103" ca="1" si="10">IF(AM92="-",0,IF(AM92&gt;=CW$90,1,0))</f>
        <v>0</v>
      </c>
      <c r="CX92" s="1354"/>
      <c r="CY92" s="1354">
        <f t="shared" ref="CY92:CY103" ca="1" si="11">IF(AO92="-",0,IF(AO92&gt;=CY$90,1,0))</f>
        <v>0</v>
      </c>
      <c r="CZ92" s="1354"/>
      <c r="DA92" s="1354">
        <f t="shared" ref="DA92:DA103" ca="1" si="12">IF(AQ92="-",0,IF(AQ92&gt;=DA$90,1,0))</f>
        <v>0</v>
      </c>
      <c r="DB92" s="1354"/>
      <c r="DC92" s="1354">
        <f t="shared" ref="DC92:DC103" ca="1" si="13">IF(AS92="-",0,IF(AS92&gt;=DC$90,1,0))</f>
        <v>0</v>
      </c>
      <c r="DD92" s="1354"/>
      <c r="DE92" s="1354">
        <f t="shared" ref="DE92:DE103" ca="1" si="14">IF(AU92="-",0,IF(AU92&gt;=DE$90,1,0))</f>
        <v>0</v>
      </c>
      <c r="DF92" s="1354"/>
      <c r="DG92" s="1354">
        <f t="shared" ref="DG92:DG103" ca="1" si="15">IF(AW92="-",0,IF(AW92&gt;=DG$90,1,0))</f>
        <v>0</v>
      </c>
      <c r="DH92" s="1354"/>
      <c r="DI92" s="1354">
        <f t="shared" ref="DI92:DI103" ca="1" si="16">IF(AY92="-",0,IF(AY92&gt;=DI$90,1,0))</f>
        <v>0</v>
      </c>
      <c r="DJ92" s="1354"/>
      <c r="DK92" s="1354">
        <f t="shared" ref="DK92:DK103" ca="1" si="17">IF(BA92="-",0,IF(BA92&gt;=DK$90,1,0))</f>
        <v>0</v>
      </c>
      <c r="DL92" s="1354"/>
      <c r="DM92" s="1354">
        <f t="shared" ref="DM92:DM103" ca="1" si="18">IF(BC92="-",0,IF(BC92&gt;=DM$90,1,0))</f>
        <v>0</v>
      </c>
      <c r="DN92" s="1354"/>
    </row>
    <row r="93" spans="1:118" ht="20.100000000000001" customHeight="1" outlineLevel="1" x14ac:dyDescent="0.25">
      <c r="A93" s="18"/>
      <c r="B93" s="18"/>
      <c r="C93" s="18"/>
      <c r="D93" s="1"/>
      <c r="E93" s="314"/>
      <c r="F93" s="1377"/>
      <c r="G93" s="1377"/>
      <c r="H93" s="1377"/>
      <c r="I93" s="1377"/>
      <c r="J93" s="1377"/>
      <c r="K93" s="1377"/>
      <c r="L93" s="1377"/>
      <c r="M93" s="1384" t="s">
        <v>7104</v>
      </c>
      <c r="N93" s="1384"/>
      <c r="O93" s="1384"/>
      <c r="P93" s="1384"/>
      <c r="Q93" s="1375" t="str">
        <f ca="1">'Calculos(2)'!BO11</f>
        <v>-</v>
      </c>
      <c r="R93" s="1376"/>
      <c r="S93" s="1375" t="str">
        <f ca="1">'Calculos(2)'!BO27</f>
        <v>-</v>
      </c>
      <c r="T93" s="1376"/>
      <c r="U93" s="1375" t="str">
        <f ca="1">'Calculos(2)'!BO43</f>
        <v>-</v>
      </c>
      <c r="V93" s="1376"/>
      <c r="W93" s="1375" t="str">
        <f ca="1">'Calculos(2)'!BO59</f>
        <v>-</v>
      </c>
      <c r="X93" s="1376"/>
      <c r="Y93" s="1375" t="str">
        <f ca="1">'Calculos(2)'!BO75</f>
        <v>-</v>
      </c>
      <c r="Z93" s="1376"/>
      <c r="AA93" s="1375" t="str">
        <f ca="1">'Calculos(2)'!BO91</f>
        <v>-</v>
      </c>
      <c r="AB93" s="1376"/>
      <c r="AC93" s="1375" t="str">
        <f ca="1">'Calculos(2)'!BO107</f>
        <v>-</v>
      </c>
      <c r="AD93" s="1376"/>
      <c r="AE93" s="1375" t="str">
        <f ca="1">'Calculos(2)'!BO123</f>
        <v>-</v>
      </c>
      <c r="AF93" s="1376"/>
      <c r="AG93" s="1375" t="str">
        <f ca="1">'Calculos(2)'!BO139</f>
        <v>-</v>
      </c>
      <c r="AH93" s="1376"/>
      <c r="AI93" s="1375" t="str">
        <f ca="1">'Calculos(2)'!BO155</f>
        <v>-</v>
      </c>
      <c r="AJ93" s="1376"/>
      <c r="AK93" s="1375" t="str">
        <f ca="1">'Calculos(2)'!BO171</f>
        <v>-</v>
      </c>
      <c r="AL93" s="1376"/>
      <c r="AM93" s="1375" t="str">
        <f ca="1">'Calculos(2)'!BO187</f>
        <v>-</v>
      </c>
      <c r="AN93" s="1376"/>
      <c r="AO93" s="1375" t="str">
        <f ca="1">'Calculos(2)'!BO203</f>
        <v>-</v>
      </c>
      <c r="AP93" s="1376"/>
      <c r="AQ93" s="1375" t="str">
        <f ca="1">'Calculos(2)'!BO219</f>
        <v>-</v>
      </c>
      <c r="AR93" s="1376"/>
      <c r="AS93" s="1375" t="str">
        <f ca="1">'Calculos(2)'!BO235</f>
        <v>-</v>
      </c>
      <c r="AT93" s="1376"/>
      <c r="AU93" s="1375" t="str">
        <f ca="1">'Calculos(2)'!BO251</f>
        <v>-</v>
      </c>
      <c r="AV93" s="1376"/>
      <c r="AW93" s="1375" t="str">
        <f ca="1">'Calculos(2)'!BO267</f>
        <v>-</v>
      </c>
      <c r="AX93" s="1376"/>
      <c r="AY93" s="1375" t="str">
        <f ca="1">'Calculos(2)'!BO283</f>
        <v>-</v>
      </c>
      <c r="AZ93" s="1376"/>
      <c r="BA93" s="1375" t="str">
        <f ca="1">'Calculos(2)'!BO299</f>
        <v>-</v>
      </c>
      <c r="BB93" s="1376"/>
      <c r="BC93" s="1375" t="str">
        <f ca="1">'Calculos(2)'!BO315</f>
        <v>-</v>
      </c>
      <c r="BD93" s="1376"/>
      <c r="CA93" s="1354">
        <f t="shared" ref="CA93:CA103" ca="1" si="19">IF(Q93="-",0,IF(Q93&gt;=CA$90,1,0))</f>
        <v>0</v>
      </c>
      <c r="CB93" s="1354"/>
      <c r="CC93" s="1354">
        <f t="shared" ca="1" si="0"/>
        <v>0</v>
      </c>
      <c r="CD93" s="1354"/>
      <c r="CE93" s="1354">
        <f t="shared" ca="1" si="1"/>
        <v>0</v>
      </c>
      <c r="CF93" s="1354"/>
      <c r="CG93" s="1354">
        <f t="shared" ca="1" si="2"/>
        <v>0</v>
      </c>
      <c r="CH93" s="1354"/>
      <c r="CI93" s="1354">
        <f t="shared" ca="1" si="3"/>
        <v>0</v>
      </c>
      <c r="CJ93" s="1354"/>
      <c r="CK93" s="1354">
        <f t="shared" ca="1" si="4"/>
        <v>0</v>
      </c>
      <c r="CL93" s="1354"/>
      <c r="CM93" s="1354">
        <f t="shared" ca="1" si="5"/>
        <v>0</v>
      </c>
      <c r="CN93" s="1354"/>
      <c r="CO93" s="1354">
        <f t="shared" ca="1" si="6"/>
        <v>0</v>
      </c>
      <c r="CP93" s="1354"/>
      <c r="CQ93" s="1354">
        <f t="shared" ca="1" si="7"/>
        <v>0</v>
      </c>
      <c r="CR93" s="1354"/>
      <c r="CS93" s="1354">
        <f t="shared" ca="1" si="8"/>
        <v>0</v>
      </c>
      <c r="CT93" s="1354"/>
      <c r="CU93" s="1354">
        <f t="shared" ca="1" si="9"/>
        <v>0</v>
      </c>
      <c r="CV93" s="1354"/>
      <c r="CW93" s="1354">
        <f t="shared" ca="1" si="10"/>
        <v>0</v>
      </c>
      <c r="CX93" s="1354"/>
      <c r="CY93" s="1354">
        <f t="shared" ca="1" si="11"/>
        <v>0</v>
      </c>
      <c r="CZ93" s="1354"/>
      <c r="DA93" s="1354">
        <f t="shared" ca="1" si="12"/>
        <v>0</v>
      </c>
      <c r="DB93" s="1354"/>
      <c r="DC93" s="1354">
        <f t="shared" ca="1" si="13"/>
        <v>0</v>
      </c>
      <c r="DD93" s="1354"/>
      <c r="DE93" s="1354">
        <f t="shared" ca="1" si="14"/>
        <v>0</v>
      </c>
      <c r="DF93" s="1354"/>
      <c r="DG93" s="1354">
        <f t="shared" ca="1" si="15"/>
        <v>0</v>
      </c>
      <c r="DH93" s="1354"/>
      <c r="DI93" s="1354">
        <f t="shared" ca="1" si="16"/>
        <v>0</v>
      </c>
      <c r="DJ93" s="1354"/>
      <c r="DK93" s="1354">
        <f t="shared" ca="1" si="17"/>
        <v>0</v>
      </c>
      <c r="DL93" s="1354"/>
      <c r="DM93" s="1354">
        <f t="shared" ca="1" si="18"/>
        <v>0</v>
      </c>
      <c r="DN93" s="1354"/>
    </row>
    <row r="94" spans="1:118" ht="20.100000000000001" customHeight="1" outlineLevel="1" x14ac:dyDescent="0.25">
      <c r="A94" s="18"/>
      <c r="B94" s="18"/>
      <c r="C94" s="18"/>
      <c r="D94" s="1"/>
      <c r="E94" s="314"/>
      <c r="F94" s="1377"/>
      <c r="G94" s="1377"/>
      <c r="H94" s="1377"/>
      <c r="I94" s="1377"/>
      <c r="J94" s="1377"/>
      <c r="K94" s="1377"/>
      <c r="L94" s="1377"/>
      <c r="M94" s="1384" t="s">
        <v>7105</v>
      </c>
      <c r="N94" s="1384"/>
      <c r="O94" s="1384"/>
      <c r="P94" s="1384"/>
      <c r="Q94" s="1375" t="str">
        <f ca="1">'Calculos(2)'!BO12</f>
        <v>-</v>
      </c>
      <c r="R94" s="1376"/>
      <c r="S94" s="1375" t="str">
        <f ca="1">'Calculos(2)'!BO28</f>
        <v>-</v>
      </c>
      <c r="T94" s="1376"/>
      <c r="U94" s="1375" t="str">
        <f ca="1">'Calculos(2)'!BO44</f>
        <v>-</v>
      </c>
      <c r="V94" s="1376"/>
      <c r="W94" s="1375" t="str">
        <f ca="1">'Calculos(2)'!BO60</f>
        <v>-</v>
      </c>
      <c r="X94" s="1376"/>
      <c r="Y94" s="1375" t="str">
        <f ca="1">'Calculos(2)'!BO76</f>
        <v>-</v>
      </c>
      <c r="Z94" s="1376"/>
      <c r="AA94" s="1375" t="str">
        <f ca="1">'Calculos(2)'!BO92</f>
        <v>-</v>
      </c>
      <c r="AB94" s="1376"/>
      <c r="AC94" s="1375" t="str">
        <f ca="1">'Calculos(2)'!BO108</f>
        <v>-</v>
      </c>
      <c r="AD94" s="1376"/>
      <c r="AE94" s="1375" t="str">
        <f ca="1">'Calculos(2)'!BO124</f>
        <v>-</v>
      </c>
      <c r="AF94" s="1376"/>
      <c r="AG94" s="1375" t="str">
        <f ca="1">'Calculos(2)'!BO140</f>
        <v>-</v>
      </c>
      <c r="AH94" s="1376"/>
      <c r="AI94" s="1375" t="str">
        <f ca="1">'Calculos(2)'!BO156</f>
        <v>-</v>
      </c>
      <c r="AJ94" s="1376"/>
      <c r="AK94" s="1375" t="str">
        <f ca="1">'Calculos(2)'!BO172</f>
        <v>-</v>
      </c>
      <c r="AL94" s="1376"/>
      <c r="AM94" s="1375" t="str">
        <f ca="1">'Calculos(2)'!BO188</f>
        <v>-</v>
      </c>
      <c r="AN94" s="1376"/>
      <c r="AO94" s="1375" t="str">
        <f ca="1">'Calculos(2)'!BO204</f>
        <v>-</v>
      </c>
      <c r="AP94" s="1376"/>
      <c r="AQ94" s="1375" t="str">
        <f ca="1">'Calculos(2)'!BO220</f>
        <v>-</v>
      </c>
      <c r="AR94" s="1376"/>
      <c r="AS94" s="1375" t="str">
        <f ca="1">'Calculos(2)'!BO236</f>
        <v>-</v>
      </c>
      <c r="AT94" s="1376"/>
      <c r="AU94" s="1375" t="str">
        <f ca="1">'Calculos(2)'!BO252</f>
        <v>-</v>
      </c>
      <c r="AV94" s="1376"/>
      <c r="AW94" s="1375" t="str">
        <f ca="1">'Calculos(2)'!BO268</f>
        <v>-</v>
      </c>
      <c r="AX94" s="1376"/>
      <c r="AY94" s="1375" t="str">
        <f ca="1">'Calculos(2)'!BO284</f>
        <v>-</v>
      </c>
      <c r="AZ94" s="1376"/>
      <c r="BA94" s="1375" t="str">
        <f ca="1">'Calculos(2)'!BO300</f>
        <v>-</v>
      </c>
      <c r="BB94" s="1376"/>
      <c r="BC94" s="1375" t="str">
        <f ca="1">'Calculos(2)'!BO316</f>
        <v>-</v>
      </c>
      <c r="BD94" s="1376"/>
      <c r="CA94" s="1354">
        <f t="shared" ca="1" si="19"/>
        <v>0</v>
      </c>
      <c r="CB94" s="1354"/>
      <c r="CC94" s="1354">
        <f t="shared" ca="1" si="0"/>
        <v>0</v>
      </c>
      <c r="CD94" s="1354"/>
      <c r="CE94" s="1354">
        <f t="shared" ca="1" si="1"/>
        <v>0</v>
      </c>
      <c r="CF94" s="1354"/>
      <c r="CG94" s="1354">
        <f t="shared" ca="1" si="2"/>
        <v>0</v>
      </c>
      <c r="CH94" s="1354"/>
      <c r="CI94" s="1354">
        <f t="shared" ca="1" si="3"/>
        <v>0</v>
      </c>
      <c r="CJ94" s="1354"/>
      <c r="CK94" s="1354">
        <f t="shared" ca="1" si="4"/>
        <v>0</v>
      </c>
      <c r="CL94" s="1354"/>
      <c r="CM94" s="1354">
        <f t="shared" ca="1" si="5"/>
        <v>0</v>
      </c>
      <c r="CN94" s="1354"/>
      <c r="CO94" s="1354">
        <f t="shared" ca="1" si="6"/>
        <v>0</v>
      </c>
      <c r="CP94" s="1354"/>
      <c r="CQ94" s="1354">
        <f t="shared" ca="1" si="7"/>
        <v>0</v>
      </c>
      <c r="CR94" s="1354"/>
      <c r="CS94" s="1354">
        <f t="shared" ca="1" si="8"/>
        <v>0</v>
      </c>
      <c r="CT94" s="1354"/>
      <c r="CU94" s="1354">
        <f t="shared" ca="1" si="9"/>
        <v>0</v>
      </c>
      <c r="CV94" s="1354"/>
      <c r="CW94" s="1354">
        <f t="shared" ca="1" si="10"/>
        <v>0</v>
      </c>
      <c r="CX94" s="1354"/>
      <c r="CY94" s="1354">
        <f t="shared" ca="1" si="11"/>
        <v>0</v>
      </c>
      <c r="CZ94" s="1354"/>
      <c r="DA94" s="1354">
        <f t="shared" ca="1" si="12"/>
        <v>0</v>
      </c>
      <c r="DB94" s="1354"/>
      <c r="DC94" s="1354">
        <f t="shared" ca="1" si="13"/>
        <v>0</v>
      </c>
      <c r="DD94" s="1354"/>
      <c r="DE94" s="1354">
        <f t="shared" ca="1" si="14"/>
        <v>0</v>
      </c>
      <c r="DF94" s="1354"/>
      <c r="DG94" s="1354">
        <f t="shared" ca="1" si="15"/>
        <v>0</v>
      </c>
      <c r="DH94" s="1354"/>
      <c r="DI94" s="1354">
        <f t="shared" ca="1" si="16"/>
        <v>0</v>
      </c>
      <c r="DJ94" s="1354"/>
      <c r="DK94" s="1354">
        <f t="shared" ca="1" si="17"/>
        <v>0</v>
      </c>
      <c r="DL94" s="1354"/>
      <c r="DM94" s="1354">
        <f t="shared" ca="1" si="18"/>
        <v>0</v>
      </c>
      <c r="DN94" s="1354"/>
    </row>
    <row r="95" spans="1:118" ht="20.100000000000001" customHeight="1" outlineLevel="1" x14ac:dyDescent="0.25">
      <c r="A95" s="18"/>
      <c r="B95" s="18"/>
      <c r="C95" s="18"/>
      <c r="D95" s="1"/>
      <c r="E95" s="314"/>
      <c r="F95" s="1377"/>
      <c r="G95" s="1377"/>
      <c r="H95" s="1377"/>
      <c r="I95" s="1377"/>
      <c r="J95" s="1377"/>
      <c r="K95" s="1377"/>
      <c r="L95" s="1377"/>
      <c r="M95" s="1384" t="s">
        <v>7106</v>
      </c>
      <c r="N95" s="1384"/>
      <c r="O95" s="1384"/>
      <c r="P95" s="1384"/>
      <c r="Q95" s="1375" t="str">
        <f ca="1">'Calculos(2)'!BO13</f>
        <v>-</v>
      </c>
      <c r="R95" s="1376"/>
      <c r="S95" s="1375" t="str">
        <f ca="1">'Calculos(2)'!BO29</f>
        <v>-</v>
      </c>
      <c r="T95" s="1376"/>
      <c r="U95" s="1375" t="str">
        <f ca="1">'Calculos(2)'!BO45</f>
        <v>-</v>
      </c>
      <c r="V95" s="1376"/>
      <c r="W95" s="1375" t="str">
        <f ca="1">'Calculos(2)'!BO61</f>
        <v>-</v>
      </c>
      <c r="X95" s="1376"/>
      <c r="Y95" s="1375" t="str">
        <f ca="1">'Calculos(2)'!BO77</f>
        <v>-</v>
      </c>
      <c r="Z95" s="1376"/>
      <c r="AA95" s="1375" t="str">
        <f ca="1">'Calculos(2)'!BO93</f>
        <v>-</v>
      </c>
      <c r="AB95" s="1376"/>
      <c r="AC95" s="1375" t="str">
        <f ca="1">'Calculos(2)'!BO109</f>
        <v>-</v>
      </c>
      <c r="AD95" s="1376"/>
      <c r="AE95" s="1375" t="str">
        <f ca="1">'Calculos(2)'!BO125</f>
        <v>-</v>
      </c>
      <c r="AF95" s="1376"/>
      <c r="AG95" s="1375" t="str">
        <f ca="1">'Calculos(2)'!BO141</f>
        <v>-</v>
      </c>
      <c r="AH95" s="1376"/>
      <c r="AI95" s="1375" t="str">
        <f ca="1">'Calculos(2)'!BO157</f>
        <v>-</v>
      </c>
      <c r="AJ95" s="1376"/>
      <c r="AK95" s="1375" t="str">
        <f ca="1">'Calculos(2)'!BO173</f>
        <v>-</v>
      </c>
      <c r="AL95" s="1376"/>
      <c r="AM95" s="1375" t="str">
        <f ca="1">'Calculos(2)'!BO189</f>
        <v>-</v>
      </c>
      <c r="AN95" s="1376"/>
      <c r="AO95" s="1375" t="str">
        <f ca="1">'Calculos(2)'!BO205</f>
        <v>-</v>
      </c>
      <c r="AP95" s="1376"/>
      <c r="AQ95" s="1375" t="str">
        <f ca="1">'Calculos(2)'!BO221</f>
        <v>-</v>
      </c>
      <c r="AR95" s="1376"/>
      <c r="AS95" s="1375" t="str">
        <f ca="1">'Calculos(2)'!BO237</f>
        <v>-</v>
      </c>
      <c r="AT95" s="1376"/>
      <c r="AU95" s="1375" t="str">
        <f ca="1">'Calculos(2)'!BO253</f>
        <v>-</v>
      </c>
      <c r="AV95" s="1376"/>
      <c r="AW95" s="1375" t="str">
        <f ca="1">'Calculos(2)'!BO269</f>
        <v>-</v>
      </c>
      <c r="AX95" s="1376"/>
      <c r="AY95" s="1375" t="str">
        <f ca="1">'Calculos(2)'!BO285</f>
        <v>-</v>
      </c>
      <c r="AZ95" s="1376"/>
      <c r="BA95" s="1375" t="str">
        <f ca="1">'Calculos(2)'!BO301</f>
        <v>-</v>
      </c>
      <c r="BB95" s="1376"/>
      <c r="BC95" s="1375" t="str">
        <f ca="1">'Calculos(2)'!BO317</f>
        <v>-</v>
      </c>
      <c r="BD95" s="1376"/>
      <c r="CA95" s="1354">
        <f t="shared" ca="1" si="19"/>
        <v>0</v>
      </c>
      <c r="CB95" s="1354"/>
      <c r="CC95" s="1354">
        <f t="shared" ca="1" si="0"/>
        <v>0</v>
      </c>
      <c r="CD95" s="1354"/>
      <c r="CE95" s="1354">
        <f t="shared" ca="1" si="1"/>
        <v>0</v>
      </c>
      <c r="CF95" s="1354"/>
      <c r="CG95" s="1354">
        <f t="shared" ca="1" si="2"/>
        <v>0</v>
      </c>
      <c r="CH95" s="1354"/>
      <c r="CI95" s="1354">
        <f t="shared" ca="1" si="3"/>
        <v>0</v>
      </c>
      <c r="CJ95" s="1354"/>
      <c r="CK95" s="1354">
        <f t="shared" ca="1" si="4"/>
        <v>0</v>
      </c>
      <c r="CL95" s="1354"/>
      <c r="CM95" s="1354">
        <f t="shared" ca="1" si="5"/>
        <v>0</v>
      </c>
      <c r="CN95" s="1354"/>
      <c r="CO95" s="1354">
        <f t="shared" ca="1" si="6"/>
        <v>0</v>
      </c>
      <c r="CP95" s="1354"/>
      <c r="CQ95" s="1354">
        <f t="shared" ca="1" si="7"/>
        <v>0</v>
      </c>
      <c r="CR95" s="1354"/>
      <c r="CS95" s="1354">
        <f t="shared" ca="1" si="8"/>
        <v>0</v>
      </c>
      <c r="CT95" s="1354"/>
      <c r="CU95" s="1354">
        <f t="shared" ca="1" si="9"/>
        <v>0</v>
      </c>
      <c r="CV95" s="1354"/>
      <c r="CW95" s="1354">
        <f t="shared" ca="1" si="10"/>
        <v>0</v>
      </c>
      <c r="CX95" s="1354"/>
      <c r="CY95" s="1354">
        <f t="shared" ca="1" si="11"/>
        <v>0</v>
      </c>
      <c r="CZ95" s="1354"/>
      <c r="DA95" s="1354">
        <f t="shared" ca="1" si="12"/>
        <v>0</v>
      </c>
      <c r="DB95" s="1354"/>
      <c r="DC95" s="1354">
        <f t="shared" ca="1" si="13"/>
        <v>0</v>
      </c>
      <c r="DD95" s="1354"/>
      <c r="DE95" s="1354">
        <f t="shared" ca="1" si="14"/>
        <v>0</v>
      </c>
      <c r="DF95" s="1354"/>
      <c r="DG95" s="1354">
        <f t="shared" ca="1" si="15"/>
        <v>0</v>
      </c>
      <c r="DH95" s="1354"/>
      <c r="DI95" s="1354">
        <f t="shared" ca="1" si="16"/>
        <v>0</v>
      </c>
      <c r="DJ95" s="1354"/>
      <c r="DK95" s="1354">
        <f t="shared" ca="1" si="17"/>
        <v>0</v>
      </c>
      <c r="DL95" s="1354"/>
      <c r="DM95" s="1354">
        <f t="shared" ca="1" si="18"/>
        <v>0</v>
      </c>
      <c r="DN95" s="1354"/>
    </row>
    <row r="96" spans="1:118" ht="20.100000000000001" customHeight="1" outlineLevel="1" x14ac:dyDescent="0.25">
      <c r="A96" s="18"/>
      <c r="B96" s="18"/>
      <c r="C96" s="18"/>
      <c r="D96" s="1"/>
      <c r="E96" s="314"/>
      <c r="F96" s="1377"/>
      <c r="G96" s="1377"/>
      <c r="H96" s="1377"/>
      <c r="I96" s="1377"/>
      <c r="J96" s="1377"/>
      <c r="K96" s="1377"/>
      <c r="L96" s="1377"/>
      <c r="M96" s="1384" t="s">
        <v>7107</v>
      </c>
      <c r="N96" s="1384"/>
      <c r="O96" s="1384"/>
      <c r="P96" s="1384"/>
      <c r="Q96" s="1375" t="str">
        <f ca="1">'Calculos(2)'!BO14</f>
        <v>-</v>
      </c>
      <c r="R96" s="1376"/>
      <c r="S96" s="1375" t="str">
        <f ca="1">'Calculos(2)'!BO30</f>
        <v>-</v>
      </c>
      <c r="T96" s="1376"/>
      <c r="U96" s="1375" t="str">
        <f ca="1">'Calculos(2)'!BO46</f>
        <v>-</v>
      </c>
      <c r="V96" s="1376"/>
      <c r="W96" s="1375" t="str">
        <f ca="1">'Calculos(2)'!BO62</f>
        <v>-</v>
      </c>
      <c r="X96" s="1376"/>
      <c r="Y96" s="1375" t="str">
        <f ca="1">'Calculos(2)'!BO78</f>
        <v>-</v>
      </c>
      <c r="Z96" s="1376"/>
      <c r="AA96" s="1375" t="str">
        <f ca="1">'Calculos(2)'!BO94</f>
        <v>-</v>
      </c>
      <c r="AB96" s="1376"/>
      <c r="AC96" s="1375" t="str">
        <f ca="1">'Calculos(2)'!BO110</f>
        <v>-</v>
      </c>
      <c r="AD96" s="1376"/>
      <c r="AE96" s="1375" t="str">
        <f ca="1">'Calculos(2)'!BO126</f>
        <v>-</v>
      </c>
      <c r="AF96" s="1376"/>
      <c r="AG96" s="1375" t="str">
        <f ca="1">'Calculos(2)'!BO142</f>
        <v>-</v>
      </c>
      <c r="AH96" s="1376"/>
      <c r="AI96" s="1375" t="str">
        <f ca="1">'Calculos(2)'!BO158</f>
        <v>-</v>
      </c>
      <c r="AJ96" s="1376"/>
      <c r="AK96" s="1375" t="str">
        <f ca="1">'Calculos(2)'!BO174</f>
        <v>-</v>
      </c>
      <c r="AL96" s="1376"/>
      <c r="AM96" s="1375" t="str">
        <f ca="1">'Calculos(2)'!BO190</f>
        <v>-</v>
      </c>
      <c r="AN96" s="1376"/>
      <c r="AO96" s="1375" t="str">
        <f ca="1">'Calculos(2)'!BO206</f>
        <v>-</v>
      </c>
      <c r="AP96" s="1376"/>
      <c r="AQ96" s="1375" t="str">
        <f ca="1">'Calculos(2)'!BO222</f>
        <v>-</v>
      </c>
      <c r="AR96" s="1376"/>
      <c r="AS96" s="1375" t="str">
        <f ca="1">'Calculos(2)'!BO238</f>
        <v>-</v>
      </c>
      <c r="AT96" s="1376"/>
      <c r="AU96" s="1375" t="str">
        <f ca="1">'Calculos(2)'!BO254</f>
        <v>-</v>
      </c>
      <c r="AV96" s="1376"/>
      <c r="AW96" s="1375" t="str">
        <f ca="1">'Calculos(2)'!BO270</f>
        <v>-</v>
      </c>
      <c r="AX96" s="1376"/>
      <c r="AY96" s="1375" t="str">
        <f ca="1">'Calculos(2)'!BO286</f>
        <v>-</v>
      </c>
      <c r="AZ96" s="1376"/>
      <c r="BA96" s="1375" t="str">
        <f ca="1">'Calculos(2)'!BO302</f>
        <v>-</v>
      </c>
      <c r="BB96" s="1376"/>
      <c r="BC96" s="1375" t="str">
        <f ca="1">'Calculos(2)'!BO318</f>
        <v>-</v>
      </c>
      <c r="BD96" s="1376"/>
      <c r="CA96" s="1354">
        <f t="shared" ca="1" si="19"/>
        <v>0</v>
      </c>
      <c r="CB96" s="1354"/>
      <c r="CC96" s="1354">
        <f t="shared" ca="1" si="0"/>
        <v>0</v>
      </c>
      <c r="CD96" s="1354"/>
      <c r="CE96" s="1354">
        <f t="shared" ca="1" si="1"/>
        <v>0</v>
      </c>
      <c r="CF96" s="1354"/>
      <c r="CG96" s="1354">
        <f t="shared" ca="1" si="2"/>
        <v>0</v>
      </c>
      <c r="CH96" s="1354"/>
      <c r="CI96" s="1354">
        <f t="shared" ca="1" si="3"/>
        <v>0</v>
      </c>
      <c r="CJ96" s="1354"/>
      <c r="CK96" s="1354">
        <f t="shared" ca="1" si="4"/>
        <v>0</v>
      </c>
      <c r="CL96" s="1354"/>
      <c r="CM96" s="1354">
        <f t="shared" ca="1" si="5"/>
        <v>0</v>
      </c>
      <c r="CN96" s="1354"/>
      <c r="CO96" s="1354">
        <f t="shared" ca="1" si="6"/>
        <v>0</v>
      </c>
      <c r="CP96" s="1354"/>
      <c r="CQ96" s="1354">
        <f t="shared" ca="1" si="7"/>
        <v>0</v>
      </c>
      <c r="CR96" s="1354"/>
      <c r="CS96" s="1354">
        <f t="shared" ca="1" si="8"/>
        <v>0</v>
      </c>
      <c r="CT96" s="1354"/>
      <c r="CU96" s="1354">
        <f t="shared" ca="1" si="9"/>
        <v>0</v>
      </c>
      <c r="CV96" s="1354"/>
      <c r="CW96" s="1354">
        <f t="shared" ca="1" si="10"/>
        <v>0</v>
      </c>
      <c r="CX96" s="1354"/>
      <c r="CY96" s="1354">
        <f t="shared" ca="1" si="11"/>
        <v>0</v>
      </c>
      <c r="CZ96" s="1354"/>
      <c r="DA96" s="1354">
        <f t="shared" ca="1" si="12"/>
        <v>0</v>
      </c>
      <c r="DB96" s="1354"/>
      <c r="DC96" s="1354">
        <f t="shared" ca="1" si="13"/>
        <v>0</v>
      </c>
      <c r="DD96" s="1354"/>
      <c r="DE96" s="1354">
        <f t="shared" ca="1" si="14"/>
        <v>0</v>
      </c>
      <c r="DF96" s="1354"/>
      <c r="DG96" s="1354">
        <f t="shared" ca="1" si="15"/>
        <v>0</v>
      </c>
      <c r="DH96" s="1354"/>
      <c r="DI96" s="1354">
        <f t="shared" ca="1" si="16"/>
        <v>0</v>
      </c>
      <c r="DJ96" s="1354"/>
      <c r="DK96" s="1354">
        <f t="shared" ca="1" si="17"/>
        <v>0</v>
      </c>
      <c r="DL96" s="1354"/>
      <c r="DM96" s="1354">
        <f t="shared" ca="1" si="18"/>
        <v>0</v>
      </c>
      <c r="DN96" s="1354"/>
    </row>
    <row r="97" spans="1:118" ht="20.100000000000001" customHeight="1" outlineLevel="1" x14ac:dyDescent="0.25">
      <c r="A97" s="18"/>
      <c r="B97" s="18"/>
      <c r="C97" s="18"/>
      <c r="D97" s="1"/>
      <c r="E97" s="314"/>
      <c r="F97" s="1377"/>
      <c r="G97" s="1377"/>
      <c r="H97" s="1377"/>
      <c r="I97" s="1377"/>
      <c r="J97" s="1377"/>
      <c r="K97" s="1377"/>
      <c r="L97" s="1377"/>
      <c r="M97" s="1384" t="s">
        <v>7108</v>
      </c>
      <c r="N97" s="1384"/>
      <c r="O97" s="1384"/>
      <c r="P97" s="1384"/>
      <c r="Q97" s="1375" t="str">
        <f ca="1">'Calculos(2)'!BO15</f>
        <v>-</v>
      </c>
      <c r="R97" s="1376"/>
      <c r="S97" s="1375" t="str">
        <f ca="1">'Calculos(2)'!BO31</f>
        <v>-</v>
      </c>
      <c r="T97" s="1376"/>
      <c r="U97" s="1375" t="str">
        <f ca="1">'Calculos(2)'!BO47</f>
        <v>-</v>
      </c>
      <c r="V97" s="1376"/>
      <c r="W97" s="1375" t="str">
        <f ca="1">'Calculos(2)'!BO63</f>
        <v>-</v>
      </c>
      <c r="X97" s="1376"/>
      <c r="Y97" s="1375" t="str">
        <f ca="1">'Calculos(2)'!BO79</f>
        <v>-</v>
      </c>
      <c r="Z97" s="1376"/>
      <c r="AA97" s="1375" t="str">
        <f ca="1">'Calculos(2)'!BO95</f>
        <v>-</v>
      </c>
      <c r="AB97" s="1376"/>
      <c r="AC97" s="1375" t="str">
        <f ca="1">'Calculos(2)'!BO111</f>
        <v>-</v>
      </c>
      <c r="AD97" s="1376"/>
      <c r="AE97" s="1375" t="str">
        <f ca="1">'Calculos(2)'!BO127</f>
        <v>-</v>
      </c>
      <c r="AF97" s="1376"/>
      <c r="AG97" s="1375" t="str">
        <f ca="1">'Calculos(2)'!BO143</f>
        <v>-</v>
      </c>
      <c r="AH97" s="1376"/>
      <c r="AI97" s="1375" t="str">
        <f ca="1">'Calculos(2)'!BO159</f>
        <v>-</v>
      </c>
      <c r="AJ97" s="1376"/>
      <c r="AK97" s="1375" t="str">
        <f ca="1">'Calculos(2)'!BO175</f>
        <v>-</v>
      </c>
      <c r="AL97" s="1376"/>
      <c r="AM97" s="1375" t="str">
        <f ca="1">'Calculos(2)'!BO191</f>
        <v>-</v>
      </c>
      <c r="AN97" s="1376"/>
      <c r="AO97" s="1375" t="str">
        <f ca="1">'Calculos(2)'!BO207</f>
        <v>-</v>
      </c>
      <c r="AP97" s="1376"/>
      <c r="AQ97" s="1375" t="str">
        <f ca="1">'Calculos(2)'!BO223</f>
        <v>-</v>
      </c>
      <c r="AR97" s="1376"/>
      <c r="AS97" s="1375" t="str">
        <f ca="1">'Calculos(2)'!BO239</f>
        <v>-</v>
      </c>
      <c r="AT97" s="1376"/>
      <c r="AU97" s="1375" t="str">
        <f ca="1">'Calculos(2)'!BO255</f>
        <v>-</v>
      </c>
      <c r="AV97" s="1376"/>
      <c r="AW97" s="1375" t="str">
        <f ca="1">'Calculos(2)'!BO271</f>
        <v>-</v>
      </c>
      <c r="AX97" s="1376"/>
      <c r="AY97" s="1375" t="str">
        <f ca="1">'Calculos(2)'!BO287</f>
        <v>-</v>
      </c>
      <c r="AZ97" s="1376"/>
      <c r="BA97" s="1375" t="str">
        <f ca="1">'Calculos(2)'!BO303</f>
        <v>-</v>
      </c>
      <c r="BB97" s="1376"/>
      <c r="BC97" s="1375" t="str">
        <f ca="1">'Calculos(2)'!BO319</f>
        <v>-</v>
      </c>
      <c r="BD97" s="1376"/>
      <c r="CA97" s="1354">
        <f t="shared" ca="1" si="19"/>
        <v>0</v>
      </c>
      <c r="CB97" s="1354"/>
      <c r="CC97" s="1354">
        <f t="shared" ca="1" si="0"/>
        <v>0</v>
      </c>
      <c r="CD97" s="1354"/>
      <c r="CE97" s="1354">
        <f t="shared" ca="1" si="1"/>
        <v>0</v>
      </c>
      <c r="CF97" s="1354"/>
      <c r="CG97" s="1354">
        <f t="shared" ca="1" si="2"/>
        <v>0</v>
      </c>
      <c r="CH97" s="1354"/>
      <c r="CI97" s="1354">
        <f t="shared" ca="1" si="3"/>
        <v>0</v>
      </c>
      <c r="CJ97" s="1354"/>
      <c r="CK97" s="1354">
        <f t="shared" ca="1" si="4"/>
        <v>0</v>
      </c>
      <c r="CL97" s="1354"/>
      <c r="CM97" s="1354">
        <f t="shared" ca="1" si="5"/>
        <v>0</v>
      </c>
      <c r="CN97" s="1354"/>
      <c r="CO97" s="1354">
        <f t="shared" ca="1" si="6"/>
        <v>0</v>
      </c>
      <c r="CP97" s="1354"/>
      <c r="CQ97" s="1354">
        <f t="shared" ca="1" si="7"/>
        <v>0</v>
      </c>
      <c r="CR97" s="1354"/>
      <c r="CS97" s="1354">
        <f t="shared" ca="1" si="8"/>
        <v>0</v>
      </c>
      <c r="CT97" s="1354"/>
      <c r="CU97" s="1354">
        <f t="shared" ca="1" si="9"/>
        <v>0</v>
      </c>
      <c r="CV97" s="1354"/>
      <c r="CW97" s="1354">
        <f t="shared" ca="1" si="10"/>
        <v>0</v>
      </c>
      <c r="CX97" s="1354"/>
      <c r="CY97" s="1354">
        <f t="shared" ca="1" si="11"/>
        <v>0</v>
      </c>
      <c r="CZ97" s="1354"/>
      <c r="DA97" s="1354">
        <f t="shared" ca="1" si="12"/>
        <v>0</v>
      </c>
      <c r="DB97" s="1354"/>
      <c r="DC97" s="1354">
        <f t="shared" ca="1" si="13"/>
        <v>0</v>
      </c>
      <c r="DD97" s="1354"/>
      <c r="DE97" s="1354">
        <f t="shared" ca="1" si="14"/>
        <v>0</v>
      </c>
      <c r="DF97" s="1354"/>
      <c r="DG97" s="1354">
        <f t="shared" ca="1" si="15"/>
        <v>0</v>
      </c>
      <c r="DH97" s="1354"/>
      <c r="DI97" s="1354">
        <f t="shared" ca="1" si="16"/>
        <v>0</v>
      </c>
      <c r="DJ97" s="1354"/>
      <c r="DK97" s="1354">
        <f t="shared" ca="1" si="17"/>
        <v>0</v>
      </c>
      <c r="DL97" s="1354"/>
      <c r="DM97" s="1354">
        <f t="shared" ca="1" si="18"/>
        <v>0</v>
      </c>
      <c r="DN97" s="1354"/>
    </row>
    <row r="98" spans="1:118" ht="20.100000000000001" customHeight="1" outlineLevel="1" x14ac:dyDescent="0.25">
      <c r="A98" s="18"/>
      <c r="B98" s="18"/>
      <c r="C98" s="18"/>
      <c r="D98" s="1"/>
      <c r="E98" s="314"/>
      <c r="F98" s="1377"/>
      <c r="G98" s="1377"/>
      <c r="H98" s="1377"/>
      <c r="I98" s="1377"/>
      <c r="J98" s="1377"/>
      <c r="K98" s="1377"/>
      <c r="L98" s="1377"/>
      <c r="M98" s="1384" t="s">
        <v>7109</v>
      </c>
      <c r="N98" s="1384"/>
      <c r="O98" s="1384"/>
      <c r="P98" s="1384"/>
      <c r="Q98" s="1375" t="str">
        <f ca="1">'Calculos(2)'!BO16</f>
        <v>-</v>
      </c>
      <c r="R98" s="1376"/>
      <c r="S98" s="1375" t="str">
        <f ca="1">'Calculos(2)'!BO32</f>
        <v>-</v>
      </c>
      <c r="T98" s="1376"/>
      <c r="U98" s="1375" t="str">
        <f ca="1">'Calculos(2)'!BO48</f>
        <v>-</v>
      </c>
      <c r="V98" s="1376"/>
      <c r="W98" s="1375" t="str">
        <f ca="1">'Calculos(2)'!BO64</f>
        <v>-</v>
      </c>
      <c r="X98" s="1376"/>
      <c r="Y98" s="1375" t="str">
        <f ca="1">'Calculos(2)'!BO80</f>
        <v>-</v>
      </c>
      <c r="Z98" s="1376"/>
      <c r="AA98" s="1375" t="str">
        <f ca="1">'Calculos(2)'!BO96</f>
        <v>-</v>
      </c>
      <c r="AB98" s="1376"/>
      <c r="AC98" s="1375" t="str">
        <f ca="1">'Calculos(2)'!BO112</f>
        <v>-</v>
      </c>
      <c r="AD98" s="1376"/>
      <c r="AE98" s="1375" t="str">
        <f ca="1">'Calculos(2)'!BO128</f>
        <v>-</v>
      </c>
      <c r="AF98" s="1376"/>
      <c r="AG98" s="1375" t="str">
        <f ca="1">'Calculos(2)'!BO144</f>
        <v>-</v>
      </c>
      <c r="AH98" s="1376"/>
      <c r="AI98" s="1375" t="str">
        <f ca="1">'Calculos(2)'!BO160</f>
        <v>-</v>
      </c>
      <c r="AJ98" s="1376"/>
      <c r="AK98" s="1375" t="str">
        <f ca="1">'Calculos(2)'!BO176</f>
        <v>-</v>
      </c>
      <c r="AL98" s="1376"/>
      <c r="AM98" s="1375" t="str">
        <f ca="1">'Calculos(2)'!BO192</f>
        <v>-</v>
      </c>
      <c r="AN98" s="1376"/>
      <c r="AO98" s="1375" t="str">
        <f ca="1">'Calculos(2)'!BO208</f>
        <v>-</v>
      </c>
      <c r="AP98" s="1376"/>
      <c r="AQ98" s="1375" t="str">
        <f ca="1">'Calculos(2)'!BO224</f>
        <v>-</v>
      </c>
      <c r="AR98" s="1376"/>
      <c r="AS98" s="1375" t="str">
        <f ca="1">'Calculos(2)'!BO240</f>
        <v>-</v>
      </c>
      <c r="AT98" s="1376"/>
      <c r="AU98" s="1375" t="str">
        <f ca="1">'Calculos(2)'!BO256</f>
        <v>-</v>
      </c>
      <c r="AV98" s="1376"/>
      <c r="AW98" s="1375" t="str">
        <f ca="1">'Calculos(2)'!BO272</f>
        <v>-</v>
      </c>
      <c r="AX98" s="1376"/>
      <c r="AY98" s="1375" t="str">
        <f ca="1">'Calculos(2)'!BO288</f>
        <v>-</v>
      </c>
      <c r="AZ98" s="1376"/>
      <c r="BA98" s="1375" t="str">
        <f ca="1">'Calculos(2)'!BO304</f>
        <v>-</v>
      </c>
      <c r="BB98" s="1376"/>
      <c r="BC98" s="1375" t="str">
        <f ca="1">'Calculos(2)'!BO320</f>
        <v>-</v>
      </c>
      <c r="BD98" s="1376"/>
      <c r="CA98" s="1354">
        <f t="shared" ca="1" si="19"/>
        <v>0</v>
      </c>
      <c r="CB98" s="1354"/>
      <c r="CC98" s="1354">
        <f t="shared" ca="1" si="0"/>
        <v>0</v>
      </c>
      <c r="CD98" s="1354"/>
      <c r="CE98" s="1354">
        <f t="shared" ca="1" si="1"/>
        <v>0</v>
      </c>
      <c r="CF98" s="1354"/>
      <c r="CG98" s="1354">
        <f t="shared" ca="1" si="2"/>
        <v>0</v>
      </c>
      <c r="CH98" s="1354"/>
      <c r="CI98" s="1354">
        <f t="shared" ca="1" si="3"/>
        <v>0</v>
      </c>
      <c r="CJ98" s="1354"/>
      <c r="CK98" s="1354">
        <f t="shared" ca="1" si="4"/>
        <v>0</v>
      </c>
      <c r="CL98" s="1354"/>
      <c r="CM98" s="1354">
        <f t="shared" ca="1" si="5"/>
        <v>0</v>
      </c>
      <c r="CN98" s="1354"/>
      <c r="CO98" s="1354">
        <f t="shared" ca="1" si="6"/>
        <v>0</v>
      </c>
      <c r="CP98" s="1354"/>
      <c r="CQ98" s="1354">
        <f t="shared" ca="1" si="7"/>
        <v>0</v>
      </c>
      <c r="CR98" s="1354"/>
      <c r="CS98" s="1354">
        <f t="shared" ca="1" si="8"/>
        <v>0</v>
      </c>
      <c r="CT98" s="1354"/>
      <c r="CU98" s="1354">
        <f t="shared" ca="1" si="9"/>
        <v>0</v>
      </c>
      <c r="CV98" s="1354"/>
      <c r="CW98" s="1354">
        <f t="shared" ca="1" si="10"/>
        <v>0</v>
      </c>
      <c r="CX98" s="1354"/>
      <c r="CY98" s="1354">
        <f t="shared" ca="1" si="11"/>
        <v>0</v>
      </c>
      <c r="CZ98" s="1354"/>
      <c r="DA98" s="1354">
        <f t="shared" ca="1" si="12"/>
        <v>0</v>
      </c>
      <c r="DB98" s="1354"/>
      <c r="DC98" s="1354">
        <f t="shared" ca="1" si="13"/>
        <v>0</v>
      </c>
      <c r="DD98" s="1354"/>
      <c r="DE98" s="1354">
        <f t="shared" ca="1" si="14"/>
        <v>0</v>
      </c>
      <c r="DF98" s="1354"/>
      <c r="DG98" s="1354">
        <f t="shared" ca="1" si="15"/>
        <v>0</v>
      </c>
      <c r="DH98" s="1354"/>
      <c r="DI98" s="1354">
        <f t="shared" ca="1" si="16"/>
        <v>0</v>
      </c>
      <c r="DJ98" s="1354"/>
      <c r="DK98" s="1354">
        <f t="shared" ca="1" si="17"/>
        <v>0</v>
      </c>
      <c r="DL98" s="1354"/>
      <c r="DM98" s="1354">
        <f t="shared" ca="1" si="18"/>
        <v>0</v>
      </c>
      <c r="DN98" s="1354"/>
    </row>
    <row r="99" spans="1:118" ht="20.100000000000001" customHeight="1" outlineLevel="1" x14ac:dyDescent="0.25">
      <c r="A99" s="18"/>
      <c r="B99" s="18"/>
      <c r="C99" s="18"/>
      <c r="D99" s="1"/>
      <c r="E99" s="314"/>
      <c r="F99" s="1377"/>
      <c r="G99" s="1377"/>
      <c r="H99" s="1377"/>
      <c r="I99" s="1377"/>
      <c r="J99" s="1377"/>
      <c r="K99" s="1377"/>
      <c r="L99" s="1377"/>
      <c r="M99" s="1384" t="s">
        <v>7110</v>
      </c>
      <c r="N99" s="1384"/>
      <c r="O99" s="1384"/>
      <c r="P99" s="1384"/>
      <c r="Q99" s="1375" t="str">
        <f ca="1">'Calculos(2)'!BO17</f>
        <v>-</v>
      </c>
      <c r="R99" s="1376"/>
      <c r="S99" s="1375" t="str">
        <f ca="1">'Calculos(2)'!BO33</f>
        <v>-</v>
      </c>
      <c r="T99" s="1376"/>
      <c r="U99" s="1375" t="str">
        <f ca="1">'Calculos(2)'!BO49</f>
        <v>-</v>
      </c>
      <c r="V99" s="1376"/>
      <c r="W99" s="1375" t="str">
        <f ca="1">'Calculos(2)'!BO65</f>
        <v>-</v>
      </c>
      <c r="X99" s="1376"/>
      <c r="Y99" s="1375" t="str">
        <f ca="1">'Calculos(2)'!BO81</f>
        <v>-</v>
      </c>
      <c r="Z99" s="1376"/>
      <c r="AA99" s="1375" t="str">
        <f ca="1">'Calculos(2)'!BO97</f>
        <v>-</v>
      </c>
      <c r="AB99" s="1376"/>
      <c r="AC99" s="1375" t="str">
        <f ca="1">'Calculos(2)'!BO113</f>
        <v>-</v>
      </c>
      <c r="AD99" s="1376"/>
      <c r="AE99" s="1375" t="str">
        <f ca="1">'Calculos(2)'!BO129</f>
        <v>-</v>
      </c>
      <c r="AF99" s="1376"/>
      <c r="AG99" s="1375" t="str">
        <f ca="1">'Calculos(2)'!BO145</f>
        <v>-</v>
      </c>
      <c r="AH99" s="1376"/>
      <c r="AI99" s="1375" t="str">
        <f ca="1">'Calculos(2)'!BO161</f>
        <v>-</v>
      </c>
      <c r="AJ99" s="1376"/>
      <c r="AK99" s="1375" t="str">
        <f ca="1">'Calculos(2)'!BO177</f>
        <v>-</v>
      </c>
      <c r="AL99" s="1376"/>
      <c r="AM99" s="1375" t="str">
        <f ca="1">'Calculos(2)'!BO193</f>
        <v>-</v>
      </c>
      <c r="AN99" s="1376"/>
      <c r="AO99" s="1375" t="str">
        <f ca="1">'Calculos(2)'!BO209</f>
        <v>-</v>
      </c>
      <c r="AP99" s="1376"/>
      <c r="AQ99" s="1375" t="str">
        <f ca="1">'Calculos(2)'!BO225</f>
        <v>-</v>
      </c>
      <c r="AR99" s="1376"/>
      <c r="AS99" s="1375" t="str">
        <f ca="1">'Calculos(2)'!BO241</f>
        <v>-</v>
      </c>
      <c r="AT99" s="1376"/>
      <c r="AU99" s="1375" t="str">
        <f ca="1">'Calculos(2)'!BO257</f>
        <v>-</v>
      </c>
      <c r="AV99" s="1376"/>
      <c r="AW99" s="1375" t="str">
        <f ca="1">'Calculos(2)'!BO273</f>
        <v>-</v>
      </c>
      <c r="AX99" s="1376"/>
      <c r="AY99" s="1375" t="str">
        <f ca="1">'Calculos(2)'!BO289</f>
        <v>-</v>
      </c>
      <c r="AZ99" s="1376"/>
      <c r="BA99" s="1375" t="str">
        <f ca="1">'Calculos(2)'!BO305</f>
        <v>-</v>
      </c>
      <c r="BB99" s="1376"/>
      <c r="BC99" s="1375" t="str">
        <f ca="1">'Calculos(2)'!BO321</f>
        <v>-</v>
      </c>
      <c r="BD99" s="1376"/>
      <c r="CA99" s="1354">
        <f t="shared" ca="1" si="19"/>
        <v>0</v>
      </c>
      <c r="CB99" s="1354"/>
      <c r="CC99" s="1354">
        <f t="shared" ca="1" si="0"/>
        <v>0</v>
      </c>
      <c r="CD99" s="1354"/>
      <c r="CE99" s="1354">
        <f t="shared" ca="1" si="1"/>
        <v>0</v>
      </c>
      <c r="CF99" s="1354"/>
      <c r="CG99" s="1354">
        <f t="shared" ca="1" si="2"/>
        <v>0</v>
      </c>
      <c r="CH99" s="1354"/>
      <c r="CI99" s="1354">
        <f t="shared" ca="1" si="3"/>
        <v>0</v>
      </c>
      <c r="CJ99" s="1354"/>
      <c r="CK99" s="1354">
        <f t="shared" ca="1" si="4"/>
        <v>0</v>
      </c>
      <c r="CL99" s="1354"/>
      <c r="CM99" s="1354">
        <f t="shared" ca="1" si="5"/>
        <v>0</v>
      </c>
      <c r="CN99" s="1354"/>
      <c r="CO99" s="1354">
        <f t="shared" ca="1" si="6"/>
        <v>0</v>
      </c>
      <c r="CP99" s="1354"/>
      <c r="CQ99" s="1354">
        <f t="shared" ca="1" si="7"/>
        <v>0</v>
      </c>
      <c r="CR99" s="1354"/>
      <c r="CS99" s="1354">
        <f t="shared" ca="1" si="8"/>
        <v>0</v>
      </c>
      <c r="CT99" s="1354"/>
      <c r="CU99" s="1354">
        <f t="shared" ca="1" si="9"/>
        <v>0</v>
      </c>
      <c r="CV99" s="1354"/>
      <c r="CW99" s="1354">
        <f t="shared" ca="1" si="10"/>
        <v>0</v>
      </c>
      <c r="CX99" s="1354"/>
      <c r="CY99" s="1354">
        <f t="shared" ca="1" si="11"/>
        <v>0</v>
      </c>
      <c r="CZ99" s="1354"/>
      <c r="DA99" s="1354">
        <f t="shared" ca="1" si="12"/>
        <v>0</v>
      </c>
      <c r="DB99" s="1354"/>
      <c r="DC99" s="1354">
        <f t="shared" ca="1" si="13"/>
        <v>0</v>
      </c>
      <c r="DD99" s="1354"/>
      <c r="DE99" s="1354">
        <f t="shared" ca="1" si="14"/>
        <v>0</v>
      </c>
      <c r="DF99" s="1354"/>
      <c r="DG99" s="1354">
        <f t="shared" ca="1" si="15"/>
        <v>0</v>
      </c>
      <c r="DH99" s="1354"/>
      <c r="DI99" s="1354">
        <f t="shared" ca="1" si="16"/>
        <v>0</v>
      </c>
      <c r="DJ99" s="1354"/>
      <c r="DK99" s="1354">
        <f t="shared" ca="1" si="17"/>
        <v>0</v>
      </c>
      <c r="DL99" s="1354"/>
      <c r="DM99" s="1354">
        <f t="shared" ca="1" si="18"/>
        <v>0</v>
      </c>
      <c r="DN99" s="1354"/>
    </row>
    <row r="100" spans="1:118" ht="20.100000000000001" customHeight="1" outlineLevel="1" x14ac:dyDescent="0.25">
      <c r="A100" s="18"/>
      <c r="B100" s="18"/>
      <c r="C100" s="18"/>
      <c r="D100" s="1"/>
      <c r="E100" s="314"/>
      <c r="F100" s="1377"/>
      <c r="G100" s="1377"/>
      <c r="H100" s="1377"/>
      <c r="I100" s="1377"/>
      <c r="J100" s="1377"/>
      <c r="K100" s="1377"/>
      <c r="L100" s="1377"/>
      <c r="M100" s="1384" t="s">
        <v>7111</v>
      </c>
      <c r="N100" s="1384"/>
      <c r="O100" s="1384"/>
      <c r="P100" s="1384"/>
      <c r="Q100" s="1375" t="str">
        <f ca="1">'Calculos(2)'!BO18</f>
        <v>-</v>
      </c>
      <c r="R100" s="1376"/>
      <c r="S100" s="1375" t="str">
        <f ca="1">'Calculos(2)'!BO34</f>
        <v>-</v>
      </c>
      <c r="T100" s="1376"/>
      <c r="U100" s="1375" t="str">
        <f ca="1">'Calculos(2)'!BO50</f>
        <v>-</v>
      </c>
      <c r="V100" s="1376"/>
      <c r="W100" s="1375" t="str">
        <f ca="1">'Calculos(2)'!BO66</f>
        <v>-</v>
      </c>
      <c r="X100" s="1376"/>
      <c r="Y100" s="1375" t="str">
        <f ca="1">'Calculos(2)'!BO82</f>
        <v>-</v>
      </c>
      <c r="Z100" s="1376"/>
      <c r="AA100" s="1375" t="str">
        <f ca="1">'Calculos(2)'!BO98</f>
        <v>-</v>
      </c>
      <c r="AB100" s="1376"/>
      <c r="AC100" s="1375" t="str">
        <f ca="1">'Calculos(2)'!BO114</f>
        <v>-</v>
      </c>
      <c r="AD100" s="1376"/>
      <c r="AE100" s="1375" t="str">
        <f ca="1">'Calculos(2)'!BO130</f>
        <v>-</v>
      </c>
      <c r="AF100" s="1376"/>
      <c r="AG100" s="1375" t="str">
        <f ca="1">'Calculos(2)'!BO146</f>
        <v>-</v>
      </c>
      <c r="AH100" s="1376"/>
      <c r="AI100" s="1375" t="str">
        <f ca="1">'Calculos(2)'!BO162</f>
        <v>-</v>
      </c>
      <c r="AJ100" s="1376"/>
      <c r="AK100" s="1375" t="str">
        <f ca="1">'Calculos(2)'!BO178</f>
        <v>-</v>
      </c>
      <c r="AL100" s="1376"/>
      <c r="AM100" s="1375" t="str">
        <f ca="1">'Calculos(2)'!BO194</f>
        <v>-</v>
      </c>
      <c r="AN100" s="1376"/>
      <c r="AO100" s="1375" t="str">
        <f ca="1">'Calculos(2)'!BO210</f>
        <v>-</v>
      </c>
      <c r="AP100" s="1376"/>
      <c r="AQ100" s="1375" t="str">
        <f ca="1">'Calculos(2)'!BO226</f>
        <v>-</v>
      </c>
      <c r="AR100" s="1376"/>
      <c r="AS100" s="1375" t="str">
        <f ca="1">'Calculos(2)'!BO242</f>
        <v>-</v>
      </c>
      <c r="AT100" s="1376"/>
      <c r="AU100" s="1375" t="str">
        <f ca="1">'Calculos(2)'!BO258</f>
        <v>-</v>
      </c>
      <c r="AV100" s="1376"/>
      <c r="AW100" s="1375" t="str">
        <f ca="1">'Calculos(2)'!BO274</f>
        <v>-</v>
      </c>
      <c r="AX100" s="1376"/>
      <c r="AY100" s="1375" t="str">
        <f ca="1">'Calculos(2)'!BO290</f>
        <v>-</v>
      </c>
      <c r="AZ100" s="1376"/>
      <c r="BA100" s="1375" t="str">
        <f ca="1">'Calculos(2)'!BO306</f>
        <v>-</v>
      </c>
      <c r="BB100" s="1376"/>
      <c r="BC100" s="1375" t="str">
        <f ca="1">'Calculos(2)'!BO322</f>
        <v>-</v>
      </c>
      <c r="BD100" s="1376"/>
      <c r="CA100" s="1354">
        <f t="shared" ca="1" si="19"/>
        <v>0</v>
      </c>
      <c r="CB100" s="1354"/>
      <c r="CC100" s="1354">
        <f t="shared" ca="1" si="0"/>
        <v>0</v>
      </c>
      <c r="CD100" s="1354"/>
      <c r="CE100" s="1354">
        <f t="shared" ca="1" si="1"/>
        <v>0</v>
      </c>
      <c r="CF100" s="1354"/>
      <c r="CG100" s="1354">
        <f t="shared" ca="1" si="2"/>
        <v>0</v>
      </c>
      <c r="CH100" s="1354"/>
      <c r="CI100" s="1354">
        <f t="shared" ca="1" si="3"/>
        <v>0</v>
      </c>
      <c r="CJ100" s="1354"/>
      <c r="CK100" s="1354">
        <f t="shared" ca="1" si="4"/>
        <v>0</v>
      </c>
      <c r="CL100" s="1354"/>
      <c r="CM100" s="1354">
        <f t="shared" ca="1" si="5"/>
        <v>0</v>
      </c>
      <c r="CN100" s="1354"/>
      <c r="CO100" s="1354">
        <f t="shared" ca="1" si="6"/>
        <v>0</v>
      </c>
      <c r="CP100" s="1354"/>
      <c r="CQ100" s="1354">
        <f t="shared" ca="1" si="7"/>
        <v>0</v>
      </c>
      <c r="CR100" s="1354"/>
      <c r="CS100" s="1354">
        <f t="shared" ca="1" si="8"/>
        <v>0</v>
      </c>
      <c r="CT100" s="1354"/>
      <c r="CU100" s="1354">
        <f t="shared" ca="1" si="9"/>
        <v>0</v>
      </c>
      <c r="CV100" s="1354"/>
      <c r="CW100" s="1354">
        <f t="shared" ca="1" si="10"/>
        <v>0</v>
      </c>
      <c r="CX100" s="1354"/>
      <c r="CY100" s="1354">
        <f t="shared" ca="1" si="11"/>
        <v>0</v>
      </c>
      <c r="CZ100" s="1354"/>
      <c r="DA100" s="1354">
        <f t="shared" ca="1" si="12"/>
        <v>0</v>
      </c>
      <c r="DB100" s="1354"/>
      <c r="DC100" s="1354">
        <f t="shared" ca="1" si="13"/>
        <v>0</v>
      </c>
      <c r="DD100" s="1354"/>
      <c r="DE100" s="1354">
        <f t="shared" ca="1" si="14"/>
        <v>0</v>
      </c>
      <c r="DF100" s="1354"/>
      <c r="DG100" s="1354">
        <f t="shared" ca="1" si="15"/>
        <v>0</v>
      </c>
      <c r="DH100" s="1354"/>
      <c r="DI100" s="1354">
        <f t="shared" ca="1" si="16"/>
        <v>0</v>
      </c>
      <c r="DJ100" s="1354"/>
      <c r="DK100" s="1354">
        <f t="shared" ca="1" si="17"/>
        <v>0</v>
      </c>
      <c r="DL100" s="1354"/>
      <c r="DM100" s="1354">
        <f t="shared" ca="1" si="18"/>
        <v>0</v>
      </c>
      <c r="DN100" s="1354"/>
    </row>
    <row r="101" spans="1:118" ht="20.100000000000001" customHeight="1" outlineLevel="1" x14ac:dyDescent="0.25">
      <c r="A101" s="18"/>
      <c r="B101" s="18"/>
      <c r="C101" s="18"/>
      <c r="D101" s="1"/>
      <c r="E101" s="314"/>
      <c r="F101" s="1377"/>
      <c r="G101" s="1377"/>
      <c r="H101" s="1377"/>
      <c r="I101" s="1377"/>
      <c r="J101" s="1377"/>
      <c r="K101" s="1377"/>
      <c r="L101" s="1377"/>
      <c r="M101" s="1384" t="s">
        <v>7112</v>
      </c>
      <c r="N101" s="1384"/>
      <c r="O101" s="1384"/>
      <c r="P101" s="1384"/>
      <c r="Q101" s="1375" t="str">
        <f ca="1">'Calculos(2)'!BO19</f>
        <v>-</v>
      </c>
      <c r="R101" s="1376"/>
      <c r="S101" s="1375" t="str">
        <f ca="1">'Calculos(2)'!BO35</f>
        <v>-</v>
      </c>
      <c r="T101" s="1376"/>
      <c r="U101" s="1375" t="str">
        <f ca="1">'Calculos(2)'!BO51</f>
        <v>-</v>
      </c>
      <c r="V101" s="1376"/>
      <c r="W101" s="1375" t="str">
        <f ca="1">'Calculos(2)'!BO67</f>
        <v>-</v>
      </c>
      <c r="X101" s="1376"/>
      <c r="Y101" s="1375" t="str">
        <f ca="1">'Calculos(2)'!BO83</f>
        <v>-</v>
      </c>
      <c r="Z101" s="1376"/>
      <c r="AA101" s="1375" t="str">
        <f ca="1">'Calculos(2)'!BO99</f>
        <v>-</v>
      </c>
      <c r="AB101" s="1376"/>
      <c r="AC101" s="1375" t="str">
        <f ca="1">'Calculos(2)'!BO115</f>
        <v>-</v>
      </c>
      <c r="AD101" s="1376"/>
      <c r="AE101" s="1375" t="str">
        <f ca="1">'Calculos(2)'!BO131</f>
        <v>-</v>
      </c>
      <c r="AF101" s="1376"/>
      <c r="AG101" s="1375" t="str">
        <f ca="1">'Calculos(2)'!BO147</f>
        <v>-</v>
      </c>
      <c r="AH101" s="1376"/>
      <c r="AI101" s="1375" t="str">
        <f ca="1">'Calculos(2)'!BO163</f>
        <v>-</v>
      </c>
      <c r="AJ101" s="1376"/>
      <c r="AK101" s="1375" t="str">
        <f ca="1">'Calculos(2)'!BO179</f>
        <v>-</v>
      </c>
      <c r="AL101" s="1376"/>
      <c r="AM101" s="1375" t="str">
        <f ca="1">'Calculos(2)'!BO195</f>
        <v>-</v>
      </c>
      <c r="AN101" s="1376"/>
      <c r="AO101" s="1375" t="str">
        <f ca="1">'Calculos(2)'!BO211</f>
        <v>-</v>
      </c>
      <c r="AP101" s="1376"/>
      <c r="AQ101" s="1375" t="str">
        <f ca="1">'Calculos(2)'!BO227</f>
        <v>-</v>
      </c>
      <c r="AR101" s="1376"/>
      <c r="AS101" s="1375" t="str">
        <f ca="1">'Calculos(2)'!BO243</f>
        <v>-</v>
      </c>
      <c r="AT101" s="1376"/>
      <c r="AU101" s="1375" t="str">
        <f ca="1">'Calculos(2)'!BO259</f>
        <v>-</v>
      </c>
      <c r="AV101" s="1376"/>
      <c r="AW101" s="1375" t="str">
        <f ca="1">'Calculos(2)'!BO275</f>
        <v>-</v>
      </c>
      <c r="AX101" s="1376"/>
      <c r="AY101" s="1375" t="str">
        <f ca="1">'Calculos(2)'!BO291</f>
        <v>-</v>
      </c>
      <c r="AZ101" s="1376"/>
      <c r="BA101" s="1375" t="str">
        <f ca="1">'Calculos(2)'!BO307</f>
        <v>-</v>
      </c>
      <c r="BB101" s="1376"/>
      <c r="BC101" s="1375" t="str">
        <f ca="1">'Calculos(2)'!BO323</f>
        <v>-</v>
      </c>
      <c r="BD101" s="1376"/>
      <c r="CA101" s="1354">
        <f t="shared" ca="1" si="19"/>
        <v>0</v>
      </c>
      <c r="CB101" s="1354"/>
      <c r="CC101" s="1354">
        <f t="shared" ca="1" si="0"/>
        <v>0</v>
      </c>
      <c r="CD101" s="1354"/>
      <c r="CE101" s="1354">
        <f t="shared" ca="1" si="1"/>
        <v>0</v>
      </c>
      <c r="CF101" s="1354"/>
      <c r="CG101" s="1354">
        <f t="shared" ca="1" si="2"/>
        <v>0</v>
      </c>
      <c r="CH101" s="1354"/>
      <c r="CI101" s="1354">
        <f t="shared" ca="1" si="3"/>
        <v>0</v>
      </c>
      <c r="CJ101" s="1354"/>
      <c r="CK101" s="1354">
        <f t="shared" ca="1" si="4"/>
        <v>0</v>
      </c>
      <c r="CL101" s="1354"/>
      <c r="CM101" s="1354">
        <f t="shared" ca="1" si="5"/>
        <v>0</v>
      </c>
      <c r="CN101" s="1354"/>
      <c r="CO101" s="1354">
        <f t="shared" ca="1" si="6"/>
        <v>0</v>
      </c>
      <c r="CP101" s="1354"/>
      <c r="CQ101" s="1354">
        <f t="shared" ca="1" si="7"/>
        <v>0</v>
      </c>
      <c r="CR101" s="1354"/>
      <c r="CS101" s="1354">
        <f t="shared" ca="1" si="8"/>
        <v>0</v>
      </c>
      <c r="CT101" s="1354"/>
      <c r="CU101" s="1354">
        <f t="shared" ca="1" si="9"/>
        <v>0</v>
      </c>
      <c r="CV101" s="1354"/>
      <c r="CW101" s="1354">
        <f t="shared" ca="1" si="10"/>
        <v>0</v>
      </c>
      <c r="CX101" s="1354"/>
      <c r="CY101" s="1354">
        <f t="shared" ca="1" si="11"/>
        <v>0</v>
      </c>
      <c r="CZ101" s="1354"/>
      <c r="DA101" s="1354">
        <f t="shared" ca="1" si="12"/>
        <v>0</v>
      </c>
      <c r="DB101" s="1354"/>
      <c r="DC101" s="1354">
        <f t="shared" ca="1" si="13"/>
        <v>0</v>
      </c>
      <c r="DD101" s="1354"/>
      <c r="DE101" s="1354">
        <f t="shared" ca="1" si="14"/>
        <v>0</v>
      </c>
      <c r="DF101" s="1354"/>
      <c r="DG101" s="1354">
        <f t="shared" ca="1" si="15"/>
        <v>0</v>
      </c>
      <c r="DH101" s="1354"/>
      <c r="DI101" s="1354">
        <f t="shared" ca="1" si="16"/>
        <v>0</v>
      </c>
      <c r="DJ101" s="1354"/>
      <c r="DK101" s="1354">
        <f t="shared" ca="1" si="17"/>
        <v>0</v>
      </c>
      <c r="DL101" s="1354"/>
      <c r="DM101" s="1354">
        <f t="shared" ca="1" si="18"/>
        <v>0</v>
      </c>
      <c r="DN101" s="1354"/>
    </row>
    <row r="102" spans="1:118" ht="20.100000000000001" customHeight="1" outlineLevel="1" x14ac:dyDescent="0.25">
      <c r="A102" s="18"/>
      <c r="B102" s="18"/>
      <c r="C102" s="18"/>
      <c r="D102" s="1"/>
      <c r="E102" s="314"/>
      <c r="F102" s="1377"/>
      <c r="G102" s="1377"/>
      <c r="H102" s="1377"/>
      <c r="I102" s="1377"/>
      <c r="J102" s="1377"/>
      <c r="K102" s="1377"/>
      <c r="L102" s="1377"/>
      <c r="M102" s="1384" t="s">
        <v>7113</v>
      </c>
      <c r="N102" s="1384"/>
      <c r="O102" s="1384"/>
      <c r="P102" s="1384"/>
      <c r="Q102" s="1375" t="str">
        <f ca="1">'Calculos(2)'!BO20</f>
        <v>-</v>
      </c>
      <c r="R102" s="1376"/>
      <c r="S102" s="1375" t="str">
        <f ca="1">'Calculos(2)'!BO36</f>
        <v>-</v>
      </c>
      <c r="T102" s="1376"/>
      <c r="U102" s="1375" t="str">
        <f ca="1">'Calculos(2)'!BO52</f>
        <v>-</v>
      </c>
      <c r="V102" s="1376"/>
      <c r="W102" s="1375" t="str">
        <f ca="1">'Calculos(2)'!BO68</f>
        <v>-</v>
      </c>
      <c r="X102" s="1376"/>
      <c r="Y102" s="1375" t="str">
        <f ca="1">'Calculos(2)'!BO84</f>
        <v>-</v>
      </c>
      <c r="Z102" s="1376"/>
      <c r="AA102" s="1375" t="str">
        <f ca="1">'Calculos(2)'!BO100</f>
        <v>-</v>
      </c>
      <c r="AB102" s="1376"/>
      <c r="AC102" s="1375" t="str">
        <f ca="1">'Calculos(2)'!BO116</f>
        <v>-</v>
      </c>
      <c r="AD102" s="1376"/>
      <c r="AE102" s="1375" t="str">
        <f ca="1">'Calculos(2)'!BO132</f>
        <v>-</v>
      </c>
      <c r="AF102" s="1376"/>
      <c r="AG102" s="1375" t="str">
        <f ca="1">'Calculos(2)'!BO148</f>
        <v>-</v>
      </c>
      <c r="AH102" s="1376"/>
      <c r="AI102" s="1375" t="str">
        <f ca="1">'Calculos(2)'!BO164</f>
        <v>-</v>
      </c>
      <c r="AJ102" s="1376"/>
      <c r="AK102" s="1375" t="str">
        <f ca="1">'Calculos(2)'!BO180</f>
        <v>-</v>
      </c>
      <c r="AL102" s="1376"/>
      <c r="AM102" s="1375" t="str">
        <f ca="1">'Calculos(2)'!BO196</f>
        <v>-</v>
      </c>
      <c r="AN102" s="1376"/>
      <c r="AO102" s="1375" t="str">
        <f ca="1">'Calculos(2)'!BO212</f>
        <v>-</v>
      </c>
      <c r="AP102" s="1376"/>
      <c r="AQ102" s="1375" t="str">
        <f ca="1">'Calculos(2)'!BO228</f>
        <v>-</v>
      </c>
      <c r="AR102" s="1376"/>
      <c r="AS102" s="1375" t="str">
        <f ca="1">'Calculos(2)'!BO244</f>
        <v>-</v>
      </c>
      <c r="AT102" s="1376"/>
      <c r="AU102" s="1375" t="str">
        <f ca="1">'Calculos(2)'!BO260</f>
        <v>-</v>
      </c>
      <c r="AV102" s="1376"/>
      <c r="AW102" s="1375" t="str">
        <f ca="1">'Calculos(2)'!BO276</f>
        <v>-</v>
      </c>
      <c r="AX102" s="1376"/>
      <c r="AY102" s="1375" t="str">
        <f ca="1">'Calculos(2)'!BO292</f>
        <v>-</v>
      </c>
      <c r="AZ102" s="1376"/>
      <c r="BA102" s="1375" t="str">
        <f ca="1">'Calculos(2)'!BO308</f>
        <v>-</v>
      </c>
      <c r="BB102" s="1376"/>
      <c r="BC102" s="1375" t="str">
        <f ca="1">'Calculos(2)'!BO324</f>
        <v>-</v>
      </c>
      <c r="BD102" s="1376"/>
      <c r="CA102" s="1354">
        <f t="shared" ca="1" si="19"/>
        <v>0</v>
      </c>
      <c r="CB102" s="1354"/>
      <c r="CC102" s="1354">
        <f t="shared" ca="1" si="0"/>
        <v>0</v>
      </c>
      <c r="CD102" s="1354"/>
      <c r="CE102" s="1354">
        <f t="shared" ca="1" si="1"/>
        <v>0</v>
      </c>
      <c r="CF102" s="1354"/>
      <c r="CG102" s="1354">
        <f t="shared" ca="1" si="2"/>
        <v>0</v>
      </c>
      <c r="CH102" s="1354"/>
      <c r="CI102" s="1354">
        <f t="shared" ca="1" si="3"/>
        <v>0</v>
      </c>
      <c r="CJ102" s="1354"/>
      <c r="CK102" s="1354">
        <f t="shared" ca="1" si="4"/>
        <v>0</v>
      </c>
      <c r="CL102" s="1354"/>
      <c r="CM102" s="1354">
        <f t="shared" ca="1" si="5"/>
        <v>0</v>
      </c>
      <c r="CN102" s="1354"/>
      <c r="CO102" s="1354">
        <f t="shared" ca="1" si="6"/>
        <v>0</v>
      </c>
      <c r="CP102" s="1354"/>
      <c r="CQ102" s="1354">
        <f t="shared" ca="1" si="7"/>
        <v>0</v>
      </c>
      <c r="CR102" s="1354"/>
      <c r="CS102" s="1354">
        <f t="shared" ca="1" si="8"/>
        <v>0</v>
      </c>
      <c r="CT102" s="1354"/>
      <c r="CU102" s="1354">
        <f t="shared" ca="1" si="9"/>
        <v>0</v>
      </c>
      <c r="CV102" s="1354"/>
      <c r="CW102" s="1354">
        <f t="shared" ca="1" si="10"/>
        <v>0</v>
      </c>
      <c r="CX102" s="1354"/>
      <c r="CY102" s="1354">
        <f t="shared" ca="1" si="11"/>
        <v>0</v>
      </c>
      <c r="CZ102" s="1354"/>
      <c r="DA102" s="1354">
        <f t="shared" ca="1" si="12"/>
        <v>0</v>
      </c>
      <c r="DB102" s="1354"/>
      <c r="DC102" s="1354">
        <f t="shared" ca="1" si="13"/>
        <v>0</v>
      </c>
      <c r="DD102" s="1354"/>
      <c r="DE102" s="1354">
        <f t="shared" ca="1" si="14"/>
        <v>0</v>
      </c>
      <c r="DF102" s="1354"/>
      <c r="DG102" s="1354">
        <f t="shared" ca="1" si="15"/>
        <v>0</v>
      </c>
      <c r="DH102" s="1354"/>
      <c r="DI102" s="1354">
        <f t="shared" ca="1" si="16"/>
        <v>0</v>
      </c>
      <c r="DJ102" s="1354"/>
      <c r="DK102" s="1354">
        <f t="shared" ca="1" si="17"/>
        <v>0</v>
      </c>
      <c r="DL102" s="1354"/>
      <c r="DM102" s="1354">
        <f t="shared" ca="1" si="18"/>
        <v>0</v>
      </c>
      <c r="DN102" s="1354"/>
    </row>
    <row r="103" spans="1:118" ht="20.100000000000001" customHeight="1" outlineLevel="1" x14ac:dyDescent="0.25">
      <c r="A103" s="18"/>
      <c r="B103" s="18"/>
      <c r="C103" s="18"/>
      <c r="D103" s="1"/>
      <c r="E103" s="314"/>
      <c r="F103" s="1377"/>
      <c r="G103" s="1377"/>
      <c r="H103" s="1377"/>
      <c r="I103" s="1377"/>
      <c r="J103" s="1377"/>
      <c r="K103" s="1377"/>
      <c r="L103" s="1377"/>
      <c r="M103" s="1384" t="s">
        <v>80</v>
      </c>
      <c r="N103" s="1384"/>
      <c r="O103" s="1384"/>
      <c r="P103" s="1384"/>
      <c r="Q103" s="1375" t="str">
        <f ca="1">'Calculos(2)'!BO21</f>
        <v>-</v>
      </c>
      <c r="R103" s="1376"/>
      <c r="S103" s="1375" t="str">
        <f ca="1">'Calculos(2)'!BO37</f>
        <v>-</v>
      </c>
      <c r="T103" s="1376"/>
      <c r="U103" s="1375" t="str">
        <f ca="1">'Calculos(2)'!BO53</f>
        <v>-</v>
      </c>
      <c r="V103" s="1376"/>
      <c r="W103" s="1375" t="str">
        <f ca="1">'Calculos(2)'!BO69</f>
        <v>-</v>
      </c>
      <c r="X103" s="1376"/>
      <c r="Y103" s="1375" t="str">
        <f ca="1">'Calculos(2)'!BO85</f>
        <v>-</v>
      </c>
      <c r="Z103" s="1376"/>
      <c r="AA103" s="1375" t="str">
        <f ca="1">'Calculos(2)'!BO101</f>
        <v>-</v>
      </c>
      <c r="AB103" s="1376"/>
      <c r="AC103" s="1375" t="str">
        <f ca="1">'Calculos(2)'!BO117</f>
        <v>-</v>
      </c>
      <c r="AD103" s="1376"/>
      <c r="AE103" s="1375" t="str">
        <f ca="1">'Calculos(2)'!BO133</f>
        <v>-</v>
      </c>
      <c r="AF103" s="1376"/>
      <c r="AG103" s="1375" t="str">
        <f ca="1">'Calculos(2)'!BO149</f>
        <v>-</v>
      </c>
      <c r="AH103" s="1376"/>
      <c r="AI103" s="1375" t="str">
        <f ca="1">'Calculos(2)'!BO165</f>
        <v>-</v>
      </c>
      <c r="AJ103" s="1376"/>
      <c r="AK103" s="1375" t="str">
        <f ca="1">'Calculos(2)'!BO181</f>
        <v>-</v>
      </c>
      <c r="AL103" s="1376"/>
      <c r="AM103" s="1375" t="str">
        <f ca="1">'Calculos(2)'!BO197</f>
        <v>-</v>
      </c>
      <c r="AN103" s="1376"/>
      <c r="AO103" s="1375" t="str">
        <f ca="1">'Calculos(2)'!BO213</f>
        <v>-</v>
      </c>
      <c r="AP103" s="1376"/>
      <c r="AQ103" s="1375" t="str">
        <f ca="1">'Calculos(2)'!BO229</f>
        <v>-</v>
      </c>
      <c r="AR103" s="1376"/>
      <c r="AS103" s="1375" t="str">
        <f ca="1">'Calculos(2)'!BO245</f>
        <v>-</v>
      </c>
      <c r="AT103" s="1376"/>
      <c r="AU103" s="1375" t="str">
        <f ca="1">'Calculos(2)'!BO261</f>
        <v>-</v>
      </c>
      <c r="AV103" s="1376"/>
      <c r="AW103" s="1375" t="str">
        <f ca="1">'Calculos(2)'!BO277</f>
        <v>-</v>
      </c>
      <c r="AX103" s="1376"/>
      <c r="AY103" s="1375" t="str">
        <f ca="1">'Calculos(2)'!BO293</f>
        <v>-</v>
      </c>
      <c r="AZ103" s="1376"/>
      <c r="BA103" s="1375" t="str">
        <f ca="1">'Calculos(2)'!BO309</f>
        <v>-</v>
      </c>
      <c r="BB103" s="1376"/>
      <c r="BC103" s="1375" t="str">
        <f ca="1">'Calculos(2)'!BO325</f>
        <v>-</v>
      </c>
      <c r="BD103" s="1376"/>
      <c r="CA103" s="1354">
        <f t="shared" ca="1" si="19"/>
        <v>0</v>
      </c>
      <c r="CB103" s="1354"/>
      <c r="CC103" s="1354">
        <f t="shared" ca="1" si="0"/>
        <v>0</v>
      </c>
      <c r="CD103" s="1354"/>
      <c r="CE103" s="1354">
        <f t="shared" ca="1" si="1"/>
        <v>0</v>
      </c>
      <c r="CF103" s="1354"/>
      <c r="CG103" s="1354">
        <f t="shared" ca="1" si="2"/>
        <v>0</v>
      </c>
      <c r="CH103" s="1354"/>
      <c r="CI103" s="1354">
        <f t="shared" ca="1" si="3"/>
        <v>0</v>
      </c>
      <c r="CJ103" s="1354"/>
      <c r="CK103" s="1354">
        <f t="shared" ca="1" si="4"/>
        <v>0</v>
      </c>
      <c r="CL103" s="1354"/>
      <c r="CM103" s="1354">
        <f t="shared" ca="1" si="5"/>
        <v>0</v>
      </c>
      <c r="CN103" s="1354"/>
      <c r="CO103" s="1354">
        <f t="shared" ca="1" si="6"/>
        <v>0</v>
      </c>
      <c r="CP103" s="1354"/>
      <c r="CQ103" s="1354">
        <f t="shared" ca="1" si="7"/>
        <v>0</v>
      </c>
      <c r="CR103" s="1354"/>
      <c r="CS103" s="1354">
        <f t="shared" ca="1" si="8"/>
        <v>0</v>
      </c>
      <c r="CT103" s="1354"/>
      <c r="CU103" s="1354">
        <f t="shared" ca="1" si="9"/>
        <v>0</v>
      </c>
      <c r="CV103" s="1354"/>
      <c r="CW103" s="1354">
        <f t="shared" ca="1" si="10"/>
        <v>0</v>
      </c>
      <c r="CX103" s="1354"/>
      <c r="CY103" s="1354">
        <f t="shared" ca="1" si="11"/>
        <v>0</v>
      </c>
      <c r="CZ103" s="1354"/>
      <c r="DA103" s="1354">
        <f t="shared" ca="1" si="12"/>
        <v>0</v>
      </c>
      <c r="DB103" s="1354"/>
      <c r="DC103" s="1354">
        <f t="shared" ca="1" si="13"/>
        <v>0</v>
      </c>
      <c r="DD103" s="1354"/>
      <c r="DE103" s="1354">
        <f t="shared" ca="1" si="14"/>
        <v>0</v>
      </c>
      <c r="DF103" s="1354"/>
      <c r="DG103" s="1354">
        <f t="shared" ca="1" si="15"/>
        <v>0</v>
      </c>
      <c r="DH103" s="1354"/>
      <c r="DI103" s="1354">
        <f t="shared" ca="1" si="16"/>
        <v>0</v>
      </c>
      <c r="DJ103" s="1354"/>
      <c r="DK103" s="1354">
        <f t="shared" ca="1" si="17"/>
        <v>0</v>
      </c>
      <c r="DL103" s="1354"/>
      <c r="DM103" s="1354">
        <f t="shared" ca="1" si="18"/>
        <v>0</v>
      </c>
      <c r="DN103" s="1354"/>
    </row>
    <row r="104" spans="1:118" ht="30" customHeight="1" outlineLevel="1" x14ac:dyDescent="0.25">
      <c r="A104" s="18"/>
      <c r="B104" s="18"/>
      <c r="C104" s="18"/>
      <c r="D104" s="1"/>
      <c r="E104" s="314"/>
      <c r="F104" s="1377" t="s">
        <v>353</v>
      </c>
      <c r="G104" s="1377"/>
      <c r="H104" s="1377"/>
      <c r="I104" s="1377"/>
      <c r="J104" s="1377"/>
      <c r="K104" s="1377"/>
      <c r="L104" s="1377"/>
      <c r="M104" s="1377"/>
      <c r="N104" s="1377"/>
      <c r="O104" s="1377"/>
      <c r="P104" s="1377"/>
      <c r="Q104" s="1364" t="str">
        <f ca="1">'Calculos(2)'!BK359</f>
        <v>-</v>
      </c>
      <c r="R104" s="1365"/>
      <c r="S104" s="1364" t="str">
        <f ca="1">'Calculos(2)'!BL359</f>
        <v>-</v>
      </c>
      <c r="T104" s="1365"/>
      <c r="U104" s="1364" t="str">
        <f ca="1">'Calculos(2)'!BM359</f>
        <v>-</v>
      </c>
      <c r="V104" s="1365"/>
      <c r="W104" s="1364" t="str">
        <f ca="1">'Calculos(2)'!BN359</f>
        <v>-</v>
      </c>
      <c r="X104" s="1365"/>
      <c r="Y104" s="1364" t="str">
        <f ca="1">'Calculos(2)'!BO359</f>
        <v>-</v>
      </c>
      <c r="Z104" s="1365"/>
      <c r="AA104" s="1364" t="str">
        <f ca="1">'Calculos(2)'!BP359</f>
        <v>-</v>
      </c>
      <c r="AB104" s="1365"/>
      <c r="AC104" s="1364" t="str">
        <f ca="1">'Calculos(2)'!BQ359</f>
        <v>-</v>
      </c>
      <c r="AD104" s="1365"/>
      <c r="AE104" s="1364" t="str">
        <f ca="1">'Calculos(2)'!BR359</f>
        <v>-</v>
      </c>
      <c r="AF104" s="1365"/>
      <c r="AG104" s="1364" t="str">
        <f ca="1">'Calculos(2)'!BS359</f>
        <v>-</v>
      </c>
      <c r="AH104" s="1365"/>
      <c r="AI104" s="1364" t="str">
        <f ca="1">'Calculos(2)'!BT359</f>
        <v>-</v>
      </c>
      <c r="AJ104" s="1365"/>
      <c r="AK104" s="1364" t="str">
        <f ca="1">'Calculos(2)'!BU359</f>
        <v>-</v>
      </c>
      <c r="AL104" s="1365"/>
      <c r="AM104" s="1364" t="str">
        <f ca="1">'Calculos(2)'!BV359</f>
        <v>-</v>
      </c>
      <c r="AN104" s="1365"/>
      <c r="AO104" s="1364" t="str">
        <f ca="1">'Calculos(2)'!BW359</f>
        <v>-</v>
      </c>
      <c r="AP104" s="1365"/>
      <c r="AQ104" s="1364" t="str">
        <f ca="1">'Calculos(2)'!BX359</f>
        <v>-</v>
      </c>
      <c r="AR104" s="1365"/>
      <c r="AS104" s="1364" t="str">
        <f ca="1">'Calculos(2)'!BY359</f>
        <v>-</v>
      </c>
      <c r="AT104" s="1365"/>
      <c r="AU104" s="1364" t="str">
        <f ca="1">'Calculos(2)'!BZ359</f>
        <v>-</v>
      </c>
      <c r="AV104" s="1365"/>
      <c r="AW104" s="1364" t="str">
        <f ca="1">'Calculos(2)'!CA359</f>
        <v>-</v>
      </c>
      <c r="AX104" s="1365"/>
      <c r="AY104" s="1364" t="str">
        <f ca="1">'Calculos(2)'!CB359</f>
        <v>-</v>
      </c>
      <c r="AZ104" s="1365"/>
      <c r="BA104" s="1364" t="str">
        <f ca="1">'Calculos(2)'!CC359</f>
        <v>-</v>
      </c>
      <c r="BB104" s="1365"/>
      <c r="BC104" s="1364" t="str">
        <f ca="1">'Calculos(2)'!CD359</f>
        <v>-</v>
      </c>
      <c r="BD104" s="1365"/>
    </row>
    <row r="105" spans="1:118" ht="30" customHeight="1" outlineLevel="1" x14ac:dyDescent="0.25">
      <c r="A105" s="18"/>
      <c r="B105" s="18"/>
      <c r="C105" s="18"/>
      <c r="D105" s="1"/>
      <c r="E105" s="314"/>
      <c r="F105" s="1377" t="s">
        <v>6059</v>
      </c>
      <c r="G105" s="1377"/>
      <c r="H105" s="1377"/>
      <c r="I105" s="1377"/>
      <c r="J105" s="1377"/>
      <c r="K105" s="1377"/>
      <c r="L105" s="1377"/>
      <c r="M105" s="1377"/>
      <c r="N105" s="1377"/>
      <c r="O105" s="1377"/>
      <c r="P105" s="1377"/>
      <c r="Q105" s="1364" t="str">
        <f ca="1">'Calculos(2)'!BK372</f>
        <v>-</v>
      </c>
      <c r="R105" s="1365"/>
      <c r="S105" s="1364" t="str">
        <f ca="1">'Calculos(2)'!BL372</f>
        <v>-</v>
      </c>
      <c r="T105" s="1365"/>
      <c r="U105" s="1364" t="str">
        <f ca="1">'Calculos(2)'!BM372</f>
        <v>-</v>
      </c>
      <c r="V105" s="1365"/>
      <c r="W105" s="1364" t="str">
        <f ca="1">'Calculos(2)'!BN372</f>
        <v>-</v>
      </c>
      <c r="X105" s="1365"/>
      <c r="Y105" s="1364" t="str">
        <f ca="1">'Calculos(2)'!BO372</f>
        <v>-</v>
      </c>
      <c r="Z105" s="1365"/>
      <c r="AA105" s="1364" t="str">
        <f ca="1">'Calculos(2)'!BP372</f>
        <v>-</v>
      </c>
      <c r="AB105" s="1365"/>
      <c r="AC105" s="1364" t="str">
        <f ca="1">'Calculos(2)'!BQ372</f>
        <v>-</v>
      </c>
      <c r="AD105" s="1365"/>
      <c r="AE105" s="1364" t="str">
        <f ca="1">'Calculos(2)'!BR372</f>
        <v>-</v>
      </c>
      <c r="AF105" s="1365"/>
      <c r="AG105" s="1364" t="str">
        <f ca="1">'Calculos(2)'!BS372</f>
        <v>-</v>
      </c>
      <c r="AH105" s="1365"/>
      <c r="AI105" s="1364" t="str">
        <f ca="1">'Calculos(2)'!BT372</f>
        <v>-</v>
      </c>
      <c r="AJ105" s="1365"/>
      <c r="AK105" s="1364" t="str">
        <f ca="1">'Calculos(2)'!BU372</f>
        <v>-</v>
      </c>
      <c r="AL105" s="1365"/>
      <c r="AM105" s="1364" t="str">
        <f ca="1">'Calculos(2)'!BV372</f>
        <v>-</v>
      </c>
      <c r="AN105" s="1365"/>
      <c r="AO105" s="1364" t="str">
        <f ca="1">'Calculos(2)'!BW372</f>
        <v>-</v>
      </c>
      <c r="AP105" s="1365"/>
      <c r="AQ105" s="1364" t="str">
        <f ca="1">'Calculos(2)'!BX372</f>
        <v>-</v>
      </c>
      <c r="AR105" s="1365"/>
      <c r="AS105" s="1364" t="str">
        <f ca="1">'Calculos(2)'!BY372</f>
        <v>-</v>
      </c>
      <c r="AT105" s="1365"/>
      <c r="AU105" s="1364" t="str">
        <f ca="1">'Calculos(2)'!BZ372</f>
        <v>-</v>
      </c>
      <c r="AV105" s="1365"/>
      <c r="AW105" s="1364" t="str">
        <f ca="1">'Calculos(2)'!CA372</f>
        <v>-</v>
      </c>
      <c r="AX105" s="1365"/>
      <c r="AY105" s="1364" t="str">
        <f ca="1">'Calculos(2)'!CB372</f>
        <v>-</v>
      </c>
      <c r="AZ105" s="1365"/>
      <c r="BA105" s="1364" t="str">
        <f ca="1">'Calculos(2)'!CC372</f>
        <v>-</v>
      </c>
      <c r="BB105" s="1365"/>
      <c r="BC105" s="1364" t="str">
        <f ca="1">'Calculos(2)'!CD372</f>
        <v>-</v>
      </c>
      <c r="BD105" s="1365"/>
    </row>
    <row r="106" spans="1:118" ht="20.100000000000001" customHeight="1" outlineLevel="1" x14ac:dyDescent="0.25">
      <c r="A106" s="18"/>
      <c r="B106" s="18"/>
      <c r="C106" s="18"/>
      <c r="D106" s="1"/>
      <c r="E106" s="314"/>
      <c r="F106" s="314"/>
      <c r="G106" s="314"/>
      <c r="H106" s="314"/>
      <c r="I106" s="314"/>
      <c r="J106" s="314"/>
      <c r="K106" s="314"/>
      <c r="L106" s="314"/>
      <c r="M106" s="314"/>
      <c r="N106" s="2"/>
      <c r="O106" s="2"/>
      <c r="P106" s="2"/>
      <c r="Q106" s="249" t="s">
        <v>6036</v>
      </c>
      <c r="R106" s="2"/>
      <c r="S106" s="2"/>
      <c r="T106" s="2"/>
      <c r="U106" s="2"/>
      <c r="V106" s="2"/>
      <c r="W106" s="249"/>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118" ht="20.100000000000001" customHeight="1" x14ac:dyDescent="0.25">
      <c r="A107" s="18"/>
      <c r="B107" s="18"/>
      <c r="C107" s="18"/>
      <c r="D107" s="1"/>
      <c r="E107" s="7"/>
      <c r="F107" s="1"/>
      <c r="G107" s="1"/>
      <c r="H107" s="1"/>
      <c r="I107" s="1"/>
      <c r="J107" s="1"/>
      <c r="K107" s="1"/>
      <c r="L107" s="1"/>
      <c r="M107" s="1"/>
      <c r="N107" s="1"/>
      <c r="O107" s="1"/>
      <c r="P107" s="1"/>
      <c r="Q107" s="1"/>
      <c r="R107" s="1"/>
      <c r="S107" s="1"/>
      <c r="T107" s="1"/>
      <c r="U107" s="1"/>
      <c r="V107" s="1"/>
      <c r="W107" s="316"/>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row>
    <row r="108" spans="1:118" ht="20.100000000000001" customHeight="1" x14ac:dyDescent="0.25">
      <c r="A108" s="18"/>
      <c r="B108" s="18"/>
      <c r="C108" s="18"/>
      <c r="D108" s="1"/>
      <c r="E108" s="2"/>
      <c r="F108" s="2"/>
      <c r="G108" s="2"/>
      <c r="H108" s="2"/>
      <c r="I108" s="2"/>
      <c r="J108" s="2"/>
      <c r="K108" s="2"/>
      <c r="L108" s="2"/>
      <c r="M108" s="2"/>
      <c r="N108" s="2"/>
      <c r="O108" s="2"/>
      <c r="P108" s="2"/>
      <c r="Q108" s="2"/>
      <c r="R108" s="2"/>
      <c r="S108" s="2"/>
      <c r="T108" s="2"/>
      <c r="U108" s="2"/>
      <c r="V108" s="2"/>
      <c r="W108" s="249"/>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118" ht="20.100000000000001" customHeight="1" x14ac:dyDescent="0.25">
      <c r="A109" s="18"/>
      <c r="B109" s="18"/>
      <c r="C109" s="18"/>
      <c r="D109" s="1"/>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118" ht="20.100000000000001" customHeight="1" x14ac:dyDescent="0.25">
      <c r="A110" s="18"/>
      <c r="B110" s="18"/>
      <c r="C110" s="18"/>
      <c r="D110" s="1"/>
      <c r="E110" s="2"/>
      <c r="F110" s="1149" t="s">
        <v>89</v>
      </c>
      <c r="G110" s="1094"/>
      <c r="H110" s="1094"/>
      <c r="I110" s="1094"/>
      <c r="J110" s="1094"/>
      <c r="K110" s="1094"/>
      <c r="L110" s="1104"/>
      <c r="M110" s="148" t="s">
        <v>186</v>
      </c>
      <c r="N110" s="1259"/>
      <c r="O110" s="1260"/>
      <c r="P110" s="1260"/>
      <c r="Q110" s="1260"/>
      <c r="R110" s="1260"/>
      <c r="S110" s="1261"/>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118" ht="20.100000000000001" customHeight="1" x14ac:dyDescent="0.25">
      <c r="A111" s="18"/>
      <c r="B111" s="18"/>
      <c r="C111" s="18"/>
      <c r="D111" s="1"/>
      <c r="E111" s="2"/>
      <c r="F111" s="1149" t="s">
        <v>352</v>
      </c>
      <c r="G111" s="1094"/>
      <c r="H111" s="1094"/>
      <c r="I111" s="1094"/>
      <c r="J111" s="1094"/>
      <c r="K111" s="1094"/>
      <c r="L111" s="1104"/>
      <c r="M111" s="148" t="s">
        <v>186</v>
      </c>
      <c r="N111" s="1259"/>
      <c r="O111" s="1260"/>
      <c r="P111" s="1260"/>
      <c r="Q111" s="1260"/>
      <c r="R111" s="1260"/>
      <c r="S111" s="1261"/>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118" ht="30" customHeight="1" x14ac:dyDescent="0.25">
      <c r="A112" s="18"/>
      <c r="B112" s="18"/>
      <c r="C112" s="18"/>
      <c r="D112" s="1"/>
      <c r="E112" s="2"/>
      <c r="F112" s="1149" t="s">
        <v>130</v>
      </c>
      <c r="G112" s="1094"/>
      <c r="H112" s="1094"/>
      <c r="I112" s="1094"/>
      <c r="J112" s="1094"/>
      <c r="K112" s="1094"/>
      <c r="L112" s="1094"/>
      <c r="M112" s="148" t="s">
        <v>186</v>
      </c>
      <c r="N112" s="1417"/>
      <c r="O112" s="1418"/>
      <c r="P112" s="1418"/>
      <c r="Q112" s="1418"/>
      <c r="R112" s="1418"/>
      <c r="S112" s="1418"/>
      <c r="T112" s="1418"/>
      <c r="U112" s="1418"/>
      <c r="V112" s="1418"/>
      <c r="W112" s="1418"/>
      <c r="X112" s="1418"/>
      <c r="Y112" s="1418"/>
      <c r="Z112" s="1418"/>
      <c r="AA112" s="1418"/>
      <c r="AB112" s="1418"/>
      <c r="AC112" s="1418"/>
      <c r="AD112" s="1418"/>
      <c r="AE112" s="1418"/>
      <c r="AF112" s="1418"/>
      <c r="AG112" s="1418"/>
      <c r="AH112" s="1418"/>
      <c r="AI112" s="1418"/>
      <c r="AJ112" s="1418"/>
      <c r="AK112" s="1418"/>
      <c r="AL112" s="1418"/>
      <c r="AM112" s="1419"/>
      <c r="AN112" s="124"/>
      <c r="AO112" s="124"/>
      <c r="AP112" s="124"/>
      <c r="AQ112" s="124"/>
      <c r="AR112" s="124"/>
      <c r="AS112" s="124"/>
      <c r="AT112" s="124"/>
      <c r="AU112" s="124"/>
      <c r="AV112" s="124"/>
      <c r="AW112" s="124"/>
      <c r="AX112" s="124"/>
      <c r="AY112" s="124"/>
      <c r="AZ112" s="124"/>
      <c r="BA112" s="2"/>
      <c r="BB112" s="2"/>
      <c r="BC112" s="2"/>
      <c r="BD112" s="2"/>
      <c r="BE112" s="2"/>
    </row>
    <row r="113" spans="1:118" ht="20.100000000000001" customHeight="1" x14ac:dyDescent="0.25">
      <c r="A113" s="18"/>
      <c r="B113" s="18"/>
      <c r="C113" s="18"/>
      <c r="D113" s="1"/>
      <c r="E113" s="2"/>
      <c r="F113" s="1149" t="s">
        <v>83</v>
      </c>
      <c r="G113" s="1094"/>
      <c r="H113" s="1094"/>
      <c r="I113" s="1094"/>
      <c r="J113" s="1094"/>
      <c r="K113" s="1094"/>
      <c r="L113" s="1104"/>
      <c r="M113" s="148" t="s">
        <v>186</v>
      </c>
      <c r="N113" s="1413"/>
      <c r="O113" s="1414"/>
      <c r="P113" s="1414"/>
      <c r="Q113" s="1414"/>
      <c r="R113" s="1414"/>
      <c r="S113" s="1414"/>
      <c r="T113" s="1414"/>
      <c r="U113" s="1414"/>
      <c r="V113" s="1414"/>
      <c r="W113" s="1414"/>
      <c r="X113" s="1415"/>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118" ht="20.100000000000001" customHeight="1" x14ac:dyDescent="0.25">
      <c r="A114" s="18"/>
      <c r="B114" s="18"/>
      <c r="C114" s="18"/>
      <c r="D114" s="1"/>
      <c r="E114" s="2"/>
      <c r="F114" s="1149" t="s">
        <v>100</v>
      </c>
      <c r="G114" s="1094"/>
      <c r="H114" s="1094"/>
      <c r="I114" s="1094"/>
      <c r="J114" s="1094"/>
      <c r="K114" s="1094"/>
      <c r="L114" s="1104"/>
      <c r="M114" s="148" t="s">
        <v>186</v>
      </c>
      <c r="N114" s="1413"/>
      <c r="O114" s="1414"/>
      <c r="P114" s="1414"/>
      <c r="Q114" s="1414"/>
      <c r="R114" s="1414"/>
      <c r="S114" s="1414"/>
      <c r="T114" s="1414"/>
      <c r="U114" s="1414"/>
      <c r="V114" s="1414"/>
      <c r="W114" s="1414"/>
      <c r="X114" s="1415"/>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118" ht="20.100000000000001" hidden="1" customHeight="1" x14ac:dyDescent="0.25">
      <c r="A115" s="18"/>
      <c r="B115" s="18"/>
      <c r="C115" s="18"/>
      <c r="D115" s="1"/>
      <c r="E115" s="2"/>
    </row>
    <row r="116" spans="1:118" ht="20.100000000000001" hidden="1" customHeight="1" x14ac:dyDescent="0.25">
      <c r="A116" s="18"/>
      <c r="B116" s="18"/>
      <c r="C116" s="18"/>
      <c r="D116" s="1"/>
      <c r="E116" s="2"/>
    </row>
    <row r="117" spans="1:118" ht="20.100000000000001" hidden="1" customHeight="1" x14ac:dyDescent="0.25">
      <c r="A117" s="18"/>
      <c r="B117" s="18"/>
      <c r="C117" s="18"/>
      <c r="D117" s="1"/>
      <c r="E117" s="2"/>
    </row>
    <row r="118" spans="1:118" ht="20.100000000000001" hidden="1" customHeight="1" x14ac:dyDescent="0.25">
      <c r="A118" s="18"/>
      <c r="B118" s="18"/>
      <c r="C118" s="18"/>
      <c r="D118" s="1"/>
      <c r="E118" s="2"/>
    </row>
    <row r="119" spans="1:118" ht="20.100000000000001" hidden="1" customHeight="1" x14ac:dyDescent="0.25">
      <c r="A119" s="18"/>
      <c r="B119" s="18"/>
      <c r="C119" s="18"/>
      <c r="D119" s="1"/>
      <c r="E119" s="2"/>
    </row>
    <row r="120" spans="1:118" ht="20.100000000000001" hidden="1" customHeight="1" x14ac:dyDescent="0.25">
      <c r="A120" s="18"/>
      <c r="B120" s="18"/>
      <c r="C120" s="18"/>
      <c r="D120" s="1"/>
      <c r="E120" s="2"/>
    </row>
    <row r="121" spans="1:118" ht="20.100000000000001" hidden="1" customHeight="1" x14ac:dyDescent="0.25">
      <c r="A121" s="18"/>
      <c r="B121" s="18"/>
      <c r="C121" s="18"/>
      <c r="D121" s="1"/>
      <c r="E121" s="2"/>
    </row>
    <row r="122" spans="1:118" ht="20.100000000000001" customHeight="1" x14ac:dyDescent="0.25">
      <c r="A122" s="18"/>
      <c r="B122" s="18"/>
      <c r="C122" s="18"/>
      <c r="D122" s="1"/>
      <c r="E122" s="2"/>
    </row>
    <row r="123" spans="1:118" ht="21.95" customHeight="1" x14ac:dyDescent="0.25">
      <c r="A123" s="18"/>
      <c r="B123" s="18"/>
      <c r="C123" s="18"/>
      <c r="D123" s="1"/>
      <c r="E123" s="2"/>
      <c r="F123" s="1403" t="s">
        <v>8530</v>
      </c>
      <c r="G123" s="1404"/>
      <c r="H123" s="1404"/>
      <c r="I123" s="1404"/>
      <c r="J123" s="1404"/>
      <c r="K123" s="1404"/>
      <c r="L123" s="1404"/>
      <c r="M123" s="1405"/>
      <c r="N123" s="1399" t="s">
        <v>90</v>
      </c>
      <c r="O123" s="1400"/>
      <c r="P123" s="1392" t="str">
        <f ca="1">'Calculos(2)'!CP36</f>
        <v>---</v>
      </c>
      <c r="Q123" s="1392"/>
      <c r="R123" s="1392"/>
      <c r="S123" s="1392"/>
      <c r="T123" s="1412" t="s">
        <v>95</v>
      </c>
      <c r="U123" s="1412"/>
      <c r="V123" s="1412"/>
      <c r="W123" s="1412"/>
      <c r="X123" s="1412"/>
      <c r="Y123" s="1392" t="str">
        <f ca="1">'Calculos(2)'!CR36</f>
        <v>---</v>
      </c>
      <c r="Z123" s="1392"/>
      <c r="AA123" s="1392"/>
      <c r="AB123" s="1392"/>
      <c r="AC123" s="2"/>
      <c r="AD123" s="2"/>
      <c r="AE123" s="2"/>
      <c r="AF123" s="2"/>
      <c r="AG123" s="2"/>
      <c r="AH123" s="2"/>
      <c r="AI123" s="2"/>
      <c r="AJ123" s="2"/>
      <c r="AK123" s="2"/>
      <c r="AL123" s="2"/>
      <c r="AM123" s="2"/>
      <c r="AN123" s="2"/>
      <c r="AO123" s="2"/>
      <c r="AP123" s="2"/>
      <c r="AQ123" s="2"/>
      <c r="AR123" s="2"/>
      <c r="AS123" s="2"/>
      <c r="AT123" s="2"/>
      <c r="AU123" s="3"/>
      <c r="AV123" s="3"/>
      <c r="AW123" s="2"/>
      <c r="AX123" s="2"/>
      <c r="AY123" s="2"/>
      <c r="AZ123" s="2"/>
      <c r="BA123" s="2"/>
      <c r="BB123" s="2"/>
      <c r="BC123" s="2"/>
      <c r="BD123" s="2"/>
      <c r="BE123" s="2"/>
    </row>
    <row r="124" spans="1:118" ht="21.95" customHeight="1" x14ac:dyDescent="0.25">
      <c r="A124" s="18"/>
      <c r="B124" s="18"/>
      <c r="C124" s="18"/>
      <c r="D124" s="1"/>
      <c r="E124" s="2"/>
      <c r="F124" s="1406"/>
      <c r="G124" s="1383"/>
      <c r="H124" s="1383"/>
      <c r="I124" s="1383"/>
      <c r="J124" s="1383"/>
      <c r="K124" s="1383"/>
      <c r="L124" s="1383"/>
      <c r="M124" s="1407"/>
      <c r="N124" s="1401" t="s">
        <v>91</v>
      </c>
      <c r="O124" s="1402"/>
      <c r="P124" s="1392" t="str">
        <f ca="1">'Calculos(2)'!CP37</f>
        <v>---</v>
      </c>
      <c r="Q124" s="1392"/>
      <c r="R124" s="1392"/>
      <c r="S124" s="1392"/>
      <c r="T124" s="1411" t="s">
        <v>96</v>
      </c>
      <c r="U124" s="1411"/>
      <c r="V124" s="1411"/>
      <c r="W124" s="1411"/>
      <c r="X124" s="1411"/>
      <c r="Y124" s="1392" t="str">
        <f ca="1">'Calculos(2)'!CR37</f>
        <v>---</v>
      </c>
      <c r="Z124" s="1392"/>
      <c r="AA124" s="1392"/>
      <c r="AB124" s="139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118" ht="21.95" customHeight="1" x14ac:dyDescent="0.25">
      <c r="A125" s="18"/>
      <c r="B125" s="18"/>
      <c r="C125" s="18"/>
      <c r="D125" s="1"/>
      <c r="E125" s="2"/>
      <c r="F125" s="1406"/>
      <c r="G125" s="1383"/>
      <c r="H125" s="1383"/>
      <c r="I125" s="1383"/>
      <c r="J125" s="1383"/>
      <c r="K125" s="1383"/>
      <c r="L125" s="1383"/>
      <c r="M125" s="1407"/>
      <c r="N125" s="1401" t="s">
        <v>92</v>
      </c>
      <c r="O125" s="1402"/>
      <c r="P125" s="1392" t="str">
        <f ca="1">'Calculos(2)'!CP38</f>
        <v>---</v>
      </c>
      <c r="Q125" s="1392"/>
      <c r="R125" s="1392"/>
      <c r="S125" s="1392"/>
      <c r="T125" s="1411" t="s">
        <v>97</v>
      </c>
      <c r="U125" s="1411"/>
      <c r="V125" s="1411"/>
      <c r="W125" s="1411"/>
      <c r="X125" s="1411"/>
      <c r="Y125" s="1392" t="str">
        <f ca="1">'Calculos(2)'!CR38</f>
        <v>---</v>
      </c>
      <c r="Z125" s="1392"/>
      <c r="AA125" s="1392"/>
      <c r="AB125" s="1392"/>
      <c r="AC125" s="2"/>
      <c r="AD125" s="1387"/>
      <c r="AE125" s="1387"/>
      <c r="AF125" s="1387"/>
      <c r="AG125" s="1387"/>
      <c r="AH125" s="1387"/>
      <c r="AI125" s="1387"/>
      <c r="AJ125" s="1387"/>
      <c r="AK125" s="1387"/>
      <c r="AL125" s="3"/>
      <c r="AM125" s="2"/>
      <c r="AN125" s="2"/>
      <c r="AO125" s="2"/>
      <c r="AP125" s="2"/>
      <c r="AQ125" s="2"/>
      <c r="AR125" s="2"/>
      <c r="AS125" s="2"/>
      <c r="AT125" s="2"/>
      <c r="AU125" s="2"/>
      <c r="AV125" s="2"/>
      <c r="AW125" s="2"/>
      <c r="AX125" s="2"/>
      <c r="AY125" s="2"/>
      <c r="AZ125" s="2"/>
      <c r="BA125" s="2"/>
      <c r="BB125" s="2"/>
      <c r="BC125" s="2"/>
      <c r="BD125" s="2"/>
      <c r="BE125" s="124"/>
    </row>
    <row r="126" spans="1:118" ht="21.95" customHeight="1" x14ac:dyDescent="0.25">
      <c r="A126" s="18"/>
      <c r="B126" s="18"/>
      <c r="C126" s="18"/>
      <c r="D126" s="1"/>
      <c r="E126" s="2"/>
      <c r="F126" s="1406"/>
      <c r="G126" s="1383"/>
      <c r="H126" s="1383"/>
      <c r="I126" s="1383"/>
      <c r="J126" s="1383"/>
      <c r="K126" s="1383"/>
      <c r="L126" s="1383"/>
      <c r="M126" s="1407"/>
      <c r="N126" s="1401" t="s">
        <v>93</v>
      </c>
      <c r="O126" s="1402"/>
      <c r="P126" s="1392" t="str">
        <f ca="1">'Calculos(2)'!CP39</f>
        <v>---</v>
      </c>
      <c r="Q126" s="1392"/>
      <c r="R126" s="1392"/>
      <c r="S126" s="1392"/>
      <c r="T126" s="1411" t="s">
        <v>98</v>
      </c>
      <c r="U126" s="1411"/>
      <c r="V126" s="1411"/>
      <c r="W126" s="1411"/>
      <c r="X126" s="1411"/>
      <c r="Y126" s="1392" t="str">
        <f ca="1">'Calculos(2)'!CR39</f>
        <v>---</v>
      </c>
      <c r="Z126" s="1392"/>
      <c r="AA126" s="1392"/>
      <c r="AB126" s="1392"/>
      <c r="AC126" s="2"/>
      <c r="AD126" s="1387"/>
      <c r="AE126" s="1387"/>
      <c r="AF126" s="1387"/>
      <c r="AG126" s="1387"/>
      <c r="AH126" s="1387"/>
      <c r="AI126" s="1387"/>
      <c r="AJ126" s="1387"/>
      <c r="AK126" s="1387"/>
      <c r="AL126" s="3"/>
      <c r="AM126" s="2"/>
      <c r="AN126" s="2"/>
      <c r="AO126" s="2"/>
      <c r="AP126" s="2"/>
      <c r="AQ126" s="2"/>
      <c r="AR126" s="2"/>
      <c r="AS126" s="2"/>
      <c r="AT126" s="2"/>
      <c r="AU126" s="2"/>
      <c r="AV126" s="2"/>
      <c r="AW126" s="2"/>
      <c r="AX126" s="2"/>
      <c r="AY126" s="2"/>
      <c r="AZ126" s="2"/>
      <c r="BA126" s="2"/>
      <c r="BB126" s="2"/>
      <c r="BC126" s="2"/>
      <c r="BD126" s="2"/>
      <c r="BE126" s="2"/>
    </row>
    <row r="127" spans="1:118" ht="21.95" customHeight="1" x14ac:dyDescent="0.25">
      <c r="A127" s="18"/>
      <c r="B127" s="18"/>
      <c r="C127" s="18"/>
      <c r="D127" s="1"/>
      <c r="E127" s="2"/>
      <c r="F127" s="1408"/>
      <c r="G127" s="1409"/>
      <c r="H127" s="1409"/>
      <c r="I127" s="1409"/>
      <c r="J127" s="1409"/>
      <c r="K127" s="1409"/>
      <c r="L127" s="1409"/>
      <c r="M127" s="1410"/>
      <c r="N127" s="1360" t="s">
        <v>94</v>
      </c>
      <c r="O127" s="1424"/>
      <c r="P127" s="1392" t="str">
        <f ca="1">'Calculos(2)'!CP40</f>
        <v>---</v>
      </c>
      <c r="Q127" s="1392"/>
      <c r="R127" s="1392"/>
      <c r="S127" s="1392"/>
      <c r="T127" s="1416" t="s">
        <v>99</v>
      </c>
      <c r="U127" s="1416"/>
      <c r="V127" s="1416"/>
      <c r="W127" s="1416"/>
      <c r="X127" s="1416"/>
      <c r="Y127" s="1392" t="str">
        <f ca="1">'Calculos(2)'!CR40</f>
        <v>---</v>
      </c>
      <c r="Z127" s="1392"/>
      <c r="AA127" s="1392"/>
      <c r="AB127" s="1392"/>
      <c r="AC127" s="2"/>
      <c r="AD127" s="1387"/>
      <c r="AE127" s="1387"/>
      <c r="AF127" s="1387"/>
      <c r="AG127" s="1387"/>
      <c r="AH127" s="1387"/>
      <c r="AI127" s="1387"/>
      <c r="AJ127" s="1387"/>
      <c r="AK127" s="1387"/>
      <c r="AL127" s="3"/>
      <c r="AM127" s="2"/>
      <c r="AN127" s="2"/>
      <c r="AO127" s="2"/>
      <c r="AP127" s="2"/>
      <c r="AQ127" s="2"/>
      <c r="AR127" s="2"/>
      <c r="AS127" s="2"/>
      <c r="AT127" s="2"/>
      <c r="AU127" s="2"/>
      <c r="AV127" s="2"/>
      <c r="AW127" s="2"/>
      <c r="AX127" s="2"/>
      <c r="AY127" s="2"/>
      <c r="AZ127" s="2"/>
      <c r="BA127" s="2"/>
      <c r="BB127" s="2"/>
      <c r="BC127" s="2"/>
      <c r="BD127" s="2"/>
      <c r="BE127" s="2"/>
    </row>
    <row r="128" spans="1:118" ht="39.950000000000003" customHeight="1" x14ac:dyDescent="0.25">
      <c r="A128" s="18"/>
      <c r="B128" s="18"/>
      <c r="C128" s="18"/>
      <c r="D128" s="1"/>
      <c r="E128" s="2"/>
      <c r="F128" s="281" t="s">
        <v>8649</v>
      </c>
      <c r="G128" s="226" t="s">
        <v>8651</v>
      </c>
      <c r="H128" s="314"/>
      <c r="I128" s="314"/>
      <c r="J128" s="314"/>
      <c r="K128" s="314"/>
      <c r="L128" s="314"/>
      <c r="M128" s="314"/>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CA128" s="1360" t="s">
        <v>90</v>
      </c>
      <c r="CB128" s="1361"/>
      <c r="CC128" s="1360" t="s">
        <v>90</v>
      </c>
      <c r="CD128" s="1361"/>
      <c r="CE128" s="1360" t="s">
        <v>91</v>
      </c>
      <c r="CF128" s="1361"/>
      <c r="CG128" s="1360" t="s">
        <v>91</v>
      </c>
      <c r="CH128" s="1361"/>
      <c r="CI128" s="1360" t="s">
        <v>92</v>
      </c>
      <c r="CJ128" s="1361"/>
      <c r="CK128" s="1360" t="s">
        <v>92</v>
      </c>
      <c r="CL128" s="1361"/>
      <c r="CM128" s="1360" t="s">
        <v>93</v>
      </c>
      <c r="CN128" s="1361"/>
      <c r="CO128" s="1360" t="s">
        <v>93</v>
      </c>
      <c r="CP128" s="1361"/>
      <c r="CQ128" s="1360" t="s">
        <v>94</v>
      </c>
      <c r="CR128" s="1361"/>
      <c r="CS128" s="1360" t="s">
        <v>94</v>
      </c>
      <c r="CT128" s="1361"/>
      <c r="CU128" s="1360" t="s">
        <v>95</v>
      </c>
      <c r="CV128" s="1361"/>
      <c r="CW128" s="1360" t="s">
        <v>95</v>
      </c>
      <c r="CX128" s="1361"/>
      <c r="CY128" s="1360" t="s">
        <v>96</v>
      </c>
      <c r="CZ128" s="1361"/>
      <c r="DA128" s="1360" t="s">
        <v>96</v>
      </c>
      <c r="DB128" s="1361"/>
      <c r="DC128" s="1360" t="s">
        <v>97</v>
      </c>
      <c r="DD128" s="1361"/>
      <c r="DE128" s="1360" t="s">
        <v>97</v>
      </c>
      <c r="DF128" s="1361"/>
      <c r="DG128" s="1360" t="s">
        <v>98</v>
      </c>
      <c r="DH128" s="1361"/>
      <c r="DI128" s="1360" t="s">
        <v>98</v>
      </c>
      <c r="DJ128" s="1361"/>
      <c r="DK128" s="1360" t="s">
        <v>8224</v>
      </c>
      <c r="DL128" s="1361"/>
      <c r="DM128" s="1360" t="s">
        <v>8224</v>
      </c>
      <c r="DN128" s="1361"/>
    </row>
    <row r="129" spans="1:118" ht="30" customHeight="1" outlineLevel="1" x14ac:dyDescent="0.25">
      <c r="A129" s="18"/>
      <c r="B129" s="18"/>
      <c r="C129" s="18"/>
      <c r="D129" s="1"/>
      <c r="E129" s="2"/>
      <c r="F129" s="2"/>
      <c r="G129" s="184"/>
      <c r="H129" s="184"/>
      <c r="I129" s="184"/>
      <c r="J129" s="184"/>
      <c r="K129" s="184"/>
      <c r="L129" s="184"/>
      <c r="M129" s="184"/>
      <c r="N129" s="27"/>
      <c r="O129" s="27"/>
      <c r="P129" s="27"/>
      <c r="Q129" s="1388" t="str">
        <f ca="1">IF(P123="---","-",N123)</f>
        <v>-</v>
      </c>
      <c r="R129" s="1388"/>
      <c r="S129" s="1388"/>
      <c r="T129" s="1388"/>
      <c r="U129" s="1385" t="str">
        <f ca="1">IF(P124="---","-",N124)</f>
        <v>-</v>
      </c>
      <c r="V129" s="1385"/>
      <c r="W129" s="1385"/>
      <c r="X129" s="1385"/>
      <c r="Y129" s="1385" t="str">
        <f ca="1">IF(P125="---","-",N125)</f>
        <v>-</v>
      </c>
      <c r="Z129" s="1385"/>
      <c r="AA129" s="1385"/>
      <c r="AB129" s="1385"/>
      <c r="AC129" s="1385" t="str">
        <f ca="1">IF(P126="---","-",N126)</f>
        <v>-</v>
      </c>
      <c r="AD129" s="1385"/>
      <c r="AE129" s="1385"/>
      <c r="AF129" s="1385"/>
      <c r="AG129" s="1385" t="str">
        <f ca="1">IF(P127="---","-",N127)</f>
        <v>-</v>
      </c>
      <c r="AH129" s="1385"/>
      <c r="AI129" s="1385"/>
      <c r="AJ129" s="1385"/>
      <c r="AK129" s="1385" t="str">
        <f ca="1">IF(Y123="---","-",T123)</f>
        <v>-</v>
      </c>
      <c r="AL129" s="1385"/>
      <c r="AM129" s="1385"/>
      <c r="AN129" s="1385"/>
      <c r="AO129" s="1385" t="str">
        <f ca="1">IF(Y124="---","-",T124)</f>
        <v>-</v>
      </c>
      <c r="AP129" s="1385"/>
      <c r="AQ129" s="1385"/>
      <c r="AR129" s="1385"/>
      <c r="AS129" s="1385" t="str">
        <f ca="1">IF(Y125="---","-",T125)</f>
        <v>-</v>
      </c>
      <c r="AT129" s="1385"/>
      <c r="AU129" s="1385"/>
      <c r="AV129" s="1385"/>
      <c r="AW129" s="1385" t="str">
        <f ca="1">IF(Y126="---","-",T126)</f>
        <v>-</v>
      </c>
      <c r="AX129" s="1385"/>
      <c r="AY129" s="1385"/>
      <c r="AZ129" s="1385"/>
      <c r="BA129" s="1385" t="str">
        <f ca="1">IF(Y127="---","-",T127)</f>
        <v>-</v>
      </c>
      <c r="BB129" s="1385"/>
      <c r="BC129" s="1385"/>
      <c r="BD129" s="1385"/>
      <c r="CA129" s="1355">
        <f>INT(RIGHT(VLOOKUP(CA128,'Calculos(2)'!$BH$490:$BI$500,2,0),1))</f>
        <v>2</v>
      </c>
      <c r="CB129" s="1356"/>
      <c r="CC129" s="1355">
        <f>INT(RIGHT(VLOOKUP(CC128,'Calculos(2)'!$BH$490:$BI$500,2,0),1))</f>
        <v>2</v>
      </c>
      <c r="CD129" s="1356"/>
      <c r="CE129" s="1355">
        <f>INT(RIGHT(VLOOKUP(CE128,'Calculos(2)'!$BH$490:$BI$500,2,0),1))</f>
        <v>2</v>
      </c>
      <c r="CF129" s="1356"/>
      <c r="CG129" s="1355">
        <f>INT(RIGHT(VLOOKUP(CG128,'Calculos(2)'!$BH$490:$BI$500,2,0),1))</f>
        <v>2</v>
      </c>
      <c r="CH129" s="1356"/>
      <c r="CI129" s="1355">
        <f>INT(RIGHT(VLOOKUP(CI128,'Calculos(2)'!$BH$490:$BI$500,2,0),1))</f>
        <v>2</v>
      </c>
      <c r="CJ129" s="1356"/>
      <c r="CK129" s="1355">
        <f>INT(RIGHT(VLOOKUP(CK128,'Calculos(2)'!$BH$490:$BI$500,2,0),1))</f>
        <v>2</v>
      </c>
      <c r="CL129" s="1356"/>
      <c r="CM129" s="1355">
        <f>INT(RIGHT(VLOOKUP(CM128,'Calculos(2)'!$BH$490:$BI$500,2,0),1))</f>
        <v>2</v>
      </c>
      <c r="CN129" s="1356"/>
      <c r="CO129" s="1355">
        <f>INT(RIGHT(VLOOKUP(CO128,'Calculos(2)'!$BH$490:$BI$500,2,0),1))</f>
        <v>2</v>
      </c>
      <c r="CP129" s="1356"/>
      <c r="CQ129" s="1355">
        <f>INT(RIGHT(VLOOKUP(CQ128,'Calculos(2)'!$BH$490:$BI$500,2,0),1))</f>
        <v>2</v>
      </c>
      <c r="CR129" s="1356"/>
      <c r="CS129" s="1355">
        <f>INT(RIGHT(VLOOKUP(CS128,'Calculos(2)'!$BH$490:$BI$500,2,0),1))</f>
        <v>2</v>
      </c>
      <c r="CT129" s="1356"/>
      <c r="CU129" s="1355">
        <f>INT(RIGHT(VLOOKUP(CU128,'Calculos(2)'!$BH$490:$BI$500,2,0),1))</f>
        <v>3</v>
      </c>
      <c r="CV129" s="1356"/>
      <c r="CW129" s="1355">
        <f>INT(RIGHT(VLOOKUP(CW128,'Calculos(2)'!$BH$490:$BI$500,2,0),1))</f>
        <v>3</v>
      </c>
      <c r="CX129" s="1356"/>
      <c r="CY129" s="1355">
        <f>INT(RIGHT(VLOOKUP(CY128,'Calculos(2)'!$BH$490:$BI$500,2,0),1))</f>
        <v>3</v>
      </c>
      <c r="CZ129" s="1356"/>
      <c r="DA129" s="1355">
        <f>INT(RIGHT(VLOOKUP(DA128,'Calculos(2)'!$BH$490:$BI$500,2,0),1))</f>
        <v>3</v>
      </c>
      <c r="DB129" s="1356"/>
      <c r="DC129" s="1355">
        <f>INT(RIGHT(VLOOKUP(DC128,'Calculos(2)'!$BH$490:$BI$500,2,0),1))</f>
        <v>3</v>
      </c>
      <c r="DD129" s="1356"/>
      <c r="DE129" s="1355">
        <f>INT(RIGHT(VLOOKUP(DE128,'Calculos(2)'!$BH$490:$BI$500,2,0),1))</f>
        <v>3</v>
      </c>
      <c r="DF129" s="1356"/>
      <c r="DG129" s="1355">
        <f>INT(RIGHT(VLOOKUP(DG128,'Calculos(2)'!$BH$490:$BI$500,2,0),1))</f>
        <v>2</v>
      </c>
      <c r="DH129" s="1356"/>
      <c r="DI129" s="1355">
        <f>INT(RIGHT(VLOOKUP(DI128,'Calculos(2)'!$BH$490:$BI$500,2,0),1))</f>
        <v>2</v>
      </c>
      <c r="DJ129" s="1356"/>
      <c r="DK129" s="1355">
        <f>INT(RIGHT(VLOOKUP(DK128,'Calculos(2)'!$BH$490:$BI$500,2,0),1))</f>
        <v>2</v>
      </c>
      <c r="DL129" s="1356"/>
      <c r="DM129" s="1355">
        <f>INT(RIGHT(VLOOKUP(DM128,'Calculos(2)'!$BH$490:$BI$500,2,0),1))</f>
        <v>2</v>
      </c>
      <c r="DN129" s="1356"/>
    </row>
    <row r="130" spans="1:118" ht="30" customHeight="1" outlineLevel="1" x14ac:dyDescent="0.25">
      <c r="A130" s="18"/>
      <c r="B130" s="18"/>
      <c r="C130" s="18"/>
      <c r="D130" s="1"/>
      <c r="E130" s="2"/>
      <c r="F130" s="2"/>
      <c r="G130" s="184"/>
      <c r="H130" s="184"/>
      <c r="I130" s="184"/>
      <c r="J130" s="184"/>
      <c r="K130" s="184"/>
      <c r="L130" s="184"/>
      <c r="M130" s="1386" t="s">
        <v>6037</v>
      </c>
      <c r="N130" s="1386"/>
      <c r="O130" s="1386"/>
      <c r="P130" s="1386"/>
      <c r="Q130" s="1357" t="s">
        <v>10</v>
      </c>
      <c r="R130" s="1358"/>
      <c r="S130" s="1358" t="s">
        <v>237</v>
      </c>
      <c r="T130" s="1359"/>
      <c r="U130" s="1357" t="s">
        <v>10</v>
      </c>
      <c r="V130" s="1358"/>
      <c r="W130" s="1358" t="s">
        <v>237</v>
      </c>
      <c r="X130" s="1359"/>
      <c r="Y130" s="1357" t="s">
        <v>10</v>
      </c>
      <c r="Z130" s="1358"/>
      <c r="AA130" s="1358" t="s">
        <v>237</v>
      </c>
      <c r="AB130" s="1359"/>
      <c r="AC130" s="1357" t="s">
        <v>10</v>
      </c>
      <c r="AD130" s="1358"/>
      <c r="AE130" s="1358" t="s">
        <v>237</v>
      </c>
      <c r="AF130" s="1359"/>
      <c r="AG130" s="1357" t="s">
        <v>10</v>
      </c>
      <c r="AH130" s="1358"/>
      <c r="AI130" s="1358" t="s">
        <v>237</v>
      </c>
      <c r="AJ130" s="1359"/>
      <c r="AK130" s="1357" t="s">
        <v>10</v>
      </c>
      <c r="AL130" s="1358"/>
      <c r="AM130" s="1358" t="s">
        <v>237</v>
      </c>
      <c r="AN130" s="1359"/>
      <c r="AO130" s="1357" t="s">
        <v>10</v>
      </c>
      <c r="AP130" s="1358"/>
      <c r="AQ130" s="1358" t="s">
        <v>237</v>
      </c>
      <c r="AR130" s="1359"/>
      <c r="AS130" s="1357" t="s">
        <v>10</v>
      </c>
      <c r="AT130" s="1358"/>
      <c r="AU130" s="1358" t="s">
        <v>237</v>
      </c>
      <c r="AV130" s="1359"/>
      <c r="AW130" s="1357" t="s">
        <v>10</v>
      </c>
      <c r="AX130" s="1358"/>
      <c r="AY130" s="1358" t="s">
        <v>237</v>
      </c>
      <c r="AZ130" s="1359"/>
      <c r="BA130" s="1357" t="s">
        <v>10</v>
      </c>
      <c r="BB130" s="1358"/>
      <c r="BC130" s="1358" t="s">
        <v>237</v>
      </c>
      <c r="BD130" s="1359"/>
      <c r="CA130" s="1357" t="s">
        <v>10</v>
      </c>
      <c r="CB130" s="1358"/>
      <c r="CC130" s="1358" t="s">
        <v>237</v>
      </c>
      <c r="CD130" s="1359"/>
      <c r="CE130" s="1357" t="s">
        <v>10</v>
      </c>
      <c r="CF130" s="1358"/>
      <c r="CG130" s="1358" t="s">
        <v>237</v>
      </c>
      <c r="CH130" s="1359"/>
      <c r="CI130" s="1357" t="s">
        <v>10</v>
      </c>
      <c r="CJ130" s="1358"/>
      <c r="CK130" s="1358" t="s">
        <v>237</v>
      </c>
      <c r="CL130" s="1359"/>
      <c r="CM130" s="1357" t="s">
        <v>10</v>
      </c>
      <c r="CN130" s="1358"/>
      <c r="CO130" s="1358" t="s">
        <v>237</v>
      </c>
      <c r="CP130" s="1359"/>
      <c r="CQ130" s="1357" t="s">
        <v>10</v>
      </c>
      <c r="CR130" s="1358"/>
      <c r="CS130" s="1358" t="s">
        <v>237</v>
      </c>
      <c r="CT130" s="1359"/>
      <c r="CU130" s="1357" t="s">
        <v>10</v>
      </c>
      <c r="CV130" s="1358"/>
      <c r="CW130" s="1358" t="s">
        <v>237</v>
      </c>
      <c r="CX130" s="1359"/>
      <c r="CY130" s="1357" t="s">
        <v>10</v>
      </c>
      <c r="CZ130" s="1358"/>
      <c r="DA130" s="1358" t="s">
        <v>237</v>
      </c>
      <c r="DB130" s="1359"/>
      <c r="DC130" s="1357" t="s">
        <v>10</v>
      </c>
      <c r="DD130" s="1358"/>
      <c r="DE130" s="1358" t="s">
        <v>237</v>
      </c>
      <c r="DF130" s="1359"/>
      <c r="DG130" s="1357" t="s">
        <v>10</v>
      </c>
      <c r="DH130" s="1358"/>
      <c r="DI130" s="1358" t="s">
        <v>237</v>
      </c>
      <c r="DJ130" s="1359"/>
      <c r="DK130" s="1357" t="s">
        <v>10</v>
      </c>
      <c r="DL130" s="1358"/>
      <c r="DM130" s="1358" t="s">
        <v>237</v>
      </c>
      <c r="DN130" s="1359"/>
    </row>
    <row r="131" spans="1:118" ht="20.100000000000001" customHeight="1" outlineLevel="1" x14ac:dyDescent="0.25">
      <c r="A131" s="18"/>
      <c r="B131" s="18"/>
      <c r="C131" s="18"/>
      <c r="D131" s="1"/>
      <c r="E131" s="2"/>
      <c r="F131" s="1377" t="s">
        <v>239</v>
      </c>
      <c r="G131" s="1377"/>
      <c r="H131" s="1377"/>
      <c r="I131" s="1377"/>
      <c r="J131" s="1377"/>
      <c r="K131" s="1377"/>
      <c r="L131" s="1377"/>
      <c r="M131" s="1384" t="s">
        <v>7102</v>
      </c>
      <c r="N131" s="1384"/>
      <c r="O131" s="1384"/>
      <c r="P131" s="1384"/>
      <c r="Q131" s="1375" t="str">
        <f ca="1">'Calculos(2)'!BZ10</f>
        <v>-</v>
      </c>
      <c r="R131" s="1376"/>
      <c r="S131" s="1375" t="str">
        <f ca="1">'Calculos(2)'!BZ26</f>
        <v>-</v>
      </c>
      <c r="T131" s="1376"/>
      <c r="U131" s="1375" t="str">
        <f ca="1">'Calculos(2)'!BZ42</f>
        <v>-</v>
      </c>
      <c r="V131" s="1376"/>
      <c r="W131" s="1375" t="str">
        <f ca="1">'Calculos(2)'!BZ58</f>
        <v>-</v>
      </c>
      <c r="X131" s="1376"/>
      <c r="Y131" s="1375" t="str">
        <f ca="1">'Calculos(2)'!BZ74</f>
        <v>-</v>
      </c>
      <c r="Z131" s="1376"/>
      <c r="AA131" s="1375" t="str">
        <f ca="1">'Calculos(2)'!BZ90</f>
        <v>-</v>
      </c>
      <c r="AB131" s="1376"/>
      <c r="AC131" s="1375" t="str">
        <f ca="1">'Calculos(2)'!BZ106</f>
        <v>-</v>
      </c>
      <c r="AD131" s="1376"/>
      <c r="AE131" s="1375" t="str">
        <f ca="1">'Calculos(2)'!BZ122</f>
        <v>-</v>
      </c>
      <c r="AF131" s="1376"/>
      <c r="AG131" s="1375" t="str">
        <f ca="1">'Calculos(2)'!BZ138</f>
        <v>-</v>
      </c>
      <c r="AH131" s="1376"/>
      <c r="AI131" s="1375" t="str">
        <f ca="1">'Calculos(2)'!BZ154</f>
        <v>-</v>
      </c>
      <c r="AJ131" s="1376"/>
      <c r="AK131" s="1375" t="str">
        <f ca="1">'Calculos(2)'!BZ170</f>
        <v>-</v>
      </c>
      <c r="AL131" s="1376"/>
      <c r="AM131" s="1375" t="str">
        <f ca="1">'Calculos(2)'!BZ186</f>
        <v>-</v>
      </c>
      <c r="AN131" s="1376"/>
      <c r="AO131" s="1375" t="str">
        <f ca="1">'Calculos(2)'!BZ202</f>
        <v>-</v>
      </c>
      <c r="AP131" s="1376"/>
      <c r="AQ131" s="1375" t="str">
        <f ca="1">'Calculos(2)'!BZ218</f>
        <v>-</v>
      </c>
      <c r="AR131" s="1376"/>
      <c r="AS131" s="1375" t="str">
        <f ca="1">'Calculos(2)'!BZ234</f>
        <v>-</v>
      </c>
      <c r="AT131" s="1376"/>
      <c r="AU131" s="1375" t="str">
        <f ca="1">'Calculos(2)'!BZ250</f>
        <v>-</v>
      </c>
      <c r="AV131" s="1376"/>
      <c r="AW131" s="1375" t="str">
        <f ca="1">'Calculos(2)'!BZ266</f>
        <v>-</v>
      </c>
      <c r="AX131" s="1376"/>
      <c r="AY131" s="1375" t="str">
        <f ca="1">'Calculos(2)'!BZ282</f>
        <v>-</v>
      </c>
      <c r="AZ131" s="1376"/>
      <c r="BA131" s="1375" t="str">
        <f ca="1">'Calculos(2)'!BZ298</f>
        <v>-</v>
      </c>
      <c r="BB131" s="1376"/>
      <c r="BC131" s="1375" t="str">
        <f ca="1">'Calculos(2)'!BZ314</f>
        <v>-</v>
      </c>
      <c r="BD131" s="1376"/>
      <c r="CA131" s="1354">
        <f ca="1">IF(Q131="-",0,IF(Q131&gt;=CA$90,1,0))</f>
        <v>0</v>
      </c>
      <c r="CB131" s="1354"/>
      <c r="CC131" s="1354">
        <f t="shared" ref="CC131:CC142" ca="1" si="20">IF(S131="-",0,IF(S131&gt;=CC$90,1,0))</f>
        <v>0</v>
      </c>
      <c r="CD131" s="1354"/>
      <c r="CE131" s="1354">
        <f t="shared" ref="CE131:CE142" ca="1" si="21">IF(U131="-",0,IF(U131&gt;=CE$90,1,0))</f>
        <v>0</v>
      </c>
      <c r="CF131" s="1354"/>
      <c r="CG131" s="1354">
        <f t="shared" ref="CG131:CG142" ca="1" si="22">IF(W131="-",0,IF(W131&gt;=CG$90,1,0))</f>
        <v>0</v>
      </c>
      <c r="CH131" s="1354"/>
      <c r="CI131" s="1354">
        <f t="shared" ref="CI131:CI142" ca="1" si="23">IF(Y131="-",0,IF(Y131&gt;=CI$90,1,0))</f>
        <v>0</v>
      </c>
      <c r="CJ131" s="1354"/>
      <c r="CK131" s="1354">
        <f t="shared" ref="CK131:CK142" ca="1" si="24">IF(AA131="-",0,IF(AA131&gt;=CK$90,1,0))</f>
        <v>0</v>
      </c>
      <c r="CL131" s="1354"/>
      <c r="CM131" s="1354">
        <f t="shared" ref="CM131:CM142" ca="1" si="25">IF(AC131="-",0,IF(AC131&gt;=CM$90,1,0))</f>
        <v>0</v>
      </c>
      <c r="CN131" s="1354"/>
      <c r="CO131" s="1354">
        <f t="shared" ref="CO131:CO142" ca="1" si="26">IF(AE131="-",0,IF(AE131&gt;=CO$90,1,0))</f>
        <v>0</v>
      </c>
      <c r="CP131" s="1354"/>
      <c r="CQ131" s="1354">
        <f t="shared" ref="CQ131:CQ142" ca="1" si="27">IF(AG131="-",0,IF(AG131&gt;=CQ$90,1,0))</f>
        <v>0</v>
      </c>
      <c r="CR131" s="1354"/>
      <c r="CS131" s="1354">
        <f t="shared" ref="CS131:CS142" ca="1" si="28">IF(AI131="-",0,IF(AI131&gt;=CS$90,1,0))</f>
        <v>0</v>
      </c>
      <c r="CT131" s="1354"/>
      <c r="CU131" s="1354">
        <f t="shared" ref="CU131:CU142" ca="1" si="29">IF(AK131="-",0,IF(AK131&gt;=CU$90,1,0))</f>
        <v>0</v>
      </c>
      <c r="CV131" s="1354"/>
      <c r="CW131" s="1354">
        <f t="shared" ref="CW131:CW142" ca="1" si="30">IF(AM131="-",0,IF(AM131&gt;=CW$90,1,0))</f>
        <v>0</v>
      </c>
      <c r="CX131" s="1354"/>
      <c r="CY131" s="1354">
        <f t="shared" ref="CY131:CY142" ca="1" si="31">IF(AO131="-",0,IF(AO131&gt;=CY$90,1,0))</f>
        <v>0</v>
      </c>
      <c r="CZ131" s="1354"/>
      <c r="DA131" s="1354">
        <f t="shared" ref="DA131:DA142" ca="1" si="32">IF(AQ131="-",0,IF(AQ131&gt;=DA$90,1,0))</f>
        <v>0</v>
      </c>
      <c r="DB131" s="1354"/>
      <c r="DC131" s="1354">
        <f t="shared" ref="DC131:DC142" ca="1" si="33">IF(AS131="-",0,IF(AS131&gt;=DC$90,1,0))</f>
        <v>0</v>
      </c>
      <c r="DD131" s="1354"/>
      <c r="DE131" s="1354">
        <f t="shared" ref="DE131:DE142" ca="1" si="34">IF(AU131="-",0,IF(AU131&gt;=DE$90,1,0))</f>
        <v>0</v>
      </c>
      <c r="DF131" s="1354"/>
      <c r="DG131" s="1354">
        <f t="shared" ref="DG131:DG142" ca="1" si="35">IF(AW131="-",0,IF(AW131&gt;=DG$90,1,0))</f>
        <v>0</v>
      </c>
      <c r="DH131" s="1354"/>
      <c r="DI131" s="1354">
        <f t="shared" ref="DI131:DI142" ca="1" si="36">IF(AY131="-",0,IF(AY131&gt;=DI$90,1,0))</f>
        <v>0</v>
      </c>
      <c r="DJ131" s="1354"/>
      <c r="DK131" s="1354">
        <f t="shared" ref="DK131:DK142" ca="1" si="37">IF(BA131="-",0,IF(BA131&gt;=DK$90,1,0))</f>
        <v>0</v>
      </c>
      <c r="DL131" s="1354"/>
      <c r="DM131" s="1354">
        <f t="shared" ref="DM131:DM142" ca="1" si="38">IF(BC131="-",0,IF(BC131&gt;=DM$90,1,0))</f>
        <v>0</v>
      </c>
      <c r="DN131" s="1354"/>
    </row>
    <row r="132" spans="1:118" ht="20.100000000000001" customHeight="1" outlineLevel="1" x14ac:dyDescent="0.25">
      <c r="A132" s="18"/>
      <c r="B132" s="18"/>
      <c r="C132" s="18"/>
      <c r="D132" s="1"/>
      <c r="E132" s="2"/>
      <c r="F132" s="1377"/>
      <c r="G132" s="1377"/>
      <c r="H132" s="1377"/>
      <c r="I132" s="1377"/>
      <c r="J132" s="1377"/>
      <c r="K132" s="1377"/>
      <c r="L132" s="1377"/>
      <c r="M132" s="1384" t="s">
        <v>7104</v>
      </c>
      <c r="N132" s="1384"/>
      <c r="O132" s="1384"/>
      <c r="P132" s="1384"/>
      <c r="Q132" s="1375" t="str">
        <f ca="1">'Calculos(2)'!BZ11</f>
        <v>-</v>
      </c>
      <c r="R132" s="1376"/>
      <c r="S132" s="1375" t="str">
        <f ca="1">'Calculos(2)'!BZ27</f>
        <v>-</v>
      </c>
      <c r="T132" s="1376"/>
      <c r="U132" s="1375" t="str">
        <f ca="1">'Calculos(2)'!BZ43</f>
        <v>-</v>
      </c>
      <c r="V132" s="1376"/>
      <c r="W132" s="1375" t="str">
        <f ca="1">'Calculos(2)'!BZ59</f>
        <v>-</v>
      </c>
      <c r="X132" s="1376"/>
      <c r="Y132" s="1375" t="str">
        <f ca="1">'Calculos(2)'!BZ75</f>
        <v>-</v>
      </c>
      <c r="Z132" s="1376"/>
      <c r="AA132" s="1375" t="str">
        <f ca="1">'Calculos(2)'!BZ91</f>
        <v>-</v>
      </c>
      <c r="AB132" s="1376"/>
      <c r="AC132" s="1375" t="str">
        <f ca="1">'Calculos(2)'!BZ107</f>
        <v>-</v>
      </c>
      <c r="AD132" s="1376"/>
      <c r="AE132" s="1375" t="str">
        <f ca="1">'Calculos(2)'!BZ123</f>
        <v>-</v>
      </c>
      <c r="AF132" s="1376"/>
      <c r="AG132" s="1375" t="str">
        <f ca="1">'Calculos(2)'!BZ139</f>
        <v>-</v>
      </c>
      <c r="AH132" s="1376"/>
      <c r="AI132" s="1375" t="str">
        <f ca="1">'Calculos(2)'!BZ155</f>
        <v>-</v>
      </c>
      <c r="AJ132" s="1376"/>
      <c r="AK132" s="1375" t="str">
        <f ca="1">'Calculos(2)'!BZ171</f>
        <v>-</v>
      </c>
      <c r="AL132" s="1376"/>
      <c r="AM132" s="1375" t="str">
        <f ca="1">'Calculos(2)'!BZ187</f>
        <v>-</v>
      </c>
      <c r="AN132" s="1376"/>
      <c r="AO132" s="1375" t="str">
        <f ca="1">'Calculos(2)'!BZ203</f>
        <v>-</v>
      </c>
      <c r="AP132" s="1376"/>
      <c r="AQ132" s="1375" t="str">
        <f ca="1">'Calculos(2)'!BZ219</f>
        <v>-</v>
      </c>
      <c r="AR132" s="1376"/>
      <c r="AS132" s="1375" t="str">
        <f ca="1">'Calculos(2)'!BZ235</f>
        <v>-</v>
      </c>
      <c r="AT132" s="1376"/>
      <c r="AU132" s="1375" t="str">
        <f ca="1">'Calculos(2)'!BZ251</f>
        <v>-</v>
      </c>
      <c r="AV132" s="1376"/>
      <c r="AW132" s="1375" t="str">
        <f ca="1">'Calculos(2)'!BZ267</f>
        <v>-</v>
      </c>
      <c r="AX132" s="1376"/>
      <c r="AY132" s="1375" t="str">
        <f ca="1">'Calculos(2)'!BZ283</f>
        <v>-</v>
      </c>
      <c r="AZ132" s="1376"/>
      <c r="BA132" s="1375" t="str">
        <f ca="1">'Calculos(2)'!BZ299</f>
        <v>-</v>
      </c>
      <c r="BB132" s="1376"/>
      <c r="BC132" s="1375" t="str">
        <f ca="1">'Calculos(2)'!BZ315</f>
        <v>-</v>
      </c>
      <c r="BD132" s="1376"/>
      <c r="CA132" s="1354">
        <f t="shared" ref="CA132:CA142" ca="1" si="39">IF(Q132="-",0,IF(Q132&gt;=CA$90,1,0))</f>
        <v>0</v>
      </c>
      <c r="CB132" s="1354"/>
      <c r="CC132" s="1354">
        <f t="shared" ca="1" si="20"/>
        <v>0</v>
      </c>
      <c r="CD132" s="1354"/>
      <c r="CE132" s="1354">
        <f t="shared" ca="1" si="21"/>
        <v>0</v>
      </c>
      <c r="CF132" s="1354"/>
      <c r="CG132" s="1354">
        <f t="shared" ca="1" si="22"/>
        <v>0</v>
      </c>
      <c r="CH132" s="1354"/>
      <c r="CI132" s="1354">
        <f t="shared" ca="1" si="23"/>
        <v>0</v>
      </c>
      <c r="CJ132" s="1354"/>
      <c r="CK132" s="1354">
        <f t="shared" ca="1" si="24"/>
        <v>0</v>
      </c>
      <c r="CL132" s="1354"/>
      <c r="CM132" s="1354">
        <f t="shared" ca="1" si="25"/>
        <v>0</v>
      </c>
      <c r="CN132" s="1354"/>
      <c r="CO132" s="1354">
        <f t="shared" ca="1" si="26"/>
        <v>0</v>
      </c>
      <c r="CP132" s="1354"/>
      <c r="CQ132" s="1354">
        <f t="shared" ca="1" si="27"/>
        <v>0</v>
      </c>
      <c r="CR132" s="1354"/>
      <c r="CS132" s="1354">
        <f t="shared" ca="1" si="28"/>
        <v>0</v>
      </c>
      <c r="CT132" s="1354"/>
      <c r="CU132" s="1354">
        <f t="shared" ca="1" si="29"/>
        <v>0</v>
      </c>
      <c r="CV132" s="1354"/>
      <c r="CW132" s="1354">
        <f t="shared" ca="1" si="30"/>
        <v>0</v>
      </c>
      <c r="CX132" s="1354"/>
      <c r="CY132" s="1354">
        <f t="shared" ca="1" si="31"/>
        <v>0</v>
      </c>
      <c r="CZ132" s="1354"/>
      <c r="DA132" s="1354">
        <f t="shared" ca="1" si="32"/>
        <v>0</v>
      </c>
      <c r="DB132" s="1354"/>
      <c r="DC132" s="1354">
        <f t="shared" ca="1" si="33"/>
        <v>0</v>
      </c>
      <c r="DD132" s="1354"/>
      <c r="DE132" s="1354">
        <f t="shared" ca="1" si="34"/>
        <v>0</v>
      </c>
      <c r="DF132" s="1354"/>
      <c r="DG132" s="1354">
        <f t="shared" ca="1" si="35"/>
        <v>0</v>
      </c>
      <c r="DH132" s="1354"/>
      <c r="DI132" s="1354">
        <f t="shared" ca="1" si="36"/>
        <v>0</v>
      </c>
      <c r="DJ132" s="1354"/>
      <c r="DK132" s="1354">
        <f t="shared" ca="1" si="37"/>
        <v>0</v>
      </c>
      <c r="DL132" s="1354"/>
      <c r="DM132" s="1354">
        <f t="shared" ca="1" si="38"/>
        <v>0</v>
      </c>
      <c r="DN132" s="1354"/>
    </row>
    <row r="133" spans="1:118" ht="20.100000000000001" customHeight="1" outlineLevel="1" x14ac:dyDescent="0.25">
      <c r="A133" s="18"/>
      <c r="B133" s="18"/>
      <c r="C133" s="18"/>
      <c r="D133" s="1"/>
      <c r="E133" s="2"/>
      <c r="F133" s="1377"/>
      <c r="G133" s="1377"/>
      <c r="H133" s="1377"/>
      <c r="I133" s="1377"/>
      <c r="J133" s="1377"/>
      <c r="K133" s="1377"/>
      <c r="L133" s="1377"/>
      <c r="M133" s="1384" t="s">
        <v>7105</v>
      </c>
      <c r="N133" s="1384"/>
      <c r="O133" s="1384"/>
      <c r="P133" s="1384"/>
      <c r="Q133" s="1375" t="str">
        <f ca="1">'Calculos(2)'!BZ12</f>
        <v>-</v>
      </c>
      <c r="R133" s="1376"/>
      <c r="S133" s="1375" t="str">
        <f ca="1">'Calculos(2)'!BZ28</f>
        <v>-</v>
      </c>
      <c r="T133" s="1376"/>
      <c r="U133" s="1375" t="str">
        <f ca="1">'Calculos(2)'!BZ44</f>
        <v>-</v>
      </c>
      <c r="V133" s="1376"/>
      <c r="W133" s="1375" t="str">
        <f ca="1">'Calculos(2)'!BZ60</f>
        <v>-</v>
      </c>
      <c r="X133" s="1376"/>
      <c r="Y133" s="1375" t="str">
        <f ca="1">'Calculos(2)'!BZ76</f>
        <v>-</v>
      </c>
      <c r="Z133" s="1376"/>
      <c r="AA133" s="1375" t="str">
        <f ca="1">'Calculos(2)'!BZ92</f>
        <v>-</v>
      </c>
      <c r="AB133" s="1376"/>
      <c r="AC133" s="1375" t="str">
        <f ca="1">'Calculos(2)'!BZ108</f>
        <v>-</v>
      </c>
      <c r="AD133" s="1376"/>
      <c r="AE133" s="1375" t="str">
        <f ca="1">'Calculos(2)'!BZ124</f>
        <v>-</v>
      </c>
      <c r="AF133" s="1376"/>
      <c r="AG133" s="1375" t="str">
        <f ca="1">'Calculos(2)'!BZ140</f>
        <v>-</v>
      </c>
      <c r="AH133" s="1376"/>
      <c r="AI133" s="1375" t="str">
        <f ca="1">'Calculos(2)'!BZ156</f>
        <v>-</v>
      </c>
      <c r="AJ133" s="1376"/>
      <c r="AK133" s="1375" t="str">
        <f ca="1">'Calculos(2)'!BZ172</f>
        <v>-</v>
      </c>
      <c r="AL133" s="1376"/>
      <c r="AM133" s="1375" t="str">
        <f ca="1">'Calculos(2)'!BZ188</f>
        <v>-</v>
      </c>
      <c r="AN133" s="1376"/>
      <c r="AO133" s="1375" t="str">
        <f ca="1">'Calculos(2)'!BZ204</f>
        <v>-</v>
      </c>
      <c r="AP133" s="1376"/>
      <c r="AQ133" s="1375" t="str">
        <f ca="1">'Calculos(2)'!BZ220</f>
        <v>-</v>
      </c>
      <c r="AR133" s="1376"/>
      <c r="AS133" s="1375" t="str">
        <f ca="1">'Calculos(2)'!BZ236</f>
        <v>-</v>
      </c>
      <c r="AT133" s="1376"/>
      <c r="AU133" s="1375" t="str">
        <f ca="1">'Calculos(2)'!BZ252</f>
        <v>-</v>
      </c>
      <c r="AV133" s="1376"/>
      <c r="AW133" s="1375" t="str">
        <f ca="1">'Calculos(2)'!BZ268</f>
        <v>-</v>
      </c>
      <c r="AX133" s="1376"/>
      <c r="AY133" s="1375" t="str">
        <f ca="1">'Calculos(2)'!BZ284</f>
        <v>-</v>
      </c>
      <c r="AZ133" s="1376"/>
      <c r="BA133" s="1375" t="str">
        <f ca="1">'Calculos(2)'!BZ300</f>
        <v>-</v>
      </c>
      <c r="BB133" s="1376"/>
      <c r="BC133" s="1375" t="str">
        <f ca="1">'Calculos(2)'!BZ316</f>
        <v>-</v>
      </c>
      <c r="BD133" s="1376"/>
      <c r="CA133" s="1354">
        <f t="shared" ca="1" si="39"/>
        <v>0</v>
      </c>
      <c r="CB133" s="1354"/>
      <c r="CC133" s="1354">
        <f t="shared" ca="1" si="20"/>
        <v>0</v>
      </c>
      <c r="CD133" s="1354"/>
      <c r="CE133" s="1354">
        <f t="shared" ca="1" si="21"/>
        <v>0</v>
      </c>
      <c r="CF133" s="1354"/>
      <c r="CG133" s="1354">
        <f t="shared" ca="1" si="22"/>
        <v>0</v>
      </c>
      <c r="CH133" s="1354"/>
      <c r="CI133" s="1354">
        <f t="shared" ca="1" si="23"/>
        <v>0</v>
      </c>
      <c r="CJ133" s="1354"/>
      <c r="CK133" s="1354">
        <f t="shared" ca="1" si="24"/>
        <v>0</v>
      </c>
      <c r="CL133" s="1354"/>
      <c r="CM133" s="1354">
        <f t="shared" ca="1" si="25"/>
        <v>0</v>
      </c>
      <c r="CN133" s="1354"/>
      <c r="CO133" s="1354">
        <f t="shared" ca="1" si="26"/>
        <v>0</v>
      </c>
      <c r="CP133" s="1354"/>
      <c r="CQ133" s="1354">
        <f t="shared" ca="1" si="27"/>
        <v>0</v>
      </c>
      <c r="CR133" s="1354"/>
      <c r="CS133" s="1354">
        <f t="shared" ca="1" si="28"/>
        <v>0</v>
      </c>
      <c r="CT133" s="1354"/>
      <c r="CU133" s="1354">
        <f t="shared" ca="1" si="29"/>
        <v>0</v>
      </c>
      <c r="CV133" s="1354"/>
      <c r="CW133" s="1354">
        <f t="shared" ca="1" si="30"/>
        <v>0</v>
      </c>
      <c r="CX133" s="1354"/>
      <c r="CY133" s="1354">
        <f t="shared" ca="1" si="31"/>
        <v>0</v>
      </c>
      <c r="CZ133" s="1354"/>
      <c r="DA133" s="1354">
        <f t="shared" ca="1" si="32"/>
        <v>0</v>
      </c>
      <c r="DB133" s="1354"/>
      <c r="DC133" s="1354">
        <f t="shared" ca="1" si="33"/>
        <v>0</v>
      </c>
      <c r="DD133" s="1354"/>
      <c r="DE133" s="1354">
        <f t="shared" ca="1" si="34"/>
        <v>0</v>
      </c>
      <c r="DF133" s="1354"/>
      <c r="DG133" s="1354">
        <f t="shared" ca="1" si="35"/>
        <v>0</v>
      </c>
      <c r="DH133" s="1354"/>
      <c r="DI133" s="1354">
        <f t="shared" ca="1" si="36"/>
        <v>0</v>
      </c>
      <c r="DJ133" s="1354"/>
      <c r="DK133" s="1354">
        <f t="shared" ca="1" si="37"/>
        <v>0</v>
      </c>
      <c r="DL133" s="1354"/>
      <c r="DM133" s="1354">
        <f t="shared" ca="1" si="38"/>
        <v>0</v>
      </c>
      <c r="DN133" s="1354"/>
    </row>
    <row r="134" spans="1:118" ht="20.100000000000001" customHeight="1" outlineLevel="1" x14ac:dyDescent="0.25">
      <c r="A134" s="18"/>
      <c r="B134" s="18"/>
      <c r="C134" s="18"/>
      <c r="D134" s="1"/>
      <c r="E134" s="2"/>
      <c r="F134" s="1377"/>
      <c r="G134" s="1377"/>
      <c r="H134" s="1377"/>
      <c r="I134" s="1377"/>
      <c r="J134" s="1377"/>
      <c r="K134" s="1377"/>
      <c r="L134" s="1377"/>
      <c r="M134" s="1384" t="s">
        <v>7106</v>
      </c>
      <c r="N134" s="1384"/>
      <c r="O134" s="1384"/>
      <c r="P134" s="1384"/>
      <c r="Q134" s="1375" t="str">
        <f ca="1">'Calculos(2)'!BZ13</f>
        <v>-</v>
      </c>
      <c r="R134" s="1376"/>
      <c r="S134" s="1375" t="str">
        <f ca="1">'Calculos(2)'!BZ29</f>
        <v>-</v>
      </c>
      <c r="T134" s="1376"/>
      <c r="U134" s="1375" t="str">
        <f ca="1">'Calculos(2)'!BZ45</f>
        <v>-</v>
      </c>
      <c r="V134" s="1376"/>
      <c r="W134" s="1375" t="str">
        <f ca="1">'Calculos(2)'!BZ61</f>
        <v>-</v>
      </c>
      <c r="X134" s="1376"/>
      <c r="Y134" s="1375" t="str">
        <f ca="1">'Calculos(2)'!BZ77</f>
        <v>-</v>
      </c>
      <c r="Z134" s="1376"/>
      <c r="AA134" s="1375" t="str">
        <f ca="1">'Calculos(2)'!BZ93</f>
        <v>-</v>
      </c>
      <c r="AB134" s="1376"/>
      <c r="AC134" s="1375" t="str">
        <f ca="1">'Calculos(2)'!BZ109</f>
        <v>-</v>
      </c>
      <c r="AD134" s="1376"/>
      <c r="AE134" s="1375" t="str">
        <f ca="1">'Calculos(2)'!BZ125</f>
        <v>-</v>
      </c>
      <c r="AF134" s="1376"/>
      <c r="AG134" s="1375" t="str">
        <f ca="1">'Calculos(2)'!BZ141</f>
        <v>-</v>
      </c>
      <c r="AH134" s="1376"/>
      <c r="AI134" s="1375" t="str">
        <f ca="1">'Calculos(2)'!BZ157</f>
        <v>-</v>
      </c>
      <c r="AJ134" s="1376"/>
      <c r="AK134" s="1375" t="str">
        <f ca="1">'Calculos(2)'!BZ173</f>
        <v>-</v>
      </c>
      <c r="AL134" s="1376"/>
      <c r="AM134" s="1375" t="str">
        <f ca="1">'Calculos(2)'!BZ189</f>
        <v>-</v>
      </c>
      <c r="AN134" s="1376"/>
      <c r="AO134" s="1375" t="str">
        <f ca="1">'Calculos(2)'!BZ205</f>
        <v>-</v>
      </c>
      <c r="AP134" s="1376"/>
      <c r="AQ134" s="1375" t="str">
        <f ca="1">'Calculos(2)'!BZ221</f>
        <v>-</v>
      </c>
      <c r="AR134" s="1376"/>
      <c r="AS134" s="1375" t="str">
        <f ca="1">'Calculos(2)'!BZ237</f>
        <v>-</v>
      </c>
      <c r="AT134" s="1376"/>
      <c r="AU134" s="1375" t="str">
        <f ca="1">'Calculos(2)'!BZ253</f>
        <v>-</v>
      </c>
      <c r="AV134" s="1376"/>
      <c r="AW134" s="1375" t="str">
        <f ca="1">'Calculos(2)'!BZ269</f>
        <v>-</v>
      </c>
      <c r="AX134" s="1376"/>
      <c r="AY134" s="1375" t="str">
        <f ca="1">'Calculos(2)'!BZ285</f>
        <v>-</v>
      </c>
      <c r="AZ134" s="1376"/>
      <c r="BA134" s="1375" t="str">
        <f ca="1">'Calculos(2)'!BZ301</f>
        <v>-</v>
      </c>
      <c r="BB134" s="1376"/>
      <c r="BC134" s="1375" t="str">
        <f ca="1">'Calculos(2)'!BZ317</f>
        <v>-</v>
      </c>
      <c r="BD134" s="1376"/>
      <c r="CA134" s="1354">
        <f t="shared" ca="1" si="39"/>
        <v>0</v>
      </c>
      <c r="CB134" s="1354"/>
      <c r="CC134" s="1354">
        <f t="shared" ca="1" si="20"/>
        <v>0</v>
      </c>
      <c r="CD134" s="1354"/>
      <c r="CE134" s="1354">
        <f t="shared" ca="1" si="21"/>
        <v>0</v>
      </c>
      <c r="CF134" s="1354"/>
      <c r="CG134" s="1354">
        <f t="shared" ca="1" si="22"/>
        <v>0</v>
      </c>
      <c r="CH134" s="1354"/>
      <c r="CI134" s="1354">
        <f t="shared" ca="1" si="23"/>
        <v>0</v>
      </c>
      <c r="CJ134" s="1354"/>
      <c r="CK134" s="1354">
        <f t="shared" ca="1" si="24"/>
        <v>0</v>
      </c>
      <c r="CL134" s="1354"/>
      <c r="CM134" s="1354">
        <f t="shared" ca="1" si="25"/>
        <v>0</v>
      </c>
      <c r="CN134" s="1354"/>
      <c r="CO134" s="1354">
        <f t="shared" ca="1" si="26"/>
        <v>0</v>
      </c>
      <c r="CP134" s="1354"/>
      <c r="CQ134" s="1354">
        <f t="shared" ca="1" si="27"/>
        <v>0</v>
      </c>
      <c r="CR134" s="1354"/>
      <c r="CS134" s="1354">
        <f t="shared" ca="1" si="28"/>
        <v>0</v>
      </c>
      <c r="CT134" s="1354"/>
      <c r="CU134" s="1354">
        <f t="shared" ca="1" si="29"/>
        <v>0</v>
      </c>
      <c r="CV134" s="1354"/>
      <c r="CW134" s="1354">
        <f t="shared" ca="1" si="30"/>
        <v>0</v>
      </c>
      <c r="CX134" s="1354"/>
      <c r="CY134" s="1354">
        <f t="shared" ca="1" si="31"/>
        <v>0</v>
      </c>
      <c r="CZ134" s="1354"/>
      <c r="DA134" s="1354">
        <f t="shared" ca="1" si="32"/>
        <v>0</v>
      </c>
      <c r="DB134" s="1354"/>
      <c r="DC134" s="1354">
        <f t="shared" ca="1" si="33"/>
        <v>0</v>
      </c>
      <c r="DD134" s="1354"/>
      <c r="DE134" s="1354">
        <f t="shared" ca="1" si="34"/>
        <v>0</v>
      </c>
      <c r="DF134" s="1354"/>
      <c r="DG134" s="1354">
        <f t="shared" ca="1" si="35"/>
        <v>0</v>
      </c>
      <c r="DH134" s="1354"/>
      <c r="DI134" s="1354">
        <f t="shared" ca="1" si="36"/>
        <v>0</v>
      </c>
      <c r="DJ134" s="1354"/>
      <c r="DK134" s="1354">
        <f t="shared" ca="1" si="37"/>
        <v>0</v>
      </c>
      <c r="DL134" s="1354"/>
      <c r="DM134" s="1354">
        <f t="shared" ca="1" si="38"/>
        <v>0</v>
      </c>
      <c r="DN134" s="1354"/>
    </row>
    <row r="135" spans="1:118" ht="20.100000000000001" customHeight="1" outlineLevel="1" x14ac:dyDescent="0.25">
      <c r="A135" s="18"/>
      <c r="B135" s="18"/>
      <c r="C135" s="18"/>
      <c r="D135" s="1"/>
      <c r="E135" s="2"/>
      <c r="F135" s="1377"/>
      <c r="G135" s="1377"/>
      <c r="H135" s="1377"/>
      <c r="I135" s="1377"/>
      <c r="J135" s="1377"/>
      <c r="K135" s="1377"/>
      <c r="L135" s="1377"/>
      <c r="M135" s="1384" t="s">
        <v>7107</v>
      </c>
      <c r="N135" s="1384"/>
      <c r="O135" s="1384"/>
      <c r="P135" s="1384"/>
      <c r="Q135" s="1375" t="str">
        <f ca="1">'Calculos(2)'!BZ14</f>
        <v>-</v>
      </c>
      <c r="R135" s="1376"/>
      <c r="S135" s="1375" t="str">
        <f ca="1">'Calculos(2)'!BZ30</f>
        <v>-</v>
      </c>
      <c r="T135" s="1376"/>
      <c r="U135" s="1375" t="str">
        <f ca="1">'Calculos(2)'!BZ46</f>
        <v>-</v>
      </c>
      <c r="V135" s="1376"/>
      <c r="W135" s="1375" t="str">
        <f ca="1">'Calculos(2)'!BZ62</f>
        <v>-</v>
      </c>
      <c r="X135" s="1376"/>
      <c r="Y135" s="1375" t="str">
        <f ca="1">'Calculos(2)'!BZ78</f>
        <v>-</v>
      </c>
      <c r="Z135" s="1376"/>
      <c r="AA135" s="1375" t="str">
        <f ca="1">'Calculos(2)'!BZ94</f>
        <v>-</v>
      </c>
      <c r="AB135" s="1376"/>
      <c r="AC135" s="1375" t="str">
        <f ca="1">'Calculos(2)'!BZ110</f>
        <v>-</v>
      </c>
      <c r="AD135" s="1376"/>
      <c r="AE135" s="1375" t="str">
        <f ca="1">'Calculos(2)'!BZ126</f>
        <v>-</v>
      </c>
      <c r="AF135" s="1376"/>
      <c r="AG135" s="1375" t="str">
        <f ca="1">'Calculos(2)'!BZ142</f>
        <v>-</v>
      </c>
      <c r="AH135" s="1376"/>
      <c r="AI135" s="1375" t="str">
        <f ca="1">'Calculos(2)'!BZ158</f>
        <v>-</v>
      </c>
      <c r="AJ135" s="1376"/>
      <c r="AK135" s="1375" t="str">
        <f ca="1">'Calculos(2)'!BZ174</f>
        <v>-</v>
      </c>
      <c r="AL135" s="1376"/>
      <c r="AM135" s="1375" t="str">
        <f ca="1">'Calculos(2)'!BZ190</f>
        <v>-</v>
      </c>
      <c r="AN135" s="1376"/>
      <c r="AO135" s="1375" t="str">
        <f ca="1">'Calculos(2)'!BZ206</f>
        <v>-</v>
      </c>
      <c r="AP135" s="1376"/>
      <c r="AQ135" s="1375" t="str">
        <f ca="1">'Calculos(2)'!BZ222</f>
        <v>-</v>
      </c>
      <c r="AR135" s="1376"/>
      <c r="AS135" s="1375" t="str">
        <f ca="1">'Calculos(2)'!BZ238</f>
        <v>-</v>
      </c>
      <c r="AT135" s="1376"/>
      <c r="AU135" s="1375" t="str">
        <f ca="1">'Calculos(2)'!BZ254</f>
        <v>-</v>
      </c>
      <c r="AV135" s="1376"/>
      <c r="AW135" s="1375" t="str">
        <f ca="1">'Calculos(2)'!BZ270</f>
        <v>-</v>
      </c>
      <c r="AX135" s="1376"/>
      <c r="AY135" s="1375" t="str">
        <f ca="1">'Calculos(2)'!BZ286</f>
        <v>-</v>
      </c>
      <c r="AZ135" s="1376"/>
      <c r="BA135" s="1375" t="str">
        <f ca="1">'Calculos(2)'!BZ302</f>
        <v>-</v>
      </c>
      <c r="BB135" s="1376"/>
      <c r="BC135" s="1375" t="str">
        <f ca="1">'Calculos(2)'!BZ318</f>
        <v>-</v>
      </c>
      <c r="BD135" s="1376"/>
      <c r="CA135" s="1354">
        <f t="shared" ca="1" si="39"/>
        <v>0</v>
      </c>
      <c r="CB135" s="1354"/>
      <c r="CC135" s="1354">
        <f t="shared" ca="1" si="20"/>
        <v>0</v>
      </c>
      <c r="CD135" s="1354"/>
      <c r="CE135" s="1354">
        <f t="shared" ca="1" si="21"/>
        <v>0</v>
      </c>
      <c r="CF135" s="1354"/>
      <c r="CG135" s="1354">
        <f t="shared" ca="1" si="22"/>
        <v>0</v>
      </c>
      <c r="CH135" s="1354"/>
      <c r="CI135" s="1354">
        <f t="shared" ca="1" si="23"/>
        <v>0</v>
      </c>
      <c r="CJ135" s="1354"/>
      <c r="CK135" s="1354">
        <f t="shared" ca="1" si="24"/>
        <v>0</v>
      </c>
      <c r="CL135" s="1354"/>
      <c r="CM135" s="1354">
        <f t="shared" ca="1" si="25"/>
        <v>0</v>
      </c>
      <c r="CN135" s="1354"/>
      <c r="CO135" s="1354">
        <f t="shared" ca="1" si="26"/>
        <v>0</v>
      </c>
      <c r="CP135" s="1354"/>
      <c r="CQ135" s="1354">
        <f t="shared" ca="1" si="27"/>
        <v>0</v>
      </c>
      <c r="CR135" s="1354"/>
      <c r="CS135" s="1354">
        <f t="shared" ca="1" si="28"/>
        <v>0</v>
      </c>
      <c r="CT135" s="1354"/>
      <c r="CU135" s="1354">
        <f t="shared" ca="1" si="29"/>
        <v>0</v>
      </c>
      <c r="CV135" s="1354"/>
      <c r="CW135" s="1354">
        <f t="shared" ca="1" si="30"/>
        <v>0</v>
      </c>
      <c r="CX135" s="1354"/>
      <c r="CY135" s="1354">
        <f t="shared" ca="1" si="31"/>
        <v>0</v>
      </c>
      <c r="CZ135" s="1354"/>
      <c r="DA135" s="1354">
        <f t="shared" ca="1" si="32"/>
        <v>0</v>
      </c>
      <c r="DB135" s="1354"/>
      <c r="DC135" s="1354">
        <f t="shared" ca="1" si="33"/>
        <v>0</v>
      </c>
      <c r="DD135" s="1354"/>
      <c r="DE135" s="1354">
        <f t="shared" ca="1" si="34"/>
        <v>0</v>
      </c>
      <c r="DF135" s="1354"/>
      <c r="DG135" s="1354">
        <f t="shared" ca="1" si="35"/>
        <v>0</v>
      </c>
      <c r="DH135" s="1354"/>
      <c r="DI135" s="1354">
        <f t="shared" ca="1" si="36"/>
        <v>0</v>
      </c>
      <c r="DJ135" s="1354"/>
      <c r="DK135" s="1354">
        <f t="shared" ca="1" si="37"/>
        <v>0</v>
      </c>
      <c r="DL135" s="1354"/>
      <c r="DM135" s="1354">
        <f t="shared" ca="1" si="38"/>
        <v>0</v>
      </c>
      <c r="DN135" s="1354"/>
    </row>
    <row r="136" spans="1:118" ht="20.100000000000001" customHeight="1" outlineLevel="1" x14ac:dyDescent="0.25">
      <c r="A136" s="18"/>
      <c r="B136" s="18"/>
      <c r="C136" s="18"/>
      <c r="D136" s="1"/>
      <c r="E136" s="2"/>
      <c r="F136" s="1377"/>
      <c r="G136" s="1377"/>
      <c r="H136" s="1377"/>
      <c r="I136" s="1377"/>
      <c r="J136" s="1377"/>
      <c r="K136" s="1377"/>
      <c r="L136" s="1377"/>
      <c r="M136" s="1384" t="s">
        <v>7108</v>
      </c>
      <c r="N136" s="1384"/>
      <c r="O136" s="1384"/>
      <c r="P136" s="1384"/>
      <c r="Q136" s="1375" t="str">
        <f ca="1">'Calculos(2)'!BZ15</f>
        <v>-</v>
      </c>
      <c r="R136" s="1376"/>
      <c r="S136" s="1375" t="str">
        <f ca="1">'Calculos(2)'!BZ31</f>
        <v>-</v>
      </c>
      <c r="T136" s="1376"/>
      <c r="U136" s="1375" t="str">
        <f ca="1">'Calculos(2)'!BZ47</f>
        <v>-</v>
      </c>
      <c r="V136" s="1376"/>
      <c r="W136" s="1375" t="str">
        <f ca="1">'Calculos(2)'!BZ63</f>
        <v>-</v>
      </c>
      <c r="X136" s="1376"/>
      <c r="Y136" s="1375" t="str">
        <f ca="1">'Calculos(2)'!BZ79</f>
        <v>-</v>
      </c>
      <c r="Z136" s="1376"/>
      <c r="AA136" s="1375" t="str">
        <f ca="1">'Calculos(2)'!BZ95</f>
        <v>-</v>
      </c>
      <c r="AB136" s="1376"/>
      <c r="AC136" s="1375" t="str">
        <f ca="1">'Calculos(2)'!BZ111</f>
        <v>-</v>
      </c>
      <c r="AD136" s="1376"/>
      <c r="AE136" s="1375" t="str">
        <f ca="1">'Calculos(2)'!BZ127</f>
        <v>-</v>
      </c>
      <c r="AF136" s="1376"/>
      <c r="AG136" s="1375" t="str">
        <f ca="1">'Calculos(2)'!BZ143</f>
        <v>-</v>
      </c>
      <c r="AH136" s="1376"/>
      <c r="AI136" s="1375" t="str">
        <f ca="1">'Calculos(2)'!BZ159</f>
        <v>-</v>
      </c>
      <c r="AJ136" s="1376"/>
      <c r="AK136" s="1375" t="str">
        <f ca="1">'Calculos(2)'!BZ175</f>
        <v>-</v>
      </c>
      <c r="AL136" s="1376"/>
      <c r="AM136" s="1375" t="str">
        <f ca="1">'Calculos(2)'!BZ191</f>
        <v>-</v>
      </c>
      <c r="AN136" s="1376"/>
      <c r="AO136" s="1375" t="str">
        <f ca="1">'Calculos(2)'!BZ207</f>
        <v>-</v>
      </c>
      <c r="AP136" s="1376"/>
      <c r="AQ136" s="1375" t="str">
        <f ca="1">'Calculos(2)'!BZ223</f>
        <v>-</v>
      </c>
      <c r="AR136" s="1376"/>
      <c r="AS136" s="1375" t="str">
        <f ca="1">'Calculos(2)'!BZ239</f>
        <v>-</v>
      </c>
      <c r="AT136" s="1376"/>
      <c r="AU136" s="1375" t="str">
        <f ca="1">'Calculos(2)'!BZ255</f>
        <v>-</v>
      </c>
      <c r="AV136" s="1376"/>
      <c r="AW136" s="1375" t="str">
        <f ca="1">'Calculos(2)'!BZ271</f>
        <v>-</v>
      </c>
      <c r="AX136" s="1376"/>
      <c r="AY136" s="1375" t="str">
        <f ca="1">'Calculos(2)'!BZ287</f>
        <v>-</v>
      </c>
      <c r="AZ136" s="1376"/>
      <c r="BA136" s="1375" t="str">
        <f ca="1">'Calculos(2)'!BZ303</f>
        <v>-</v>
      </c>
      <c r="BB136" s="1376"/>
      <c r="BC136" s="1375" t="str">
        <f ca="1">'Calculos(2)'!BZ319</f>
        <v>-</v>
      </c>
      <c r="BD136" s="1376"/>
      <c r="CA136" s="1354">
        <f t="shared" ca="1" si="39"/>
        <v>0</v>
      </c>
      <c r="CB136" s="1354"/>
      <c r="CC136" s="1354">
        <f t="shared" ca="1" si="20"/>
        <v>0</v>
      </c>
      <c r="CD136" s="1354"/>
      <c r="CE136" s="1354">
        <f t="shared" ca="1" si="21"/>
        <v>0</v>
      </c>
      <c r="CF136" s="1354"/>
      <c r="CG136" s="1354">
        <f t="shared" ca="1" si="22"/>
        <v>0</v>
      </c>
      <c r="CH136" s="1354"/>
      <c r="CI136" s="1354">
        <f t="shared" ca="1" si="23"/>
        <v>0</v>
      </c>
      <c r="CJ136" s="1354"/>
      <c r="CK136" s="1354">
        <f t="shared" ca="1" si="24"/>
        <v>0</v>
      </c>
      <c r="CL136" s="1354"/>
      <c r="CM136" s="1354">
        <f t="shared" ca="1" si="25"/>
        <v>0</v>
      </c>
      <c r="CN136" s="1354"/>
      <c r="CO136" s="1354">
        <f t="shared" ca="1" si="26"/>
        <v>0</v>
      </c>
      <c r="CP136" s="1354"/>
      <c r="CQ136" s="1354">
        <f t="shared" ca="1" si="27"/>
        <v>0</v>
      </c>
      <c r="CR136" s="1354"/>
      <c r="CS136" s="1354">
        <f t="shared" ca="1" si="28"/>
        <v>0</v>
      </c>
      <c r="CT136" s="1354"/>
      <c r="CU136" s="1354">
        <f t="shared" ca="1" si="29"/>
        <v>0</v>
      </c>
      <c r="CV136" s="1354"/>
      <c r="CW136" s="1354">
        <f t="shared" ca="1" si="30"/>
        <v>0</v>
      </c>
      <c r="CX136" s="1354"/>
      <c r="CY136" s="1354">
        <f t="shared" ca="1" si="31"/>
        <v>0</v>
      </c>
      <c r="CZ136" s="1354"/>
      <c r="DA136" s="1354">
        <f t="shared" ca="1" si="32"/>
        <v>0</v>
      </c>
      <c r="DB136" s="1354"/>
      <c r="DC136" s="1354">
        <f t="shared" ca="1" si="33"/>
        <v>0</v>
      </c>
      <c r="DD136" s="1354"/>
      <c r="DE136" s="1354">
        <f t="shared" ca="1" si="34"/>
        <v>0</v>
      </c>
      <c r="DF136" s="1354"/>
      <c r="DG136" s="1354">
        <f t="shared" ca="1" si="35"/>
        <v>0</v>
      </c>
      <c r="DH136" s="1354"/>
      <c r="DI136" s="1354">
        <f t="shared" ca="1" si="36"/>
        <v>0</v>
      </c>
      <c r="DJ136" s="1354"/>
      <c r="DK136" s="1354">
        <f t="shared" ca="1" si="37"/>
        <v>0</v>
      </c>
      <c r="DL136" s="1354"/>
      <c r="DM136" s="1354">
        <f t="shared" ca="1" si="38"/>
        <v>0</v>
      </c>
      <c r="DN136" s="1354"/>
    </row>
    <row r="137" spans="1:118" ht="20.100000000000001" customHeight="1" outlineLevel="1" x14ac:dyDescent="0.25">
      <c r="A137" s="18"/>
      <c r="B137" s="18"/>
      <c r="C137" s="18"/>
      <c r="D137" s="1"/>
      <c r="E137" s="2"/>
      <c r="F137" s="1377"/>
      <c r="G137" s="1377"/>
      <c r="H137" s="1377"/>
      <c r="I137" s="1377"/>
      <c r="J137" s="1377"/>
      <c r="K137" s="1377"/>
      <c r="L137" s="1377"/>
      <c r="M137" s="1384" t="s">
        <v>7109</v>
      </c>
      <c r="N137" s="1384"/>
      <c r="O137" s="1384"/>
      <c r="P137" s="1384"/>
      <c r="Q137" s="1375" t="str">
        <f ca="1">'Calculos(2)'!BZ16</f>
        <v>-</v>
      </c>
      <c r="R137" s="1376"/>
      <c r="S137" s="1375" t="str">
        <f ca="1">'Calculos(2)'!BZ32</f>
        <v>-</v>
      </c>
      <c r="T137" s="1376"/>
      <c r="U137" s="1375" t="str">
        <f ca="1">'Calculos(2)'!BZ48</f>
        <v>-</v>
      </c>
      <c r="V137" s="1376"/>
      <c r="W137" s="1375" t="str">
        <f ca="1">'Calculos(2)'!BZ64</f>
        <v>-</v>
      </c>
      <c r="X137" s="1376"/>
      <c r="Y137" s="1375" t="str">
        <f ca="1">'Calculos(2)'!BZ80</f>
        <v>-</v>
      </c>
      <c r="Z137" s="1376"/>
      <c r="AA137" s="1375" t="str">
        <f ca="1">'Calculos(2)'!BZ96</f>
        <v>-</v>
      </c>
      <c r="AB137" s="1376"/>
      <c r="AC137" s="1375" t="str">
        <f ca="1">'Calculos(2)'!BZ112</f>
        <v>-</v>
      </c>
      <c r="AD137" s="1376"/>
      <c r="AE137" s="1375" t="str">
        <f ca="1">'Calculos(2)'!BZ128</f>
        <v>-</v>
      </c>
      <c r="AF137" s="1376"/>
      <c r="AG137" s="1375" t="str">
        <f ca="1">'Calculos(2)'!BZ144</f>
        <v>-</v>
      </c>
      <c r="AH137" s="1376"/>
      <c r="AI137" s="1375" t="str">
        <f ca="1">'Calculos(2)'!BZ160</f>
        <v>-</v>
      </c>
      <c r="AJ137" s="1376"/>
      <c r="AK137" s="1375" t="str">
        <f ca="1">'Calculos(2)'!BZ176</f>
        <v>-</v>
      </c>
      <c r="AL137" s="1376"/>
      <c r="AM137" s="1375" t="str">
        <f ca="1">'Calculos(2)'!BZ192</f>
        <v>-</v>
      </c>
      <c r="AN137" s="1376"/>
      <c r="AO137" s="1375" t="str">
        <f ca="1">'Calculos(2)'!BZ208</f>
        <v>-</v>
      </c>
      <c r="AP137" s="1376"/>
      <c r="AQ137" s="1375" t="str">
        <f ca="1">'Calculos(2)'!BZ224</f>
        <v>-</v>
      </c>
      <c r="AR137" s="1376"/>
      <c r="AS137" s="1375" t="str">
        <f ca="1">'Calculos(2)'!BZ240</f>
        <v>-</v>
      </c>
      <c r="AT137" s="1376"/>
      <c r="AU137" s="1375" t="str">
        <f ca="1">'Calculos(2)'!BZ256</f>
        <v>-</v>
      </c>
      <c r="AV137" s="1376"/>
      <c r="AW137" s="1375" t="str">
        <f ca="1">'Calculos(2)'!BZ272</f>
        <v>-</v>
      </c>
      <c r="AX137" s="1376"/>
      <c r="AY137" s="1375" t="str">
        <f ca="1">'Calculos(2)'!BZ288</f>
        <v>-</v>
      </c>
      <c r="AZ137" s="1376"/>
      <c r="BA137" s="1375" t="str">
        <f ca="1">'Calculos(2)'!BZ304</f>
        <v>-</v>
      </c>
      <c r="BB137" s="1376"/>
      <c r="BC137" s="1375" t="str">
        <f ca="1">'Calculos(2)'!BZ320</f>
        <v>-</v>
      </c>
      <c r="BD137" s="1376"/>
      <c r="CA137" s="1354">
        <f t="shared" ca="1" si="39"/>
        <v>0</v>
      </c>
      <c r="CB137" s="1354"/>
      <c r="CC137" s="1354">
        <f t="shared" ca="1" si="20"/>
        <v>0</v>
      </c>
      <c r="CD137" s="1354"/>
      <c r="CE137" s="1354">
        <f t="shared" ca="1" si="21"/>
        <v>0</v>
      </c>
      <c r="CF137" s="1354"/>
      <c r="CG137" s="1354">
        <f t="shared" ca="1" si="22"/>
        <v>0</v>
      </c>
      <c r="CH137" s="1354"/>
      <c r="CI137" s="1354">
        <f t="shared" ca="1" si="23"/>
        <v>0</v>
      </c>
      <c r="CJ137" s="1354"/>
      <c r="CK137" s="1354">
        <f t="shared" ca="1" si="24"/>
        <v>0</v>
      </c>
      <c r="CL137" s="1354"/>
      <c r="CM137" s="1354">
        <f t="shared" ca="1" si="25"/>
        <v>0</v>
      </c>
      <c r="CN137" s="1354"/>
      <c r="CO137" s="1354">
        <f t="shared" ca="1" si="26"/>
        <v>0</v>
      </c>
      <c r="CP137" s="1354"/>
      <c r="CQ137" s="1354">
        <f t="shared" ca="1" si="27"/>
        <v>0</v>
      </c>
      <c r="CR137" s="1354"/>
      <c r="CS137" s="1354">
        <f t="shared" ca="1" si="28"/>
        <v>0</v>
      </c>
      <c r="CT137" s="1354"/>
      <c r="CU137" s="1354">
        <f t="shared" ca="1" si="29"/>
        <v>0</v>
      </c>
      <c r="CV137" s="1354"/>
      <c r="CW137" s="1354">
        <f t="shared" ca="1" si="30"/>
        <v>0</v>
      </c>
      <c r="CX137" s="1354"/>
      <c r="CY137" s="1354">
        <f t="shared" ca="1" si="31"/>
        <v>0</v>
      </c>
      <c r="CZ137" s="1354"/>
      <c r="DA137" s="1354">
        <f t="shared" ca="1" si="32"/>
        <v>0</v>
      </c>
      <c r="DB137" s="1354"/>
      <c r="DC137" s="1354">
        <f t="shared" ca="1" si="33"/>
        <v>0</v>
      </c>
      <c r="DD137" s="1354"/>
      <c r="DE137" s="1354">
        <f t="shared" ca="1" si="34"/>
        <v>0</v>
      </c>
      <c r="DF137" s="1354"/>
      <c r="DG137" s="1354">
        <f t="shared" ca="1" si="35"/>
        <v>0</v>
      </c>
      <c r="DH137" s="1354"/>
      <c r="DI137" s="1354">
        <f t="shared" ca="1" si="36"/>
        <v>0</v>
      </c>
      <c r="DJ137" s="1354"/>
      <c r="DK137" s="1354">
        <f t="shared" ca="1" si="37"/>
        <v>0</v>
      </c>
      <c r="DL137" s="1354"/>
      <c r="DM137" s="1354">
        <f t="shared" ca="1" si="38"/>
        <v>0</v>
      </c>
      <c r="DN137" s="1354"/>
    </row>
    <row r="138" spans="1:118" ht="20.100000000000001" customHeight="1" outlineLevel="1" x14ac:dyDescent="0.25">
      <c r="A138" s="18"/>
      <c r="B138" s="18"/>
      <c r="C138" s="18"/>
      <c r="D138" s="1"/>
      <c r="E138" s="2"/>
      <c r="F138" s="1377"/>
      <c r="G138" s="1377"/>
      <c r="H138" s="1377"/>
      <c r="I138" s="1377"/>
      <c r="J138" s="1377"/>
      <c r="K138" s="1377"/>
      <c r="L138" s="1377"/>
      <c r="M138" s="1384" t="s">
        <v>7110</v>
      </c>
      <c r="N138" s="1384"/>
      <c r="O138" s="1384"/>
      <c r="P138" s="1384"/>
      <c r="Q138" s="1375" t="str">
        <f ca="1">'Calculos(2)'!BZ17</f>
        <v>-</v>
      </c>
      <c r="R138" s="1376"/>
      <c r="S138" s="1375" t="str">
        <f ca="1">'Calculos(2)'!BZ33</f>
        <v>-</v>
      </c>
      <c r="T138" s="1376"/>
      <c r="U138" s="1375" t="str">
        <f ca="1">'Calculos(2)'!BZ49</f>
        <v>-</v>
      </c>
      <c r="V138" s="1376"/>
      <c r="W138" s="1375" t="str">
        <f ca="1">'Calculos(2)'!BZ65</f>
        <v>-</v>
      </c>
      <c r="X138" s="1376"/>
      <c r="Y138" s="1375" t="str">
        <f ca="1">'Calculos(2)'!BZ81</f>
        <v>-</v>
      </c>
      <c r="Z138" s="1376"/>
      <c r="AA138" s="1375" t="str">
        <f ca="1">'Calculos(2)'!BZ97</f>
        <v>-</v>
      </c>
      <c r="AB138" s="1376"/>
      <c r="AC138" s="1375" t="str">
        <f ca="1">'Calculos(2)'!BZ113</f>
        <v>-</v>
      </c>
      <c r="AD138" s="1376"/>
      <c r="AE138" s="1375" t="str">
        <f ca="1">'Calculos(2)'!BZ129</f>
        <v>-</v>
      </c>
      <c r="AF138" s="1376"/>
      <c r="AG138" s="1375" t="str">
        <f ca="1">'Calculos(2)'!BZ145</f>
        <v>-</v>
      </c>
      <c r="AH138" s="1376"/>
      <c r="AI138" s="1375" t="str">
        <f ca="1">'Calculos(2)'!BZ161</f>
        <v>-</v>
      </c>
      <c r="AJ138" s="1376"/>
      <c r="AK138" s="1375" t="str">
        <f ca="1">'Calculos(2)'!BZ177</f>
        <v>-</v>
      </c>
      <c r="AL138" s="1376"/>
      <c r="AM138" s="1375" t="str">
        <f ca="1">'Calculos(2)'!BZ193</f>
        <v>-</v>
      </c>
      <c r="AN138" s="1376"/>
      <c r="AO138" s="1375" t="str">
        <f ca="1">'Calculos(2)'!BZ209</f>
        <v>-</v>
      </c>
      <c r="AP138" s="1376"/>
      <c r="AQ138" s="1375" t="str">
        <f ca="1">'Calculos(2)'!BZ225</f>
        <v>-</v>
      </c>
      <c r="AR138" s="1376"/>
      <c r="AS138" s="1375" t="str">
        <f ca="1">'Calculos(2)'!BZ241</f>
        <v>-</v>
      </c>
      <c r="AT138" s="1376"/>
      <c r="AU138" s="1375" t="str">
        <f ca="1">'Calculos(2)'!BZ257</f>
        <v>-</v>
      </c>
      <c r="AV138" s="1376"/>
      <c r="AW138" s="1375" t="str">
        <f ca="1">'Calculos(2)'!BZ273</f>
        <v>-</v>
      </c>
      <c r="AX138" s="1376"/>
      <c r="AY138" s="1375" t="str">
        <f ca="1">'Calculos(2)'!BZ289</f>
        <v>-</v>
      </c>
      <c r="AZ138" s="1376"/>
      <c r="BA138" s="1375" t="str">
        <f ca="1">'Calculos(2)'!BZ305</f>
        <v>-</v>
      </c>
      <c r="BB138" s="1376"/>
      <c r="BC138" s="1375" t="str">
        <f ca="1">'Calculos(2)'!BZ321</f>
        <v>-</v>
      </c>
      <c r="BD138" s="1376"/>
      <c r="CA138" s="1354">
        <f t="shared" ca="1" si="39"/>
        <v>0</v>
      </c>
      <c r="CB138" s="1354"/>
      <c r="CC138" s="1354">
        <f t="shared" ca="1" si="20"/>
        <v>0</v>
      </c>
      <c r="CD138" s="1354"/>
      <c r="CE138" s="1354">
        <f t="shared" ca="1" si="21"/>
        <v>0</v>
      </c>
      <c r="CF138" s="1354"/>
      <c r="CG138" s="1354">
        <f t="shared" ca="1" si="22"/>
        <v>0</v>
      </c>
      <c r="CH138" s="1354"/>
      <c r="CI138" s="1354">
        <f t="shared" ca="1" si="23"/>
        <v>0</v>
      </c>
      <c r="CJ138" s="1354"/>
      <c r="CK138" s="1354">
        <f t="shared" ca="1" si="24"/>
        <v>0</v>
      </c>
      <c r="CL138" s="1354"/>
      <c r="CM138" s="1354">
        <f t="shared" ca="1" si="25"/>
        <v>0</v>
      </c>
      <c r="CN138" s="1354"/>
      <c r="CO138" s="1354">
        <f t="shared" ca="1" si="26"/>
        <v>0</v>
      </c>
      <c r="CP138" s="1354"/>
      <c r="CQ138" s="1354">
        <f t="shared" ca="1" si="27"/>
        <v>0</v>
      </c>
      <c r="CR138" s="1354"/>
      <c r="CS138" s="1354">
        <f t="shared" ca="1" si="28"/>
        <v>0</v>
      </c>
      <c r="CT138" s="1354"/>
      <c r="CU138" s="1354">
        <f t="shared" ca="1" si="29"/>
        <v>0</v>
      </c>
      <c r="CV138" s="1354"/>
      <c r="CW138" s="1354">
        <f t="shared" ca="1" si="30"/>
        <v>0</v>
      </c>
      <c r="CX138" s="1354"/>
      <c r="CY138" s="1354">
        <f t="shared" ca="1" si="31"/>
        <v>0</v>
      </c>
      <c r="CZ138" s="1354"/>
      <c r="DA138" s="1354">
        <f t="shared" ca="1" si="32"/>
        <v>0</v>
      </c>
      <c r="DB138" s="1354"/>
      <c r="DC138" s="1354">
        <f t="shared" ca="1" si="33"/>
        <v>0</v>
      </c>
      <c r="DD138" s="1354"/>
      <c r="DE138" s="1354">
        <f t="shared" ca="1" si="34"/>
        <v>0</v>
      </c>
      <c r="DF138" s="1354"/>
      <c r="DG138" s="1354">
        <f t="shared" ca="1" si="35"/>
        <v>0</v>
      </c>
      <c r="DH138" s="1354"/>
      <c r="DI138" s="1354">
        <f t="shared" ca="1" si="36"/>
        <v>0</v>
      </c>
      <c r="DJ138" s="1354"/>
      <c r="DK138" s="1354">
        <f t="shared" ca="1" si="37"/>
        <v>0</v>
      </c>
      <c r="DL138" s="1354"/>
      <c r="DM138" s="1354">
        <f t="shared" ca="1" si="38"/>
        <v>0</v>
      </c>
      <c r="DN138" s="1354"/>
    </row>
    <row r="139" spans="1:118" ht="20.100000000000001" customHeight="1" outlineLevel="1" x14ac:dyDescent="0.25">
      <c r="A139" s="18"/>
      <c r="B139" s="18"/>
      <c r="C139" s="18"/>
      <c r="D139" s="1"/>
      <c r="E139" s="2"/>
      <c r="F139" s="1377"/>
      <c r="G139" s="1377"/>
      <c r="H139" s="1377"/>
      <c r="I139" s="1377"/>
      <c r="J139" s="1377"/>
      <c r="K139" s="1377"/>
      <c r="L139" s="1377"/>
      <c r="M139" s="1384" t="s">
        <v>7111</v>
      </c>
      <c r="N139" s="1384"/>
      <c r="O139" s="1384"/>
      <c r="P139" s="1384"/>
      <c r="Q139" s="1375" t="str">
        <f ca="1">'Calculos(2)'!BZ18</f>
        <v>-</v>
      </c>
      <c r="R139" s="1376"/>
      <c r="S139" s="1375" t="str">
        <f ca="1">'Calculos(2)'!BZ34</f>
        <v>-</v>
      </c>
      <c r="T139" s="1376"/>
      <c r="U139" s="1375" t="str">
        <f ca="1">'Calculos(2)'!BZ50</f>
        <v>-</v>
      </c>
      <c r="V139" s="1376"/>
      <c r="W139" s="1375" t="str">
        <f ca="1">'Calculos(2)'!BZ66</f>
        <v>-</v>
      </c>
      <c r="X139" s="1376"/>
      <c r="Y139" s="1375" t="str">
        <f ca="1">'Calculos(2)'!BZ82</f>
        <v>-</v>
      </c>
      <c r="Z139" s="1376"/>
      <c r="AA139" s="1375" t="str">
        <f ca="1">'Calculos(2)'!BZ98</f>
        <v>-</v>
      </c>
      <c r="AB139" s="1376"/>
      <c r="AC139" s="1375" t="str">
        <f ca="1">'Calculos(2)'!BZ114</f>
        <v>-</v>
      </c>
      <c r="AD139" s="1376"/>
      <c r="AE139" s="1375" t="str">
        <f ca="1">'Calculos(2)'!BZ130</f>
        <v>-</v>
      </c>
      <c r="AF139" s="1376"/>
      <c r="AG139" s="1375" t="str">
        <f ca="1">'Calculos(2)'!BZ146</f>
        <v>-</v>
      </c>
      <c r="AH139" s="1376"/>
      <c r="AI139" s="1375" t="str">
        <f ca="1">'Calculos(2)'!BZ162</f>
        <v>-</v>
      </c>
      <c r="AJ139" s="1376"/>
      <c r="AK139" s="1375" t="str">
        <f ca="1">'Calculos(2)'!BZ178</f>
        <v>-</v>
      </c>
      <c r="AL139" s="1376"/>
      <c r="AM139" s="1375" t="str">
        <f ca="1">'Calculos(2)'!BZ194</f>
        <v>-</v>
      </c>
      <c r="AN139" s="1376"/>
      <c r="AO139" s="1375" t="str">
        <f ca="1">'Calculos(2)'!BZ210</f>
        <v>-</v>
      </c>
      <c r="AP139" s="1376"/>
      <c r="AQ139" s="1375" t="str">
        <f ca="1">'Calculos(2)'!BZ226</f>
        <v>-</v>
      </c>
      <c r="AR139" s="1376"/>
      <c r="AS139" s="1375" t="str">
        <f ca="1">'Calculos(2)'!BZ242</f>
        <v>-</v>
      </c>
      <c r="AT139" s="1376"/>
      <c r="AU139" s="1375" t="str">
        <f ca="1">'Calculos(2)'!BZ258</f>
        <v>-</v>
      </c>
      <c r="AV139" s="1376"/>
      <c r="AW139" s="1375" t="str">
        <f ca="1">'Calculos(2)'!BZ274</f>
        <v>-</v>
      </c>
      <c r="AX139" s="1376"/>
      <c r="AY139" s="1375" t="str">
        <f ca="1">'Calculos(2)'!BZ290</f>
        <v>-</v>
      </c>
      <c r="AZ139" s="1376"/>
      <c r="BA139" s="1375" t="str">
        <f ca="1">'Calculos(2)'!BZ306</f>
        <v>-</v>
      </c>
      <c r="BB139" s="1376"/>
      <c r="BC139" s="1375" t="str">
        <f ca="1">'Calculos(2)'!BZ322</f>
        <v>-</v>
      </c>
      <c r="BD139" s="1376"/>
      <c r="CA139" s="1354">
        <f t="shared" ca="1" si="39"/>
        <v>0</v>
      </c>
      <c r="CB139" s="1354"/>
      <c r="CC139" s="1354">
        <f t="shared" ca="1" si="20"/>
        <v>0</v>
      </c>
      <c r="CD139" s="1354"/>
      <c r="CE139" s="1354">
        <f t="shared" ca="1" si="21"/>
        <v>0</v>
      </c>
      <c r="CF139" s="1354"/>
      <c r="CG139" s="1354">
        <f t="shared" ca="1" si="22"/>
        <v>0</v>
      </c>
      <c r="CH139" s="1354"/>
      <c r="CI139" s="1354">
        <f t="shared" ca="1" si="23"/>
        <v>0</v>
      </c>
      <c r="CJ139" s="1354"/>
      <c r="CK139" s="1354">
        <f t="shared" ca="1" si="24"/>
        <v>0</v>
      </c>
      <c r="CL139" s="1354"/>
      <c r="CM139" s="1354">
        <f t="shared" ca="1" si="25"/>
        <v>0</v>
      </c>
      <c r="CN139" s="1354"/>
      <c r="CO139" s="1354">
        <f t="shared" ca="1" si="26"/>
        <v>0</v>
      </c>
      <c r="CP139" s="1354"/>
      <c r="CQ139" s="1354">
        <f t="shared" ca="1" si="27"/>
        <v>0</v>
      </c>
      <c r="CR139" s="1354"/>
      <c r="CS139" s="1354">
        <f t="shared" ca="1" si="28"/>
        <v>0</v>
      </c>
      <c r="CT139" s="1354"/>
      <c r="CU139" s="1354">
        <f t="shared" ca="1" si="29"/>
        <v>0</v>
      </c>
      <c r="CV139" s="1354"/>
      <c r="CW139" s="1354">
        <f t="shared" ca="1" si="30"/>
        <v>0</v>
      </c>
      <c r="CX139" s="1354"/>
      <c r="CY139" s="1354">
        <f t="shared" ca="1" si="31"/>
        <v>0</v>
      </c>
      <c r="CZ139" s="1354"/>
      <c r="DA139" s="1354">
        <f t="shared" ca="1" si="32"/>
        <v>0</v>
      </c>
      <c r="DB139" s="1354"/>
      <c r="DC139" s="1354">
        <f t="shared" ca="1" si="33"/>
        <v>0</v>
      </c>
      <c r="DD139" s="1354"/>
      <c r="DE139" s="1354">
        <f t="shared" ca="1" si="34"/>
        <v>0</v>
      </c>
      <c r="DF139" s="1354"/>
      <c r="DG139" s="1354">
        <f t="shared" ca="1" si="35"/>
        <v>0</v>
      </c>
      <c r="DH139" s="1354"/>
      <c r="DI139" s="1354">
        <f t="shared" ca="1" si="36"/>
        <v>0</v>
      </c>
      <c r="DJ139" s="1354"/>
      <c r="DK139" s="1354">
        <f t="shared" ca="1" si="37"/>
        <v>0</v>
      </c>
      <c r="DL139" s="1354"/>
      <c r="DM139" s="1354">
        <f t="shared" ca="1" si="38"/>
        <v>0</v>
      </c>
      <c r="DN139" s="1354"/>
    </row>
    <row r="140" spans="1:118" ht="20.100000000000001" customHeight="1" outlineLevel="1" x14ac:dyDescent="0.25">
      <c r="A140" s="18"/>
      <c r="B140" s="18"/>
      <c r="C140" s="18"/>
      <c r="D140" s="1"/>
      <c r="E140" s="2"/>
      <c r="F140" s="1377"/>
      <c r="G140" s="1377"/>
      <c r="H140" s="1377"/>
      <c r="I140" s="1377"/>
      <c r="J140" s="1377"/>
      <c r="K140" s="1377"/>
      <c r="L140" s="1377"/>
      <c r="M140" s="1384" t="s">
        <v>7112</v>
      </c>
      <c r="N140" s="1384"/>
      <c r="O140" s="1384"/>
      <c r="P140" s="1384"/>
      <c r="Q140" s="1375" t="str">
        <f ca="1">'Calculos(2)'!BZ19</f>
        <v>-</v>
      </c>
      <c r="R140" s="1376"/>
      <c r="S140" s="1375" t="str">
        <f ca="1">'Calculos(2)'!BZ35</f>
        <v>-</v>
      </c>
      <c r="T140" s="1376"/>
      <c r="U140" s="1375" t="str">
        <f ca="1">'Calculos(2)'!BZ51</f>
        <v>-</v>
      </c>
      <c r="V140" s="1376"/>
      <c r="W140" s="1375" t="str">
        <f ca="1">'Calculos(2)'!BZ67</f>
        <v>-</v>
      </c>
      <c r="X140" s="1376"/>
      <c r="Y140" s="1375" t="str">
        <f ca="1">'Calculos(2)'!BZ83</f>
        <v>-</v>
      </c>
      <c r="Z140" s="1376"/>
      <c r="AA140" s="1375" t="str">
        <f ca="1">'Calculos(2)'!BZ99</f>
        <v>-</v>
      </c>
      <c r="AB140" s="1376"/>
      <c r="AC140" s="1375" t="str">
        <f ca="1">'Calculos(2)'!BZ115</f>
        <v>-</v>
      </c>
      <c r="AD140" s="1376"/>
      <c r="AE140" s="1375" t="str">
        <f ca="1">'Calculos(2)'!BZ131</f>
        <v>-</v>
      </c>
      <c r="AF140" s="1376"/>
      <c r="AG140" s="1375" t="str">
        <f ca="1">'Calculos(2)'!BZ147</f>
        <v>-</v>
      </c>
      <c r="AH140" s="1376"/>
      <c r="AI140" s="1375" t="str">
        <f ca="1">'Calculos(2)'!BZ163</f>
        <v>-</v>
      </c>
      <c r="AJ140" s="1376"/>
      <c r="AK140" s="1375" t="str">
        <f ca="1">'Calculos(2)'!BZ179</f>
        <v>-</v>
      </c>
      <c r="AL140" s="1376"/>
      <c r="AM140" s="1375" t="str">
        <f ca="1">'Calculos(2)'!BZ195</f>
        <v>-</v>
      </c>
      <c r="AN140" s="1376"/>
      <c r="AO140" s="1375" t="str">
        <f ca="1">'Calculos(2)'!BZ211</f>
        <v>-</v>
      </c>
      <c r="AP140" s="1376"/>
      <c r="AQ140" s="1375" t="str">
        <f ca="1">'Calculos(2)'!BZ227</f>
        <v>-</v>
      </c>
      <c r="AR140" s="1376"/>
      <c r="AS140" s="1375" t="str">
        <f ca="1">'Calculos(2)'!BZ243</f>
        <v>-</v>
      </c>
      <c r="AT140" s="1376"/>
      <c r="AU140" s="1375" t="str">
        <f ca="1">'Calculos(2)'!BZ259</f>
        <v>-</v>
      </c>
      <c r="AV140" s="1376"/>
      <c r="AW140" s="1375" t="str">
        <f ca="1">'Calculos(2)'!BZ275</f>
        <v>-</v>
      </c>
      <c r="AX140" s="1376"/>
      <c r="AY140" s="1375" t="str">
        <f ca="1">'Calculos(2)'!BZ291</f>
        <v>-</v>
      </c>
      <c r="AZ140" s="1376"/>
      <c r="BA140" s="1375" t="str">
        <f ca="1">'Calculos(2)'!BZ307</f>
        <v>-</v>
      </c>
      <c r="BB140" s="1376"/>
      <c r="BC140" s="1375" t="str">
        <f ca="1">'Calculos(2)'!BZ323</f>
        <v>-</v>
      </c>
      <c r="BD140" s="1376"/>
      <c r="CA140" s="1354">
        <f t="shared" ca="1" si="39"/>
        <v>0</v>
      </c>
      <c r="CB140" s="1354"/>
      <c r="CC140" s="1354">
        <f t="shared" ca="1" si="20"/>
        <v>0</v>
      </c>
      <c r="CD140" s="1354"/>
      <c r="CE140" s="1354">
        <f t="shared" ca="1" si="21"/>
        <v>0</v>
      </c>
      <c r="CF140" s="1354"/>
      <c r="CG140" s="1354">
        <f t="shared" ca="1" si="22"/>
        <v>0</v>
      </c>
      <c r="CH140" s="1354"/>
      <c r="CI140" s="1354">
        <f t="shared" ca="1" si="23"/>
        <v>0</v>
      </c>
      <c r="CJ140" s="1354"/>
      <c r="CK140" s="1354">
        <f t="shared" ca="1" si="24"/>
        <v>0</v>
      </c>
      <c r="CL140" s="1354"/>
      <c r="CM140" s="1354">
        <f t="shared" ca="1" si="25"/>
        <v>0</v>
      </c>
      <c r="CN140" s="1354"/>
      <c r="CO140" s="1354">
        <f t="shared" ca="1" si="26"/>
        <v>0</v>
      </c>
      <c r="CP140" s="1354"/>
      <c r="CQ140" s="1354">
        <f t="shared" ca="1" si="27"/>
        <v>0</v>
      </c>
      <c r="CR140" s="1354"/>
      <c r="CS140" s="1354">
        <f t="shared" ca="1" si="28"/>
        <v>0</v>
      </c>
      <c r="CT140" s="1354"/>
      <c r="CU140" s="1354">
        <f t="shared" ca="1" si="29"/>
        <v>0</v>
      </c>
      <c r="CV140" s="1354"/>
      <c r="CW140" s="1354">
        <f t="shared" ca="1" si="30"/>
        <v>0</v>
      </c>
      <c r="CX140" s="1354"/>
      <c r="CY140" s="1354">
        <f t="shared" ca="1" si="31"/>
        <v>0</v>
      </c>
      <c r="CZ140" s="1354"/>
      <c r="DA140" s="1354">
        <f t="shared" ca="1" si="32"/>
        <v>0</v>
      </c>
      <c r="DB140" s="1354"/>
      <c r="DC140" s="1354">
        <f t="shared" ca="1" si="33"/>
        <v>0</v>
      </c>
      <c r="DD140" s="1354"/>
      <c r="DE140" s="1354">
        <f t="shared" ca="1" si="34"/>
        <v>0</v>
      </c>
      <c r="DF140" s="1354"/>
      <c r="DG140" s="1354">
        <f t="shared" ca="1" si="35"/>
        <v>0</v>
      </c>
      <c r="DH140" s="1354"/>
      <c r="DI140" s="1354">
        <f t="shared" ca="1" si="36"/>
        <v>0</v>
      </c>
      <c r="DJ140" s="1354"/>
      <c r="DK140" s="1354">
        <f t="shared" ca="1" si="37"/>
        <v>0</v>
      </c>
      <c r="DL140" s="1354"/>
      <c r="DM140" s="1354">
        <f t="shared" ca="1" si="38"/>
        <v>0</v>
      </c>
      <c r="DN140" s="1354"/>
    </row>
    <row r="141" spans="1:118" ht="20.100000000000001" customHeight="1" outlineLevel="1" x14ac:dyDescent="0.25">
      <c r="A141" s="18"/>
      <c r="B141" s="18"/>
      <c r="C141" s="18"/>
      <c r="D141" s="1"/>
      <c r="E141" s="2"/>
      <c r="F141" s="1377"/>
      <c r="G141" s="1377"/>
      <c r="H141" s="1377"/>
      <c r="I141" s="1377"/>
      <c r="J141" s="1377"/>
      <c r="K141" s="1377"/>
      <c r="L141" s="1377"/>
      <c r="M141" s="1384" t="s">
        <v>7113</v>
      </c>
      <c r="N141" s="1384"/>
      <c r="O141" s="1384"/>
      <c r="P141" s="1384"/>
      <c r="Q141" s="1375" t="str">
        <f ca="1">'Calculos(2)'!BZ20</f>
        <v>-</v>
      </c>
      <c r="R141" s="1376"/>
      <c r="S141" s="1375" t="str">
        <f ca="1">'Calculos(2)'!BZ36</f>
        <v>-</v>
      </c>
      <c r="T141" s="1376"/>
      <c r="U141" s="1375" t="str">
        <f ca="1">'Calculos(2)'!BZ52</f>
        <v>-</v>
      </c>
      <c r="V141" s="1376"/>
      <c r="W141" s="1375" t="str">
        <f ca="1">'Calculos(2)'!BZ68</f>
        <v>-</v>
      </c>
      <c r="X141" s="1376"/>
      <c r="Y141" s="1375" t="str">
        <f ca="1">'Calculos(2)'!BZ84</f>
        <v>-</v>
      </c>
      <c r="Z141" s="1376"/>
      <c r="AA141" s="1375" t="str">
        <f ca="1">'Calculos(2)'!BZ100</f>
        <v>-</v>
      </c>
      <c r="AB141" s="1376"/>
      <c r="AC141" s="1375" t="str">
        <f ca="1">'Calculos(2)'!BZ116</f>
        <v>-</v>
      </c>
      <c r="AD141" s="1376"/>
      <c r="AE141" s="1375" t="str">
        <f ca="1">'Calculos(2)'!BZ132</f>
        <v>-</v>
      </c>
      <c r="AF141" s="1376"/>
      <c r="AG141" s="1375" t="str">
        <f ca="1">'Calculos(2)'!BZ148</f>
        <v>-</v>
      </c>
      <c r="AH141" s="1376"/>
      <c r="AI141" s="1375" t="str">
        <f ca="1">'Calculos(2)'!BZ164</f>
        <v>-</v>
      </c>
      <c r="AJ141" s="1376"/>
      <c r="AK141" s="1375" t="str">
        <f ca="1">'Calculos(2)'!BZ180</f>
        <v>-</v>
      </c>
      <c r="AL141" s="1376"/>
      <c r="AM141" s="1375" t="str">
        <f ca="1">'Calculos(2)'!BZ196</f>
        <v>-</v>
      </c>
      <c r="AN141" s="1376"/>
      <c r="AO141" s="1375" t="str">
        <f ca="1">'Calculos(2)'!BZ212</f>
        <v>-</v>
      </c>
      <c r="AP141" s="1376"/>
      <c r="AQ141" s="1375" t="str">
        <f ca="1">'Calculos(2)'!BZ228</f>
        <v>-</v>
      </c>
      <c r="AR141" s="1376"/>
      <c r="AS141" s="1375" t="str">
        <f ca="1">'Calculos(2)'!BZ244</f>
        <v>-</v>
      </c>
      <c r="AT141" s="1376"/>
      <c r="AU141" s="1375" t="str">
        <f ca="1">'Calculos(2)'!BZ260</f>
        <v>-</v>
      </c>
      <c r="AV141" s="1376"/>
      <c r="AW141" s="1375" t="str">
        <f ca="1">'Calculos(2)'!BZ276</f>
        <v>-</v>
      </c>
      <c r="AX141" s="1376"/>
      <c r="AY141" s="1375" t="str">
        <f ca="1">'Calculos(2)'!BZ292</f>
        <v>-</v>
      </c>
      <c r="AZ141" s="1376"/>
      <c r="BA141" s="1375" t="str">
        <f ca="1">'Calculos(2)'!BZ308</f>
        <v>-</v>
      </c>
      <c r="BB141" s="1376"/>
      <c r="BC141" s="1375" t="str">
        <f ca="1">'Calculos(2)'!BZ324</f>
        <v>-</v>
      </c>
      <c r="BD141" s="1376"/>
      <c r="CA141" s="1354">
        <f t="shared" ca="1" si="39"/>
        <v>0</v>
      </c>
      <c r="CB141" s="1354"/>
      <c r="CC141" s="1354">
        <f t="shared" ca="1" si="20"/>
        <v>0</v>
      </c>
      <c r="CD141" s="1354"/>
      <c r="CE141" s="1354">
        <f t="shared" ca="1" si="21"/>
        <v>0</v>
      </c>
      <c r="CF141" s="1354"/>
      <c r="CG141" s="1354">
        <f t="shared" ca="1" si="22"/>
        <v>0</v>
      </c>
      <c r="CH141" s="1354"/>
      <c r="CI141" s="1354">
        <f t="shared" ca="1" si="23"/>
        <v>0</v>
      </c>
      <c r="CJ141" s="1354"/>
      <c r="CK141" s="1354">
        <f t="shared" ca="1" si="24"/>
        <v>0</v>
      </c>
      <c r="CL141" s="1354"/>
      <c r="CM141" s="1354">
        <f t="shared" ca="1" si="25"/>
        <v>0</v>
      </c>
      <c r="CN141" s="1354"/>
      <c r="CO141" s="1354">
        <f t="shared" ca="1" si="26"/>
        <v>0</v>
      </c>
      <c r="CP141" s="1354"/>
      <c r="CQ141" s="1354">
        <f t="shared" ca="1" si="27"/>
        <v>0</v>
      </c>
      <c r="CR141" s="1354"/>
      <c r="CS141" s="1354">
        <f t="shared" ca="1" si="28"/>
        <v>0</v>
      </c>
      <c r="CT141" s="1354"/>
      <c r="CU141" s="1354">
        <f t="shared" ca="1" si="29"/>
        <v>0</v>
      </c>
      <c r="CV141" s="1354"/>
      <c r="CW141" s="1354">
        <f t="shared" ca="1" si="30"/>
        <v>0</v>
      </c>
      <c r="CX141" s="1354"/>
      <c r="CY141" s="1354">
        <f t="shared" ca="1" si="31"/>
        <v>0</v>
      </c>
      <c r="CZ141" s="1354"/>
      <c r="DA141" s="1354">
        <f t="shared" ca="1" si="32"/>
        <v>0</v>
      </c>
      <c r="DB141" s="1354"/>
      <c r="DC141" s="1354">
        <f t="shared" ca="1" si="33"/>
        <v>0</v>
      </c>
      <c r="DD141" s="1354"/>
      <c r="DE141" s="1354">
        <f t="shared" ca="1" si="34"/>
        <v>0</v>
      </c>
      <c r="DF141" s="1354"/>
      <c r="DG141" s="1354">
        <f t="shared" ca="1" si="35"/>
        <v>0</v>
      </c>
      <c r="DH141" s="1354"/>
      <c r="DI141" s="1354">
        <f t="shared" ca="1" si="36"/>
        <v>0</v>
      </c>
      <c r="DJ141" s="1354"/>
      <c r="DK141" s="1354">
        <f t="shared" ca="1" si="37"/>
        <v>0</v>
      </c>
      <c r="DL141" s="1354"/>
      <c r="DM141" s="1354">
        <f t="shared" ca="1" si="38"/>
        <v>0</v>
      </c>
      <c r="DN141" s="1354"/>
    </row>
    <row r="142" spans="1:118" ht="20.100000000000001" customHeight="1" outlineLevel="1" x14ac:dyDescent="0.25">
      <c r="A142" s="18"/>
      <c r="B142" s="18"/>
      <c r="C142" s="18"/>
      <c r="D142" s="1"/>
      <c r="E142" s="2"/>
      <c r="F142" s="1377"/>
      <c r="G142" s="1377"/>
      <c r="H142" s="1377"/>
      <c r="I142" s="1377"/>
      <c r="J142" s="1377"/>
      <c r="K142" s="1377"/>
      <c r="L142" s="1377"/>
      <c r="M142" s="1384" t="s">
        <v>80</v>
      </c>
      <c r="N142" s="1384"/>
      <c r="O142" s="1384"/>
      <c r="P142" s="1384"/>
      <c r="Q142" s="1375" t="str">
        <f ca="1">'Calculos(2)'!BZ21</f>
        <v>-</v>
      </c>
      <c r="R142" s="1376"/>
      <c r="S142" s="1375" t="str">
        <f ca="1">'Calculos(2)'!BZ37</f>
        <v>-</v>
      </c>
      <c r="T142" s="1376"/>
      <c r="U142" s="1375" t="str">
        <f ca="1">'Calculos(2)'!BZ53</f>
        <v>-</v>
      </c>
      <c r="V142" s="1376"/>
      <c r="W142" s="1375" t="str">
        <f ca="1">'Calculos(2)'!BZ69</f>
        <v>-</v>
      </c>
      <c r="X142" s="1376"/>
      <c r="Y142" s="1375" t="str">
        <f ca="1">'Calculos(2)'!BZ85</f>
        <v>-</v>
      </c>
      <c r="Z142" s="1376"/>
      <c r="AA142" s="1375" t="str">
        <f ca="1">'Calculos(2)'!BZ101</f>
        <v>-</v>
      </c>
      <c r="AB142" s="1376"/>
      <c r="AC142" s="1375" t="str">
        <f ca="1">'Calculos(2)'!BZ117</f>
        <v>-</v>
      </c>
      <c r="AD142" s="1376"/>
      <c r="AE142" s="1375" t="str">
        <f ca="1">'Calculos(2)'!BZ133</f>
        <v>-</v>
      </c>
      <c r="AF142" s="1376"/>
      <c r="AG142" s="1375" t="str">
        <f ca="1">'Calculos(2)'!BZ149</f>
        <v>-</v>
      </c>
      <c r="AH142" s="1376"/>
      <c r="AI142" s="1375" t="str">
        <f ca="1">'Calculos(2)'!BZ165</f>
        <v>-</v>
      </c>
      <c r="AJ142" s="1376"/>
      <c r="AK142" s="1375" t="str">
        <f ca="1">'Calculos(2)'!BZ181</f>
        <v>-</v>
      </c>
      <c r="AL142" s="1376"/>
      <c r="AM142" s="1375" t="str">
        <f ca="1">'Calculos(2)'!BZ197</f>
        <v>-</v>
      </c>
      <c r="AN142" s="1376"/>
      <c r="AO142" s="1375" t="str">
        <f ca="1">'Calculos(2)'!BZ213</f>
        <v>-</v>
      </c>
      <c r="AP142" s="1376"/>
      <c r="AQ142" s="1375" t="str">
        <f ca="1">'Calculos(2)'!BZ229</f>
        <v>-</v>
      </c>
      <c r="AR142" s="1376"/>
      <c r="AS142" s="1375" t="str">
        <f ca="1">'Calculos(2)'!BZ245</f>
        <v>-</v>
      </c>
      <c r="AT142" s="1376"/>
      <c r="AU142" s="1375" t="str">
        <f ca="1">'Calculos(2)'!BZ261</f>
        <v>-</v>
      </c>
      <c r="AV142" s="1376"/>
      <c r="AW142" s="1375" t="str">
        <f ca="1">'Calculos(2)'!BZ277</f>
        <v>-</v>
      </c>
      <c r="AX142" s="1376"/>
      <c r="AY142" s="1375" t="str">
        <f ca="1">'Calculos(2)'!BZ293</f>
        <v>-</v>
      </c>
      <c r="AZ142" s="1376"/>
      <c r="BA142" s="1375" t="str">
        <f ca="1">'Calculos(2)'!BZ309</f>
        <v>-</v>
      </c>
      <c r="BB142" s="1376"/>
      <c r="BC142" s="1375" t="str">
        <f ca="1">'Calculos(2)'!BZ325</f>
        <v>-</v>
      </c>
      <c r="BD142" s="1376"/>
      <c r="CA142" s="1354">
        <f t="shared" ca="1" si="39"/>
        <v>0</v>
      </c>
      <c r="CB142" s="1354"/>
      <c r="CC142" s="1354">
        <f t="shared" ca="1" si="20"/>
        <v>0</v>
      </c>
      <c r="CD142" s="1354"/>
      <c r="CE142" s="1354">
        <f t="shared" ca="1" si="21"/>
        <v>0</v>
      </c>
      <c r="CF142" s="1354"/>
      <c r="CG142" s="1354">
        <f t="shared" ca="1" si="22"/>
        <v>0</v>
      </c>
      <c r="CH142" s="1354"/>
      <c r="CI142" s="1354">
        <f t="shared" ca="1" si="23"/>
        <v>0</v>
      </c>
      <c r="CJ142" s="1354"/>
      <c r="CK142" s="1354">
        <f t="shared" ca="1" si="24"/>
        <v>0</v>
      </c>
      <c r="CL142" s="1354"/>
      <c r="CM142" s="1354">
        <f t="shared" ca="1" si="25"/>
        <v>0</v>
      </c>
      <c r="CN142" s="1354"/>
      <c r="CO142" s="1354">
        <f t="shared" ca="1" si="26"/>
        <v>0</v>
      </c>
      <c r="CP142" s="1354"/>
      <c r="CQ142" s="1354">
        <f t="shared" ca="1" si="27"/>
        <v>0</v>
      </c>
      <c r="CR142" s="1354"/>
      <c r="CS142" s="1354">
        <f t="shared" ca="1" si="28"/>
        <v>0</v>
      </c>
      <c r="CT142" s="1354"/>
      <c r="CU142" s="1354">
        <f t="shared" ca="1" si="29"/>
        <v>0</v>
      </c>
      <c r="CV142" s="1354"/>
      <c r="CW142" s="1354">
        <f t="shared" ca="1" si="30"/>
        <v>0</v>
      </c>
      <c r="CX142" s="1354"/>
      <c r="CY142" s="1354">
        <f t="shared" ca="1" si="31"/>
        <v>0</v>
      </c>
      <c r="CZ142" s="1354"/>
      <c r="DA142" s="1354">
        <f t="shared" ca="1" si="32"/>
        <v>0</v>
      </c>
      <c r="DB142" s="1354"/>
      <c r="DC142" s="1354">
        <f t="shared" ca="1" si="33"/>
        <v>0</v>
      </c>
      <c r="DD142" s="1354"/>
      <c r="DE142" s="1354">
        <f t="shared" ca="1" si="34"/>
        <v>0</v>
      </c>
      <c r="DF142" s="1354"/>
      <c r="DG142" s="1354">
        <f t="shared" ca="1" si="35"/>
        <v>0</v>
      </c>
      <c r="DH142" s="1354"/>
      <c r="DI142" s="1354">
        <f t="shared" ca="1" si="36"/>
        <v>0</v>
      </c>
      <c r="DJ142" s="1354"/>
      <c r="DK142" s="1354">
        <f t="shared" ca="1" si="37"/>
        <v>0</v>
      </c>
      <c r="DL142" s="1354"/>
      <c r="DM142" s="1354">
        <f t="shared" ca="1" si="38"/>
        <v>0</v>
      </c>
      <c r="DN142" s="1354"/>
    </row>
    <row r="143" spans="1:118" ht="30" customHeight="1" outlineLevel="1" x14ac:dyDescent="0.25">
      <c r="A143" s="18"/>
      <c r="B143" s="18"/>
      <c r="C143" s="18"/>
      <c r="D143" s="1"/>
      <c r="E143" s="2"/>
      <c r="F143" s="1377" t="s">
        <v>353</v>
      </c>
      <c r="G143" s="1377"/>
      <c r="H143" s="1377"/>
      <c r="I143" s="1377"/>
      <c r="J143" s="1377"/>
      <c r="K143" s="1377"/>
      <c r="L143" s="1377"/>
      <c r="M143" s="1377"/>
      <c r="N143" s="1377"/>
      <c r="O143" s="1377"/>
      <c r="P143" s="1377"/>
      <c r="Q143" s="1364" t="str">
        <f ca="1">'Calculos(2)'!BK360</f>
        <v>-</v>
      </c>
      <c r="R143" s="1365"/>
      <c r="S143" s="1364" t="str">
        <f ca="1">'Calculos(2)'!BL360</f>
        <v>-</v>
      </c>
      <c r="T143" s="1365"/>
      <c r="U143" s="1364" t="str">
        <f ca="1">'Calculos(2)'!BM360</f>
        <v>-</v>
      </c>
      <c r="V143" s="1365"/>
      <c r="W143" s="1364" t="str">
        <f ca="1">'Calculos(2)'!BN360</f>
        <v>-</v>
      </c>
      <c r="X143" s="1365"/>
      <c r="Y143" s="1364" t="str">
        <f ca="1">'Calculos(2)'!BO360</f>
        <v>-</v>
      </c>
      <c r="Z143" s="1365"/>
      <c r="AA143" s="1364" t="str">
        <f ca="1">'Calculos(2)'!BP360</f>
        <v>-</v>
      </c>
      <c r="AB143" s="1365"/>
      <c r="AC143" s="1364" t="str">
        <f ca="1">'Calculos(2)'!BQ360</f>
        <v>-</v>
      </c>
      <c r="AD143" s="1365"/>
      <c r="AE143" s="1364" t="str">
        <f ca="1">'Calculos(2)'!BR360</f>
        <v>-</v>
      </c>
      <c r="AF143" s="1365"/>
      <c r="AG143" s="1364" t="str">
        <f ca="1">'Calculos(2)'!BS360</f>
        <v>-</v>
      </c>
      <c r="AH143" s="1365"/>
      <c r="AI143" s="1364" t="str">
        <f ca="1">'Calculos(2)'!BT360</f>
        <v>-</v>
      </c>
      <c r="AJ143" s="1365"/>
      <c r="AK143" s="1364" t="str">
        <f ca="1">'Calculos(2)'!BU360</f>
        <v>-</v>
      </c>
      <c r="AL143" s="1365"/>
      <c r="AM143" s="1364" t="str">
        <f ca="1">'Calculos(2)'!BV360</f>
        <v>-</v>
      </c>
      <c r="AN143" s="1365"/>
      <c r="AO143" s="1364" t="str">
        <f ca="1">'Calculos(2)'!BW360</f>
        <v>-</v>
      </c>
      <c r="AP143" s="1365"/>
      <c r="AQ143" s="1364" t="str">
        <f ca="1">'Calculos(2)'!BX360</f>
        <v>-</v>
      </c>
      <c r="AR143" s="1365"/>
      <c r="AS143" s="1364" t="str">
        <f ca="1">'Calculos(2)'!BY360</f>
        <v>-</v>
      </c>
      <c r="AT143" s="1365"/>
      <c r="AU143" s="1364" t="str">
        <f ca="1">'Calculos(2)'!BZ360</f>
        <v>-</v>
      </c>
      <c r="AV143" s="1365"/>
      <c r="AW143" s="1364" t="str">
        <f ca="1">'Calculos(2)'!CA360</f>
        <v>-</v>
      </c>
      <c r="AX143" s="1365"/>
      <c r="AY143" s="1364" t="str">
        <f ca="1">'Calculos(2)'!CB360</f>
        <v>-</v>
      </c>
      <c r="AZ143" s="1365"/>
      <c r="BA143" s="1364" t="str">
        <f ca="1">'Calculos(2)'!CC360</f>
        <v>-</v>
      </c>
      <c r="BB143" s="1365"/>
      <c r="BC143" s="1364" t="str">
        <f ca="1">'Calculos(2)'!CD360</f>
        <v>-</v>
      </c>
      <c r="BD143" s="1365"/>
    </row>
    <row r="144" spans="1:118" ht="30" customHeight="1" outlineLevel="1" x14ac:dyDescent="0.25">
      <c r="A144" s="18"/>
      <c r="B144" s="18"/>
      <c r="C144" s="18"/>
      <c r="D144" s="1"/>
      <c r="E144" s="2"/>
      <c r="F144" s="1377" t="s">
        <v>6059</v>
      </c>
      <c r="G144" s="1377"/>
      <c r="H144" s="1377"/>
      <c r="I144" s="1377"/>
      <c r="J144" s="1377"/>
      <c r="K144" s="1377"/>
      <c r="L144" s="1377"/>
      <c r="M144" s="1377"/>
      <c r="N144" s="1377"/>
      <c r="O144" s="1377"/>
      <c r="P144" s="1377"/>
      <c r="Q144" s="1364" t="str">
        <f ca="1">'Calculos(2)'!BK373</f>
        <v>-</v>
      </c>
      <c r="R144" s="1365"/>
      <c r="S144" s="1364" t="str">
        <f ca="1">'Calculos(2)'!BL373</f>
        <v>-</v>
      </c>
      <c r="T144" s="1365"/>
      <c r="U144" s="1364" t="str">
        <f ca="1">'Calculos(2)'!BM373</f>
        <v>-</v>
      </c>
      <c r="V144" s="1365"/>
      <c r="W144" s="1364" t="str">
        <f ca="1">'Calculos(2)'!BN373</f>
        <v>-</v>
      </c>
      <c r="X144" s="1365"/>
      <c r="Y144" s="1364" t="str">
        <f ca="1">'Calculos(2)'!BO373</f>
        <v>-</v>
      </c>
      <c r="Z144" s="1365"/>
      <c r="AA144" s="1364" t="str">
        <f ca="1">'Calculos(2)'!BP373</f>
        <v>-</v>
      </c>
      <c r="AB144" s="1365"/>
      <c r="AC144" s="1364" t="str">
        <f ca="1">'Calculos(2)'!BQ373</f>
        <v>-</v>
      </c>
      <c r="AD144" s="1365"/>
      <c r="AE144" s="1364" t="str">
        <f ca="1">'Calculos(2)'!BR373</f>
        <v>-</v>
      </c>
      <c r="AF144" s="1365"/>
      <c r="AG144" s="1364" t="str">
        <f ca="1">'Calculos(2)'!BS373</f>
        <v>-</v>
      </c>
      <c r="AH144" s="1365"/>
      <c r="AI144" s="1364" t="str">
        <f ca="1">'Calculos(2)'!BT373</f>
        <v>-</v>
      </c>
      <c r="AJ144" s="1365"/>
      <c r="AK144" s="1364" t="str">
        <f ca="1">'Calculos(2)'!BU373</f>
        <v>-</v>
      </c>
      <c r="AL144" s="1365"/>
      <c r="AM144" s="1364" t="str">
        <f ca="1">'Calculos(2)'!BV373</f>
        <v>-</v>
      </c>
      <c r="AN144" s="1365"/>
      <c r="AO144" s="1364" t="str">
        <f ca="1">'Calculos(2)'!BW373</f>
        <v>-</v>
      </c>
      <c r="AP144" s="1365"/>
      <c r="AQ144" s="1364" t="str">
        <f ca="1">'Calculos(2)'!BX373</f>
        <v>-</v>
      </c>
      <c r="AR144" s="1365"/>
      <c r="AS144" s="1364" t="str">
        <f ca="1">'Calculos(2)'!BY373</f>
        <v>-</v>
      </c>
      <c r="AT144" s="1365"/>
      <c r="AU144" s="1364" t="str">
        <f ca="1">'Calculos(2)'!BZ373</f>
        <v>-</v>
      </c>
      <c r="AV144" s="1365"/>
      <c r="AW144" s="1364" t="str">
        <f ca="1">'Calculos(2)'!CA373</f>
        <v>-</v>
      </c>
      <c r="AX144" s="1365"/>
      <c r="AY144" s="1364" t="str">
        <f ca="1">'Calculos(2)'!CB373</f>
        <v>-</v>
      </c>
      <c r="AZ144" s="1365"/>
      <c r="BA144" s="1364" t="str">
        <f ca="1">'Calculos(2)'!CC373</f>
        <v>-</v>
      </c>
      <c r="BB144" s="1365"/>
      <c r="BC144" s="1364" t="str">
        <f ca="1">'Calculos(2)'!CD373</f>
        <v>-</v>
      </c>
      <c r="BD144" s="1365"/>
    </row>
    <row r="145" spans="1:57" ht="20.100000000000001" customHeight="1" outlineLevel="1" x14ac:dyDescent="0.25">
      <c r="A145" s="18"/>
      <c r="B145" s="18"/>
      <c r="C145" s="18"/>
      <c r="D145" s="1"/>
      <c r="E145" s="2"/>
      <c r="F145" s="314"/>
      <c r="G145" s="314"/>
      <c r="H145" s="314"/>
      <c r="I145" s="314"/>
      <c r="J145" s="314"/>
      <c r="K145" s="314"/>
      <c r="L145" s="314"/>
      <c r="M145" s="314"/>
      <c r="N145" s="2"/>
      <c r="O145" s="2"/>
      <c r="P145" s="2"/>
      <c r="Q145" s="249" t="s">
        <v>6036</v>
      </c>
      <c r="R145" s="2"/>
      <c r="S145" s="2"/>
      <c r="T145" s="2"/>
      <c r="U145" s="2"/>
      <c r="V145" s="2"/>
      <c r="W145" s="249"/>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20.100000000000001" customHeight="1" collapsed="1" x14ac:dyDescent="0.25">
      <c r="A146" s="18"/>
      <c r="B146" s="18"/>
      <c r="C146" s="18"/>
      <c r="D146" s="1"/>
      <c r="E146" s="7"/>
      <c r="F146" s="1"/>
      <c r="G146" s="1"/>
      <c r="H146" s="1"/>
      <c r="I146" s="1"/>
      <c r="J146" s="1"/>
      <c r="K146" s="1"/>
      <c r="L146" s="1"/>
      <c r="M146" s="1"/>
      <c r="N146" s="1"/>
      <c r="O146" s="1"/>
      <c r="P146" s="1"/>
      <c r="Q146" s="1"/>
      <c r="R146" s="1"/>
      <c r="S146" s="1"/>
      <c r="T146" s="1"/>
      <c r="U146" s="1"/>
      <c r="V146" s="1"/>
      <c r="W146" s="316"/>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row>
    <row r="147" spans="1:57" ht="20.100000000000001" customHeight="1" x14ac:dyDescent="0.25">
      <c r="A147" s="18"/>
      <c r="B147" s="18"/>
      <c r="C147" s="18"/>
      <c r="D147" s="1"/>
      <c r="E147" s="2"/>
      <c r="F147" s="2"/>
      <c r="G147" s="2"/>
      <c r="H147" s="2"/>
      <c r="I147" s="2"/>
      <c r="J147" s="2"/>
      <c r="K147" s="2"/>
      <c r="L147" s="2"/>
      <c r="M147" s="2"/>
      <c r="N147" s="2"/>
      <c r="O147" s="2"/>
      <c r="P147" s="2"/>
      <c r="Q147" s="2"/>
      <c r="R147" s="2"/>
      <c r="S147" s="2"/>
      <c r="T147" s="2"/>
      <c r="U147" s="2"/>
      <c r="V147" s="2"/>
      <c r="W147" s="249"/>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20.100000000000001" customHeight="1" x14ac:dyDescent="0.25">
      <c r="A148" s="18"/>
      <c r="B148" s="18"/>
      <c r="C148" s="18"/>
      <c r="D148" s="1"/>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20.100000000000001" customHeight="1" x14ac:dyDescent="0.25">
      <c r="A149" s="18"/>
      <c r="B149" s="18"/>
      <c r="C149" s="18"/>
      <c r="D149" s="1"/>
      <c r="E149" s="2"/>
      <c r="F149" s="1149" t="s">
        <v>89</v>
      </c>
      <c r="G149" s="1094"/>
      <c r="H149" s="1094"/>
      <c r="I149" s="1094"/>
      <c r="J149" s="1094"/>
      <c r="K149" s="1094"/>
      <c r="L149" s="1104"/>
      <c r="M149" s="148"/>
      <c r="N149" s="1259"/>
      <c r="O149" s="1260"/>
      <c r="P149" s="1260"/>
      <c r="Q149" s="1260"/>
      <c r="R149" s="1260"/>
      <c r="S149" s="1261"/>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30" customHeight="1" x14ac:dyDescent="0.25">
      <c r="A150" s="18"/>
      <c r="B150" s="18"/>
      <c r="C150" s="18"/>
      <c r="D150" s="1"/>
      <c r="E150" s="2"/>
      <c r="F150" s="1149" t="s">
        <v>352</v>
      </c>
      <c r="G150" s="1094"/>
      <c r="H150" s="1094"/>
      <c r="I150" s="1094"/>
      <c r="J150" s="1094"/>
      <c r="K150" s="1094"/>
      <c r="L150" s="1104"/>
      <c r="M150" s="148" t="s">
        <v>186</v>
      </c>
      <c r="N150" s="1259"/>
      <c r="O150" s="1260"/>
      <c r="P150" s="1260"/>
      <c r="Q150" s="1260"/>
      <c r="R150" s="1260"/>
      <c r="S150" s="1261"/>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30" customHeight="1" x14ac:dyDescent="0.25">
      <c r="A151" s="18"/>
      <c r="B151" s="18"/>
      <c r="C151" s="18"/>
      <c r="D151" s="1"/>
      <c r="E151" s="2"/>
      <c r="F151" s="1149" t="s">
        <v>130</v>
      </c>
      <c r="G151" s="1094"/>
      <c r="H151" s="1094"/>
      <c r="I151" s="1094"/>
      <c r="J151" s="1094"/>
      <c r="K151" s="1094"/>
      <c r="L151" s="1094"/>
      <c r="M151" s="148" t="s">
        <v>186</v>
      </c>
      <c r="N151" s="1417"/>
      <c r="O151" s="1418"/>
      <c r="P151" s="1418"/>
      <c r="Q151" s="1418"/>
      <c r="R151" s="1418"/>
      <c r="S151" s="1418"/>
      <c r="T151" s="1418"/>
      <c r="U151" s="1418"/>
      <c r="V151" s="1418"/>
      <c r="W151" s="1418"/>
      <c r="X151" s="1418"/>
      <c r="Y151" s="1418"/>
      <c r="Z151" s="1418"/>
      <c r="AA151" s="1418"/>
      <c r="AB151" s="1418"/>
      <c r="AC151" s="1418"/>
      <c r="AD151" s="1418"/>
      <c r="AE151" s="1418"/>
      <c r="AF151" s="1418"/>
      <c r="AG151" s="1418"/>
      <c r="AH151" s="1418"/>
      <c r="AI151" s="1418"/>
      <c r="AJ151" s="1418"/>
      <c r="AK151" s="1418"/>
      <c r="AL151" s="1418"/>
      <c r="AM151" s="1419"/>
      <c r="AN151" s="124"/>
      <c r="AO151" s="124"/>
      <c r="AP151" s="124"/>
      <c r="AQ151" s="124"/>
      <c r="AR151" s="124"/>
      <c r="AS151" s="124"/>
      <c r="AT151" s="124"/>
      <c r="AU151" s="124"/>
      <c r="AV151" s="124"/>
      <c r="AW151" s="124"/>
      <c r="AX151" s="124"/>
      <c r="AY151" s="124"/>
      <c r="AZ151" s="124"/>
      <c r="BA151" s="2"/>
      <c r="BB151" s="2"/>
      <c r="BC151" s="2"/>
      <c r="BD151" s="2"/>
      <c r="BE151" s="2"/>
    </row>
    <row r="152" spans="1:57" ht="20.100000000000001" customHeight="1" x14ac:dyDescent="0.25">
      <c r="A152" s="18"/>
      <c r="B152" s="18"/>
      <c r="C152" s="18"/>
      <c r="D152" s="1"/>
      <c r="E152" s="2"/>
      <c r="F152" s="1149" t="s">
        <v>83</v>
      </c>
      <c r="G152" s="1094"/>
      <c r="H152" s="1094"/>
      <c r="I152" s="1094"/>
      <c r="J152" s="1094"/>
      <c r="K152" s="1094"/>
      <c r="L152" s="1104"/>
      <c r="M152" s="148" t="s">
        <v>186</v>
      </c>
      <c r="N152" s="1413"/>
      <c r="O152" s="1414"/>
      <c r="P152" s="1414"/>
      <c r="Q152" s="1414"/>
      <c r="R152" s="1414"/>
      <c r="S152" s="1414"/>
      <c r="T152" s="1414"/>
      <c r="U152" s="1414"/>
      <c r="V152" s="1414"/>
      <c r="W152" s="1414"/>
      <c r="X152" s="1415"/>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20.100000000000001" customHeight="1" x14ac:dyDescent="0.25">
      <c r="A153" s="18"/>
      <c r="B153" s="18"/>
      <c r="C153" s="18"/>
      <c r="D153" s="1"/>
      <c r="E153" s="2"/>
      <c r="F153" s="1149" t="s">
        <v>100</v>
      </c>
      <c r="G153" s="1094"/>
      <c r="H153" s="1094"/>
      <c r="I153" s="1094"/>
      <c r="J153" s="1094"/>
      <c r="K153" s="1094"/>
      <c r="L153" s="1104"/>
      <c r="M153" s="148" t="s">
        <v>186</v>
      </c>
      <c r="N153" s="1413"/>
      <c r="O153" s="1414"/>
      <c r="P153" s="1414"/>
      <c r="Q153" s="1414"/>
      <c r="R153" s="1414"/>
      <c r="S153" s="1414"/>
      <c r="T153" s="1414"/>
      <c r="U153" s="1414"/>
      <c r="V153" s="1414"/>
      <c r="W153" s="1414"/>
      <c r="X153" s="1415"/>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20.100000000000001" hidden="1" customHeight="1" x14ac:dyDescent="0.25">
      <c r="A154" s="18"/>
      <c r="B154" s="18"/>
      <c r="C154" s="18"/>
      <c r="D154" s="1"/>
      <c r="E154" s="2"/>
      <c r="BE154" s="2"/>
    </row>
    <row r="155" spans="1:57" ht="20.100000000000001" hidden="1" customHeight="1" x14ac:dyDescent="0.25">
      <c r="A155" s="18"/>
      <c r="B155" s="18"/>
      <c r="C155" s="18"/>
      <c r="D155" s="1"/>
      <c r="E155" s="2"/>
      <c r="BE155" s="2"/>
    </row>
    <row r="156" spans="1:57" ht="20.100000000000001" hidden="1" customHeight="1" x14ac:dyDescent="0.25">
      <c r="A156" s="18"/>
      <c r="B156" s="18"/>
      <c r="C156" s="18"/>
      <c r="D156" s="1"/>
      <c r="E156" s="2"/>
      <c r="BE156" s="2"/>
    </row>
    <row r="157" spans="1:57" ht="20.100000000000001" hidden="1" customHeight="1" x14ac:dyDescent="0.25">
      <c r="A157" s="18"/>
      <c r="B157" s="18"/>
      <c r="C157" s="18"/>
      <c r="D157" s="1"/>
      <c r="E157" s="2"/>
      <c r="BE157" s="2"/>
    </row>
    <row r="158" spans="1:57" ht="20.100000000000001" hidden="1" customHeight="1" x14ac:dyDescent="0.25">
      <c r="A158" s="18"/>
      <c r="B158" s="18"/>
      <c r="C158" s="18"/>
      <c r="D158" s="1"/>
      <c r="E158" s="2"/>
      <c r="BE158" s="2"/>
    </row>
    <row r="159" spans="1:57" ht="20.100000000000001" hidden="1" customHeight="1" x14ac:dyDescent="0.25">
      <c r="A159" s="18"/>
      <c r="B159" s="18"/>
      <c r="C159" s="18"/>
      <c r="D159" s="1"/>
      <c r="E159" s="2"/>
      <c r="BE159" s="2"/>
    </row>
    <row r="160" spans="1:57" ht="20.100000000000001" hidden="1" customHeight="1" x14ac:dyDescent="0.25">
      <c r="A160" s="18"/>
      <c r="B160" s="18"/>
      <c r="C160" s="18"/>
      <c r="D160" s="1"/>
      <c r="E160" s="2"/>
      <c r="BE160" s="2"/>
    </row>
    <row r="161" spans="1:118" ht="20.100000000000001" customHeight="1" x14ac:dyDescent="0.25">
      <c r="A161" s="18"/>
      <c r="B161" s="18"/>
      <c r="C161" s="18"/>
      <c r="D161" s="1"/>
      <c r="E161" s="2"/>
      <c r="BE161" s="2"/>
    </row>
    <row r="162" spans="1:118" ht="21.95" customHeight="1" x14ac:dyDescent="0.25">
      <c r="A162" s="18"/>
      <c r="B162" s="18"/>
      <c r="C162" s="18"/>
      <c r="D162" s="1"/>
      <c r="E162" s="2"/>
      <c r="F162" s="1403" t="s">
        <v>8530</v>
      </c>
      <c r="G162" s="1404"/>
      <c r="H162" s="1404"/>
      <c r="I162" s="1404"/>
      <c r="J162" s="1404"/>
      <c r="K162" s="1404"/>
      <c r="L162" s="1404"/>
      <c r="M162" s="1405"/>
      <c r="N162" s="1399" t="s">
        <v>90</v>
      </c>
      <c r="O162" s="1400"/>
      <c r="P162" s="1392" t="str">
        <f ca="1">'Calculos(2)'!CP44</f>
        <v>---</v>
      </c>
      <c r="Q162" s="1392"/>
      <c r="R162" s="1392"/>
      <c r="S162" s="1392"/>
      <c r="T162" s="1412" t="s">
        <v>95</v>
      </c>
      <c r="U162" s="1412"/>
      <c r="V162" s="1412"/>
      <c r="W162" s="1412"/>
      <c r="X162" s="1412"/>
      <c r="Y162" s="1392" t="str">
        <f ca="1">'Calculos(2)'!CR44</f>
        <v>---</v>
      </c>
      <c r="Z162" s="1392"/>
      <c r="AA162" s="1392"/>
      <c r="AB162" s="1392"/>
      <c r="AC162" s="2"/>
      <c r="AD162" s="2"/>
      <c r="AE162" s="2"/>
      <c r="AF162" s="2"/>
      <c r="AG162" s="2"/>
      <c r="AH162" s="2"/>
      <c r="AI162" s="2"/>
      <c r="AJ162" s="2"/>
      <c r="AK162" s="2"/>
      <c r="AL162" s="2"/>
      <c r="AM162" s="2"/>
      <c r="AN162" s="2"/>
      <c r="AO162" s="2"/>
      <c r="AP162" s="2"/>
      <c r="AQ162" s="2"/>
      <c r="AR162" s="2"/>
      <c r="AS162" s="2"/>
      <c r="AT162" s="2"/>
      <c r="AU162" s="3"/>
      <c r="AV162" s="3"/>
      <c r="AW162" s="2"/>
      <c r="AX162" s="2"/>
      <c r="AY162" s="2"/>
      <c r="AZ162" s="2"/>
      <c r="BA162" s="2"/>
      <c r="BB162" s="2"/>
      <c r="BC162" s="2"/>
      <c r="BD162" s="2"/>
      <c r="BE162" s="2"/>
    </row>
    <row r="163" spans="1:118" ht="21.95" customHeight="1" x14ac:dyDescent="0.25">
      <c r="A163" s="18"/>
      <c r="B163" s="18"/>
      <c r="C163" s="18"/>
      <c r="D163" s="1"/>
      <c r="E163" s="2"/>
      <c r="F163" s="1406"/>
      <c r="G163" s="1383"/>
      <c r="H163" s="1383"/>
      <c r="I163" s="1383"/>
      <c r="J163" s="1383"/>
      <c r="K163" s="1383"/>
      <c r="L163" s="1383"/>
      <c r="M163" s="1407"/>
      <c r="N163" s="1401" t="s">
        <v>91</v>
      </c>
      <c r="O163" s="1402"/>
      <c r="P163" s="1392" t="str">
        <f ca="1">'Calculos(2)'!CP45</f>
        <v>---</v>
      </c>
      <c r="Q163" s="1392"/>
      <c r="R163" s="1392"/>
      <c r="S163" s="1392"/>
      <c r="T163" s="1411" t="s">
        <v>96</v>
      </c>
      <c r="U163" s="1411"/>
      <c r="V163" s="1411"/>
      <c r="W163" s="1411"/>
      <c r="X163" s="1411"/>
      <c r="Y163" s="1392" t="str">
        <f ca="1">'Calculos(2)'!CR45</f>
        <v>---</v>
      </c>
      <c r="Z163" s="1392"/>
      <c r="AA163" s="1392"/>
      <c r="AB163" s="139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118" ht="21.95" customHeight="1" x14ac:dyDescent="0.25">
      <c r="A164" s="18"/>
      <c r="B164" s="18"/>
      <c r="C164" s="18"/>
      <c r="D164" s="1"/>
      <c r="E164" s="2"/>
      <c r="F164" s="1406"/>
      <c r="G164" s="1383"/>
      <c r="H164" s="1383"/>
      <c r="I164" s="1383"/>
      <c r="J164" s="1383"/>
      <c r="K164" s="1383"/>
      <c r="L164" s="1383"/>
      <c r="M164" s="1407"/>
      <c r="N164" s="1401" t="s">
        <v>92</v>
      </c>
      <c r="O164" s="1402"/>
      <c r="P164" s="1392" t="str">
        <f ca="1">'Calculos(2)'!CP46</f>
        <v>---</v>
      </c>
      <c r="Q164" s="1392"/>
      <c r="R164" s="1392"/>
      <c r="S164" s="1392"/>
      <c r="T164" s="1411" t="s">
        <v>97</v>
      </c>
      <c r="U164" s="1411"/>
      <c r="V164" s="1411"/>
      <c r="W164" s="1411"/>
      <c r="X164" s="1411"/>
      <c r="Y164" s="1392" t="str">
        <f ca="1">'Calculos(2)'!CR46</f>
        <v>---</v>
      </c>
      <c r="Z164" s="1392"/>
      <c r="AA164" s="1392"/>
      <c r="AB164" s="1392"/>
      <c r="AC164" s="2"/>
      <c r="AD164" s="1387"/>
      <c r="AE164" s="1387"/>
      <c r="AF164" s="1387"/>
      <c r="AG164" s="1387"/>
      <c r="AH164" s="1387"/>
      <c r="AI164" s="1387"/>
      <c r="AJ164" s="1387"/>
      <c r="AK164" s="1387"/>
      <c r="AL164" s="3"/>
      <c r="AM164" s="2"/>
      <c r="AN164" s="2"/>
      <c r="AO164" s="2"/>
      <c r="AP164" s="2"/>
      <c r="AQ164" s="2"/>
      <c r="AR164" s="2"/>
      <c r="AS164" s="2"/>
      <c r="AT164" s="2"/>
      <c r="AU164" s="2"/>
      <c r="AV164" s="2"/>
      <c r="AW164" s="2"/>
      <c r="AX164" s="2"/>
      <c r="AY164" s="2"/>
      <c r="AZ164" s="2"/>
      <c r="BA164" s="2"/>
      <c r="BB164" s="2"/>
      <c r="BC164" s="2"/>
      <c r="BD164" s="2"/>
      <c r="BE164" s="124"/>
    </row>
    <row r="165" spans="1:118" ht="21.95" customHeight="1" x14ac:dyDescent="0.25">
      <c r="A165" s="18"/>
      <c r="B165" s="18"/>
      <c r="C165" s="18"/>
      <c r="D165" s="1"/>
      <c r="E165" s="2"/>
      <c r="F165" s="1406"/>
      <c r="G165" s="1383"/>
      <c r="H165" s="1383"/>
      <c r="I165" s="1383"/>
      <c r="J165" s="1383"/>
      <c r="K165" s="1383"/>
      <c r="L165" s="1383"/>
      <c r="M165" s="1407"/>
      <c r="N165" s="1401" t="s">
        <v>93</v>
      </c>
      <c r="O165" s="1402"/>
      <c r="P165" s="1392" t="str">
        <f ca="1">'Calculos(2)'!CP47</f>
        <v>---</v>
      </c>
      <c r="Q165" s="1392"/>
      <c r="R165" s="1392"/>
      <c r="S165" s="1392"/>
      <c r="T165" s="1411" t="s">
        <v>98</v>
      </c>
      <c r="U165" s="1411"/>
      <c r="V165" s="1411"/>
      <c r="W165" s="1411"/>
      <c r="X165" s="1411"/>
      <c r="Y165" s="1392" t="str">
        <f ca="1">'Calculos(2)'!CR47</f>
        <v>---</v>
      </c>
      <c r="Z165" s="1392"/>
      <c r="AA165" s="1392"/>
      <c r="AB165" s="1392"/>
      <c r="AC165" s="2"/>
      <c r="AD165" s="1387"/>
      <c r="AE165" s="1387"/>
      <c r="AF165" s="1387"/>
      <c r="AG165" s="1387"/>
      <c r="AH165" s="1387"/>
      <c r="AI165" s="1387"/>
      <c r="AJ165" s="1387"/>
      <c r="AK165" s="1387"/>
      <c r="AL165" s="3"/>
      <c r="AM165" s="2"/>
      <c r="AN165" s="2"/>
      <c r="AO165" s="2"/>
      <c r="AP165" s="2"/>
      <c r="AQ165" s="2"/>
      <c r="AR165" s="2"/>
      <c r="AS165" s="2"/>
      <c r="AT165" s="2"/>
      <c r="AU165" s="2"/>
      <c r="AV165" s="2"/>
      <c r="AW165" s="2"/>
      <c r="AX165" s="2"/>
      <c r="AY165" s="2"/>
      <c r="AZ165" s="2"/>
      <c r="BA165" s="2"/>
      <c r="BB165" s="2"/>
      <c r="BC165" s="2"/>
      <c r="BD165" s="2"/>
      <c r="BE165" s="2"/>
    </row>
    <row r="166" spans="1:118" ht="21.95" customHeight="1" x14ac:dyDescent="0.25">
      <c r="A166" s="18"/>
      <c r="B166" s="18"/>
      <c r="C166" s="18"/>
      <c r="D166" s="1"/>
      <c r="E166" s="2"/>
      <c r="F166" s="1408"/>
      <c r="G166" s="1409"/>
      <c r="H166" s="1409"/>
      <c r="I166" s="1409"/>
      <c r="J166" s="1409"/>
      <c r="K166" s="1409"/>
      <c r="L166" s="1409"/>
      <c r="M166" s="1410"/>
      <c r="N166" s="1360" t="s">
        <v>94</v>
      </c>
      <c r="O166" s="1424"/>
      <c r="P166" s="1392" t="str">
        <f ca="1">'Calculos(2)'!CP48</f>
        <v>---</v>
      </c>
      <c r="Q166" s="1392"/>
      <c r="R166" s="1392"/>
      <c r="S166" s="1392"/>
      <c r="T166" s="1416" t="s">
        <v>99</v>
      </c>
      <c r="U166" s="1416"/>
      <c r="V166" s="1416"/>
      <c r="W166" s="1416"/>
      <c r="X166" s="1416"/>
      <c r="Y166" s="1392" t="str">
        <f ca="1">'Calculos(2)'!CR48</f>
        <v>---</v>
      </c>
      <c r="Z166" s="1392"/>
      <c r="AA166" s="1392"/>
      <c r="AB166" s="1392"/>
      <c r="AC166" s="2"/>
      <c r="AD166" s="1387"/>
      <c r="AE166" s="1387"/>
      <c r="AF166" s="1387"/>
      <c r="AG166" s="1387"/>
      <c r="AH166" s="1387"/>
      <c r="AI166" s="1387"/>
      <c r="AJ166" s="1387"/>
      <c r="AK166" s="1387"/>
      <c r="AL166" s="3"/>
      <c r="AM166" s="2"/>
      <c r="AN166" s="2"/>
      <c r="AO166" s="2"/>
      <c r="AP166" s="2"/>
      <c r="AQ166" s="2"/>
      <c r="AR166" s="2"/>
      <c r="AS166" s="2"/>
      <c r="AT166" s="2"/>
      <c r="AU166" s="2"/>
      <c r="AV166" s="2"/>
      <c r="AW166" s="2"/>
      <c r="AX166" s="2"/>
      <c r="AY166" s="2"/>
      <c r="AZ166" s="2"/>
      <c r="BA166" s="2"/>
      <c r="BB166" s="2"/>
      <c r="BC166" s="2"/>
      <c r="BD166" s="2"/>
      <c r="BE166" s="2"/>
    </row>
    <row r="167" spans="1:118" ht="39.950000000000003" customHeight="1" x14ac:dyDescent="0.25">
      <c r="A167" s="18"/>
      <c r="B167" s="18"/>
      <c r="C167" s="18"/>
      <c r="D167" s="1"/>
      <c r="E167" s="2"/>
      <c r="F167" s="281" t="s">
        <v>8649</v>
      </c>
      <c r="G167" s="226" t="s">
        <v>8651</v>
      </c>
      <c r="H167" s="314"/>
      <c r="I167" s="314"/>
      <c r="J167" s="314"/>
      <c r="K167" s="314"/>
      <c r="L167" s="314"/>
      <c r="M167" s="314"/>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CA167" s="1360" t="s">
        <v>90</v>
      </c>
      <c r="CB167" s="1361"/>
      <c r="CC167" s="1360" t="s">
        <v>90</v>
      </c>
      <c r="CD167" s="1361"/>
      <c r="CE167" s="1360" t="s">
        <v>91</v>
      </c>
      <c r="CF167" s="1361"/>
      <c r="CG167" s="1360" t="s">
        <v>91</v>
      </c>
      <c r="CH167" s="1361"/>
      <c r="CI167" s="1360" t="s">
        <v>92</v>
      </c>
      <c r="CJ167" s="1361"/>
      <c r="CK167" s="1360" t="s">
        <v>92</v>
      </c>
      <c r="CL167" s="1361"/>
      <c r="CM167" s="1360" t="s">
        <v>93</v>
      </c>
      <c r="CN167" s="1361"/>
      <c r="CO167" s="1360" t="s">
        <v>93</v>
      </c>
      <c r="CP167" s="1361"/>
      <c r="CQ167" s="1360" t="s">
        <v>94</v>
      </c>
      <c r="CR167" s="1361"/>
      <c r="CS167" s="1360" t="s">
        <v>94</v>
      </c>
      <c r="CT167" s="1361"/>
      <c r="CU167" s="1360" t="s">
        <v>95</v>
      </c>
      <c r="CV167" s="1361"/>
      <c r="CW167" s="1360" t="s">
        <v>95</v>
      </c>
      <c r="CX167" s="1361"/>
      <c r="CY167" s="1360" t="s">
        <v>96</v>
      </c>
      <c r="CZ167" s="1361"/>
      <c r="DA167" s="1360" t="s">
        <v>96</v>
      </c>
      <c r="DB167" s="1361"/>
      <c r="DC167" s="1360" t="s">
        <v>97</v>
      </c>
      <c r="DD167" s="1361"/>
      <c r="DE167" s="1360" t="s">
        <v>97</v>
      </c>
      <c r="DF167" s="1361"/>
      <c r="DG167" s="1360" t="s">
        <v>98</v>
      </c>
      <c r="DH167" s="1361"/>
      <c r="DI167" s="1360" t="s">
        <v>98</v>
      </c>
      <c r="DJ167" s="1361"/>
      <c r="DK167" s="1360" t="s">
        <v>8224</v>
      </c>
      <c r="DL167" s="1361"/>
      <c r="DM167" s="1360" t="s">
        <v>8224</v>
      </c>
      <c r="DN167" s="1361"/>
    </row>
    <row r="168" spans="1:118" ht="30" customHeight="1" outlineLevel="1" x14ac:dyDescent="0.25">
      <c r="A168" s="18"/>
      <c r="B168" s="18"/>
      <c r="C168" s="18"/>
      <c r="D168" s="1"/>
      <c r="E168" s="2"/>
      <c r="F168" s="2"/>
      <c r="G168" s="184"/>
      <c r="H168" s="184"/>
      <c r="I168" s="184"/>
      <c r="J168" s="184"/>
      <c r="K168" s="184"/>
      <c r="L168" s="184"/>
      <c r="M168" s="184"/>
      <c r="N168" s="27"/>
      <c r="O168" s="27"/>
      <c r="P168" s="27"/>
      <c r="Q168" s="1388" t="str">
        <f ca="1">IF(P162="---","-",N162)</f>
        <v>-</v>
      </c>
      <c r="R168" s="1388"/>
      <c r="S168" s="1388"/>
      <c r="T168" s="1388"/>
      <c r="U168" s="1385" t="str">
        <f ca="1">IF(P163="---","-",N163)</f>
        <v>-</v>
      </c>
      <c r="V168" s="1385"/>
      <c r="W168" s="1385"/>
      <c r="X168" s="1385"/>
      <c r="Y168" s="1385" t="str">
        <f ca="1">IF(P164="---","-",N164)</f>
        <v>-</v>
      </c>
      <c r="Z168" s="1385"/>
      <c r="AA168" s="1385"/>
      <c r="AB168" s="1385"/>
      <c r="AC168" s="1385" t="str">
        <f ca="1">IF(P165="---","-",N165)</f>
        <v>-</v>
      </c>
      <c r="AD168" s="1385"/>
      <c r="AE168" s="1385"/>
      <c r="AF168" s="1385"/>
      <c r="AG168" s="1385" t="str">
        <f ca="1">IF(P166="---","-",N166)</f>
        <v>-</v>
      </c>
      <c r="AH168" s="1385"/>
      <c r="AI168" s="1385"/>
      <c r="AJ168" s="1385"/>
      <c r="AK168" s="1385" t="str">
        <f ca="1">IF(Y162="---","-",T162)</f>
        <v>-</v>
      </c>
      <c r="AL168" s="1385"/>
      <c r="AM168" s="1385"/>
      <c r="AN168" s="1385"/>
      <c r="AO168" s="1385" t="str">
        <f ca="1">IF(Y163="---","-",T163)</f>
        <v>-</v>
      </c>
      <c r="AP168" s="1385"/>
      <c r="AQ168" s="1385"/>
      <c r="AR168" s="1385"/>
      <c r="AS168" s="1385" t="str">
        <f ca="1">IF(Y164="---","-",T164)</f>
        <v>-</v>
      </c>
      <c r="AT168" s="1385"/>
      <c r="AU168" s="1385"/>
      <c r="AV168" s="1385"/>
      <c r="AW168" s="1385" t="str">
        <f ca="1">IF(Y165="---","-",T165)</f>
        <v>-</v>
      </c>
      <c r="AX168" s="1385"/>
      <c r="AY168" s="1385"/>
      <c r="AZ168" s="1385"/>
      <c r="BA168" s="1385" t="str">
        <f ca="1">IF(Y166="---","-",T166)</f>
        <v>-</v>
      </c>
      <c r="BB168" s="1385"/>
      <c r="BC168" s="1385"/>
      <c r="BD168" s="1385"/>
      <c r="CA168" s="1355">
        <f>INT(RIGHT(VLOOKUP(CA167,'Calculos(2)'!$BH$490:$BI$500,2,0),1))</f>
        <v>2</v>
      </c>
      <c r="CB168" s="1356"/>
      <c r="CC168" s="1355">
        <f>INT(RIGHT(VLOOKUP(CC167,'Calculos(2)'!$BH$490:$BI$500,2,0),1))</f>
        <v>2</v>
      </c>
      <c r="CD168" s="1356"/>
      <c r="CE168" s="1355">
        <f>INT(RIGHT(VLOOKUP(CE167,'Calculos(2)'!$BH$490:$BI$500,2,0),1))</f>
        <v>2</v>
      </c>
      <c r="CF168" s="1356"/>
      <c r="CG168" s="1355">
        <f>INT(RIGHT(VLOOKUP(CG167,'Calculos(2)'!$BH$490:$BI$500,2,0),1))</f>
        <v>2</v>
      </c>
      <c r="CH168" s="1356"/>
      <c r="CI168" s="1355">
        <f>INT(RIGHT(VLOOKUP(CI167,'Calculos(2)'!$BH$490:$BI$500,2,0),1))</f>
        <v>2</v>
      </c>
      <c r="CJ168" s="1356"/>
      <c r="CK168" s="1355">
        <f>INT(RIGHT(VLOOKUP(CK167,'Calculos(2)'!$BH$490:$BI$500,2,0),1))</f>
        <v>2</v>
      </c>
      <c r="CL168" s="1356"/>
      <c r="CM168" s="1355">
        <f>INT(RIGHT(VLOOKUP(CM167,'Calculos(2)'!$BH$490:$BI$500,2,0),1))</f>
        <v>2</v>
      </c>
      <c r="CN168" s="1356"/>
      <c r="CO168" s="1355">
        <f>INT(RIGHT(VLOOKUP(CO167,'Calculos(2)'!$BH$490:$BI$500,2,0),1))</f>
        <v>2</v>
      </c>
      <c r="CP168" s="1356"/>
      <c r="CQ168" s="1355">
        <f>INT(RIGHT(VLOOKUP(CQ167,'Calculos(2)'!$BH$490:$BI$500,2,0),1))</f>
        <v>2</v>
      </c>
      <c r="CR168" s="1356"/>
      <c r="CS168" s="1355">
        <f>INT(RIGHT(VLOOKUP(CS167,'Calculos(2)'!$BH$490:$BI$500,2,0),1))</f>
        <v>2</v>
      </c>
      <c r="CT168" s="1356"/>
      <c r="CU168" s="1355">
        <f>INT(RIGHT(VLOOKUP(CU167,'Calculos(2)'!$BH$490:$BI$500,2,0),1))</f>
        <v>3</v>
      </c>
      <c r="CV168" s="1356"/>
      <c r="CW168" s="1355">
        <f>INT(RIGHT(VLOOKUP(CW167,'Calculos(2)'!$BH$490:$BI$500,2,0),1))</f>
        <v>3</v>
      </c>
      <c r="CX168" s="1356"/>
      <c r="CY168" s="1355">
        <f>INT(RIGHT(VLOOKUP(CY167,'Calculos(2)'!$BH$490:$BI$500,2,0),1))</f>
        <v>3</v>
      </c>
      <c r="CZ168" s="1356"/>
      <c r="DA168" s="1355">
        <f>INT(RIGHT(VLOOKUP(DA167,'Calculos(2)'!$BH$490:$BI$500,2,0),1))</f>
        <v>3</v>
      </c>
      <c r="DB168" s="1356"/>
      <c r="DC168" s="1355">
        <f>INT(RIGHT(VLOOKUP(DC167,'Calculos(2)'!$BH$490:$BI$500,2,0),1))</f>
        <v>3</v>
      </c>
      <c r="DD168" s="1356"/>
      <c r="DE168" s="1355">
        <f>INT(RIGHT(VLOOKUP(DE167,'Calculos(2)'!$BH$490:$BI$500,2,0),1))</f>
        <v>3</v>
      </c>
      <c r="DF168" s="1356"/>
      <c r="DG168" s="1355">
        <f>INT(RIGHT(VLOOKUP(DG167,'Calculos(2)'!$BH$490:$BI$500,2,0),1))</f>
        <v>2</v>
      </c>
      <c r="DH168" s="1356"/>
      <c r="DI168" s="1355">
        <f>INT(RIGHT(VLOOKUP(DI167,'Calculos(2)'!$BH$490:$BI$500,2,0),1))</f>
        <v>2</v>
      </c>
      <c r="DJ168" s="1356"/>
      <c r="DK168" s="1355">
        <f>INT(RIGHT(VLOOKUP(DK167,'Calculos(2)'!$BH$490:$BI$500,2,0),1))</f>
        <v>2</v>
      </c>
      <c r="DL168" s="1356"/>
      <c r="DM168" s="1355">
        <f>INT(RIGHT(VLOOKUP(DM167,'Calculos(2)'!$BH$490:$BI$500,2,0),1))</f>
        <v>2</v>
      </c>
      <c r="DN168" s="1356"/>
    </row>
    <row r="169" spans="1:118" ht="30" customHeight="1" outlineLevel="1" x14ac:dyDescent="0.25">
      <c r="A169" s="18"/>
      <c r="B169" s="18"/>
      <c r="C169" s="18"/>
      <c r="D169" s="1"/>
      <c r="E169" s="2"/>
      <c r="F169" s="2"/>
      <c r="G169" s="184"/>
      <c r="H169" s="184"/>
      <c r="I169" s="184"/>
      <c r="J169" s="184"/>
      <c r="K169" s="184"/>
      <c r="L169" s="184"/>
      <c r="M169" s="1386" t="s">
        <v>6037</v>
      </c>
      <c r="N169" s="1386"/>
      <c r="O169" s="1386"/>
      <c r="P169" s="1386"/>
      <c r="Q169" s="1357" t="s">
        <v>10</v>
      </c>
      <c r="R169" s="1358"/>
      <c r="S169" s="1358" t="s">
        <v>237</v>
      </c>
      <c r="T169" s="1359"/>
      <c r="U169" s="1357" t="s">
        <v>10</v>
      </c>
      <c r="V169" s="1358"/>
      <c r="W169" s="1358" t="s">
        <v>237</v>
      </c>
      <c r="X169" s="1359"/>
      <c r="Y169" s="1357" t="s">
        <v>10</v>
      </c>
      <c r="Z169" s="1358"/>
      <c r="AA169" s="1358" t="s">
        <v>237</v>
      </c>
      <c r="AB169" s="1359"/>
      <c r="AC169" s="1357" t="s">
        <v>10</v>
      </c>
      <c r="AD169" s="1358"/>
      <c r="AE169" s="1358" t="s">
        <v>237</v>
      </c>
      <c r="AF169" s="1359"/>
      <c r="AG169" s="1357" t="s">
        <v>10</v>
      </c>
      <c r="AH169" s="1358"/>
      <c r="AI169" s="1358" t="s">
        <v>237</v>
      </c>
      <c r="AJ169" s="1359"/>
      <c r="AK169" s="1357" t="s">
        <v>10</v>
      </c>
      <c r="AL169" s="1358"/>
      <c r="AM169" s="1358" t="s">
        <v>237</v>
      </c>
      <c r="AN169" s="1359"/>
      <c r="AO169" s="1357" t="s">
        <v>10</v>
      </c>
      <c r="AP169" s="1358"/>
      <c r="AQ169" s="1358" t="s">
        <v>237</v>
      </c>
      <c r="AR169" s="1359"/>
      <c r="AS169" s="1357" t="s">
        <v>10</v>
      </c>
      <c r="AT169" s="1358"/>
      <c r="AU169" s="1358" t="s">
        <v>237</v>
      </c>
      <c r="AV169" s="1359"/>
      <c r="AW169" s="1357" t="s">
        <v>10</v>
      </c>
      <c r="AX169" s="1358"/>
      <c r="AY169" s="1358" t="s">
        <v>237</v>
      </c>
      <c r="AZ169" s="1359"/>
      <c r="BA169" s="1357" t="s">
        <v>10</v>
      </c>
      <c r="BB169" s="1358"/>
      <c r="BC169" s="1358" t="s">
        <v>237</v>
      </c>
      <c r="BD169" s="1359"/>
      <c r="CA169" s="1357" t="s">
        <v>10</v>
      </c>
      <c r="CB169" s="1358"/>
      <c r="CC169" s="1358" t="s">
        <v>237</v>
      </c>
      <c r="CD169" s="1359"/>
      <c r="CE169" s="1357" t="s">
        <v>10</v>
      </c>
      <c r="CF169" s="1358"/>
      <c r="CG169" s="1358" t="s">
        <v>237</v>
      </c>
      <c r="CH169" s="1359"/>
      <c r="CI169" s="1357" t="s">
        <v>10</v>
      </c>
      <c r="CJ169" s="1358"/>
      <c r="CK169" s="1358" t="s">
        <v>237</v>
      </c>
      <c r="CL169" s="1359"/>
      <c r="CM169" s="1357" t="s">
        <v>10</v>
      </c>
      <c r="CN169" s="1358"/>
      <c r="CO169" s="1358" t="s">
        <v>237</v>
      </c>
      <c r="CP169" s="1359"/>
      <c r="CQ169" s="1357" t="s">
        <v>10</v>
      </c>
      <c r="CR169" s="1358"/>
      <c r="CS169" s="1358" t="s">
        <v>237</v>
      </c>
      <c r="CT169" s="1359"/>
      <c r="CU169" s="1357" t="s">
        <v>10</v>
      </c>
      <c r="CV169" s="1358"/>
      <c r="CW169" s="1358" t="s">
        <v>237</v>
      </c>
      <c r="CX169" s="1359"/>
      <c r="CY169" s="1357" t="s">
        <v>10</v>
      </c>
      <c r="CZ169" s="1358"/>
      <c r="DA169" s="1358" t="s">
        <v>237</v>
      </c>
      <c r="DB169" s="1359"/>
      <c r="DC169" s="1357" t="s">
        <v>10</v>
      </c>
      <c r="DD169" s="1358"/>
      <c r="DE169" s="1358" t="s">
        <v>237</v>
      </c>
      <c r="DF169" s="1359"/>
      <c r="DG169" s="1357" t="s">
        <v>10</v>
      </c>
      <c r="DH169" s="1358"/>
      <c r="DI169" s="1358" t="s">
        <v>237</v>
      </c>
      <c r="DJ169" s="1359"/>
      <c r="DK169" s="1357" t="s">
        <v>10</v>
      </c>
      <c r="DL169" s="1358"/>
      <c r="DM169" s="1358" t="s">
        <v>237</v>
      </c>
      <c r="DN169" s="1359"/>
    </row>
    <row r="170" spans="1:118" ht="20.100000000000001" customHeight="1" outlineLevel="1" x14ac:dyDescent="0.25">
      <c r="A170" s="18"/>
      <c r="B170" s="18"/>
      <c r="C170" s="18"/>
      <c r="D170" s="1"/>
      <c r="E170" s="2"/>
      <c r="F170" s="1377" t="s">
        <v>239</v>
      </c>
      <c r="G170" s="1377"/>
      <c r="H170" s="1377"/>
      <c r="I170" s="1377"/>
      <c r="J170" s="1377"/>
      <c r="K170" s="1377"/>
      <c r="L170" s="1377"/>
      <c r="M170" s="1384" t="s">
        <v>7102</v>
      </c>
      <c r="N170" s="1384"/>
      <c r="O170" s="1384"/>
      <c r="P170" s="1384"/>
      <c r="Q170" s="1375" t="str">
        <f ca="1">'Calculos(2)'!CK10</f>
        <v>-</v>
      </c>
      <c r="R170" s="1376"/>
      <c r="S170" s="1375" t="str">
        <f ca="1">'Calculos(2)'!CK26</f>
        <v>-</v>
      </c>
      <c r="T170" s="1376"/>
      <c r="U170" s="1375" t="str">
        <f ca="1">'Calculos(2)'!CK42</f>
        <v>-</v>
      </c>
      <c r="V170" s="1376"/>
      <c r="W170" s="1375" t="str">
        <f ca="1">'Calculos(2)'!CK58</f>
        <v>-</v>
      </c>
      <c r="X170" s="1376"/>
      <c r="Y170" s="1375" t="str">
        <f ca="1">'Calculos(2)'!CK74</f>
        <v>-</v>
      </c>
      <c r="Z170" s="1376"/>
      <c r="AA170" s="1375" t="str">
        <f ca="1">'Calculos(2)'!CK90</f>
        <v>-</v>
      </c>
      <c r="AB170" s="1376"/>
      <c r="AC170" s="1375" t="str">
        <f ca="1">'Calculos(2)'!CK106</f>
        <v>-</v>
      </c>
      <c r="AD170" s="1376"/>
      <c r="AE170" s="1375" t="str">
        <f ca="1">'Calculos(2)'!CK122</f>
        <v>-</v>
      </c>
      <c r="AF170" s="1376"/>
      <c r="AG170" s="1375" t="str">
        <f ca="1">'Calculos(2)'!CK138</f>
        <v>-</v>
      </c>
      <c r="AH170" s="1376"/>
      <c r="AI170" s="1375" t="str">
        <f ca="1">'Calculos(2)'!CK154</f>
        <v>-</v>
      </c>
      <c r="AJ170" s="1376"/>
      <c r="AK170" s="1375" t="str">
        <f ca="1">'Calculos(2)'!CK170</f>
        <v>-</v>
      </c>
      <c r="AL170" s="1376"/>
      <c r="AM170" s="1375" t="str">
        <f ca="1">'Calculos(2)'!CK186</f>
        <v>-</v>
      </c>
      <c r="AN170" s="1376"/>
      <c r="AO170" s="1375" t="str">
        <f ca="1">'Calculos(2)'!CK202</f>
        <v>-</v>
      </c>
      <c r="AP170" s="1376"/>
      <c r="AQ170" s="1375" t="str">
        <f ca="1">'Calculos(2)'!CK218</f>
        <v>-</v>
      </c>
      <c r="AR170" s="1376"/>
      <c r="AS170" s="1375" t="str">
        <f ca="1">'Calculos(2)'!CK234</f>
        <v>-</v>
      </c>
      <c r="AT170" s="1376"/>
      <c r="AU170" s="1375" t="str">
        <f ca="1">'Calculos(2)'!CK250</f>
        <v>-</v>
      </c>
      <c r="AV170" s="1376"/>
      <c r="AW170" s="1375" t="str">
        <f ca="1">'Calculos(2)'!CK266</f>
        <v>-</v>
      </c>
      <c r="AX170" s="1376"/>
      <c r="AY170" s="1375" t="str">
        <f ca="1">'Calculos(2)'!CK282</f>
        <v>-</v>
      </c>
      <c r="AZ170" s="1376"/>
      <c r="BA170" s="1375" t="str">
        <f ca="1">'Calculos(2)'!CK298</f>
        <v>-</v>
      </c>
      <c r="BB170" s="1376"/>
      <c r="BC170" s="1375" t="str">
        <f ca="1">'Calculos(2)'!CK314</f>
        <v>-</v>
      </c>
      <c r="BD170" s="1376"/>
      <c r="CA170" s="1354">
        <f ca="1">IF(Q170="-",0,IF(Q170&gt;=CA$90,1,0))</f>
        <v>0</v>
      </c>
      <c r="CB170" s="1354"/>
      <c r="CC170" s="1354">
        <f t="shared" ref="CC170:CC181" ca="1" si="40">IF(S170="-",0,IF(S170&gt;=CC$90,1,0))</f>
        <v>0</v>
      </c>
      <c r="CD170" s="1354"/>
      <c r="CE170" s="1354">
        <f t="shared" ref="CE170:CE181" ca="1" si="41">IF(U170="-",0,IF(U170&gt;=CE$90,1,0))</f>
        <v>0</v>
      </c>
      <c r="CF170" s="1354"/>
      <c r="CG170" s="1354">
        <f t="shared" ref="CG170:CG181" ca="1" si="42">IF(W170="-",0,IF(W170&gt;=CG$90,1,0))</f>
        <v>0</v>
      </c>
      <c r="CH170" s="1354"/>
      <c r="CI170" s="1354">
        <f t="shared" ref="CI170:CI181" ca="1" si="43">IF(Y170="-",0,IF(Y170&gt;=CI$90,1,0))</f>
        <v>0</v>
      </c>
      <c r="CJ170" s="1354"/>
      <c r="CK170" s="1354">
        <f t="shared" ref="CK170:CK181" ca="1" si="44">IF(AA170="-",0,IF(AA170&gt;=CK$90,1,0))</f>
        <v>0</v>
      </c>
      <c r="CL170" s="1354"/>
      <c r="CM170" s="1354">
        <f t="shared" ref="CM170:CM181" ca="1" si="45">IF(AC170="-",0,IF(AC170&gt;=CM$90,1,0))</f>
        <v>0</v>
      </c>
      <c r="CN170" s="1354"/>
      <c r="CO170" s="1354">
        <f t="shared" ref="CO170:CO181" ca="1" si="46">IF(AE170="-",0,IF(AE170&gt;=CO$90,1,0))</f>
        <v>0</v>
      </c>
      <c r="CP170" s="1354"/>
      <c r="CQ170" s="1354">
        <f t="shared" ref="CQ170:CQ181" ca="1" si="47">IF(AG170="-",0,IF(AG170&gt;=CQ$90,1,0))</f>
        <v>0</v>
      </c>
      <c r="CR170" s="1354"/>
      <c r="CS170" s="1354">
        <f t="shared" ref="CS170:CS181" ca="1" si="48">IF(AI170="-",0,IF(AI170&gt;=CS$90,1,0))</f>
        <v>0</v>
      </c>
      <c r="CT170" s="1354"/>
      <c r="CU170" s="1354">
        <f t="shared" ref="CU170:CU181" ca="1" si="49">IF(AK170="-",0,IF(AK170&gt;=CU$90,1,0))</f>
        <v>0</v>
      </c>
      <c r="CV170" s="1354"/>
      <c r="CW170" s="1354">
        <f t="shared" ref="CW170:CW181" ca="1" si="50">IF(AM170="-",0,IF(AM170&gt;=CW$90,1,0))</f>
        <v>0</v>
      </c>
      <c r="CX170" s="1354"/>
      <c r="CY170" s="1354">
        <f t="shared" ref="CY170:CY181" ca="1" si="51">IF(AO170="-",0,IF(AO170&gt;=CY$90,1,0))</f>
        <v>0</v>
      </c>
      <c r="CZ170" s="1354"/>
      <c r="DA170" s="1354">
        <f t="shared" ref="DA170:DA181" ca="1" si="52">IF(AQ170="-",0,IF(AQ170&gt;=DA$90,1,0))</f>
        <v>0</v>
      </c>
      <c r="DB170" s="1354"/>
      <c r="DC170" s="1354">
        <f t="shared" ref="DC170:DC181" ca="1" si="53">IF(AS170="-",0,IF(AS170&gt;=DC$90,1,0))</f>
        <v>0</v>
      </c>
      <c r="DD170" s="1354"/>
      <c r="DE170" s="1354">
        <f t="shared" ref="DE170:DE181" ca="1" si="54">IF(AU170="-",0,IF(AU170&gt;=DE$90,1,0))</f>
        <v>0</v>
      </c>
      <c r="DF170" s="1354"/>
      <c r="DG170" s="1354">
        <f t="shared" ref="DG170:DG181" ca="1" si="55">IF(AW170="-",0,IF(AW170&gt;=DG$90,1,0))</f>
        <v>0</v>
      </c>
      <c r="DH170" s="1354"/>
      <c r="DI170" s="1354">
        <f t="shared" ref="DI170:DI181" ca="1" si="56">IF(AY170="-",0,IF(AY170&gt;=DI$90,1,0))</f>
        <v>0</v>
      </c>
      <c r="DJ170" s="1354"/>
      <c r="DK170" s="1354">
        <f t="shared" ref="DK170:DK181" ca="1" si="57">IF(BA170="-",0,IF(BA170&gt;=DK$90,1,0))</f>
        <v>0</v>
      </c>
      <c r="DL170" s="1354"/>
      <c r="DM170" s="1354">
        <f t="shared" ref="DM170:DM181" ca="1" si="58">IF(BC170="-",0,IF(BC170&gt;=DM$90,1,0))</f>
        <v>0</v>
      </c>
      <c r="DN170" s="1354"/>
    </row>
    <row r="171" spans="1:118" ht="20.100000000000001" customHeight="1" outlineLevel="1" x14ac:dyDescent="0.25">
      <c r="A171" s="18"/>
      <c r="B171" s="18"/>
      <c r="C171" s="18"/>
      <c r="D171" s="1"/>
      <c r="E171" s="2"/>
      <c r="F171" s="1377"/>
      <c r="G171" s="1377"/>
      <c r="H171" s="1377"/>
      <c r="I171" s="1377"/>
      <c r="J171" s="1377"/>
      <c r="K171" s="1377"/>
      <c r="L171" s="1377"/>
      <c r="M171" s="1384" t="s">
        <v>7104</v>
      </c>
      <c r="N171" s="1384"/>
      <c r="O171" s="1384"/>
      <c r="P171" s="1384"/>
      <c r="Q171" s="1375" t="str">
        <f ca="1">'Calculos(2)'!CK11</f>
        <v>-</v>
      </c>
      <c r="R171" s="1376"/>
      <c r="S171" s="1375" t="str">
        <f ca="1">'Calculos(2)'!CK27</f>
        <v>-</v>
      </c>
      <c r="T171" s="1376"/>
      <c r="U171" s="1375" t="str">
        <f ca="1">'Calculos(2)'!CK43</f>
        <v>-</v>
      </c>
      <c r="V171" s="1376"/>
      <c r="W171" s="1375" t="str">
        <f ca="1">'Calculos(2)'!CK59</f>
        <v>-</v>
      </c>
      <c r="X171" s="1376"/>
      <c r="Y171" s="1375" t="str">
        <f ca="1">'Calculos(2)'!CK75</f>
        <v>-</v>
      </c>
      <c r="Z171" s="1376"/>
      <c r="AA171" s="1375" t="str">
        <f ca="1">'Calculos(2)'!CK91</f>
        <v>-</v>
      </c>
      <c r="AB171" s="1376"/>
      <c r="AC171" s="1375" t="str">
        <f ca="1">'Calculos(2)'!CK107</f>
        <v>-</v>
      </c>
      <c r="AD171" s="1376"/>
      <c r="AE171" s="1375" t="str">
        <f ca="1">'Calculos(2)'!CK123</f>
        <v>-</v>
      </c>
      <c r="AF171" s="1376"/>
      <c r="AG171" s="1375" t="str">
        <f ca="1">'Calculos(2)'!CK139</f>
        <v>-</v>
      </c>
      <c r="AH171" s="1376"/>
      <c r="AI171" s="1375" t="str">
        <f ca="1">'Calculos(2)'!CK155</f>
        <v>-</v>
      </c>
      <c r="AJ171" s="1376"/>
      <c r="AK171" s="1375" t="str">
        <f ca="1">'Calculos(2)'!CK171</f>
        <v>-</v>
      </c>
      <c r="AL171" s="1376"/>
      <c r="AM171" s="1375" t="str">
        <f ca="1">'Calculos(2)'!CK187</f>
        <v>-</v>
      </c>
      <c r="AN171" s="1376"/>
      <c r="AO171" s="1375" t="str">
        <f ca="1">'Calculos(2)'!CK203</f>
        <v>-</v>
      </c>
      <c r="AP171" s="1376"/>
      <c r="AQ171" s="1375" t="str">
        <f ca="1">'Calculos(2)'!CK219</f>
        <v>-</v>
      </c>
      <c r="AR171" s="1376"/>
      <c r="AS171" s="1375" t="str">
        <f ca="1">'Calculos(2)'!CK235</f>
        <v>-</v>
      </c>
      <c r="AT171" s="1376"/>
      <c r="AU171" s="1375" t="str">
        <f ca="1">'Calculos(2)'!CK251</f>
        <v>-</v>
      </c>
      <c r="AV171" s="1376"/>
      <c r="AW171" s="1375" t="str">
        <f ca="1">'Calculos(2)'!CK267</f>
        <v>-</v>
      </c>
      <c r="AX171" s="1376"/>
      <c r="AY171" s="1375" t="str">
        <f ca="1">'Calculos(2)'!CK283</f>
        <v>-</v>
      </c>
      <c r="AZ171" s="1376"/>
      <c r="BA171" s="1375" t="str">
        <f ca="1">'Calculos(2)'!CK299</f>
        <v>-</v>
      </c>
      <c r="BB171" s="1376"/>
      <c r="BC171" s="1375" t="str">
        <f ca="1">'Calculos(2)'!CK315</f>
        <v>-</v>
      </c>
      <c r="BD171" s="1376"/>
      <c r="CA171" s="1354">
        <f t="shared" ref="CA171:CA181" ca="1" si="59">IF(Q171="-",0,IF(Q171&gt;=CA$90,1,0))</f>
        <v>0</v>
      </c>
      <c r="CB171" s="1354"/>
      <c r="CC171" s="1354">
        <f t="shared" ca="1" si="40"/>
        <v>0</v>
      </c>
      <c r="CD171" s="1354"/>
      <c r="CE171" s="1354">
        <f t="shared" ca="1" si="41"/>
        <v>0</v>
      </c>
      <c r="CF171" s="1354"/>
      <c r="CG171" s="1354">
        <f t="shared" ca="1" si="42"/>
        <v>0</v>
      </c>
      <c r="CH171" s="1354"/>
      <c r="CI171" s="1354">
        <f t="shared" ca="1" si="43"/>
        <v>0</v>
      </c>
      <c r="CJ171" s="1354"/>
      <c r="CK171" s="1354">
        <f t="shared" ca="1" si="44"/>
        <v>0</v>
      </c>
      <c r="CL171" s="1354"/>
      <c r="CM171" s="1354">
        <f t="shared" ca="1" si="45"/>
        <v>0</v>
      </c>
      <c r="CN171" s="1354"/>
      <c r="CO171" s="1354">
        <f t="shared" ca="1" si="46"/>
        <v>0</v>
      </c>
      <c r="CP171" s="1354"/>
      <c r="CQ171" s="1354">
        <f t="shared" ca="1" si="47"/>
        <v>0</v>
      </c>
      <c r="CR171" s="1354"/>
      <c r="CS171" s="1354">
        <f t="shared" ca="1" si="48"/>
        <v>0</v>
      </c>
      <c r="CT171" s="1354"/>
      <c r="CU171" s="1354">
        <f t="shared" ca="1" si="49"/>
        <v>0</v>
      </c>
      <c r="CV171" s="1354"/>
      <c r="CW171" s="1354">
        <f t="shared" ca="1" si="50"/>
        <v>0</v>
      </c>
      <c r="CX171" s="1354"/>
      <c r="CY171" s="1354">
        <f t="shared" ca="1" si="51"/>
        <v>0</v>
      </c>
      <c r="CZ171" s="1354"/>
      <c r="DA171" s="1354">
        <f t="shared" ca="1" si="52"/>
        <v>0</v>
      </c>
      <c r="DB171" s="1354"/>
      <c r="DC171" s="1354">
        <f t="shared" ca="1" si="53"/>
        <v>0</v>
      </c>
      <c r="DD171" s="1354"/>
      <c r="DE171" s="1354">
        <f t="shared" ca="1" si="54"/>
        <v>0</v>
      </c>
      <c r="DF171" s="1354"/>
      <c r="DG171" s="1354">
        <f t="shared" ca="1" si="55"/>
        <v>0</v>
      </c>
      <c r="DH171" s="1354"/>
      <c r="DI171" s="1354">
        <f t="shared" ca="1" si="56"/>
        <v>0</v>
      </c>
      <c r="DJ171" s="1354"/>
      <c r="DK171" s="1354">
        <f t="shared" ca="1" si="57"/>
        <v>0</v>
      </c>
      <c r="DL171" s="1354"/>
      <c r="DM171" s="1354">
        <f t="shared" ca="1" si="58"/>
        <v>0</v>
      </c>
      <c r="DN171" s="1354"/>
    </row>
    <row r="172" spans="1:118" ht="20.100000000000001" customHeight="1" outlineLevel="1" x14ac:dyDescent="0.25">
      <c r="A172" s="18"/>
      <c r="B172" s="18"/>
      <c r="C172" s="18"/>
      <c r="D172" s="1"/>
      <c r="E172" s="2"/>
      <c r="F172" s="1377"/>
      <c r="G172" s="1377"/>
      <c r="H172" s="1377"/>
      <c r="I172" s="1377"/>
      <c r="J172" s="1377"/>
      <c r="K172" s="1377"/>
      <c r="L172" s="1377"/>
      <c r="M172" s="1384" t="s">
        <v>7105</v>
      </c>
      <c r="N172" s="1384"/>
      <c r="O172" s="1384"/>
      <c r="P172" s="1384"/>
      <c r="Q172" s="1375" t="str">
        <f ca="1">'Calculos(2)'!CK12</f>
        <v>-</v>
      </c>
      <c r="R172" s="1376"/>
      <c r="S172" s="1375" t="str">
        <f ca="1">'Calculos(2)'!CK28</f>
        <v>-</v>
      </c>
      <c r="T172" s="1376"/>
      <c r="U172" s="1375" t="str">
        <f ca="1">'Calculos(2)'!CK44</f>
        <v>-</v>
      </c>
      <c r="V172" s="1376"/>
      <c r="W172" s="1375" t="str">
        <f ca="1">'Calculos(2)'!CK60</f>
        <v>-</v>
      </c>
      <c r="X172" s="1376"/>
      <c r="Y172" s="1375" t="str">
        <f ca="1">'Calculos(2)'!CK76</f>
        <v>-</v>
      </c>
      <c r="Z172" s="1376"/>
      <c r="AA172" s="1375" t="str">
        <f ca="1">'Calculos(2)'!CK92</f>
        <v>-</v>
      </c>
      <c r="AB172" s="1376"/>
      <c r="AC172" s="1375" t="str">
        <f ca="1">'Calculos(2)'!CK108</f>
        <v>-</v>
      </c>
      <c r="AD172" s="1376"/>
      <c r="AE172" s="1375" t="str">
        <f ca="1">'Calculos(2)'!CK124</f>
        <v>-</v>
      </c>
      <c r="AF172" s="1376"/>
      <c r="AG172" s="1375" t="str">
        <f ca="1">'Calculos(2)'!CK140</f>
        <v>-</v>
      </c>
      <c r="AH172" s="1376"/>
      <c r="AI172" s="1375" t="str">
        <f ca="1">'Calculos(2)'!CK156</f>
        <v>-</v>
      </c>
      <c r="AJ172" s="1376"/>
      <c r="AK172" s="1375" t="str">
        <f ca="1">'Calculos(2)'!CK172</f>
        <v>-</v>
      </c>
      <c r="AL172" s="1376"/>
      <c r="AM172" s="1375" t="str">
        <f ca="1">'Calculos(2)'!CK188</f>
        <v>-</v>
      </c>
      <c r="AN172" s="1376"/>
      <c r="AO172" s="1375" t="str">
        <f ca="1">'Calculos(2)'!CK204</f>
        <v>-</v>
      </c>
      <c r="AP172" s="1376"/>
      <c r="AQ172" s="1375" t="str">
        <f ca="1">'Calculos(2)'!CK220</f>
        <v>-</v>
      </c>
      <c r="AR172" s="1376"/>
      <c r="AS172" s="1375" t="str">
        <f ca="1">'Calculos(2)'!CK236</f>
        <v>-</v>
      </c>
      <c r="AT172" s="1376"/>
      <c r="AU172" s="1375" t="str">
        <f ca="1">'Calculos(2)'!CK252</f>
        <v>-</v>
      </c>
      <c r="AV172" s="1376"/>
      <c r="AW172" s="1375" t="str">
        <f ca="1">'Calculos(2)'!CK268</f>
        <v>-</v>
      </c>
      <c r="AX172" s="1376"/>
      <c r="AY172" s="1375" t="str">
        <f ca="1">'Calculos(2)'!CK284</f>
        <v>-</v>
      </c>
      <c r="AZ172" s="1376"/>
      <c r="BA172" s="1375" t="str">
        <f ca="1">'Calculos(2)'!CK300</f>
        <v>-</v>
      </c>
      <c r="BB172" s="1376"/>
      <c r="BC172" s="1375" t="str">
        <f ca="1">'Calculos(2)'!CK316</f>
        <v>-</v>
      </c>
      <c r="BD172" s="1376"/>
      <c r="CA172" s="1354">
        <f t="shared" ca="1" si="59"/>
        <v>0</v>
      </c>
      <c r="CB172" s="1354"/>
      <c r="CC172" s="1354">
        <f t="shared" ca="1" si="40"/>
        <v>0</v>
      </c>
      <c r="CD172" s="1354"/>
      <c r="CE172" s="1354">
        <f t="shared" ca="1" si="41"/>
        <v>0</v>
      </c>
      <c r="CF172" s="1354"/>
      <c r="CG172" s="1354">
        <f t="shared" ca="1" si="42"/>
        <v>0</v>
      </c>
      <c r="CH172" s="1354"/>
      <c r="CI172" s="1354">
        <f t="shared" ca="1" si="43"/>
        <v>0</v>
      </c>
      <c r="CJ172" s="1354"/>
      <c r="CK172" s="1354">
        <f t="shared" ca="1" si="44"/>
        <v>0</v>
      </c>
      <c r="CL172" s="1354"/>
      <c r="CM172" s="1354">
        <f t="shared" ca="1" si="45"/>
        <v>0</v>
      </c>
      <c r="CN172" s="1354"/>
      <c r="CO172" s="1354">
        <f t="shared" ca="1" si="46"/>
        <v>0</v>
      </c>
      <c r="CP172" s="1354"/>
      <c r="CQ172" s="1354">
        <f t="shared" ca="1" si="47"/>
        <v>0</v>
      </c>
      <c r="CR172" s="1354"/>
      <c r="CS172" s="1354">
        <f t="shared" ca="1" si="48"/>
        <v>0</v>
      </c>
      <c r="CT172" s="1354"/>
      <c r="CU172" s="1354">
        <f t="shared" ca="1" si="49"/>
        <v>0</v>
      </c>
      <c r="CV172" s="1354"/>
      <c r="CW172" s="1354">
        <f t="shared" ca="1" si="50"/>
        <v>0</v>
      </c>
      <c r="CX172" s="1354"/>
      <c r="CY172" s="1354">
        <f t="shared" ca="1" si="51"/>
        <v>0</v>
      </c>
      <c r="CZ172" s="1354"/>
      <c r="DA172" s="1354">
        <f t="shared" ca="1" si="52"/>
        <v>0</v>
      </c>
      <c r="DB172" s="1354"/>
      <c r="DC172" s="1354">
        <f t="shared" ca="1" si="53"/>
        <v>0</v>
      </c>
      <c r="DD172" s="1354"/>
      <c r="DE172" s="1354">
        <f t="shared" ca="1" si="54"/>
        <v>0</v>
      </c>
      <c r="DF172" s="1354"/>
      <c r="DG172" s="1354">
        <f t="shared" ca="1" si="55"/>
        <v>0</v>
      </c>
      <c r="DH172" s="1354"/>
      <c r="DI172" s="1354">
        <f t="shared" ca="1" si="56"/>
        <v>0</v>
      </c>
      <c r="DJ172" s="1354"/>
      <c r="DK172" s="1354">
        <f t="shared" ca="1" si="57"/>
        <v>0</v>
      </c>
      <c r="DL172" s="1354"/>
      <c r="DM172" s="1354">
        <f t="shared" ca="1" si="58"/>
        <v>0</v>
      </c>
      <c r="DN172" s="1354"/>
    </row>
    <row r="173" spans="1:118" ht="20.100000000000001" customHeight="1" outlineLevel="1" x14ac:dyDescent="0.25">
      <c r="A173" s="18"/>
      <c r="B173" s="18"/>
      <c r="C173" s="18"/>
      <c r="D173" s="1"/>
      <c r="E173" s="2"/>
      <c r="F173" s="1377"/>
      <c r="G173" s="1377"/>
      <c r="H173" s="1377"/>
      <c r="I173" s="1377"/>
      <c r="J173" s="1377"/>
      <c r="K173" s="1377"/>
      <c r="L173" s="1377"/>
      <c r="M173" s="1384" t="s">
        <v>7106</v>
      </c>
      <c r="N173" s="1384"/>
      <c r="O173" s="1384"/>
      <c r="P173" s="1384"/>
      <c r="Q173" s="1375" t="str">
        <f ca="1">'Calculos(2)'!CK13</f>
        <v>-</v>
      </c>
      <c r="R173" s="1376"/>
      <c r="S173" s="1375" t="str">
        <f ca="1">'Calculos(2)'!CK29</f>
        <v>-</v>
      </c>
      <c r="T173" s="1376"/>
      <c r="U173" s="1375" t="str">
        <f ca="1">'Calculos(2)'!CK45</f>
        <v>-</v>
      </c>
      <c r="V173" s="1376"/>
      <c r="W173" s="1375" t="str">
        <f ca="1">'Calculos(2)'!CK61</f>
        <v>-</v>
      </c>
      <c r="X173" s="1376"/>
      <c r="Y173" s="1375" t="str">
        <f ca="1">'Calculos(2)'!CK77</f>
        <v>-</v>
      </c>
      <c r="Z173" s="1376"/>
      <c r="AA173" s="1375" t="str">
        <f ca="1">'Calculos(2)'!CK93</f>
        <v>-</v>
      </c>
      <c r="AB173" s="1376"/>
      <c r="AC173" s="1375" t="str">
        <f ca="1">'Calculos(2)'!CK109</f>
        <v>-</v>
      </c>
      <c r="AD173" s="1376"/>
      <c r="AE173" s="1375" t="str">
        <f ca="1">'Calculos(2)'!CK125</f>
        <v>-</v>
      </c>
      <c r="AF173" s="1376"/>
      <c r="AG173" s="1375" t="str">
        <f ca="1">'Calculos(2)'!CK141</f>
        <v>-</v>
      </c>
      <c r="AH173" s="1376"/>
      <c r="AI173" s="1375" t="str">
        <f ca="1">'Calculos(2)'!CK157</f>
        <v>-</v>
      </c>
      <c r="AJ173" s="1376"/>
      <c r="AK173" s="1375" t="str">
        <f ca="1">'Calculos(2)'!CK173</f>
        <v>-</v>
      </c>
      <c r="AL173" s="1376"/>
      <c r="AM173" s="1375" t="str">
        <f ca="1">'Calculos(2)'!CK189</f>
        <v>-</v>
      </c>
      <c r="AN173" s="1376"/>
      <c r="AO173" s="1375" t="str">
        <f ca="1">'Calculos(2)'!CK205</f>
        <v>-</v>
      </c>
      <c r="AP173" s="1376"/>
      <c r="AQ173" s="1375" t="str">
        <f ca="1">'Calculos(2)'!CK221</f>
        <v>-</v>
      </c>
      <c r="AR173" s="1376"/>
      <c r="AS173" s="1375" t="str">
        <f ca="1">'Calculos(2)'!CK237</f>
        <v>-</v>
      </c>
      <c r="AT173" s="1376"/>
      <c r="AU173" s="1375" t="str">
        <f ca="1">'Calculos(2)'!CK253</f>
        <v>-</v>
      </c>
      <c r="AV173" s="1376"/>
      <c r="AW173" s="1375" t="str">
        <f ca="1">'Calculos(2)'!CK269</f>
        <v>-</v>
      </c>
      <c r="AX173" s="1376"/>
      <c r="AY173" s="1375" t="str">
        <f ca="1">'Calculos(2)'!CK285</f>
        <v>-</v>
      </c>
      <c r="AZ173" s="1376"/>
      <c r="BA173" s="1375" t="str">
        <f ca="1">'Calculos(2)'!CK301</f>
        <v>-</v>
      </c>
      <c r="BB173" s="1376"/>
      <c r="BC173" s="1375" t="str">
        <f ca="1">'Calculos(2)'!CK317</f>
        <v>-</v>
      </c>
      <c r="BD173" s="1376"/>
      <c r="CA173" s="1354">
        <f t="shared" ca="1" si="59"/>
        <v>0</v>
      </c>
      <c r="CB173" s="1354"/>
      <c r="CC173" s="1354">
        <f t="shared" ca="1" si="40"/>
        <v>0</v>
      </c>
      <c r="CD173" s="1354"/>
      <c r="CE173" s="1354">
        <f t="shared" ca="1" si="41"/>
        <v>0</v>
      </c>
      <c r="CF173" s="1354"/>
      <c r="CG173" s="1354">
        <f t="shared" ca="1" si="42"/>
        <v>0</v>
      </c>
      <c r="CH173" s="1354"/>
      <c r="CI173" s="1354">
        <f t="shared" ca="1" si="43"/>
        <v>0</v>
      </c>
      <c r="CJ173" s="1354"/>
      <c r="CK173" s="1354">
        <f t="shared" ca="1" si="44"/>
        <v>0</v>
      </c>
      <c r="CL173" s="1354"/>
      <c r="CM173" s="1354">
        <f t="shared" ca="1" si="45"/>
        <v>0</v>
      </c>
      <c r="CN173" s="1354"/>
      <c r="CO173" s="1354">
        <f t="shared" ca="1" si="46"/>
        <v>0</v>
      </c>
      <c r="CP173" s="1354"/>
      <c r="CQ173" s="1354">
        <f t="shared" ca="1" si="47"/>
        <v>0</v>
      </c>
      <c r="CR173" s="1354"/>
      <c r="CS173" s="1354">
        <f t="shared" ca="1" si="48"/>
        <v>0</v>
      </c>
      <c r="CT173" s="1354"/>
      <c r="CU173" s="1354">
        <f t="shared" ca="1" si="49"/>
        <v>0</v>
      </c>
      <c r="CV173" s="1354"/>
      <c r="CW173" s="1354">
        <f t="shared" ca="1" si="50"/>
        <v>0</v>
      </c>
      <c r="CX173" s="1354"/>
      <c r="CY173" s="1354">
        <f t="shared" ca="1" si="51"/>
        <v>0</v>
      </c>
      <c r="CZ173" s="1354"/>
      <c r="DA173" s="1354">
        <f t="shared" ca="1" si="52"/>
        <v>0</v>
      </c>
      <c r="DB173" s="1354"/>
      <c r="DC173" s="1354">
        <f t="shared" ca="1" si="53"/>
        <v>0</v>
      </c>
      <c r="DD173" s="1354"/>
      <c r="DE173" s="1354">
        <f t="shared" ca="1" si="54"/>
        <v>0</v>
      </c>
      <c r="DF173" s="1354"/>
      <c r="DG173" s="1354">
        <f t="shared" ca="1" si="55"/>
        <v>0</v>
      </c>
      <c r="DH173" s="1354"/>
      <c r="DI173" s="1354">
        <f t="shared" ca="1" si="56"/>
        <v>0</v>
      </c>
      <c r="DJ173" s="1354"/>
      <c r="DK173" s="1354">
        <f t="shared" ca="1" si="57"/>
        <v>0</v>
      </c>
      <c r="DL173" s="1354"/>
      <c r="DM173" s="1354">
        <f t="shared" ca="1" si="58"/>
        <v>0</v>
      </c>
      <c r="DN173" s="1354"/>
    </row>
    <row r="174" spans="1:118" ht="20.100000000000001" customHeight="1" outlineLevel="1" x14ac:dyDescent="0.25">
      <c r="A174" s="18"/>
      <c r="B174" s="18"/>
      <c r="C174" s="18"/>
      <c r="D174" s="1"/>
      <c r="E174" s="2"/>
      <c r="F174" s="1377"/>
      <c r="G174" s="1377"/>
      <c r="H174" s="1377"/>
      <c r="I174" s="1377"/>
      <c r="J174" s="1377"/>
      <c r="K174" s="1377"/>
      <c r="L174" s="1377"/>
      <c r="M174" s="1384" t="s">
        <v>7107</v>
      </c>
      <c r="N174" s="1384"/>
      <c r="O174" s="1384"/>
      <c r="P174" s="1384"/>
      <c r="Q174" s="1375" t="str">
        <f ca="1">'Calculos(2)'!CK14</f>
        <v>-</v>
      </c>
      <c r="R174" s="1376"/>
      <c r="S174" s="1375" t="str">
        <f ca="1">'Calculos(2)'!CK30</f>
        <v>-</v>
      </c>
      <c r="T174" s="1376"/>
      <c r="U174" s="1375" t="str">
        <f ca="1">'Calculos(2)'!CK46</f>
        <v>-</v>
      </c>
      <c r="V174" s="1376"/>
      <c r="W174" s="1375" t="str">
        <f ca="1">'Calculos(2)'!CK62</f>
        <v>-</v>
      </c>
      <c r="X174" s="1376"/>
      <c r="Y174" s="1375" t="str">
        <f ca="1">'Calculos(2)'!CK78</f>
        <v>-</v>
      </c>
      <c r="Z174" s="1376"/>
      <c r="AA174" s="1375" t="str">
        <f ca="1">'Calculos(2)'!CK94</f>
        <v>-</v>
      </c>
      <c r="AB174" s="1376"/>
      <c r="AC174" s="1375" t="str">
        <f ca="1">'Calculos(2)'!CK110</f>
        <v>-</v>
      </c>
      <c r="AD174" s="1376"/>
      <c r="AE174" s="1375" t="str">
        <f ca="1">'Calculos(2)'!CK126</f>
        <v>-</v>
      </c>
      <c r="AF174" s="1376"/>
      <c r="AG174" s="1375" t="str">
        <f ca="1">'Calculos(2)'!CK142</f>
        <v>-</v>
      </c>
      <c r="AH174" s="1376"/>
      <c r="AI174" s="1375" t="str">
        <f ca="1">'Calculos(2)'!CK158</f>
        <v>-</v>
      </c>
      <c r="AJ174" s="1376"/>
      <c r="AK174" s="1375" t="str">
        <f ca="1">'Calculos(2)'!CK174</f>
        <v>-</v>
      </c>
      <c r="AL174" s="1376"/>
      <c r="AM174" s="1375" t="str">
        <f ca="1">'Calculos(2)'!CK190</f>
        <v>-</v>
      </c>
      <c r="AN174" s="1376"/>
      <c r="AO174" s="1375" t="str">
        <f ca="1">'Calculos(2)'!CK206</f>
        <v>-</v>
      </c>
      <c r="AP174" s="1376"/>
      <c r="AQ174" s="1375" t="str">
        <f ca="1">'Calculos(2)'!CK222</f>
        <v>-</v>
      </c>
      <c r="AR174" s="1376"/>
      <c r="AS174" s="1375" t="str">
        <f ca="1">'Calculos(2)'!CK238</f>
        <v>-</v>
      </c>
      <c r="AT174" s="1376"/>
      <c r="AU174" s="1375" t="str">
        <f ca="1">'Calculos(2)'!CK254</f>
        <v>-</v>
      </c>
      <c r="AV174" s="1376"/>
      <c r="AW174" s="1375" t="str">
        <f ca="1">'Calculos(2)'!CK270</f>
        <v>-</v>
      </c>
      <c r="AX174" s="1376"/>
      <c r="AY174" s="1375" t="str">
        <f ca="1">'Calculos(2)'!CK286</f>
        <v>-</v>
      </c>
      <c r="AZ174" s="1376"/>
      <c r="BA174" s="1375" t="str">
        <f ca="1">'Calculos(2)'!CK302</f>
        <v>-</v>
      </c>
      <c r="BB174" s="1376"/>
      <c r="BC174" s="1375" t="str">
        <f ca="1">'Calculos(2)'!CK318</f>
        <v>-</v>
      </c>
      <c r="BD174" s="1376"/>
      <c r="CA174" s="1354">
        <f t="shared" ca="1" si="59"/>
        <v>0</v>
      </c>
      <c r="CB174" s="1354"/>
      <c r="CC174" s="1354">
        <f t="shared" ca="1" si="40"/>
        <v>0</v>
      </c>
      <c r="CD174" s="1354"/>
      <c r="CE174" s="1354">
        <f t="shared" ca="1" si="41"/>
        <v>0</v>
      </c>
      <c r="CF174" s="1354"/>
      <c r="CG174" s="1354">
        <f t="shared" ca="1" si="42"/>
        <v>0</v>
      </c>
      <c r="CH174" s="1354"/>
      <c r="CI174" s="1354">
        <f t="shared" ca="1" si="43"/>
        <v>0</v>
      </c>
      <c r="CJ174" s="1354"/>
      <c r="CK174" s="1354">
        <f t="shared" ca="1" si="44"/>
        <v>0</v>
      </c>
      <c r="CL174" s="1354"/>
      <c r="CM174" s="1354">
        <f t="shared" ca="1" si="45"/>
        <v>0</v>
      </c>
      <c r="CN174" s="1354"/>
      <c r="CO174" s="1354">
        <f t="shared" ca="1" si="46"/>
        <v>0</v>
      </c>
      <c r="CP174" s="1354"/>
      <c r="CQ174" s="1354">
        <f t="shared" ca="1" si="47"/>
        <v>0</v>
      </c>
      <c r="CR174" s="1354"/>
      <c r="CS174" s="1354">
        <f t="shared" ca="1" si="48"/>
        <v>0</v>
      </c>
      <c r="CT174" s="1354"/>
      <c r="CU174" s="1354">
        <f t="shared" ca="1" si="49"/>
        <v>0</v>
      </c>
      <c r="CV174" s="1354"/>
      <c r="CW174" s="1354">
        <f t="shared" ca="1" si="50"/>
        <v>0</v>
      </c>
      <c r="CX174" s="1354"/>
      <c r="CY174" s="1354">
        <f t="shared" ca="1" si="51"/>
        <v>0</v>
      </c>
      <c r="CZ174" s="1354"/>
      <c r="DA174" s="1354">
        <f t="shared" ca="1" si="52"/>
        <v>0</v>
      </c>
      <c r="DB174" s="1354"/>
      <c r="DC174" s="1354">
        <f t="shared" ca="1" si="53"/>
        <v>0</v>
      </c>
      <c r="DD174" s="1354"/>
      <c r="DE174" s="1354">
        <f t="shared" ca="1" si="54"/>
        <v>0</v>
      </c>
      <c r="DF174" s="1354"/>
      <c r="DG174" s="1354">
        <f t="shared" ca="1" si="55"/>
        <v>0</v>
      </c>
      <c r="DH174" s="1354"/>
      <c r="DI174" s="1354">
        <f t="shared" ca="1" si="56"/>
        <v>0</v>
      </c>
      <c r="DJ174" s="1354"/>
      <c r="DK174" s="1354">
        <f t="shared" ca="1" si="57"/>
        <v>0</v>
      </c>
      <c r="DL174" s="1354"/>
      <c r="DM174" s="1354">
        <f t="shared" ca="1" si="58"/>
        <v>0</v>
      </c>
      <c r="DN174" s="1354"/>
    </row>
    <row r="175" spans="1:118" ht="20.100000000000001" customHeight="1" outlineLevel="1" x14ac:dyDescent="0.25">
      <c r="A175" s="18"/>
      <c r="B175" s="18"/>
      <c r="C175" s="18"/>
      <c r="D175" s="1"/>
      <c r="E175" s="2"/>
      <c r="F175" s="1377"/>
      <c r="G175" s="1377"/>
      <c r="H175" s="1377"/>
      <c r="I175" s="1377"/>
      <c r="J175" s="1377"/>
      <c r="K175" s="1377"/>
      <c r="L175" s="1377"/>
      <c r="M175" s="1384" t="s">
        <v>7108</v>
      </c>
      <c r="N175" s="1384"/>
      <c r="O175" s="1384"/>
      <c r="P175" s="1384"/>
      <c r="Q175" s="1375" t="str">
        <f ca="1">'Calculos(2)'!CK15</f>
        <v>-</v>
      </c>
      <c r="R175" s="1376"/>
      <c r="S175" s="1375" t="str">
        <f ca="1">'Calculos(2)'!CK31</f>
        <v>-</v>
      </c>
      <c r="T175" s="1376"/>
      <c r="U175" s="1375" t="str">
        <f ca="1">'Calculos(2)'!CK47</f>
        <v>-</v>
      </c>
      <c r="V175" s="1376"/>
      <c r="W175" s="1375" t="str">
        <f ca="1">'Calculos(2)'!CK63</f>
        <v>-</v>
      </c>
      <c r="X175" s="1376"/>
      <c r="Y175" s="1375" t="str">
        <f ca="1">'Calculos(2)'!CK79</f>
        <v>-</v>
      </c>
      <c r="Z175" s="1376"/>
      <c r="AA175" s="1375" t="str">
        <f ca="1">'Calculos(2)'!CK95</f>
        <v>-</v>
      </c>
      <c r="AB175" s="1376"/>
      <c r="AC175" s="1375" t="str">
        <f ca="1">'Calculos(2)'!CK111</f>
        <v>-</v>
      </c>
      <c r="AD175" s="1376"/>
      <c r="AE175" s="1375" t="str">
        <f ca="1">'Calculos(2)'!CK127</f>
        <v>-</v>
      </c>
      <c r="AF175" s="1376"/>
      <c r="AG175" s="1375" t="str">
        <f ca="1">'Calculos(2)'!CK143</f>
        <v>-</v>
      </c>
      <c r="AH175" s="1376"/>
      <c r="AI175" s="1375" t="str">
        <f ca="1">'Calculos(2)'!CK159</f>
        <v>-</v>
      </c>
      <c r="AJ175" s="1376"/>
      <c r="AK175" s="1375" t="str">
        <f ca="1">'Calculos(2)'!CK175</f>
        <v>-</v>
      </c>
      <c r="AL175" s="1376"/>
      <c r="AM175" s="1375" t="str">
        <f ca="1">'Calculos(2)'!CK191</f>
        <v>-</v>
      </c>
      <c r="AN175" s="1376"/>
      <c r="AO175" s="1375" t="str">
        <f ca="1">'Calculos(2)'!CK207</f>
        <v>-</v>
      </c>
      <c r="AP175" s="1376"/>
      <c r="AQ175" s="1375" t="str">
        <f ca="1">'Calculos(2)'!CK223</f>
        <v>-</v>
      </c>
      <c r="AR175" s="1376"/>
      <c r="AS175" s="1375" t="str">
        <f ca="1">'Calculos(2)'!CK239</f>
        <v>-</v>
      </c>
      <c r="AT175" s="1376"/>
      <c r="AU175" s="1375" t="str">
        <f ca="1">'Calculos(2)'!CK255</f>
        <v>-</v>
      </c>
      <c r="AV175" s="1376"/>
      <c r="AW175" s="1375" t="str">
        <f ca="1">'Calculos(2)'!CK271</f>
        <v>-</v>
      </c>
      <c r="AX175" s="1376"/>
      <c r="AY175" s="1375" t="str">
        <f ca="1">'Calculos(2)'!CK287</f>
        <v>-</v>
      </c>
      <c r="AZ175" s="1376"/>
      <c r="BA175" s="1375" t="str">
        <f ca="1">'Calculos(2)'!CK303</f>
        <v>-</v>
      </c>
      <c r="BB175" s="1376"/>
      <c r="BC175" s="1375" t="str">
        <f ca="1">'Calculos(2)'!CK319</f>
        <v>-</v>
      </c>
      <c r="BD175" s="1376"/>
      <c r="CA175" s="1354">
        <f t="shared" ca="1" si="59"/>
        <v>0</v>
      </c>
      <c r="CB175" s="1354"/>
      <c r="CC175" s="1354">
        <f t="shared" ca="1" si="40"/>
        <v>0</v>
      </c>
      <c r="CD175" s="1354"/>
      <c r="CE175" s="1354">
        <f t="shared" ca="1" si="41"/>
        <v>0</v>
      </c>
      <c r="CF175" s="1354"/>
      <c r="CG175" s="1354">
        <f t="shared" ca="1" si="42"/>
        <v>0</v>
      </c>
      <c r="CH175" s="1354"/>
      <c r="CI175" s="1354">
        <f t="shared" ca="1" si="43"/>
        <v>0</v>
      </c>
      <c r="CJ175" s="1354"/>
      <c r="CK175" s="1354">
        <f t="shared" ca="1" si="44"/>
        <v>0</v>
      </c>
      <c r="CL175" s="1354"/>
      <c r="CM175" s="1354">
        <f t="shared" ca="1" si="45"/>
        <v>0</v>
      </c>
      <c r="CN175" s="1354"/>
      <c r="CO175" s="1354">
        <f t="shared" ca="1" si="46"/>
        <v>0</v>
      </c>
      <c r="CP175" s="1354"/>
      <c r="CQ175" s="1354">
        <f t="shared" ca="1" si="47"/>
        <v>0</v>
      </c>
      <c r="CR175" s="1354"/>
      <c r="CS175" s="1354">
        <f t="shared" ca="1" si="48"/>
        <v>0</v>
      </c>
      <c r="CT175" s="1354"/>
      <c r="CU175" s="1354">
        <f t="shared" ca="1" si="49"/>
        <v>0</v>
      </c>
      <c r="CV175" s="1354"/>
      <c r="CW175" s="1354">
        <f t="shared" ca="1" si="50"/>
        <v>0</v>
      </c>
      <c r="CX175" s="1354"/>
      <c r="CY175" s="1354">
        <f t="shared" ca="1" si="51"/>
        <v>0</v>
      </c>
      <c r="CZ175" s="1354"/>
      <c r="DA175" s="1354">
        <f t="shared" ca="1" si="52"/>
        <v>0</v>
      </c>
      <c r="DB175" s="1354"/>
      <c r="DC175" s="1354">
        <f t="shared" ca="1" si="53"/>
        <v>0</v>
      </c>
      <c r="DD175" s="1354"/>
      <c r="DE175" s="1354">
        <f t="shared" ca="1" si="54"/>
        <v>0</v>
      </c>
      <c r="DF175" s="1354"/>
      <c r="DG175" s="1354">
        <f t="shared" ca="1" si="55"/>
        <v>0</v>
      </c>
      <c r="DH175" s="1354"/>
      <c r="DI175" s="1354">
        <f t="shared" ca="1" si="56"/>
        <v>0</v>
      </c>
      <c r="DJ175" s="1354"/>
      <c r="DK175" s="1354">
        <f t="shared" ca="1" si="57"/>
        <v>0</v>
      </c>
      <c r="DL175" s="1354"/>
      <c r="DM175" s="1354">
        <f t="shared" ca="1" si="58"/>
        <v>0</v>
      </c>
      <c r="DN175" s="1354"/>
    </row>
    <row r="176" spans="1:118" ht="20.100000000000001" customHeight="1" outlineLevel="1" x14ac:dyDescent="0.25">
      <c r="A176" s="18"/>
      <c r="B176" s="18"/>
      <c r="C176" s="18"/>
      <c r="D176" s="1"/>
      <c r="E176" s="2"/>
      <c r="F176" s="1377"/>
      <c r="G176" s="1377"/>
      <c r="H176" s="1377"/>
      <c r="I176" s="1377"/>
      <c r="J176" s="1377"/>
      <c r="K176" s="1377"/>
      <c r="L176" s="1377"/>
      <c r="M176" s="1384" t="s">
        <v>7109</v>
      </c>
      <c r="N176" s="1384"/>
      <c r="O176" s="1384"/>
      <c r="P176" s="1384"/>
      <c r="Q176" s="1375" t="str">
        <f ca="1">'Calculos(2)'!CK16</f>
        <v>-</v>
      </c>
      <c r="R176" s="1376"/>
      <c r="S176" s="1375" t="str">
        <f ca="1">'Calculos(2)'!CK32</f>
        <v>-</v>
      </c>
      <c r="T176" s="1376"/>
      <c r="U176" s="1375" t="str">
        <f ca="1">'Calculos(2)'!CK48</f>
        <v>-</v>
      </c>
      <c r="V176" s="1376"/>
      <c r="W176" s="1375" t="str">
        <f ca="1">'Calculos(2)'!CK64</f>
        <v>-</v>
      </c>
      <c r="X176" s="1376"/>
      <c r="Y176" s="1375" t="str">
        <f ca="1">'Calculos(2)'!CK80</f>
        <v>-</v>
      </c>
      <c r="Z176" s="1376"/>
      <c r="AA176" s="1375" t="str">
        <f ca="1">'Calculos(2)'!CK96</f>
        <v>-</v>
      </c>
      <c r="AB176" s="1376"/>
      <c r="AC176" s="1375" t="str">
        <f ca="1">'Calculos(2)'!CK112</f>
        <v>-</v>
      </c>
      <c r="AD176" s="1376"/>
      <c r="AE176" s="1375" t="str">
        <f ca="1">'Calculos(2)'!CK128</f>
        <v>-</v>
      </c>
      <c r="AF176" s="1376"/>
      <c r="AG176" s="1375" t="str">
        <f ca="1">'Calculos(2)'!CK144</f>
        <v>-</v>
      </c>
      <c r="AH176" s="1376"/>
      <c r="AI176" s="1375" t="str">
        <f ca="1">'Calculos(2)'!CK160</f>
        <v>-</v>
      </c>
      <c r="AJ176" s="1376"/>
      <c r="AK176" s="1375" t="str">
        <f ca="1">'Calculos(2)'!CK176</f>
        <v>-</v>
      </c>
      <c r="AL176" s="1376"/>
      <c r="AM176" s="1375" t="str">
        <f ca="1">'Calculos(2)'!CK192</f>
        <v>-</v>
      </c>
      <c r="AN176" s="1376"/>
      <c r="AO176" s="1375" t="str">
        <f ca="1">'Calculos(2)'!CK208</f>
        <v>-</v>
      </c>
      <c r="AP176" s="1376"/>
      <c r="AQ176" s="1375" t="str">
        <f ca="1">'Calculos(2)'!CK224</f>
        <v>-</v>
      </c>
      <c r="AR176" s="1376"/>
      <c r="AS176" s="1375" t="str">
        <f ca="1">'Calculos(2)'!CK240</f>
        <v>-</v>
      </c>
      <c r="AT176" s="1376"/>
      <c r="AU176" s="1375" t="str">
        <f ca="1">'Calculos(2)'!CK256</f>
        <v>-</v>
      </c>
      <c r="AV176" s="1376"/>
      <c r="AW176" s="1375" t="str">
        <f ca="1">'Calculos(2)'!CK272</f>
        <v>-</v>
      </c>
      <c r="AX176" s="1376"/>
      <c r="AY176" s="1375" t="str">
        <f ca="1">'Calculos(2)'!CK288</f>
        <v>-</v>
      </c>
      <c r="AZ176" s="1376"/>
      <c r="BA176" s="1375" t="str">
        <f ca="1">'Calculos(2)'!CK304</f>
        <v>-</v>
      </c>
      <c r="BB176" s="1376"/>
      <c r="BC176" s="1375" t="str">
        <f ca="1">'Calculos(2)'!CK320</f>
        <v>-</v>
      </c>
      <c r="BD176" s="1376"/>
      <c r="CA176" s="1354">
        <f t="shared" ca="1" si="59"/>
        <v>0</v>
      </c>
      <c r="CB176" s="1354"/>
      <c r="CC176" s="1354">
        <f t="shared" ca="1" si="40"/>
        <v>0</v>
      </c>
      <c r="CD176" s="1354"/>
      <c r="CE176" s="1354">
        <f t="shared" ca="1" si="41"/>
        <v>0</v>
      </c>
      <c r="CF176" s="1354"/>
      <c r="CG176" s="1354">
        <f t="shared" ca="1" si="42"/>
        <v>0</v>
      </c>
      <c r="CH176" s="1354"/>
      <c r="CI176" s="1354">
        <f t="shared" ca="1" si="43"/>
        <v>0</v>
      </c>
      <c r="CJ176" s="1354"/>
      <c r="CK176" s="1354">
        <f t="shared" ca="1" si="44"/>
        <v>0</v>
      </c>
      <c r="CL176" s="1354"/>
      <c r="CM176" s="1354">
        <f t="shared" ca="1" si="45"/>
        <v>0</v>
      </c>
      <c r="CN176" s="1354"/>
      <c r="CO176" s="1354">
        <f t="shared" ca="1" si="46"/>
        <v>0</v>
      </c>
      <c r="CP176" s="1354"/>
      <c r="CQ176" s="1354">
        <f t="shared" ca="1" si="47"/>
        <v>0</v>
      </c>
      <c r="CR176" s="1354"/>
      <c r="CS176" s="1354">
        <f t="shared" ca="1" si="48"/>
        <v>0</v>
      </c>
      <c r="CT176" s="1354"/>
      <c r="CU176" s="1354">
        <f t="shared" ca="1" si="49"/>
        <v>0</v>
      </c>
      <c r="CV176" s="1354"/>
      <c r="CW176" s="1354">
        <f t="shared" ca="1" si="50"/>
        <v>0</v>
      </c>
      <c r="CX176" s="1354"/>
      <c r="CY176" s="1354">
        <f t="shared" ca="1" si="51"/>
        <v>0</v>
      </c>
      <c r="CZ176" s="1354"/>
      <c r="DA176" s="1354">
        <f t="shared" ca="1" si="52"/>
        <v>0</v>
      </c>
      <c r="DB176" s="1354"/>
      <c r="DC176" s="1354">
        <f t="shared" ca="1" si="53"/>
        <v>0</v>
      </c>
      <c r="DD176" s="1354"/>
      <c r="DE176" s="1354">
        <f t="shared" ca="1" si="54"/>
        <v>0</v>
      </c>
      <c r="DF176" s="1354"/>
      <c r="DG176" s="1354">
        <f t="shared" ca="1" si="55"/>
        <v>0</v>
      </c>
      <c r="DH176" s="1354"/>
      <c r="DI176" s="1354">
        <f t="shared" ca="1" si="56"/>
        <v>0</v>
      </c>
      <c r="DJ176" s="1354"/>
      <c r="DK176" s="1354">
        <f t="shared" ca="1" si="57"/>
        <v>0</v>
      </c>
      <c r="DL176" s="1354"/>
      <c r="DM176" s="1354">
        <f t="shared" ca="1" si="58"/>
        <v>0</v>
      </c>
      <c r="DN176" s="1354"/>
    </row>
    <row r="177" spans="1:118" ht="20.100000000000001" customHeight="1" outlineLevel="1" x14ac:dyDescent="0.25">
      <c r="A177" s="18"/>
      <c r="B177" s="18"/>
      <c r="C177" s="18"/>
      <c r="D177" s="1"/>
      <c r="E177" s="2"/>
      <c r="F177" s="1377"/>
      <c r="G177" s="1377"/>
      <c r="H177" s="1377"/>
      <c r="I177" s="1377"/>
      <c r="J177" s="1377"/>
      <c r="K177" s="1377"/>
      <c r="L177" s="1377"/>
      <c r="M177" s="1384" t="s">
        <v>7110</v>
      </c>
      <c r="N177" s="1384"/>
      <c r="O177" s="1384"/>
      <c r="P177" s="1384"/>
      <c r="Q177" s="1375" t="str">
        <f ca="1">'Calculos(2)'!CK17</f>
        <v>-</v>
      </c>
      <c r="R177" s="1376"/>
      <c r="S177" s="1375" t="str">
        <f ca="1">'Calculos(2)'!CK33</f>
        <v>-</v>
      </c>
      <c r="T177" s="1376"/>
      <c r="U177" s="1375" t="str">
        <f ca="1">'Calculos(2)'!CK49</f>
        <v>-</v>
      </c>
      <c r="V177" s="1376"/>
      <c r="W177" s="1375" t="str">
        <f ca="1">'Calculos(2)'!CK65</f>
        <v>-</v>
      </c>
      <c r="X177" s="1376"/>
      <c r="Y177" s="1375" t="str">
        <f ca="1">'Calculos(2)'!CK81</f>
        <v>-</v>
      </c>
      <c r="Z177" s="1376"/>
      <c r="AA177" s="1375" t="str">
        <f ca="1">'Calculos(2)'!CK97</f>
        <v>-</v>
      </c>
      <c r="AB177" s="1376"/>
      <c r="AC177" s="1375" t="str">
        <f ca="1">'Calculos(2)'!CK113</f>
        <v>-</v>
      </c>
      <c r="AD177" s="1376"/>
      <c r="AE177" s="1375" t="str">
        <f ca="1">'Calculos(2)'!CK129</f>
        <v>-</v>
      </c>
      <c r="AF177" s="1376"/>
      <c r="AG177" s="1375" t="str">
        <f ca="1">'Calculos(2)'!CK145</f>
        <v>-</v>
      </c>
      <c r="AH177" s="1376"/>
      <c r="AI177" s="1375" t="str">
        <f ca="1">'Calculos(2)'!CK161</f>
        <v>-</v>
      </c>
      <c r="AJ177" s="1376"/>
      <c r="AK177" s="1375" t="str">
        <f ca="1">'Calculos(2)'!CK177</f>
        <v>-</v>
      </c>
      <c r="AL177" s="1376"/>
      <c r="AM177" s="1375" t="str">
        <f ca="1">'Calculos(2)'!CK193</f>
        <v>-</v>
      </c>
      <c r="AN177" s="1376"/>
      <c r="AO177" s="1375" t="str">
        <f ca="1">'Calculos(2)'!CK209</f>
        <v>-</v>
      </c>
      <c r="AP177" s="1376"/>
      <c r="AQ177" s="1375" t="str">
        <f ca="1">'Calculos(2)'!CK225</f>
        <v>-</v>
      </c>
      <c r="AR177" s="1376"/>
      <c r="AS177" s="1375" t="str">
        <f ca="1">'Calculos(2)'!CK241</f>
        <v>-</v>
      </c>
      <c r="AT177" s="1376"/>
      <c r="AU177" s="1375" t="str">
        <f ca="1">'Calculos(2)'!CK257</f>
        <v>-</v>
      </c>
      <c r="AV177" s="1376"/>
      <c r="AW177" s="1375" t="str">
        <f ca="1">'Calculos(2)'!CK273</f>
        <v>-</v>
      </c>
      <c r="AX177" s="1376"/>
      <c r="AY177" s="1375" t="str">
        <f ca="1">'Calculos(2)'!CK289</f>
        <v>-</v>
      </c>
      <c r="AZ177" s="1376"/>
      <c r="BA177" s="1375" t="str">
        <f ca="1">'Calculos(2)'!CK305</f>
        <v>-</v>
      </c>
      <c r="BB177" s="1376"/>
      <c r="BC177" s="1375" t="str">
        <f ca="1">'Calculos(2)'!CK321</f>
        <v>-</v>
      </c>
      <c r="BD177" s="1376"/>
      <c r="CA177" s="1354">
        <f t="shared" ca="1" si="59"/>
        <v>0</v>
      </c>
      <c r="CB177" s="1354"/>
      <c r="CC177" s="1354">
        <f t="shared" ca="1" si="40"/>
        <v>0</v>
      </c>
      <c r="CD177" s="1354"/>
      <c r="CE177" s="1354">
        <f t="shared" ca="1" si="41"/>
        <v>0</v>
      </c>
      <c r="CF177" s="1354"/>
      <c r="CG177" s="1354">
        <f t="shared" ca="1" si="42"/>
        <v>0</v>
      </c>
      <c r="CH177" s="1354"/>
      <c r="CI177" s="1354">
        <f t="shared" ca="1" si="43"/>
        <v>0</v>
      </c>
      <c r="CJ177" s="1354"/>
      <c r="CK177" s="1354">
        <f t="shared" ca="1" si="44"/>
        <v>0</v>
      </c>
      <c r="CL177" s="1354"/>
      <c r="CM177" s="1354">
        <f t="shared" ca="1" si="45"/>
        <v>0</v>
      </c>
      <c r="CN177" s="1354"/>
      <c r="CO177" s="1354">
        <f t="shared" ca="1" si="46"/>
        <v>0</v>
      </c>
      <c r="CP177" s="1354"/>
      <c r="CQ177" s="1354">
        <f t="shared" ca="1" si="47"/>
        <v>0</v>
      </c>
      <c r="CR177" s="1354"/>
      <c r="CS177" s="1354">
        <f t="shared" ca="1" si="48"/>
        <v>0</v>
      </c>
      <c r="CT177" s="1354"/>
      <c r="CU177" s="1354">
        <f t="shared" ca="1" si="49"/>
        <v>0</v>
      </c>
      <c r="CV177" s="1354"/>
      <c r="CW177" s="1354">
        <f t="shared" ca="1" si="50"/>
        <v>0</v>
      </c>
      <c r="CX177" s="1354"/>
      <c r="CY177" s="1354">
        <f t="shared" ca="1" si="51"/>
        <v>0</v>
      </c>
      <c r="CZ177" s="1354"/>
      <c r="DA177" s="1354">
        <f t="shared" ca="1" si="52"/>
        <v>0</v>
      </c>
      <c r="DB177" s="1354"/>
      <c r="DC177" s="1354">
        <f t="shared" ca="1" si="53"/>
        <v>0</v>
      </c>
      <c r="DD177" s="1354"/>
      <c r="DE177" s="1354">
        <f t="shared" ca="1" si="54"/>
        <v>0</v>
      </c>
      <c r="DF177" s="1354"/>
      <c r="DG177" s="1354">
        <f t="shared" ca="1" si="55"/>
        <v>0</v>
      </c>
      <c r="DH177" s="1354"/>
      <c r="DI177" s="1354">
        <f t="shared" ca="1" si="56"/>
        <v>0</v>
      </c>
      <c r="DJ177" s="1354"/>
      <c r="DK177" s="1354">
        <f t="shared" ca="1" si="57"/>
        <v>0</v>
      </c>
      <c r="DL177" s="1354"/>
      <c r="DM177" s="1354">
        <f t="shared" ca="1" si="58"/>
        <v>0</v>
      </c>
      <c r="DN177" s="1354"/>
    </row>
    <row r="178" spans="1:118" ht="20.100000000000001" customHeight="1" outlineLevel="1" x14ac:dyDescent="0.25">
      <c r="A178" s="18"/>
      <c r="B178" s="18"/>
      <c r="C178" s="18"/>
      <c r="D178" s="1"/>
      <c r="E178" s="2"/>
      <c r="F178" s="1377"/>
      <c r="G178" s="1377"/>
      <c r="H178" s="1377"/>
      <c r="I178" s="1377"/>
      <c r="J178" s="1377"/>
      <c r="K178" s="1377"/>
      <c r="L178" s="1377"/>
      <c r="M178" s="1384" t="s">
        <v>7111</v>
      </c>
      <c r="N178" s="1384"/>
      <c r="O178" s="1384"/>
      <c r="P178" s="1384"/>
      <c r="Q178" s="1375" t="str">
        <f ca="1">'Calculos(2)'!CK18</f>
        <v>-</v>
      </c>
      <c r="R178" s="1376"/>
      <c r="S178" s="1375" t="str">
        <f ca="1">'Calculos(2)'!CK34</f>
        <v>-</v>
      </c>
      <c r="T178" s="1376"/>
      <c r="U178" s="1375" t="str">
        <f ca="1">'Calculos(2)'!CK50</f>
        <v>-</v>
      </c>
      <c r="V178" s="1376"/>
      <c r="W178" s="1375" t="str">
        <f ca="1">'Calculos(2)'!CK66</f>
        <v>-</v>
      </c>
      <c r="X178" s="1376"/>
      <c r="Y178" s="1375" t="str">
        <f ca="1">'Calculos(2)'!CK82</f>
        <v>-</v>
      </c>
      <c r="Z178" s="1376"/>
      <c r="AA178" s="1375" t="str">
        <f ca="1">'Calculos(2)'!CK98</f>
        <v>-</v>
      </c>
      <c r="AB178" s="1376"/>
      <c r="AC178" s="1375" t="str">
        <f ca="1">'Calculos(2)'!CK114</f>
        <v>-</v>
      </c>
      <c r="AD178" s="1376"/>
      <c r="AE178" s="1375" t="str">
        <f ca="1">'Calculos(2)'!CK130</f>
        <v>-</v>
      </c>
      <c r="AF178" s="1376"/>
      <c r="AG178" s="1375" t="str">
        <f ca="1">'Calculos(2)'!CK146</f>
        <v>-</v>
      </c>
      <c r="AH178" s="1376"/>
      <c r="AI178" s="1375" t="str">
        <f ca="1">'Calculos(2)'!CK162</f>
        <v>-</v>
      </c>
      <c r="AJ178" s="1376"/>
      <c r="AK178" s="1375" t="str">
        <f ca="1">'Calculos(2)'!CK178</f>
        <v>-</v>
      </c>
      <c r="AL178" s="1376"/>
      <c r="AM178" s="1375" t="str">
        <f ca="1">'Calculos(2)'!CK194</f>
        <v>-</v>
      </c>
      <c r="AN178" s="1376"/>
      <c r="AO178" s="1375" t="str">
        <f ca="1">'Calculos(2)'!CK210</f>
        <v>-</v>
      </c>
      <c r="AP178" s="1376"/>
      <c r="AQ178" s="1375" t="str">
        <f ca="1">'Calculos(2)'!CK226</f>
        <v>-</v>
      </c>
      <c r="AR178" s="1376"/>
      <c r="AS178" s="1375" t="str">
        <f ca="1">'Calculos(2)'!CK242</f>
        <v>-</v>
      </c>
      <c r="AT178" s="1376"/>
      <c r="AU178" s="1375" t="str">
        <f ca="1">'Calculos(2)'!CK258</f>
        <v>-</v>
      </c>
      <c r="AV178" s="1376"/>
      <c r="AW178" s="1375" t="str">
        <f ca="1">'Calculos(2)'!CK274</f>
        <v>-</v>
      </c>
      <c r="AX178" s="1376"/>
      <c r="AY178" s="1375" t="str">
        <f ca="1">'Calculos(2)'!CK290</f>
        <v>-</v>
      </c>
      <c r="AZ178" s="1376"/>
      <c r="BA178" s="1375" t="str">
        <f ca="1">'Calculos(2)'!CK306</f>
        <v>-</v>
      </c>
      <c r="BB178" s="1376"/>
      <c r="BC178" s="1375" t="str">
        <f ca="1">'Calculos(2)'!CK322</f>
        <v>-</v>
      </c>
      <c r="BD178" s="1376"/>
      <c r="CA178" s="1354">
        <f t="shared" ca="1" si="59"/>
        <v>0</v>
      </c>
      <c r="CB178" s="1354"/>
      <c r="CC178" s="1354">
        <f t="shared" ca="1" si="40"/>
        <v>0</v>
      </c>
      <c r="CD178" s="1354"/>
      <c r="CE178" s="1354">
        <f t="shared" ca="1" si="41"/>
        <v>0</v>
      </c>
      <c r="CF178" s="1354"/>
      <c r="CG178" s="1354">
        <f t="shared" ca="1" si="42"/>
        <v>0</v>
      </c>
      <c r="CH178" s="1354"/>
      <c r="CI178" s="1354">
        <f t="shared" ca="1" si="43"/>
        <v>0</v>
      </c>
      <c r="CJ178" s="1354"/>
      <c r="CK178" s="1354">
        <f t="shared" ca="1" si="44"/>
        <v>0</v>
      </c>
      <c r="CL178" s="1354"/>
      <c r="CM178" s="1354">
        <f t="shared" ca="1" si="45"/>
        <v>0</v>
      </c>
      <c r="CN178" s="1354"/>
      <c r="CO178" s="1354">
        <f t="shared" ca="1" si="46"/>
        <v>0</v>
      </c>
      <c r="CP178" s="1354"/>
      <c r="CQ178" s="1354">
        <f t="shared" ca="1" si="47"/>
        <v>0</v>
      </c>
      <c r="CR178" s="1354"/>
      <c r="CS178" s="1354">
        <f t="shared" ca="1" si="48"/>
        <v>0</v>
      </c>
      <c r="CT178" s="1354"/>
      <c r="CU178" s="1354">
        <f t="shared" ca="1" si="49"/>
        <v>0</v>
      </c>
      <c r="CV178" s="1354"/>
      <c r="CW178" s="1354">
        <f t="shared" ca="1" si="50"/>
        <v>0</v>
      </c>
      <c r="CX178" s="1354"/>
      <c r="CY178" s="1354">
        <f t="shared" ca="1" si="51"/>
        <v>0</v>
      </c>
      <c r="CZ178" s="1354"/>
      <c r="DA178" s="1354">
        <f t="shared" ca="1" si="52"/>
        <v>0</v>
      </c>
      <c r="DB178" s="1354"/>
      <c r="DC178" s="1354">
        <f t="shared" ca="1" si="53"/>
        <v>0</v>
      </c>
      <c r="DD178" s="1354"/>
      <c r="DE178" s="1354">
        <f t="shared" ca="1" si="54"/>
        <v>0</v>
      </c>
      <c r="DF178" s="1354"/>
      <c r="DG178" s="1354">
        <f t="shared" ca="1" si="55"/>
        <v>0</v>
      </c>
      <c r="DH178" s="1354"/>
      <c r="DI178" s="1354">
        <f t="shared" ca="1" si="56"/>
        <v>0</v>
      </c>
      <c r="DJ178" s="1354"/>
      <c r="DK178" s="1354">
        <f t="shared" ca="1" si="57"/>
        <v>0</v>
      </c>
      <c r="DL178" s="1354"/>
      <c r="DM178" s="1354">
        <f t="shared" ca="1" si="58"/>
        <v>0</v>
      </c>
      <c r="DN178" s="1354"/>
    </row>
    <row r="179" spans="1:118" ht="20.100000000000001" customHeight="1" outlineLevel="1" x14ac:dyDescent="0.25">
      <c r="A179" s="18"/>
      <c r="B179" s="18"/>
      <c r="C179" s="18"/>
      <c r="D179" s="1"/>
      <c r="E179" s="2"/>
      <c r="F179" s="1377"/>
      <c r="G179" s="1377"/>
      <c r="H179" s="1377"/>
      <c r="I179" s="1377"/>
      <c r="J179" s="1377"/>
      <c r="K179" s="1377"/>
      <c r="L179" s="1377"/>
      <c r="M179" s="1384" t="s">
        <v>7112</v>
      </c>
      <c r="N179" s="1384"/>
      <c r="O179" s="1384"/>
      <c r="P179" s="1384"/>
      <c r="Q179" s="1375" t="str">
        <f ca="1">'Calculos(2)'!CK19</f>
        <v>-</v>
      </c>
      <c r="R179" s="1376"/>
      <c r="S179" s="1375" t="str">
        <f ca="1">'Calculos(2)'!CK35</f>
        <v>-</v>
      </c>
      <c r="T179" s="1376"/>
      <c r="U179" s="1375" t="str">
        <f ca="1">'Calculos(2)'!CK51</f>
        <v>-</v>
      </c>
      <c r="V179" s="1376"/>
      <c r="W179" s="1375" t="str">
        <f ca="1">'Calculos(2)'!CK67</f>
        <v>-</v>
      </c>
      <c r="X179" s="1376"/>
      <c r="Y179" s="1375" t="str">
        <f ca="1">'Calculos(2)'!CK83</f>
        <v>-</v>
      </c>
      <c r="Z179" s="1376"/>
      <c r="AA179" s="1375" t="str">
        <f ca="1">'Calculos(2)'!CK99</f>
        <v>-</v>
      </c>
      <c r="AB179" s="1376"/>
      <c r="AC179" s="1375" t="str">
        <f ca="1">'Calculos(2)'!CK115</f>
        <v>-</v>
      </c>
      <c r="AD179" s="1376"/>
      <c r="AE179" s="1375" t="str">
        <f ca="1">'Calculos(2)'!CK131</f>
        <v>-</v>
      </c>
      <c r="AF179" s="1376"/>
      <c r="AG179" s="1375" t="str">
        <f ca="1">'Calculos(2)'!CK147</f>
        <v>-</v>
      </c>
      <c r="AH179" s="1376"/>
      <c r="AI179" s="1375" t="str">
        <f ca="1">'Calculos(2)'!CK163</f>
        <v>-</v>
      </c>
      <c r="AJ179" s="1376"/>
      <c r="AK179" s="1375" t="str">
        <f ca="1">'Calculos(2)'!CK179</f>
        <v>-</v>
      </c>
      <c r="AL179" s="1376"/>
      <c r="AM179" s="1375" t="str">
        <f ca="1">'Calculos(2)'!CK195</f>
        <v>-</v>
      </c>
      <c r="AN179" s="1376"/>
      <c r="AO179" s="1375" t="str">
        <f ca="1">'Calculos(2)'!CK211</f>
        <v>-</v>
      </c>
      <c r="AP179" s="1376"/>
      <c r="AQ179" s="1375" t="str">
        <f ca="1">'Calculos(2)'!CK227</f>
        <v>-</v>
      </c>
      <c r="AR179" s="1376"/>
      <c r="AS179" s="1375" t="str">
        <f ca="1">'Calculos(2)'!CK243</f>
        <v>-</v>
      </c>
      <c r="AT179" s="1376"/>
      <c r="AU179" s="1375" t="str">
        <f ca="1">'Calculos(2)'!CK259</f>
        <v>-</v>
      </c>
      <c r="AV179" s="1376"/>
      <c r="AW179" s="1375" t="str">
        <f ca="1">'Calculos(2)'!CK275</f>
        <v>-</v>
      </c>
      <c r="AX179" s="1376"/>
      <c r="AY179" s="1375" t="str">
        <f ca="1">'Calculos(2)'!CK291</f>
        <v>-</v>
      </c>
      <c r="AZ179" s="1376"/>
      <c r="BA179" s="1375" t="str">
        <f ca="1">'Calculos(2)'!CK307</f>
        <v>-</v>
      </c>
      <c r="BB179" s="1376"/>
      <c r="BC179" s="1375" t="str">
        <f ca="1">'Calculos(2)'!CK323</f>
        <v>-</v>
      </c>
      <c r="BD179" s="1376"/>
      <c r="CA179" s="1354">
        <f t="shared" ca="1" si="59"/>
        <v>0</v>
      </c>
      <c r="CB179" s="1354"/>
      <c r="CC179" s="1354">
        <f t="shared" ca="1" si="40"/>
        <v>0</v>
      </c>
      <c r="CD179" s="1354"/>
      <c r="CE179" s="1354">
        <f t="shared" ca="1" si="41"/>
        <v>0</v>
      </c>
      <c r="CF179" s="1354"/>
      <c r="CG179" s="1354">
        <f t="shared" ca="1" si="42"/>
        <v>0</v>
      </c>
      <c r="CH179" s="1354"/>
      <c r="CI179" s="1354">
        <f t="shared" ca="1" si="43"/>
        <v>0</v>
      </c>
      <c r="CJ179" s="1354"/>
      <c r="CK179" s="1354">
        <f t="shared" ca="1" si="44"/>
        <v>0</v>
      </c>
      <c r="CL179" s="1354"/>
      <c r="CM179" s="1354">
        <f t="shared" ca="1" si="45"/>
        <v>0</v>
      </c>
      <c r="CN179" s="1354"/>
      <c r="CO179" s="1354">
        <f t="shared" ca="1" si="46"/>
        <v>0</v>
      </c>
      <c r="CP179" s="1354"/>
      <c r="CQ179" s="1354">
        <f t="shared" ca="1" si="47"/>
        <v>0</v>
      </c>
      <c r="CR179" s="1354"/>
      <c r="CS179" s="1354">
        <f t="shared" ca="1" si="48"/>
        <v>0</v>
      </c>
      <c r="CT179" s="1354"/>
      <c r="CU179" s="1354">
        <f t="shared" ca="1" si="49"/>
        <v>0</v>
      </c>
      <c r="CV179" s="1354"/>
      <c r="CW179" s="1354">
        <f t="shared" ca="1" si="50"/>
        <v>0</v>
      </c>
      <c r="CX179" s="1354"/>
      <c r="CY179" s="1354">
        <f t="shared" ca="1" si="51"/>
        <v>0</v>
      </c>
      <c r="CZ179" s="1354"/>
      <c r="DA179" s="1354">
        <f t="shared" ca="1" si="52"/>
        <v>0</v>
      </c>
      <c r="DB179" s="1354"/>
      <c r="DC179" s="1354">
        <f t="shared" ca="1" si="53"/>
        <v>0</v>
      </c>
      <c r="DD179" s="1354"/>
      <c r="DE179" s="1354">
        <f t="shared" ca="1" si="54"/>
        <v>0</v>
      </c>
      <c r="DF179" s="1354"/>
      <c r="DG179" s="1354">
        <f t="shared" ca="1" si="55"/>
        <v>0</v>
      </c>
      <c r="DH179" s="1354"/>
      <c r="DI179" s="1354">
        <f t="shared" ca="1" si="56"/>
        <v>0</v>
      </c>
      <c r="DJ179" s="1354"/>
      <c r="DK179" s="1354">
        <f t="shared" ca="1" si="57"/>
        <v>0</v>
      </c>
      <c r="DL179" s="1354"/>
      <c r="DM179" s="1354">
        <f t="shared" ca="1" si="58"/>
        <v>0</v>
      </c>
      <c r="DN179" s="1354"/>
    </row>
    <row r="180" spans="1:118" ht="20.100000000000001" customHeight="1" outlineLevel="1" x14ac:dyDescent="0.25">
      <c r="A180" s="18"/>
      <c r="B180" s="18"/>
      <c r="C180" s="18"/>
      <c r="D180" s="1"/>
      <c r="E180" s="2"/>
      <c r="F180" s="1377"/>
      <c r="G180" s="1377"/>
      <c r="H180" s="1377"/>
      <c r="I180" s="1377"/>
      <c r="J180" s="1377"/>
      <c r="K180" s="1377"/>
      <c r="L180" s="1377"/>
      <c r="M180" s="1384" t="s">
        <v>7113</v>
      </c>
      <c r="N180" s="1384"/>
      <c r="O180" s="1384"/>
      <c r="P180" s="1384"/>
      <c r="Q180" s="1375" t="str">
        <f ca="1">'Calculos(2)'!CK20</f>
        <v>-</v>
      </c>
      <c r="R180" s="1376"/>
      <c r="S180" s="1375" t="str">
        <f ca="1">'Calculos(2)'!CK36</f>
        <v>-</v>
      </c>
      <c r="T180" s="1376"/>
      <c r="U180" s="1375" t="str">
        <f ca="1">'Calculos(2)'!CK52</f>
        <v>-</v>
      </c>
      <c r="V180" s="1376"/>
      <c r="W180" s="1375" t="str">
        <f ca="1">'Calculos(2)'!CK68</f>
        <v>-</v>
      </c>
      <c r="X180" s="1376"/>
      <c r="Y180" s="1375" t="str">
        <f ca="1">'Calculos(2)'!CK84</f>
        <v>-</v>
      </c>
      <c r="Z180" s="1376"/>
      <c r="AA180" s="1375" t="str">
        <f ca="1">'Calculos(2)'!CK100</f>
        <v>-</v>
      </c>
      <c r="AB180" s="1376"/>
      <c r="AC180" s="1375" t="str">
        <f ca="1">'Calculos(2)'!CK116</f>
        <v>-</v>
      </c>
      <c r="AD180" s="1376"/>
      <c r="AE180" s="1375" t="str">
        <f ca="1">'Calculos(2)'!CK132</f>
        <v>-</v>
      </c>
      <c r="AF180" s="1376"/>
      <c r="AG180" s="1375" t="str">
        <f ca="1">'Calculos(2)'!CK148</f>
        <v>-</v>
      </c>
      <c r="AH180" s="1376"/>
      <c r="AI180" s="1375" t="str">
        <f ca="1">'Calculos(2)'!CK164</f>
        <v>-</v>
      </c>
      <c r="AJ180" s="1376"/>
      <c r="AK180" s="1375" t="str">
        <f ca="1">'Calculos(2)'!CK180</f>
        <v>-</v>
      </c>
      <c r="AL180" s="1376"/>
      <c r="AM180" s="1375" t="str">
        <f ca="1">'Calculos(2)'!CK196</f>
        <v>-</v>
      </c>
      <c r="AN180" s="1376"/>
      <c r="AO180" s="1375" t="str">
        <f ca="1">'Calculos(2)'!CK212</f>
        <v>-</v>
      </c>
      <c r="AP180" s="1376"/>
      <c r="AQ180" s="1375" t="str">
        <f ca="1">'Calculos(2)'!CK228</f>
        <v>-</v>
      </c>
      <c r="AR180" s="1376"/>
      <c r="AS180" s="1375" t="str">
        <f ca="1">'Calculos(2)'!CK244</f>
        <v>-</v>
      </c>
      <c r="AT180" s="1376"/>
      <c r="AU180" s="1375" t="str">
        <f ca="1">'Calculos(2)'!CK260</f>
        <v>-</v>
      </c>
      <c r="AV180" s="1376"/>
      <c r="AW180" s="1375" t="str">
        <f ca="1">'Calculos(2)'!CK276</f>
        <v>-</v>
      </c>
      <c r="AX180" s="1376"/>
      <c r="AY180" s="1375" t="str">
        <f ca="1">'Calculos(2)'!CK292</f>
        <v>-</v>
      </c>
      <c r="AZ180" s="1376"/>
      <c r="BA180" s="1375" t="str">
        <f ca="1">'Calculos(2)'!CK308</f>
        <v>-</v>
      </c>
      <c r="BB180" s="1376"/>
      <c r="BC180" s="1375" t="str">
        <f ca="1">'Calculos(2)'!CK324</f>
        <v>-</v>
      </c>
      <c r="BD180" s="1376"/>
      <c r="CA180" s="1354">
        <f t="shared" ca="1" si="59"/>
        <v>0</v>
      </c>
      <c r="CB180" s="1354"/>
      <c r="CC180" s="1354">
        <f t="shared" ca="1" si="40"/>
        <v>0</v>
      </c>
      <c r="CD180" s="1354"/>
      <c r="CE180" s="1354">
        <f t="shared" ca="1" si="41"/>
        <v>0</v>
      </c>
      <c r="CF180" s="1354"/>
      <c r="CG180" s="1354">
        <f t="shared" ca="1" si="42"/>
        <v>0</v>
      </c>
      <c r="CH180" s="1354"/>
      <c r="CI180" s="1354">
        <f t="shared" ca="1" si="43"/>
        <v>0</v>
      </c>
      <c r="CJ180" s="1354"/>
      <c r="CK180" s="1354">
        <f t="shared" ca="1" si="44"/>
        <v>0</v>
      </c>
      <c r="CL180" s="1354"/>
      <c r="CM180" s="1354">
        <f t="shared" ca="1" si="45"/>
        <v>0</v>
      </c>
      <c r="CN180" s="1354"/>
      <c r="CO180" s="1354">
        <f t="shared" ca="1" si="46"/>
        <v>0</v>
      </c>
      <c r="CP180" s="1354"/>
      <c r="CQ180" s="1354">
        <f t="shared" ca="1" si="47"/>
        <v>0</v>
      </c>
      <c r="CR180" s="1354"/>
      <c r="CS180" s="1354">
        <f t="shared" ca="1" si="48"/>
        <v>0</v>
      </c>
      <c r="CT180" s="1354"/>
      <c r="CU180" s="1354">
        <f t="shared" ca="1" si="49"/>
        <v>0</v>
      </c>
      <c r="CV180" s="1354"/>
      <c r="CW180" s="1354">
        <f t="shared" ca="1" si="50"/>
        <v>0</v>
      </c>
      <c r="CX180" s="1354"/>
      <c r="CY180" s="1354">
        <f t="shared" ca="1" si="51"/>
        <v>0</v>
      </c>
      <c r="CZ180" s="1354"/>
      <c r="DA180" s="1354">
        <f t="shared" ca="1" si="52"/>
        <v>0</v>
      </c>
      <c r="DB180" s="1354"/>
      <c r="DC180" s="1354">
        <f t="shared" ca="1" si="53"/>
        <v>0</v>
      </c>
      <c r="DD180" s="1354"/>
      <c r="DE180" s="1354">
        <f t="shared" ca="1" si="54"/>
        <v>0</v>
      </c>
      <c r="DF180" s="1354"/>
      <c r="DG180" s="1354">
        <f t="shared" ca="1" si="55"/>
        <v>0</v>
      </c>
      <c r="DH180" s="1354"/>
      <c r="DI180" s="1354">
        <f t="shared" ca="1" si="56"/>
        <v>0</v>
      </c>
      <c r="DJ180" s="1354"/>
      <c r="DK180" s="1354">
        <f t="shared" ca="1" si="57"/>
        <v>0</v>
      </c>
      <c r="DL180" s="1354"/>
      <c r="DM180" s="1354">
        <f t="shared" ca="1" si="58"/>
        <v>0</v>
      </c>
      <c r="DN180" s="1354"/>
    </row>
    <row r="181" spans="1:118" ht="20.100000000000001" customHeight="1" outlineLevel="1" x14ac:dyDescent="0.25">
      <c r="A181" s="18"/>
      <c r="B181" s="18"/>
      <c r="C181" s="18"/>
      <c r="D181" s="1"/>
      <c r="E181" s="2"/>
      <c r="F181" s="1377"/>
      <c r="G181" s="1377"/>
      <c r="H181" s="1377"/>
      <c r="I181" s="1377"/>
      <c r="J181" s="1377"/>
      <c r="K181" s="1377"/>
      <c r="L181" s="1377"/>
      <c r="M181" s="1384" t="s">
        <v>80</v>
      </c>
      <c r="N181" s="1384"/>
      <c r="O181" s="1384"/>
      <c r="P181" s="1384"/>
      <c r="Q181" s="1375" t="str">
        <f ca="1">'Calculos(2)'!CK21</f>
        <v>-</v>
      </c>
      <c r="R181" s="1376"/>
      <c r="S181" s="1375" t="str">
        <f ca="1">'Calculos(2)'!CK37</f>
        <v>-</v>
      </c>
      <c r="T181" s="1376"/>
      <c r="U181" s="1375" t="str">
        <f ca="1">'Calculos(2)'!CK53</f>
        <v>-</v>
      </c>
      <c r="V181" s="1376"/>
      <c r="W181" s="1375" t="str">
        <f ca="1">'Calculos(2)'!CK69</f>
        <v>-</v>
      </c>
      <c r="X181" s="1376"/>
      <c r="Y181" s="1375" t="str">
        <f ca="1">'Calculos(2)'!CK85</f>
        <v>-</v>
      </c>
      <c r="Z181" s="1376"/>
      <c r="AA181" s="1375" t="str">
        <f ca="1">'Calculos(2)'!CK101</f>
        <v>-</v>
      </c>
      <c r="AB181" s="1376"/>
      <c r="AC181" s="1375" t="str">
        <f ca="1">'Calculos(2)'!CK117</f>
        <v>-</v>
      </c>
      <c r="AD181" s="1376"/>
      <c r="AE181" s="1375" t="str">
        <f ca="1">'Calculos(2)'!CK133</f>
        <v>-</v>
      </c>
      <c r="AF181" s="1376"/>
      <c r="AG181" s="1375" t="str">
        <f ca="1">'Calculos(2)'!CK149</f>
        <v>-</v>
      </c>
      <c r="AH181" s="1376"/>
      <c r="AI181" s="1375" t="str">
        <f ca="1">'Calculos(2)'!CK165</f>
        <v>-</v>
      </c>
      <c r="AJ181" s="1376"/>
      <c r="AK181" s="1375" t="str">
        <f ca="1">'Calculos(2)'!CK181</f>
        <v>-</v>
      </c>
      <c r="AL181" s="1376"/>
      <c r="AM181" s="1375" t="str">
        <f ca="1">'Calculos(2)'!CK197</f>
        <v>-</v>
      </c>
      <c r="AN181" s="1376"/>
      <c r="AO181" s="1375" t="str">
        <f ca="1">'Calculos(2)'!CK213</f>
        <v>-</v>
      </c>
      <c r="AP181" s="1376"/>
      <c r="AQ181" s="1375" t="str">
        <f ca="1">'Calculos(2)'!CK229</f>
        <v>-</v>
      </c>
      <c r="AR181" s="1376"/>
      <c r="AS181" s="1375" t="str">
        <f ca="1">'Calculos(2)'!CK245</f>
        <v>-</v>
      </c>
      <c r="AT181" s="1376"/>
      <c r="AU181" s="1375" t="str">
        <f ca="1">'Calculos(2)'!CK261</f>
        <v>-</v>
      </c>
      <c r="AV181" s="1376"/>
      <c r="AW181" s="1375" t="str">
        <f ca="1">'Calculos(2)'!CK277</f>
        <v>-</v>
      </c>
      <c r="AX181" s="1376"/>
      <c r="AY181" s="1375" t="str">
        <f ca="1">'Calculos(2)'!CK293</f>
        <v>-</v>
      </c>
      <c r="AZ181" s="1376"/>
      <c r="BA181" s="1375" t="str">
        <f ca="1">'Calculos(2)'!CK309</f>
        <v>-</v>
      </c>
      <c r="BB181" s="1376"/>
      <c r="BC181" s="1375" t="str">
        <f ca="1">'Calculos(2)'!CK325</f>
        <v>-</v>
      </c>
      <c r="BD181" s="1376"/>
      <c r="CA181" s="1354">
        <f t="shared" ca="1" si="59"/>
        <v>0</v>
      </c>
      <c r="CB181" s="1354"/>
      <c r="CC181" s="1354">
        <f t="shared" ca="1" si="40"/>
        <v>0</v>
      </c>
      <c r="CD181" s="1354"/>
      <c r="CE181" s="1354">
        <f t="shared" ca="1" si="41"/>
        <v>0</v>
      </c>
      <c r="CF181" s="1354"/>
      <c r="CG181" s="1354">
        <f t="shared" ca="1" si="42"/>
        <v>0</v>
      </c>
      <c r="CH181" s="1354"/>
      <c r="CI181" s="1354">
        <f t="shared" ca="1" si="43"/>
        <v>0</v>
      </c>
      <c r="CJ181" s="1354"/>
      <c r="CK181" s="1354">
        <f t="shared" ca="1" si="44"/>
        <v>0</v>
      </c>
      <c r="CL181" s="1354"/>
      <c r="CM181" s="1354">
        <f t="shared" ca="1" si="45"/>
        <v>0</v>
      </c>
      <c r="CN181" s="1354"/>
      <c r="CO181" s="1354">
        <f t="shared" ca="1" si="46"/>
        <v>0</v>
      </c>
      <c r="CP181" s="1354"/>
      <c r="CQ181" s="1354">
        <f t="shared" ca="1" si="47"/>
        <v>0</v>
      </c>
      <c r="CR181" s="1354"/>
      <c r="CS181" s="1354">
        <f t="shared" ca="1" si="48"/>
        <v>0</v>
      </c>
      <c r="CT181" s="1354"/>
      <c r="CU181" s="1354">
        <f t="shared" ca="1" si="49"/>
        <v>0</v>
      </c>
      <c r="CV181" s="1354"/>
      <c r="CW181" s="1354">
        <f t="shared" ca="1" si="50"/>
        <v>0</v>
      </c>
      <c r="CX181" s="1354"/>
      <c r="CY181" s="1354">
        <f t="shared" ca="1" si="51"/>
        <v>0</v>
      </c>
      <c r="CZ181" s="1354"/>
      <c r="DA181" s="1354">
        <f t="shared" ca="1" si="52"/>
        <v>0</v>
      </c>
      <c r="DB181" s="1354"/>
      <c r="DC181" s="1354">
        <f t="shared" ca="1" si="53"/>
        <v>0</v>
      </c>
      <c r="DD181" s="1354"/>
      <c r="DE181" s="1354">
        <f t="shared" ca="1" si="54"/>
        <v>0</v>
      </c>
      <c r="DF181" s="1354"/>
      <c r="DG181" s="1354">
        <f t="shared" ca="1" si="55"/>
        <v>0</v>
      </c>
      <c r="DH181" s="1354"/>
      <c r="DI181" s="1354">
        <f t="shared" ca="1" si="56"/>
        <v>0</v>
      </c>
      <c r="DJ181" s="1354"/>
      <c r="DK181" s="1354">
        <f t="shared" ca="1" si="57"/>
        <v>0</v>
      </c>
      <c r="DL181" s="1354"/>
      <c r="DM181" s="1354">
        <f t="shared" ca="1" si="58"/>
        <v>0</v>
      </c>
      <c r="DN181" s="1354"/>
    </row>
    <row r="182" spans="1:118" ht="30" customHeight="1" outlineLevel="1" x14ac:dyDescent="0.25">
      <c r="A182" s="18"/>
      <c r="B182" s="18"/>
      <c r="C182" s="18"/>
      <c r="D182" s="1"/>
      <c r="E182" s="2"/>
      <c r="F182" s="1377" t="s">
        <v>353</v>
      </c>
      <c r="G182" s="1377"/>
      <c r="H182" s="1377"/>
      <c r="I182" s="1377"/>
      <c r="J182" s="1377"/>
      <c r="K182" s="1377"/>
      <c r="L182" s="1377"/>
      <c r="M182" s="1377"/>
      <c r="N182" s="1377"/>
      <c r="O182" s="1377"/>
      <c r="P182" s="1377"/>
      <c r="Q182" s="1364" t="str">
        <f ca="1">'Calculos(2)'!BK361</f>
        <v>-</v>
      </c>
      <c r="R182" s="1365"/>
      <c r="S182" s="1364" t="str">
        <f ca="1">'Calculos(2)'!BL361</f>
        <v>-</v>
      </c>
      <c r="T182" s="1365"/>
      <c r="U182" s="1364" t="str">
        <f ca="1">'Calculos(2)'!BM361</f>
        <v>-</v>
      </c>
      <c r="V182" s="1365"/>
      <c r="W182" s="1364" t="str">
        <f ca="1">'Calculos(2)'!BN361</f>
        <v>-</v>
      </c>
      <c r="X182" s="1365"/>
      <c r="Y182" s="1364" t="str">
        <f ca="1">'Calculos(2)'!BO361</f>
        <v>-</v>
      </c>
      <c r="Z182" s="1365"/>
      <c r="AA182" s="1364" t="str">
        <f ca="1">'Calculos(2)'!BP361</f>
        <v>-</v>
      </c>
      <c r="AB182" s="1365"/>
      <c r="AC182" s="1364" t="str">
        <f ca="1">'Calculos(2)'!BQ361</f>
        <v>-</v>
      </c>
      <c r="AD182" s="1365"/>
      <c r="AE182" s="1364" t="str">
        <f ca="1">'Calculos(2)'!BR361</f>
        <v>-</v>
      </c>
      <c r="AF182" s="1365"/>
      <c r="AG182" s="1364" t="str">
        <f ca="1">'Calculos(2)'!BS361</f>
        <v>-</v>
      </c>
      <c r="AH182" s="1365"/>
      <c r="AI182" s="1364" t="str">
        <f ca="1">'Calculos(2)'!BT361</f>
        <v>-</v>
      </c>
      <c r="AJ182" s="1365"/>
      <c r="AK182" s="1364" t="str">
        <f ca="1">'Calculos(2)'!BU361</f>
        <v>-</v>
      </c>
      <c r="AL182" s="1365"/>
      <c r="AM182" s="1364" t="str">
        <f ca="1">'Calculos(2)'!BV361</f>
        <v>-</v>
      </c>
      <c r="AN182" s="1365"/>
      <c r="AO182" s="1364" t="str">
        <f ca="1">'Calculos(2)'!BW361</f>
        <v>-</v>
      </c>
      <c r="AP182" s="1365"/>
      <c r="AQ182" s="1364" t="str">
        <f ca="1">'Calculos(2)'!BX361</f>
        <v>-</v>
      </c>
      <c r="AR182" s="1365"/>
      <c r="AS182" s="1364" t="str">
        <f ca="1">'Calculos(2)'!BY361</f>
        <v>-</v>
      </c>
      <c r="AT182" s="1365"/>
      <c r="AU182" s="1364" t="str">
        <f ca="1">'Calculos(2)'!BZ361</f>
        <v>-</v>
      </c>
      <c r="AV182" s="1365"/>
      <c r="AW182" s="1364" t="str">
        <f ca="1">'Calculos(2)'!CA361</f>
        <v>-</v>
      </c>
      <c r="AX182" s="1365"/>
      <c r="AY182" s="1364" t="str">
        <f ca="1">'Calculos(2)'!CB361</f>
        <v>-</v>
      </c>
      <c r="AZ182" s="1365"/>
      <c r="BA182" s="1364" t="str">
        <f ca="1">'Calculos(2)'!CC361</f>
        <v>-</v>
      </c>
      <c r="BB182" s="1365"/>
      <c r="BC182" s="1364" t="str">
        <f ca="1">'Calculos(2)'!CD361</f>
        <v>-</v>
      </c>
      <c r="BD182" s="1365"/>
    </row>
    <row r="183" spans="1:118" ht="30" customHeight="1" outlineLevel="1" x14ac:dyDescent="0.25">
      <c r="A183" s="18"/>
      <c r="B183" s="18"/>
      <c r="C183" s="18"/>
      <c r="D183" s="1"/>
      <c r="E183" s="2"/>
      <c r="F183" s="1377" t="s">
        <v>6059</v>
      </c>
      <c r="G183" s="1377"/>
      <c r="H183" s="1377"/>
      <c r="I183" s="1377"/>
      <c r="J183" s="1377"/>
      <c r="K183" s="1377"/>
      <c r="L183" s="1377"/>
      <c r="M183" s="1377"/>
      <c r="N183" s="1377"/>
      <c r="O183" s="1377"/>
      <c r="P183" s="1377"/>
      <c r="Q183" s="1364" t="str">
        <f ca="1">'Calculos(2)'!BK374</f>
        <v>-</v>
      </c>
      <c r="R183" s="1365"/>
      <c r="S183" s="1364" t="str">
        <f ca="1">'Calculos(2)'!BL374</f>
        <v>-</v>
      </c>
      <c r="T183" s="1365"/>
      <c r="U183" s="1364" t="str">
        <f ca="1">'Calculos(2)'!BM374</f>
        <v>-</v>
      </c>
      <c r="V183" s="1365"/>
      <c r="W183" s="1364" t="str">
        <f ca="1">'Calculos(2)'!BN374</f>
        <v>-</v>
      </c>
      <c r="X183" s="1365"/>
      <c r="Y183" s="1364" t="str">
        <f ca="1">'Calculos(2)'!BO374</f>
        <v>-</v>
      </c>
      <c r="Z183" s="1365"/>
      <c r="AA183" s="1364" t="str">
        <f ca="1">'Calculos(2)'!BP374</f>
        <v>-</v>
      </c>
      <c r="AB183" s="1365"/>
      <c r="AC183" s="1364" t="str">
        <f ca="1">'Calculos(2)'!BQ374</f>
        <v>-</v>
      </c>
      <c r="AD183" s="1365"/>
      <c r="AE183" s="1364" t="str">
        <f ca="1">'Calculos(2)'!BR374</f>
        <v>-</v>
      </c>
      <c r="AF183" s="1365"/>
      <c r="AG183" s="1364" t="str">
        <f ca="1">'Calculos(2)'!BS374</f>
        <v>-</v>
      </c>
      <c r="AH183" s="1365"/>
      <c r="AI183" s="1364" t="str">
        <f ca="1">'Calculos(2)'!BT374</f>
        <v>-</v>
      </c>
      <c r="AJ183" s="1365"/>
      <c r="AK183" s="1364" t="str">
        <f ca="1">'Calculos(2)'!BU374</f>
        <v>-</v>
      </c>
      <c r="AL183" s="1365"/>
      <c r="AM183" s="1364" t="str">
        <f ca="1">'Calculos(2)'!BV374</f>
        <v>-</v>
      </c>
      <c r="AN183" s="1365"/>
      <c r="AO183" s="1364" t="str">
        <f ca="1">'Calculos(2)'!BW374</f>
        <v>-</v>
      </c>
      <c r="AP183" s="1365"/>
      <c r="AQ183" s="1364" t="str">
        <f ca="1">'Calculos(2)'!BX374</f>
        <v>-</v>
      </c>
      <c r="AR183" s="1365"/>
      <c r="AS183" s="1364" t="str">
        <f ca="1">'Calculos(2)'!BY374</f>
        <v>-</v>
      </c>
      <c r="AT183" s="1365"/>
      <c r="AU183" s="1364" t="str">
        <f ca="1">'Calculos(2)'!BZ374</f>
        <v>-</v>
      </c>
      <c r="AV183" s="1365"/>
      <c r="AW183" s="1364" t="str">
        <f ca="1">'Calculos(2)'!CA374</f>
        <v>-</v>
      </c>
      <c r="AX183" s="1365"/>
      <c r="AY183" s="1364" t="str">
        <f ca="1">'Calculos(2)'!CB374</f>
        <v>-</v>
      </c>
      <c r="AZ183" s="1365"/>
      <c r="BA183" s="1364" t="str">
        <f ca="1">'Calculos(2)'!CC374</f>
        <v>-</v>
      </c>
      <c r="BB183" s="1365"/>
      <c r="BC183" s="1364" t="str">
        <f ca="1">'Calculos(2)'!CD374</f>
        <v>-</v>
      </c>
      <c r="BD183" s="1365"/>
    </row>
    <row r="184" spans="1:118" ht="20.100000000000001" customHeight="1" outlineLevel="1" collapsed="1" x14ac:dyDescent="0.25">
      <c r="A184" s="18"/>
      <c r="B184" s="18"/>
      <c r="C184" s="18"/>
      <c r="D184" s="1"/>
      <c r="E184" s="2"/>
      <c r="F184" s="314"/>
      <c r="G184" s="314"/>
      <c r="H184" s="314"/>
      <c r="I184" s="314"/>
      <c r="J184" s="314"/>
      <c r="K184" s="314"/>
      <c r="L184" s="314"/>
      <c r="M184" s="314"/>
      <c r="N184" s="2"/>
      <c r="O184" s="2"/>
      <c r="P184" s="2"/>
      <c r="Q184" s="249" t="s">
        <v>6036</v>
      </c>
      <c r="R184" s="2"/>
      <c r="S184" s="2"/>
      <c r="T184" s="2"/>
      <c r="U184" s="2"/>
      <c r="V184" s="2"/>
      <c r="W184" s="249"/>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118" ht="20.100000000000001" customHeight="1" x14ac:dyDescent="0.25">
      <c r="A185" s="18"/>
      <c r="B185" s="18"/>
      <c r="C185" s="18"/>
      <c r="D185" s="1"/>
      <c r="E185" s="7"/>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row>
    <row r="186" spans="1:118" ht="20.100000000000001" customHeight="1" x14ac:dyDescent="0.25">
      <c r="A186" s="18"/>
      <c r="B186" s="18"/>
      <c r="C186" s="18"/>
      <c r="D186" s="1"/>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118" ht="20.100000000000001" customHeight="1" x14ac:dyDescent="0.25">
      <c r="A187" s="18"/>
      <c r="B187" s="18"/>
      <c r="C187" s="18"/>
      <c r="D187" s="1"/>
      <c r="E187" s="2"/>
      <c r="F187" s="245"/>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
      <c r="AO187" s="2"/>
      <c r="AP187" s="2"/>
      <c r="AQ187" s="2"/>
      <c r="AR187" s="2"/>
      <c r="AS187" s="2"/>
      <c r="AT187" s="2"/>
      <c r="AU187" s="2"/>
      <c r="AV187" s="2"/>
      <c r="AW187" s="2"/>
      <c r="AX187" s="2"/>
      <c r="AY187" s="2"/>
      <c r="AZ187" s="2"/>
      <c r="BA187" s="2"/>
      <c r="BB187" s="2"/>
      <c r="BC187" s="2"/>
      <c r="BD187" s="2"/>
      <c r="BE187" s="2"/>
    </row>
    <row r="188" spans="1:118" ht="30" customHeight="1" x14ac:dyDescent="0.25">
      <c r="A188" s="18"/>
      <c r="B188" s="18"/>
      <c r="C188" s="18"/>
      <c r="D188" s="1"/>
      <c r="E188" s="2"/>
      <c r="F188" s="1067" t="s">
        <v>296</v>
      </c>
      <c r="G188" s="1068"/>
      <c r="H188" s="1068"/>
      <c r="I188" s="1068"/>
      <c r="J188" s="1068"/>
      <c r="K188" s="1068"/>
      <c r="L188" s="1069"/>
      <c r="M188" s="1076" t="s">
        <v>186</v>
      </c>
      <c r="N188" s="135"/>
      <c r="O188" s="136"/>
      <c r="P188" s="136"/>
      <c r="Q188" s="136"/>
      <c r="R188" s="137"/>
      <c r="S188" s="1079" t="s">
        <v>293</v>
      </c>
      <c r="T188" s="1064"/>
      <c r="U188" s="1064"/>
      <c r="V188" s="1064"/>
      <c r="W188" s="1064"/>
      <c r="X188" s="1064"/>
      <c r="Y188" s="1064"/>
      <c r="Z188" s="1064" t="s">
        <v>301</v>
      </c>
      <c r="AA188" s="1064"/>
      <c r="AB188" s="1064"/>
      <c r="AC188" s="1064"/>
      <c r="AD188" s="1064"/>
      <c r="AE188" s="1064"/>
      <c r="AF188" s="1064"/>
      <c r="AG188" s="1064"/>
      <c r="AH188" s="1064"/>
      <c r="AI188" s="1064" t="s">
        <v>302</v>
      </c>
      <c r="AJ188" s="1064"/>
      <c r="AK188" s="1064"/>
      <c r="AL188" s="1064"/>
      <c r="AM188" s="1065"/>
      <c r="AN188" s="2"/>
      <c r="AO188" s="2"/>
      <c r="AP188" s="2"/>
      <c r="AQ188" s="2"/>
      <c r="AR188" s="2"/>
      <c r="AS188" s="2"/>
      <c r="AT188" s="2"/>
      <c r="AU188" s="2"/>
      <c r="AV188" s="2"/>
      <c r="AW188" s="2"/>
      <c r="AX188" s="2"/>
      <c r="AY188" s="2"/>
      <c r="AZ188" s="2"/>
      <c r="BA188" s="2"/>
      <c r="BB188" s="2"/>
      <c r="BC188" s="2"/>
      <c r="BD188" s="2"/>
      <c r="BE188" s="2"/>
    </row>
    <row r="189" spans="1:118" ht="27" customHeight="1" x14ac:dyDescent="0.25">
      <c r="A189" s="18"/>
      <c r="B189" s="18"/>
      <c r="C189" s="18"/>
      <c r="D189" s="1"/>
      <c r="E189" s="2"/>
      <c r="F189" s="1070"/>
      <c r="G189" s="1071"/>
      <c r="H189" s="1071"/>
      <c r="I189" s="1071"/>
      <c r="J189" s="1071"/>
      <c r="K189" s="1071"/>
      <c r="L189" s="1072"/>
      <c r="M189" s="1077"/>
      <c r="N189" s="138"/>
      <c r="O189" s="1045" t="s">
        <v>219</v>
      </c>
      <c r="P189" s="1045"/>
      <c r="Q189" s="1045"/>
      <c r="R189" s="1046"/>
      <c r="S189" s="1042"/>
      <c r="T189" s="1043"/>
      <c r="U189" s="1043"/>
      <c r="V189" s="1043"/>
      <c r="W189" s="1043"/>
      <c r="X189" s="1043"/>
      <c r="Y189" s="1043"/>
      <c r="Z189" s="1044"/>
      <c r="AA189" s="1044"/>
      <c r="AB189" s="1044"/>
      <c r="AC189" s="1044"/>
      <c r="AD189" s="1044"/>
      <c r="AE189" s="1044"/>
      <c r="AF189" s="1044"/>
      <c r="AG189" s="1044"/>
      <c r="AH189" s="1044"/>
      <c r="AI189" s="1066"/>
      <c r="AJ189" s="1066"/>
      <c r="AK189" s="1066"/>
      <c r="AL189" s="1066"/>
      <c r="AM189" s="1066"/>
      <c r="AN189" s="2"/>
      <c r="AO189" s="2"/>
      <c r="AP189" s="2"/>
      <c r="AQ189" s="2"/>
      <c r="AR189" s="2"/>
      <c r="AS189" s="2"/>
      <c r="AT189" s="2"/>
      <c r="AU189" s="2"/>
      <c r="AV189" s="2"/>
      <c r="AW189" s="2"/>
      <c r="AX189" s="2"/>
      <c r="AY189" s="2"/>
      <c r="AZ189" s="2"/>
      <c r="BA189" s="2"/>
      <c r="BB189" s="2"/>
      <c r="BC189" s="2"/>
      <c r="BD189" s="2"/>
      <c r="BE189" s="2"/>
    </row>
    <row r="190" spans="1:118" ht="27" customHeight="1" x14ac:dyDescent="0.25">
      <c r="A190" s="18"/>
      <c r="B190" s="18"/>
      <c r="C190" s="18"/>
      <c r="D190" s="1"/>
      <c r="E190" s="2"/>
      <c r="F190" s="1070"/>
      <c r="G190" s="1071"/>
      <c r="H190" s="1071"/>
      <c r="I190" s="1071"/>
      <c r="J190" s="1071"/>
      <c r="K190" s="1071"/>
      <c r="L190" s="1072"/>
      <c r="M190" s="1077"/>
      <c r="N190" s="1"/>
      <c r="O190" s="138"/>
      <c r="P190" s="138"/>
      <c r="Q190" s="138"/>
      <c r="R190" s="139"/>
      <c r="S190" s="1042"/>
      <c r="T190" s="1043"/>
      <c r="U190" s="1043"/>
      <c r="V190" s="1043"/>
      <c r="W190" s="1043"/>
      <c r="X190" s="1043"/>
      <c r="Y190" s="1043"/>
      <c r="Z190" s="1044"/>
      <c r="AA190" s="1044"/>
      <c r="AB190" s="1044"/>
      <c r="AC190" s="1044"/>
      <c r="AD190" s="1044"/>
      <c r="AE190" s="1044"/>
      <c r="AF190" s="1044"/>
      <c r="AG190" s="1044"/>
      <c r="AH190" s="1044"/>
      <c r="AI190" s="1066"/>
      <c r="AJ190" s="1066"/>
      <c r="AK190" s="1066"/>
      <c r="AL190" s="1066"/>
      <c r="AM190" s="1066"/>
      <c r="AN190" s="2"/>
      <c r="AO190" s="2"/>
      <c r="AP190" s="2"/>
      <c r="AQ190" s="2"/>
      <c r="AR190" s="2"/>
      <c r="AS190" s="2"/>
      <c r="AT190" s="2"/>
      <c r="AU190" s="2"/>
      <c r="AV190" s="2"/>
      <c r="AW190" s="2"/>
      <c r="AX190" s="2"/>
      <c r="AY190" s="2"/>
      <c r="AZ190" s="2"/>
      <c r="BA190" s="2"/>
      <c r="BB190" s="2"/>
      <c r="BC190" s="2"/>
      <c r="BD190" s="2"/>
      <c r="BE190" s="2"/>
    </row>
    <row r="191" spans="1:118" ht="27" customHeight="1" x14ac:dyDescent="0.25">
      <c r="A191" s="18"/>
      <c r="B191" s="18"/>
      <c r="C191" s="18"/>
      <c r="D191" s="1"/>
      <c r="E191" s="2"/>
      <c r="F191" s="1070"/>
      <c r="G191" s="1071"/>
      <c r="H191" s="1071"/>
      <c r="I191" s="1071"/>
      <c r="J191" s="1071"/>
      <c r="K191" s="1071"/>
      <c r="L191" s="1072"/>
      <c r="M191" s="1077"/>
      <c r="N191" s="138"/>
      <c r="O191" s="1047" t="s">
        <v>280</v>
      </c>
      <c r="P191" s="1047"/>
      <c r="Q191" s="1047"/>
      <c r="R191" s="1048"/>
      <c r="S191" s="1042"/>
      <c r="T191" s="1043"/>
      <c r="U191" s="1043"/>
      <c r="V191" s="1043"/>
      <c r="W191" s="1043"/>
      <c r="X191" s="1043"/>
      <c r="Y191" s="1043"/>
      <c r="Z191" s="1044"/>
      <c r="AA191" s="1044"/>
      <c r="AB191" s="1044"/>
      <c r="AC191" s="1044"/>
      <c r="AD191" s="1044"/>
      <c r="AE191" s="1044"/>
      <c r="AF191" s="1044"/>
      <c r="AG191" s="1044"/>
      <c r="AH191" s="1044"/>
      <c r="AI191" s="1066"/>
      <c r="AJ191" s="1066"/>
      <c r="AK191" s="1066"/>
      <c r="AL191" s="1066"/>
      <c r="AM191" s="1066"/>
      <c r="AN191" s="2"/>
      <c r="AO191" s="2"/>
      <c r="AP191" s="2"/>
      <c r="AQ191" s="2"/>
      <c r="AR191" s="2"/>
      <c r="AS191" s="2"/>
      <c r="AT191" s="2"/>
      <c r="AU191" s="2"/>
      <c r="AV191" s="2"/>
      <c r="AW191" s="2"/>
      <c r="AX191" s="2"/>
      <c r="AY191" s="2"/>
      <c r="AZ191" s="2"/>
      <c r="BA191" s="2"/>
      <c r="BB191" s="2"/>
      <c r="BC191" s="2"/>
      <c r="BD191" s="2"/>
      <c r="BE191" s="2"/>
    </row>
    <row r="192" spans="1:118" ht="27" customHeight="1" x14ac:dyDescent="0.25">
      <c r="A192" s="18"/>
      <c r="B192" s="18"/>
      <c r="C192" s="18"/>
      <c r="D192" s="1"/>
      <c r="E192" s="2"/>
      <c r="F192" s="1073"/>
      <c r="G192" s="1074"/>
      <c r="H192" s="1074"/>
      <c r="I192" s="1074"/>
      <c r="J192" s="1074"/>
      <c r="K192" s="1074"/>
      <c r="L192" s="1075"/>
      <c r="M192" s="1078"/>
      <c r="N192" s="140"/>
      <c r="O192" s="140"/>
      <c r="P192" s="140"/>
      <c r="Q192" s="140"/>
      <c r="R192" s="141"/>
      <c r="S192" s="1042"/>
      <c r="T192" s="1043"/>
      <c r="U192" s="1043"/>
      <c r="V192" s="1043"/>
      <c r="W192" s="1043"/>
      <c r="X192" s="1043"/>
      <c r="Y192" s="1043"/>
      <c r="Z192" s="1044"/>
      <c r="AA192" s="1044"/>
      <c r="AB192" s="1044"/>
      <c r="AC192" s="1044"/>
      <c r="AD192" s="1044"/>
      <c r="AE192" s="1044"/>
      <c r="AF192" s="1044"/>
      <c r="AG192" s="1044"/>
      <c r="AH192" s="1044"/>
      <c r="AI192" s="1066"/>
      <c r="AJ192" s="1066"/>
      <c r="AK192" s="1066"/>
      <c r="AL192" s="1066"/>
      <c r="AM192" s="1066"/>
      <c r="AN192" s="2"/>
      <c r="AO192" s="2"/>
      <c r="AP192" s="2"/>
      <c r="AQ192" s="2"/>
      <c r="AR192" s="2"/>
      <c r="AS192" s="2"/>
      <c r="AT192" s="2"/>
      <c r="AU192" s="2"/>
      <c r="AV192" s="2"/>
      <c r="AW192" s="2"/>
      <c r="AX192" s="2"/>
      <c r="AY192" s="2"/>
      <c r="AZ192" s="2"/>
      <c r="BA192" s="2"/>
      <c r="BB192" s="2"/>
      <c r="BC192" s="2"/>
      <c r="BD192" s="2"/>
      <c r="BE192" s="2"/>
    </row>
    <row r="193" spans="1:57" ht="15" customHeight="1" x14ac:dyDescent="0.25">
      <c r="A193" s="18"/>
      <c r="B193" s="18"/>
      <c r="C193" s="18"/>
      <c r="D193" s="1"/>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S193" s="2"/>
      <c r="AT193" s="2"/>
      <c r="AU193" s="2"/>
      <c r="AV193" s="2"/>
      <c r="AW193" s="2"/>
      <c r="AX193" s="2"/>
      <c r="AY193" s="2"/>
      <c r="AZ193" s="2"/>
      <c r="BA193" s="2"/>
      <c r="BB193" s="2"/>
      <c r="BC193" s="2"/>
      <c r="BD193" s="2"/>
      <c r="BE193" s="2"/>
    </row>
    <row r="194" spans="1:57" ht="20.100000000000001" customHeight="1" x14ac:dyDescent="0.25">
      <c r="A194" s="18"/>
      <c r="B194" s="18"/>
      <c r="C194" s="18"/>
      <c r="D194" s="1"/>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row>
    <row r="195" spans="1:57" ht="15" customHeight="1" x14ac:dyDescent="0.25">
      <c r="A195" s="18"/>
      <c r="B195" s="18"/>
      <c r="C195" s="18"/>
      <c r="D195" s="1"/>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20.100000000000001" hidden="1" customHeight="1" x14ac:dyDescent="0.25">
      <c r="A196" s="18"/>
      <c r="B196" s="18"/>
      <c r="C196" s="18"/>
      <c r="D196" s="1"/>
      <c r="E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60" customHeight="1" x14ac:dyDescent="0.25">
      <c r="A197" s="18"/>
      <c r="B197" s="18"/>
      <c r="C197" s="18"/>
      <c r="D197" s="1"/>
      <c r="E197" s="2"/>
      <c r="F197" s="1008" t="s">
        <v>143</v>
      </c>
      <c r="G197" s="1009"/>
      <c r="H197" s="1009"/>
      <c r="I197" s="1009"/>
      <c r="J197" s="1009"/>
      <c r="K197" s="1009"/>
      <c r="L197" s="1009"/>
      <c r="M197" s="1010"/>
      <c r="N197" s="1032"/>
      <c r="O197" s="1033"/>
      <c r="P197" s="1033"/>
      <c r="Q197" s="1033"/>
      <c r="R197" s="1033"/>
      <c r="S197" s="1033"/>
      <c r="T197" s="1033"/>
      <c r="U197" s="1033"/>
      <c r="V197" s="1033"/>
      <c r="W197" s="1033"/>
      <c r="X197" s="1033"/>
      <c r="Y197" s="1033"/>
      <c r="Z197" s="1033"/>
      <c r="AA197" s="1033"/>
      <c r="AB197" s="1033"/>
      <c r="AC197" s="1033"/>
      <c r="AD197" s="1033"/>
      <c r="AE197" s="1033"/>
      <c r="AF197" s="1033"/>
      <c r="AG197" s="1033"/>
      <c r="AH197" s="1033"/>
      <c r="AI197" s="1033"/>
      <c r="AJ197" s="1033"/>
      <c r="AK197" s="1033"/>
      <c r="AL197" s="1033"/>
      <c r="AM197" s="1034"/>
      <c r="AN197" s="2"/>
      <c r="AO197" s="2"/>
      <c r="AP197" s="2"/>
      <c r="AQ197" s="2"/>
      <c r="AR197" s="2"/>
      <c r="AS197" s="2"/>
      <c r="AT197" s="2"/>
      <c r="AU197" s="2"/>
      <c r="AV197" s="2"/>
      <c r="AW197" s="2"/>
      <c r="AX197" s="2"/>
      <c r="AY197" s="2"/>
      <c r="AZ197" s="2"/>
      <c r="BA197" s="2"/>
      <c r="BB197" s="2"/>
      <c r="BC197" s="2"/>
      <c r="BD197" s="2"/>
      <c r="BE197" s="2"/>
    </row>
    <row r="198" spans="1:57" ht="15" customHeight="1" x14ac:dyDescent="0.25">
      <c r="A198" s="18"/>
      <c r="B198" s="18"/>
      <c r="C198" s="18"/>
      <c r="D198" s="1"/>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20.100000000000001" customHeight="1" x14ac:dyDescent="0.25">
      <c r="A199" s="18"/>
      <c r="B199" s="18"/>
      <c r="C199" s="18"/>
      <c r="D199" s="1"/>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row>
    <row r="200" spans="1:57" ht="15" customHeight="1" x14ac:dyDescent="0.25">
      <c r="A200" s="18"/>
      <c r="B200" s="18"/>
      <c r="C200" s="18"/>
      <c r="D200" s="1"/>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30" customHeight="1" x14ac:dyDescent="0.25">
      <c r="A201" s="18"/>
      <c r="B201" s="18"/>
      <c r="C201" s="18"/>
      <c r="D201" s="1"/>
      <c r="E201" s="2"/>
      <c r="G201" s="250"/>
      <c r="H201" s="250"/>
      <c r="I201" s="250"/>
      <c r="J201" s="250"/>
      <c r="K201" s="250"/>
      <c r="L201" s="250"/>
      <c r="M201" s="196"/>
      <c r="N201" s="1454"/>
      <c r="O201" s="1454"/>
      <c r="P201" s="1454"/>
      <c r="Q201" s="1383" t="s">
        <v>209</v>
      </c>
      <c r="R201" s="1383"/>
      <c r="S201" s="1383"/>
      <c r="T201" s="1383"/>
      <c r="U201" s="1383"/>
      <c r="V201" s="1383" t="s">
        <v>250</v>
      </c>
      <c r="W201" s="1383"/>
      <c r="X201" s="1383"/>
      <c r="Y201" s="1383"/>
      <c r="Z201" s="1383" t="s">
        <v>251</v>
      </c>
      <c r="AA201" s="1383"/>
      <c r="AB201" s="1383"/>
      <c r="AC201" s="1383"/>
      <c r="AD201" s="1383"/>
      <c r="AE201" s="1383"/>
      <c r="AF201" s="1383"/>
      <c r="AG201" s="1383"/>
      <c r="AH201" s="1383" t="s">
        <v>252</v>
      </c>
      <c r="AI201" s="1383"/>
      <c r="AJ201" s="1383"/>
      <c r="AK201" s="1383"/>
      <c r="AL201" s="1383"/>
      <c r="AM201" s="1383"/>
      <c r="AN201" s="2"/>
      <c r="AO201" s="2"/>
      <c r="AP201" s="2"/>
      <c r="AQ201" s="2"/>
      <c r="AR201" s="2"/>
      <c r="AS201" s="2"/>
      <c r="AT201" s="2"/>
      <c r="AU201" s="2"/>
      <c r="AV201" s="2"/>
      <c r="AW201" s="2"/>
      <c r="AX201" s="2"/>
      <c r="AY201" s="2"/>
      <c r="AZ201" s="2"/>
      <c r="BA201" s="2"/>
      <c r="BB201" s="2"/>
      <c r="BC201" s="2"/>
      <c r="BD201" s="2"/>
      <c r="BE201" s="2"/>
    </row>
    <row r="202" spans="1:57" ht="27" customHeight="1" x14ac:dyDescent="0.25">
      <c r="A202" s="18"/>
      <c r="B202" s="18"/>
      <c r="C202" s="18"/>
      <c r="D202" s="1"/>
      <c r="E202" s="2"/>
      <c r="F202" s="1280" t="s">
        <v>7039</v>
      </c>
      <c r="G202" s="1378"/>
      <c r="H202" s="1378"/>
      <c r="I202" s="1378"/>
      <c r="J202" s="1378"/>
      <c r="K202" s="1378"/>
      <c r="L202" s="1378"/>
      <c r="M202" s="318" t="s">
        <v>186</v>
      </c>
      <c r="N202" s="985" t="s">
        <v>88</v>
      </c>
      <c r="O202" s="985"/>
      <c r="P202" s="986"/>
      <c r="Q202" s="1066"/>
      <c r="R202" s="1066"/>
      <c r="S202" s="1066"/>
      <c r="T202" s="1066"/>
      <c r="U202" s="1066"/>
      <c r="V202" s="1066"/>
      <c r="W202" s="1066"/>
      <c r="X202" s="1066"/>
      <c r="Y202" s="1066"/>
      <c r="Z202" s="1044"/>
      <c r="AA202" s="1044"/>
      <c r="AB202" s="1044"/>
      <c r="AC202" s="1044"/>
      <c r="AD202" s="1044"/>
      <c r="AE202" s="1044"/>
      <c r="AF202" s="1044"/>
      <c r="AG202" s="1044"/>
      <c r="AH202" s="1066"/>
      <c r="AI202" s="1066"/>
      <c r="AJ202" s="1066"/>
      <c r="AK202" s="1066"/>
      <c r="AL202" s="1066"/>
      <c r="AM202" s="1066"/>
      <c r="AN202" s="2"/>
      <c r="AO202" s="2"/>
      <c r="AP202" s="2"/>
      <c r="AQ202" s="2"/>
      <c r="AR202" s="2"/>
      <c r="AS202" s="2"/>
      <c r="AT202" s="2"/>
      <c r="AU202" s="2"/>
      <c r="AV202" s="2"/>
      <c r="AW202" s="2"/>
      <c r="AX202" s="2"/>
      <c r="AY202" s="2"/>
      <c r="AZ202" s="2"/>
      <c r="BA202" s="2"/>
      <c r="BB202" s="2"/>
      <c r="BC202" s="2"/>
      <c r="BD202" s="2"/>
      <c r="BE202" s="2"/>
    </row>
    <row r="203" spans="1:57" ht="27" customHeight="1" x14ac:dyDescent="0.25">
      <c r="A203" s="18"/>
      <c r="B203" s="18"/>
      <c r="C203" s="18"/>
      <c r="D203" s="1"/>
      <c r="E203" s="2"/>
      <c r="F203" s="1379"/>
      <c r="G203" s="1380"/>
      <c r="H203" s="1380"/>
      <c r="I203" s="1380"/>
      <c r="J203" s="1380"/>
      <c r="K203" s="1380"/>
      <c r="L203" s="1380"/>
      <c r="M203" s="319" t="s">
        <v>186</v>
      </c>
      <c r="N203" s="985" t="s">
        <v>101</v>
      </c>
      <c r="O203" s="985"/>
      <c r="P203" s="986"/>
      <c r="Q203" s="973"/>
      <c r="R203" s="974"/>
      <c r="S203" s="974"/>
      <c r="T203" s="974"/>
      <c r="U203" s="975"/>
      <c r="V203" s="1066"/>
      <c r="W203" s="1066"/>
      <c r="X203" s="1066"/>
      <c r="Y203" s="1066"/>
      <c r="Z203" s="1044"/>
      <c r="AA203" s="1044"/>
      <c r="AB203" s="1044"/>
      <c r="AC203" s="1044"/>
      <c r="AD203" s="1044"/>
      <c r="AE203" s="1044"/>
      <c r="AF203" s="1044"/>
      <c r="AG203" s="1044"/>
      <c r="AH203" s="1066"/>
      <c r="AI203" s="1066"/>
      <c r="AJ203" s="1066"/>
      <c r="AK203" s="1066"/>
      <c r="AL203" s="1066"/>
      <c r="AM203" s="1066"/>
      <c r="AN203" s="2"/>
      <c r="AO203" s="2"/>
      <c r="AP203" s="2"/>
      <c r="AQ203" s="2"/>
      <c r="AR203" s="2"/>
      <c r="AS203" s="2"/>
      <c r="AT203" s="2"/>
      <c r="AU203" s="2"/>
      <c r="AV203" s="2"/>
      <c r="AW203" s="2"/>
      <c r="AX203" s="2"/>
      <c r="AY203" s="2"/>
      <c r="AZ203" s="2"/>
      <c r="BA203" s="2"/>
      <c r="BB203" s="2"/>
      <c r="BC203" s="2"/>
      <c r="BD203" s="2"/>
      <c r="BE203" s="2"/>
    </row>
    <row r="204" spans="1:57" ht="27" customHeight="1" x14ac:dyDescent="0.25">
      <c r="A204" s="18"/>
      <c r="B204" s="18"/>
      <c r="C204" s="18"/>
      <c r="D204" s="1"/>
      <c r="E204" s="2"/>
      <c r="F204" s="1381"/>
      <c r="G204" s="1382"/>
      <c r="H204" s="1382"/>
      <c r="I204" s="1382"/>
      <c r="J204" s="1382"/>
      <c r="K204" s="1382"/>
      <c r="L204" s="1382"/>
      <c r="M204" s="320" t="s">
        <v>186</v>
      </c>
      <c r="N204" s="984" t="s">
        <v>120</v>
      </c>
      <c r="O204" s="985"/>
      <c r="P204" s="986"/>
      <c r="Q204" s="973"/>
      <c r="R204" s="974"/>
      <c r="S204" s="974"/>
      <c r="T204" s="974"/>
      <c r="U204" s="975"/>
      <c r="V204" s="1066"/>
      <c r="W204" s="1066"/>
      <c r="X204" s="1066"/>
      <c r="Y204" s="1066"/>
      <c r="Z204" s="1044"/>
      <c r="AA204" s="1044"/>
      <c r="AB204" s="1044"/>
      <c r="AC204" s="1044"/>
      <c r="AD204" s="1044"/>
      <c r="AE204" s="1044"/>
      <c r="AF204" s="1044"/>
      <c r="AG204" s="1044"/>
      <c r="AH204" s="1066"/>
      <c r="AI204" s="1066"/>
      <c r="AJ204" s="1066"/>
      <c r="AK204" s="1066"/>
      <c r="AL204" s="1066"/>
      <c r="AM204" s="1066"/>
      <c r="AN204" s="2"/>
      <c r="AO204" s="2"/>
      <c r="AP204" s="2"/>
      <c r="AQ204" s="2"/>
      <c r="AR204" s="2"/>
      <c r="AS204" s="2"/>
      <c r="AT204" s="2"/>
      <c r="AU204" s="2"/>
      <c r="AV204" s="2"/>
      <c r="AW204" s="2"/>
      <c r="AX204" s="2"/>
      <c r="AY204" s="2"/>
      <c r="AZ204" s="2"/>
      <c r="BA204" s="2"/>
      <c r="BB204" s="2"/>
      <c r="BC204" s="2"/>
      <c r="BD204" s="2"/>
      <c r="BE204" s="2"/>
    </row>
    <row r="205" spans="1:57" x14ac:dyDescent="0.25">
      <c r="A205" s="18"/>
      <c r="B205" s="18"/>
      <c r="C205" s="18"/>
      <c r="D205" s="1"/>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99.95" customHeight="1" x14ac:dyDescent="0.25">
      <c r="A206" s="18"/>
      <c r="B206" s="18"/>
      <c r="C206" s="18"/>
      <c r="D206" s="1"/>
      <c r="E206" s="2"/>
      <c r="F206" s="1008" t="s">
        <v>297</v>
      </c>
      <c r="G206" s="1009"/>
      <c r="H206" s="1009"/>
      <c r="I206" s="1009"/>
      <c r="J206" s="1009"/>
      <c r="K206" s="1009"/>
      <c r="L206" s="1041"/>
      <c r="M206" s="181" t="s">
        <v>186</v>
      </c>
      <c r="N206" s="1032"/>
      <c r="O206" s="1033"/>
      <c r="P206" s="1033"/>
      <c r="Q206" s="1033"/>
      <c r="R206" s="1033"/>
      <c r="S206" s="1033"/>
      <c r="T206" s="1033"/>
      <c r="U206" s="1033"/>
      <c r="V206" s="1033"/>
      <c r="W206" s="1033"/>
      <c r="X206" s="1033"/>
      <c r="Y206" s="1033"/>
      <c r="Z206" s="1033"/>
      <c r="AA206" s="1033"/>
      <c r="AB206" s="1033"/>
      <c r="AC206" s="1033"/>
      <c r="AD206" s="1033"/>
      <c r="AE206" s="1033"/>
      <c r="AF206" s="1033"/>
      <c r="AG206" s="1033"/>
      <c r="AH206" s="1033"/>
      <c r="AI206" s="1033"/>
      <c r="AJ206" s="1033"/>
      <c r="AK206" s="1033"/>
      <c r="AL206" s="1033"/>
      <c r="AM206" s="1034"/>
      <c r="AN206" s="1100" t="s">
        <v>271</v>
      </c>
      <c r="AO206" s="1101"/>
      <c r="AP206" s="1101"/>
      <c r="AQ206" s="1101"/>
      <c r="AR206" s="2"/>
      <c r="AS206" s="2"/>
      <c r="AT206" s="2"/>
      <c r="AU206" s="2"/>
      <c r="AV206" s="2"/>
      <c r="AW206" s="2"/>
      <c r="AX206" s="2"/>
      <c r="AY206" s="2"/>
      <c r="AZ206" s="2"/>
      <c r="BA206" s="2"/>
      <c r="BB206" s="2"/>
      <c r="BC206" s="2"/>
      <c r="BD206" s="2"/>
      <c r="BE206" s="2"/>
    </row>
    <row r="207" spans="1:57" ht="15" customHeight="1" x14ac:dyDescent="0.25">
      <c r="A207" s="18"/>
      <c r="B207" s="18"/>
      <c r="C207" s="18"/>
      <c r="D207" s="1"/>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sheetData>
  <sheetProtection algorithmName="SHA-512" hashValue="q82gmHS6zIScWYww7JPCjzrSALRaI7qdQyZZdyPL4ujBlmtWDE/zUzsFrM7deusRUYRvnPU0seN61zcXASLHow==" saltValue="6tnA/eGxFWCVLCEePQ9FGg==" spinCount="100000" sheet="1" objects="1" scenarios="1" formatColumns="0" formatRows="0"/>
  <mergeCells count="2425">
    <mergeCell ref="AB63:AC63"/>
    <mergeCell ref="AD63:AE63"/>
    <mergeCell ref="AF63:AG63"/>
    <mergeCell ref="AB64:AC64"/>
    <mergeCell ref="AD64:AE64"/>
    <mergeCell ref="AF64:AG64"/>
    <mergeCell ref="Z54:AG54"/>
    <mergeCell ref="F55:I55"/>
    <mergeCell ref="V55:Y55"/>
    <mergeCell ref="Z55:AC55"/>
    <mergeCell ref="AD55:AG55"/>
    <mergeCell ref="V56:W56"/>
    <mergeCell ref="X56:Y56"/>
    <mergeCell ref="Z56:AA56"/>
    <mergeCell ref="AB56:AC56"/>
    <mergeCell ref="AD56:AE56"/>
    <mergeCell ref="AF56:AG56"/>
    <mergeCell ref="J55:M55"/>
    <mergeCell ref="N55:Q55"/>
    <mergeCell ref="R55:U55"/>
    <mergeCell ref="AF59:AG59"/>
    <mergeCell ref="F59:I59"/>
    <mergeCell ref="J59:K59"/>
    <mergeCell ref="L59:M59"/>
    <mergeCell ref="N59:O59"/>
    <mergeCell ref="P59:Q59"/>
    <mergeCell ref="R59:S59"/>
    <mergeCell ref="T59:U59"/>
    <mergeCell ref="T58:U58"/>
    <mergeCell ref="X60:Y60"/>
    <mergeCell ref="Z60:AA60"/>
    <mergeCell ref="AB60:AC60"/>
    <mergeCell ref="AF60:AG60"/>
    <mergeCell ref="V61:W61"/>
    <mergeCell ref="X61:Y61"/>
    <mergeCell ref="Z61:AA61"/>
    <mergeCell ref="AB61:AC61"/>
    <mergeCell ref="AD61:AE61"/>
    <mergeCell ref="AF61:AG61"/>
    <mergeCell ref="V62:W62"/>
    <mergeCell ref="X62:Y62"/>
    <mergeCell ref="Z62:AA62"/>
    <mergeCell ref="AB62:AC62"/>
    <mergeCell ref="AD62:AE62"/>
    <mergeCell ref="AF62:AG62"/>
    <mergeCell ref="F13:L13"/>
    <mergeCell ref="N13:AJ13"/>
    <mergeCell ref="F14:L14"/>
    <mergeCell ref="N14:S14"/>
    <mergeCell ref="F15:L15"/>
    <mergeCell ref="N15:AJ15"/>
    <mergeCell ref="J34:Q34"/>
    <mergeCell ref="R34:Y34"/>
    <mergeCell ref="AG34:AN34"/>
    <mergeCell ref="J36:K36"/>
    <mergeCell ref="L36:M36"/>
    <mergeCell ref="N36:O36"/>
    <mergeCell ref="P36:Q36"/>
    <mergeCell ref="R36:S36"/>
    <mergeCell ref="AK37:AL37"/>
    <mergeCell ref="AM37:AN37"/>
    <mergeCell ref="P38:Q38"/>
    <mergeCell ref="R38:S38"/>
    <mergeCell ref="AK39:AL39"/>
    <mergeCell ref="AI2:AN7"/>
    <mergeCell ref="F12:L12"/>
    <mergeCell ref="N12:Z12"/>
    <mergeCell ref="AA12:AD12"/>
    <mergeCell ref="AF12:AJ12"/>
    <mergeCell ref="F18:L18"/>
    <mergeCell ref="N18:S18"/>
    <mergeCell ref="F20:L20"/>
    <mergeCell ref="N20:S20"/>
    <mergeCell ref="F21:L21"/>
    <mergeCell ref="N21:S21"/>
    <mergeCell ref="F16:M16"/>
    <mergeCell ref="N16:AJ16"/>
    <mergeCell ref="F17:M17"/>
    <mergeCell ref="N17:P17"/>
    <mergeCell ref="R17:X17"/>
    <mergeCell ref="Y17:AB17"/>
    <mergeCell ref="AD17:AJ17"/>
    <mergeCell ref="F2:AH6"/>
    <mergeCell ref="F7:J7"/>
    <mergeCell ref="AK13:AN13"/>
    <mergeCell ref="AO34:AV34"/>
    <mergeCell ref="F35:I35"/>
    <mergeCell ref="J35:M35"/>
    <mergeCell ref="N35:Q35"/>
    <mergeCell ref="R35:U35"/>
    <mergeCell ref="V35:Y35"/>
    <mergeCell ref="AC35:AF35"/>
    <mergeCell ref="F30:L30"/>
    <mergeCell ref="N30:S30"/>
    <mergeCell ref="J33:Y33"/>
    <mergeCell ref="AG33:AV33"/>
    <mergeCell ref="F25:L25"/>
    <mergeCell ref="N25:S25"/>
    <mergeCell ref="F26:L26"/>
    <mergeCell ref="N26:S26"/>
    <mergeCell ref="AK36:AL36"/>
    <mergeCell ref="AM36:AN36"/>
    <mergeCell ref="AO36:AP36"/>
    <mergeCell ref="AQ36:AR36"/>
    <mergeCell ref="AS36:AT36"/>
    <mergeCell ref="AU36:AV36"/>
    <mergeCell ref="T36:U36"/>
    <mergeCell ref="V36:W36"/>
    <mergeCell ref="X36:Y36"/>
    <mergeCell ref="AC36:AF36"/>
    <mergeCell ref="AG36:AH36"/>
    <mergeCell ref="AI36:AJ36"/>
    <mergeCell ref="AG35:AJ35"/>
    <mergeCell ref="AK35:AN35"/>
    <mergeCell ref="AO35:AR35"/>
    <mergeCell ref="AS35:AV35"/>
    <mergeCell ref="F36:I36"/>
    <mergeCell ref="AO37:AP37"/>
    <mergeCell ref="AQ37:AR37"/>
    <mergeCell ref="AS37:AT37"/>
    <mergeCell ref="AU37:AV37"/>
    <mergeCell ref="T37:U37"/>
    <mergeCell ref="V37:W37"/>
    <mergeCell ref="X37:Y37"/>
    <mergeCell ref="AC37:AF37"/>
    <mergeCell ref="AG37:AH37"/>
    <mergeCell ref="AI37:AJ37"/>
    <mergeCell ref="F37:I37"/>
    <mergeCell ref="J37:K37"/>
    <mergeCell ref="L37:M37"/>
    <mergeCell ref="N37:O37"/>
    <mergeCell ref="P37:Q37"/>
    <mergeCell ref="R37:S37"/>
    <mergeCell ref="AK38:AL38"/>
    <mergeCell ref="AM38:AN38"/>
    <mergeCell ref="AO38:AP38"/>
    <mergeCell ref="AQ38:AR38"/>
    <mergeCell ref="AS38:AT38"/>
    <mergeCell ref="AU38:AV38"/>
    <mergeCell ref="T38:U38"/>
    <mergeCell ref="V38:W38"/>
    <mergeCell ref="X38:Y38"/>
    <mergeCell ref="AC38:AF38"/>
    <mergeCell ref="AG38:AH38"/>
    <mergeCell ref="AI38:AJ38"/>
    <mergeCell ref="F38:I38"/>
    <mergeCell ref="J38:K38"/>
    <mergeCell ref="L38:M38"/>
    <mergeCell ref="N38:O38"/>
    <mergeCell ref="AM39:AN39"/>
    <mergeCell ref="AO39:AP39"/>
    <mergeCell ref="AQ39:AR39"/>
    <mergeCell ref="AS39:AT39"/>
    <mergeCell ref="AU39:AV39"/>
    <mergeCell ref="T39:U39"/>
    <mergeCell ref="V39:W39"/>
    <mergeCell ref="X39:Y39"/>
    <mergeCell ref="AC39:AF39"/>
    <mergeCell ref="AG39:AH39"/>
    <mergeCell ref="AI39:AJ39"/>
    <mergeCell ref="F39:I39"/>
    <mergeCell ref="J39:K39"/>
    <mergeCell ref="L39:M39"/>
    <mergeCell ref="N39:O39"/>
    <mergeCell ref="P39:Q39"/>
    <mergeCell ref="R39:S39"/>
    <mergeCell ref="AK40:AL40"/>
    <mergeCell ref="AM40:AN40"/>
    <mergeCell ref="AO40:AP40"/>
    <mergeCell ref="AQ40:AR40"/>
    <mergeCell ref="AS40:AT40"/>
    <mergeCell ref="AU40:AV40"/>
    <mergeCell ref="T40:U40"/>
    <mergeCell ref="V40:W40"/>
    <mergeCell ref="X40:Y40"/>
    <mergeCell ref="AC40:AF40"/>
    <mergeCell ref="AG40:AH40"/>
    <mergeCell ref="AI40:AJ40"/>
    <mergeCell ref="F40:I40"/>
    <mergeCell ref="J40:K40"/>
    <mergeCell ref="L40:M40"/>
    <mergeCell ref="N40:O40"/>
    <mergeCell ref="P40:Q40"/>
    <mergeCell ref="R40:S40"/>
    <mergeCell ref="AK41:AL41"/>
    <mergeCell ref="AM41:AN41"/>
    <mergeCell ref="AO41:AP41"/>
    <mergeCell ref="AQ41:AR41"/>
    <mergeCell ref="AS41:AT41"/>
    <mergeCell ref="AU41:AV41"/>
    <mergeCell ref="T41:U41"/>
    <mergeCell ref="V41:W41"/>
    <mergeCell ref="X41:Y41"/>
    <mergeCell ref="AC41:AF41"/>
    <mergeCell ref="AG41:AH41"/>
    <mergeCell ref="AI41:AJ41"/>
    <mergeCell ref="F41:I41"/>
    <mergeCell ref="J41:K41"/>
    <mergeCell ref="L41:M41"/>
    <mergeCell ref="N41:O41"/>
    <mergeCell ref="P41:Q41"/>
    <mergeCell ref="R41:S41"/>
    <mergeCell ref="AK42:AL42"/>
    <mergeCell ref="AM42:AN42"/>
    <mergeCell ref="AO42:AP42"/>
    <mergeCell ref="AQ42:AR42"/>
    <mergeCell ref="AS42:AT42"/>
    <mergeCell ref="AU42:AV42"/>
    <mergeCell ref="T42:U42"/>
    <mergeCell ref="V42:W42"/>
    <mergeCell ref="X42:Y42"/>
    <mergeCell ref="AC42:AF42"/>
    <mergeCell ref="AG42:AH42"/>
    <mergeCell ref="AI42:AJ42"/>
    <mergeCell ref="F42:I42"/>
    <mergeCell ref="J42:K42"/>
    <mergeCell ref="L42:M42"/>
    <mergeCell ref="N42:O42"/>
    <mergeCell ref="P42:Q42"/>
    <mergeCell ref="R42:S42"/>
    <mergeCell ref="AK43:AL43"/>
    <mergeCell ref="AM43:AN43"/>
    <mergeCell ref="AO43:AP43"/>
    <mergeCell ref="AQ43:AR43"/>
    <mergeCell ref="AS43:AT43"/>
    <mergeCell ref="AU43:AV43"/>
    <mergeCell ref="T43:U43"/>
    <mergeCell ref="V43:W43"/>
    <mergeCell ref="X43:Y43"/>
    <mergeCell ref="AC43:AF43"/>
    <mergeCell ref="AG43:AH43"/>
    <mergeCell ref="AI43:AJ43"/>
    <mergeCell ref="F43:I43"/>
    <mergeCell ref="J43:K43"/>
    <mergeCell ref="L43:M43"/>
    <mergeCell ref="N43:O43"/>
    <mergeCell ref="P43:Q43"/>
    <mergeCell ref="R43:S43"/>
    <mergeCell ref="AK44:AL44"/>
    <mergeCell ref="AM44:AN44"/>
    <mergeCell ref="AO44:AP44"/>
    <mergeCell ref="AQ44:AR44"/>
    <mergeCell ref="AS44:AT44"/>
    <mergeCell ref="AU44:AV44"/>
    <mergeCell ref="T44:U44"/>
    <mergeCell ref="V44:W44"/>
    <mergeCell ref="X44:Y44"/>
    <mergeCell ref="AC44:AF44"/>
    <mergeCell ref="AG44:AH44"/>
    <mergeCell ref="AI44:AJ44"/>
    <mergeCell ref="F44:I44"/>
    <mergeCell ref="J44:K44"/>
    <mergeCell ref="L44:M44"/>
    <mergeCell ref="N44:O44"/>
    <mergeCell ref="P44:Q44"/>
    <mergeCell ref="R44:S44"/>
    <mergeCell ref="AK45:AL45"/>
    <mergeCell ref="AM45:AN45"/>
    <mergeCell ref="AO45:AP45"/>
    <mergeCell ref="AQ45:AR45"/>
    <mergeCell ref="AS45:AT45"/>
    <mergeCell ref="AU45:AV45"/>
    <mergeCell ref="T45:U45"/>
    <mergeCell ref="V45:W45"/>
    <mergeCell ref="X45:Y45"/>
    <mergeCell ref="AC45:AF45"/>
    <mergeCell ref="AG45:AH45"/>
    <mergeCell ref="AI45:AJ45"/>
    <mergeCell ref="F45:I45"/>
    <mergeCell ref="J45:K45"/>
    <mergeCell ref="L45:M45"/>
    <mergeCell ref="N45:O45"/>
    <mergeCell ref="P45:Q45"/>
    <mergeCell ref="R45:S45"/>
    <mergeCell ref="AB57:AC57"/>
    <mergeCell ref="AD57:AE57"/>
    <mergeCell ref="AF57:AG57"/>
    <mergeCell ref="F53:I53"/>
    <mergeCell ref="J53:Q53"/>
    <mergeCell ref="R53:Y53"/>
    <mergeCell ref="Z53:AG53"/>
    <mergeCell ref="F54:I54"/>
    <mergeCell ref="J54:Q54"/>
    <mergeCell ref="R54:Y54"/>
    <mergeCell ref="AQ46:AR46"/>
    <mergeCell ref="AS46:AT46"/>
    <mergeCell ref="AU46:AV46"/>
    <mergeCell ref="T46:U46"/>
    <mergeCell ref="V46:W46"/>
    <mergeCell ref="X46:Y46"/>
    <mergeCell ref="AC46:AF46"/>
    <mergeCell ref="AG46:AH46"/>
    <mergeCell ref="AI46:AJ46"/>
    <mergeCell ref="F46:I46"/>
    <mergeCell ref="J46:K46"/>
    <mergeCell ref="L46:M46"/>
    <mergeCell ref="N46:O46"/>
    <mergeCell ref="P46:Q46"/>
    <mergeCell ref="R46:S46"/>
    <mergeCell ref="T62:U62"/>
    <mergeCell ref="F62:I62"/>
    <mergeCell ref="J62:K62"/>
    <mergeCell ref="L62:M62"/>
    <mergeCell ref="N62:O62"/>
    <mergeCell ref="P62:Q62"/>
    <mergeCell ref="R62:S62"/>
    <mergeCell ref="V63:W63"/>
    <mergeCell ref="X63:Y63"/>
    <mergeCell ref="Z63:AA63"/>
    <mergeCell ref="J47:AO48"/>
    <mergeCell ref="AK46:AL46"/>
    <mergeCell ref="AM46:AN46"/>
    <mergeCell ref="AO46:AP46"/>
    <mergeCell ref="F57:I57"/>
    <mergeCell ref="J57:K57"/>
    <mergeCell ref="L57:M57"/>
    <mergeCell ref="N57:O57"/>
    <mergeCell ref="P57:Q57"/>
    <mergeCell ref="R57:S57"/>
    <mergeCell ref="T57:U57"/>
    <mergeCell ref="T56:U56"/>
    <mergeCell ref="F56:I56"/>
    <mergeCell ref="J56:K56"/>
    <mergeCell ref="L56:M56"/>
    <mergeCell ref="N56:O56"/>
    <mergeCell ref="P56:Q56"/>
    <mergeCell ref="R56:S56"/>
    <mergeCell ref="V57:W57"/>
    <mergeCell ref="X57:Y57"/>
    <mergeCell ref="Z57:AA57"/>
    <mergeCell ref="AB58:AC58"/>
    <mergeCell ref="AD58:AE58"/>
    <mergeCell ref="AF58:AG58"/>
    <mergeCell ref="F61:I61"/>
    <mergeCell ref="J61:K61"/>
    <mergeCell ref="L61:M61"/>
    <mergeCell ref="N61:O61"/>
    <mergeCell ref="P61:Q61"/>
    <mergeCell ref="R61:S61"/>
    <mergeCell ref="T61:U61"/>
    <mergeCell ref="T60:U60"/>
    <mergeCell ref="F60:I60"/>
    <mergeCell ref="J60:K60"/>
    <mergeCell ref="L60:M60"/>
    <mergeCell ref="N60:O60"/>
    <mergeCell ref="P60:Q60"/>
    <mergeCell ref="R60:S60"/>
    <mergeCell ref="V59:W59"/>
    <mergeCell ref="X59:Y59"/>
    <mergeCell ref="Z59:AA59"/>
    <mergeCell ref="AB59:AC59"/>
    <mergeCell ref="AD59:AE59"/>
    <mergeCell ref="F58:I58"/>
    <mergeCell ref="J58:K58"/>
    <mergeCell ref="L58:M58"/>
    <mergeCell ref="N58:O58"/>
    <mergeCell ref="P58:Q58"/>
    <mergeCell ref="R58:S58"/>
    <mergeCell ref="V58:W58"/>
    <mergeCell ref="X58:Y58"/>
    <mergeCell ref="Z58:AA58"/>
    <mergeCell ref="V60:W60"/>
    <mergeCell ref="AD60:AE60"/>
    <mergeCell ref="T64:U64"/>
    <mergeCell ref="F64:I64"/>
    <mergeCell ref="J64:K64"/>
    <mergeCell ref="L64:M64"/>
    <mergeCell ref="N64:O64"/>
    <mergeCell ref="P64:Q64"/>
    <mergeCell ref="R64:S64"/>
    <mergeCell ref="V64:W64"/>
    <mergeCell ref="X64:Y64"/>
    <mergeCell ref="Z64:AA64"/>
    <mergeCell ref="F63:I63"/>
    <mergeCell ref="J63:K63"/>
    <mergeCell ref="L63:M63"/>
    <mergeCell ref="N63:O63"/>
    <mergeCell ref="P63:Q63"/>
    <mergeCell ref="R63:S63"/>
    <mergeCell ref="T63:U63"/>
    <mergeCell ref="F71:L71"/>
    <mergeCell ref="N71:S71"/>
    <mergeCell ref="F72:L72"/>
    <mergeCell ref="N72:S72"/>
    <mergeCell ref="F73:L73"/>
    <mergeCell ref="N73:AM73"/>
    <mergeCell ref="T66:U66"/>
    <mergeCell ref="F66:I66"/>
    <mergeCell ref="J66:K66"/>
    <mergeCell ref="L66:M66"/>
    <mergeCell ref="N66:O66"/>
    <mergeCell ref="P66:Q66"/>
    <mergeCell ref="R66:S66"/>
    <mergeCell ref="V65:W65"/>
    <mergeCell ref="X65:Y65"/>
    <mergeCell ref="Z65:AA65"/>
    <mergeCell ref="AB65:AC65"/>
    <mergeCell ref="AD65:AE65"/>
    <mergeCell ref="AF65:AG65"/>
    <mergeCell ref="V66:W66"/>
    <mergeCell ref="X66:Y66"/>
    <mergeCell ref="Z66:AA66"/>
    <mergeCell ref="F65:I65"/>
    <mergeCell ref="J65:K65"/>
    <mergeCell ref="L65:M65"/>
    <mergeCell ref="N65:O65"/>
    <mergeCell ref="P65:Q65"/>
    <mergeCell ref="R65:S65"/>
    <mergeCell ref="T65:U65"/>
    <mergeCell ref="AB66:AC66"/>
    <mergeCell ref="AD66:AE66"/>
    <mergeCell ref="AF66:AG66"/>
    <mergeCell ref="F74:L74"/>
    <mergeCell ref="N74:X74"/>
    <mergeCell ref="F75:L75"/>
    <mergeCell ref="N75:X75"/>
    <mergeCell ref="N85:O85"/>
    <mergeCell ref="P85:S85"/>
    <mergeCell ref="T85:X85"/>
    <mergeCell ref="Y85:AB85"/>
    <mergeCell ref="N86:O86"/>
    <mergeCell ref="P86:S86"/>
    <mergeCell ref="T86:X86"/>
    <mergeCell ref="Y86:AB86"/>
    <mergeCell ref="N84:O84"/>
    <mergeCell ref="P84:S84"/>
    <mergeCell ref="T84:X84"/>
    <mergeCell ref="Y84:AB84"/>
    <mergeCell ref="F84:M88"/>
    <mergeCell ref="AO90:AR90"/>
    <mergeCell ref="AS90:AV90"/>
    <mergeCell ref="AW90:AZ90"/>
    <mergeCell ref="BA90:BD90"/>
    <mergeCell ref="M91:P91"/>
    <mergeCell ref="Q91:R91"/>
    <mergeCell ref="S91:T91"/>
    <mergeCell ref="U91:V91"/>
    <mergeCell ref="W91:X91"/>
    <mergeCell ref="Y91:Z91"/>
    <mergeCell ref="Q90:T90"/>
    <mergeCell ref="U90:X90"/>
    <mergeCell ref="Y90:AB90"/>
    <mergeCell ref="AC90:AF90"/>
    <mergeCell ref="AG90:AJ90"/>
    <mergeCell ref="AK90:AN90"/>
    <mergeCell ref="AD86:AK88"/>
    <mergeCell ref="N87:O87"/>
    <mergeCell ref="P87:S87"/>
    <mergeCell ref="T87:X87"/>
    <mergeCell ref="Y87:AB87"/>
    <mergeCell ref="N88:O88"/>
    <mergeCell ref="P88:S88"/>
    <mergeCell ref="T88:X88"/>
    <mergeCell ref="Y88:AB88"/>
    <mergeCell ref="AY91:AZ91"/>
    <mergeCell ref="BA91:BB91"/>
    <mergeCell ref="BC91:BD91"/>
    <mergeCell ref="F92:L103"/>
    <mergeCell ref="M92:P92"/>
    <mergeCell ref="Q92:R92"/>
    <mergeCell ref="S92:T92"/>
    <mergeCell ref="U92:V92"/>
    <mergeCell ref="W92:X92"/>
    <mergeCell ref="Y92:Z92"/>
    <mergeCell ref="AM91:AN91"/>
    <mergeCell ref="AO91:AP91"/>
    <mergeCell ref="AQ91:AR91"/>
    <mergeCell ref="AS91:AT91"/>
    <mergeCell ref="AU91:AV91"/>
    <mergeCell ref="AW91:AX91"/>
    <mergeCell ref="AA91:AB91"/>
    <mergeCell ref="AC91:AD91"/>
    <mergeCell ref="AE91:AF91"/>
    <mergeCell ref="AG91:AH91"/>
    <mergeCell ref="AI91:AJ91"/>
    <mergeCell ref="AK91:AL91"/>
    <mergeCell ref="AM94:AN94"/>
    <mergeCell ref="AO94:AP94"/>
    <mergeCell ref="M94:P94"/>
    <mergeCell ref="Q94:R94"/>
    <mergeCell ref="S94:T94"/>
    <mergeCell ref="U94:V94"/>
    <mergeCell ref="W94:X94"/>
    <mergeCell ref="Y94:Z94"/>
    <mergeCell ref="AA94:AB94"/>
    <mergeCell ref="AC94:AD94"/>
    <mergeCell ref="AG93:AH93"/>
    <mergeCell ref="AI93:AJ93"/>
    <mergeCell ref="AK93:AL93"/>
    <mergeCell ref="AY92:AZ92"/>
    <mergeCell ref="BA92:BB92"/>
    <mergeCell ref="BC92:BD92"/>
    <mergeCell ref="M93:P93"/>
    <mergeCell ref="Q93:R93"/>
    <mergeCell ref="S93:T93"/>
    <mergeCell ref="U93:V93"/>
    <mergeCell ref="W93:X93"/>
    <mergeCell ref="Y93:Z93"/>
    <mergeCell ref="AA93:AB93"/>
    <mergeCell ref="AM92:AN92"/>
    <mergeCell ref="AO92:AP92"/>
    <mergeCell ref="AQ92:AR92"/>
    <mergeCell ref="AS92:AT92"/>
    <mergeCell ref="AU92:AV92"/>
    <mergeCell ref="AW92:AX92"/>
    <mergeCell ref="AA92:AB92"/>
    <mergeCell ref="AC92:AD92"/>
    <mergeCell ref="AE92:AF92"/>
    <mergeCell ref="AG92:AH92"/>
    <mergeCell ref="AI92:AJ92"/>
    <mergeCell ref="AK92:AL92"/>
    <mergeCell ref="BA93:BB93"/>
    <mergeCell ref="BC93:BD93"/>
    <mergeCell ref="AO93:AP93"/>
    <mergeCell ref="AQ93:AR93"/>
    <mergeCell ref="AS93:AT93"/>
    <mergeCell ref="AU93:AV93"/>
    <mergeCell ref="AW93:AX93"/>
    <mergeCell ref="AY93:AZ93"/>
    <mergeCell ref="AC93:AD93"/>
    <mergeCell ref="AE93:AF93"/>
    <mergeCell ref="AM93:AN93"/>
    <mergeCell ref="AS95:AT95"/>
    <mergeCell ref="AU95:AV95"/>
    <mergeCell ref="AW95:AX95"/>
    <mergeCell ref="AY95:AZ95"/>
    <mergeCell ref="BA95:BB95"/>
    <mergeCell ref="BC95:BD95"/>
    <mergeCell ref="AG95:AH95"/>
    <mergeCell ref="AI95:AJ95"/>
    <mergeCell ref="AK95:AL95"/>
    <mergeCell ref="AM95:AN95"/>
    <mergeCell ref="AO95:AP95"/>
    <mergeCell ref="AQ95:AR95"/>
    <mergeCell ref="BC94:BD94"/>
    <mergeCell ref="M95:P95"/>
    <mergeCell ref="Q95:R95"/>
    <mergeCell ref="S95:T95"/>
    <mergeCell ref="U95:V95"/>
    <mergeCell ref="W95:X95"/>
    <mergeCell ref="Y95:Z95"/>
    <mergeCell ref="AA95:AB95"/>
    <mergeCell ref="AC95:AD95"/>
    <mergeCell ref="AE95:AF95"/>
    <mergeCell ref="AQ94:AR94"/>
    <mergeCell ref="AS94:AT94"/>
    <mergeCell ref="AU94:AV94"/>
    <mergeCell ref="AW94:AX94"/>
    <mergeCell ref="AY94:AZ94"/>
    <mergeCell ref="BA94:BB94"/>
    <mergeCell ref="AE94:AF94"/>
    <mergeCell ref="AG94:AH94"/>
    <mergeCell ref="AI94:AJ94"/>
    <mergeCell ref="AK94:AL94"/>
    <mergeCell ref="AY96:AZ96"/>
    <mergeCell ref="BA96:BB96"/>
    <mergeCell ref="BC96:BD96"/>
    <mergeCell ref="M97:P97"/>
    <mergeCell ref="Q97:R97"/>
    <mergeCell ref="S97:T97"/>
    <mergeCell ref="U97:V97"/>
    <mergeCell ref="W97:X97"/>
    <mergeCell ref="Y97:Z97"/>
    <mergeCell ref="AA97:AB97"/>
    <mergeCell ref="AM96:AN96"/>
    <mergeCell ref="AO96:AP96"/>
    <mergeCell ref="AQ96:AR96"/>
    <mergeCell ref="AS96:AT96"/>
    <mergeCell ref="AU96:AV96"/>
    <mergeCell ref="AW96:AX96"/>
    <mergeCell ref="AA96:AB96"/>
    <mergeCell ref="AC96:AD96"/>
    <mergeCell ref="AE96:AF96"/>
    <mergeCell ref="AG96:AH96"/>
    <mergeCell ref="AI96:AJ96"/>
    <mergeCell ref="AK96:AL96"/>
    <mergeCell ref="M96:P96"/>
    <mergeCell ref="Q96:R96"/>
    <mergeCell ref="S96:T96"/>
    <mergeCell ref="U96:V96"/>
    <mergeCell ref="W96:X96"/>
    <mergeCell ref="Y96:Z96"/>
    <mergeCell ref="AM98:AN98"/>
    <mergeCell ref="AO98:AP98"/>
    <mergeCell ref="BA97:BB97"/>
    <mergeCell ref="BC97:BD97"/>
    <mergeCell ref="M98:P98"/>
    <mergeCell ref="Q98:R98"/>
    <mergeCell ref="S98:T98"/>
    <mergeCell ref="U98:V98"/>
    <mergeCell ref="W98:X98"/>
    <mergeCell ref="Y98:Z98"/>
    <mergeCell ref="AA98:AB98"/>
    <mergeCell ref="AC98:AD98"/>
    <mergeCell ref="AO97:AP97"/>
    <mergeCell ref="AQ97:AR97"/>
    <mergeCell ref="AS97:AT97"/>
    <mergeCell ref="AU97:AV97"/>
    <mergeCell ref="AW97:AX97"/>
    <mergeCell ref="AY97:AZ97"/>
    <mergeCell ref="AC97:AD97"/>
    <mergeCell ref="AE97:AF97"/>
    <mergeCell ref="AG97:AH97"/>
    <mergeCell ref="AI97:AJ97"/>
    <mergeCell ref="AK97:AL97"/>
    <mergeCell ref="AM97:AN97"/>
    <mergeCell ref="AS99:AT99"/>
    <mergeCell ref="AU99:AV99"/>
    <mergeCell ref="AW99:AX99"/>
    <mergeCell ref="AY99:AZ99"/>
    <mergeCell ref="BA99:BB99"/>
    <mergeCell ref="BC99:BD99"/>
    <mergeCell ref="AG99:AH99"/>
    <mergeCell ref="AI99:AJ99"/>
    <mergeCell ref="AK99:AL99"/>
    <mergeCell ref="AM99:AN99"/>
    <mergeCell ref="AO99:AP99"/>
    <mergeCell ref="AQ99:AR99"/>
    <mergeCell ref="BC98:BD98"/>
    <mergeCell ref="M99:P99"/>
    <mergeCell ref="Q99:R99"/>
    <mergeCell ref="S99:T99"/>
    <mergeCell ref="U99:V99"/>
    <mergeCell ref="W99:X99"/>
    <mergeCell ref="Y99:Z99"/>
    <mergeCell ref="AA99:AB99"/>
    <mergeCell ref="AC99:AD99"/>
    <mergeCell ref="AE99:AF99"/>
    <mergeCell ref="AQ98:AR98"/>
    <mergeCell ref="AS98:AT98"/>
    <mergeCell ref="AU98:AV98"/>
    <mergeCell ref="AW98:AX98"/>
    <mergeCell ref="AY98:AZ98"/>
    <mergeCell ref="BA98:BB98"/>
    <mergeCell ref="AE98:AF98"/>
    <mergeCell ref="AG98:AH98"/>
    <mergeCell ref="AI98:AJ98"/>
    <mergeCell ref="AK98:AL98"/>
    <mergeCell ref="AY100:AZ100"/>
    <mergeCell ref="BA100:BB100"/>
    <mergeCell ref="BC100:BD100"/>
    <mergeCell ref="M101:P101"/>
    <mergeCell ref="Q101:R101"/>
    <mergeCell ref="S101:T101"/>
    <mergeCell ref="U101:V101"/>
    <mergeCell ref="W101:X101"/>
    <mergeCell ref="Y101:Z101"/>
    <mergeCell ref="AA101:AB101"/>
    <mergeCell ref="AM100:AN100"/>
    <mergeCell ref="AO100:AP100"/>
    <mergeCell ref="AQ100:AR100"/>
    <mergeCell ref="AS100:AT100"/>
    <mergeCell ref="AU100:AV100"/>
    <mergeCell ref="AW100:AX100"/>
    <mergeCell ref="AA100:AB100"/>
    <mergeCell ref="AC100:AD100"/>
    <mergeCell ref="AE100:AF100"/>
    <mergeCell ref="AG100:AH100"/>
    <mergeCell ref="AI100:AJ100"/>
    <mergeCell ref="AK100:AL100"/>
    <mergeCell ref="M100:P100"/>
    <mergeCell ref="Q100:R100"/>
    <mergeCell ref="S100:T100"/>
    <mergeCell ref="U100:V100"/>
    <mergeCell ref="W100:X100"/>
    <mergeCell ref="Y100:Z100"/>
    <mergeCell ref="AM102:AN102"/>
    <mergeCell ref="AO102:AP102"/>
    <mergeCell ref="BA101:BB101"/>
    <mergeCell ref="BC101:BD101"/>
    <mergeCell ref="M102:P102"/>
    <mergeCell ref="Q102:R102"/>
    <mergeCell ref="S102:T102"/>
    <mergeCell ref="U102:V102"/>
    <mergeCell ref="W102:X102"/>
    <mergeCell ref="Y102:Z102"/>
    <mergeCell ref="AA102:AB102"/>
    <mergeCell ref="AC102:AD102"/>
    <mergeCell ref="AO101:AP101"/>
    <mergeCell ref="AQ101:AR101"/>
    <mergeCell ref="AS101:AT101"/>
    <mergeCell ref="AU101:AV101"/>
    <mergeCell ref="AW101:AX101"/>
    <mergeCell ref="AY101:AZ101"/>
    <mergeCell ref="AC101:AD101"/>
    <mergeCell ref="AE101:AF101"/>
    <mergeCell ref="AG101:AH101"/>
    <mergeCell ref="AI101:AJ101"/>
    <mergeCell ref="AK101:AL101"/>
    <mergeCell ref="AM101:AN101"/>
    <mergeCell ref="AS103:AT103"/>
    <mergeCell ref="AU103:AV103"/>
    <mergeCell ref="AW103:AX103"/>
    <mergeCell ref="AY103:AZ103"/>
    <mergeCell ref="BA103:BB103"/>
    <mergeCell ref="BC103:BD103"/>
    <mergeCell ref="AG103:AH103"/>
    <mergeCell ref="AI103:AJ103"/>
    <mergeCell ref="AK103:AL103"/>
    <mergeCell ref="AM103:AN103"/>
    <mergeCell ref="AO103:AP103"/>
    <mergeCell ref="AQ103:AR103"/>
    <mergeCell ref="BC102:BD102"/>
    <mergeCell ref="M103:P103"/>
    <mergeCell ref="Q103:R103"/>
    <mergeCell ref="S103:T103"/>
    <mergeCell ref="U103:V103"/>
    <mergeCell ref="W103:X103"/>
    <mergeCell ref="Y103:Z103"/>
    <mergeCell ref="AA103:AB103"/>
    <mergeCell ref="AC103:AD103"/>
    <mergeCell ref="AE103:AF103"/>
    <mergeCell ref="AQ102:AR102"/>
    <mergeCell ref="AS102:AT102"/>
    <mergeCell ref="AU102:AV102"/>
    <mergeCell ref="AW102:AX102"/>
    <mergeCell ref="AY102:AZ102"/>
    <mergeCell ref="BA102:BB102"/>
    <mergeCell ref="AE102:AF102"/>
    <mergeCell ref="AG102:AH102"/>
    <mergeCell ref="AI102:AJ102"/>
    <mergeCell ref="AK102:AL102"/>
    <mergeCell ref="AY104:AZ104"/>
    <mergeCell ref="BA104:BB104"/>
    <mergeCell ref="BC104:BD104"/>
    <mergeCell ref="F105:P105"/>
    <mergeCell ref="Q105:R105"/>
    <mergeCell ref="S105:T105"/>
    <mergeCell ref="U105:V105"/>
    <mergeCell ref="W105:X105"/>
    <mergeCell ref="Y105:Z105"/>
    <mergeCell ref="AA105:AB105"/>
    <mergeCell ref="AM104:AN104"/>
    <mergeCell ref="AO104:AP104"/>
    <mergeCell ref="AQ104:AR104"/>
    <mergeCell ref="AS104:AT104"/>
    <mergeCell ref="AU104:AV104"/>
    <mergeCell ref="AW104:AX104"/>
    <mergeCell ref="AA104:AB104"/>
    <mergeCell ref="AC104:AD104"/>
    <mergeCell ref="AE104:AF104"/>
    <mergeCell ref="AG104:AH104"/>
    <mergeCell ref="AI104:AJ104"/>
    <mergeCell ref="AK104:AL104"/>
    <mergeCell ref="F104:P104"/>
    <mergeCell ref="Q104:R104"/>
    <mergeCell ref="S104:T104"/>
    <mergeCell ref="U104:V104"/>
    <mergeCell ref="W104:X104"/>
    <mergeCell ref="Y104:Z104"/>
    <mergeCell ref="BA105:BB105"/>
    <mergeCell ref="BC105:BD105"/>
    <mergeCell ref="F110:L110"/>
    <mergeCell ref="N110:S110"/>
    <mergeCell ref="F111:L111"/>
    <mergeCell ref="N111:S111"/>
    <mergeCell ref="AO105:AP105"/>
    <mergeCell ref="AQ105:AR105"/>
    <mergeCell ref="AS105:AT105"/>
    <mergeCell ref="AU105:AV105"/>
    <mergeCell ref="AW105:AX105"/>
    <mergeCell ref="AY105:AZ105"/>
    <mergeCell ref="AC105:AD105"/>
    <mergeCell ref="AE105:AF105"/>
    <mergeCell ref="AG105:AH105"/>
    <mergeCell ref="AI105:AJ105"/>
    <mergeCell ref="AK105:AL105"/>
    <mergeCell ref="AM105:AN105"/>
    <mergeCell ref="F112:L112"/>
    <mergeCell ref="N112:AM112"/>
    <mergeCell ref="F113:L113"/>
    <mergeCell ref="N113:X113"/>
    <mergeCell ref="F114:L114"/>
    <mergeCell ref="N114:X114"/>
    <mergeCell ref="N124:O124"/>
    <mergeCell ref="P124:S124"/>
    <mergeCell ref="T124:X124"/>
    <mergeCell ref="Y124:AB124"/>
    <mergeCell ref="N125:O125"/>
    <mergeCell ref="P125:S125"/>
    <mergeCell ref="T125:X125"/>
    <mergeCell ref="Y125:AB125"/>
    <mergeCell ref="N123:O123"/>
    <mergeCell ref="P123:S123"/>
    <mergeCell ref="T123:X123"/>
    <mergeCell ref="Y123:AB123"/>
    <mergeCell ref="F123:M127"/>
    <mergeCell ref="AO129:AR129"/>
    <mergeCell ref="AS129:AV129"/>
    <mergeCell ref="AW129:AZ129"/>
    <mergeCell ref="BA129:BD129"/>
    <mergeCell ref="M130:P130"/>
    <mergeCell ref="Q130:R130"/>
    <mergeCell ref="S130:T130"/>
    <mergeCell ref="U130:V130"/>
    <mergeCell ref="W130:X130"/>
    <mergeCell ref="Y130:Z130"/>
    <mergeCell ref="Q129:T129"/>
    <mergeCell ref="U129:X129"/>
    <mergeCell ref="Y129:AB129"/>
    <mergeCell ref="AC129:AF129"/>
    <mergeCell ref="AG129:AJ129"/>
    <mergeCell ref="AK129:AN129"/>
    <mergeCell ref="AD125:AK127"/>
    <mergeCell ref="N126:O126"/>
    <mergeCell ref="P126:S126"/>
    <mergeCell ref="T126:X126"/>
    <mergeCell ref="Y126:AB126"/>
    <mergeCell ref="N127:O127"/>
    <mergeCell ref="P127:S127"/>
    <mergeCell ref="T127:X127"/>
    <mergeCell ref="Y127:AB127"/>
    <mergeCell ref="AY130:AZ130"/>
    <mergeCell ref="BA130:BB130"/>
    <mergeCell ref="BC130:BD130"/>
    <mergeCell ref="F131:L142"/>
    <mergeCell ref="M131:P131"/>
    <mergeCell ref="Q131:R131"/>
    <mergeCell ref="S131:T131"/>
    <mergeCell ref="U131:V131"/>
    <mergeCell ref="W131:X131"/>
    <mergeCell ref="Y131:Z131"/>
    <mergeCell ref="AM130:AN130"/>
    <mergeCell ref="AO130:AP130"/>
    <mergeCell ref="AQ130:AR130"/>
    <mergeCell ref="AS130:AT130"/>
    <mergeCell ref="AU130:AV130"/>
    <mergeCell ref="AW130:AX130"/>
    <mergeCell ref="AA130:AB130"/>
    <mergeCell ref="AC130:AD130"/>
    <mergeCell ref="AE130:AF130"/>
    <mergeCell ref="AG130:AH130"/>
    <mergeCell ref="AI130:AJ130"/>
    <mergeCell ref="AK130:AL130"/>
    <mergeCell ref="AM133:AN133"/>
    <mergeCell ref="AO133:AP133"/>
    <mergeCell ref="M133:P133"/>
    <mergeCell ref="Q133:R133"/>
    <mergeCell ref="S133:T133"/>
    <mergeCell ref="U133:V133"/>
    <mergeCell ref="W133:X133"/>
    <mergeCell ref="Y133:Z133"/>
    <mergeCell ref="AA133:AB133"/>
    <mergeCell ref="AC133:AD133"/>
    <mergeCell ref="AG132:AH132"/>
    <mergeCell ref="AI132:AJ132"/>
    <mergeCell ref="AK132:AL132"/>
    <mergeCell ref="AY131:AZ131"/>
    <mergeCell ref="BA131:BB131"/>
    <mergeCell ref="BC131:BD131"/>
    <mergeCell ref="M132:P132"/>
    <mergeCell ref="Q132:R132"/>
    <mergeCell ref="S132:T132"/>
    <mergeCell ref="U132:V132"/>
    <mergeCell ref="W132:X132"/>
    <mergeCell ref="Y132:Z132"/>
    <mergeCell ref="AA132:AB132"/>
    <mergeCell ref="AM131:AN131"/>
    <mergeCell ref="AO131:AP131"/>
    <mergeCell ref="AQ131:AR131"/>
    <mergeCell ref="AS131:AT131"/>
    <mergeCell ref="AU131:AV131"/>
    <mergeCell ref="AW131:AX131"/>
    <mergeCell ref="AA131:AB131"/>
    <mergeCell ref="AC131:AD131"/>
    <mergeCell ref="AE131:AF131"/>
    <mergeCell ref="AG131:AH131"/>
    <mergeCell ref="AI131:AJ131"/>
    <mergeCell ref="AK131:AL131"/>
    <mergeCell ref="BA132:BB132"/>
    <mergeCell ref="BC132:BD132"/>
    <mergeCell ref="AO132:AP132"/>
    <mergeCell ref="AQ132:AR132"/>
    <mergeCell ref="AS132:AT132"/>
    <mergeCell ref="AU132:AV132"/>
    <mergeCell ref="AW132:AX132"/>
    <mergeCell ref="AY132:AZ132"/>
    <mergeCell ref="AC132:AD132"/>
    <mergeCell ref="AE132:AF132"/>
    <mergeCell ref="AM132:AN132"/>
    <mergeCell ref="AS134:AT134"/>
    <mergeCell ref="AU134:AV134"/>
    <mergeCell ref="AW134:AX134"/>
    <mergeCell ref="AY134:AZ134"/>
    <mergeCell ref="BA134:BB134"/>
    <mergeCell ref="BC134:BD134"/>
    <mergeCell ref="AG134:AH134"/>
    <mergeCell ref="AI134:AJ134"/>
    <mergeCell ref="AK134:AL134"/>
    <mergeCell ref="AM134:AN134"/>
    <mergeCell ref="AO134:AP134"/>
    <mergeCell ref="AQ134:AR134"/>
    <mergeCell ref="BC133:BD133"/>
    <mergeCell ref="M134:P134"/>
    <mergeCell ref="Q134:R134"/>
    <mergeCell ref="S134:T134"/>
    <mergeCell ref="U134:V134"/>
    <mergeCell ref="W134:X134"/>
    <mergeCell ref="Y134:Z134"/>
    <mergeCell ref="AA134:AB134"/>
    <mergeCell ref="AC134:AD134"/>
    <mergeCell ref="AE134:AF134"/>
    <mergeCell ref="AQ133:AR133"/>
    <mergeCell ref="AS133:AT133"/>
    <mergeCell ref="AU133:AV133"/>
    <mergeCell ref="AW133:AX133"/>
    <mergeCell ref="AY133:AZ133"/>
    <mergeCell ref="BA133:BB133"/>
    <mergeCell ref="AE133:AF133"/>
    <mergeCell ref="AG133:AH133"/>
    <mergeCell ref="AI133:AJ133"/>
    <mergeCell ref="AK133:AL133"/>
    <mergeCell ref="AY135:AZ135"/>
    <mergeCell ref="BA135:BB135"/>
    <mergeCell ref="BC135:BD135"/>
    <mergeCell ref="M136:P136"/>
    <mergeCell ref="Q136:R136"/>
    <mergeCell ref="S136:T136"/>
    <mergeCell ref="U136:V136"/>
    <mergeCell ref="W136:X136"/>
    <mergeCell ref="Y136:Z136"/>
    <mergeCell ref="AA136:AB136"/>
    <mergeCell ref="AM135:AN135"/>
    <mergeCell ref="AO135:AP135"/>
    <mergeCell ref="AQ135:AR135"/>
    <mergeCell ref="AS135:AT135"/>
    <mergeCell ref="AU135:AV135"/>
    <mergeCell ref="AW135:AX135"/>
    <mergeCell ref="AA135:AB135"/>
    <mergeCell ref="AC135:AD135"/>
    <mergeCell ref="AE135:AF135"/>
    <mergeCell ref="AG135:AH135"/>
    <mergeCell ref="AI135:AJ135"/>
    <mergeCell ref="AK135:AL135"/>
    <mergeCell ref="M135:P135"/>
    <mergeCell ref="Q135:R135"/>
    <mergeCell ref="S135:T135"/>
    <mergeCell ref="U135:V135"/>
    <mergeCell ref="W135:X135"/>
    <mergeCell ref="Y135:Z135"/>
    <mergeCell ref="AM137:AN137"/>
    <mergeCell ref="AO137:AP137"/>
    <mergeCell ref="BA136:BB136"/>
    <mergeCell ref="BC136:BD136"/>
    <mergeCell ref="M137:P137"/>
    <mergeCell ref="Q137:R137"/>
    <mergeCell ref="S137:T137"/>
    <mergeCell ref="U137:V137"/>
    <mergeCell ref="W137:X137"/>
    <mergeCell ref="Y137:Z137"/>
    <mergeCell ref="AA137:AB137"/>
    <mergeCell ref="AC137:AD137"/>
    <mergeCell ref="AO136:AP136"/>
    <mergeCell ref="AQ136:AR136"/>
    <mergeCell ref="AS136:AT136"/>
    <mergeCell ref="AU136:AV136"/>
    <mergeCell ref="AW136:AX136"/>
    <mergeCell ref="AY136:AZ136"/>
    <mergeCell ref="AC136:AD136"/>
    <mergeCell ref="AE136:AF136"/>
    <mergeCell ref="AG136:AH136"/>
    <mergeCell ref="AI136:AJ136"/>
    <mergeCell ref="AK136:AL136"/>
    <mergeCell ref="AM136:AN136"/>
    <mergeCell ref="AS138:AT138"/>
    <mergeCell ref="AU138:AV138"/>
    <mergeCell ref="AW138:AX138"/>
    <mergeCell ref="AY138:AZ138"/>
    <mergeCell ref="BA138:BB138"/>
    <mergeCell ref="BC138:BD138"/>
    <mergeCell ref="AG138:AH138"/>
    <mergeCell ref="AI138:AJ138"/>
    <mergeCell ref="AK138:AL138"/>
    <mergeCell ref="AM138:AN138"/>
    <mergeCell ref="AO138:AP138"/>
    <mergeCell ref="AQ138:AR138"/>
    <mergeCell ref="BC137:BD137"/>
    <mergeCell ref="M138:P138"/>
    <mergeCell ref="Q138:R138"/>
    <mergeCell ref="S138:T138"/>
    <mergeCell ref="U138:V138"/>
    <mergeCell ref="W138:X138"/>
    <mergeCell ref="Y138:Z138"/>
    <mergeCell ref="AA138:AB138"/>
    <mergeCell ref="AC138:AD138"/>
    <mergeCell ref="AE138:AF138"/>
    <mergeCell ref="AQ137:AR137"/>
    <mergeCell ref="AS137:AT137"/>
    <mergeCell ref="AU137:AV137"/>
    <mergeCell ref="AW137:AX137"/>
    <mergeCell ref="AY137:AZ137"/>
    <mergeCell ref="BA137:BB137"/>
    <mergeCell ref="AE137:AF137"/>
    <mergeCell ref="AG137:AH137"/>
    <mergeCell ref="AI137:AJ137"/>
    <mergeCell ref="AK137:AL137"/>
    <mergeCell ref="AY139:AZ139"/>
    <mergeCell ref="BA139:BB139"/>
    <mergeCell ref="BC139:BD139"/>
    <mergeCell ref="M140:P140"/>
    <mergeCell ref="Q140:R140"/>
    <mergeCell ref="S140:T140"/>
    <mergeCell ref="U140:V140"/>
    <mergeCell ref="W140:X140"/>
    <mergeCell ref="Y140:Z140"/>
    <mergeCell ref="AA140:AB140"/>
    <mergeCell ref="AM139:AN139"/>
    <mergeCell ref="AO139:AP139"/>
    <mergeCell ref="AQ139:AR139"/>
    <mergeCell ref="AS139:AT139"/>
    <mergeCell ref="AU139:AV139"/>
    <mergeCell ref="AW139:AX139"/>
    <mergeCell ref="AA139:AB139"/>
    <mergeCell ref="AC139:AD139"/>
    <mergeCell ref="AE139:AF139"/>
    <mergeCell ref="AG139:AH139"/>
    <mergeCell ref="AI139:AJ139"/>
    <mergeCell ref="AK139:AL139"/>
    <mergeCell ref="M139:P139"/>
    <mergeCell ref="Q139:R139"/>
    <mergeCell ref="S139:T139"/>
    <mergeCell ref="U139:V139"/>
    <mergeCell ref="W139:X139"/>
    <mergeCell ref="Y139:Z139"/>
    <mergeCell ref="AM141:AN141"/>
    <mergeCell ref="AO141:AP141"/>
    <mergeCell ref="BA140:BB140"/>
    <mergeCell ref="BC140:BD140"/>
    <mergeCell ref="M141:P141"/>
    <mergeCell ref="Q141:R141"/>
    <mergeCell ref="S141:T141"/>
    <mergeCell ref="U141:V141"/>
    <mergeCell ref="W141:X141"/>
    <mergeCell ref="Y141:Z141"/>
    <mergeCell ref="AA141:AB141"/>
    <mergeCell ref="AC141:AD141"/>
    <mergeCell ref="AO140:AP140"/>
    <mergeCell ref="AQ140:AR140"/>
    <mergeCell ref="AS140:AT140"/>
    <mergeCell ref="AU140:AV140"/>
    <mergeCell ref="AW140:AX140"/>
    <mergeCell ref="AY140:AZ140"/>
    <mergeCell ref="AC140:AD140"/>
    <mergeCell ref="AE140:AF140"/>
    <mergeCell ref="AG140:AH140"/>
    <mergeCell ref="AI140:AJ140"/>
    <mergeCell ref="AK140:AL140"/>
    <mergeCell ref="AM140:AN140"/>
    <mergeCell ref="AS142:AT142"/>
    <mergeCell ref="AU142:AV142"/>
    <mergeCell ref="AW142:AX142"/>
    <mergeCell ref="AY142:AZ142"/>
    <mergeCell ref="BA142:BB142"/>
    <mergeCell ref="BC142:BD142"/>
    <mergeCell ref="AG142:AH142"/>
    <mergeCell ref="AI142:AJ142"/>
    <mergeCell ref="AK142:AL142"/>
    <mergeCell ref="AM142:AN142"/>
    <mergeCell ref="AO142:AP142"/>
    <mergeCell ref="AQ142:AR142"/>
    <mergeCell ref="BC141:BD141"/>
    <mergeCell ref="M142:P142"/>
    <mergeCell ref="Q142:R142"/>
    <mergeCell ref="S142:T142"/>
    <mergeCell ref="U142:V142"/>
    <mergeCell ref="W142:X142"/>
    <mergeCell ref="Y142:Z142"/>
    <mergeCell ref="AA142:AB142"/>
    <mergeCell ref="AC142:AD142"/>
    <mergeCell ref="AE142:AF142"/>
    <mergeCell ref="AQ141:AR141"/>
    <mergeCell ref="AS141:AT141"/>
    <mergeCell ref="AU141:AV141"/>
    <mergeCell ref="AW141:AX141"/>
    <mergeCell ref="AY141:AZ141"/>
    <mergeCell ref="BA141:BB141"/>
    <mergeCell ref="AE141:AF141"/>
    <mergeCell ref="AG141:AH141"/>
    <mergeCell ref="AI141:AJ141"/>
    <mergeCell ref="AK141:AL141"/>
    <mergeCell ref="AY143:AZ143"/>
    <mergeCell ref="BA143:BB143"/>
    <mergeCell ref="BC143:BD143"/>
    <mergeCell ref="F144:P144"/>
    <mergeCell ref="Q144:R144"/>
    <mergeCell ref="S144:T144"/>
    <mergeCell ref="U144:V144"/>
    <mergeCell ref="W144:X144"/>
    <mergeCell ref="Y144:Z144"/>
    <mergeCell ref="AA144:AB144"/>
    <mergeCell ref="AM143:AN143"/>
    <mergeCell ref="AO143:AP143"/>
    <mergeCell ref="AQ143:AR143"/>
    <mergeCell ref="AS143:AT143"/>
    <mergeCell ref="AU143:AV143"/>
    <mergeCell ref="AW143:AX143"/>
    <mergeCell ref="AA143:AB143"/>
    <mergeCell ref="AC143:AD143"/>
    <mergeCell ref="AE143:AF143"/>
    <mergeCell ref="AG143:AH143"/>
    <mergeCell ref="AI143:AJ143"/>
    <mergeCell ref="AK143:AL143"/>
    <mergeCell ref="F143:P143"/>
    <mergeCell ref="Q143:R143"/>
    <mergeCell ref="S143:T143"/>
    <mergeCell ref="U143:V143"/>
    <mergeCell ref="W143:X143"/>
    <mergeCell ref="Y143:Z143"/>
    <mergeCell ref="BA144:BB144"/>
    <mergeCell ref="BC144:BD144"/>
    <mergeCell ref="F149:L149"/>
    <mergeCell ref="N149:S149"/>
    <mergeCell ref="F150:L150"/>
    <mergeCell ref="N150:S150"/>
    <mergeCell ref="AO144:AP144"/>
    <mergeCell ref="AQ144:AR144"/>
    <mergeCell ref="AS144:AT144"/>
    <mergeCell ref="AU144:AV144"/>
    <mergeCell ref="AW144:AX144"/>
    <mergeCell ref="AY144:AZ144"/>
    <mergeCell ref="AC144:AD144"/>
    <mergeCell ref="AE144:AF144"/>
    <mergeCell ref="AG144:AH144"/>
    <mergeCell ref="AI144:AJ144"/>
    <mergeCell ref="AK144:AL144"/>
    <mergeCell ref="AM144:AN144"/>
    <mergeCell ref="F151:L151"/>
    <mergeCell ref="N151:AM151"/>
    <mergeCell ref="F152:L152"/>
    <mergeCell ref="N152:X152"/>
    <mergeCell ref="F153:L153"/>
    <mergeCell ref="N153:X153"/>
    <mergeCell ref="N163:O163"/>
    <mergeCell ref="P163:S163"/>
    <mergeCell ref="T163:X163"/>
    <mergeCell ref="Y163:AB163"/>
    <mergeCell ref="N164:O164"/>
    <mergeCell ref="P164:S164"/>
    <mergeCell ref="T164:X164"/>
    <mergeCell ref="Y164:AB164"/>
    <mergeCell ref="N162:O162"/>
    <mergeCell ref="P162:S162"/>
    <mergeCell ref="T162:X162"/>
    <mergeCell ref="Y162:AB162"/>
    <mergeCell ref="F162:M166"/>
    <mergeCell ref="AO168:AR168"/>
    <mergeCell ref="AS168:AV168"/>
    <mergeCell ref="AW168:AZ168"/>
    <mergeCell ref="BA168:BD168"/>
    <mergeCell ref="M169:P169"/>
    <mergeCell ref="Q169:R169"/>
    <mergeCell ref="S169:T169"/>
    <mergeCell ref="U169:V169"/>
    <mergeCell ref="W169:X169"/>
    <mergeCell ref="Y169:Z169"/>
    <mergeCell ref="Q168:T168"/>
    <mergeCell ref="U168:X168"/>
    <mergeCell ref="Y168:AB168"/>
    <mergeCell ref="AC168:AF168"/>
    <mergeCell ref="AG168:AJ168"/>
    <mergeCell ref="AK168:AN168"/>
    <mergeCell ref="AD164:AK166"/>
    <mergeCell ref="N165:O165"/>
    <mergeCell ref="P165:S165"/>
    <mergeCell ref="T165:X165"/>
    <mergeCell ref="Y165:AB165"/>
    <mergeCell ref="N166:O166"/>
    <mergeCell ref="P166:S166"/>
    <mergeCell ref="T166:X166"/>
    <mergeCell ref="Y166:AB166"/>
    <mergeCell ref="AY169:AZ169"/>
    <mergeCell ref="BA169:BB169"/>
    <mergeCell ref="BC169:BD169"/>
    <mergeCell ref="F170:L181"/>
    <mergeCell ref="M170:P170"/>
    <mergeCell ref="Q170:R170"/>
    <mergeCell ref="S170:T170"/>
    <mergeCell ref="U170:V170"/>
    <mergeCell ref="W170:X170"/>
    <mergeCell ref="Y170:Z170"/>
    <mergeCell ref="AM169:AN169"/>
    <mergeCell ref="AO169:AP169"/>
    <mergeCell ref="AQ169:AR169"/>
    <mergeCell ref="AS169:AT169"/>
    <mergeCell ref="AU169:AV169"/>
    <mergeCell ref="AW169:AX169"/>
    <mergeCell ref="AA169:AB169"/>
    <mergeCell ref="AC169:AD169"/>
    <mergeCell ref="AE169:AF169"/>
    <mergeCell ref="AG169:AH169"/>
    <mergeCell ref="AI169:AJ169"/>
    <mergeCell ref="AK169:AL169"/>
    <mergeCell ref="AM172:AN172"/>
    <mergeCell ref="AO172:AP172"/>
    <mergeCell ref="M172:P172"/>
    <mergeCell ref="Q172:R172"/>
    <mergeCell ref="S172:T172"/>
    <mergeCell ref="U172:V172"/>
    <mergeCell ref="W172:X172"/>
    <mergeCell ref="Y172:Z172"/>
    <mergeCell ref="AA172:AB172"/>
    <mergeCell ref="AC172:AD172"/>
    <mergeCell ref="AG171:AH171"/>
    <mergeCell ref="AI171:AJ171"/>
    <mergeCell ref="AK171:AL171"/>
    <mergeCell ref="AY170:AZ170"/>
    <mergeCell ref="BA170:BB170"/>
    <mergeCell ref="BC170:BD170"/>
    <mergeCell ref="M171:P171"/>
    <mergeCell ref="Q171:R171"/>
    <mergeCell ref="S171:T171"/>
    <mergeCell ref="U171:V171"/>
    <mergeCell ref="W171:X171"/>
    <mergeCell ref="Y171:Z171"/>
    <mergeCell ref="AA171:AB171"/>
    <mergeCell ref="AM170:AN170"/>
    <mergeCell ref="AO170:AP170"/>
    <mergeCell ref="AQ170:AR170"/>
    <mergeCell ref="AS170:AT170"/>
    <mergeCell ref="AU170:AV170"/>
    <mergeCell ref="AW170:AX170"/>
    <mergeCell ref="AA170:AB170"/>
    <mergeCell ref="AC170:AD170"/>
    <mergeCell ref="AE170:AF170"/>
    <mergeCell ref="AG170:AH170"/>
    <mergeCell ref="AI170:AJ170"/>
    <mergeCell ref="AK170:AL170"/>
    <mergeCell ref="BA171:BB171"/>
    <mergeCell ref="BC171:BD171"/>
    <mergeCell ref="AO171:AP171"/>
    <mergeCell ref="AQ171:AR171"/>
    <mergeCell ref="AS171:AT171"/>
    <mergeCell ref="AU171:AV171"/>
    <mergeCell ref="AW171:AX171"/>
    <mergeCell ref="AY171:AZ171"/>
    <mergeCell ref="AC171:AD171"/>
    <mergeCell ref="AE171:AF171"/>
    <mergeCell ref="AM171:AN171"/>
    <mergeCell ref="AS173:AT173"/>
    <mergeCell ref="AU173:AV173"/>
    <mergeCell ref="AW173:AX173"/>
    <mergeCell ref="AY173:AZ173"/>
    <mergeCell ref="BA173:BB173"/>
    <mergeCell ref="BC173:BD173"/>
    <mergeCell ref="AG173:AH173"/>
    <mergeCell ref="AI173:AJ173"/>
    <mergeCell ref="AK173:AL173"/>
    <mergeCell ref="AM173:AN173"/>
    <mergeCell ref="AO173:AP173"/>
    <mergeCell ref="AQ173:AR173"/>
    <mergeCell ref="BC172:BD172"/>
    <mergeCell ref="M173:P173"/>
    <mergeCell ref="Q173:R173"/>
    <mergeCell ref="S173:T173"/>
    <mergeCell ref="U173:V173"/>
    <mergeCell ref="W173:X173"/>
    <mergeCell ref="Y173:Z173"/>
    <mergeCell ref="AA173:AB173"/>
    <mergeCell ref="AC173:AD173"/>
    <mergeCell ref="AE173:AF173"/>
    <mergeCell ref="AQ172:AR172"/>
    <mergeCell ref="AS172:AT172"/>
    <mergeCell ref="AU172:AV172"/>
    <mergeCell ref="AW172:AX172"/>
    <mergeCell ref="AY172:AZ172"/>
    <mergeCell ref="BA172:BB172"/>
    <mergeCell ref="AE172:AF172"/>
    <mergeCell ref="AG172:AH172"/>
    <mergeCell ref="AI172:AJ172"/>
    <mergeCell ref="AK172:AL172"/>
    <mergeCell ref="AY174:AZ174"/>
    <mergeCell ref="BA174:BB174"/>
    <mergeCell ref="BC174:BD174"/>
    <mergeCell ref="M175:P175"/>
    <mergeCell ref="Q175:R175"/>
    <mergeCell ref="S175:T175"/>
    <mergeCell ref="U175:V175"/>
    <mergeCell ref="W175:X175"/>
    <mergeCell ref="Y175:Z175"/>
    <mergeCell ref="AA175:AB175"/>
    <mergeCell ref="AM174:AN174"/>
    <mergeCell ref="AO174:AP174"/>
    <mergeCell ref="AQ174:AR174"/>
    <mergeCell ref="AS174:AT174"/>
    <mergeCell ref="AU174:AV174"/>
    <mergeCell ref="AW174:AX174"/>
    <mergeCell ref="AA174:AB174"/>
    <mergeCell ref="AC174:AD174"/>
    <mergeCell ref="AE174:AF174"/>
    <mergeCell ref="AG174:AH174"/>
    <mergeCell ref="AI174:AJ174"/>
    <mergeCell ref="AK174:AL174"/>
    <mergeCell ref="M174:P174"/>
    <mergeCell ref="Q174:R174"/>
    <mergeCell ref="S174:T174"/>
    <mergeCell ref="U174:V174"/>
    <mergeCell ref="W174:X174"/>
    <mergeCell ref="Y174:Z174"/>
    <mergeCell ref="AM176:AN176"/>
    <mergeCell ref="AO176:AP176"/>
    <mergeCell ref="BA175:BB175"/>
    <mergeCell ref="BC175:BD175"/>
    <mergeCell ref="M176:P176"/>
    <mergeCell ref="Q176:R176"/>
    <mergeCell ref="S176:T176"/>
    <mergeCell ref="U176:V176"/>
    <mergeCell ref="W176:X176"/>
    <mergeCell ref="Y176:Z176"/>
    <mergeCell ref="AA176:AB176"/>
    <mergeCell ref="AC176:AD176"/>
    <mergeCell ref="AO175:AP175"/>
    <mergeCell ref="AQ175:AR175"/>
    <mergeCell ref="AS175:AT175"/>
    <mergeCell ref="AU175:AV175"/>
    <mergeCell ref="AW175:AX175"/>
    <mergeCell ref="AY175:AZ175"/>
    <mergeCell ref="AC175:AD175"/>
    <mergeCell ref="AE175:AF175"/>
    <mergeCell ref="AG175:AH175"/>
    <mergeCell ref="AI175:AJ175"/>
    <mergeCell ref="AK175:AL175"/>
    <mergeCell ref="AM175:AN175"/>
    <mergeCell ref="AS177:AT177"/>
    <mergeCell ref="AU177:AV177"/>
    <mergeCell ref="AW177:AX177"/>
    <mergeCell ref="AY177:AZ177"/>
    <mergeCell ref="BA177:BB177"/>
    <mergeCell ref="BC177:BD177"/>
    <mergeCell ref="AG177:AH177"/>
    <mergeCell ref="AI177:AJ177"/>
    <mergeCell ref="AK177:AL177"/>
    <mergeCell ref="AM177:AN177"/>
    <mergeCell ref="AO177:AP177"/>
    <mergeCell ref="AQ177:AR177"/>
    <mergeCell ref="BC176:BD176"/>
    <mergeCell ref="M177:P177"/>
    <mergeCell ref="Q177:R177"/>
    <mergeCell ref="S177:T177"/>
    <mergeCell ref="U177:V177"/>
    <mergeCell ref="W177:X177"/>
    <mergeCell ref="Y177:Z177"/>
    <mergeCell ref="AA177:AB177"/>
    <mergeCell ref="AC177:AD177"/>
    <mergeCell ref="AE177:AF177"/>
    <mergeCell ref="AQ176:AR176"/>
    <mergeCell ref="AS176:AT176"/>
    <mergeCell ref="AU176:AV176"/>
    <mergeCell ref="AW176:AX176"/>
    <mergeCell ref="AY176:AZ176"/>
    <mergeCell ref="BA176:BB176"/>
    <mergeCell ref="AE176:AF176"/>
    <mergeCell ref="AG176:AH176"/>
    <mergeCell ref="AI176:AJ176"/>
    <mergeCell ref="AK176:AL176"/>
    <mergeCell ref="AY178:AZ178"/>
    <mergeCell ref="BA178:BB178"/>
    <mergeCell ref="BC178:BD178"/>
    <mergeCell ref="M179:P179"/>
    <mergeCell ref="Q179:R179"/>
    <mergeCell ref="S179:T179"/>
    <mergeCell ref="U179:V179"/>
    <mergeCell ref="W179:X179"/>
    <mergeCell ref="Y179:Z179"/>
    <mergeCell ref="AA179:AB179"/>
    <mergeCell ref="AM178:AN178"/>
    <mergeCell ref="AO178:AP178"/>
    <mergeCell ref="AQ178:AR178"/>
    <mergeCell ref="AS178:AT178"/>
    <mergeCell ref="AU178:AV178"/>
    <mergeCell ref="AW178:AX178"/>
    <mergeCell ref="AA178:AB178"/>
    <mergeCell ref="AC178:AD178"/>
    <mergeCell ref="AE178:AF178"/>
    <mergeCell ref="AG178:AH178"/>
    <mergeCell ref="AI178:AJ178"/>
    <mergeCell ref="AK178:AL178"/>
    <mergeCell ref="M178:P178"/>
    <mergeCell ref="Q178:R178"/>
    <mergeCell ref="S178:T178"/>
    <mergeCell ref="U178:V178"/>
    <mergeCell ref="W178:X178"/>
    <mergeCell ref="Y178:Z178"/>
    <mergeCell ref="AM180:AN180"/>
    <mergeCell ref="AO180:AP180"/>
    <mergeCell ref="BA179:BB179"/>
    <mergeCell ref="BC179:BD179"/>
    <mergeCell ref="M180:P180"/>
    <mergeCell ref="Q180:R180"/>
    <mergeCell ref="S180:T180"/>
    <mergeCell ref="U180:V180"/>
    <mergeCell ref="W180:X180"/>
    <mergeCell ref="Y180:Z180"/>
    <mergeCell ref="AA180:AB180"/>
    <mergeCell ref="AC180:AD180"/>
    <mergeCell ref="AO179:AP179"/>
    <mergeCell ref="AQ179:AR179"/>
    <mergeCell ref="AS179:AT179"/>
    <mergeCell ref="AU179:AV179"/>
    <mergeCell ref="AW179:AX179"/>
    <mergeCell ref="AY179:AZ179"/>
    <mergeCell ref="AC179:AD179"/>
    <mergeCell ref="AE179:AF179"/>
    <mergeCell ref="AG179:AH179"/>
    <mergeCell ref="AI179:AJ179"/>
    <mergeCell ref="AK179:AL179"/>
    <mergeCell ref="AM179:AN179"/>
    <mergeCell ref="AS181:AT181"/>
    <mergeCell ref="AU181:AV181"/>
    <mergeCell ref="AW181:AX181"/>
    <mergeCell ref="AY181:AZ181"/>
    <mergeCell ref="BA181:BB181"/>
    <mergeCell ref="BC181:BD181"/>
    <mergeCell ref="AG181:AH181"/>
    <mergeCell ref="AI181:AJ181"/>
    <mergeCell ref="AK181:AL181"/>
    <mergeCell ref="AM181:AN181"/>
    <mergeCell ref="AO181:AP181"/>
    <mergeCell ref="AQ181:AR181"/>
    <mergeCell ref="BC180:BD180"/>
    <mergeCell ref="M181:P181"/>
    <mergeCell ref="Q181:R181"/>
    <mergeCell ref="S181:T181"/>
    <mergeCell ref="U181:V181"/>
    <mergeCell ref="W181:X181"/>
    <mergeCell ref="Y181:Z181"/>
    <mergeCell ref="AA181:AB181"/>
    <mergeCell ref="AC181:AD181"/>
    <mergeCell ref="AE181:AF181"/>
    <mergeCell ref="AQ180:AR180"/>
    <mergeCell ref="AS180:AT180"/>
    <mergeCell ref="AU180:AV180"/>
    <mergeCell ref="AW180:AX180"/>
    <mergeCell ref="AY180:AZ180"/>
    <mergeCell ref="BA180:BB180"/>
    <mergeCell ref="AE180:AF180"/>
    <mergeCell ref="AG180:AH180"/>
    <mergeCell ref="AI180:AJ180"/>
    <mergeCell ref="AK180:AL180"/>
    <mergeCell ref="AI183:AJ183"/>
    <mergeCell ref="AK183:AL183"/>
    <mergeCell ref="AM183:AN183"/>
    <mergeCell ref="AY182:AZ182"/>
    <mergeCell ref="BA182:BB182"/>
    <mergeCell ref="BC182:BD182"/>
    <mergeCell ref="F183:P183"/>
    <mergeCell ref="Q183:R183"/>
    <mergeCell ref="S183:T183"/>
    <mergeCell ref="U183:V183"/>
    <mergeCell ref="W183:X183"/>
    <mergeCell ref="Y183:Z183"/>
    <mergeCell ref="AA183:AB183"/>
    <mergeCell ref="AM182:AN182"/>
    <mergeCell ref="AO182:AP182"/>
    <mergeCell ref="AQ182:AR182"/>
    <mergeCell ref="AS182:AT182"/>
    <mergeCell ref="AU182:AV182"/>
    <mergeCell ref="AW182:AX182"/>
    <mergeCell ref="AA182:AB182"/>
    <mergeCell ref="AC182:AD182"/>
    <mergeCell ref="AE182:AF182"/>
    <mergeCell ref="AG182:AH182"/>
    <mergeCell ref="AI182:AJ182"/>
    <mergeCell ref="AK182:AL182"/>
    <mergeCell ref="F182:P182"/>
    <mergeCell ref="Q182:R182"/>
    <mergeCell ref="S182:T182"/>
    <mergeCell ref="U182:V182"/>
    <mergeCell ref="W182:X182"/>
    <mergeCell ref="Y182:Z182"/>
    <mergeCell ref="S192:Y192"/>
    <mergeCell ref="Z192:AH192"/>
    <mergeCell ref="AI192:AM192"/>
    <mergeCell ref="F197:M197"/>
    <mergeCell ref="N197:AM197"/>
    <mergeCell ref="AI189:AM189"/>
    <mergeCell ref="S190:Y190"/>
    <mergeCell ref="Z190:AH190"/>
    <mergeCell ref="AI190:AM190"/>
    <mergeCell ref="O191:R191"/>
    <mergeCell ref="S191:Y191"/>
    <mergeCell ref="Z191:AH191"/>
    <mergeCell ref="AI191:AM191"/>
    <mergeCell ref="BA183:BB183"/>
    <mergeCell ref="BC183:BD183"/>
    <mergeCell ref="F188:L192"/>
    <mergeCell ref="M188:M192"/>
    <mergeCell ref="S188:Y188"/>
    <mergeCell ref="Z188:AH188"/>
    <mergeCell ref="AI188:AM188"/>
    <mergeCell ref="O189:R189"/>
    <mergeCell ref="S189:Y189"/>
    <mergeCell ref="Z189:AH189"/>
    <mergeCell ref="AO183:AP183"/>
    <mergeCell ref="AQ183:AR183"/>
    <mergeCell ref="AS183:AT183"/>
    <mergeCell ref="AU183:AV183"/>
    <mergeCell ref="AW183:AX183"/>
    <mergeCell ref="AY183:AZ183"/>
    <mergeCell ref="AC183:AD183"/>
    <mergeCell ref="AE183:AF183"/>
    <mergeCell ref="AG183:AH183"/>
    <mergeCell ref="AN206:AQ206"/>
    <mergeCell ref="N204:P204"/>
    <mergeCell ref="Q204:U204"/>
    <mergeCell ref="V204:Y204"/>
    <mergeCell ref="Z204:AG204"/>
    <mergeCell ref="AH204:AM204"/>
    <mergeCell ref="F206:L206"/>
    <mergeCell ref="N206:AM206"/>
    <mergeCell ref="AH202:AM202"/>
    <mergeCell ref="N203:P203"/>
    <mergeCell ref="Q203:U203"/>
    <mergeCell ref="V203:Y203"/>
    <mergeCell ref="Z203:AG203"/>
    <mergeCell ref="AH203:AM203"/>
    <mergeCell ref="N201:P201"/>
    <mergeCell ref="Q201:U201"/>
    <mergeCell ref="V201:Y201"/>
    <mergeCell ref="Z201:AG201"/>
    <mergeCell ref="AH201:AM201"/>
    <mergeCell ref="F202:L204"/>
    <mergeCell ref="N202:P202"/>
    <mergeCell ref="Q202:U202"/>
    <mergeCell ref="V202:Y202"/>
    <mergeCell ref="Z202:AG202"/>
    <mergeCell ref="CA89:CB89"/>
    <mergeCell ref="CC89:CD89"/>
    <mergeCell ref="CE89:CF89"/>
    <mergeCell ref="CG89:CH89"/>
    <mergeCell ref="CI89:CJ89"/>
    <mergeCell ref="CK89:CL89"/>
    <mergeCell ref="CM89:CN89"/>
    <mergeCell ref="CO89:CP89"/>
    <mergeCell ref="CQ89:CR89"/>
    <mergeCell ref="CS89:CT89"/>
    <mergeCell ref="CU89:CV89"/>
    <mergeCell ref="CA90:CB90"/>
    <mergeCell ref="CC90:CD90"/>
    <mergeCell ref="CE90:CF90"/>
    <mergeCell ref="CG90:CH90"/>
    <mergeCell ref="CI90:CJ90"/>
    <mergeCell ref="CK90:CL90"/>
    <mergeCell ref="CM90:CN90"/>
    <mergeCell ref="CO90:CP90"/>
    <mergeCell ref="CQ90:CR90"/>
    <mergeCell ref="CS90:CT90"/>
    <mergeCell ref="CU90:CV90"/>
    <mergeCell ref="CA91:CB91"/>
    <mergeCell ref="CC91:CD91"/>
    <mergeCell ref="CE91:CF91"/>
    <mergeCell ref="CG91:CH91"/>
    <mergeCell ref="CI91:CJ91"/>
    <mergeCell ref="CK91:CL91"/>
    <mergeCell ref="CM91:CN91"/>
    <mergeCell ref="CO91:CP91"/>
    <mergeCell ref="CQ91:CR91"/>
    <mergeCell ref="CS91:CT91"/>
    <mergeCell ref="CU91:CV91"/>
    <mergeCell ref="CA92:CB92"/>
    <mergeCell ref="CC92:CD92"/>
    <mergeCell ref="CE92:CF92"/>
    <mergeCell ref="CG92:CH92"/>
    <mergeCell ref="CI92:CJ92"/>
    <mergeCell ref="CK92:CL92"/>
    <mergeCell ref="CM92:CN92"/>
    <mergeCell ref="CO92:CP92"/>
    <mergeCell ref="CQ92:CR92"/>
    <mergeCell ref="CS92:CT92"/>
    <mergeCell ref="CU92:CV92"/>
    <mergeCell ref="CA93:CB93"/>
    <mergeCell ref="CC93:CD93"/>
    <mergeCell ref="CE93:CF93"/>
    <mergeCell ref="CG93:CH93"/>
    <mergeCell ref="CI93:CJ93"/>
    <mergeCell ref="CK93:CL93"/>
    <mergeCell ref="CM93:CN93"/>
    <mergeCell ref="CO93:CP93"/>
    <mergeCell ref="CQ93:CR93"/>
    <mergeCell ref="CS93:CT93"/>
    <mergeCell ref="CU93:CV93"/>
    <mergeCell ref="CA94:CB94"/>
    <mergeCell ref="CC94:CD94"/>
    <mergeCell ref="CE94:CF94"/>
    <mergeCell ref="CG94:CH94"/>
    <mergeCell ref="CI94:CJ94"/>
    <mergeCell ref="CK94:CL94"/>
    <mergeCell ref="CM94:CN94"/>
    <mergeCell ref="CO94:CP94"/>
    <mergeCell ref="CQ94:CR94"/>
    <mergeCell ref="CS94:CT94"/>
    <mergeCell ref="CU94:CV94"/>
    <mergeCell ref="CA95:CB95"/>
    <mergeCell ref="CC95:CD95"/>
    <mergeCell ref="CE95:CF95"/>
    <mergeCell ref="CG95:CH95"/>
    <mergeCell ref="CI95:CJ95"/>
    <mergeCell ref="CK95:CL95"/>
    <mergeCell ref="CM95:CN95"/>
    <mergeCell ref="CO95:CP95"/>
    <mergeCell ref="CQ95:CR95"/>
    <mergeCell ref="CS95:CT95"/>
    <mergeCell ref="CU95:CV95"/>
    <mergeCell ref="CA96:CB96"/>
    <mergeCell ref="CC96:CD96"/>
    <mergeCell ref="CE96:CF96"/>
    <mergeCell ref="CG96:CH96"/>
    <mergeCell ref="CI96:CJ96"/>
    <mergeCell ref="CK96:CL96"/>
    <mergeCell ref="CM96:CN96"/>
    <mergeCell ref="CO96:CP96"/>
    <mergeCell ref="CQ96:CR96"/>
    <mergeCell ref="CS96:CT96"/>
    <mergeCell ref="CU96:CV96"/>
    <mergeCell ref="CA97:CB97"/>
    <mergeCell ref="CC97:CD97"/>
    <mergeCell ref="CE97:CF97"/>
    <mergeCell ref="CG97:CH97"/>
    <mergeCell ref="CI97:CJ97"/>
    <mergeCell ref="CK97:CL97"/>
    <mergeCell ref="CM97:CN97"/>
    <mergeCell ref="CO97:CP97"/>
    <mergeCell ref="CQ97:CR97"/>
    <mergeCell ref="CS97:CT97"/>
    <mergeCell ref="CU97:CV97"/>
    <mergeCell ref="CA98:CB98"/>
    <mergeCell ref="CC98:CD98"/>
    <mergeCell ref="CE98:CF98"/>
    <mergeCell ref="CG98:CH98"/>
    <mergeCell ref="CI98:CJ98"/>
    <mergeCell ref="CK98:CL98"/>
    <mergeCell ref="CM98:CN98"/>
    <mergeCell ref="CO98:CP98"/>
    <mergeCell ref="CQ98:CR98"/>
    <mergeCell ref="CS98:CT98"/>
    <mergeCell ref="CU98:CV98"/>
    <mergeCell ref="CA99:CB99"/>
    <mergeCell ref="CC99:CD99"/>
    <mergeCell ref="CE99:CF99"/>
    <mergeCell ref="CG99:CH99"/>
    <mergeCell ref="CI99:CJ99"/>
    <mergeCell ref="CK99:CL99"/>
    <mergeCell ref="CM99:CN99"/>
    <mergeCell ref="CO99:CP99"/>
    <mergeCell ref="CQ99:CR99"/>
    <mergeCell ref="CS99:CT99"/>
    <mergeCell ref="CU99:CV99"/>
    <mergeCell ref="CA100:CB100"/>
    <mergeCell ref="CC100:CD100"/>
    <mergeCell ref="CE100:CF100"/>
    <mergeCell ref="CG100:CH100"/>
    <mergeCell ref="CI100:CJ100"/>
    <mergeCell ref="CK100:CL100"/>
    <mergeCell ref="CM100:CN100"/>
    <mergeCell ref="CO100:CP100"/>
    <mergeCell ref="CQ100:CR100"/>
    <mergeCell ref="CS100:CT100"/>
    <mergeCell ref="CU100:CV100"/>
    <mergeCell ref="CA101:CB101"/>
    <mergeCell ref="CC101:CD101"/>
    <mergeCell ref="CE101:CF101"/>
    <mergeCell ref="CG101:CH101"/>
    <mergeCell ref="CI101:CJ101"/>
    <mergeCell ref="CK101:CL101"/>
    <mergeCell ref="CM101:CN101"/>
    <mergeCell ref="CO101:CP101"/>
    <mergeCell ref="CQ101:CR101"/>
    <mergeCell ref="CS101:CT101"/>
    <mergeCell ref="CU101:CV101"/>
    <mergeCell ref="CA102:CB102"/>
    <mergeCell ref="CC102:CD102"/>
    <mergeCell ref="CE102:CF102"/>
    <mergeCell ref="CG102:CH102"/>
    <mergeCell ref="CI102:CJ102"/>
    <mergeCell ref="CK102:CL102"/>
    <mergeCell ref="CM102:CN102"/>
    <mergeCell ref="CO102:CP102"/>
    <mergeCell ref="CQ102:CR102"/>
    <mergeCell ref="CS102:CT102"/>
    <mergeCell ref="CU102:CV102"/>
    <mergeCell ref="CA103:CB103"/>
    <mergeCell ref="CC103:CD103"/>
    <mergeCell ref="CE103:CF103"/>
    <mergeCell ref="CG103:CH103"/>
    <mergeCell ref="CI103:CJ103"/>
    <mergeCell ref="CK103:CL103"/>
    <mergeCell ref="CM103:CN103"/>
    <mergeCell ref="CO103:CP103"/>
    <mergeCell ref="CQ103:CR103"/>
    <mergeCell ref="CS103:CT103"/>
    <mergeCell ref="CU103:CV103"/>
    <mergeCell ref="CA128:CB128"/>
    <mergeCell ref="CC128:CD128"/>
    <mergeCell ref="CE128:CF128"/>
    <mergeCell ref="CG128:CH128"/>
    <mergeCell ref="CI128:CJ128"/>
    <mergeCell ref="CK128:CL128"/>
    <mergeCell ref="CM128:CN128"/>
    <mergeCell ref="CO128:CP128"/>
    <mergeCell ref="CQ128:CR128"/>
    <mergeCell ref="CS128:CT128"/>
    <mergeCell ref="CU128:CV128"/>
    <mergeCell ref="CA129:CB129"/>
    <mergeCell ref="CC129:CD129"/>
    <mergeCell ref="CE129:CF129"/>
    <mergeCell ref="CG129:CH129"/>
    <mergeCell ref="CI129:CJ129"/>
    <mergeCell ref="CK129:CL129"/>
    <mergeCell ref="CM129:CN129"/>
    <mergeCell ref="CO129:CP129"/>
    <mergeCell ref="CQ129:CR129"/>
    <mergeCell ref="CS129:CT129"/>
    <mergeCell ref="CU129:CV129"/>
    <mergeCell ref="CA130:CB130"/>
    <mergeCell ref="CC130:CD130"/>
    <mergeCell ref="CE130:CF130"/>
    <mergeCell ref="CG130:CH130"/>
    <mergeCell ref="CI130:CJ130"/>
    <mergeCell ref="CK130:CL130"/>
    <mergeCell ref="CM130:CN130"/>
    <mergeCell ref="CO130:CP130"/>
    <mergeCell ref="CQ130:CR130"/>
    <mergeCell ref="CS130:CT130"/>
    <mergeCell ref="CU130:CV130"/>
    <mergeCell ref="CA131:CB131"/>
    <mergeCell ref="CC131:CD131"/>
    <mergeCell ref="CE131:CF131"/>
    <mergeCell ref="CG131:CH131"/>
    <mergeCell ref="CI131:CJ131"/>
    <mergeCell ref="CK131:CL131"/>
    <mergeCell ref="CM131:CN131"/>
    <mergeCell ref="CO131:CP131"/>
    <mergeCell ref="CQ131:CR131"/>
    <mergeCell ref="CS131:CT131"/>
    <mergeCell ref="CU131:CV131"/>
    <mergeCell ref="CA132:CB132"/>
    <mergeCell ref="CC132:CD132"/>
    <mergeCell ref="CE132:CF132"/>
    <mergeCell ref="CG132:CH132"/>
    <mergeCell ref="CI132:CJ132"/>
    <mergeCell ref="CK132:CL132"/>
    <mergeCell ref="CM132:CN132"/>
    <mergeCell ref="CO132:CP132"/>
    <mergeCell ref="CQ132:CR132"/>
    <mergeCell ref="CS132:CT132"/>
    <mergeCell ref="CU132:CV132"/>
    <mergeCell ref="CA133:CB133"/>
    <mergeCell ref="CC133:CD133"/>
    <mergeCell ref="CE133:CF133"/>
    <mergeCell ref="CG133:CH133"/>
    <mergeCell ref="CI133:CJ133"/>
    <mergeCell ref="CK133:CL133"/>
    <mergeCell ref="CM133:CN133"/>
    <mergeCell ref="CO133:CP133"/>
    <mergeCell ref="CQ133:CR133"/>
    <mergeCell ref="CS133:CT133"/>
    <mergeCell ref="CU133:CV133"/>
    <mergeCell ref="CA134:CB134"/>
    <mergeCell ref="CC134:CD134"/>
    <mergeCell ref="CE134:CF134"/>
    <mergeCell ref="CG134:CH134"/>
    <mergeCell ref="CI134:CJ134"/>
    <mergeCell ref="CK134:CL134"/>
    <mergeCell ref="CM134:CN134"/>
    <mergeCell ref="CO134:CP134"/>
    <mergeCell ref="CQ134:CR134"/>
    <mergeCell ref="CS134:CT134"/>
    <mergeCell ref="CU134:CV134"/>
    <mergeCell ref="CA135:CB135"/>
    <mergeCell ref="CC135:CD135"/>
    <mergeCell ref="CE135:CF135"/>
    <mergeCell ref="CG135:CH135"/>
    <mergeCell ref="CI135:CJ135"/>
    <mergeCell ref="CK135:CL135"/>
    <mergeCell ref="CM135:CN135"/>
    <mergeCell ref="CO135:CP135"/>
    <mergeCell ref="CQ135:CR135"/>
    <mergeCell ref="CS135:CT135"/>
    <mergeCell ref="CU135:CV135"/>
    <mergeCell ref="CA136:CB136"/>
    <mergeCell ref="CC136:CD136"/>
    <mergeCell ref="CE136:CF136"/>
    <mergeCell ref="CG136:CH136"/>
    <mergeCell ref="CI136:CJ136"/>
    <mergeCell ref="CK136:CL136"/>
    <mergeCell ref="CM136:CN136"/>
    <mergeCell ref="CO136:CP136"/>
    <mergeCell ref="CQ136:CR136"/>
    <mergeCell ref="CS136:CT136"/>
    <mergeCell ref="CU136:CV136"/>
    <mergeCell ref="CA137:CB137"/>
    <mergeCell ref="CC137:CD137"/>
    <mergeCell ref="CE137:CF137"/>
    <mergeCell ref="CG137:CH137"/>
    <mergeCell ref="CI137:CJ137"/>
    <mergeCell ref="CK137:CL137"/>
    <mergeCell ref="CM137:CN137"/>
    <mergeCell ref="CO137:CP137"/>
    <mergeCell ref="CQ137:CR137"/>
    <mergeCell ref="CS137:CT137"/>
    <mergeCell ref="CU137:CV137"/>
    <mergeCell ref="CA138:CB138"/>
    <mergeCell ref="CC138:CD138"/>
    <mergeCell ref="CE138:CF138"/>
    <mergeCell ref="CG138:CH138"/>
    <mergeCell ref="CI138:CJ138"/>
    <mergeCell ref="CK138:CL138"/>
    <mergeCell ref="CM138:CN138"/>
    <mergeCell ref="CO138:CP138"/>
    <mergeCell ref="CQ138:CR138"/>
    <mergeCell ref="CS138:CT138"/>
    <mergeCell ref="CU138:CV138"/>
    <mergeCell ref="CA139:CB139"/>
    <mergeCell ref="CC139:CD139"/>
    <mergeCell ref="CE139:CF139"/>
    <mergeCell ref="CG139:CH139"/>
    <mergeCell ref="CI139:CJ139"/>
    <mergeCell ref="CK139:CL139"/>
    <mergeCell ref="CM139:CN139"/>
    <mergeCell ref="CO139:CP139"/>
    <mergeCell ref="CQ139:CR139"/>
    <mergeCell ref="CS139:CT139"/>
    <mergeCell ref="CU139:CV139"/>
    <mergeCell ref="CA140:CB140"/>
    <mergeCell ref="CC140:CD140"/>
    <mergeCell ref="CE140:CF140"/>
    <mergeCell ref="CG140:CH140"/>
    <mergeCell ref="CI140:CJ140"/>
    <mergeCell ref="CK140:CL140"/>
    <mergeCell ref="CM140:CN140"/>
    <mergeCell ref="CO140:CP140"/>
    <mergeCell ref="CQ140:CR140"/>
    <mergeCell ref="CS140:CT140"/>
    <mergeCell ref="CU140:CV140"/>
    <mergeCell ref="CA141:CB141"/>
    <mergeCell ref="CC141:CD141"/>
    <mergeCell ref="CE141:CF141"/>
    <mergeCell ref="CG141:CH141"/>
    <mergeCell ref="CI141:CJ141"/>
    <mergeCell ref="CK141:CL141"/>
    <mergeCell ref="CM141:CN141"/>
    <mergeCell ref="CO141:CP141"/>
    <mergeCell ref="CQ141:CR141"/>
    <mergeCell ref="CS141:CT141"/>
    <mergeCell ref="CU141:CV141"/>
    <mergeCell ref="CA142:CB142"/>
    <mergeCell ref="CC142:CD142"/>
    <mergeCell ref="CE142:CF142"/>
    <mergeCell ref="CG142:CH142"/>
    <mergeCell ref="CI142:CJ142"/>
    <mergeCell ref="CK142:CL142"/>
    <mergeCell ref="CM142:CN142"/>
    <mergeCell ref="CO142:CP142"/>
    <mergeCell ref="CQ142:CR142"/>
    <mergeCell ref="CS142:CT142"/>
    <mergeCell ref="CU142:CV142"/>
    <mergeCell ref="CA167:CB167"/>
    <mergeCell ref="CC167:CD167"/>
    <mergeCell ref="CE167:CF167"/>
    <mergeCell ref="CG167:CH167"/>
    <mergeCell ref="CI167:CJ167"/>
    <mergeCell ref="CK167:CL167"/>
    <mergeCell ref="CM167:CN167"/>
    <mergeCell ref="CO167:CP167"/>
    <mergeCell ref="CQ167:CR167"/>
    <mergeCell ref="CS167:CT167"/>
    <mergeCell ref="CU167:CV167"/>
    <mergeCell ref="CA168:CB168"/>
    <mergeCell ref="CC168:CD168"/>
    <mergeCell ref="CE168:CF168"/>
    <mergeCell ref="CG168:CH168"/>
    <mergeCell ref="CI168:CJ168"/>
    <mergeCell ref="CK168:CL168"/>
    <mergeCell ref="CM168:CN168"/>
    <mergeCell ref="CO168:CP168"/>
    <mergeCell ref="CQ168:CR168"/>
    <mergeCell ref="CS168:CT168"/>
    <mergeCell ref="CU168:CV168"/>
    <mergeCell ref="CA169:CB169"/>
    <mergeCell ref="CC169:CD169"/>
    <mergeCell ref="CE169:CF169"/>
    <mergeCell ref="CG169:CH169"/>
    <mergeCell ref="CI169:CJ169"/>
    <mergeCell ref="CK169:CL169"/>
    <mergeCell ref="CM169:CN169"/>
    <mergeCell ref="CO169:CP169"/>
    <mergeCell ref="CQ169:CR169"/>
    <mergeCell ref="CS169:CT169"/>
    <mergeCell ref="CU169:CV169"/>
    <mergeCell ref="CA170:CB170"/>
    <mergeCell ref="CC170:CD170"/>
    <mergeCell ref="CE170:CF170"/>
    <mergeCell ref="CG170:CH170"/>
    <mergeCell ref="CI170:CJ170"/>
    <mergeCell ref="CK170:CL170"/>
    <mergeCell ref="CM170:CN170"/>
    <mergeCell ref="CO170:CP170"/>
    <mergeCell ref="CQ170:CR170"/>
    <mergeCell ref="CS170:CT170"/>
    <mergeCell ref="CU170:CV170"/>
    <mergeCell ref="CA171:CB171"/>
    <mergeCell ref="CC171:CD171"/>
    <mergeCell ref="CE171:CF171"/>
    <mergeCell ref="CG171:CH171"/>
    <mergeCell ref="CI171:CJ171"/>
    <mergeCell ref="CK171:CL171"/>
    <mergeCell ref="CM171:CN171"/>
    <mergeCell ref="CO171:CP171"/>
    <mergeCell ref="CQ171:CR171"/>
    <mergeCell ref="CS171:CT171"/>
    <mergeCell ref="CU171:CV171"/>
    <mergeCell ref="CA172:CB172"/>
    <mergeCell ref="CC172:CD172"/>
    <mergeCell ref="CE172:CF172"/>
    <mergeCell ref="CG172:CH172"/>
    <mergeCell ref="CI172:CJ172"/>
    <mergeCell ref="CK172:CL172"/>
    <mergeCell ref="CM172:CN172"/>
    <mergeCell ref="CO172:CP172"/>
    <mergeCell ref="CQ172:CR172"/>
    <mergeCell ref="CS172:CT172"/>
    <mergeCell ref="CU172:CV172"/>
    <mergeCell ref="CA173:CB173"/>
    <mergeCell ref="CC173:CD173"/>
    <mergeCell ref="CE173:CF173"/>
    <mergeCell ref="CG173:CH173"/>
    <mergeCell ref="CI173:CJ173"/>
    <mergeCell ref="CK173:CL173"/>
    <mergeCell ref="CM173:CN173"/>
    <mergeCell ref="CO173:CP173"/>
    <mergeCell ref="CQ173:CR173"/>
    <mergeCell ref="CS173:CT173"/>
    <mergeCell ref="CU173:CV173"/>
    <mergeCell ref="CA174:CB174"/>
    <mergeCell ref="CC174:CD174"/>
    <mergeCell ref="CE174:CF174"/>
    <mergeCell ref="CG174:CH174"/>
    <mergeCell ref="CI174:CJ174"/>
    <mergeCell ref="CK174:CL174"/>
    <mergeCell ref="CM174:CN174"/>
    <mergeCell ref="CO174:CP174"/>
    <mergeCell ref="CQ174:CR174"/>
    <mergeCell ref="CS174:CT174"/>
    <mergeCell ref="CU174:CV174"/>
    <mergeCell ref="CA175:CB175"/>
    <mergeCell ref="CC175:CD175"/>
    <mergeCell ref="CE175:CF175"/>
    <mergeCell ref="CG175:CH175"/>
    <mergeCell ref="CI175:CJ175"/>
    <mergeCell ref="CK175:CL175"/>
    <mergeCell ref="CM175:CN175"/>
    <mergeCell ref="CO175:CP175"/>
    <mergeCell ref="CQ175:CR175"/>
    <mergeCell ref="CS175:CT175"/>
    <mergeCell ref="CU175:CV175"/>
    <mergeCell ref="CA176:CB176"/>
    <mergeCell ref="CC176:CD176"/>
    <mergeCell ref="CE176:CF176"/>
    <mergeCell ref="CG176:CH176"/>
    <mergeCell ref="CI176:CJ176"/>
    <mergeCell ref="CK176:CL176"/>
    <mergeCell ref="CM176:CN176"/>
    <mergeCell ref="CO176:CP176"/>
    <mergeCell ref="CQ176:CR176"/>
    <mergeCell ref="CS176:CT176"/>
    <mergeCell ref="CU176:CV176"/>
    <mergeCell ref="CA177:CB177"/>
    <mergeCell ref="CC177:CD177"/>
    <mergeCell ref="CE177:CF177"/>
    <mergeCell ref="CG177:CH177"/>
    <mergeCell ref="CI177:CJ177"/>
    <mergeCell ref="CK177:CL177"/>
    <mergeCell ref="CM177:CN177"/>
    <mergeCell ref="CO177:CP177"/>
    <mergeCell ref="CQ177:CR177"/>
    <mergeCell ref="CS177:CT177"/>
    <mergeCell ref="CU177:CV177"/>
    <mergeCell ref="CA178:CB178"/>
    <mergeCell ref="CC178:CD178"/>
    <mergeCell ref="CE178:CF178"/>
    <mergeCell ref="CG178:CH178"/>
    <mergeCell ref="CI178:CJ178"/>
    <mergeCell ref="CK178:CL178"/>
    <mergeCell ref="CM178:CN178"/>
    <mergeCell ref="CO178:CP178"/>
    <mergeCell ref="CQ178:CR178"/>
    <mergeCell ref="CS178:CT178"/>
    <mergeCell ref="CU178:CV178"/>
    <mergeCell ref="CA179:CB179"/>
    <mergeCell ref="CC179:CD179"/>
    <mergeCell ref="CE179:CF179"/>
    <mergeCell ref="CG179:CH179"/>
    <mergeCell ref="CI179:CJ179"/>
    <mergeCell ref="CK179:CL179"/>
    <mergeCell ref="CM179:CN179"/>
    <mergeCell ref="CO179:CP179"/>
    <mergeCell ref="CQ179:CR179"/>
    <mergeCell ref="CS179:CT179"/>
    <mergeCell ref="CU179:CV179"/>
    <mergeCell ref="CA180:CB180"/>
    <mergeCell ref="CC180:CD180"/>
    <mergeCell ref="CE180:CF180"/>
    <mergeCell ref="CG180:CH180"/>
    <mergeCell ref="CI180:CJ180"/>
    <mergeCell ref="CK180:CL180"/>
    <mergeCell ref="CM180:CN180"/>
    <mergeCell ref="CO180:CP180"/>
    <mergeCell ref="CQ180:CR180"/>
    <mergeCell ref="CS180:CT180"/>
    <mergeCell ref="CU180:CV180"/>
    <mergeCell ref="CA181:CB181"/>
    <mergeCell ref="CC181:CD181"/>
    <mergeCell ref="CE181:CF181"/>
    <mergeCell ref="CG181:CH181"/>
    <mergeCell ref="CI181:CJ181"/>
    <mergeCell ref="CK181:CL181"/>
    <mergeCell ref="CM181:CN181"/>
    <mergeCell ref="CO181:CP181"/>
    <mergeCell ref="CQ181:CR181"/>
    <mergeCell ref="CS181:CT181"/>
    <mergeCell ref="CU181:CV181"/>
    <mergeCell ref="CW89:CX89"/>
    <mergeCell ref="CY89:CZ89"/>
    <mergeCell ref="DA89:DB89"/>
    <mergeCell ref="DC89:DD89"/>
    <mergeCell ref="DE89:DF89"/>
    <mergeCell ref="DG89:DH89"/>
    <mergeCell ref="CW92:CX92"/>
    <mergeCell ref="CY92:CZ92"/>
    <mergeCell ref="DA92:DB92"/>
    <mergeCell ref="DC92:DD92"/>
    <mergeCell ref="DE92:DF92"/>
    <mergeCell ref="DG92:DH92"/>
    <mergeCell ref="CW95:CX95"/>
    <mergeCell ref="CY95:CZ95"/>
    <mergeCell ref="DA95:DB95"/>
    <mergeCell ref="DC95:DD95"/>
    <mergeCell ref="DE95:DF95"/>
    <mergeCell ref="DG95:DH95"/>
    <mergeCell ref="CW98:CX98"/>
    <mergeCell ref="CY98:CZ98"/>
    <mergeCell ref="DA98:DB98"/>
    <mergeCell ref="DI89:DJ89"/>
    <mergeCell ref="DK89:DL89"/>
    <mergeCell ref="DM89:DN89"/>
    <mergeCell ref="CW90:CX90"/>
    <mergeCell ref="CY90:CZ90"/>
    <mergeCell ref="DA90:DB90"/>
    <mergeCell ref="DC90:DD90"/>
    <mergeCell ref="DE90:DF90"/>
    <mergeCell ref="DG90:DH90"/>
    <mergeCell ref="DI90:DJ90"/>
    <mergeCell ref="DK90:DL90"/>
    <mergeCell ref="DM90:DN90"/>
    <mergeCell ref="CW91:CX91"/>
    <mergeCell ref="CY91:CZ91"/>
    <mergeCell ref="DA91:DB91"/>
    <mergeCell ref="DC91:DD91"/>
    <mergeCell ref="DE91:DF91"/>
    <mergeCell ref="DG91:DH91"/>
    <mergeCell ref="DI91:DJ91"/>
    <mergeCell ref="DK91:DL91"/>
    <mergeCell ref="DM91:DN91"/>
    <mergeCell ref="DI92:DJ92"/>
    <mergeCell ref="DK92:DL92"/>
    <mergeCell ref="DM92:DN92"/>
    <mergeCell ref="CW93:CX93"/>
    <mergeCell ref="CY93:CZ93"/>
    <mergeCell ref="DA93:DB93"/>
    <mergeCell ref="DC93:DD93"/>
    <mergeCell ref="DE93:DF93"/>
    <mergeCell ref="DG93:DH93"/>
    <mergeCell ref="DI93:DJ93"/>
    <mergeCell ref="DK93:DL93"/>
    <mergeCell ref="DM93:DN93"/>
    <mergeCell ref="CW94:CX94"/>
    <mergeCell ref="CY94:CZ94"/>
    <mergeCell ref="DA94:DB94"/>
    <mergeCell ref="DC94:DD94"/>
    <mergeCell ref="DE94:DF94"/>
    <mergeCell ref="DG94:DH94"/>
    <mergeCell ref="DI94:DJ94"/>
    <mergeCell ref="DK94:DL94"/>
    <mergeCell ref="DM94:DN94"/>
    <mergeCell ref="DI95:DJ95"/>
    <mergeCell ref="DK95:DL95"/>
    <mergeCell ref="DM95:DN95"/>
    <mergeCell ref="CW96:CX96"/>
    <mergeCell ref="CY96:CZ96"/>
    <mergeCell ref="DA96:DB96"/>
    <mergeCell ref="DC96:DD96"/>
    <mergeCell ref="DE96:DF96"/>
    <mergeCell ref="DG96:DH96"/>
    <mergeCell ref="DI96:DJ96"/>
    <mergeCell ref="DK96:DL96"/>
    <mergeCell ref="DM96:DN96"/>
    <mergeCell ref="CW97:CX97"/>
    <mergeCell ref="CY97:CZ97"/>
    <mergeCell ref="DA97:DB97"/>
    <mergeCell ref="DC97:DD97"/>
    <mergeCell ref="DE97:DF97"/>
    <mergeCell ref="DG97:DH97"/>
    <mergeCell ref="DI97:DJ97"/>
    <mergeCell ref="DK97:DL97"/>
    <mergeCell ref="DM97:DN97"/>
    <mergeCell ref="DC98:DD98"/>
    <mergeCell ref="DE98:DF98"/>
    <mergeCell ref="DG98:DH98"/>
    <mergeCell ref="DI98:DJ98"/>
    <mergeCell ref="DK98:DL98"/>
    <mergeCell ref="DM98:DN98"/>
    <mergeCell ref="CW99:CX99"/>
    <mergeCell ref="CY99:CZ99"/>
    <mergeCell ref="DA99:DB99"/>
    <mergeCell ref="DC99:DD99"/>
    <mergeCell ref="DE99:DF99"/>
    <mergeCell ref="DG99:DH99"/>
    <mergeCell ref="DI99:DJ99"/>
    <mergeCell ref="DK99:DL99"/>
    <mergeCell ref="DM99:DN99"/>
    <mergeCell ref="CW100:CX100"/>
    <mergeCell ref="CY100:CZ100"/>
    <mergeCell ref="DA100:DB100"/>
    <mergeCell ref="DC100:DD100"/>
    <mergeCell ref="DE100:DF100"/>
    <mergeCell ref="DG100:DH100"/>
    <mergeCell ref="DI100:DJ100"/>
    <mergeCell ref="DK100:DL100"/>
    <mergeCell ref="DM100:DN100"/>
    <mergeCell ref="CW101:CX101"/>
    <mergeCell ref="CY101:CZ101"/>
    <mergeCell ref="DA101:DB101"/>
    <mergeCell ref="DC101:DD101"/>
    <mergeCell ref="DE101:DF101"/>
    <mergeCell ref="DG101:DH101"/>
    <mergeCell ref="DI101:DJ101"/>
    <mergeCell ref="DK101:DL101"/>
    <mergeCell ref="DM101:DN101"/>
    <mergeCell ref="CW102:CX102"/>
    <mergeCell ref="CY102:CZ102"/>
    <mergeCell ref="DA102:DB102"/>
    <mergeCell ref="DC102:DD102"/>
    <mergeCell ref="DE102:DF102"/>
    <mergeCell ref="DG102:DH102"/>
    <mergeCell ref="DI102:DJ102"/>
    <mergeCell ref="DK102:DL102"/>
    <mergeCell ref="DM102:DN102"/>
    <mergeCell ref="CW103:CX103"/>
    <mergeCell ref="CY103:CZ103"/>
    <mergeCell ref="DA103:DB103"/>
    <mergeCell ref="DC103:DD103"/>
    <mergeCell ref="DE103:DF103"/>
    <mergeCell ref="DG103:DH103"/>
    <mergeCell ref="DI103:DJ103"/>
    <mergeCell ref="DK103:DL103"/>
    <mergeCell ref="DM103:DN103"/>
    <mergeCell ref="CW128:CX128"/>
    <mergeCell ref="CY128:CZ128"/>
    <mergeCell ref="DA128:DB128"/>
    <mergeCell ref="DC128:DD128"/>
    <mergeCell ref="DE128:DF128"/>
    <mergeCell ref="DG128:DH128"/>
    <mergeCell ref="DI128:DJ128"/>
    <mergeCell ref="DK128:DL128"/>
    <mergeCell ref="DM128:DN128"/>
    <mergeCell ref="CW129:CX129"/>
    <mergeCell ref="CY129:CZ129"/>
    <mergeCell ref="DA129:DB129"/>
    <mergeCell ref="DC129:DD129"/>
    <mergeCell ref="DE129:DF129"/>
    <mergeCell ref="DG129:DH129"/>
    <mergeCell ref="DI129:DJ129"/>
    <mergeCell ref="DK129:DL129"/>
    <mergeCell ref="DM129:DN129"/>
    <mergeCell ref="CW130:CX130"/>
    <mergeCell ref="CY130:CZ130"/>
    <mergeCell ref="DA130:DB130"/>
    <mergeCell ref="DC130:DD130"/>
    <mergeCell ref="DE130:DF130"/>
    <mergeCell ref="DG130:DH130"/>
    <mergeCell ref="DI130:DJ130"/>
    <mergeCell ref="DK130:DL130"/>
    <mergeCell ref="DM130:DN130"/>
    <mergeCell ref="CW131:CX131"/>
    <mergeCell ref="CY131:CZ131"/>
    <mergeCell ref="DA131:DB131"/>
    <mergeCell ref="DC131:DD131"/>
    <mergeCell ref="DE131:DF131"/>
    <mergeCell ref="DG131:DH131"/>
    <mergeCell ref="DI131:DJ131"/>
    <mergeCell ref="DK131:DL131"/>
    <mergeCell ref="DM131:DN131"/>
    <mergeCell ref="CW132:CX132"/>
    <mergeCell ref="CY132:CZ132"/>
    <mergeCell ref="DA132:DB132"/>
    <mergeCell ref="DC132:DD132"/>
    <mergeCell ref="DE132:DF132"/>
    <mergeCell ref="DG132:DH132"/>
    <mergeCell ref="DI132:DJ132"/>
    <mergeCell ref="DK132:DL132"/>
    <mergeCell ref="DM132:DN132"/>
    <mergeCell ref="CW133:CX133"/>
    <mergeCell ref="CY133:CZ133"/>
    <mergeCell ref="DA133:DB133"/>
    <mergeCell ref="DC133:DD133"/>
    <mergeCell ref="DE133:DF133"/>
    <mergeCell ref="DG133:DH133"/>
    <mergeCell ref="DI133:DJ133"/>
    <mergeCell ref="DK133:DL133"/>
    <mergeCell ref="DM133:DN133"/>
    <mergeCell ref="CW134:CX134"/>
    <mergeCell ref="CY134:CZ134"/>
    <mergeCell ref="DA134:DB134"/>
    <mergeCell ref="DC134:DD134"/>
    <mergeCell ref="DE134:DF134"/>
    <mergeCell ref="DG134:DH134"/>
    <mergeCell ref="DI134:DJ134"/>
    <mergeCell ref="DK134:DL134"/>
    <mergeCell ref="DM134:DN134"/>
    <mergeCell ref="CW135:CX135"/>
    <mergeCell ref="CY135:CZ135"/>
    <mergeCell ref="DA135:DB135"/>
    <mergeCell ref="DC135:DD135"/>
    <mergeCell ref="DE135:DF135"/>
    <mergeCell ref="DG135:DH135"/>
    <mergeCell ref="DI135:DJ135"/>
    <mergeCell ref="DK135:DL135"/>
    <mergeCell ref="DM135:DN135"/>
    <mergeCell ref="CW136:CX136"/>
    <mergeCell ref="CY136:CZ136"/>
    <mergeCell ref="DA136:DB136"/>
    <mergeCell ref="DC136:DD136"/>
    <mergeCell ref="DE136:DF136"/>
    <mergeCell ref="DG136:DH136"/>
    <mergeCell ref="DI136:DJ136"/>
    <mergeCell ref="DK136:DL136"/>
    <mergeCell ref="DM136:DN136"/>
    <mergeCell ref="CW137:CX137"/>
    <mergeCell ref="CY137:CZ137"/>
    <mergeCell ref="DA137:DB137"/>
    <mergeCell ref="DC137:DD137"/>
    <mergeCell ref="DE137:DF137"/>
    <mergeCell ref="DG137:DH137"/>
    <mergeCell ref="DI137:DJ137"/>
    <mergeCell ref="DK137:DL137"/>
    <mergeCell ref="DM137:DN137"/>
    <mergeCell ref="CW138:CX138"/>
    <mergeCell ref="CY138:CZ138"/>
    <mergeCell ref="DA138:DB138"/>
    <mergeCell ref="DC138:DD138"/>
    <mergeCell ref="DE138:DF138"/>
    <mergeCell ref="DG138:DH138"/>
    <mergeCell ref="DI138:DJ138"/>
    <mergeCell ref="DK138:DL138"/>
    <mergeCell ref="DM138:DN138"/>
    <mergeCell ref="CW139:CX139"/>
    <mergeCell ref="CY139:CZ139"/>
    <mergeCell ref="DA139:DB139"/>
    <mergeCell ref="DC139:DD139"/>
    <mergeCell ref="DE139:DF139"/>
    <mergeCell ref="DG139:DH139"/>
    <mergeCell ref="DI139:DJ139"/>
    <mergeCell ref="DK139:DL139"/>
    <mergeCell ref="DM139:DN139"/>
    <mergeCell ref="CW140:CX140"/>
    <mergeCell ref="CY140:CZ140"/>
    <mergeCell ref="DA140:DB140"/>
    <mergeCell ref="DC140:DD140"/>
    <mergeCell ref="DE140:DF140"/>
    <mergeCell ref="DG140:DH140"/>
    <mergeCell ref="DI140:DJ140"/>
    <mergeCell ref="DK140:DL140"/>
    <mergeCell ref="DM140:DN140"/>
    <mergeCell ref="CW141:CX141"/>
    <mergeCell ref="CY141:CZ141"/>
    <mergeCell ref="DA141:DB141"/>
    <mergeCell ref="DC141:DD141"/>
    <mergeCell ref="DE141:DF141"/>
    <mergeCell ref="DG141:DH141"/>
    <mergeCell ref="DI141:DJ141"/>
    <mergeCell ref="DK141:DL141"/>
    <mergeCell ref="DM141:DN141"/>
    <mergeCell ref="CW142:CX142"/>
    <mergeCell ref="CY142:CZ142"/>
    <mergeCell ref="DA142:DB142"/>
    <mergeCell ref="DC142:DD142"/>
    <mergeCell ref="DE142:DF142"/>
    <mergeCell ref="DG142:DH142"/>
    <mergeCell ref="DI142:DJ142"/>
    <mergeCell ref="DK142:DL142"/>
    <mergeCell ref="DM142:DN142"/>
    <mergeCell ref="CW167:CX167"/>
    <mergeCell ref="CY167:CZ167"/>
    <mergeCell ref="DA167:DB167"/>
    <mergeCell ref="DC167:DD167"/>
    <mergeCell ref="DE167:DF167"/>
    <mergeCell ref="DG167:DH167"/>
    <mergeCell ref="DI167:DJ167"/>
    <mergeCell ref="DK167:DL167"/>
    <mergeCell ref="DM167:DN167"/>
    <mergeCell ref="CW168:CX168"/>
    <mergeCell ref="CY168:CZ168"/>
    <mergeCell ref="DA168:DB168"/>
    <mergeCell ref="DC168:DD168"/>
    <mergeCell ref="DE168:DF168"/>
    <mergeCell ref="DG168:DH168"/>
    <mergeCell ref="DI168:DJ168"/>
    <mergeCell ref="DK168:DL168"/>
    <mergeCell ref="DM168:DN168"/>
    <mergeCell ref="CW169:CX169"/>
    <mergeCell ref="CY169:CZ169"/>
    <mergeCell ref="DA169:DB169"/>
    <mergeCell ref="DC169:DD169"/>
    <mergeCell ref="DE169:DF169"/>
    <mergeCell ref="DG169:DH169"/>
    <mergeCell ref="DI169:DJ169"/>
    <mergeCell ref="DK169:DL169"/>
    <mergeCell ref="DM169:DN169"/>
    <mergeCell ref="CW170:CX170"/>
    <mergeCell ref="CY170:CZ170"/>
    <mergeCell ref="DA170:DB170"/>
    <mergeCell ref="DC170:DD170"/>
    <mergeCell ref="DE170:DF170"/>
    <mergeCell ref="DG170:DH170"/>
    <mergeCell ref="DI170:DJ170"/>
    <mergeCell ref="DK170:DL170"/>
    <mergeCell ref="DM170:DN170"/>
    <mergeCell ref="CW171:CX171"/>
    <mergeCell ref="CY171:CZ171"/>
    <mergeCell ref="DA171:DB171"/>
    <mergeCell ref="DC171:DD171"/>
    <mergeCell ref="DE171:DF171"/>
    <mergeCell ref="DG171:DH171"/>
    <mergeCell ref="DI171:DJ171"/>
    <mergeCell ref="DK171:DL171"/>
    <mergeCell ref="DM171:DN171"/>
    <mergeCell ref="CW172:CX172"/>
    <mergeCell ref="CY172:CZ172"/>
    <mergeCell ref="DA172:DB172"/>
    <mergeCell ref="DC172:DD172"/>
    <mergeCell ref="DE172:DF172"/>
    <mergeCell ref="DG172:DH172"/>
    <mergeCell ref="DI172:DJ172"/>
    <mergeCell ref="DK172:DL172"/>
    <mergeCell ref="DM172:DN172"/>
    <mergeCell ref="CW173:CX173"/>
    <mergeCell ref="CY173:CZ173"/>
    <mergeCell ref="DA173:DB173"/>
    <mergeCell ref="DC173:DD173"/>
    <mergeCell ref="DE173:DF173"/>
    <mergeCell ref="DG173:DH173"/>
    <mergeCell ref="DI173:DJ173"/>
    <mergeCell ref="DK173:DL173"/>
    <mergeCell ref="DM173:DN173"/>
    <mergeCell ref="CW174:CX174"/>
    <mergeCell ref="CY174:CZ174"/>
    <mergeCell ref="DA174:DB174"/>
    <mergeCell ref="DC174:DD174"/>
    <mergeCell ref="DE174:DF174"/>
    <mergeCell ref="DG174:DH174"/>
    <mergeCell ref="DI174:DJ174"/>
    <mergeCell ref="DK174:DL174"/>
    <mergeCell ref="DM174:DN174"/>
    <mergeCell ref="CW175:CX175"/>
    <mergeCell ref="CY175:CZ175"/>
    <mergeCell ref="DA175:DB175"/>
    <mergeCell ref="DC175:DD175"/>
    <mergeCell ref="DE175:DF175"/>
    <mergeCell ref="DG175:DH175"/>
    <mergeCell ref="DI175:DJ175"/>
    <mergeCell ref="DK175:DL175"/>
    <mergeCell ref="DM175:DN175"/>
    <mergeCell ref="CW176:CX176"/>
    <mergeCell ref="CY176:CZ176"/>
    <mergeCell ref="DA176:DB176"/>
    <mergeCell ref="DC176:DD176"/>
    <mergeCell ref="DE176:DF176"/>
    <mergeCell ref="DG176:DH176"/>
    <mergeCell ref="DI176:DJ176"/>
    <mergeCell ref="DK176:DL176"/>
    <mergeCell ref="DM176:DN176"/>
    <mergeCell ref="CW177:CX177"/>
    <mergeCell ref="CY177:CZ177"/>
    <mergeCell ref="DA177:DB177"/>
    <mergeCell ref="DC177:DD177"/>
    <mergeCell ref="DE177:DF177"/>
    <mergeCell ref="DG177:DH177"/>
    <mergeCell ref="DI177:DJ177"/>
    <mergeCell ref="DK177:DL177"/>
    <mergeCell ref="DM177:DN177"/>
    <mergeCell ref="CW178:CX178"/>
    <mergeCell ref="CY178:CZ178"/>
    <mergeCell ref="DA178:DB178"/>
    <mergeCell ref="DC178:DD178"/>
    <mergeCell ref="DE178:DF178"/>
    <mergeCell ref="DG178:DH178"/>
    <mergeCell ref="DI178:DJ178"/>
    <mergeCell ref="DK178:DL178"/>
    <mergeCell ref="DM178:DN178"/>
    <mergeCell ref="CW181:CX181"/>
    <mergeCell ref="CY181:CZ181"/>
    <mergeCell ref="DA181:DB181"/>
    <mergeCell ref="DC181:DD181"/>
    <mergeCell ref="DE181:DF181"/>
    <mergeCell ref="DG181:DH181"/>
    <mergeCell ref="DI181:DJ181"/>
    <mergeCell ref="DK181:DL181"/>
    <mergeCell ref="DM181:DN181"/>
    <mergeCell ref="CW179:CX179"/>
    <mergeCell ref="CY179:CZ179"/>
    <mergeCell ref="DA179:DB179"/>
    <mergeCell ref="DC179:DD179"/>
    <mergeCell ref="DE179:DF179"/>
    <mergeCell ref="DG179:DH179"/>
    <mergeCell ref="DI179:DJ179"/>
    <mergeCell ref="DK179:DL179"/>
    <mergeCell ref="DM179:DN179"/>
    <mergeCell ref="CW180:CX180"/>
    <mergeCell ref="CY180:CZ180"/>
    <mergeCell ref="DA180:DB180"/>
    <mergeCell ref="DC180:DD180"/>
    <mergeCell ref="DE180:DF180"/>
    <mergeCell ref="DG180:DH180"/>
    <mergeCell ref="DI180:DJ180"/>
    <mergeCell ref="DK180:DL180"/>
    <mergeCell ref="DM180:DN180"/>
  </mergeCells>
  <conditionalFormatting sqref="F7">
    <cfRule type="notContainsBlanks" dxfId="218" priority="6">
      <formula>LEN(TRIM(F7))&gt;0</formula>
    </cfRule>
  </conditionalFormatting>
  <conditionalFormatting sqref="F26:S26">
    <cfRule type="expression" dxfId="217" priority="88">
      <formula>$N$25&lt;&gt;"Sim"</formula>
    </cfRule>
  </conditionalFormatting>
  <conditionalFormatting sqref="F72:BE106">
    <cfRule type="expression" dxfId="212" priority="11">
      <formula>$N$71=""</formula>
    </cfRule>
  </conditionalFormatting>
  <conditionalFormatting sqref="F111:BE145">
    <cfRule type="expression" dxfId="211" priority="20">
      <formula>$N$110=""</formula>
    </cfRule>
  </conditionalFormatting>
  <conditionalFormatting sqref="F150:BE184">
    <cfRule type="expression" dxfId="210" priority="90">
      <formula>$N$149=""</formula>
    </cfRule>
  </conditionalFormatting>
  <conditionalFormatting sqref="M12:M15">
    <cfRule type="expression" dxfId="201" priority="226">
      <formula>N12&lt;&gt;""</formula>
    </cfRule>
  </conditionalFormatting>
  <conditionalFormatting sqref="M18">
    <cfRule type="expression" dxfId="200" priority="223">
      <formula>N18&lt;&gt;""</formula>
    </cfRule>
  </conditionalFormatting>
  <conditionalFormatting sqref="M20:M21 M25">
    <cfRule type="expression" dxfId="199" priority="222">
      <formula>N20&lt;&gt;""</formula>
    </cfRule>
  </conditionalFormatting>
  <conditionalFormatting sqref="M30">
    <cfRule type="expression" dxfId="198" priority="89">
      <formula>$N$30&lt;&gt;""</formula>
    </cfRule>
  </conditionalFormatting>
  <conditionalFormatting sqref="M71:M75">
    <cfRule type="expression" dxfId="197" priority="141">
      <formula>N71&lt;&gt;""</formula>
    </cfRule>
  </conditionalFormatting>
  <conditionalFormatting sqref="M110:M114">
    <cfRule type="expression" dxfId="196" priority="132">
      <formula>N110&lt;&gt;""</formula>
    </cfRule>
  </conditionalFormatting>
  <conditionalFormatting sqref="M150:M153">
    <cfRule type="expression" dxfId="195" priority="124">
      <formula>N150&lt;&gt;""</formula>
    </cfRule>
  </conditionalFormatting>
  <conditionalFormatting sqref="M202">
    <cfRule type="expression" dxfId="193" priority="112">
      <formula>$Q202&lt;&gt;""</formula>
    </cfRule>
  </conditionalFormatting>
  <conditionalFormatting sqref="M203">
    <cfRule type="expression" dxfId="192" priority="107">
      <formula>$Q$203&lt;&gt;""</formula>
    </cfRule>
    <cfRule type="expression" dxfId="191" priority="106">
      <formula>$N$110=""</formula>
    </cfRule>
  </conditionalFormatting>
  <conditionalFormatting sqref="M204">
    <cfRule type="expression" dxfId="190" priority="105">
      <formula>$N$149=""</formula>
    </cfRule>
    <cfRule type="expression" dxfId="189" priority="109">
      <formula>$Q$204&lt;&gt;""</formula>
    </cfRule>
  </conditionalFormatting>
  <conditionalFormatting sqref="M206">
    <cfRule type="expression" dxfId="188" priority="104">
      <formula>N206&lt;&gt;""</formula>
    </cfRule>
  </conditionalFormatting>
  <conditionalFormatting sqref="N202:AM202">
    <cfRule type="expression" dxfId="183" priority="111">
      <formula>$N$71=""</formula>
    </cfRule>
  </conditionalFormatting>
  <conditionalFormatting sqref="N203:AM203">
    <cfRule type="expression" dxfId="182" priority="108">
      <formula>$N$110=""</formula>
    </cfRule>
  </conditionalFormatting>
  <conditionalFormatting sqref="N204:AM204">
    <cfRule type="expression" dxfId="181" priority="110">
      <formula>$N$149=""</formula>
    </cfRule>
  </conditionalFormatting>
  <conditionalFormatting sqref="Q17">
    <cfRule type="expression" dxfId="176" priority="147">
      <formula>R17&lt;&gt;""</formula>
    </cfRule>
  </conditionalFormatting>
  <conditionalFormatting sqref="Q92:BD103">
    <cfRule type="expression" dxfId="175" priority="37">
      <formula>CA92=1</formula>
    </cfRule>
  </conditionalFormatting>
  <conditionalFormatting sqref="Q105:BD105">
    <cfRule type="expression" dxfId="174" priority="12">
      <formula>NOT(ISERROR(SEARCH("Não"&amp;CHAR(10),Q105,1)))</formula>
    </cfRule>
  </conditionalFormatting>
  <conditionalFormatting sqref="Q131:BD142">
    <cfRule type="expression" dxfId="173" priority="17">
      <formula>CA131=1</formula>
    </cfRule>
  </conditionalFormatting>
  <conditionalFormatting sqref="Q144:BD144">
    <cfRule type="expression" dxfId="172" priority="10">
      <formula>NOT(ISERROR(SEARCH("Não"&amp;CHAR(10),Q144,1)))</formula>
    </cfRule>
  </conditionalFormatting>
  <conditionalFormatting sqref="Q170:BD181">
    <cfRule type="expression" dxfId="171" priority="14">
      <formula>CA170=1</formula>
    </cfRule>
  </conditionalFormatting>
  <conditionalFormatting sqref="Q183:BD183">
    <cfRule type="expression" dxfId="170" priority="8">
      <formula>NOT(ISERROR(SEARCH("Não"&amp;CHAR(10),Q183,1)))</formula>
    </cfRule>
  </conditionalFormatting>
  <conditionalFormatting sqref="Y75:BD75">
    <cfRule type="expression" dxfId="146" priority="175">
      <formula>$N76&lt;&gt;"Sim"</formula>
    </cfRule>
  </conditionalFormatting>
  <conditionalFormatting sqref="Y114:BD114">
    <cfRule type="expression" dxfId="145" priority="168">
      <formula>$N115&lt;&gt;"Sim"</formula>
    </cfRule>
  </conditionalFormatting>
  <conditionalFormatting sqref="Y153:BD153">
    <cfRule type="expression" dxfId="144" priority="167">
      <formula>$N154&lt;&gt;"Sim"</formula>
    </cfRule>
  </conditionalFormatting>
  <conditionalFormatting sqref="Z201:AM201">
    <cfRule type="expression" dxfId="139" priority="149">
      <formula>COUNTIF($V202:$Y204,"sim")=0</formula>
    </cfRule>
  </conditionalFormatting>
  <conditionalFormatting sqref="Z202:AM204">
    <cfRule type="expression" dxfId="138" priority="148">
      <formula>$V202&lt;&gt;"sim"</formula>
    </cfRule>
  </conditionalFormatting>
  <conditionalFormatting sqref="AC17">
    <cfRule type="expression" dxfId="133" priority="224">
      <formula>AD17&lt;&gt;""</formula>
    </cfRule>
  </conditionalFormatting>
  <conditionalFormatting sqref="AE12">
    <cfRule type="expression" dxfId="127" priority="225">
      <formula>AF12&lt;&gt;""</formula>
    </cfRule>
  </conditionalFormatting>
  <conditionalFormatting sqref="CV91:CV103">
    <cfRule type="expression" dxfId="122" priority="95">
      <formula>$N$71=""</formula>
    </cfRule>
  </conditionalFormatting>
  <conditionalFormatting sqref="CV130:CV142">
    <cfRule type="expression" dxfId="121" priority="94">
      <formula>$N$71=""</formula>
    </cfRule>
  </conditionalFormatting>
  <conditionalFormatting sqref="CV169:CV181">
    <cfRule type="expression" dxfId="120" priority="93">
      <formula>$N$71=""</formula>
    </cfRule>
  </conditionalFormatting>
  <dataValidations count="15">
    <dataValidation allowBlank="1" showInputMessage="1" showErrorMessage="1" promptTitle="Ajuda" prompt="A conclusão deverá ser conforme está escrito no relatório do estudo._x000a_" sqref="F206:L206" xr:uid="{9A6AF9D4-025D-410E-A4C6-BBC48AD5A88B}"/>
    <dataValidation allowBlank="1" showInputMessage="1" showErrorMessage="1" promptTitle="Ajuda" prompt="Informar apenas se o(s) desvio(s) afetam de algum modo a interpretação dos resultados" sqref="AI188:AM188" xr:uid="{6897281C-209E-4DDF-B613-DECAE5D1C95B}"/>
    <dataValidation allowBlank="1" showInputMessage="1" showErrorMessage="1" promptTitle="Ajuda" prompt="Incluir a justificativa do porquê ocorreu desvio e qual é interpretação dos seus impactos frente aos resultados do estudos." sqref="Z188:AH188" xr:uid="{02F94794-2DA5-49B4-BE50-EADFDDF53A73}"/>
    <dataValidation allowBlank="1" showInputMessage="1" showErrorMessage="1" promptTitle="Ajuda" prompt="Descrição sucinta do desvio ocorrido._x000a__x000a_Caso tenha ocorrido mais do que quatro desvios, os demais deverão estar descritos na última linha e separados por ponto e vírgula" sqref="S188:Y188" xr:uid="{FFA2AE55-B737-4A97-9A07-5ED0F55F115B}"/>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188:L192" xr:uid="{9D19F33B-DA52-4677-B8DC-38AB226858A2}"/>
    <dataValidation allowBlank="1" showInputMessage="1" showErrorMessage="1" promptTitle="Ajuda" prompt="Colunas com o símbolo de menos &quot;-&quot; correspondem a cepas testadas sem a fração S9._x000a__x000a_Colunas com o símbolo de mais &quot;+&quot; correspondem a cepas testadas com a fração S9." sqref="M130:P130 M169:P169 M91:P91 F56:I56" xr:uid="{10AC6EDE-D1DD-432D-87E9-703BC821BD68}"/>
    <dataValidation allowBlank="1" showInputMessage="1" showErrorMessage="1" promptTitle="Ajuda" prompt="O método informado para os controles históricos deve corresponder ao(s) método(s) utilizado(s) no estudo." sqref="N31" xr:uid="{D88010B9-E9A5-49ED-8B4A-F2B46FAE3735}"/>
    <dataValidation allowBlank="1" showInputMessage="1" showErrorMessage="1" promptTitle="Ajuda" prompt="1. Preencher a faixa de variação dos controles com os valores mínimos e máximos encontrados. Não deve ser utilizada a média._x000a__x000a_2. Quando o valor do controle histórico for apresentado como &quot;&gt;X&quot; preencher apenas no campo destinado ao valor mínimo. " sqref="F30:L30" xr:uid="{6B479176-E574-4D76-9944-CD72D835D19D}"/>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6:M16" xr:uid="{AF937BC5-2A0E-4B5A-9D19-297D4355968E}"/>
    <dataValidation allowBlank="1" showInputMessage="1" showErrorMessage="1" promptTitle="Ajuda" prompt="Informar nome e estado/país do laboratório executor" sqref="F13:L13" xr:uid="{9D0CFBEB-FEDB-4FFD-BD42-9AA9BCE38802}"/>
    <dataValidation allowBlank="1" showInputMessage="1" showErrorMessage="1" promptTitle="Ajuda" prompt="Código gerado pelo laboratório executor" sqref="AA12:AD12" xr:uid="{7878A867-4632-4902-9F9F-D4C144C3A8E9}"/>
    <dataValidation allowBlank="1" showInputMessage="1" showErrorMessage="1" promptTitle="Ajuda" prompt="Data de início da exposição dos animais à substância teste" sqref="N17:P17" xr:uid="{DD4EB4FD-85AA-41F3-B5EC-16300F241497}"/>
    <dataValidation type="whole" operator="greaterThanOrEqual" allowBlank="1" showInputMessage="1" showErrorMessage="1" errorTitle="Valor inválido" error="Os valores devem ser somente em números inteiros. _x000a_Lembre-se: para resultados como &gt;X, preencher somente o campo de Mínimo" sqref="AG37:AV46 J37:Y46" xr:uid="{8B64450A-E2A0-466D-B7D3-8A4738B1F0C6}">
      <formula1>0</formula1>
    </dataValidation>
    <dataValidation type="list" allowBlank="1" showInputMessage="1" showErrorMessage="1" errorTitle="Código inválido" error="Preencher os dados do certificado na guia &quot;Certificados&quot; antes de atribuí-lo a algum estudo" sqref="N18:S18" xr:uid="{BF195323-288B-45AB-84DE-18E9EFB06BC4}">
      <formula1>src_certificados</formula1>
    </dataValidation>
    <dataValidation type="custom" allowBlank="1" showInputMessage="1" showErrorMessage="1" errorTitle="Data inválida" error="A data de conclusão não pode ser anterior a data de início." sqref="AD17:AJ17" xr:uid="{14E91C54-9D4B-4360-A20C-2B818D1EE2E7}">
      <formula1>R17&lt;=AD17</formula1>
    </dataValidation>
  </dataValidations>
  <hyperlinks>
    <hyperlink ref="F7" location="Alertas!G2" display="Alertas!G2" xr:uid="{64EE834A-6E3D-4D3B-843E-08D692072895}"/>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optn_desvios_ames1">
              <controlPr defaultSize="0" autoFill="0" autoLine="0" autoPict="0">
                <anchor moveWithCells="1">
                  <from>
                    <xdr:col>13</xdr:col>
                    <xdr:colOff>28575</xdr:colOff>
                    <xdr:row>187</xdr:row>
                    <xdr:rowOff>352425</xdr:rowOff>
                  </from>
                  <to>
                    <xdr:col>17</xdr:col>
                    <xdr:colOff>257175</xdr:colOff>
                    <xdr:row>189</xdr:row>
                    <xdr:rowOff>28575</xdr:rowOff>
                  </to>
                </anchor>
              </controlPr>
            </control>
          </mc:Choice>
        </mc:AlternateContent>
        <mc:AlternateContent xmlns:mc="http://schemas.openxmlformats.org/markup-compatibility/2006">
          <mc:Choice Requires="x14">
            <control shapeId="64514" r:id="rId5" name="optn_desvios_ames2">
              <controlPr defaultSize="0" autoFill="0" autoLine="0" autoPict="0">
                <anchor moveWithCells="1">
                  <from>
                    <xdr:col>13</xdr:col>
                    <xdr:colOff>28575</xdr:colOff>
                    <xdr:row>189</xdr:row>
                    <xdr:rowOff>314325</xdr:rowOff>
                  </from>
                  <to>
                    <xdr:col>17</xdr:col>
                    <xdr:colOff>257175</xdr:colOff>
                    <xdr:row>191</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7" id="{7238A869-E81A-4EC9-B07F-0F6B9099C3F9}">
            <xm:f>NOT(OR($N$30=Tabelas_fonte!$AO$25,$N$30=Tabelas_fonte!$AO$27))</xm:f>
            <x14:dxf>
              <font>
                <color theme="0"/>
              </font>
              <fill>
                <patternFill>
                  <bgColor theme="0"/>
                </patternFill>
              </fill>
              <border>
                <left/>
                <right/>
                <top/>
                <bottom/>
                <vertical/>
                <horizontal/>
              </border>
            </x14:dxf>
          </x14:cfRule>
          <xm:sqref>F33:Y46</xm:sqref>
        </x14:conditionalFormatting>
        <x14:conditionalFormatting xmlns:xm="http://schemas.microsoft.com/office/excel/2006/main">
          <x14:cfRule type="expression" priority="120" id="{CEC0BC8A-FFEB-4D0F-AAC2-9CB65A107C75}">
            <xm:f>IF(NOT(ISERROR(SEARCH("definitivo",$N71,1))), IF($N72=Tabelas_fonte!$AO$44,TRUE,FALSE),TRUE)</xm:f>
            <x14:dxf>
              <font>
                <color theme="0"/>
              </font>
              <fill>
                <patternFill>
                  <bgColor theme="0"/>
                </patternFill>
              </fill>
              <border>
                <left/>
                <right/>
                <vertical/>
                <horizontal/>
              </border>
            </x14:dxf>
          </x14:cfRule>
          <xm:sqref>F73:AM73</xm:sqref>
        </x14:conditionalFormatting>
        <x14:conditionalFormatting xmlns:xm="http://schemas.microsoft.com/office/excel/2006/main">
          <x14:cfRule type="expression" priority="119" id="{74E285E3-3838-4F7D-B5CF-A8271AC75681}">
            <xm:f>IF(NOT(ISERROR(SEARCH("definitivo",$N110,1))), IF($N111=Tabelas_fonte!$AO$44,TRUE,FALSE),TRUE)</xm:f>
            <x14:dxf>
              <font>
                <color theme="0"/>
              </font>
              <fill>
                <patternFill>
                  <bgColor theme="0"/>
                </patternFill>
              </fill>
              <border>
                <left/>
                <right/>
                <vertical/>
                <horizontal/>
              </border>
            </x14:dxf>
          </x14:cfRule>
          <xm:sqref>F112:AM112</xm:sqref>
        </x14:conditionalFormatting>
        <x14:conditionalFormatting xmlns:xm="http://schemas.microsoft.com/office/excel/2006/main">
          <x14:cfRule type="expression" priority="118" id="{19FF3226-58F5-44ED-A376-6F8E91DAD397}">
            <xm:f>IF(NOT(ISERROR(SEARCH("definitivo",$N149,1))), IF($N150=Tabelas_fonte!$AO$44,TRUE,FALSE),TRUE)</xm:f>
            <x14:dxf>
              <font>
                <color theme="0"/>
              </font>
              <fill>
                <patternFill>
                  <bgColor theme="0"/>
                </patternFill>
              </fill>
              <border>
                <left/>
                <right/>
                <vertical/>
                <horizontal/>
              </border>
            </x14:dxf>
          </x14:cfRule>
          <xm:sqref>F151:AM151</xm:sqref>
        </x14:conditionalFormatting>
        <x14:conditionalFormatting xmlns:xm="http://schemas.microsoft.com/office/excel/2006/main">
          <x14:cfRule type="expression" priority="85" id="{BCE9D3A5-7416-4C64-9A20-C82DE724D24D}">
            <xm:f>'Calculos(2)'!$BP414=2</xm:f>
            <x14:dxf>
              <fill>
                <patternFill>
                  <bgColor theme="5" tint="0.39994506668294322"/>
                </patternFill>
              </fill>
            </x14:dxf>
          </x14:cfRule>
          <x14:cfRule type="expression" priority="86" id="{10B41436-4440-44CC-A52E-8299B3FB7F57}">
            <xm:f>'Calculos(2)'!$BP414=1</xm:f>
            <x14:dxf>
              <fill>
                <patternFill>
                  <bgColor theme="7" tint="0.79998168889431442"/>
                </patternFill>
              </fill>
            </x14:dxf>
          </x14:cfRule>
          <x14:cfRule type="expression" priority="87" id="{57938117-4C96-49FE-B446-803C9C53B807}">
            <xm:f>'Calculos(2)'!$BP414=0</xm:f>
            <x14:dxf>
              <fill>
                <patternFill>
                  <bgColor theme="9" tint="0.79998168889431442"/>
                </patternFill>
              </fill>
            </x14:dxf>
          </x14:cfRule>
          <x14:cfRule type="expression" priority="84" id="{52AC69C5-3BE9-4DB1-9E2C-CFBF9B0F57BC}">
            <xm:f>'Calculos(2)'!$BP414=3</xm:f>
            <x14:dxf>
              <font>
                <color theme="0"/>
              </font>
              <fill>
                <patternFill>
                  <bgColor theme="0" tint="-0.499984740745262"/>
                </patternFill>
              </fill>
            </x14:dxf>
          </x14:cfRule>
          <xm:sqref>J57:K66</xm:sqref>
        </x14:conditionalFormatting>
        <x14:conditionalFormatting xmlns:xm="http://schemas.microsoft.com/office/excel/2006/main">
          <x14:cfRule type="expression" priority="79" id="{0A842CC1-DDFC-4C11-9EE8-3272A7110F9F}">
            <xm:f>'Calculos(2)'!$BQ414=0</xm:f>
            <x14:dxf>
              <fill>
                <patternFill>
                  <bgColor theme="9" tint="0.79998168889431442"/>
                </patternFill>
              </fill>
            </x14:dxf>
          </x14:cfRule>
          <x14:cfRule type="expression" priority="78" id="{259F6D52-1877-4E96-9344-37D5476D42AB}">
            <xm:f>'Calculos(2)'!$BQ414=1</xm:f>
            <x14:dxf>
              <fill>
                <patternFill>
                  <bgColor theme="7" tint="0.79998168889431442"/>
                </patternFill>
              </fill>
            </x14:dxf>
          </x14:cfRule>
          <x14:cfRule type="expression" priority="77" id="{7468F65C-1829-4DC1-B2AE-9B1291A8B11B}">
            <xm:f>'Calculos(2)'!$BQ414=2</xm:f>
            <x14:dxf>
              <fill>
                <patternFill>
                  <bgColor theme="5" tint="0.39994506668294322"/>
                </patternFill>
              </fill>
            </x14:dxf>
          </x14:cfRule>
          <x14:cfRule type="expression" priority="76" id="{07D6C353-69D6-4D6D-83B5-6C59E2B182C3}">
            <xm:f>'Calculos(2)'!$BQ414=3</xm:f>
            <x14:dxf>
              <font>
                <color theme="0"/>
              </font>
              <fill>
                <patternFill>
                  <bgColor theme="0" tint="-0.499984740745262"/>
                </patternFill>
              </fill>
            </x14:dxf>
          </x14:cfRule>
          <xm:sqref>L57:L66</xm:sqref>
        </x14:conditionalFormatting>
        <x14:conditionalFormatting xmlns:xm="http://schemas.microsoft.com/office/excel/2006/main">
          <x14:cfRule type="expression" priority="114" id="{6C256926-7C14-4DBD-A07A-835502AA5371}">
            <xm:f>Respostas_usuario!$K$19&lt;&gt;0</xm:f>
            <x14:dxf>
              <font>
                <b/>
                <i val="0"/>
                <color rgb="FF00B050"/>
              </font>
            </x14:dxf>
          </x14:cfRule>
          <xm:sqref>M188:M192</xm:sqref>
        </x14:conditionalFormatting>
        <x14:conditionalFormatting xmlns:xm="http://schemas.microsoft.com/office/excel/2006/main">
          <x14:cfRule type="expression" priority="68" id="{DF5680EE-A54B-4C11-B959-BD4D618D14E2}">
            <xm:f>'Calculos(2)'!$CA414=3</xm:f>
            <x14:dxf>
              <font>
                <color theme="0"/>
              </font>
              <fill>
                <patternFill>
                  <bgColor theme="0" tint="-0.499984740745262"/>
                </patternFill>
              </fill>
            </x14:dxf>
          </x14:cfRule>
          <x14:cfRule type="expression" priority="69" id="{92B60CF1-3CAC-479E-8FE9-011005A7C1CD}">
            <xm:f>'Calculos(2)'!$CA414=2</xm:f>
            <x14:dxf>
              <fill>
                <patternFill>
                  <bgColor theme="5" tint="0.39994506668294322"/>
                </patternFill>
              </fill>
            </x14:dxf>
          </x14:cfRule>
          <x14:cfRule type="expression" priority="70" id="{6DF8777C-589B-46E6-8DC3-80A5A9BF2DC8}">
            <xm:f>'Calculos(2)'!$CA414=1</xm:f>
            <x14:dxf>
              <fill>
                <patternFill>
                  <bgColor theme="7" tint="0.79998168889431442"/>
                </patternFill>
              </fill>
            </x14:dxf>
          </x14:cfRule>
          <x14:cfRule type="expression" priority="71" id="{F264829C-624F-4F08-96D7-3CA325334F87}">
            <xm:f>'Calculos(2)'!$CA414=0</xm:f>
            <x14:dxf>
              <fill>
                <patternFill>
                  <bgColor theme="9" tint="0.79998168889431442"/>
                </patternFill>
              </fill>
            </x14:dxf>
          </x14:cfRule>
          <xm:sqref>N57:N66</xm:sqref>
        </x14:conditionalFormatting>
        <x14:conditionalFormatting xmlns:xm="http://schemas.microsoft.com/office/excel/2006/main">
          <x14:cfRule type="expression" priority="60" id="{C57EBFCF-6E8C-4F7B-B0AE-1BF28E63ABE8}">
            <xm:f>'Calculos(2)'!$CB414=3</xm:f>
            <x14:dxf>
              <font>
                <color theme="0"/>
              </font>
              <fill>
                <patternFill>
                  <bgColor theme="0" tint="-0.499984740745262"/>
                </patternFill>
              </fill>
            </x14:dxf>
          </x14:cfRule>
          <x14:cfRule type="expression" priority="61" id="{79236676-AAA7-4FE5-828F-6FAE687C7EC2}">
            <xm:f>'Calculos(2)'!$CB414=2</xm:f>
            <x14:dxf>
              <fill>
                <patternFill>
                  <bgColor theme="5" tint="0.39994506668294322"/>
                </patternFill>
              </fill>
            </x14:dxf>
          </x14:cfRule>
          <x14:cfRule type="expression" priority="62" id="{FD8F1007-8CB6-4051-B035-C4AE32CA949C}">
            <xm:f>'Calculos(2)'!$CB414=1</xm:f>
            <x14:dxf>
              <fill>
                <patternFill>
                  <bgColor theme="7" tint="0.79998168889431442"/>
                </patternFill>
              </fill>
            </x14:dxf>
          </x14:cfRule>
          <x14:cfRule type="expression" priority="63" id="{B7804EBC-B4F5-431E-A411-D3A4669601A6}">
            <xm:f>'Calculos(2)'!$CB414=0</xm:f>
            <x14:dxf>
              <fill>
                <patternFill>
                  <bgColor theme="9" tint="0.79998168889431442"/>
                </patternFill>
              </fill>
            </x14:dxf>
          </x14:cfRule>
          <xm:sqref>P57:P66</xm:sqref>
        </x14:conditionalFormatting>
        <x14:conditionalFormatting xmlns:xm="http://schemas.microsoft.com/office/excel/2006/main">
          <x14:cfRule type="expression" priority="80" id="{8C970DA3-BBAF-43DB-98EB-BE81B2438AD9}">
            <xm:f>'Calculos(2)'!$BP430=3</xm:f>
            <x14:dxf>
              <font>
                <color theme="0"/>
              </font>
              <fill>
                <patternFill patternType="solid">
                  <bgColor theme="0" tint="-0.499984740745262"/>
                </patternFill>
              </fill>
            </x14:dxf>
          </x14:cfRule>
          <x14:cfRule type="expression" priority="81" id="{EAD5B126-F3D2-42EE-AC67-CE14552EADBC}">
            <xm:f>'Calculos(2)'!$BP430=2</xm:f>
            <x14:dxf>
              <fill>
                <patternFill>
                  <bgColor theme="5" tint="0.39994506668294322"/>
                </patternFill>
              </fill>
            </x14:dxf>
          </x14:cfRule>
          <x14:cfRule type="expression" priority="82" id="{1F787D7A-72A6-459C-8D5C-4AAE6B60B441}">
            <xm:f>'Calculos(2)'!$BP430=1</xm:f>
            <x14:dxf>
              <fill>
                <patternFill>
                  <bgColor theme="7" tint="0.79998168889431442"/>
                </patternFill>
              </fill>
            </x14:dxf>
          </x14:cfRule>
          <x14:cfRule type="expression" priority="83" id="{29E24191-9378-497E-B327-0ADD5EA05E2B}">
            <xm:f>'Calculos(2)'!$BP430=0</xm:f>
            <x14:dxf>
              <fill>
                <patternFill>
                  <bgColor theme="9" tint="0.79998168889431442"/>
                </patternFill>
              </fill>
            </x14:dxf>
          </x14:cfRule>
          <xm:sqref>R57:R66</xm:sqref>
        </x14:conditionalFormatting>
        <x14:conditionalFormatting xmlns:xm="http://schemas.microsoft.com/office/excel/2006/main">
          <x14:cfRule type="expression" priority="152" id="{7DE4BA91-7FB8-4D47-9B1D-10853F157712}">
            <xm:f>Respostas_usuario!$K$19&lt;&gt;2</xm:f>
            <x14:dxf>
              <font>
                <color theme="0"/>
              </font>
              <fill>
                <patternFill>
                  <bgColor theme="0"/>
                </patternFill>
              </fill>
              <border>
                <right/>
                <top/>
                <bottom/>
                <vertical/>
                <horizontal/>
              </border>
            </x14:dxf>
          </x14:cfRule>
          <xm:sqref>S188:AM192</xm:sqref>
        </x14:conditionalFormatting>
        <x14:conditionalFormatting xmlns:xm="http://schemas.microsoft.com/office/excel/2006/main">
          <x14:cfRule type="expression" priority="75" id="{081C1C87-62C2-4A94-AF2F-27A81B99ACDD}">
            <xm:f>'Calculos(2)'!$BQ430=0</xm:f>
            <x14:dxf>
              <fill>
                <patternFill>
                  <bgColor theme="9" tint="0.79998168889431442"/>
                </patternFill>
              </fill>
            </x14:dxf>
          </x14:cfRule>
          <x14:cfRule type="expression" priority="74" id="{6AAADB14-7575-4E2C-941C-CE3E0DF5141F}">
            <xm:f>'Calculos(2)'!$BQ430=1</xm:f>
            <x14:dxf>
              <fill>
                <patternFill>
                  <bgColor theme="7" tint="0.79998168889431442"/>
                </patternFill>
              </fill>
            </x14:dxf>
          </x14:cfRule>
          <x14:cfRule type="expression" priority="73" id="{62CFD5B3-B3B2-4531-8FF2-B236FB1CB0F3}">
            <xm:f>'Calculos(2)'!$BQ430=2</xm:f>
            <x14:dxf>
              <fill>
                <patternFill>
                  <bgColor theme="5" tint="0.39994506668294322"/>
                </patternFill>
              </fill>
            </x14:dxf>
          </x14:cfRule>
          <x14:cfRule type="expression" priority="72" id="{CF263D94-C54B-4E7A-8DF6-8D4BFF4575D5}">
            <xm:f>'Calculos(2)'!$BQ430=3</xm:f>
            <x14:dxf>
              <font>
                <color theme="0"/>
              </font>
              <fill>
                <patternFill>
                  <bgColor theme="0" tint="-0.499984740745262"/>
                </patternFill>
              </fill>
            </x14:dxf>
          </x14:cfRule>
          <xm:sqref>T57:T66</xm:sqref>
        </x14:conditionalFormatting>
        <x14:conditionalFormatting xmlns:xm="http://schemas.microsoft.com/office/excel/2006/main">
          <x14:cfRule type="expression" priority="178" id="{164E57F3-D255-4A6C-9AF6-D388C300B9C7}">
            <xm:f>IF(NOT(ISERROR(SEARCH("definitivo",$N71,1))), IF($N72=Tabelas_fonte!$AO$44,TRUE,FALSE),TRUE)</xm:f>
            <x14:dxf>
              <border>
                <bottom/>
                <vertical/>
                <horizontal/>
              </border>
            </x14:dxf>
          </x14:cfRule>
          <xm:sqref>T72:AM72</xm:sqref>
        </x14:conditionalFormatting>
        <x14:conditionalFormatting xmlns:xm="http://schemas.microsoft.com/office/excel/2006/main">
          <x14:cfRule type="expression" priority="181" id="{8F23CE91-2279-409E-95A8-7FB23BBB2BCD}">
            <xm:f>IF(NOT(ISERROR(SEARCH("definitivo",$N110,1))), IF($N111=Tabelas_fonte!$AO$44,TRUE,FALSE),TRUE)</xm:f>
            <x14:dxf>
              <border>
                <bottom/>
                <vertical/>
                <horizontal/>
              </border>
            </x14:dxf>
          </x14:cfRule>
          <xm:sqref>T111:AM111</xm:sqref>
        </x14:conditionalFormatting>
        <x14:conditionalFormatting xmlns:xm="http://schemas.microsoft.com/office/excel/2006/main">
          <x14:cfRule type="expression" priority="184" id="{6C4B3EC0-861F-4ADA-B4CB-CE41231BCE0F}">
            <xm:f>IF(NOT(ISERROR(SEARCH("definitivo",$N149,1))), IF($N150=Tabelas_fonte!$AO$44,TRUE,FALSE),TRUE)</xm:f>
            <x14:dxf>
              <border>
                <bottom/>
                <vertical/>
                <horizontal/>
              </border>
            </x14:dxf>
          </x14:cfRule>
          <xm:sqref>T150:AM150</xm:sqref>
        </x14:conditionalFormatting>
        <x14:conditionalFormatting xmlns:xm="http://schemas.microsoft.com/office/excel/2006/main">
          <x14:cfRule type="expression" priority="59" id="{B2F02CAD-ADAF-43C6-A3AB-20C011FE7E49}">
            <xm:f>'Calculos(2)'!$CA430=0</xm:f>
            <x14:dxf>
              <fill>
                <patternFill>
                  <bgColor theme="9" tint="0.79998168889431442"/>
                </patternFill>
              </fill>
            </x14:dxf>
          </x14:cfRule>
          <x14:cfRule type="expression" priority="58" id="{3AE72AEA-6EB2-46D1-9306-C7C40D101631}">
            <xm:f>'Calculos(2)'!$CA430=1</xm:f>
            <x14:dxf>
              <fill>
                <patternFill>
                  <bgColor theme="7" tint="0.79998168889431442"/>
                </patternFill>
              </fill>
            </x14:dxf>
          </x14:cfRule>
          <x14:cfRule type="expression" priority="57" id="{F606D69B-1202-4C8C-B7FB-5CDA8E91FFFF}">
            <xm:f>'Calculos(2)'!$CA430=2</xm:f>
            <x14:dxf>
              <fill>
                <patternFill>
                  <bgColor theme="5" tint="0.39994506668294322"/>
                </patternFill>
              </fill>
            </x14:dxf>
          </x14:cfRule>
          <x14:cfRule type="expression" priority="56" id="{023B8CE4-E383-4E68-A41A-4123C0FF52E2}">
            <xm:f>'Calculos(2)'!$CA430=3</xm:f>
            <x14:dxf>
              <font>
                <color theme="0"/>
              </font>
              <fill>
                <patternFill>
                  <bgColor theme="0" tint="-0.499984740745262"/>
                </patternFill>
              </fill>
            </x14:dxf>
          </x14:cfRule>
          <xm:sqref>V57:V66</xm:sqref>
        </x14:conditionalFormatting>
        <x14:conditionalFormatting xmlns:xm="http://schemas.microsoft.com/office/excel/2006/main">
          <x14:cfRule type="expression" priority="55" id="{9BD46B1E-CF3D-4204-8530-61BD86E9F2AF}">
            <xm:f>'Calculos(2)'!$CB430=0</xm:f>
            <x14:dxf>
              <fill>
                <patternFill>
                  <bgColor theme="9" tint="0.79998168889431442"/>
                </patternFill>
              </fill>
            </x14:dxf>
          </x14:cfRule>
          <x14:cfRule type="expression" priority="54" id="{20004D63-3D6B-4E56-8AF4-BB3A6FDA1810}">
            <xm:f>'Calculos(2)'!$CB430=1</xm:f>
            <x14:dxf>
              <fill>
                <patternFill>
                  <bgColor theme="7" tint="0.79998168889431442"/>
                </patternFill>
              </fill>
            </x14:dxf>
          </x14:cfRule>
          <x14:cfRule type="expression" priority="53" id="{ED9616C5-722A-47C3-BFFE-8FB97BC71E11}">
            <xm:f>'Calculos(2)'!$CB430=2</xm:f>
            <x14:dxf>
              <fill>
                <patternFill>
                  <bgColor theme="5" tint="0.39994506668294322"/>
                </patternFill>
              </fill>
            </x14:dxf>
          </x14:cfRule>
          <x14:cfRule type="expression" priority="52" id="{A7E34852-E490-40D2-B23A-1F4073F37409}">
            <xm:f>'Calculos(2)'!$CB430=3</xm:f>
            <x14:dxf>
              <font>
                <color theme="0"/>
              </font>
              <fill>
                <patternFill>
                  <bgColor theme="0" tint="-0.499984740745262"/>
                </patternFill>
              </fill>
            </x14:dxf>
          </x14:cfRule>
          <xm:sqref>X57:X66</xm:sqref>
        </x14:conditionalFormatting>
        <x14:conditionalFormatting xmlns:xm="http://schemas.microsoft.com/office/excel/2006/main">
          <x14:cfRule type="expression" priority="180" id="{6DBEA461-6634-4F03-AEF8-BF71CB841B70}">
            <xm:f>IF(NOT(ISERROR(SEARCH("definitivo",$N110,1))), IF($N111=Tabelas_fonte!$AO$44,TRUE,FALSE),TRUE)</xm:f>
            <x14:dxf>
              <border>
                <top/>
                <vertical/>
                <horizontal/>
              </border>
            </x14:dxf>
          </x14:cfRule>
          <xm:sqref>Y113:AM113</xm:sqref>
        </x14:conditionalFormatting>
        <x14:conditionalFormatting xmlns:xm="http://schemas.microsoft.com/office/excel/2006/main">
          <x14:cfRule type="expression" priority="183" id="{55B5309D-E891-4582-ADF1-5682AB068D2B}">
            <xm:f>IF(NOT(ISERROR(SEARCH("definitivo",$N149,1))), IF($N150=Tabelas_fonte!$AO$44,TRUE,FALSE),TRUE)</xm:f>
            <x14:dxf>
              <border>
                <top/>
                <vertical/>
                <horizontal/>
              </border>
            </x14:dxf>
          </x14:cfRule>
          <xm:sqref>Y152:AM152</xm:sqref>
        </x14:conditionalFormatting>
        <x14:conditionalFormatting xmlns:xm="http://schemas.microsoft.com/office/excel/2006/main">
          <x14:cfRule type="expression" priority="177" id="{3D7972BD-7DB5-43D4-ACC5-E915215E6C2F}">
            <xm:f>IF(NOT(ISERROR(SEARCH("definitivo",$N71,1))), IF($N72=Tabelas_fonte!$AO$44,TRUE,FALSE),TRUE)</xm:f>
            <x14:dxf>
              <border>
                <top/>
                <vertical/>
                <horizontal/>
              </border>
            </x14:dxf>
          </x14:cfRule>
          <xm:sqref>Y74:AN74</xm:sqref>
        </x14:conditionalFormatting>
        <x14:conditionalFormatting xmlns:xm="http://schemas.microsoft.com/office/excel/2006/main">
          <x14:cfRule type="expression" priority="42" id="{3724DA7D-878C-475C-8B72-65978FAD489B}">
            <xm:f>'Calculos(2)'!$BP446=0</xm:f>
            <x14:dxf>
              <fill>
                <patternFill>
                  <bgColor theme="9" tint="0.79998168889431442"/>
                </patternFill>
              </fill>
            </x14:dxf>
          </x14:cfRule>
          <x14:cfRule type="expression" priority="40" id="{83FD057B-18C3-4A0B-B2F7-EC13380835E0}">
            <xm:f>'Calculos(2)'!$BP446=2</xm:f>
            <x14:dxf>
              <fill>
                <patternFill>
                  <bgColor theme="5" tint="0.39994506668294322"/>
                </patternFill>
              </fill>
            </x14:dxf>
          </x14:cfRule>
          <x14:cfRule type="expression" priority="39" id="{AAE4B54A-81F2-40B3-9C1D-8B459146B533}">
            <xm:f>'Calculos(2)'!$BP446=3</xm:f>
            <x14:dxf>
              <font>
                <color theme="0"/>
              </font>
              <fill>
                <patternFill>
                  <bgColor theme="0" tint="-0.499984740745262"/>
                </patternFill>
              </fill>
            </x14:dxf>
          </x14:cfRule>
          <x14:cfRule type="expression" priority="41" id="{DA15878E-F423-488B-A538-B4D7FE26038F}">
            <xm:f>'Calculos(2)'!$BP446=1</xm:f>
            <x14:dxf>
              <fill>
                <patternFill>
                  <bgColor theme="7" tint="0.79998168889431442"/>
                </patternFill>
              </fill>
            </x14:dxf>
          </x14:cfRule>
          <xm:sqref>Z57:Z66</xm:sqref>
        </x14:conditionalFormatting>
        <x14:conditionalFormatting xmlns:xm="http://schemas.microsoft.com/office/excel/2006/main">
          <x14:cfRule type="expression" priority="64" id="{D5A6BBF6-B60F-4301-B4BA-1EC2401724E5}">
            <xm:f>'Calculos(2)'!$BQ446=3</xm:f>
            <x14:dxf>
              <font>
                <color theme="0"/>
              </font>
              <fill>
                <patternFill>
                  <bgColor theme="0" tint="-0.499984740745262"/>
                </patternFill>
              </fill>
            </x14:dxf>
          </x14:cfRule>
          <x14:cfRule type="expression" priority="65" id="{338652DB-9DC4-412C-8327-976BFC0393AF}">
            <xm:f>'Calculos(2)'!$BQ446=2</xm:f>
            <x14:dxf>
              <fill>
                <patternFill>
                  <bgColor theme="5" tint="0.39994506668294322"/>
                </patternFill>
              </fill>
            </x14:dxf>
          </x14:cfRule>
          <x14:cfRule type="expression" priority="67" id="{0C9EC3DB-B2E8-475B-92E6-54EA1E4488A5}">
            <xm:f>'Calculos(2)'!$BQ446=0</xm:f>
            <x14:dxf>
              <fill>
                <patternFill>
                  <bgColor theme="9" tint="0.79998168889431442"/>
                </patternFill>
              </fill>
            </x14:dxf>
          </x14:cfRule>
          <x14:cfRule type="expression" priority="66" id="{4EB3762D-876C-4CFD-879F-D7D640C7F23A}">
            <xm:f>'Calculos(2)'!$BQ446=1</xm:f>
            <x14:dxf>
              <fill>
                <patternFill>
                  <bgColor theme="7" tint="0.79998168889431442"/>
                </patternFill>
              </fill>
            </x14:dxf>
          </x14:cfRule>
          <xm:sqref>AB57:AB66</xm:sqref>
        </x14:conditionalFormatting>
        <x14:conditionalFormatting xmlns:xm="http://schemas.microsoft.com/office/excel/2006/main">
          <x14:cfRule type="expression" priority="216" id="{9FAD36FB-6CC8-4AB1-9D03-6D3F74196F7B}">
            <xm:f>NOT(OR($N$30=Tabelas_fonte!$AO$26,$N$30=Tabelas_fonte!$AO$27))</xm:f>
            <x14:dxf>
              <font>
                <color theme="0"/>
              </font>
              <fill>
                <patternFill>
                  <bgColor theme="0"/>
                </patternFill>
              </fill>
              <border>
                <left/>
                <right/>
                <top/>
                <bottom/>
                <vertical/>
                <horizontal/>
              </border>
            </x14:dxf>
          </x14:cfRule>
          <xm:sqref>AC32:AV46</xm:sqref>
        </x14:conditionalFormatting>
        <x14:conditionalFormatting xmlns:xm="http://schemas.microsoft.com/office/excel/2006/main">
          <x14:cfRule type="expression" priority="48" id="{9C0385D2-667A-4F52-8C06-DFDAAEC1C9E1}">
            <xm:f>'Calculos(2)'!$CA446=3</xm:f>
            <x14:dxf>
              <font>
                <color theme="0"/>
              </font>
              <fill>
                <patternFill>
                  <bgColor theme="0" tint="-0.499984740745262"/>
                </patternFill>
              </fill>
            </x14:dxf>
          </x14:cfRule>
          <x14:cfRule type="expression" priority="49" id="{B24895DE-A076-418A-8933-1724A0B2BFCA}">
            <xm:f>'Calculos(2)'!$CA446=2</xm:f>
            <x14:dxf>
              <fill>
                <patternFill>
                  <bgColor theme="5" tint="0.39994506668294322"/>
                </patternFill>
              </fill>
            </x14:dxf>
          </x14:cfRule>
          <x14:cfRule type="expression" priority="50" id="{6D63297A-A7F9-43D1-AECC-A0228B6C5D1F}">
            <xm:f>'Calculos(2)'!$CA446=1</xm:f>
            <x14:dxf>
              <fill>
                <patternFill>
                  <bgColor theme="7" tint="0.79998168889431442"/>
                </patternFill>
              </fill>
            </x14:dxf>
          </x14:cfRule>
          <x14:cfRule type="expression" priority="51" id="{71B6D36D-FD15-4129-9E9A-753B62A827E0}">
            <xm:f>'Calculos(2)'!$CA446=0</xm:f>
            <x14:dxf>
              <fill>
                <patternFill>
                  <bgColor theme="9" tint="0.79998168889431442"/>
                </patternFill>
              </fill>
            </x14:dxf>
          </x14:cfRule>
          <xm:sqref>AD57:AD66</xm:sqref>
        </x14:conditionalFormatting>
        <x14:conditionalFormatting xmlns:xm="http://schemas.microsoft.com/office/excel/2006/main">
          <x14:cfRule type="expression" priority="47" id="{D5376CEB-B613-4D2D-929A-8E88DDBFBCA9}">
            <xm:f>'Calculos(2)'!$CB446=0</xm:f>
            <x14:dxf>
              <fill>
                <patternFill>
                  <bgColor theme="9" tint="0.79998168889431442"/>
                </patternFill>
              </fill>
            </x14:dxf>
          </x14:cfRule>
          <x14:cfRule type="expression" priority="46" id="{08EA3DF4-F21E-44DB-9B96-BED2498444E9}">
            <xm:f>'Calculos(2)'!$CB446=1</xm:f>
            <x14:dxf>
              <fill>
                <patternFill>
                  <bgColor theme="7" tint="0.79998168889431442"/>
                </patternFill>
              </fill>
            </x14:dxf>
          </x14:cfRule>
          <x14:cfRule type="expression" priority="45" id="{7D435614-96AA-4B76-BEEF-FEB3EA735C4A}">
            <xm:f>'Calculos(2)'!$CB446=2</xm:f>
            <x14:dxf>
              <fill>
                <patternFill>
                  <bgColor theme="5" tint="0.39994506668294322"/>
                </patternFill>
              </fill>
            </x14:dxf>
          </x14:cfRule>
          <x14:cfRule type="expression" priority="44" id="{61751241-4039-4F2F-BC5A-91D669958528}">
            <xm:f>'Calculos(2)'!$CB446=3</xm:f>
            <x14:dxf>
              <font>
                <color theme="0"/>
              </font>
              <fill>
                <patternFill>
                  <bgColor theme="0" tint="-0.499984740745262"/>
                </patternFill>
              </fill>
            </x14:dxf>
          </x14:cfRule>
          <xm:sqref>AF57:AF66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errorTitle="Resposta inválida" error="A resposta deve ser Sim ou Não" xr:uid="{3DF4B420-8EE3-4B8F-A588-A4B81C8B797D}">
          <x14:formula1>
            <xm:f>Tabelas_fonte!$AO$58:$AO$60</xm:f>
          </x14:formula1>
          <xm:sqref>V202:Y204</xm:sqref>
        </x14:dataValidation>
        <x14:dataValidation type="list" allowBlank="1" showInputMessage="1" showErrorMessage="1" errorTitle="Valor inválido" error="A resposta deve ser Sim ou Não" xr:uid="{CBC54038-7214-44E8-A6ED-7CE383CDEFDD}">
          <x14:formula1>
            <xm:f>Tabelas_fonte!$AO$58:$AO$60</xm:f>
          </x14:formula1>
          <xm:sqref>Q202:U204</xm:sqref>
        </x14:dataValidation>
        <x14:dataValidation type="list" allowBlank="1" showInputMessage="1" showErrorMessage="1" errorTitle="Resposta inválida" error="A resposta deve ser Sim ou Não" xr:uid="{128BFC6B-3CE0-453D-BDFB-AFB167609E2F}">
          <x14:formula1>
            <xm:f>Tabelas_fonte!$Y$2:$Y$3</xm:f>
          </x14:formula1>
          <xm:sqref>AH202:AM204</xm:sqref>
        </x14:dataValidation>
        <x14:dataValidation type="list" allowBlank="1" showInputMessage="1" showErrorMessage="1" errorTitle="Valor inválido" error="A resposta deve ser Sim ou Não" xr:uid="{589E7BBD-AEDF-433E-829F-1000A0DDB96C}">
          <x14:formula1>
            <xm:f>Tabelas_fonte!$Y$2:$Y$3</xm:f>
          </x14:formula1>
          <xm:sqref>AI189:AM192</xm:sqref>
        </x14:dataValidation>
        <x14:dataValidation type="list" allowBlank="1" showInputMessage="1" showErrorMessage="1" errorTitle="Valor inválido" error="Escolha uma das opções disponíveis" xr:uid="{C6A00D91-D845-4E29-96C8-B72C032BB17D}">
          <x14:formula1>
            <xm:f>Tabelas_fonte!$AO$47:$AO$49</xm:f>
          </x14:formula1>
          <xm:sqref>N75:X75 N114:X114 N153:X153</xm:sqref>
        </x14:dataValidation>
        <x14:dataValidation type="list" allowBlank="1" showInputMessage="1" showErrorMessage="1" errorTitle="Valor inválido" error="Escolha uma das opções disponíveis" xr:uid="{5E5C12AA-7B68-432F-AA69-16502C9DF913}">
          <x14:formula1>
            <xm:f>Tabelas_fonte!$AO$30:$AO$31</xm:f>
          </x14:formula1>
          <xm:sqref>N74:X74 N113:X113 N152:X152</xm:sqref>
        </x14:dataValidation>
        <x14:dataValidation type="list" allowBlank="1" showInputMessage="1" showErrorMessage="1" errorTitle="Valor inválido" error="Escolha uma das opções disponíveis" xr:uid="{9DA9AF7F-1402-4A0F-8F50-3BE4D35F61F1}">
          <x14:formula1>
            <xm:f>Tabelas_fonte!$AO$42:$AO$44</xm:f>
          </x14:formula1>
          <xm:sqref>N72:S72 N111:S111 N150:S150</xm:sqref>
        </x14:dataValidation>
        <x14:dataValidation type="list" allowBlank="1" showInputMessage="1" xr:uid="{FC1222ED-E007-4339-8EAE-16FA501ACB7F}">
          <x14:formula1>
            <xm:f>Tabelas_fonte!$AO$34</xm:f>
          </x14:formula1>
          <xm:sqref>N26</xm:sqref>
        </x14:dataValidation>
        <x14:dataValidation type="list" allowBlank="1" showInputMessage="1" showErrorMessage="1" errorTitle="Valor inválido" error="Escolha uma das opções disponíveis" xr:uid="{8FA15982-C67D-43E7-89F0-94BEB76B8B60}">
          <x14:formula1>
            <xm:f>Tabelas_fonte!$AO$15:$AO$17</xm:f>
          </x14:formula1>
          <xm:sqref>N71:S71 N110:S110 N149:S149</xm:sqref>
        </x14:dataValidation>
        <x14:dataValidation type="list" allowBlank="1" showInputMessage="1" showErrorMessage="1" errorTitle="Valor inválido" error="Escolha uma das opções disponíveis" xr:uid="{646C4C4B-8A69-43C1-ABB9-0A205CE630F7}">
          <x14:formula1>
            <xm:f>Tabelas_fonte!$AO$25:$AO$27</xm:f>
          </x14:formula1>
          <xm:sqref>N30:S30</xm:sqref>
        </x14:dataValidation>
        <x14:dataValidation type="list" allowBlank="1" showInputMessage="1" showErrorMessage="1" errorTitle="Valor inválido" error="Escolha uma das opções disponíveis" xr:uid="{1E64C976-E220-4CFC-B0E8-9BD1C8F7C8ED}">
          <x14:formula1>
            <xm:f>Tabelas_fonte!$AO$21:$AO$22</xm:f>
          </x14:formula1>
          <xm:sqref>N21:S21</xm:sqref>
        </x14:dataValidation>
        <x14:dataValidation type="list" allowBlank="1" showInputMessage="1" showErrorMessage="1" errorTitle="Valor inválido" error="Escolha uma das opções disponíveis" xr:uid="{552439C5-7A40-4364-83E7-FE8BF9F27BC0}">
          <x14:formula1>
            <xm:f>Tabelas_fonte!$AO$10:$AO$11</xm:f>
          </x14:formula1>
          <xm:sqref>N20:S20</xm:sqref>
        </x14:dataValidation>
        <x14:dataValidation type="list" allowBlank="1" showInputMessage="1" xr:uid="{BDA619F4-EF5D-4D17-AED8-6EF6BF531133}">
          <x14:formula1>
            <xm:f>Tabelas_fonte!$AO$2:$AO$3</xm:f>
          </x14:formula1>
          <xm:sqref>N15:AJ15</xm:sqref>
        </x14:dataValidation>
        <x14:dataValidation type="list" allowBlank="1" showInputMessage="1" showErrorMessage="1" errorTitle="Resposta inválida" error="A resposta de ser Sim ou Não." xr:uid="{C517A9D3-F5C7-4C55-BDEC-2EE448F26FD4}">
          <x14:formula1>
            <xm:f>Tabelas_fonte!$Y$2:$Y$3</xm:f>
          </x14:formula1>
          <xm:sqref>N14:S14 N25:S25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ED7F5-7C35-4902-8C53-CD05B0C42F7A}">
  <sheetPr codeName="Planilha32">
    <tabColor theme="8" tint="0.59999389629810485"/>
  </sheetPr>
  <dimension ref="A1:W1044"/>
  <sheetViews>
    <sheetView showGridLines="0" topLeftCell="D1" zoomScaleNormal="100" workbookViewId="0">
      <selection activeCell="D1" sqref="D1"/>
    </sheetView>
  </sheetViews>
  <sheetFormatPr defaultColWidth="0" defaultRowHeight="15" customHeight="1" zeroHeight="1" x14ac:dyDescent="0.25"/>
  <cols>
    <col min="1" max="3" width="2.7109375" style="20" hidden="1" customWidth="1"/>
    <col min="4" max="4" width="2.7109375" style="20" customWidth="1"/>
    <col min="5" max="13" width="4.7109375" style="20" customWidth="1"/>
    <col min="14" max="17" width="15.7109375" style="20" customWidth="1"/>
    <col min="18" max="18" width="22.7109375" style="20" customWidth="1"/>
    <col min="19" max="19" width="20.7109375" style="20" customWidth="1"/>
    <col min="20" max="20" width="4.7109375" style="20" customWidth="1"/>
    <col min="21" max="21" width="10.7109375" style="20" customWidth="1"/>
    <col min="22" max="23" width="4.7109375" style="20" customWidth="1"/>
    <col min="24" max="16384" width="9.140625" style="20" hidden="1"/>
  </cols>
  <sheetData>
    <row r="1" spans="1:23" x14ac:dyDescent="0.25">
      <c r="A1" s="18"/>
      <c r="B1" s="18"/>
      <c r="C1" s="18"/>
      <c r="D1" s="7"/>
      <c r="E1" s="7"/>
      <c r="F1" s="7"/>
      <c r="G1" s="7"/>
      <c r="H1" s="7"/>
      <c r="I1" s="7"/>
      <c r="J1" s="7"/>
      <c r="K1" s="7"/>
      <c r="L1" s="7"/>
      <c r="M1" s="7"/>
      <c r="N1" s="7"/>
      <c r="O1" s="7"/>
      <c r="P1" s="7"/>
      <c r="Q1" s="7"/>
      <c r="R1" s="7"/>
      <c r="S1" s="7"/>
      <c r="T1" s="7"/>
      <c r="U1" s="7"/>
      <c r="V1" s="7"/>
      <c r="W1" s="7"/>
    </row>
    <row r="2" spans="1:23" ht="15" customHeight="1" x14ac:dyDescent="0.25">
      <c r="A2" s="18"/>
      <c r="B2" s="18"/>
      <c r="C2" s="18"/>
      <c r="D2" s="7"/>
      <c r="E2" s="2"/>
      <c r="F2" s="1148" t="s">
        <v>354</v>
      </c>
      <c r="G2" s="1148"/>
      <c r="H2" s="1148"/>
      <c r="I2" s="1148"/>
      <c r="J2" s="1148"/>
      <c r="K2" s="1148"/>
      <c r="L2" s="1148"/>
      <c r="M2" s="1148"/>
      <c r="N2" s="1148"/>
      <c r="O2" s="1148"/>
      <c r="P2" s="1148"/>
      <c r="Q2" s="1148"/>
      <c r="R2" s="1148"/>
      <c r="S2" s="1148"/>
      <c r="T2" s="1148"/>
      <c r="U2" s="158"/>
      <c r="V2" s="2"/>
      <c r="W2" s="7"/>
    </row>
    <row r="3" spans="1:23" ht="15" customHeight="1" x14ac:dyDescent="0.25">
      <c r="A3" s="18"/>
      <c r="B3" s="18"/>
      <c r="C3" s="18"/>
      <c r="D3" s="159"/>
      <c r="E3" s="158"/>
      <c r="F3" s="1148"/>
      <c r="G3" s="1148"/>
      <c r="H3" s="1148"/>
      <c r="I3" s="1148"/>
      <c r="J3" s="1148"/>
      <c r="K3" s="1148"/>
      <c r="L3" s="1148"/>
      <c r="M3" s="1148"/>
      <c r="N3" s="1148"/>
      <c r="O3" s="1148"/>
      <c r="P3" s="1148"/>
      <c r="Q3" s="1148"/>
      <c r="R3" s="1148"/>
      <c r="S3" s="1148"/>
      <c r="T3" s="1148"/>
      <c r="U3" s="158"/>
      <c r="V3" s="2"/>
      <c r="W3" s="7"/>
    </row>
    <row r="4" spans="1:23" ht="15" customHeight="1" x14ac:dyDescent="0.25">
      <c r="A4" s="18"/>
      <c r="B4" s="18"/>
      <c r="C4" s="18"/>
      <c r="D4" s="159"/>
      <c r="E4" s="158"/>
      <c r="F4" s="1148"/>
      <c r="G4" s="1148"/>
      <c r="H4" s="1148"/>
      <c r="I4" s="1148"/>
      <c r="J4" s="1148"/>
      <c r="K4" s="1148"/>
      <c r="L4" s="1148"/>
      <c r="M4" s="1148"/>
      <c r="N4" s="1148"/>
      <c r="O4" s="1148"/>
      <c r="P4" s="1148"/>
      <c r="Q4" s="1148"/>
      <c r="R4" s="1148"/>
      <c r="S4" s="1148"/>
      <c r="T4" s="1148"/>
      <c r="U4" s="158"/>
      <c r="V4" s="2"/>
      <c r="W4" s="7"/>
    </row>
    <row r="5" spans="1:23" ht="15" customHeight="1" x14ac:dyDescent="0.25">
      <c r="A5" s="18"/>
      <c r="B5" s="18"/>
      <c r="C5" s="18"/>
      <c r="D5" s="159"/>
      <c r="E5" s="158"/>
      <c r="F5" s="1148"/>
      <c r="G5" s="1148"/>
      <c r="H5" s="1148"/>
      <c r="I5" s="1148"/>
      <c r="J5" s="1148"/>
      <c r="K5" s="1148"/>
      <c r="L5" s="1148"/>
      <c r="M5" s="1148"/>
      <c r="N5" s="1148"/>
      <c r="O5" s="1148"/>
      <c r="P5" s="1148"/>
      <c r="Q5" s="1148"/>
      <c r="R5" s="1148"/>
      <c r="S5" s="1148"/>
      <c r="T5" s="1148"/>
      <c r="U5" s="158"/>
      <c r="V5" s="2"/>
      <c r="W5" s="7"/>
    </row>
    <row r="6" spans="1:23" ht="15" customHeight="1" x14ac:dyDescent="0.25">
      <c r="A6" s="18"/>
      <c r="B6" s="18"/>
      <c r="C6" s="18"/>
      <c r="D6" s="159"/>
      <c r="E6" s="158"/>
      <c r="F6" s="1148"/>
      <c r="G6" s="1148"/>
      <c r="H6" s="1148"/>
      <c r="I6" s="1148"/>
      <c r="J6" s="1148"/>
      <c r="K6" s="1148"/>
      <c r="L6" s="1148"/>
      <c r="M6" s="1148"/>
      <c r="N6" s="1148"/>
      <c r="O6" s="1148"/>
      <c r="P6" s="1148"/>
      <c r="Q6" s="1148"/>
      <c r="R6" s="1148"/>
      <c r="S6" s="1148"/>
      <c r="T6" s="1148"/>
      <c r="U6" s="158"/>
      <c r="V6" s="2"/>
      <c r="W6" s="7"/>
    </row>
    <row r="7" spans="1:23" ht="15" customHeight="1" x14ac:dyDescent="0.25">
      <c r="A7" s="18"/>
      <c r="B7" s="18"/>
      <c r="C7" s="18"/>
      <c r="D7" s="159"/>
      <c r="E7" s="158"/>
      <c r="F7" s="1148"/>
      <c r="G7" s="1148"/>
      <c r="H7" s="1148"/>
      <c r="I7" s="1148"/>
      <c r="J7" s="1148"/>
      <c r="K7" s="1148"/>
      <c r="L7" s="1148"/>
      <c r="M7" s="1148"/>
      <c r="N7" s="1148"/>
      <c r="O7" s="1148"/>
      <c r="P7" s="1148"/>
      <c r="Q7" s="1148"/>
      <c r="R7" s="1148"/>
      <c r="S7" s="1148"/>
      <c r="T7" s="1148"/>
      <c r="U7" s="104"/>
      <c r="V7" s="2"/>
      <c r="W7" s="7"/>
    </row>
    <row r="8" spans="1:23" ht="15" customHeight="1" x14ac:dyDescent="0.25">
      <c r="A8" s="18"/>
      <c r="B8" s="18"/>
      <c r="C8" s="18"/>
      <c r="D8" s="7"/>
      <c r="E8" s="7"/>
      <c r="F8" s="1"/>
      <c r="G8" s="1"/>
      <c r="H8" s="1"/>
      <c r="I8" s="1"/>
      <c r="J8" s="1"/>
      <c r="K8" s="1"/>
      <c r="L8" s="1"/>
      <c r="M8" s="1"/>
      <c r="N8" s="1"/>
      <c r="O8" s="1"/>
      <c r="P8" s="1"/>
      <c r="Q8" s="1"/>
      <c r="R8" s="1"/>
      <c r="S8" s="1"/>
      <c r="T8" s="1"/>
      <c r="U8" s="1"/>
      <c r="V8" s="1"/>
      <c r="W8" s="7"/>
    </row>
    <row r="9" spans="1:23" ht="50.1" customHeight="1" x14ac:dyDescent="0.25">
      <c r="A9" s="18"/>
      <c r="B9" s="18"/>
      <c r="C9" s="18"/>
      <c r="D9" s="7"/>
      <c r="E9" s="346"/>
      <c r="F9" s="346"/>
      <c r="G9" s="346"/>
      <c r="H9" s="346"/>
      <c r="I9" s="346"/>
      <c r="J9" s="346"/>
      <c r="K9" s="346"/>
      <c r="L9" s="346"/>
      <c r="M9" s="346"/>
      <c r="N9" s="346"/>
      <c r="O9" s="346"/>
      <c r="P9" s="347" t="s">
        <v>8109</v>
      </c>
      <c r="Q9" s="346"/>
      <c r="R9" s="346"/>
      <c r="S9" s="346"/>
      <c r="T9" s="346"/>
      <c r="U9" s="346"/>
      <c r="V9" s="346"/>
      <c r="W9" s="7"/>
    </row>
    <row r="10" spans="1:23" ht="20.100000000000001" customHeight="1" x14ac:dyDescent="0.25">
      <c r="A10" s="18"/>
      <c r="B10" s="18"/>
      <c r="C10" s="18"/>
      <c r="D10" s="7"/>
      <c r="E10" s="7"/>
      <c r="F10" s="1"/>
      <c r="G10" s="1"/>
      <c r="H10" s="1"/>
      <c r="I10" s="1"/>
      <c r="J10" s="1"/>
      <c r="K10" s="1"/>
      <c r="L10" s="1"/>
      <c r="M10" s="1"/>
      <c r="N10" s="316"/>
      <c r="O10" s="1"/>
      <c r="P10" s="1"/>
      <c r="Q10" s="1"/>
      <c r="R10" s="1"/>
      <c r="S10" s="1"/>
      <c r="T10" s="1"/>
      <c r="U10" s="1"/>
      <c r="V10" s="1"/>
      <c r="W10" s="7"/>
    </row>
    <row r="11" spans="1:23" ht="20.100000000000001" customHeight="1" x14ac:dyDescent="0.25">
      <c r="A11" s="18"/>
      <c r="B11" s="18"/>
      <c r="C11" s="18"/>
      <c r="D11" s="7"/>
      <c r="E11" s="321"/>
      <c r="F11" s="322"/>
      <c r="G11" s="323"/>
      <c r="H11" s="323"/>
      <c r="I11" s="323"/>
      <c r="J11" s="323"/>
      <c r="K11" s="323"/>
      <c r="L11" s="323"/>
      <c r="M11" s="323"/>
      <c r="N11" s="323"/>
      <c r="O11" s="323"/>
      <c r="P11" s="340"/>
      <c r="Q11" s="323"/>
      <c r="R11" s="323"/>
      <c r="S11" s="323"/>
      <c r="T11" s="323"/>
      <c r="U11" s="323"/>
      <c r="V11" s="325"/>
      <c r="W11" s="7"/>
    </row>
    <row r="12" spans="1:23" ht="45" customHeight="1" x14ac:dyDescent="0.25">
      <c r="A12" s="18"/>
      <c r="B12" s="18"/>
      <c r="C12" s="18"/>
      <c r="D12" s="7"/>
      <c r="E12" s="326"/>
      <c r="F12" s="1494" t="s">
        <v>8604</v>
      </c>
      <c r="G12" s="1495"/>
      <c r="H12" s="1495"/>
      <c r="I12" s="1495"/>
      <c r="J12" s="1495"/>
      <c r="K12" s="1495"/>
      <c r="L12" s="1495"/>
      <c r="M12" s="1496"/>
      <c r="N12" s="327" t="str">
        <f ca="1">"Concentração"&amp;" "&amp;'Calculos(2)'!$BJ$3</f>
        <v>Concentração -</v>
      </c>
      <c r="O12" s="327" t="s">
        <v>6038</v>
      </c>
      <c r="P12" s="327" t="s">
        <v>8126</v>
      </c>
      <c r="Q12" s="327" t="s">
        <v>8028</v>
      </c>
      <c r="R12" s="327" t="s">
        <v>8603</v>
      </c>
      <c r="S12" s="327" t="s">
        <v>8127</v>
      </c>
      <c r="U12" s="328" t="s">
        <v>119</v>
      </c>
      <c r="V12" s="329"/>
      <c r="W12" s="1"/>
    </row>
    <row r="13" spans="1:23" ht="20.100000000000001" customHeight="1" x14ac:dyDescent="0.25">
      <c r="A13" s="18"/>
      <c r="B13" s="18"/>
      <c r="C13" s="18"/>
      <c r="D13" s="7"/>
      <c r="E13" s="326"/>
      <c r="F13" s="1482" t="str">
        <f ca="1">'Calculos(2)'!$BJ$4</f>
        <v>-</v>
      </c>
      <c r="G13" s="1483"/>
      <c r="H13" s="1483"/>
      <c r="I13" s="1484"/>
      <c r="J13" s="1472" t="s">
        <v>7103</v>
      </c>
      <c r="K13" s="1473"/>
      <c r="L13" s="1473"/>
      <c r="M13" s="1474"/>
      <c r="N13" s="188"/>
      <c r="O13" s="188"/>
      <c r="P13" s="330"/>
      <c r="Q13" s="330"/>
      <c r="R13" s="187">
        <v>0</v>
      </c>
      <c r="S13" s="331">
        <f>O13/2</f>
        <v>0</v>
      </c>
      <c r="U13" s="331" t="str">
        <f ca="1">'Calculos(2)'!BO$10</f>
        <v>-</v>
      </c>
      <c r="V13" s="329"/>
      <c r="W13" s="1"/>
    </row>
    <row r="14" spans="1:23" ht="20.100000000000001" customHeight="1" x14ac:dyDescent="0.25">
      <c r="A14" s="18"/>
      <c r="B14" s="18"/>
      <c r="C14" s="18"/>
      <c r="D14" s="7"/>
      <c r="E14" s="326"/>
      <c r="F14" s="1485"/>
      <c r="G14" s="1486"/>
      <c r="H14" s="1486"/>
      <c r="I14" s="1487"/>
      <c r="J14" s="1193" t="s">
        <v>8027</v>
      </c>
      <c r="K14" s="1194"/>
      <c r="L14" s="1194"/>
      <c r="M14" s="1491"/>
      <c r="N14" s="188"/>
      <c r="O14" s="188"/>
      <c r="P14" s="330"/>
      <c r="Q14" s="330"/>
      <c r="R14" s="187"/>
      <c r="U14" s="331" t="str">
        <f ca="1">'Calculos(2)'!BO$11</f>
        <v>-</v>
      </c>
      <c r="V14" s="332"/>
      <c r="W14" s="1"/>
    </row>
    <row r="15" spans="1:23" ht="20.100000000000001" customHeight="1" x14ac:dyDescent="0.25">
      <c r="A15" s="18"/>
      <c r="B15" s="18"/>
      <c r="C15" s="18"/>
      <c r="D15" s="7"/>
      <c r="E15" s="326"/>
      <c r="F15" s="1485"/>
      <c r="G15" s="1486"/>
      <c r="H15" s="1486"/>
      <c r="I15" s="1487"/>
      <c r="J15" s="1195"/>
      <c r="K15" s="1084"/>
      <c r="L15" s="1084"/>
      <c r="M15" s="1492"/>
      <c r="N15" s="188"/>
      <c r="O15" s="188"/>
      <c r="P15" s="330"/>
      <c r="Q15" s="330"/>
      <c r="R15" s="187"/>
      <c r="U15" s="331" t="str">
        <f ca="1">'Calculos(2)'!BO$12</f>
        <v>-</v>
      </c>
      <c r="V15" s="332"/>
      <c r="W15" s="1"/>
    </row>
    <row r="16" spans="1:23" ht="20.100000000000001" customHeight="1" x14ac:dyDescent="0.25">
      <c r="A16" s="18"/>
      <c r="B16" s="18"/>
      <c r="C16" s="18"/>
      <c r="D16" s="7"/>
      <c r="E16" s="326"/>
      <c r="F16" s="1485"/>
      <c r="G16" s="1486"/>
      <c r="H16" s="1486"/>
      <c r="I16" s="1487"/>
      <c r="J16" s="1195"/>
      <c r="K16" s="1084"/>
      <c r="L16" s="1084"/>
      <c r="M16" s="1492"/>
      <c r="N16" s="188"/>
      <c r="O16" s="188"/>
      <c r="P16" s="330"/>
      <c r="Q16" s="330"/>
      <c r="R16" s="187"/>
      <c r="U16" s="331" t="str">
        <f ca="1">'Calculos(2)'!BO$13</f>
        <v>-</v>
      </c>
      <c r="V16" s="332"/>
      <c r="W16" s="1"/>
    </row>
    <row r="17" spans="1:23" ht="20.100000000000001" customHeight="1" x14ac:dyDescent="0.25">
      <c r="A17" s="18"/>
      <c r="B17" s="18"/>
      <c r="C17" s="18"/>
      <c r="D17" s="7"/>
      <c r="E17" s="326"/>
      <c r="F17" s="1485"/>
      <c r="G17" s="1486"/>
      <c r="H17" s="1486"/>
      <c r="I17" s="1487"/>
      <c r="J17" s="1195"/>
      <c r="K17" s="1084"/>
      <c r="L17" s="1084"/>
      <c r="M17" s="1492"/>
      <c r="N17" s="188"/>
      <c r="O17" s="188"/>
      <c r="P17" s="330"/>
      <c r="Q17" s="330"/>
      <c r="R17" s="187"/>
      <c r="U17" s="331" t="str">
        <f ca="1">'Calculos(2)'!BO$14</f>
        <v>-</v>
      </c>
      <c r="V17" s="332"/>
      <c r="W17" s="1"/>
    </row>
    <row r="18" spans="1:23" ht="20.100000000000001" customHeight="1" x14ac:dyDescent="0.25">
      <c r="A18" s="18"/>
      <c r="B18" s="18"/>
      <c r="C18" s="18"/>
      <c r="D18" s="7"/>
      <c r="E18" s="326"/>
      <c r="F18" s="1485"/>
      <c r="G18" s="1486"/>
      <c r="H18" s="1486"/>
      <c r="I18" s="1487"/>
      <c r="J18" s="1195"/>
      <c r="K18" s="1084"/>
      <c r="L18" s="1084"/>
      <c r="M18" s="1492"/>
      <c r="N18" s="188"/>
      <c r="O18" s="188"/>
      <c r="P18" s="330"/>
      <c r="Q18" s="330"/>
      <c r="R18" s="187"/>
      <c r="U18" s="331" t="str">
        <f ca="1">'Calculos(2)'!BO$15</f>
        <v>-</v>
      </c>
      <c r="V18" s="332"/>
      <c r="W18" s="1"/>
    </row>
    <row r="19" spans="1:23" ht="20.100000000000001" customHeight="1" x14ac:dyDescent="0.25">
      <c r="A19" s="18"/>
      <c r="B19" s="18"/>
      <c r="C19" s="18"/>
      <c r="D19" s="7"/>
      <c r="E19" s="326"/>
      <c r="F19" s="1485"/>
      <c r="G19" s="1486"/>
      <c r="H19" s="1486"/>
      <c r="I19" s="1487"/>
      <c r="J19" s="1195"/>
      <c r="K19" s="1084"/>
      <c r="L19" s="1084"/>
      <c r="M19" s="1492"/>
      <c r="N19" s="188"/>
      <c r="O19" s="188"/>
      <c r="P19" s="330"/>
      <c r="Q19" s="330"/>
      <c r="R19" s="187"/>
      <c r="U19" s="331" t="str">
        <f ca="1">'Calculos(2)'!BO$16</f>
        <v>-</v>
      </c>
      <c r="V19" s="332"/>
      <c r="W19" s="1"/>
    </row>
    <row r="20" spans="1:23" ht="20.100000000000001" customHeight="1" x14ac:dyDescent="0.25">
      <c r="A20" s="18"/>
      <c r="B20" s="18"/>
      <c r="C20" s="18"/>
      <c r="D20" s="7"/>
      <c r="E20" s="326"/>
      <c r="F20" s="1485"/>
      <c r="G20" s="1486"/>
      <c r="H20" s="1486"/>
      <c r="I20" s="1487"/>
      <c r="J20" s="1195"/>
      <c r="K20" s="1084"/>
      <c r="L20" s="1084"/>
      <c r="M20" s="1492"/>
      <c r="N20" s="188"/>
      <c r="O20" s="188"/>
      <c r="P20" s="330"/>
      <c r="Q20" s="330"/>
      <c r="R20" s="187"/>
      <c r="U20" s="331" t="str">
        <f ca="1">'Calculos(2)'!BO$17</f>
        <v>-</v>
      </c>
      <c r="V20" s="332"/>
      <c r="W20" s="1"/>
    </row>
    <row r="21" spans="1:23" ht="20.100000000000001" customHeight="1" x14ac:dyDescent="0.25">
      <c r="A21" s="18"/>
      <c r="B21" s="18"/>
      <c r="C21" s="18"/>
      <c r="D21" s="7"/>
      <c r="E21" s="326"/>
      <c r="F21" s="1485"/>
      <c r="G21" s="1486"/>
      <c r="H21" s="1486"/>
      <c r="I21" s="1487"/>
      <c r="J21" s="1195"/>
      <c r="K21" s="1084"/>
      <c r="L21" s="1084"/>
      <c r="M21" s="1492"/>
      <c r="N21" s="188"/>
      <c r="O21" s="188"/>
      <c r="P21" s="330"/>
      <c r="Q21" s="330"/>
      <c r="R21" s="187"/>
      <c r="U21" s="331" t="str">
        <f ca="1">'Calculos(2)'!BO$18</f>
        <v>-</v>
      </c>
      <c r="V21" s="332"/>
      <c r="W21" s="1"/>
    </row>
    <row r="22" spans="1:23" ht="20.100000000000001" customHeight="1" x14ac:dyDescent="0.25">
      <c r="A22" s="18"/>
      <c r="B22" s="18"/>
      <c r="C22" s="18"/>
      <c r="D22" s="7"/>
      <c r="E22" s="326"/>
      <c r="F22" s="1485"/>
      <c r="G22" s="1486"/>
      <c r="H22" s="1486"/>
      <c r="I22" s="1487"/>
      <c r="J22" s="1195"/>
      <c r="K22" s="1084"/>
      <c r="L22" s="1084"/>
      <c r="M22" s="1492"/>
      <c r="N22" s="188"/>
      <c r="O22" s="188"/>
      <c r="P22" s="330"/>
      <c r="Q22" s="330"/>
      <c r="R22" s="187"/>
      <c r="U22" s="331" t="str">
        <f ca="1">'Calculos(2)'!BO$19</f>
        <v>-</v>
      </c>
      <c r="V22" s="332"/>
      <c r="W22" s="1"/>
    </row>
    <row r="23" spans="1:23" ht="20.100000000000001" customHeight="1" x14ac:dyDescent="0.25">
      <c r="A23" s="18"/>
      <c r="B23" s="18"/>
      <c r="C23" s="18"/>
      <c r="D23" s="7"/>
      <c r="E23" s="326"/>
      <c r="F23" s="1485"/>
      <c r="G23" s="1486"/>
      <c r="H23" s="1486"/>
      <c r="I23" s="1487"/>
      <c r="J23" s="1196"/>
      <c r="K23" s="1121"/>
      <c r="L23" s="1121"/>
      <c r="M23" s="1493"/>
      <c r="N23" s="188"/>
      <c r="O23" s="188"/>
      <c r="P23" s="330"/>
      <c r="Q23" s="330"/>
      <c r="R23" s="187"/>
      <c r="U23" s="331" t="str">
        <f ca="1">'Calculos(2)'!BO$20</f>
        <v>-</v>
      </c>
      <c r="V23" s="332"/>
      <c r="W23" s="1"/>
    </row>
    <row r="24" spans="1:23" ht="20.100000000000001" customHeight="1" x14ac:dyDescent="0.25">
      <c r="A24" s="18"/>
      <c r="B24" s="18"/>
      <c r="C24" s="18"/>
      <c r="D24" s="7"/>
      <c r="E24" s="326"/>
      <c r="F24" s="1488"/>
      <c r="G24" s="1489"/>
      <c r="H24" s="1489"/>
      <c r="I24" s="1490"/>
      <c r="J24" s="1472" t="s">
        <v>80</v>
      </c>
      <c r="K24" s="1473"/>
      <c r="L24" s="1473"/>
      <c r="M24" s="1474"/>
      <c r="N24" s="188"/>
      <c r="O24" s="188"/>
      <c r="P24" s="330"/>
      <c r="Q24" s="330"/>
      <c r="R24" s="187" t="s">
        <v>10</v>
      </c>
      <c r="U24" s="331" t="str">
        <f ca="1">'Calculos(2)'!BO$21</f>
        <v>-</v>
      </c>
      <c r="V24" s="332"/>
      <c r="W24" s="1"/>
    </row>
    <row r="25" spans="1:23" ht="20.100000000000001" customHeight="1" x14ac:dyDescent="0.25">
      <c r="A25" s="18"/>
      <c r="B25" s="18"/>
      <c r="C25" s="18"/>
      <c r="D25" s="7"/>
      <c r="E25" s="326"/>
      <c r="V25" s="332"/>
      <c r="W25" s="1"/>
    </row>
    <row r="26" spans="1:23" ht="20.100000000000001" hidden="1" customHeight="1" x14ac:dyDescent="0.25">
      <c r="A26" s="18"/>
      <c r="B26" s="18"/>
      <c r="C26" s="18"/>
      <c r="D26" s="7"/>
      <c r="E26" s="326"/>
      <c r="V26" s="332"/>
      <c r="W26" s="1"/>
    </row>
    <row r="27" spans="1:23" ht="20.100000000000001" hidden="1" customHeight="1" x14ac:dyDescent="0.25">
      <c r="A27" s="18"/>
      <c r="B27" s="18"/>
      <c r="C27" s="18"/>
      <c r="D27" s="7"/>
      <c r="E27" s="326"/>
      <c r="V27" s="332"/>
      <c r="W27" s="1"/>
    </row>
    <row r="28" spans="1:23" ht="20.100000000000001" customHeight="1" x14ac:dyDescent="0.25">
      <c r="A28" s="18"/>
      <c r="B28" s="18"/>
      <c r="C28" s="18"/>
      <c r="D28" s="7"/>
      <c r="E28" s="326"/>
      <c r="V28" s="332"/>
      <c r="W28" s="1"/>
    </row>
    <row r="29" spans="1:23" ht="45" customHeight="1" x14ac:dyDescent="0.25">
      <c r="A29" s="18"/>
      <c r="B29" s="18"/>
      <c r="C29" s="18"/>
      <c r="D29" s="7"/>
      <c r="E29" s="326"/>
      <c r="F29" s="1479" t="s">
        <v>8605</v>
      </c>
      <c r="G29" s="1480"/>
      <c r="H29" s="1480"/>
      <c r="I29" s="1480"/>
      <c r="J29" s="1480"/>
      <c r="K29" s="1480"/>
      <c r="L29" s="1480"/>
      <c r="M29" s="1481"/>
      <c r="N29" s="333" t="str">
        <f ca="1">"Concentração"&amp;" "&amp;'Calculos(2)'!$BJ$3</f>
        <v>Concentração -</v>
      </c>
      <c r="O29" s="333" t="s">
        <v>6038</v>
      </c>
      <c r="P29" s="333" t="s">
        <v>8126</v>
      </c>
      <c r="Q29" s="333" t="s">
        <v>8028</v>
      </c>
      <c r="R29" s="333" t="s">
        <v>8603</v>
      </c>
      <c r="S29" s="333" t="s">
        <v>8127</v>
      </c>
      <c r="U29" s="328" t="s">
        <v>119</v>
      </c>
      <c r="V29" s="332"/>
      <c r="W29" s="1"/>
    </row>
    <row r="30" spans="1:23" ht="20.100000000000001" customHeight="1" x14ac:dyDescent="0.25">
      <c r="A30" s="18"/>
      <c r="B30" s="18"/>
      <c r="C30" s="18"/>
      <c r="D30" s="7"/>
      <c r="E30" s="326"/>
      <c r="F30" s="1482" t="str">
        <f ca="1">'Calculos(2)'!$BJ$4</f>
        <v>-</v>
      </c>
      <c r="G30" s="1483"/>
      <c r="H30" s="1483"/>
      <c r="I30" s="1484"/>
      <c r="J30" s="1472" t="s">
        <v>7103</v>
      </c>
      <c r="K30" s="1473"/>
      <c r="L30" s="1473"/>
      <c r="M30" s="1474"/>
      <c r="N30" s="334"/>
      <c r="O30" s="334"/>
      <c r="P30" s="335"/>
      <c r="Q30" s="335"/>
      <c r="R30" s="335">
        <v>0</v>
      </c>
      <c r="S30" s="331">
        <f>O30/2</f>
        <v>0</v>
      </c>
      <c r="U30" s="331" t="str">
        <f ca="1">'Calculos(2)'!BO$26</f>
        <v>-</v>
      </c>
      <c r="V30" s="332"/>
      <c r="W30" s="1"/>
    </row>
    <row r="31" spans="1:23" ht="20.100000000000001" customHeight="1" x14ac:dyDescent="0.25">
      <c r="A31" s="18"/>
      <c r="B31" s="18"/>
      <c r="C31" s="18"/>
      <c r="D31" s="7"/>
      <c r="E31" s="326"/>
      <c r="F31" s="1485"/>
      <c r="G31" s="1486"/>
      <c r="H31" s="1486"/>
      <c r="I31" s="1487"/>
      <c r="J31" s="1193" t="s">
        <v>8027</v>
      </c>
      <c r="K31" s="1194"/>
      <c r="L31" s="1194"/>
      <c r="M31" s="1491"/>
      <c r="N31" s="334"/>
      <c r="O31" s="334"/>
      <c r="P31" s="335"/>
      <c r="Q31" s="335"/>
      <c r="R31" s="335"/>
      <c r="U31" s="331" t="str">
        <f ca="1">'Calculos(2)'!BO$27</f>
        <v>-</v>
      </c>
      <c r="V31" s="332"/>
      <c r="W31" s="1"/>
    </row>
    <row r="32" spans="1:23" ht="20.100000000000001" customHeight="1" x14ac:dyDescent="0.25">
      <c r="A32" s="18"/>
      <c r="B32" s="18"/>
      <c r="C32" s="18"/>
      <c r="D32" s="7"/>
      <c r="E32" s="326"/>
      <c r="F32" s="1485"/>
      <c r="G32" s="1486"/>
      <c r="H32" s="1486"/>
      <c r="I32" s="1487"/>
      <c r="J32" s="1195"/>
      <c r="K32" s="1084"/>
      <c r="L32" s="1084"/>
      <c r="M32" s="1492"/>
      <c r="N32" s="334"/>
      <c r="O32" s="334"/>
      <c r="P32" s="335"/>
      <c r="Q32" s="335"/>
      <c r="R32" s="335"/>
      <c r="U32" s="331" t="str">
        <f ca="1">'Calculos(2)'!BO$28</f>
        <v>-</v>
      </c>
      <c r="V32" s="332"/>
      <c r="W32" s="1"/>
    </row>
    <row r="33" spans="1:23" ht="20.100000000000001" customHeight="1" x14ac:dyDescent="0.25">
      <c r="A33" s="18"/>
      <c r="B33" s="18"/>
      <c r="C33" s="18"/>
      <c r="D33" s="7"/>
      <c r="E33" s="326"/>
      <c r="F33" s="1485"/>
      <c r="G33" s="1486"/>
      <c r="H33" s="1486"/>
      <c r="I33" s="1487"/>
      <c r="J33" s="1195"/>
      <c r="K33" s="1084"/>
      <c r="L33" s="1084"/>
      <c r="M33" s="1492"/>
      <c r="N33" s="334"/>
      <c r="O33" s="334"/>
      <c r="P33" s="335"/>
      <c r="Q33" s="335"/>
      <c r="R33" s="335"/>
      <c r="U33" s="331" t="str">
        <f ca="1">'Calculos(2)'!BO$29</f>
        <v>-</v>
      </c>
      <c r="V33" s="332"/>
      <c r="W33" s="1"/>
    </row>
    <row r="34" spans="1:23" ht="20.100000000000001" customHeight="1" x14ac:dyDescent="0.25">
      <c r="A34" s="18"/>
      <c r="B34" s="18"/>
      <c r="C34" s="18"/>
      <c r="D34" s="7"/>
      <c r="E34" s="326"/>
      <c r="F34" s="1485"/>
      <c r="G34" s="1486"/>
      <c r="H34" s="1486"/>
      <c r="I34" s="1487"/>
      <c r="J34" s="1195"/>
      <c r="K34" s="1084"/>
      <c r="L34" s="1084"/>
      <c r="M34" s="1492"/>
      <c r="N34" s="334"/>
      <c r="O34" s="334"/>
      <c r="P34" s="335"/>
      <c r="Q34" s="335"/>
      <c r="R34" s="335"/>
      <c r="U34" s="331" t="str">
        <f ca="1">'Calculos(2)'!BO$30</f>
        <v>-</v>
      </c>
      <c r="V34" s="332"/>
      <c r="W34" s="1"/>
    </row>
    <row r="35" spans="1:23" ht="20.100000000000001" customHeight="1" x14ac:dyDescent="0.25">
      <c r="A35" s="18"/>
      <c r="B35" s="18"/>
      <c r="C35" s="18"/>
      <c r="D35" s="7"/>
      <c r="E35" s="326"/>
      <c r="F35" s="1485"/>
      <c r="G35" s="1486"/>
      <c r="H35" s="1486"/>
      <c r="I35" s="1487"/>
      <c r="J35" s="1195"/>
      <c r="K35" s="1084"/>
      <c r="L35" s="1084"/>
      <c r="M35" s="1492"/>
      <c r="N35" s="334"/>
      <c r="O35" s="334"/>
      <c r="P35" s="335"/>
      <c r="Q35" s="335"/>
      <c r="R35" s="335"/>
      <c r="U35" s="331" t="str">
        <f ca="1">'Calculos(2)'!BO$31</f>
        <v>-</v>
      </c>
      <c r="V35" s="332"/>
      <c r="W35" s="1"/>
    </row>
    <row r="36" spans="1:23" ht="20.100000000000001" customHeight="1" x14ac:dyDescent="0.25">
      <c r="A36" s="18"/>
      <c r="B36" s="18"/>
      <c r="C36" s="18"/>
      <c r="D36" s="7"/>
      <c r="E36" s="326"/>
      <c r="F36" s="1485"/>
      <c r="G36" s="1486"/>
      <c r="H36" s="1486"/>
      <c r="I36" s="1487"/>
      <c r="J36" s="1195"/>
      <c r="K36" s="1084"/>
      <c r="L36" s="1084"/>
      <c r="M36" s="1492"/>
      <c r="N36" s="334"/>
      <c r="O36" s="334"/>
      <c r="P36" s="335"/>
      <c r="Q36" s="335"/>
      <c r="R36" s="335"/>
      <c r="U36" s="331" t="str">
        <f ca="1">'Calculos(2)'!BO$32</f>
        <v>-</v>
      </c>
      <c r="V36" s="332"/>
      <c r="W36" s="1"/>
    </row>
    <row r="37" spans="1:23" ht="20.100000000000001" customHeight="1" x14ac:dyDescent="0.25">
      <c r="A37" s="18"/>
      <c r="B37" s="18"/>
      <c r="C37" s="18"/>
      <c r="D37" s="7"/>
      <c r="E37" s="326"/>
      <c r="F37" s="1485"/>
      <c r="G37" s="1486"/>
      <c r="H37" s="1486"/>
      <c r="I37" s="1487"/>
      <c r="J37" s="1195"/>
      <c r="K37" s="1084"/>
      <c r="L37" s="1084"/>
      <c r="M37" s="1492"/>
      <c r="N37" s="334"/>
      <c r="O37" s="334"/>
      <c r="P37" s="335"/>
      <c r="Q37" s="335"/>
      <c r="R37" s="335"/>
      <c r="U37" s="331" t="str">
        <f ca="1">'Calculos(2)'!BO$33</f>
        <v>-</v>
      </c>
      <c r="V37" s="332"/>
      <c r="W37" s="1"/>
    </row>
    <row r="38" spans="1:23" ht="20.100000000000001" customHeight="1" x14ac:dyDescent="0.25">
      <c r="A38" s="18"/>
      <c r="B38" s="18"/>
      <c r="C38" s="18"/>
      <c r="D38" s="7"/>
      <c r="E38" s="326"/>
      <c r="F38" s="1485"/>
      <c r="G38" s="1486"/>
      <c r="H38" s="1486"/>
      <c r="I38" s="1487"/>
      <c r="J38" s="1195"/>
      <c r="K38" s="1084"/>
      <c r="L38" s="1084"/>
      <c r="M38" s="1492"/>
      <c r="N38" s="334"/>
      <c r="O38" s="334"/>
      <c r="P38" s="335"/>
      <c r="Q38" s="335"/>
      <c r="R38" s="335"/>
      <c r="U38" s="331" t="str">
        <f ca="1">'Calculos(2)'!BO$34</f>
        <v>-</v>
      </c>
      <c r="V38" s="332"/>
      <c r="W38" s="1"/>
    </row>
    <row r="39" spans="1:23" ht="20.100000000000001" customHeight="1" x14ac:dyDescent="0.25">
      <c r="A39" s="18"/>
      <c r="B39" s="18"/>
      <c r="C39" s="18"/>
      <c r="D39" s="7"/>
      <c r="E39" s="326"/>
      <c r="F39" s="1485"/>
      <c r="G39" s="1486"/>
      <c r="H39" s="1486"/>
      <c r="I39" s="1487"/>
      <c r="J39" s="1195"/>
      <c r="K39" s="1084"/>
      <c r="L39" s="1084"/>
      <c r="M39" s="1492"/>
      <c r="N39" s="334"/>
      <c r="O39" s="334"/>
      <c r="P39" s="335"/>
      <c r="Q39" s="335"/>
      <c r="R39" s="335"/>
      <c r="U39" s="331" t="str">
        <f ca="1">'Calculos(2)'!BO$35</f>
        <v>-</v>
      </c>
      <c r="V39" s="332"/>
      <c r="W39" s="1"/>
    </row>
    <row r="40" spans="1:23" ht="20.100000000000001" customHeight="1" x14ac:dyDescent="0.25">
      <c r="A40" s="18"/>
      <c r="B40" s="18"/>
      <c r="C40" s="18"/>
      <c r="D40" s="7"/>
      <c r="E40" s="326"/>
      <c r="F40" s="1485"/>
      <c r="G40" s="1486"/>
      <c r="H40" s="1486"/>
      <c r="I40" s="1487"/>
      <c r="J40" s="1196"/>
      <c r="K40" s="1121"/>
      <c r="L40" s="1121"/>
      <c r="M40" s="1493"/>
      <c r="N40" s="334"/>
      <c r="O40" s="334"/>
      <c r="P40" s="335"/>
      <c r="Q40" s="335"/>
      <c r="R40" s="335"/>
      <c r="U40" s="331" t="str">
        <f ca="1">'Calculos(2)'!BO$36</f>
        <v>-</v>
      </c>
      <c r="V40" s="329"/>
      <c r="W40" s="1"/>
    </row>
    <row r="41" spans="1:23" ht="20.100000000000001" customHeight="1" x14ac:dyDescent="0.25">
      <c r="A41" s="18"/>
      <c r="B41" s="18"/>
      <c r="C41" s="18"/>
      <c r="D41" s="7"/>
      <c r="E41" s="326"/>
      <c r="F41" s="1488"/>
      <c r="G41" s="1489"/>
      <c r="H41" s="1489"/>
      <c r="I41" s="1490"/>
      <c r="J41" s="1472" t="s">
        <v>80</v>
      </c>
      <c r="K41" s="1473"/>
      <c r="L41" s="1473"/>
      <c r="M41" s="1474"/>
      <c r="N41" s="334"/>
      <c r="O41" s="334"/>
      <c r="P41" s="335"/>
      <c r="Q41" s="335"/>
      <c r="R41" s="335" t="s">
        <v>10</v>
      </c>
      <c r="U41" s="331" t="str">
        <f ca="1">'Calculos(2)'!BO$37</f>
        <v>-</v>
      </c>
      <c r="V41" s="329"/>
      <c r="W41" s="1"/>
    </row>
    <row r="42" spans="1:23" ht="20.100000000000001" customHeight="1" x14ac:dyDescent="0.25">
      <c r="A42" s="18"/>
      <c r="B42" s="18"/>
      <c r="C42" s="18"/>
      <c r="D42" s="7"/>
      <c r="E42" s="336"/>
      <c r="F42" s="337"/>
      <c r="G42" s="337"/>
      <c r="H42" s="337"/>
      <c r="I42" s="337"/>
      <c r="J42" s="337"/>
      <c r="K42" s="337"/>
      <c r="L42" s="337"/>
      <c r="M42" s="337"/>
      <c r="N42" s="337"/>
      <c r="O42" s="337"/>
      <c r="P42" s="337"/>
      <c r="Q42" s="337"/>
      <c r="R42" s="337"/>
      <c r="S42" s="337"/>
      <c r="T42" s="337"/>
      <c r="U42" s="337"/>
      <c r="V42" s="338"/>
      <c r="W42" s="1"/>
    </row>
    <row r="43" spans="1:23" ht="20.100000000000001" hidden="1" customHeight="1" x14ac:dyDescent="0.25">
      <c r="A43" s="18"/>
      <c r="B43" s="18"/>
      <c r="C43" s="18"/>
      <c r="D43" s="7"/>
      <c r="E43" s="2"/>
      <c r="W43" s="1"/>
    </row>
    <row r="44" spans="1:23" ht="20.100000000000001" customHeight="1" x14ac:dyDescent="0.25">
      <c r="A44" s="18"/>
      <c r="B44" s="18"/>
      <c r="C44" s="18"/>
      <c r="D44" s="7"/>
      <c r="E44" s="7"/>
      <c r="F44" s="1"/>
      <c r="G44" s="1"/>
      <c r="H44" s="1"/>
      <c r="I44" s="1"/>
      <c r="J44" s="1"/>
      <c r="K44" s="1"/>
      <c r="L44" s="1"/>
      <c r="M44" s="1"/>
      <c r="N44" s="1"/>
      <c r="O44" s="1"/>
      <c r="P44" s="1"/>
      <c r="Q44" s="1"/>
      <c r="R44" s="1"/>
      <c r="S44" s="1"/>
      <c r="T44" s="1"/>
      <c r="U44" s="1"/>
      <c r="V44" s="1"/>
      <c r="W44" s="1"/>
    </row>
    <row r="45" spans="1:23" ht="20.100000000000001" customHeight="1" x14ac:dyDescent="0.25">
      <c r="A45" s="18"/>
      <c r="B45" s="18"/>
      <c r="C45" s="18"/>
      <c r="D45" s="7"/>
      <c r="E45" s="321"/>
      <c r="F45" s="322"/>
      <c r="G45" s="323"/>
      <c r="H45" s="323"/>
      <c r="I45" s="323"/>
      <c r="J45" s="323"/>
      <c r="K45" s="323"/>
      <c r="L45" s="323"/>
      <c r="M45" s="323"/>
      <c r="N45" s="323"/>
      <c r="O45" s="323"/>
      <c r="P45" s="323"/>
      <c r="Q45" s="323"/>
      <c r="R45" s="323"/>
      <c r="S45" s="339"/>
      <c r="T45" s="339"/>
      <c r="U45" s="340"/>
      <c r="V45" s="325"/>
      <c r="W45" s="7"/>
    </row>
    <row r="46" spans="1:23" ht="45" customHeight="1" x14ac:dyDescent="0.25">
      <c r="A46" s="18"/>
      <c r="B46" s="18"/>
      <c r="C46" s="18"/>
      <c r="D46" s="7"/>
      <c r="E46" s="326"/>
      <c r="F46" s="1494" t="s">
        <v>8606</v>
      </c>
      <c r="G46" s="1495"/>
      <c r="H46" s="1495"/>
      <c r="I46" s="1495"/>
      <c r="J46" s="1495"/>
      <c r="K46" s="1495"/>
      <c r="L46" s="1495"/>
      <c r="M46" s="1496"/>
      <c r="N46" s="327" t="str">
        <f ca="1">"Concentração"&amp;" "&amp;'Calculos(2)'!$BJ$3</f>
        <v>Concentração -</v>
      </c>
      <c r="O46" s="327" t="s">
        <v>6038</v>
      </c>
      <c r="P46" s="327" t="s">
        <v>8126</v>
      </c>
      <c r="Q46" s="327" t="s">
        <v>8028</v>
      </c>
      <c r="R46" s="327" t="s">
        <v>8603</v>
      </c>
      <c r="S46" s="327" t="s">
        <v>8127</v>
      </c>
      <c r="U46" s="328" t="s">
        <v>119</v>
      </c>
      <c r="V46" s="332"/>
      <c r="W46" s="1"/>
    </row>
    <row r="47" spans="1:23" ht="20.100000000000001" customHeight="1" x14ac:dyDescent="0.25">
      <c r="A47" s="18"/>
      <c r="B47" s="18"/>
      <c r="C47" s="18"/>
      <c r="D47" s="7"/>
      <c r="E47" s="326"/>
      <c r="F47" s="1482" t="str">
        <f ca="1">'Calculos(2)'!$BJ$4</f>
        <v>-</v>
      </c>
      <c r="G47" s="1483"/>
      <c r="H47" s="1483"/>
      <c r="I47" s="1484"/>
      <c r="J47" s="1472" t="s">
        <v>7103</v>
      </c>
      <c r="K47" s="1473"/>
      <c r="L47" s="1473"/>
      <c r="M47" s="1474"/>
      <c r="N47" s="188"/>
      <c r="O47" s="188"/>
      <c r="P47" s="330"/>
      <c r="Q47" s="330"/>
      <c r="R47" s="187">
        <v>0</v>
      </c>
      <c r="S47" s="331">
        <f>O47/2</f>
        <v>0</v>
      </c>
      <c r="U47" s="331" t="str">
        <f ca="1">'Calculos(2)'!BO$42</f>
        <v>-</v>
      </c>
      <c r="V47" s="332"/>
      <c r="W47" s="1"/>
    </row>
    <row r="48" spans="1:23" ht="20.100000000000001" customHeight="1" x14ac:dyDescent="0.25">
      <c r="A48" s="18"/>
      <c r="B48" s="18"/>
      <c r="C48" s="18"/>
      <c r="D48" s="7"/>
      <c r="E48" s="326"/>
      <c r="F48" s="1485"/>
      <c r="G48" s="1486"/>
      <c r="H48" s="1486"/>
      <c r="I48" s="1487"/>
      <c r="J48" s="1193" t="s">
        <v>8027</v>
      </c>
      <c r="K48" s="1194"/>
      <c r="L48" s="1194"/>
      <c r="M48" s="1491"/>
      <c r="N48" s="188"/>
      <c r="O48" s="188"/>
      <c r="P48" s="330"/>
      <c r="Q48" s="330"/>
      <c r="R48" s="187"/>
      <c r="U48" s="331" t="str">
        <f ca="1">'Calculos(2)'!BO$43</f>
        <v>-</v>
      </c>
      <c r="V48" s="332"/>
      <c r="W48" s="1"/>
    </row>
    <row r="49" spans="1:23" ht="20.100000000000001" customHeight="1" x14ac:dyDescent="0.25">
      <c r="A49" s="18"/>
      <c r="B49" s="18"/>
      <c r="C49" s="18"/>
      <c r="D49" s="7"/>
      <c r="E49" s="326"/>
      <c r="F49" s="1485"/>
      <c r="G49" s="1486"/>
      <c r="H49" s="1486"/>
      <c r="I49" s="1487"/>
      <c r="J49" s="1195"/>
      <c r="K49" s="1084"/>
      <c r="L49" s="1084"/>
      <c r="M49" s="1492"/>
      <c r="N49" s="188"/>
      <c r="O49" s="188"/>
      <c r="P49" s="330"/>
      <c r="Q49" s="330"/>
      <c r="R49" s="187"/>
      <c r="U49" s="331" t="str">
        <f ca="1">'Calculos(2)'!BO$44</f>
        <v>-</v>
      </c>
      <c r="V49" s="332"/>
      <c r="W49" s="1"/>
    </row>
    <row r="50" spans="1:23" ht="20.100000000000001" customHeight="1" x14ac:dyDescent="0.25">
      <c r="A50" s="18"/>
      <c r="B50" s="18"/>
      <c r="C50" s="18"/>
      <c r="D50" s="7"/>
      <c r="E50" s="326"/>
      <c r="F50" s="1485"/>
      <c r="G50" s="1486"/>
      <c r="H50" s="1486"/>
      <c r="I50" s="1487"/>
      <c r="J50" s="1195"/>
      <c r="K50" s="1084"/>
      <c r="L50" s="1084"/>
      <c r="M50" s="1492"/>
      <c r="N50" s="188"/>
      <c r="O50" s="188"/>
      <c r="P50" s="330"/>
      <c r="Q50" s="330"/>
      <c r="R50" s="187"/>
      <c r="U50" s="331" t="str">
        <f ca="1">'Calculos(2)'!BO$45</f>
        <v>-</v>
      </c>
      <c r="V50" s="332"/>
      <c r="W50" s="1"/>
    </row>
    <row r="51" spans="1:23" ht="20.100000000000001" customHeight="1" x14ac:dyDescent="0.25">
      <c r="A51" s="18"/>
      <c r="B51" s="18"/>
      <c r="C51" s="18"/>
      <c r="D51" s="7"/>
      <c r="E51" s="326"/>
      <c r="F51" s="1485"/>
      <c r="G51" s="1486"/>
      <c r="H51" s="1486"/>
      <c r="I51" s="1487"/>
      <c r="J51" s="1195"/>
      <c r="K51" s="1084"/>
      <c r="L51" s="1084"/>
      <c r="M51" s="1492"/>
      <c r="N51" s="188"/>
      <c r="O51" s="188"/>
      <c r="P51" s="330"/>
      <c r="Q51" s="330"/>
      <c r="R51" s="187"/>
      <c r="U51" s="331" t="str">
        <f ca="1">'Calculos(2)'!BO$46</f>
        <v>-</v>
      </c>
      <c r="V51" s="332"/>
      <c r="W51" s="1"/>
    </row>
    <row r="52" spans="1:23" ht="20.100000000000001" customHeight="1" x14ac:dyDescent="0.25">
      <c r="A52" s="18"/>
      <c r="B52" s="18"/>
      <c r="C52" s="18"/>
      <c r="D52" s="7"/>
      <c r="E52" s="326"/>
      <c r="F52" s="1485"/>
      <c r="G52" s="1486"/>
      <c r="H52" s="1486"/>
      <c r="I52" s="1487"/>
      <c r="J52" s="1195"/>
      <c r="K52" s="1084"/>
      <c r="L52" s="1084"/>
      <c r="M52" s="1492"/>
      <c r="N52" s="188"/>
      <c r="O52" s="188"/>
      <c r="P52" s="330"/>
      <c r="Q52" s="330"/>
      <c r="R52" s="187"/>
      <c r="U52" s="331" t="str">
        <f ca="1">'Calculos(2)'!BO$47</f>
        <v>-</v>
      </c>
      <c r="V52" s="332"/>
      <c r="W52" s="1"/>
    </row>
    <row r="53" spans="1:23" ht="20.100000000000001" customHeight="1" x14ac:dyDescent="0.25">
      <c r="A53" s="18"/>
      <c r="B53" s="18"/>
      <c r="C53" s="18"/>
      <c r="D53" s="7"/>
      <c r="E53" s="326"/>
      <c r="F53" s="1485"/>
      <c r="G53" s="1486"/>
      <c r="H53" s="1486"/>
      <c r="I53" s="1487"/>
      <c r="J53" s="1195"/>
      <c r="K53" s="1084"/>
      <c r="L53" s="1084"/>
      <c r="M53" s="1492"/>
      <c r="N53" s="188"/>
      <c r="O53" s="188"/>
      <c r="P53" s="330"/>
      <c r="Q53" s="330"/>
      <c r="R53" s="187"/>
      <c r="U53" s="331" t="str">
        <f ca="1">'Calculos(2)'!BO$48</f>
        <v>-</v>
      </c>
      <c r="V53" s="332"/>
      <c r="W53" s="1"/>
    </row>
    <row r="54" spans="1:23" ht="20.100000000000001" customHeight="1" x14ac:dyDescent="0.25">
      <c r="A54" s="18"/>
      <c r="B54" s="18"/>
      <c r="C54" s="18"/>
      <c r="D54" s="7"/>
      <c r="E54" s="326"/>
      <c r="F54" s="1485"/>
      <c r="G54" s="1486"/>
      <c r="H54" s="1486"/>
      <c r="I54" s="1487"/>
      <c r="J54" s="1195"/>
      <c r="K54" s="1084"/>
      <c r="L54" s="1084"/>
      <c r="M54" s="1492"/>
      <c r="N54" s="188"/>
      <c r="O54" s="188"/>
      <c r="P54" s="330"/>
      <c r="Q54" s="330"/>
      <c r="R54" s="187"/>
      <c r="U54" s="331" t="str">
        <f ca="1">'Calculos(2)'!BO$49</f>
        <v>-</v>
      </c>
      <c r="V54" s="332"/>
      <c r="W54" s="1"/>
    </row>
    <row r="55" spans="1:23" ht="20.100000000000001" customHeight="1" x14ac:dyDescent="0.25">
      <c r="A55" s="18"/>
      <c r="B55" s="18"/>
      <c r="C55" s="18"/>
      <c r="D55" s="7"/>
      <c r="E55" s="326"/>
      <c r="F55" s="1485"/>
      <c r="G55" s="1486"/>
      <c r="H55" s="1486"/>
      <c r="I55" s="1487"/>
      <c r="J55" s="1195"/>
      <c r="K55" s="1084"/>
      <c r="L55" s="1084"/>
      <c r="M55" s="1492"/>
      <c r="N55" s="188"/>
      <c r="O55" s="188"/>
      <c r="P55" s="330"/>
      <c r="Q55" s="330"/>
      <c r="R55" s="187"/>
      <c r="U55" s="331" t="str">
        <f ca="1">'Calculos(2)'!BO$50</f>
        <v>-</v>
      </c>
      <c r="V55" s="332"/>
      <c r="W55" s="1"/>
    </row>
    <row r="56" spans="1:23" ht="20.100000000000001" customHeight="1" x14ac:dyDescent="0.25">
      <c r="A56" s="18"/>
      <c r="B56" s="18"/>
      <c r="C56" s="18"/>
      <c r="D56" s="7"/>
      <c r="E56" s="326"/>
      <c r="F56" s="1485"/>
      <c r="G56" s="1486"/>
      <c r="H56" s="1486"/>
      <c r="I56" s="1487"/>
      <c r="J56" s="1195"/>
      <c r="K56" s="1084"/>
      <c r="L56" s="1084"/>
      <c r="M56" s="1492"/>
      <c r="N56" s="188"/>
      <c r="O56" s="188"/>
      <c r="P56" s="330"/>
      <c r="Q56" s="330"/>
      <c r="R56" s="187"/>
      <c r="U56" s="331" t="str">
        <f ca="1">'Calculos(2)'!BO$51</f>
        <v>-</v>
      </c>
      <c r="V56" s="332"/>
      <c r="W56" s="1"/>
    </row>
    <row r="57" spans="1:23" ht="20.100000000000001" customHeight="1" x14ac:dyDescent="0.25">
      <c r="A57" s="18"/>
      <c r="B57" s="18"/>
      <c r="C57" s="18"/>
      <c r="D57" s="7"/>
      <c r="E57" s="326"/>
      <c r="F57" s="1485"/>
      <c r="G57" s="1486"/>
      <c r="H57" s="1486"/>
      <c r="I57" s="1487"/>
      <c r="J57" s="1196"/>
      <c r="K57" s="1121"/>
      <c r="L57" s="1121"/>
      <c r="M57" s="1493"/>
      <c r="N57" s="188"/>
      <c r="O57" s="188"/>
      <c r="P57" s="330"/>
      <c r="Q57" s="330"/>
      <c r="R57" s="187"/>
      <c r="U57" s="331" t="str">
        <f ca="1">'Calculos(2)'!BO$52</f>
        <v>-</v>
      </c>
      <c r="V57" s="332"/>
      <c r="W57" s="1"/>
    </row>
    <row r="58" spans="1:23" ht="20.100000000000001" customHeight="1" x14ac:dyDescent="0.25">
      <c r="A58" s="18"/>
      <c r="B58" s="18"/>
      <c r="C58" s="18"/>
      <c r="D58" s="7"/>
      <c r="E58" s="326"/>
      <c r="F58" s="1488"/>
      <c r="G58" s="1489"/>
      <c r="H58" s="1489"/>
      <c r="I58" s="1490"/>
      <c r="J58" s="1472" t="s">
        <v>80</v>
      </c>
      <c r="K58" s="1473"/>
      <c r="L58" s="1473"/>
      <c r="M58" s="1474"/>
      <c r="N58" s="188"/>
      <c r="O58" s="188"/>
      <c r="P58" s="330"/>
      <c r="Q58" s="330"/>
      <c r="R58" s="187" t="s">
        <v>10</v>
      </c>
      <c r="U58" s="331" t="str">
        <f ca="1">'Calculos(2)'!BO$53</f>
        <v>-</v>
      </c>
      <c r="V58" s="332"/>
      <c r="W58" s="1"/>
    </row>
    <row r="59" spans="1:23" ht="20.100000000000001" customHeight="1" x14ac:dyDescent="0.25">
      <c r="A59" s="18"/>
      <c r="B59" s="18"/>
      <c r="C59" s="18"/>
      <c r="D59" s="7"/>
      <c r="E59" s="326"/>
      <c r="V59" s="332"/>
      <c r="W59" s="1"/>
    </row>
    <row r="60" spans="1:23" ht="20.100000000000001" hidden="1" customHeight="1" x14ac:dyDescent="0.25">
      <c r="A60" s="18"/>
      <c r="B60" s="18"/>
      <c r="C60" s="18"/>
      <c r="D60" s="7"/>
      <c r="E60" s="326"/>
      <c r="V60" s="332"/>
      <c r="W60" s="1"/>
    </row>
    <row r="61" spans="1:23" ht="20.100000000000001" hidden="1" customHeight="1" x14ac:dyDescent="0.25">
      <c r="A61" s="18"/>
      <c r="B61" s="18"/>
      <c r="C61" s="18"/>
      <c r="D61" s="7"/>
      <c r="E61" s="326"/>
      <c r="V61" s="332"/>
      <c r="W61" s="1"/>
    </row>
    <row r="62" spans="1:23" ht="20.100000000000001" customHeight="1" x14ac:dyDescent="0.25">
      <c r="A62" s="18"/>
      <c r="B62" s="18"/>
      <c r="C62" s="18"/>
      <c r="D62" s="7"/>
      <c r="E62" s="326"/>
      <c r="V62" s="332"/>
      <c r="W62" s="1"/>
    </row>
    <row r="63" spans="1:23" ht="45" customHeight="1" x14ac:dyDescent="0.25">
      <c r="A63" s="18"/>
      <c r="B63" s="18"/>
      <c r="C63" s="18"/>
      <c r="D63" s="7"/>
      <c r="E63" s="326"/>
      <c r="F63" s="1479" t="s">
        <v>8615</v>
      </c>
      <c r="G63" s="1480"/>
      <c r="H63" s="1480"/>
      <c r="I63" s="1480"/>
      <c r="J63" s="1480"/>
      <c r="K63" s="1480"/>
      <c r="L63" s="1480"/>
      <c r="M63" s="1481"/>
      <c r="N63" s="333" t="str">
        <f ca="1">"Concentração"&amp;" "&amp;'Calculos(2)'!$BJ$3</f>
        <v>Concentração -</v>
      </c>
      <c r="O63" s="333" t="s">
        <v>6038</v>
      </c>
      <c r="P63" s="333" t="s">
        <v>8126</v>
      </c>
      <c r="Q63" s="333" t="s">
        <v>8028</v>
      </c>
      <c r="R63" s="333" t="s">
        <v>8603</v>
      </c>
      <c r="S63" s="333" t="s">
        <v>8127</v>
      </c>
      <c r="U63" s="328" t="s">
        <v>119</v>
      </c>
      <c r="V63" s="332"/>
      <c r="W63" s="1"/>
    </row>
    <row r="64" spans="1:23" ht="20.100000000000001" customHeight="1" x14ac:dyDescent="0.25">
      <c r="A64" s="18"/>
      <c r="B64" s="18"/>
      <c r="C64" s="18"/>
      <c r="D64" s="7"/>
      <c r="E64" s="326"/>
      <c r="F64" s="1482" t="str">
        <f ca="1">'Calculos(2)'!$BJ$4</f>
        <v>-</v>
      </c>
      <c r="G64" s="1483"/>
      <c r="H64" s="1483"/>
      <c r="I64" s="1484"/>
      <c r="J64" s="1472" t="s">
        <v>7103</v>
      </c>
      <c r="K64" s="1473"/>
      <c r="L64" s="1473"/>
      <c r="M64" s="1474"/>
      <c r="N64" s="334"/>
      <c r="O64" s="334"/>
      <c r="P64" s="335"/>
      <c r="Q64" s="335"/>
      <c r="R64" s="335">
        <v>0</v>
      </c>
      <c r="S64" s="331">
        <f>O64/2</f>
        <v>0</v>
      </c>
      <c r="U64" s="331" t="str">
        <f ca="1">'Calculos(2)'!BO$58</f>
        <v>-</v>
      </c>
      <c r="V64" s="332"/>
      <c r="W64" s="1"/>
    </row>
    <row r="65" spans="1:23" ht="20.100000000000001" customHeight="1" x14ac:dyDescent="0.25">
      <c r="A65" s="18"/>
      <c r="B65" s="18"/>
      <c r="C65" s="18"/>
      <c r="D65" s="7"/>
      <c r="E65" s="326"/>
      <c r="F65" s="1485"/>
      <c r="G65" s="1486"/>
      <c r="H65" s="1486"/>
      <c r="I65" s="1487"/>
      <c r="J65" s="1193" t="s">
        <v>8027</v>
      </c>
      <c r="K65" s="1194"/>
      <c r="L65" s="1194"/>
      <c r="M65" s="1491"/>
      <c r="N65" s="334"/>
      <c r="O65" s="334"/>
      <c r="P65" s="335"/>
      <c r="Q65" s="335"/>
      <c r="R65" s="335"/>
      <c r="U65" s="331" t="str">
        <f ca="1">'Calculos(2)'!BO$59</f>
        <v>-</v>
      </c>
      <c r="V65" s="332"/>
      <c r="W65" s="1"/>
    </row>
    <row r="66" spans="1:23" ht="20.100000000000001" customHeight="1" x14ac:dyDescent="0.25">
      <c r="A66" s="18"/>
      <c r="B66" s="18"/>
      <c r="C66" s="18"/>
      <c r="D66" s="7"/>
      <c r="E66" s="326"/>
      <c r="F66" s="1485"/>
      <c r="G66" s="1486"/>
      <c r="H66" s="1486"/>
      <c r="I66" s="1487"/>
      <c r="J66" s="1195"/>
      <c r="K66" s="1084"/>
      <c r="L66" s="1084"/>
      <c r="M66" s="1492"/>
      <c r="N66" s="334"/>
      <c r="O66" s="334"/>
      <c r="P66" s="335"/>
      <c r="Q66" s="335"/>
      <c r="R66" s="335"/>
      <c r="U66" s="331" t="str">
        <f ca="1">'Calculos(2)'!BO$60</f>
        <v>-</v>
      </c>
      <c r="V66" s="332"/>
      <c r="W66" s="1"/>
    </row>
    <row r="67" spans="1:23" ht="20.100000000000001" customHeight="1" x14ac:dyDescent="0.25">
      <c r="A67" s="18"/>
      <c r="B67" s="18"/>
      <c r="C67" s="18"/>
      <c r="D67" s="7"/>
      <c r="E67" s="326"/>
      <c r="F67" s="1485"/>
      <c r="G67" s="1486"/>
      <c r="H67" s="1486"/>
      <c r="I67" s="1487"/>
      <c r="J67" s="1195"/>
      <c r="K67" s="1084"/>
      <c r="L67" s="1084"/>
      <c r="M67" s="1492"/>
      <c r="N67" s="334"/>
      <c r="O67" s="334"/>
      <c r="P67" s="335"/>
      <c r="Q67" s="335"/>
      <c r="R67" s="335"/>
      <c r="U67" s="331" t="str">
        <f ca="1">'Calculos(2)'!BO$61</f>
        <v>-</v>
      </c>
      <c r="V67" s="332"/>
      <c r="W67" s="1"/>
    </row>
    <row r="68" spans="1:23" ht="20.100000000000001" customHeight="1" x14ac:dyDescent="0.25">
      <c r="A68" s="18"/>
      <c r="B68" s="18"/>
      <c r="C68" s="18"/>
      <c r="D68" s="7"/>
      <c r="E68" s="326"/>
      <c r="F68" s="1485"/>
      <c r="G68" s="1486"/>
      <c r="H68" s="1486"/>
      <c r="I68" s="1487"/>
      <c r="J68" s="1195"/>
      <c r="K68" s="1084"/>
      <c r="L68" s="1084"/>
      <c r="M68" s="1492"/>
      <c r="N68" s="334"/>
      <c r="O68" s="334"/>
      <c r="P68" s="335"/>
      <c r="Q68" s="335"/>
      <c r="R68" s="335"/>
      <c r="U68" s="331" t="str">
        <f ca="1">'Calculos(2)'!BO$62</f>
        <v>-</v>
      </c>
      <c r="V68" s="332"/>
      <c r="W68" s="1"/>
    </row>
    <row r="69" spans="1:23" ht="20.100000000000001" customHeight="1" x14ac:dyDescent="0.25">
      <c r="A69" s="18"/>
      <c r="B69" s="18"/>
      <c r="C69" s="18"/>
      <c r="D69" s="7"/>
      <c r="E69" s="326"/>
      <c r="F69" s="1485"/>
      <c r="G69" s="1486"/>
      <c r="H69" s="1486"/>
      <c r="I69" s="1487"/>
      <c r="J69" s="1195"/>
      <c r="K69" s="1084"/>
      <c r="L69" s="1084"/>
      <c r="M69" s="1492"/>
      <c r="N69" s="334"/>
      <c r="O69" s="334"/>
      <c r="P69" s="335"/>
      <c r="Q69" s="335"/>
      <c r="R69" s="335"/>
      <c r="U69" s="331" t="str">
        <f ca="1">'Calculos(2)'!BO$63</f>
        <v>-</v>
      </c>
      <c r="V69" s="332"/>
      <c r="W69" s="1"/>
    </row>
    <row r="70" spans="1:23" ht="20.100000000000001" customHeight="1" x14ac:dyDescent="0.25">
      <c r="A70" s="18"/>
      <c r="B70" s="18"/>
      <c r="C70" s="18"/>
      <c r="D70" s="7"/>
      <c r="E70" s="326"/>
      <c r="F70" s="1485"/>
      <c r="G70" s="1486"/>
      <c r="H70" s="1486"/>
      <c r="I70" s="1487"/>
      <c r="J70" s="1195"/>
      <c r="K70" s="1084"/>
      <c r="L70" s="1084"/>
      <c r="M70" s="1492"/>
      <c r="N70" s="334"/>
      <c r="O70" s="334"/>
      <c r="P70" s="335"/>
      <c r="Q70" s="335"/>
      <c r="R70" s="335"/>
      <c r="U70" s="331" t="str">
        <f ca="1">'Calculos(2)'!BO$64</f>
        <v>-</v>
      </c>
      <c r="V70" s="332"/>
      <c r="W70" s="1"/>
    </row>
    <row r="71" spans="1:23" ht="20.100000000000001" customHeight="1" x14ac:dyDescent="0.25">
      <c r="A71" s="18"/>
      <c r="B71" s="18"/>
      <c r="C71" s="18"/>
      <c r="D71" s="7"/>
      <c r="E71" s="326"/>
      <c r="F71" s="1485"/>
      <c r="G71" s="1486"/>
      <c r="H71" s="1486"/>
      <c r="I71" s="1487"/>
      <c r="J71" s="1195"/>
      <c r="K71" s="1084"/>
      <c r="L71" s="1084"/>
      <c r="M71" s="1492"/>
      <c r="N71" s="334"/>
      <c r="O71" s="334"/>
      <c r="P71" s="335"/>
      <c r="Q71" s="335"/>
      <c r="R71" s="335"/>
      <c r="U71" s="331" t="str">
        <f ca="1">'Calculos(2)'!BO$65</f>
        <v>-</v>
      </c>
      <c r="V71" s="332"/>
      <c r="W71" s="1"/>
    </row>
    <row r="72" spans="1:23" ht="20.100000000000001" customHeight="1" x14ac:dyDescent="0.25">
      <c r="A72" s="18"/>
      <c r="B72" s="18"/>
      <c r="C72" s="18"/>
      <c r="D72" s="7"/>
      <c r="E72" s="326"/>
      <c r="F72" s="1485"/>
      <c r="G72" s="1486"/>
      <c r="H72" s="1486"/>
      <c r="I72" s="1487"/>
      <c r="J72" s="1195"/>
      <c r="K72" s="1084"/>
      <c r="L72" s="1084"/>
      <c r="M72" s="1492"/>
      <c r="N72" s="334"/>
      <c r="O72" s="334"/>
      <c r="P72" s="335"/>
      <c r="Q72" s="335"/>
      <c r="R72" s="335"/>
      <c r="U72" s="331" t="str">
        <f ca="1">'Calculos(2)'!BO$66</f>
        <v>-</v>
      </c>
      <c r="V72" s="332"/>
      <c r="W72" s="1"/>
    </row>
    <row r="73" spans="1:23" ht="20.100000000000001" customHeight="1" x14ac:dyDescent="0.25">
      <c r="A73" s="18"/>
      <c r="B73" s="18"/>
      <c r="C73" s="18"/>
      <c r="D73" s="7"/>
      <c r="E73" s="326"/>
      <c r="F73" s="1485"/>
      <c r="G73" s="1486"/>
      <c r="H73" s="1486"/>
      <c r="I73" s="1487"/>
      <c r="J73" s="1195"/>
      <c r="K73" s="1084"/>
      <c r="L73" s="1084"/>
      <c r="M73" s="1492"/>
      <c r="N73" s="334"/>
      <c r="O73" s="334"/>
      <c r="P73" s="335"/>
      <c r="Q73" s="335"/>
      <c r="R73" s="335"/>
      <c r="U73" s="331" t="str">
        <f ca="1">'Calculos(2)'!BO$67</f>
        <v>-</v>
      </c>
      <c r="V73" s="332"/>
      <c r="W73" s="1"/>
    </row>
    <row r="74" spans="1:23" ht="20.100000000000001" customHeight="1" x14ac:dyDescent="0.25">
      <c r="A74" s="18"/>
      <c r="B74" s="18"/>
      <c r="C74" s="18"/>
      <c r="D74" s="7"/>
      <c r="E74" s="326"/>
      <c r="F74" s="1485"/>
      <c r="G74" s="1486"/>
      <c r="H74" s="1486"/>
      <c r="I74" s="1487"/>
      <c r="J74" s="1196"/>
      <c r="K74" s="1121"/>
      <c r="L74" s="1121"/>
      <c r="M74" s="1493"/>
      <c r="N74" s="334"/>
      <c r="O74" s="334"/>
      <c r="P74" s="335"/>
      <c r="Q74" s="335"/>
      <c r="R74" s="335"/>
      <c r="U74" s="331" t="str">
        <f ca="1">'Calculos(2)'!BO$68</f>
        <v>-</v>
      </c>
      <c r="V74" s="329"/>
      <c r="W74" s="1"/>
    </row>
    <row r="75" spans="1:23" ht="20.100000000000001" customHeight="1" x14ac:dyDescent="0.25">
      <c r="A75" s="18"/>
      <c r="B75" s="18"/>
      <c r="C75" s="18"/>
      <c r="D75" s="7"/>
      <c r="E75" s="326"/>
      <c r="F75" s="1488"/>
      <c r="G75" s="1489"/>
      <c r="H75" s="1489"/>
      <c r="I75" s="1490"/>
      <c r="J75" s="1472" t="s">
        <v>80</v>
      </c>
      <c r="K75" s="1473"/>
      <c r="L75" s="1473"/>
      <c r="M75" s="1474"/>
      <c r="N75" s="334"/>
      <c r="O75" s="334"/>
      <c r="P75" s="335"/>
      <c r="Q75" s="335"/>
      <c r="R75" s="335" t="s">
        <v>10</v>
      </c>
      <c r="U75" s="331" t="str">
        <f ca="1">'Calculos(2)'!BO$69</f>
        <v>-</v>
      </c>
      <c r="V75" s="329"/>
      <c r="W75" s="1"/>
    </row>
    <row r="76" spans="1:23" ht="20.100000000000001" customHeight="1" x14ac:dyDescent="0.25">
      <c r="A76" s="18"/>
      <c r="B76" s="18"/>
      <c r="C76" s="18"/>
      <c r="D76" s="7"/>
      <c r="E76" s="336"/>
      <c r="F76" s="337"/>
      <c r="G76" s="337"/>
      <c r="H76" s="337"/>
      <c r="I76" s="337"/>
      <c r="J76" s="337"/>
      <c r="K76" s="337"/>
      <c r="L76" s="337"/>
      <c r="M76" s="337"/>
      <c r="N76" s="337"/>
      <c r="O76" s="337"/>
      <c r="P76" s="337"/>
      <c r="Q76" s="337"/>
      <c r="R76" s="337"/>
      <c r="S76" s="337"/>
      <c r="T76" s="337"/>
      <c r="U76" s="337"/>
      <c r="V76" s="338"/>
      <c r="W76" s="1"/>
    </row>
    <row r="77" spans="1:23" ht="20.100000000000001" hidden="1" customHeight="1" x14ac:dyDescent="0.25">
      <c r="A77" s="18"/>
      <c r="B77" s="18"/>
      <c r="C77" s="18"/>
      <c r="D77" s="7"/>
      <c r="E77" s="2"/>
      <c r="W77" s="1"/>
    </row>
    <row r="78" spans="1:23" ht="20.100000000000001" customHeight="1" x14ac:dyDescent="0.25">
      <c r="A78" s="18"/>
      <c r="B78" s="18"/>
      <c r="C78" s="18"/>
      <c r="D78" s="7"/>
      <c r="E78" s="7"/>
      <c r="F78" s="7"/>
      <c r="G78" s="7"/>
      <c r="H78" s="7"/>
      <c r="I78" s="7"/>
      <c r="J78" s="7"/>
      <c r="K78" s="7"/>
      <c r="L78" s="7"/>
      <c r="M78" s="7"/>
      <c r="N78" s="7"/>
      <c r="O78" s="7"/>
      <c r="P78" s="7"/>
      <c r="Q78" s="7"/>
      <c r="R78" s="7"/>
      <c r="S78" s="7"/>
      <c r="T78" s="7"/>
      <c r="U78" s="7"/>
      <c r="V78" s="7"/>
      <c r="W78" s="7"/>
    </row>
    <row r="79" spans="1:23" ht="20.100000000000001" customHeight="1" x14ac:dyDescent="0.25">
      <c r="A79" s="18"/>
      <c r="B79" s="18"/>
      <c r="C79" s="18"/>
      <c r="D79" s="7"/>
      <c r="E79" s="321"/>
      <c r="F79" s="322"/>
      <c r="G79" s="323"/>
      <c r="H79" s="323"/>
      <c r="I79" s="323"/>
      <c r="J79" s="323"/>
      <c r="K79" s="323"/>
      <c r="L79" s="323"/>
      <c r="M79" s="323"/>
      <c r="N79" s="323"/>
      <c r="O79" s="323"/>
      <c r="P79" s="323"/>
      <c r="Q79" s="323"/>
      <c r="R79" s="323"/>
      <c r="S79" s="339"/>
      <c r="T79" s="339"/>
      <c r="U79" s="340"/>
      <c r="V79" s="325"/>
      <c r="W79" s="1"/>
    </row>
    <row r="80" spans="1:23" ht="45" customHeight="1" x14ac:dyDescent="0.25">
      <c r="A80" s="18"/>
      <c r="B80" s="18"/>
      <c r="C80" s="18"/>
      <c r="D80" s="7"/>
      <c r="E80" s="326"/>
      <c r="F80" s="1494" t="s">
        <v>8607</v>
      </c>
      <c r="G80" s="1495"/>
      <c r="H80" s="1495"/>
      <c r="I80" s="1495"/>
      <c r="J80" s="1495"/>
      <c r="K80" s="1495"/>
      <c r="L80" s="1495"/>
      <c r="M80" s="1496"/>
      <c r="N80" s="327" t="str">
        <f ca="1">"Concentração"&amp;" "&amp;'Calculos(2)'!$BJ$3</f>
        <v>Concentração -</v>
      </c>
      <c r="O80" s="327" t="s">
        <v>6038</v>
      </c>
      <c r="P80" s="327" t="s">
        <v>8126</v>
      </c>
      <c r="Q80" s="327" t="s">
        <v>8028</v>
      </c>
      <c r="R80" s="327" t="s">
        <v>8603</v>
      </c>
      <c r="S80" s="327" t="s">
        <v>8127</v>
      </c>
      <c r="U80" s="328" t="s">
        <v>119</v>
      </c>
      <c r="V80" s="332"/>
      <c r="W80" s="1"/>
    </row>
    <row r="81" spans="1:23" ht="20.100000000000001" customHeight="1" x14ac:dyDescent="0.25">
      <c r="A81" s="18"/>
      <c r="B81" s="18"/>
      <c r="C81" s="18"/>
      <c r="D81" s="7"/>
      <c r="E81" s="326"/>
      <c r="F81" s="1482" t="str">
        <f ca="1">'Calculos(2)'!$BJ$4</f>
        <v>-</v>
      </c>
      <c r="G81" s="1483"/>
      <c r="H81" s="1483"/>
      <c r="I81" s="1484"/>
      <c r="J81" s="1472" t="s">
        <v>7103</v>
      </c>
      <c r="K81" s="1473"/>
      <c r="L81" s="1473"/>
      <c r="M81" s="1474"/>
      <c r="N81" s="188"/>
      <c r="O81" s="188"/>
      <c r="P81" s="330"/>
      <c r="Q81" s="330"/>
      <c r="R81" s="187">
        <v>0</v>
      </c>
      <c r="S81" s="331">
        <f>O81/2</f>
        <v>0</v>
      </c>
      <c r="U81" s="331" t="str">
        <f ca="1">'Calculos(2)'!BO$74</f>
        <v>-</v>
      </c>
      <c r="V81" s="332"/>
      <c r="W81" s="1"/>
    </row>
    <row r="82" spans="1:23" ht="20.100000000000001" customHeight="1" x14ac:dyDescent="0.25">
      <c r="A82" s="18"/>
      <c r="B82" s="18"/>
      <c r="C82" s="18"/>
      <c r="D82" s="7"/>
      <c r="E82" s="326"/>
      <c r="F82" s="1485"/>
      <c r="G82" s="1486"/>
      <c r="H82" s="1486"/>
      <c r="I82" s="1487"/>
      <c r="J82" s="1193" t="s">
        <v>8027</v>
      </c>
      <c r="K82" s="1194"/>
      <c r="L82" s="1194"/>
      <c r="M82" s="1491"/>
      <c r="N82" s="188"/>
      <c r="O82" s="188"/>
      <c r="P82" s="330"/>
      <c r="Q82" s="330"/>
      <c r="R82" s="187"/>
      <c r="U82" s="331" t="str">
        <f ca="1">'Calculos(2)'!BO$75</f>
        <v>-</v>
      </c>
      <c r="V82" s="332"/>
      <c r="W82" s="1"/>
    </row>
    <row r="83" spans="1:23" ht="20.100000000000001" customHeight="1" x14ac:dyDescent="0.25">
      <c r="A83" s="18"/>
      <c r="B83" s="18"/>
      <c r="C83" s="18"/>
      <c r="D83" s="7"/>
      <c r="E83" s="326"/>
      <c r="F83" s="1485"/>
      <c r="G83" s="1486"/>
      <c r="H83" s="1486"/>
      <c r="I83" s="1487"/>
      <c r="J83" s="1195"/>
      <c r="K83" s="1084"/>
      <c r="L83" s="1084"/>
      <c r="M83" s="1492"/>
      <c r="N83" s="188"/>
      <c r="O83" s="188"/>
      <c r="P83" s="330"/>
      <c r="Q83" s="330"/>
      <c r="R83" s="187"/>
      <c r="U83" s="331" t="str">
        <f ca="1">'Calculos(2)'!BO$76</f>
        <v>-</v>
      </c>
      <c r="V83" s="332"/>
      <c r="W83" s="1"/>
    </row>
    <row r="84" spans="1:23" ht="20.100000000000001" customHeight="1" x14ac:dyDescent="0.25">
      <c r="A84" s="18"/>
      <c r="B84" s="18"/>
      <c r="C84" s="18"/>
      <c r="D84" s="7"/>
      <c r="E84" s="326"/>
      <c r="F84" s="1485"/>
      <c r="G84" s="1486"/>
      <c r="H84" s="1486"/>
      <c r="I84" s="1487"/>
      <c r="J84" s="1195"/>
      <c r="K84" s="1084"/>
      <c r="L84" s="1084"/>
      <c r="M84" s="1492"/>
      <c r="N84" s="188"/>
      <c r="O84" s="188"/>
      <c r="P84" s="330"/>
      <c r="Q84" s="330"/>
      <c r="R84" s="187"/>
      <c r="U84" s="331" t="str">
        <f ca="1">'Calculos(2)'!BO$77</f>
        <v>-</v>
      </c>
      <c r="V84" s="332"/>
      <c r="W84" s="1"/>
    </row>
    <row r="85" spans="1:23" ht="20.100000000000001" customHeight="1" x14ac:dyDescent="0.25">
      <c r="A85" s="18"/>
      <c r="B85" s="18"/>
      <c r="C85" s="18"/>
      <c r="D85" s="7"/>
      <c r="E85" s="326"/>
      <c r="F85" s="1485"/>
      <c r="G85" s="1486"/>
      <c r="H85" s="1486"/>
      <c r="I85" s="1487"/>
      <c r="J85" s="1195"/>
      <c r="K85" s="1084"/>
      <c r="L85" s="1084"/>
      <c r="M85" s="1492"/>
      <c r="N85" s="188"/>
      <c r="O85" s="188"/>
      <c r="P85" s="330"/>
      <c r="Q85" s="330"/>
      <c r="R85" s="187"/>
      <c r="U85" s="331" t="str">
        <f ca="1">'Calculos(2)'!BO$78</f>
        <v>-</v>
      </c>
      <c r="V85" s="332"/>
      <c r="W85" s="1"/>
    </row>
    <row r="86" spans="1:23" ht="20.100000000000001" customHeight="1" x14ac:dyDescent="0.25">
      <c r="A86" s="18"/>
      <c r="B86" s="18"/>
      <c r="C86" s="18"/>
      <c r="D86" s="7"/>
      <c r="E86" s="326"/>
      <c r="F86" s="1485"/>
      <c r="G86" s="1486"/>
      <c r="H86" s="1486"/>
      <c r="I86" s="1487"/>
      <c r="J86" s="1195"/>
      <c r="K86" s="1084"/>
      <c r="L86" s="1084"/>
      <c r="M86" s="1492"/>
      <c r="N86" s="188"/>
      <c r="O86" s="188"/>
      <c r="P86" s="330"/>
      <c r="Q86" s="330"/>
      <c r="R86" s="187"/>
      <c r="U86" s="331" t="str">
        <f ca="1">'Calculos(2)'!BO$79</f>
        <v>-</v>
      </c>
      <c r="V86" s="332"/>
      <c r="W86" s="1"/>
    </row>
    <row r="87" spans="1:23" ht="20.100000000000001" customHeight="1" x14ac:dyDescent="0.25">
      <c r="A87" s="18"/>
      <c r="B87" s="18"/>
      <c r="C87" s="18"/>
      <c r="D87" s="7"/>
      <c r="E87" s="326"/>
      <c r="F87" s="1485"/>
      <c r="G87" s="1486"/>
      <c r="H87" s="1486"/>
      <c r="I87" s="1487"/>
      <c r="J87" s="1195"/>
      <c r="K87" s="1084"/>
      <c r="L87" s="1084"/>
      <c r="M87" s="1492"/>
      <c r="N87" s="188"/>
      <c r="O87" s="188"/>
      <c r="P87" s="330"/>
      <c r="Q87" s="330"/>
      <c r="R87" s="187"/>
      <c r="U87" s="331" t="str">
        <f ca="1">'Calculos(2)'!BO$80</f>
        <v>-</v>
      </c>
      <c r="V87" s="332"/>
      <c r="W87" s="1"/>
    </row>
    <row r="88" spans="1:23" ht="20.100000000000001" customHeight="1" x14ac:dyDescent="0.25">
      <c r="A88" s="18"/>
      <c r="B88" s="18"/>
      <c r="C88" s="18"/>
      <c r="D88" s="7"/>
      <c r="E88" s="326"/>
      <c r="F88" s="1485"/>
      <c r="G88" s="1486"/>
      <c r="H88" s="1486"/>
      <c r="I88" s="1487"/>
      <c r="J88" s="1195"/>
      <c r="K88" s="1084"/>
      <c r="L88" s="1084"/>
      <c r="M88" s="1492"/>
      <c r="N88" s="188"/>
      <c r="O88" s="188"/>
      <c r="P88" s="330"/>
      <c r="Q88" s="330"/>
      <c r="R88" s="187"/>
      <c r="U88" s="331" t="str">
        <f ca="1">'Calculos(2)'!BO$81</f>
        <v>-</v>
      </c>
      <c r="V88" s="332"/>
      <c r="W88" s="1"/>
    </row>
    <row r="89" spans="1:23" ht="20.100000000000001" customHeight="1" x14ac:dyDescent="0.25">
      <c r="A89" s="18"/>
      <c r="B89" s="18"/>
      <c r="C89" s="18"/>
      <c r="D89" s="7"/>
      <c r="E89" s="326"/>
      <c r="F89" s="1485"/>
      <c r="G89" s="1486"/>
      <c r="H89" s="1486"/>
      <c r="I89" s="1487"/>
      <c r="J89" s="1195"/>
      <c r="K89" s="1084"/>
      <c r="L89" s="1084"/>
      <c r="M89" s="1492"/>
      <c r="N89" s="188"/>
      <c r="O89" s="188"/>
      <c r="P89" s="330"/>
      <c r="Q89" s="330"/>
      <c r="R89" s="187"/>
      <c r="U89" s="331" t="str">
        <f ca="1">'Calculos(2)'!BO$82</f>
        <v>-</v>
      </c>
      <c r="V89" s="332"/>
      <c r="W89" s="7"/>
    </row>
    <row r="90" spans="1:23" ht="20.100000000000001" customHeight="1" x14ac:dyDescent="0.25">
      <c r="A90" s="18"/>
      <c r="B90" s="18"/>
      <c r="C90" s="18"/>
      <c r="D90" s="7"/>
      <c r="E90" s="326"/>
      <c r="F90" s="1485"/>
      <c r="G90" s="1486"/>
      <c r="H90" s="1486"/>
      <c r="I90" s="1487"/>
      <c r="J90" s="1195"/>
      <c r="K90" s="1084"/>
      <c r="L90" s="1084"/>
      <c r="M90" s="1492"/>
      <c r="N90" s="188"/>
      <c r="O90" s="188"/>
      <c r="P90" s="330"/>
      <c r="Q90" s="330"/>
      <c r="R90" s="187"/>
      <c r="U90" s="331" t="str">
        <f ca="1">'Calculos(2)'!BO$83</f>
        <v>-</v>
      </c>
      <c r="V90" s="332"/>
      <c r="W90" s="7"/>
    </row>
    <row r="91" spans="1:23" ht="20.100000000000001" customHeight="1" x14ac:dyDescent="0.25">
      <c r="A91" s="18"/>
      <c r="B91" s="18"/>
      <c r="C91" s="18"/>
      <c r="D91" s="7"/>
      <c r="E91" s="326"/>
      <c r="F91" s="1485"/>
      <c r="G91" s="1486"/>
      <c r="H91" s="1486"/>
      <c r="I91" s="1487"/>
      <c r="J91" s="1196"/>
      <c r="K91" s="1121"/>
      <c r="L91" s="1121"/>
      <c r="M91" s="1493"/>
      <c r="N91" s="188"/>
      <c r="O91" s="188"/>
      <c r="P91" s="330"/>
      <c r="Q91" s="330"/>
      <c r="R91" s="187"/>
      <c r="U91" s="331" t="str">
        <f ca="1">'Calculos(2)'!BO$84</f>
        <v>-</v>
      </c>
      <c r="V91" s="332"/>
      <c r="W91" s="1"/>
    </row>
    <row r="92" spans="1:23" ht="20.100000000000001" customHeight="1" x14ac:dyDescent="0.25">
      <c r="A92" s="18"/>
      <c r="B92" s="18"/>
      <c r="C92" s="18"/>
      <c r="D92" s="7"/>
      <c r="E92" s="326"/>
      <c r="F92" s="1488"/>
      <c r="G92" s="1489"/>
      <c r="H92" s="1489"/>
      <c r="I92" s="1490"/>
      <c r="J92" s="1472" t="s">
        <v>80</v>
      </c>
      <c r="K92" s="1473"/>
      <c r="L92" s="1473"/>
      <c r="M92" s="1474"/>
      <c r="N92" s="188"/>
      <c r="O92" s="188"/>
      <c r="P92" s="330"/>
      <c r="Q92" s="330"/>
      <c r="R92" s="187" t="s">
        <v>10</v>
      </c>
      <c r="U92" s="331" t="str">
        <f ca="1">'Calculos(2)'!BO$85</f>
        <v>-</v>
      </c>
      <c r="V92" s="332"/>
      <c r="W92" s="1"/>
    </row>
    <row r="93" spans="1:23" ht="20.100000000000001" customHeight="1" x14ac:dyDescent="0.25">
      <c r="A93" s="18"/>
      <c r="B93" s="18"/>
      <c r="C93" s="18"/>
      <c r="D93" s="7"/>
      <c r="E93" s="326"/>
      <c r="V93" s="332"/>
      <c r="W93" s="1"/>
    </row>
    <row r="94" spans="1:23" ht="20.100000000000001" hidden="1" customHeight="1" x14ac:dyDescent="0.25">
      <c r="A94" s="18"/>
      <c r="B94" s="18"/>
      <c r="C94" s="18"/>
      <c r="D94" s="7"/>
      <c r="E94" s="326"/>
      <c r="V94" s="332"/>
      <c r="W94" s="1"/>
    </row>
    <row r="95" spans="1:23" ht="20.100000000000001" hidden="1" customHeight="1" x14ac:dyDescent="0.25">
      <c r="A95" s="18"/>
      <c r="B95" s="18"/>
      <c r="C95" s="18"/>
      <c r="D95" s="7"/>
      <c r="E95" s="326"/>
      <c r="V95" s="332"/>
      <c r="W95" s="1"/>
    </row>
    <row r="96" spans="1:23" ht="20.100000000000001" customHeight="1" x14ac:dyDescent="0.25">
      <c r="A96" s="18"/>
      <c r="B96" s="18"/>
      <c r="C96" s="18"/>
      <c r="D96" s="7"/>
      <c r="E96" s="326"/>
      <c r="V96" s="332"/>
      <c r="W96" s="1"/>
    </row>
    <row r="97" spans="1:23" ht="45" customHeight="1" x14ac:dyDescent="0.25">
      <c r="A97" s="18"/>
      <c r="B97" s="18"/>
      <c r="C97" s="18"/>
      <c r="D97" s="7"/>
      <c r="E97" s="326"/>
      <c r="F97" s="1479" t="s">
        <v>8616</v>
      </c>
      <c r="G97" s="1480"/>
      <c r="H97" s="1480"/>
      <c r="I97" s="1480"/>
      <c r="J97" s="1480"/>
      <c r="K97" s="1480"/>
      <c r="L97" s="1480"/>
      <c r="M97" s="1481"/>
      <c r="N97" s="333" t="str">
        <f ca="1">"Concentração"&amp;" "&amp;'Calculos(2)'!$BJ$3</f>
        <v>Concentração -</v>
      </c>
      <c r="O97" s="333" t="s">
        <v>6038</v>
      </c>
      <c r="P97" s="333" t="s">
        <v>8126</v>
      </c>
      <c r="Q97" s="333" t="s">
        <v>8028</v>
      </c>
      <c r="R97" s="333" t="s">
        <v>8603</v>
      </c>
      <c r="S97" s="333" t="s">
        <v>8127</v>
      </c>
      <c r="U97" s="328" t="s">
        <v>119</v>
      </c>
      <c r="V97" s="332"/>
      <c r="W97" s="1"/>
    </row>
    <row r="98" spans="1:23" ht="20.100000000000001" customHeight="1" x14ac:dyDescent="0.25">
      <c r="A98" s="18"/>
      <c r="B98" s="18"/>
      <c r="C98" s="18"/>
      <c r="D98" s="7"/>
      <c r="E98" s="326"/>
      <c r="F98" s="1482" t="str">
        <f ca="1">'Calculos(2)'!$BJ$4</f>
        <v>-</v>
      </c>
      <c r="G98" s="1483"/>
      <c r="H98" s="1483"/>
      <c r="I98" s="1484"/>
      <c r="J98" s="1472" t="s">
        <v>7103</v>
      </c>
      <c r="K98" s="1473"/>
      <c r="L98" s="1473"/>
      <c r="M98" s="1474"/>
      <c r="N98" s="334"/>
      <c r="O98" s="334"/>
      <c r="P98" s="335"/>
      <c r="Q98" s="335"/>
      <c r="R98" s="335">
        <v>0</v>
      </c>
      <c r="S98" s="331">
        <f>O98/2</f>
        <v>0</v>
      </c>
      <c r="U98" s="331" t="str">
        <f ca="1">'Calculos(2)'!BO$90</f>
        <v>-</v>
      </c>
      <c r="V98" s="332"/>
      <c r="W98" s="1"/>
    </row>
    <row r="99" spans="1:23" ht="20.100000000000001" customHeight="1" x14ac:dyDescent="0.25">
      <c r="A99" s="18"/>
      <c r="B99" s="18"/>
      <c r="C99" s="18"/>
      <c r="D99" s="7"/>
      <c r="E99" s="326"/>
      <c r="F99" s="1485"/>
      <c r="G99" s="1486"/>
      <c r="H99" s="1486"/>
      <c r="I99" s="1487"/>
      <c r="J99" s="1193" t="s">
        <v>8027</v>
      </c>
      <c r="K99" s="1194"/>
      <c r="L99" s="1194"/>
      <c r="M99" s="1491"/>
      <c r="N99" s="334"/>
      <c r="O99" s="334"/>
      <c r="P99" s="335"/>
      <c r="Q99" s="335"/>
      <c r="R99" s="335"/>
      <c r="U99" s="331" t="str">
        <f ca="1">'Calculos(2)'!BO$91</f>
        <v>-</v>
      </c>
      <c r="V99" s="332"/>
      <c r="W99" s="1"/>
    </row>
    <row r="100" spans="1:23" ht="20.100000000000001" customHeight="1" x14ac:dyDescent="0.25">
      <c r="A100" s="18"/>
      <c r="B100" s="18"/>
      <c r="C100" s="18"/>
      <c r="D100" s="7"/>
      <c r="E100" s="326"/>
      <c r="F100" s="1485"/>
      <c r="G100" s="1486"/>
      <c r="H100" s="1486"/>
      <c r="I100" s="1487"/>
      <c r="J100" s="1195"/>
      <c r="K100" s="1084"/>
      <c r="L100" s="1084"/>
      <c r="M100" s="1492"/>
      <c r="N100" s="334"/>
      <c r="O100" s="334"/>
      <c r="P100" s="335"/>
      <c r="Q100" s="335"/>
      <c r="R100" s="335"/>
      <c r="U100" s="331" t="str">
        <f ca="1">'Calculos(2)'!BO$92</f>
        <v>-</v>
      </c>
      <c r="V100" s="332"/>
      <c r="W100" s="1"/>
    </row>
    <row r="101" spans="1:23" ht="20.100000000000001" customHeight="1" x14ac:dyDescent="0.25">
      <c r="A101" s="18"/>
      <c r="B101" s="18"/>
      <c r="C101" s="18"/>
      <c r="D101" s="7"/>
      <c r="E101" s="326"/>
      <c r="F101" s="1485"/>
      <c r="G101" s="1486"/>
      <c r="H101" s="1486"/>
      <c r="I101" s="1487"/>
      <c r="J101" s="1195"/>
      <c r="K101" s="1084"/>
      <c r="L101" s="1084"/>
      <c r="M101" s="1492"/>
      <c r="N101" s="334"/>
      <c r="O101" s="334"/>
      <c r="P101" s="335"/>
      <c r="Q101" s="335"/>
      <c r="R101" s="335"/>
      <c r="U101" s="331" t="str">
        <f ca="1">'Calculos(2)'!BO$93</f>
        <v>-</v>
      </c>
      <c r="V101" s="332"/>
      <c r="W101" s="1"/>
    </row>
    <row r="102" spans="1:23" ht="20.100000000000001" customHeight="1" x14ac:dyDescent="0.25">
      <c r="A102" s="18"/>
      <c r="B102" s="18"/>
      <c r="C102" s="18"/>
      <c r="D102" s="7"/>
      <c r="E102" s="326"/>
      <c r="F102" s="1485"/>
      <c r="G102" s="1486"/>
      <c r="H102" s="1486"/>
      <c r="I102" s="1487"/>
      <c r="J102" s="1195"/>
      <c r="K102" s="1084"/>
      <c r="L102" s="1084"/>
      <c r="M102" s="1492"/>
      <c r="N102" s="334"/>
      <c r="O102" s="334"/>
      <c r="P102" s="335"/>
      <c r="Q102" s="335"/>
      <c r="R102" s="335"/>
      <c r="U102" s="331" t="str">
        <f ca="1">'Calculos(2)'!BO$94</f>
        <v>-</v>
      </c>
      <c r="V102" s="332"/>
      <c r="W102" s="1"/>
    </row>
    <row r="103" spans="1:23" ht="20.100000000000001" customHeight="1" x14ac:dyDescent="0.25">
      <c r="A103" s="18"/>
      <c r="B103" s="18"/>
      <c r="C103" s="18"/>
      <c r="D103" s="7"/>
      <c r="E103" s="326"/>
      <c r="F103" s="1485"/>
      <c r="G103" s="1486"/>
      <c r="H103" s="1486"/>
      <c r="I103" s="1487"/>
      <c r="J103" s="1195"/>
      <c r="K103" s="1084"/>
      <c r="L103" s="1084"/>
      <c r="M103" s="1492"/>
      <c r="N103" s="334"/>
      <c r="O103" s="334"/>
      <c r="P103" s="335"/>
      <c r="Q103" s="335"/>
      <c r="R103" s="335"/>
      <c r="U103" s="331" t="str">
        <f ca="1">'Calculos(2)'!BO$95</f>
        <v>-</v>
      </c>
      <c r="V103" s="332"/>
      <c r="W103" s="1"/>
    </row>
    <row r="104" spans="1:23" ht="20.100000000000001" customHeight="1" x14ac:dyDescent="0.25">
      <c r="A104" s="18"/>
      <c r="B104" s="18"/>
      <c r="C104" s="18"/>
      <c r="D104" s="7"/>
      <c r="E104" s="326"/>
      <c r="F104" s="1485"/>
      <c r="G104" s="1486"/>
      <c r="H104" s="1486"/>
      <c r="I104" s="1487"/>
      <c r="J104" s="1195"/>
      <c r="K104" s="1084"/>
      <c r="L104" s="1084"/>
      <c r="M104" s="1492"/>
      <c r="N104" s="334"/>
      <c r="O104" s="334"/>
      <c r="P104" s="335"/>
      <c r="Q104" s="335"/>
      <c r="R104" s="335"/>
      <c r="U104" s="331" t="str">
        <f ca="1">'Calculos(2)'!BO$96</f>
        <v>-</v>
      </c>
      <c r="V104" s="332"/>
      <c r="W104" s="1"/>
    </row>
    <row r="105" spans="1:23" ht="20.100000000000001" customHeight="1" x14ac:dyDescent="0.25">
      <c r="A105" s="18"/>
      <c r="B105" s="18"/>
      <c r="C105" s="18"/>
      <c r="D105" s="7"/>
      <c r="E105" s="326"/>
      <c r="F105" s="1485"/>
      <c r="G105" s="1486"/>
      <c r="H105" s="1486"/>
      <c r="I105" s="1487"/>
      <c r="J105" s="1195"/>
      <c r="K105" s="1084"/>
      <c r="L105" s="1084"/>
      <c r="M105" s="1492"/>
      <c r="N105" s="334"/>
      <c r="O105" s="334"/>
      <c r="P105" s="335"/>
      <c r="Q105" s="335"/>
      <c r="R105" s="335"/>
      <c r="U105" s="331" t="str">
        <f ca="1">'Calculos(2)'!BO$97</f>
        <v>-</v>
      </c>
      <c r="V105" s="332"/>
      <c r="W105" s="7"/>
    </row>
    <row r="106" spans="1:23" ht="20.100000000000001" customHeight="1" x14ac:dyDescent="0.25">
      <c r="A106" s="18"/>
      <c r="B106" s="18"/>
      <c r="C106" s="18"/>
      <c r="D106" s="7"/>
      <c r="E106" s="326"/>
      <c r="F106" s="1485"/>
      <c r="G106" s="1486"/>
      <c r="H106" s="1486"/>
      <c r="I106" s="1487"/>
      <c r="J106" s="1195"/>
      <c r="K106" s="1084"/>
      <c r="L106" s="1084"/>
      <c r="M106" s="1492"/>
      <c r="N106" s="334"/>
      <c r="O106" s="334"/>
      <c r="P106" s="335"/>
      <c r="Q106" s="335"/>
      <c r="R106" s="335"/>
      <c r="U106" s="331" t="str">
        <f ca="1">'Calculos(2)'!BO$98</f>
        <v>-</v>
      </c>
      <c r="V106" s="332"/>
      <c r="W106" s="7"/>
    </row>
    <row r="107" spans="1:23" ht="20.100000000000001" customHeight="1" x14ac:dyDescent="0.25">
      <c r="A107" s="18"/>
      <c r="B107" s="18"/>
      <c r="C107" s="18"/>
      <c r="D107" s="7"/>
      <c r="E107" s="326"/>
      <c r="F107" s="1485"/>
      <c r="G107" s="1486"/>
      <c r="H107" s="1486"/>
      <c r="I107" s="1487"/>
      <c r="J107" s="1195"/>
      <c r="K107" s="1084"/>
      <c r="L107" s="1084"/>
      <c r="M107" s="1492"/>
      <c r="N107" s="334"/>
      <c r="O107" s="334"/>
      <c r="P107" s="335"/>
      <c r="Q107" s="335"/>
      <c r="R107" s="335"/>
      <c r="U107" s="331" t="str">
        <f ca="1">'Calculos(2)'!BO$99</f>
        <v>-</v>
      </c>
      <c r="V107" s="332"/>
      <c r="W107" s="1"/>
    </row>
    <row r="108" spans="1:23" ht="20.100000000000001" customHeight="1" x14ac:dyDescent="0.25">
      <c r="A108" s="18"/>
      <c r="B108" s="18"/>
      <c r="C108" s="18"/>
      <c r="D108" s="7"/>
      <c r="E108" s="326"/>
      <c r="F108" s="1485"/>
      <c r="G108" s="1486"/>
      <c r="H108" s="1486"/>
      <c r="I108" s="1487"/>
      <c r="J108" s="1196"/>
      <c r="K108" s="1121"/>
      <c r="L108" s="1121"/>
      <c r="M108" s="1493"/>
      <c r="N108" s="334"/>
      <c r="O108" s="334"/>
      <c r="P108" s="335"/>
      <c r="Q108" s="335"/>
      <c r="R108" s="335"/>
      <c r="U108" s="331" t="str">
        <f ca="1">'Calculos(2)'!BO$100</f>
        <v>-</v>
      </c>
      <c r="V108" s="329"/>
      <c r="W108" s="1"/>
    </row>
    <row r="109" spans="1:23" ht="20.100000000000001" customHeight="1" x14ac:dyDescent="0.25">
      <c r="A109" s="18"/>
      <c r="B109" s="18"/>
      <c r="C109" s="18"/>
      <c r="D109" s="7"/>
      <c r="E109" s="326"/>
      <c r="F109" s="1488"/>
      <c r="G109" s="1489"/>
      <c r="H109" s="1489"/>
      <c r="I109" s="1490"/>
      <c r="J109" s="1472" t="s">
        <v>80</v>
      </c>
      <c r="K109" s="1473"/>
      <c r="L109" s="1473"/>
      <c r="M109" s="1474"/>
      <c r="N109" s="334"/>
      <c r="O109" s="334"/>
      <c r="P109" s="335"/>
      <c r="Q109" s="335"/>
      <c r="R109" s="335" t="s">
        <v>10</v>
      </c>
      <c r="U109" s="331" t="str">
        <f ca="1">'Calculos(2)'!BO$101</f>
        <v>-</v>
      </c>
      <c r="V109" s="329"/>
      <c r="W109" s="1"/>
    </row>
    <row r="110" spans="1:23" ht="20.100000000000001" customHeight="1" x14ac:dyDescent="0.25">
      <c r="A110" s="18"/>
      <c r="B110" s="18"/>
      <c r="C110" s="18"/>
      <c r="D110" s="7"/>
      <c r="E110" s="336"/>
      <c r="F110" s="337"/>
      <c r="G110" s="337"/>
      <c r="H110" s="337"/>
      <c r="I110" s="337"/>
      <c r="J110" s="337"/>
      <c r="K110" s="337"/>
      <c r="L110" s="337"/>
      <c r="M110" s="337"/>
      <c r="N110" s="337"/>
      <c r="O110" s="337"/>
      <c r="P110" s="337"/>
      <c r="Q110" s="337"/>
      <c r="R110" s="337"/>
      <c r="S110" s="337"/>
      <c r="T110" s="337"/>
      <c r="U110" s="337"/>
      <c r="V110" s="338"/>
      <c r="W110" s="1"/>
    </row>
    <row r="111" spans="1:23" ht="20.100000000000001" hidden="1" customHeight="1" x14ac:dyDescent="0.25">
      <c r="A111" s="18"/>
      <c r="B111" s="18"/>
      <c r="C111" s="18"/>
      <c r="D111" s="7"/>
      <c r="E111" s="2"/>
      <c r="W111" s="1"/>
    </row>
    <row r="112" spans="1:23" ht="20.100000000000001" customHeight="1" x14ac:dyDescent="0.25">
      <c r="A112" s="18"/>
      <c r="B112" s="18"/>
      <c r="C112" s="18"/>
      <c r="D112" s="7"/>
      <c r="E112" s="7"/>
      <c r="F112" s="7"/>
      <c r="G112" s="7"/>
      <c r="H112" s="7"/>
      <c r="I112" s="7"/>
      <c r="J112" s="7"/>
      <c r="K112" s="7"/>
      <c r="L112" s="7"/>
      <c r="M112" s="7"/>
      <c r="N112" s="7"/>
      <c r="O112" s="7"/>
      <c r="P112" s="7"/>
      <c r="Q112" s="7"/>
      <c r="R112" s="7"/>
      <c r="S112" s="7"/>
      <c r="T112" s="7"/>
      <c r="U112" s="7"/>
      <c r="V112" s="7"/>
      <c r="W112" s="7"/>
    </row>
    <row r="113" spans="1:23" ht="20.100000000000001" customHeight="1" x14ac:dyDescent="0.25">
      <c r="A113" s="18"/>
      <c r="B113" s="18"/>
      <c r="C113" s="18"/>
      <c r="D113" s="7"/>
      <c r="E113" s="321"/>
      <c r="F113" s="322"/>
      <c r="G113" s="323"/>
      <c r="H113" s="323"/>
      <c r="I113" s="323"/>
      <c r="J113" s="323"/>
      <c r="K113" s="323"/>
      <c r="L113" s="323"/>
      <c r="M113" s="323"/>
      <c r="N113" s="323"/>
      <c r="O113" s="323"/>
      <c r="P113" s="323"/>
      <c r="Q113" s="323"/>
      <c r="R113" s="323"/>
      <c r="S113" s="339"/>
      <c r="T113" s="339"/>
      <c r="U113" s="340"/>
      <c r="V113" s="325"/>
      <c r="W113" s="1"/>
    </row>
    <row r="114" spans="1:23" ht="45" customHeight="1" x14ac:dyDescent="0.25">
      <c r="A114" s="18"/>
      <c r="B114" s="18"/>
      <c r="C114" s="18"/>
      <c r="D114" s="7"/>
      <c r="E114" s="326"/>
      <c r="F114" s="1494" t="s">
        <v>8608</v>
      </c>
      <c r="G114" s="1495"/>
      <c r="H114" s="1495"/>
      <c r="I114" s="1495"/>
      <c r="J114" s="1495"/>
      <c r="K114" s="1495"/>
      <c r="L114" s="1495"/>
      <c r="M114" s="1496"/>
      <c r="N114" s="327" t="str">
        <f ca="1">"Concentração"&amp;" "&amp;'Calculos(2)'!$BJ$3</f>
        <v>Concentração -</v>
      </c>
      <c r="O114" s="327" t="s">
        <v>6038</v>
      </c>
      <c r="P114" s="327" t="s">
        <v>8126</v>
      </c>
      <c r="Q114" s="327" t="s">
        <v>8028</v>
      </c>
      <c r="R114" s="327" t="s">
        <v>8603</v>
      </c>
      <c r="S114" s="327" t="s">
        <v>8127</v>
      </c>
      <c r="U114" s="328" t="s">
        <v>119</v>
      </c>
      <c r="V114" s="332"/>
      <c r="W114" s="1"/>
    </row>
    <row r="115" spans="1:23" ht="20.100000000000001" customHeight="1" x14ac:dyDescent="0.25">
      <c r="A115" s="18"/>
      <c r="B115" s="18"/>
      <c r="C115" s="18"/>
      <c r="D115" s="7"/>
      <c r="E115" s="326"/>
      <c r="F115" s="1482" t="str">
        <f ca="1">'Calculos(2)'!$BJ$4</f>
        <v>-</v>
      </c>
      <c r="G115" s="1483"/>
      <c r="H115" s="1483"/>
      <c r="I115" s="1484"/>
      <c r="J115" s="1472" t="s">
        <v>7103</v>
      </c>
      <c r="K115" s="1473"/>
      <c r="L115" s="1473"/>
      <c r="M115" s="1474"/>
      <c r="N115" s="188"/>
      <c r="O115" s="188"/>
      <c r="P115" s="330"/>
      <c r="Q115" s="330"/>
      <c r="R115" s="187">
        <v>0</v>
      </c>
      <c r="S115" s="331">
        <f>O115/2</f>
        <v>0</v>
      </c>
      <c r="U115" s="331" t="str">
        <f ca="1">'Calculos(2)'!BO$106</f>
        <v>-</v>
      </c>
      <c r="V115" s="332"/>
      <c r="W115" s="1"/>
    </row>
    <row r="116" spans="1:23" ht="20.100000000000001" customHeight="1" x14ac:dyDescent="0.25">
      <c r="A116" s="18"/>
      <c r="B116" s="18"/>
      <c r="C116" s="18"/>
      <c r="D116" s="7"/>
      <c r="E116" s="326"/>
      <c r="F116" s="1485"/>
      <c r="G116" s="1486"/>
      <c r="H116" s="1486"/>
      <c r="I116" s="1487"/>
      <c r="J116" s="1193" t="s">
        <v>8027</v>
      </c>
      <c r="K116" s="1194"/>
      <c r="L116" s="1194"/>
      <c r="M116" s="1491"/>
      <c r="N116" s="188"/>
      <c r="O116" s="188"/>
      <c r="P116" s="330"/>
      <c r="Q116" s="330"/>
      <c r="R116" s="187"/>
      <c r="U116" s="331" t="str">
        <f ca="1">'Calculos(2)'!BO$107</f>
        <v>-</v>
      </c>
      <c r="V116" s="332"/>
      <c r="W116" s="1"/>
    </row>
    <row r="117" spans="1:23" ht="20.100000000000001" customHeight="1" x14ac:dyDescent="0.25">
      <c r="A117" s="18"/>
      <c r="B117" s="18"/>
      <c r="C117" s="18"/>
      <c r="D117" s="7"/>
      <c r="E117" s="326"/>
      <c r="F117" s="1485"/>
      <c r="G117" s="1486"/>
      <c r="H117" s="1486"/>
      <c r="I117" s="1487"/>
      <c r="J117" s="1195"/>
      <c r="K117" s="1084"/>
      <c r="L117" s="1084"/>
      <c r="M117" s="1492"/>
      <c r="N117" s="188"/>
      <c r="O117" s="188"/>
      <c r="P117" s="330"/>
      <c r="Q117" s="330"/>
      <c r="R117" s="187"/>
      <c r="U117" s="331" t="str">
        <f ca="1">'Calculos(2)'!BO$108</f>
        <v>-</v>
      </c>
      <c r="V117" s="332"/>
      <c r="W117" s="1"/>
    </row>
    <row r="118" spans="1:23" ht="20.100000000000001" customHeight="1" x14ac:dyDescent="0.25">
      <c r="A118" s="18"/>
      <c r="B118" s="18"/>
      <c r="C118" s="18"/>
      <c r="D118" s="7"/>
      <c r="E118" s="326"/>
      <c r="F118" s="1485"/>
      <c r="G118" s="1486"/>
      <c r="H118" s="1486"/>
      <c r="I118" s="1487"/>
      <c r="J118" s="1195"/>
      <c r="K118" s="1084"/>
      <c r="L118" s="1084"/>
      <c r="M118" s="1492"/>
      <c r="N118" s="188"/>
      <c r="O118" s="188"/>
      <c r="P118" s="330"/>
      <c r="Q118" s="330"/>
      <c r="R118" s="187"/>
      <c r="U118" s="331" t="str">
        <f ca="1">'Calculos(2)'!BO$109</f>
        <v>-</v>
      </c>
      <c r="V118" s="332"/>
      <c r="W118" s="7"/>
    </row>
    <row r="119" spans="1:23" ht="20.100000000000001" customHeight="1" x14ac:dyDescent="0.25">
      <c r="A119" s="18"/>
      <c r="B119" s="18"/>
      <c r="C119" s="18"/>
      <c r="D119" s="7"/>
      <c r="E119" s="326"/>
      <c r="F119" s="1485"/>
      <c r="G119" s="1486"/>
      <c r="H119" s="1486"/>
      <c r="I119" s="1487"/>
      <c r="J119" s="1195"/>
      <c r="K119" s="1084"/>
      <c r="L119" s="1084"/>
      <c r="M119" s="1492"/>
      <c r="N119" s="188"/>
      <c r="O119" s="188"/>
      <c r="P119" s="330"/>
      <c r="Q119" s="330"/>
      <c r="R119" s="187"/>
      <c r="U119" s="331" t="str">
        <f ca="1">'Calculos(2)'!BO$110</f>
        <v>-</v>
      </c>
      <c r="V119" s="332"/>
      <c r="W119" s="7"/>
    </row>
    <row r="120" spans="1:23" ht="20.100000000000001" customHeight="1" x14ac:dyDescent="0.25">
      <c r="A120" s="18"/>
      <c r="B120" s="18"/>
      <c r="C120" s="18"/>
      <c r="D120" s="7"/>
      <c r="E120" s="326"/>
      <c r="F120" s="1485"/>
      <c r="G120" s="1486"/>
      <c r="H120" s="1486"/>
      <c r="I120" s="1487"/>
      <c r="J120" s="1195"/>
      <c r="K120" s="1084"/>
      <c r="L120" s="1084"/>
      <c r="M120" s="1492"/>
      <c r="N120" s="188"/>
      <c r="O120" s="188"/>
      <c r="P120" s="330"/>
      <c r="Q120" s="330"/>
      <c r="R120" s="187"/>
      <c r="U120" s="331" t="str">
        <f ca="1">'Calculos(2)'!BO$111</f>
        <v>-</v>
      </c>
      <c r="V120" s="332"/>
      <c r="W120" s="1"/>
    </row>
    <row r="121" spans="1:23" ht="20.100000000000001" customHeight="1" x14ac:dyDescent="0.25">
      <c r="A121" s="18"/>
      <c r="B121" s="18"/>
      <c r="C121" s="18"/>
      <c r="D121" s="7"/>
      <c r="E121" s="326"/>
      <c r="F121" s="1485"/>
      <c r="G121" s="1486"/>
      <c r="H121" s="1486"/>
      <c r="I121" s="1487"/>
      <c r="J121" s="1195"/>
      <c r="K121" s="1084"/>
      <c r="L121" s="1084"/>
      <c r="M121" s="1492"/>
      <c r="N121" s="188"/>
      <c r="O121" s="188"/>
      <c r="P121" s="330"/>
      <c r="Q121" s="330"/>
      <c r="R121" s="187"/>
      <c r="U121" s="331" t="str">
        <f ca="1">'Calculos(2)'!BO$112</f>
        <v>-</v>
      </c>
      <c r="V121" s="332"/>
      <c r="W121" s="1"/>
    </row>
    <row r="122" spans="1:23" ht="20.100000000000001" customHeight="1" x14ac:dyDescent="0.25">
      <c r="A122" s="18"/>
      <c r="B122" s="18"/>
      <c r="C122" s="18"/>
      <c r="D122" s="7"/>
      <c r="E122" s="326"/>
      <c r="F122" s="1485"/>
      <c r="G122" s="1486"/>
      <c r="H122" s="1486"/>
      <c r="I122" s="1487"/>
      <c r="J122" s="1195"/>
      <c r="K122" s="1084"/>
      <c r="L122" s="1084"/>
      <c r="M122" s="1492"/>
      <c r="N122" s="188"/>
      <c r="O122" s="188"/>
      <c r="P122" s="330"/>
      <c r="Q122" s="330"/>
      <c r="R122" s="187"/>
      <c r="U122" s="331" t="str">
        <f ca="1">'Calculos(2)'!BO$113</f>
        <v>-</v>
      </c>
      <c r="V122" s="332"/>
      <c r="W122" s="1"/>
    </row>
    <row r="123" spans="1:23" ht="20.100000000000001" customHeight="1" x14ac:dyDescent="0.25">
      <c r="A123" s="18"/>
      <c r="B123" s="18"/>
      <c r="C123" s="18"/>
      <c r="D123" s="7"/>
      <c r="E123" s="326"/>
      <c r="F123" s="1485"/>
      <c r="G123" s="1486"/>
      <c r="H123" s="1486"/>
      <c r="I123" s="1487"/>
      <c r="J123" s="1195"/>
      <c r="K123" s="1084"/>
      <c r="L123" s="1084"/>
      <c r="M123" s="1492"/>
      <c r="N123" s="188"/>
      <c r="O123" s="188"/>
      <c r="P123" s="330"/>
      <c r="Q123" s="330"/>
      <c r="R123" s="187"/>
      <c r="U123" s="331" t="str">
        <f ca="1">'Calculos(2)'!BO$114</f>
        <v>-</v>
      </c>
      <c r="V123" s="332"/>
      <c r="W123" s="1"/>
    </row>
    <row r="124" spans="1:23" ht="20.100000000000001" customHeight="1" x14ac:dyDescent="0.25">
      <c r="A124" s="18"/>
      <c r="B124" s="18"/>
      <c r="C124" s="18"/>
      <c r="D124" s="7"/>
      <c r="E124" s="326"/>
      <c r="F124" s="1485"/>
      <c r="G124" s="1486"/>
      <c r="H124" s="1486"/>
      <c r="I124" s="1487"/>
      <c r="J124" s="1195"/>
      <c r="K124" s="1084"/>
      <c r="L124" s="1084"/>
      <c r="M124" s="1492"/>
      <c r="N124" s="188"/>
      <c r="O124" s="188"/>
      <c r="P124" s="330"/>
      <c r="Q124" s="330"/>
      <c r="R124" s="187"/>
      <c r="U124" s="331" t="str">
        <f ca="1">'Calculos(2)'!BO$115</f>
        <v>-</v>
      </c>
      <c r="V124" s="332"/>
      <c r="W124" s="1"/>
    </row>
    <row r="125" spans="1:23" ht="20.100000000000001" customHeight="1" x14ac:dyDescent="0.25">
      <c r="A125" s="18"/>
      <c r="B125" s="18"/>
      <c r="C125" s="18"/>
      <c r="D125" s="7"/>
      <c r="E125" s="326"/>
      <c r="F125" s="1485"/>
      <c r="G125" s="1486"/>
      <c r="H125" s="1486"/>
      <c r="I125" s="1487"/>
      <c r="J125" s="1196"/>
      <c r="K125" s="1121"/>
      <c r="L125" s="1121"/>
      <c r="M125" s="1493"/>
      <c r="N125" s="188"/>
      <c r="O125" s="188"/>
      <c r="P125" s="330"/>
      <c r="Q125" s="330"/>
      <c r="R125" s="187"/>
      <c r="U125" s="331" t="str">
        <f ca="1">'Calculos(2)'!BO$116</f>
        <v>-</v>
      </c>
      <c r="V125" s="332"/>
      <c r="W125" s="1"/>
    </row>
    <row r="126" spans="1:23" ht="20.100000000000001" customHeight="1" x14ac:dyDescent="0.25">
      <c r="A126" s="18"/>
      <c r="B126" s="18"/>
      <c r="C126" s="18"/>
      <c r="D126" s="7"/>
      <c r="E126" s="326"/>
      <c r="F126" s="1488"/>
      <c r="G126" s="1489"/>
      <c r="H126" s="1489"/>
      <c r="I126" s="1490"/>
      <c r="J126" s="1472" t="s">
        <v>80</v>
      </c>
      <c r="K126" s="1473"/>
      <c r="L126" s="1473"/>
      <c r="M126" s="1474"/>
      <c r="N126" s="188"/>
      <c r="O126" s="188"/>
      <c r="P126" s="330"/>
      <c r="Q126" s="330"/>
      <c r="R126" s="187" t="s">
        <v>10</v>
      </c>
      <c r="U126" s="331" t="str">
        <f ca="1">'Calculos(2)'!BO$117</f>
        <v>-</v>
      </c>
      <c r="V126" s="332"/>
      <c r="W126" s="1"/>
    </row>
    <row r="127" spans="1:23" ht="20.100000000000001" customHeight="1" x14ac:dyDescent="0.25">
      <c r="A127" s="18"/>
      <c r="B127" s="18"/>
      <c r="C127" s="18"/>
      <c r="D127" s="7"/>
      <c r="E127" s="326"/>
      <c r="V127" s="332"/>
      <c r="W127" s="1"/>
    </row>
    <row r="128" spans="1:23" ht="20.100000000000001" hidden="1" customHeight="1" x14ac:dyDescent="0.25">
      <c r="A128" s="18"/>
      <c r="B128" s="18"/>
      <c r="C128" s="18"/>
      <c r="D128" s="7"/>
      <c r="E128" s="326"/>
      <c r="V128" s="332"/>
      <c r="W128" s="1"/>
    </row>
    <row r="129" spans="1:23" ht="20.100000000000001" hidden="1" customHeight="1" x14ac:dyDescent="0.25">
      <c r="A129" s="18"/>
      <c r="B129" s="18"/>
      <c r="C129" s="18"/>
      <c r="D129" s="7"/>
      <c r="E129" s="326"/>
      <c r="V129" s="332"/>
      <c r="W129" s="1"/>
    </row>
    <row r="130" spans="1:23" ht="20.100000000000001" customHeight="1" x14ac:dyDescent="0.25">
      <c r="A130" s="18"/>
      <c r="B130" s="18"/>
      <c r="C130" s="18"/>
      <c r="D130" s="7"/>
      <c r="E130" s="326"/>
      <c r="V130" s="332"/>
      <c r="W130" s="1"/>
    </row>
    <row r="131" spans="1:23" ht="45" customHeight="1" x14ac:dyDescent="0.25">
      <c r="A131" s="18"/>
      <c r="B131" s="18"/>
      <c r="C131" s="18"/>
      <c r="D131" s="7"/>
      <c r="E131" s="326"/>
      <c r="F131" s="1479" t="s">
        <v>8617</v>
      </c>
      <c r="G131" s="1480"/>
      <c r="H131" s="1480"/>
      <c r="I131" s="1480"/>
      <c r="J131" s="1480"/>
      <c r="K131" s="1480"/>
      <c r="L131" s="1480"/>
      <c r="M131" s="1481"/>
      <c r="N131" s="333" t="str">
        <f ca="1">"Concentração"&amp;" "&amp;'Calculos(2)'!$BJ$3</f>
        <v>Concentração -</v>
      </c>
      <c r="O131" s="333" t="s">
        <v>6038</v>
      </c>
      <c r="P131" s="333" t="s">
        <v>8126</v>
      </c>
      <c r="Q131" s="333" t="s">
        <v>8028</v>
      </c>
      <c r="R131" s="333" t="s">
        <v>8603</v>
      </c>
      <c r="S131" s="333" t="s">
        <v>8127</v>
      </c>
      <c r="U131" s="328" t="s">
        <v>119</v>
      </c>
      <c r="V131" s="332"/>
      <c r="W131" s="1"/>
    </row>
    <row r="132" spans="1:23" ht="20.100000000000001" customHeight="1" x14ac:dyDescent="0.25">
      <c r="A132" s="18"/>
      <c r="B132" s="18"/>
      <c r="C132" s="18"/>
      <c r="D132" s="7"/>
      <c r="E132" s="326"/>
      <c r="F132" s="1482" t="str">
        <f ca="1">'Calculos(2)'!$BJ$4</f>
        <v>-</v>
      </c>
      <c r="G132" s="1483"/>
      <c r="H132" s="1483"/>
      <c r="I132" s="1484"/>
      <c r="J132" s="1472" t="s">
        <v>7103</v>
      </c>
      <c r="K132" s="1473"/>
      <c r="L132" s="1473"/>
      <c r="M132" s="1474"/>
      <c r="N132" s="334"/>
      <c r="O132" s="334"/>
      <c r="P132" s="335"/>
      <c r="Q132" s="335"/>
      <c r="R132" s="335">
        <v>0</v>
      </c>
      <c r="S132" s="331">
        <f>O132/2</f>
        <v>0</v>
      </c>
      <c r="U132" s="331" t="str">
        <f ca="1">'Calculos(2)'!BO$122</f>
        <v>-</v>
      </c>
      <c r="V132" s="332"/>
      <c r="W132" s="1"/>
    </row>
    <row r="133" spans="1:23" ht="20.100000000000001" customHeight="1" x14ac:dyDescent="0.25">
      <c r="A133" s="18"/>
      <c r="B133" s="18"/>
      <c r="C133" s="18"/>
      <c r="D133" s="7"/>
      <c r="E133" s="326"/>
      <c r="F133" s="1485"/>
      <c r="G133" s="1486"/>
      <c r="H133" s="1486"/>
      <c r="I133" s="1487"/>
      <c r="J133" s="1193" t="s">
        <v>8027</v>
      </c>
      <c r="K133" s="1194"/>
      <c r="L133" s="1194"/>
      <c r="M133" s="1491"/>
      <c r="N133" s="334"/>
      <c r="O133" s="334"/>
      <c r="P133" s="335"/>
      <c r="Q133" s="335"/>
      <c r="R133" s="335"/>
      <c r="U133" s="331" t="str">
        <f ca="1">'Calculos(2)'!BO$123</f>
        <v>-</v>
      </c>
      <c r="V133" s="332"/>
      <c r="W133" s="1"/>
    </row>
    <row r="134" spans="1:23" ht="20.100000000000001" customHeight="1" x14ac:dyDescent="0.25">
      <c r="A134" s="18"/>
      <c r="B134" s="18"/>
      <c r="C134" s="18"/>
      <c r="D134" s="7"/>
      <c r="E134" s="326"/>
      <c r="F134" s="1485"/>
      <c r="G134" s="1486"/>
      <c r="H134" s="1486"/>
      <c r="I134" s="1487"/>
      <c r="J134" s="1195"/>
      <c r="K134" s="1084"/>
      <c r="L134" s="1084"/>
      <c r="M134" s="1492"/>
      <c r="N134" s="334"/>
      <c r="O134" s="334"/>
      <c r="P134" s="335"/>
      <c r="Q134" s="335"/>
      <c r="R134" s="335"/>
      <c r="U134" s="331" t="str">
        <f ca="1">'Calculos(2)'!BO$124</f>
        <v>-</v>
      </c>
      <c r="V134" s="332"/>
      <c r="W134" s="7"/>
    </row>
    <row r="135" spans="1:23" ht="20.100000000000001" customHeight="1" x14ac:dyDescent="0.25">
      <c r="A135" s="18"/>
      <c r="B135" s="18"/>
      <c r="C135" s="18"/>
      <c r="D135" s="7"/>
      <c r="E135" s="326"/>
      <c r="F135" s="1485"/>
      <c r="G135" s="1486"/>
      <c r="H135" s="1486"/>
      <c r="I135" s="1487"/>
      <c r="J135" s="1195"/>
      <c r="K135" s="1084"/>
      <c r="L135" s="1084"/>
      <c r="M135" s="1492"/>
      <c r="N135" s="334"/>
      <c r="O135" s="334"/>
      <c r="P135" s="335"/>
      <c r="Q135" s="335"/>
      <c r="R135" s="335"/>
      <c r="U135" s="331" t="str">
        <f ca="1">'Calculos(2)'!BO$125</f>
        <v>-</v>
      </c>
      <c r="V135" s="332"/>
      <c r="W135" s="7"/>
    </row>
    <row r="136" spans="1:23" ht="20.100000000000001" customHeight="1" x14ac:dyDescent="0.25">
      <c r="A136" s="18"/>
      <c r="B136" s="18"/>
      <c r="C136" s="18"/>
      <c r="D136" s="7"/>
      <c r="E136" s="326"/>
      <c r="F136" s="1485"/>
      <c r="G136" s="1486"/>
      <c r="H136" s="1486"/>
      <c r="I136" s="1487"/>
      <c r="J136" s="1195"/>
      <c r="K136" s="1084"/>
      <c r="L136" s="1084"/>
      <c r="M136" s="1492"/>
      <c r="N136" s="334"/>
      <c r="O136" s="334"/>
      <c r="P136" s="335"/>
      <c r="Q136" s="335"/>
      <c r="R136" s="335"/>
      <c r="U136" s="331" t="str">
        <f ca="1">'Calculos(2)'!BO$126</f>
        <v>-</v>
      </c>
      <c r="V136" s="332"/>
      <c r="W136" s="1"/>
    </row>
    <row r="137" spans="1:23" ht="20.100000000000001" customHeight="1" x14ac:dyDescent="0.25">
      <c r="A137" s="18"/>
      <c r="B137" s="18"/>
      <c r="C137" s="18"/>
      <c r="D137" s="7"/>
      <c r="E137" s="326"/>
      <c r="F137" s="1485"/>
      <c r="G137" s="1486"/>
      <c r="H137" s="1486"/>
      <c r="I137" s="1487"/>
      <c r="J137" s="1195"/>
      <c r="K137" s="1084"/>
      <c r="L137" s="1084"/>
      <c r="M137" s="1492"/>
      <c r="N137" s="334"/>
      <c r="O137" s="334"/>
      <c r="P137" s="335"/>
      <c r="Q137" s="335"/>
      <c r="R137" s="335"/>
      <c r="U137" s="331" t="str">
        <f ca="1">'Calculos(2)'!BO$127</f>
        <v>-</v>
      </c>
      <c r="V137" s="332"/>
      <c r="W137" s="1"/>
    </row>
    <row r="138" spans="1:23" ht="20.100000000000001" customHeight="1" x14ac:dyDescent="0.25">
      <c r="A138" s="18"/>
      <c r="B138" s="18"/>
      <c r="C138" s="18"/>
      <c r="D138" s="7"/>
      <c r="E138" s="326"/>
      <c r="F138" s="1485"/>
      <c r="G138" s="1486"/>
      <c r="H138" s="1486"/>
      <c r="I138" s="1487"/>
      <c r="J138" s="1195"/>
      <c r="K138" s="1084"/>
      <c r="L138" s="1084"/>
      <c r="M138" s="1492"/>
      <c r="N138" s="334"/>
      <c r="O138" s="334"/>
      <c r="P138" s="335"/>
      <c r="Q138" s="335"/>
      <c r="R138" s="335"/>
      <c r="U138" s="331" t="str">
        <f ca="1">'Calculos(2)'!BO$128</f>
        <v>-</v>
      </c>
      <c r="V138" s="332"/>
      <c r="W138" s="1"/>
    </row>
    <row r="139" spans="1:23" ht="20.100000000000001" customHeight="1" x14ac:dyDescent="0.25">
      <c r="A139" s="18"/>
      <c r="B139" s="18"/>
      <c r="C139" s="18"/>
      <c r="D139" s="7"/>
      <c r="E139" s="326"/>
      <c r="F139" s="1485"/>
      <c r="G139" s="1486"/>
      <c r="H139" s="1486"/>
      <c r="I139" s="1487"/>
      <c r="J139" s="1195"/>
      <c r="K139" s="1084"/>
      <c r="L139" s="1084"/>
      <c r="M139" s="1492"/>
      <c r="N139" s="334"/>
      <c r="O139" s="334"/>
      <c r="P139" s="335"/>
      <c r="Q139" s="335"/>
      <c r="R139" s="335"/>
      <c r="U139" s="331" t="str">
        <f ca="1">'Calculos(2)'!BO$129</f>
        <v>-</v>
      </c>
      <c r="V139" s="332"/>
      <c r="W139" s="1"/>
    </row>
    <row r="140" spans="1:23" ht="20.100000000000001" customHeight="1" x14ac:dyDescent="0.25">
      <c r="A140" s="18"/>
      <c r="B140" s="18"/>
      <c r="C140" s="18"/>
      <c r="D140" s="7"/>
      <c r="E140" s="326"/>
      <c r="F140" s="1485"/>
      <c r="G140" s="1486"/>
      <c r="H140" s="1486"/>
      <c r="I140" s="1487"/>
      <c r="J140" s="1195"/>
      <c r="K140" s="1084"/>
      <c r="L140" s="1084"/>
      <c r="M140" s="1492"/>
      <c r="N140" s="334"/>
      <c r="O140" s="334"/>
      <c r="P140" s="335"/>
      <c r="Q140" s="335"/>
      <c r="R140" s="335"/>
      <c r="U140" s="331" t="str">
        <f ca="1">'Calculos(2)'!BO$130</f>
        <v>-</v>
      </c>
      <c r="V140" s="332"/>
      <c r="W140" s="1"/>
    </row>
    <row r="141" spans="1:23" ht="20.100000000000001" customHeight="1" x14ac:dyDescent="0.25">
      <c r="A141" s="18"/>
      <c r="B141" s="18"/>
      <c r="C141" s="18"/>
      <c r="D141" s="7"/>
      <c r="E141" s="326"/>
      <c r="F141" s="1485"/>
      <c r="G141" s="1486"/>
      <c r="H141" s="1486"/>
      <c r="I141" s="1487"/>
      <c r="J141" s="1195"/>
      <c r="K141" s="1084"/>
      <c r="L141" s="1084"/>
      <c r="M141" s="1492"/>
      <c r="N141" s="334"/>
      <c r="O141" s="334"/>
      <c r="P141" s="335"/>
      <c r="Q141" s="335"/>
      <c r="R141" s="335"/>
      <c r="U141" s="331" t="str">
        <f ca="1">'Calculos(2)'!BO$131</f>
        <v>-</v>
      </c>
      <c r="V141" s="332"/>
      <c r="W141" s="1"/>
    </row>
    <row r="142" spans="1:23" ht="20.100000000000001" customHeight="1" x14ac:dyDescent="0.25">
      <c r="A142" s="18"/>
      <c r="B142" s="18"/>
      <c r="C142" s="18"/>
      <c r="D142" s="7"/>
      <c r="E142" s="326"/>
      <c r="F142" s="1485"/>
      <c r="G142" s="1486"/>
      <c r="H142" s="1486"/>
      <c r="I142" s="1487"/>
      <c r="J142" s="1196"/>
      <c r="K142" s="1121"/>
      <c r="L142" s="1121"/>
      <c r="M142" s="1493"/>
      <c r="N142" s="334"/>
      <c r="O142" s="334"/>
      <c r="P142" s="335"/>
      <c r="Q142" s="335"/>
      <c r="R142" s="335"/>
      <c r="U142" s="331" t="str">
        <f ca="1">'Calculos(2)'!BO$132</f>
        <v>-</v>
      </c>
      <c r="V142" s="329"/>
      <c r="W142" s="1"/>
    </row>
    <row r="143" spans="1:23" ht="20.100000000000001" customHeight="1" x14ac:dyDescent="0.25">
      <c r="A143" s="18"/>
      <c r="B143" s="18"/>
      <c r="C143" s="18"/>
      <c r="D143" s="7"/>
      <c r="E143" s="326"/>
      <c r="F143" s="1488"/>
      <c r="G143" s="1489"/>
      <c r="H143" s="1489"/>
      <c r="I143" s="1490"/>
      <c r="J143" s="1472" t="s">
        <v>80</v>
      </c>
      <c r="K143" s="1473"/>
      <c r="L143" s="1473"/>
      <c r="M143" s="1474"/>
      <c r="N143" s="334"/>
      <c r="O143" s="334"/>
      <c r="P143" s="335"/>
      <c r="Q143" s="335"/>
      <c r="R143" s="335" t="s">
        <v>10</v>
      </c>
      <c r="U143" s="331" t="str">
        <f ca="1">'Calculos(2)'!BO$133</f>
        <v>-</v>
      </c>
      <c r="V143" s="329"/>
      <c r="W143" s="1"/>
    </row>
    <row r="144" spans="1:23" ht="20.100000000000001" customHeight="1" x14ac:dyDescent="0.25">
      <c r="A144" s="18"/>
      <c r="B144" s="18"/>
      <c r="C144" s="18"/>
      <c r="D144" s="7"/>
      <c r="E144" s="336"/>
      <c r="F144" s="337"/>
      <c r="G144" s="337"/>
      <c r="H144" s="337"/>
      <c r="I144" s="337"/>
      <c r="J144" s="337"/>
      <c r="K144" s="337"/>
      <c r="L144" s="337"/>
      <c r="M144" s="337"/>
      <c r="N144" s="337"/>
      <c r="O144" s="337"/>
      <c r="P144" s="337"/>
      <c r="Q144" s="337"/>
      <c r="R144" s="337"/>
      <c r="S144" s="337"/>
      <c r="T144" s="337"/>
      <c r="U144" s="337"/>
      <c r="V144" s="338"/>
      <c r="W144" s="1"/>
    </row>
    <row r="145" spans="1:23" ht="20.100000000000001" hidden="1" customHeight="1" x14ac:dyDescent="0.25">
      <c r="A145" s="18"/>
      <c r="B145" s="18"/>
      <c r="C145" s="18"/>
      <c r="D145" s="7"/>
      <c r="E145" s="2"/>
      <c r="W145" s="1"/>
    </row>
    <row r="146" spans="1:23" ht="20.100000000000001" customHeight="1" x14ac:dyDescent="0.25">
      <c r="A146" s="18"/>
      <c r="B146" s="18"/>
      <c r="C146" s="18"/>
      <c r="D146" s="7"/>
      <c r="E146" s="7"/>
      <c r="F146" s="7"/>
      <c r="G146" s="7"/>
      <c r="H146" s="7"/>
      <c r="I146" s="7"/>
      <c r="J146" s="7"/>
      <c r="K146" s="7"/>
      <c r="L146" s="7"/>
      <c r="M146" s="7"/>
      <c r="N146" s="7"/>
      <c r="O146" s="7"/>
      <c r="P146" s="7"/>
      <c r="Q146" s="7"/>
      <c r="R146" s="7"/>
      <c r="S146" s="7"/>
      <c r="T146" s="7"/>
      <c r="U146" s="7"/>
      <c r="V146" s="7"/>
      <c r="W146" s="7"/>
    </row>
    <row r="147" spans="1:23" ht="20.100000000000001" customHeight="1" x14ac:dyDescent="0.25">
      <c r="A147" s="18"/>
      <c r="B147" s="18"/>
      <c r="C147" s="18"/>
      <c r="D147" s="7"/>
      <c r="E147" s="321"/>
      <c r="F147" s="322"/>
      <c r="G147" s="323"/>
      <c r="H147" s="323"/>
      <c r="I147" s="323"/>
      <c r="J147" s="323"/>
      <c r="K147" s="323"/>
      <c r="L147" s="323"/>
      <c r="M147" s="323"/>
      <c r="N147" s="323"/>
      <c r="O147" s="323"/>
      <c r="P147" s="323"/>
      <c r="Q147" s="323"/>
      <c r="R147" s="323"/>
      <c r="S147" s="339"/>
      <c r="T147" s="339"/>
      <c r="U147" s="340"/>
      <c r="V147" s="325"/>
      <c r="W147" s="1"/>
    </row>
    <row r="148" spans="1:23" ht="45" customHeight="1" x14ac:dyDescent="0.25">
      <c r="A148" s="18"/>
      <c r="B148" s="18"/>
      <c r="C148" s="18"/>
      <c r="D148" s="7"/>
      <c r="E148" s="326"/>
      <c r="F148" s="1494" t="s">
        <v>8609</v>
      </c>
      <c r="G148" s="1495"/>
      <c r="H148" s="1495"/>
      <c r="I148" s="1495"/>
      <c r="J148" s="1495"/>
      <c r="K148" s="1495"/>
      <c r="L148" s="1495"/>
      <c r="M148" s="1496"/>
      <c r="N148" s="327" t="str">
        <f ca="1">"Concentração"&amp;" "&amp;'Calculos(2)'!$BJ$3</f>
        <v>Concentração -</v>
      </c>
      <c r="O148" s="327" t="s">
        <v>6038</v>
      </c>
      <c r="P148" s="327" t="s">
        <v>8126</v>
      </c>
      <c r="Q148" s="327" t="s">
        <v>8028</v>
      </c>
      <c r="R148" s="327" t="s">
        <v>8603</v>
      </c>
      <c r="S148" s="327" t="s">
        <v>8127</v>
      </c>
      <c r="U148" s="328" t="s">
        <v>119</v>
      </c>
      <c r="V148" s="332"/>
      <c r="W148" s="7"/>
    </row>
    <row r="149" spans="1:23" ht="20.100000000000001" customHeight="1" x14ac:dyDescent="0.25">
      <c r="A149" s="18"/>
      <c r="B149" s="18"/>
      <c r="C149" s="18"/>
      <c r="D149" s="7"/>
      <c r="E149" s="326"/>
      <c r="F149" s="1482" t="str">
        <f ca="1">'Calculos(2)'!$BJ$4</f>
        <v>-</v>
      </c>
      <c r="G149" s="1483"/>
      <c r="H149" s="1483"/>
      <c r="I149" s="1484"/>
      <c r="J149" s="1472" t="s">
        <v>7103</v>
      </c>
      <c r="K149" s="1473"/>
      <c r="L149" s="1473"/>
      <c r="M149" s="1474"/>
      <c r="N149" s="188"/>
      <c r="O149" s="188"/>
      <c r="P149" s="330"/>
      <c r="Q149" s="330"/>
      <c r="R149" s="187">
        <v>0</v>
      </c>
      <c r="S149" s="331">
        <f>O149/2</f>
        <v>0</v>
      </c>
      <c r="U149" s="331" t="str">
        <f ca="1">'Calculos(2)'!BO$138</f>
        <v>-</v>
      </c>
      <c r="V149" s="332"/>
      <c r="W149" s="1"/>
    </row>
    <row r="150" spans="1:23" ht="20.100000000000001" customHeight="1" x14ac:dyDescent="0.25">
      <c r="A150" s="18"/>
      <c r="B150" s="18"/>
      <c r="C150" s="18"/>
      <c r="D150" s="7"/>
      <c r="E150" s="326"/>
      <c r="F150" s="1485"/>
      <c r="G150" s="1486"/>
      <c r="H150" s="1486"/>
      <c r="I150" s="1487"/>
      <c r="J150" s="1193" t="s">
        <v>8027</v>
      </c>
      <c r="K150" s="1194"/>
      <c r="L150" s="1194"/>
      <c r="M150" s="1491"/>
      <c r="N150" s="188"/>
      <c r="O150" s="188"/>
      <c r="P150" s="330"/>
      <c r="Q150" s="330"/>
      <c r="R150" s="187"/>
      <c r="U150" s="331" t="str">
        <f ca="1">'Calculos(2)'!BO$139</f>
        <v>-</v>
      </c>
      <c r="V150" s="332"/>
      <c r="W150" s="1"/>
    </row>
    <row r="151" spans="1:23" ht="20.100000000000001" customHeight="1" x14ac:dyDescent="0.25">
      <c r="A151" s="18"/>
      <c r="B151" s="18"/>
      <c r="C151" s="18"/>
      <c r="D151" s="7"/>
      <c r="E151" s="326"/>
      <c r="F151" s="1485"/>
      <c r="G151" s="1486"/>
      <c r="H151" s="1486"/>
      <c r="I151" s="1487"/>
      <c r="J151" s="1195"/>
      <c r="K151" s="1084"/>
      <c r="L151" s="1084"/>
      <c r="M151" s="1492"/>
      <c r="N151" s="188"/>
      <c r="O151" s="188"/>
      <c r="P151" s="330"/>
      <c r="Q151" s="330"/>
      <c r="R151" s="187"/>
      <c r="U151" s="331" t="str">
        <f ca="1">'Calculos(2)'!BO$140</f>
        <v>-</v>
      </c>
      <c r="V151" s="332"/>
      <c r="W151" s="1"/>
    </row>
    <row r="152" spans="1:23" ht="20.100000000000001" customHeight="1" x14ac:dyDescent="0.25">
      <c r="A152" s="18"/>
      <c r="B152" s="18"/>
      <c r="C152" s="18"/>
      <c r="D152" s="7"/>
      <c r="E152" s="326"/>
      <c r="F152" s="1485"/>
      <c r="G152" s="1486"/>
      <c r="H152" s="1486"/>
      <c r="I152" s="1487"/>
      <c r="J152" s="1195"/>
      <c r="K152" s="1084"/>
      <c r="L152" s="1084"/>
      <c r="M152" s="1492"/>
      <c r="N152" s="188"/>
      <c r="O152" s="188"/>
      <c r="P152" s="330"/>
      <c r="Q152" s="330"/>
      <c r="R152" s="187"/>
      <c r="U152" s="331" t="str">
        <f ca="1">'Calculos(2)'!BO$141</f>
        <v>-</v>
      </c>
      <c r="V152" s="332"/>
      <c r="W152" s="1"/>
    </row>
    <row r="153" spans="1:23" ht="20.100000000000001" customHeight="1" x14ac:dyDescent="0.25">
      <c r="A153" s="18"/>
      <c r="B153" s="18"/>
      <c r="C153" s="18"/>
      <c r="D153" s="7"/>
      <c r="E153" s="326"/>
      <c r="F153" s="1485"/>
      <c r="G153" s="1486"/>
      <c r="H153" s="1486"/>
      <c r="I153" s="1487"/>
      <c r="J153" s="1195"/>
      <c r="K153" s="1084"/>
      <c r="L153" s="1084"/>
      <c r="M153" s="1492"/>
      <c r="N153" s="188"/>
      <c r="O153" s="188"/>
      <c r="P153" s="330"/>
      <c r="Q153" s="330"/>
      <c r="R153" s="187"/>
      <c r="U153" s="331" t="str">
        <f ca="1">'Calculos(2)'!BO$142</f>
        <v>-</v>
      </c>
      <c r="V153" s="332"/>
      <c r="W153" s="1"/>
    </row>
    <row r="154" spans="1:23" ht="20.100000000000001" customHeight="1" x14ac:dyDescent="0.25">
      <c r="A154" s="18"/>
      <c r="B154" s="18"/>
      <c r="C154" s="18"/>
      <c r="D154" s="7"/>
      <c r="E154" s="326"/>
      <c r="F154" s="1485"/>
      <c r="G154" s="1486"/>
      <c r="H154" s="1486"/>
      <c r="I154" s="1487"/>
      <c r="J154" s="1195"/>
      <c r="K154" s="1084"/>
      <c r="L154" s="1084"/>
      <c r="M154" s="1492"/>
      <c r="N154" s="188"/>
      <c r="O154" s="188"/>
      <c r="P154" s="330"/>
      <c r="Q154" s="330"/>
      <c r="R154" s="187"/>
      <c r="U154" s="331" t="str">
        <f ca="1">'Calculos(2)'!BO$143</f>
        <v>-</v>
      </c>
      <c r="V154" s="332"/>
      <c r="W154" s="1"/>
    </row>
    <row r="155" spans="1:23" ht="20.100000000000001" customHeight="1" x14ac:dyDescent="0.25">
      <c r="A155" s="18"/>
      <c r="B155" s="18"/>
      <c r="C155" s="18"/>
      <c r="D155" s="7"/>
      <c r="E155" s="326"/>
      <c r="F155" s="1485"/>
      <c r="G155" s="1486"/>
      <c r="H155" s="1486"/>
      <c r="I155" s="1487"/>
      <c r="J155" s="1195"/>
      <c r="K155" s="1084"/>
      <c r="L155" s="1084"/>
      <c r="M155" s="1492"/>
      <c r="N155" s="188"/>
      <c r="O155" s="188"/>
      <c r="P155" s="330"/>
      <c r="Q155" s="330"/>
      <c r="R155" s="187"/>
      <c r="U155" s="331" t="str">
        <f ca="1">'Calculos(2)'!BO$144</f>
        <v>-</v>
      </c>
      <c r="V155" s="332"/>
      <c r="W155" s="1"/>
    </row>
    <row r="156" spans="1:23" ht="20.100000000000001" customHeight="1" x14ac:dyDescent="0.25">
      <c r="A156" s="18"/>
      <c r="B156" s="18"/>
      <c r="C156" s="18"/>
      <c r="D156" s="7"/>
      <c r="E156" s="326"/>
      <c r="F156" s="1485"/>
      <c r="G156" s="1486"/>
      <c r="H156" s="1486"/>
      <c r="I156" s="1487"/>
      <c r="J156" s="1195"/>
      <c r="K156" s="1084"/>
      <c r="L156" s="1084"/>
      <c r="M156" s="1492"/>
      <c r="N156" s="188"/>
      <c r="O156" s="188"/>
      <c r="P156" s="330"/>
      <c r="Q156" s="330"/>
      <c r="R156" s="187"/>
      <c r="U156" s="331" t="str">
        <f ca="1">'Calculos(2)'!BO$145</f>
        <v>-</v>
      </c>
      <c r="V156" s="332"/>
      <c r="W156" s="1"/>
    </row>
    <row r="157" spans="1:23" ht="20.100000000000001" customHeight="1" x14ac:dyDescent="0.25">
      <c r="A157" s="18"/>
      <c r="B157" s="18"/>
      <c r="C157" s="18"/>
      <c r="D157" s="7"/>
      <c r="E157" s="326"/>
      <c r="F157" s="1485"/>
      <c r="G157" s="1486"/>
      <c r="H157" s="1486"/>
      <c r="I157" s="1487"/>
      <c r="J157" s="1195"/>
      <c r="K157" s="1084"/>
      <c r="L157" s="1084"/>
      <c r="M157" s="1492"/>
      <c r="N157" s="188"/>
      <c r="O157" s="188"/>
      <c r="P157" s="330"/>
      <c r="Q157" s="330"/>
      <c r="R157" s="187"/>
      <c r="U157" s="331" t="str">
        <f ca="1">'Calculos(2)'!BO$146</f>
        <v>-</v>
      </c>
      <c r="V157" s="332"/>
      <c r="W157" s="1"/>
    </row>
    <row r="158" spans="1:23" ht="20.100000000000001" customHeight="1" x14ac:dyDescent="0.25">
      <c r="A158" s="18"/>
      <c r="B158" s="18"/>
      <c r="C158" s="18"/>
      <c r="D158" s="7"/>
      <c r="E158" s="326"/>
      <c r="F158" s="1485"/>
      <c r="G158" s="1486"/>
      <c r="H158" s="1486"/>
      <c r="I158" s="1487"/>
      <c r="J158" s="1195"/>
      <c r="K158" s="1084"/>
      <c r="L158" s="1084"/>
      <c r="M158" s="1492"/>
      <c r="N158" s="188"/>
      <c r="O158" s="188"/>
      <c r="P158" s="330"/>
      <c r="Q158" s="330"/>
      <c r="R158" s="187"/>
      <c r="U158" s="331" t="str">
        <f ca="1">'Calculos(2)'!BO$147</f>
        <v>-</v>
      </c>
      <c r="V158" s="332"/>
      <c r="W158" s="1"/>
    </row>
    <row r="159" spans="1:23" ht="20.100000000000001" customHeight="1" x14ac:dyDescent="0.25">
      <c r="A159" s="18"/>
      <c r="B159" s="18"/>
      <c r="C159" s="18"/>
      <c r="D159" s="7"/>
      <c r="E159" s="326"/>
      <c r="F159" s="1485"/>
      <c r="G159" s="1486"/>
      <c r="H159" s="1486"/>
      <c r="I159" s="1487"/>
      <c r="J159" s="1196"/>
      <c r="K159" s="1121"/>
      <c r="L159" s="1121"/>
      <c r="M159" s="1493"/>
      <c r="N159" s="188"/>
      <c r="O159" s="188"/>
      <c r="P159" s="330"/>
      <c r="Q159" s="330"/>
      <c r="R159" s="187"/>
      <c r="U159" s="331" t="str">
        <f ca="1">'Calculos(2)'!BO$148</f>
        <v>-</v>
      </c>
      <c r="V159" s="332"/>
      <c r="W159" s="1"/>
    </row>
    <row r="160" spans="1:23" ht="20.100000000000001" customHeight="1" x14ac:dyDescent="0.25">
      <c r="A160" s="18"/>
      <c r="B160" s="18"/>
      <c r="C160" s="18"/>
      <c r="D160" s="7"/>
      <c r="E160" s="326"/>
      <c r="F160" s="1488"/>
      <c r="G160" s="1489"/>
      <c r="H160" s="1489"/>
      <c r="I160" s="1490"/>
      <c r="J160" s="1472" t="s">
        <v>80</v>
      </c>
      <c r="K160" s="1473"/>
      <c r="L160" s="1473"/>
      <c r="M160" s="1474"/>
      <c r="N160" s="188"/>
      <c r="O160" s="188"/>
      <c r="P160" s="330"/>
      <c r="Q160" s="330"/>
      <c r="R160" s="187" t="s">
        <v>10</v>
      </c>
      <c r="U160" s="331" t="str">
        <f ca="1">'Calculos(2)'!BO$149</f>
        <v>-</v>
      </c>
      <c r="V160" s="332"/>
      <c r="W160" s="1"/>
    </row>
    <row r="161" spans="1:23" ht="20.100000000000001" customHeight="1" x14ac:dyDescent="0.25">
      <c r="A161" s="18"/>
      <c r="B161" s="18"/>
      <c r="C161" s="18"/>
      <c r="D161" s="7"/>
      <c r="E161" s="326"/>
      <c r="V161" s="332"/>
      <c r="W161" s="1"/>
    </row>
    <row r="162" spans="1:23" ht="20.100000000000001" hidden="1" customHeight="1" x14ac:dyDescent="0.25">
      <c r="A162" s="18"/>
      <c r="B162" s="18"/>
      <c r="C162" s="18"/>
      <c r="D162" s="7"/>
      <c r="E162" s="326"/>
      <c r="V162" s="332"/>
      <c r="W162" s="1"/>
    </row>
    <row r="163" spans="1:23" ht="20.100000000000001" hidden="1" customHeight="1" x14ac:dyDescent="0.25">
      <c r="A163" s="18"/>
      <c r="B163" s="18"/>
      <c r="C163" s="18"/>
      <c r="D163" s="7"/>
      <c r="E163" s="326"/>
      <c r="V163" s="332"/>
      <c r="W163" s="1"/>
    </row>
    <row r="164" spans="1:23" ht="20.100000000000001" customHeight="1" x14ac:dyDescent="0.25">
      <c r="A164" s="18"/>
      <c r="B164" s="18"/>
      <c r="C164" s="18"/>
      <c r="D164" s="7"/>
      <c r="E164" s="326"/>
      <c r="V164" s="332"/>
      <c r="W164" s="7"/>
    </row>
    <row r="165" spans="1:23" ht="45" customHeight="1" x14ac:dyDescent="0.25">
      <c r="A165" s="18"/>
      <c r="B165" s="18"/>
      <c r="C165" s="18"/>
      <c r="D165" s="7"/>
      <c r="E165" s="326"/>
      <c r="F165" s="1479" t="s">
        <v>8618</v>
      </c>
      <c r="G165" s="1480"/>
      <c r="H165" s="1480"/>
      <c r="I165" s="1480"/>
      <c r="J165" s="1480"/>
      <c r="K165" s="1480"/>
      <c r="L165" s="1480"/>
      <c r="M165" s="1481"/>
      <c r="N165" s="333" t="str">
        <f ca="1">"Concentração"&amp;" "&amp;'Calculos(2)'!$BJ$3</f>
        <v>Concentração -</v>
      </c>
      <c r="O165" s="333" t="s">
        <v>6038</v>
      </c>
      <c r="P165" s="333" t="s">
        <v>8126</v>
      </c>
      <c r="Q165" s="333" t="s">
        <v>8028</v>
      </c>
      <c r="R165" s="333" t="s">
        <v>8603</v>
      </c>
      <c r="S165" s="333" t="s">
        <v>8127</v>
      </c>
      <c r="U165" s="328" t="s">
        <v>119</v>
      </c>
      <c r="V165" s="332"/>
      <c r="W165" s="1"/>
    </row>
    <row r="166" spans="1:23" ht="20.100000000000001" customHeight="1" x14ac:dyDescent="0.25">
      <c r="A166" s="18"/>
      <c r="B166" s="18"/>
      <c r="C166" s="18"/>
      <c r="D166" s="7"/>
      <c r="E166" s="326"/>
      <c r="F166" s="1482" t="str">
        <f ca="1">'Calculos(2)'!$BJ$4</f>
        <v>-</v>
      </c>
      <c r="G166" s="1483"/>
      <c r="H166" s="1483"/>
      <c r="I166" s="1484"/>
      <c r="J166" s="1472" t="s">
        <v>7103</v>
      </c>
      <c r="K166" s="1473"/>
      <c r="L166" s="1473"/>
      <c r="M166" s="1474"/>
      <c r="N166" s="334"/>
      <c r="O166" s="334"/>
      <c r="P166" s="335"/>
      <c r="Q166" s="335"/>
      <c r="R166" s="335">
        <v>0</v>
      </c>
      <c r="S166" s="331">
        <f>O166/2</f>
        <v>0</v>
      </c>
      <c r="U166" s="331" t="str">
        <f ca="1">'Calculos(2)'!BO$154</f>
        <v>-</v>
      </c>
      <c r="V166" s="332"/>
      <c r="W166" s="1"/>
    </row>
    <row r="167" spans="1:23" ht="20.100000000000001" customHeight="1" x14ac:dyDescent="0.25">
      <c r="A167" s="18"/>
      <c r="B167" s="18"/>
      <c r="C167" s="18"/>
      <c r="D167" s="7"/>
      <c r="E167" s="326"/>
      <c r="F167" s="1485"/>
      <c r="G167" s="1486"/>
      <c r="H167" s="1486"/>
      <c r="I167" s="1487"/>
      <c r="J167" s="1193" t="s">
        <v>8027</v>
      </c>
      <c r="K167" s="1194"/>
      <c r="L167" s="1194"/>
      <c r="M167" s="1491"/>
      <c r="N167" s="334"/>
      <c r="O167" s="334"/>
      <c r="P167" s="335"/>
      <c r="Q167" s="335"/>
      <c r="R167" s="335"/>
      <c r="U167" s="331" t="str">
        <f ca="1">'Calculos(2)'!BO$155</f>
        <v>-</v>
      </c>
      <c r="V167" s="332"/>
      <c r="W167" s="1"/>
    </row>
    <row r="168" spans="1:23" ht="20.100000000000001" customHeight="1" x14ac:dyDescent="0.25">
      <c r="A168" s="18"/>
      <c r="B168" s="18"/>
      <c r="C168" s="18"/>
      <c r="D168" s="7"/>
      <c r="E168" s="326"/>
      <c r="F168" s="1485"/>
      <c r="G168" s="1486"/>
      <c r="H168" s="1486"/>
      <c r="I168" s="1487"/>
      <c r="J168" s="1195"/>
      <c r="K168" s="1084"/>
      <c r="L168" s="1084"/>
      <c r="M168" s="1492"/>
      <c r="N168" s="334"/>
      <c r="O168" s="334"/>
      <c r="P168" s="335"/>
      <c r="Q168" s="335"/>
      <c r="R168" s="335"/>
      <c r="U168" s="331" t="str">
        <f ca="1">'Calculos(2)'!BO$156</f>
        <v>-</v>
      </c>
      <c r="V168" s="332"/>
      <c r="W168" s="1"/>
    </row>
    <row r="169" spans="1:23" ht="20.100000000000001" customHeight="1" x14ac:dyDescent="0.25">
      <c r="A169" s="18"/>
      <c r="B169" s="18"/>
      <c r="C169" s="18"/>
      <c r="D169" s="7"/>
      <c r="E169" s="326"/>
      <c r="F169" s="1485"/>
      <c r="G169" s="1486"/>
      <c r="H169" s="1486"/>
      <c r="I169" s="1487"/>
      <c r="J169" s="1195"/>
      <c r="K169" s="1084"/>
      <c r="L169" s="1084"/>
      <c r="M169" s="1492"/>
      <c r="N169" s="334"/>
      <c r="O169" s="334"/>
      <c r="P169" s="335"/>
      <c r="Q169" s="335"/>
      <c r="R169" s="335"/>
      <c r="U169" s="331" t="str">
        <f ca="1">'Calculos(2)'!BO$157</f>
        <v>-</v>
      </c>
      <c r="V169" s="332"/>
      <c r="W169" s="1"/>
    </row>
    <row r="170" spans="1:23" ht="20.100000000000001" customHeight="1" x14ac:dyDescent="0.25">
      <c r="A170" s="18"/>
      <c r="B170" s="18"/>
      <c r="C170" s="18"/>
      <c r="D170" s="7"/>
      <c r="E170" s="326"/>
      <c r="F170" s="1485"/>
      <c r="G170" s="1486"/>
      <c r="H170" s="1486"/>
      <c r="I170" s="1487"/>
      <c r="J170" s="1195"/>
      <c r="K170" s="1084"/>
      <c r="L170" s="1084"/>
      <c r="M170" s="1492"/>
      <c r="N170" s="334"/>
      <c r="O170" s="334"/>
      <c r="P170" s="335"/>
      <c r="Q170" s="335"/>
      <c r="R170" s="335"/>
      <c r="U170" s="331" t="str">
        <f ca="1">'Calculos(2)'!BO$158</f>
        <v>-</v>
      </c>
      <c r="V170" s="332"/>
      <c r="W170" s="1"/>
    </row>
    <row r="171" spans="1:23" ht="20.100000000000001" customHeight="1" x14ac:dyDescent="0.25">
      <c r="A171" s="18"/>
      <c r="B171" s="18"/>
      <c r="C171" s="18"/>
      <c r="D171" s="7"/>
      <c r="E171" s="326"/>
      <c r="F171" s="1485"/>
      <c r="G171" s="1486"/>
      <c r="H171" s="1486"/>
      <c r="I171" s="1487"/>
      <c r="J171" s="1195"/>
      <c r="K171" s="1084"/>
      <c r="L171" s="1084"/>
      <c r="M171" s="1492"/>
      <c r="N171" s="334"/>
      <c r="O171" s="334"/>
      <c r="P171" s="335"/>
      <c r="Q171" s="335"/>
      <c r="R171" s="335"/>
      <c r="U171" s="331" t="str">
        <f ca="1">'Calculos(2)'!BO$159</f>
        <v>-</v>
      </c>
      <c r="V171" s="332"/>
      <c r="W171" s="1"/>
    </row>
    <row r="172" spans="1:23" ht="20.100000000000001" customHeight="1" x14ac:dyDescent="0.25">
      <c r="A172" s="18"/>
      <c r="B172" s="18"/>
      <c r="C172" s="18"/>
      <c r="D172" s="7"/>
      <c r="E172" s="326"/>
      <c r="F172" s="1485"/>
      <c r="G172" s="1486"/>
      <c r="H172" s="1486"/>
      <c r="I172" s="1487"/>
      <c r="J172" s="1195"/>
      <c r="K172" s="1084"/>
      <c r="L172" s="1084"/>
      <c r="M172" s="1492"/>
      <c r="N172" s="334"/>
      <c r="O172" s="334"/>
      <c r="P172" s="335"/>
      <c r="Q172" s="335"/>
      <c r="R172" s="335"/>
      <c r="U172" s="331" t="str">
        <f ca="1">'Calculos(2)'!BO$160</f>
        <v>-</v>
      </c>
      <c r="V172" s="332"/>
      <c r="W172" s="1"/>
    </row>
    <row r="173" spans="1:23" ht="20.100000000000001" customHeight="1" x14ac:dyDescent="0.25">
      <c r="A173" s="18"/>
      <c r="B173" s="18"/>
      <c r="C173" s="18"/>
      <c r="D173" s="7"/>
      <c r="E173" s="326"/>
      <c r="F173" s="1485"/>
      <c r="G173" s="1486"/>
      <c r="H173" s="1486"/>
      <c r="I173" s="1487"/>
      <c r="J173" s="1195"/>
      <c r="K173" s="1084"/>
      <c r="L173" s="1084"/>
      <c r="M173" s="1492"/>
      <c r="N173" s="334"/>
      <c r="O173" s="334"/>
      <c r="P173" s="335"/>
      <c r="Q173" s="335"/>
      <c r="R173" s="335"/>
      <c r="U173" s="331" t="str">
        <f ca="1">'Calculos(2)'!BO$161</f>
        <v>-</v>
      </c>
      <c r="V173" s="332"/>
      <c r="W173" s="1"/>
    </row>
    <row r="174" spans="1:23" ht="20.100000000000001" customHeight="1" x14ac:dyDescent="0.25">
      <c r="A174" s="18"/>
      <c r="B174" s="18"/>
      <c r="C174" s="18"/>
      <c r="D174" s="7"/>
      <c r="E174" s="326"/>
      <c r="F174" s="1485"/>
      <c r="G174" s="1486"/>
      <c r="H174" s="1486"/>
      <c r="I174" s="1487"/>
      <c r="J174" s="1195"/>
      <c r="K174" s="1084"/>
      <c r="L174" s="1084"/>
      <c r="M174" s="1492"/>
      <c r="N174" s="334"/>
      <c r="O174" s="334"/>
      <c r="P174" s="335"/>
      <c r="Q174" s="335"/>
      <c r="R174" s="335"/>
      <c r="U174" s="331" t="str">
        <f ca="1">'Calculos(2)'!BO$162</f>
        <v>-</v>
      </c>
      <c r="V174" s="332"/>
      <c r="W174" s="1"/>
    </row>
    <row r="175" spans="1:23" ht="20.100000000000001" customHeight="1" x14ac:dyDescent="0.25">
      <c r="A175" s="18"/>
      <c r="B175" s="18"/>
      <c r="C175" s="18"/>
      <c r="D175" s="1"/>
      <c r="E175" s="326"/>
      <c r="F175" s="1485"/>
      <c r="G175" s="1486"/>
      <c r="H175" s="1486"/>
      <c r="I175" s="1487"/>
      <c r="J175" s="1195"/>
      <c r="K175" s="1084"/>
      <c r="L175" s="1084"/>
      <c r="M175" s="1492"/>
      <c r="N175" s="334"/>
      <c r="O175" s="334"/>
      <c r="P175" s="335"/>
      <c r="Q175" s="335"/>
      <c r="R175" s="335"/>
      <c r="U175" s="331" t="str">
        <f ca="1">'Calculos(2)'!BO$163</f>
        <v>-</v>
      </c>
      <c r="V175" s="332"/>
      <c r="W175" s="1"/>
    </row>
    <row r="176" spans="1:23" ht="20.100000000000001" customHeight="1" x14ac:dyDescent="0.25">
      <c r="A176" s="18"/>
      <c r="B176" s="18"/>
      <c r="C176" s="18"/>
      <c r="D176" s="1"/>
      <c r="E176" s="326"/>
      <c r="F176" s="1485"/>
      <c r="G176" s="1486"/>
      <c r="H176" s="1486"/>
      <c r="I176" s="1487"/>
      <c r="J176" s="1196"/>
      <c r="K176" s="1121"/>
      <c r="L176" s="1121"/>
      <c r="M176" s="1493"/>
      <c r="N176" s="334"/>
      <c r="O176" s="334"/>
      <c r="P176" s="335"/>
      <c r="Q176" s="335"/>
      <c r="R176" s="335"/>
      <c r="U176" s="331" t="str">
        <f ca="1">'Calculos(2)'!BO$164</f>
        <v>-</v>
      </c>
      <c r="V176" s="329"/>
      <c r="W176" s="1"/>
    </row>
    <row r="177" spans="1:23" ht="20.100000000000001" customHeight="1" x14ac:dyDescent="0.25">
      <c r="A177" s="18"/>
      <c r="B177" s="18"/>
      <c r="C177" s="18"/>
      <c r="D177" s="1"/>
      <c r="E177" s="326"/>
      <c r="F177" s="1488"/>
      <c r="G177" s="1489"/>
      <c r="H177" s="1489"/>
      <c r="I177" s="1490"/>
      <c r="J177" s="1472" t="s">
        <v>80</v>
      </c>
      <c r="K177" s="1473"/>
      <c r="L177" s="1473"/>
      <c r="M177" s="1474"/>
      <c r="N177" s="334"/>
      <c r="O177" s="334"/>
      <c r="P177" s="335"/>
      <c r="Q177" s="335"/>
      <c r="R177" s="335" t="s">
        <v>10</v>
      </c>
      <c r="U177" s="331" t="str">
        <f ca="1">'Calculos(2)'!BO$165</f>
        <v>-</v>
      </c>
      <c r="V177" s="329"/>
      <c r="W177" s="1"/>
    </row>
    <row r="178" spans="1:23" ht="20.100000000000001" customHeight="1" x14ac:dyDescent="0.25">
      <c r="A178" s="18"/>
      <c r="B178" s="18"/>
      <c r="C178" s="18"/>
      <c r="D178" s="1"/>
      <c r="E178" s="336"/>
      <c r="F178" s="337"/>
      <c r="G178" s="337"/>
      <c r="H178" s="337"/>
      <c r="I178" s="337"/>
      <c r="J178" s="337"/>
      <c r="K178" s="337"/>
      <c r="L178" s="337"/>
      <c r="M178" s="337"/>
      <c r="N178" s="337"/>
      <c r="O178" s="337"/>
      <c r="P178" s="337"/>
      <c r="Q178" s="337"/>
      <c r="R178" s="337"/>
      <c r="S178" s="337"/>
      <c r="T178" s="337"/>
      <c r="U178" s="337"/>
      <c r="V178" s="338"/>
      <c r="W178" s="1"/>
    </row>
    <row r="179" spans="1:23" ht="20.100000000000001" hidden="1" customHeight="1" x14ac:dyDescent="0.25">
      <c r="A179" s="18"/>
      <c r="B179" s="18"/>
      <c r="C179" s="18"/>
      <c r="D179" s="1"/>
      <c r="E179" s="2"/>
      <c r="W179" s="1"/>
    </row>
    <row r="180" spans="1:23" ht="20.100000000000001" customHeight="1" x14ac:dyDescent="0.25">
      <c r="A180" s="18"/>
      <c r="B180" s="18"/>
      <c r="C180" s="18"/>
      <c r="D180" s="1"/>
      <c r="E180" s="1"/>
      <c r="F180" s="1"/>
      <c r="G180" s="1"/>
      <c r="H180" s="1"/>
      <c r="I180" s="1"/>
      <c r="J180" s="1"/>
      <c r="K180" s="1"/>
      <c r="L180" s="1"/>
      <c r="M180" s="1"/>
      <c r="N180" s="1"/>
      <c r="O180" s="1"/>
      <c r="P180" s="1"/>
      <c r="Q180" s="1"/>
      <c r="R180" s="1"/>
      <c r="S180" s="1"/>
      <c r="T180" s="1"/>
      <c r="U180" s="1"/>
      <c r="V180" s="1"/>
      <c r="W180" s="1"/>
    </row>
    <row r="181" spans="1:23" ht="20.100000000000001" customHeight="1" x14ac:dyDescent="0.25">
      <c r="A181" s="18"/>
      <c r="B181" s="18"/>
      <c r="C181" s="18"/>
      <c r="D181" s="7"/>
      <c r="E181" s="321"/>
      <c r="F181" s="322"/>
      <c r="G181" s="323"/>
      <c r="H181" s="323"/>
      <c r="I181" s="323"/>
      <c r="J181" s="323"/>
      <c r="K181" s="323"/>
      <c r="L181" s="323"/>
      <c r="M181" s="323"/>
      <c r="N181" s="323"/>
      <c r="O181" s="323"/>
      <c r="P181" s="323"/>
      <c r="Q181" s="323"/>
      <c r="R181" s="339"/>
      <c r="S181" s="339"/>
      <c r="T181" s="339"/>
      <c r="U181" s="339"/>
      <c r="V181" s="342"/>
      <c r="W181" s="1"/>
    </row>
    <row r="182" spans="1:23" ht="45" customHeight="1" x14ac:dyDescent="0.25">
      <c r="A182" s="18"/>
      <c r="B182" s="18"/>
      <c r="C182" s="18"/>
      <c r="D182" s="7"/>
      <c r="E182" s="326"/>
      <c r="F182" s="1494" t="s">
        <v>8610</v>
      </c>
      <c r="G182" s="1495"/>
      <c r="H182" s="1495"/>
      <c r="I182" s="1495"/>
      <c r="J182" s="1495"/>
      <c r="K182" s="1495"/>
      <c r="L182" s="1495"/>
      <c r="M182" s="1496"/>
      <c r="N182" s="327" t="str">
        <f ca="1">"Concentração"&amp;" "&amp;'Calculos(2)'!$BJ$3</f>
        <v>Concentração -</v>
      </c>
      <c r="O182" s="327" t="s">
        <v>6038</v>
      </c>
      <c r="P182" s="327" t="s">
        <v>8126</v>
      </c>
      <c r="Q182" s="327" t="s">
        <v>8028</v>
      </c>
      <c r="R182" s="327" t="s">
        <v>8603</v>
      </c>
      <c r="S182" s="327" t="s">
        <v>8127</v>
      </c>
      <c r="U182" s="328" t="s">
        <v>119</v>
      </c>
      <c r="V182" s="332"/>
      <c r="W182" s="7"/>
    </row>
    <row r="183" spans="1:23" ht="20.100000000000001" customHeight="1" x14ac:dyDescent="0.25">
      <c r="A183" s="18"/>
      <c r="B183" s="18"/>
      <c r="C183" s="18"/>
      <c r="D183" s="7"/>
      <c r="E183" s="326"/>
      <c r="F183" s="1482" t="str">
        <f ca="1">'Calculos(2)'!$BJ$4</f>
        <v>-</v>
      </c>
      <c r="G183" s="1483"/>
      <c r="H183" s="1483"/>
      <c r="I183" s="1484"/>
      <c r="J183" s="1472" t="s">
        <v>7103</v>
      </c>
      <c r="K183" s="1473"/>
      <c r="L183" s="1473"/>
      <c r="M183" s="1474"/>
      <c r="N183" s="188"/>
      <c r="O183" s="188"/>
      <c r="P183" s="330"/>
      <c r="Q183" s="330"/>
      <c r="R183" s="187">
        <v>0</v>
      </c>
      <c r="S183" s="331">
        <f>O183/2</f>
        <v>0</v>
      </c>
      <c r="U183" s="331" t="str">
        <f ca="1">'Calculos(2)'!BO$170</f>
        <v>-</v>
      </c>
      <c r="V183" s="332"/>
      <c r="W183" s="1"/>
    </row>
    <row r="184" spans="1:23" ht="20.100000000000001" customHeight="1" x14ac:dyDescent="0.25">
      <c r="A184" s="18"/>
      <c r="B184" s="18"/>
      <c r="C184" s="18"/>
      <c r="D184" s="7"/>
      <c r="E184" s="326"/>
      <c r="F184" s="1485"/>
      <c r="G184" s="1486"/>
      <c r="H184" s="1486"/>
      <c r="I184" s="1487"/>
      <c r="J184" s="1193" t="s">
        <v>8027</v>
      </c>
      <c r="K184" s="1194"/>
      <c r="L184" s="1194"/>
      <c r="M184" s="1491"/>
      <c r="N184" s="188"/>
      <c r="O184" s="188"/>
      <c r="P184" s="330"/>
      <c r="Q184" s="330"/>
      <c r="R184" s="187"/>
      <c r="U184" s="331" t="str">
        <f ca="1">'Calculos(2)'!BO$171</f>
        <v>-</v>
      </c>
      <c r="V184" s="332"/>
      <c r="W184" s="1"/>
    </row>
    <row r="185" spans="1:23" ht="20.100000000000001" customHeight="1" x14ac:dyDescent="0.25">
      <c r="A185" s="18"/>
      <c r="B185" s="18"/>
      <c r="C185" s="18"/>
      <c r="D185" s="7"/>
      <c r="E185" s="326"/>
      <c r="F185" s="1485"/>
      <c r="G185" s="1486"/>
      <c r="H185" s="1486"/>
      <c r="I185" s="1487"/>
      <c r="J185" s="1195"/>
      <c r="K185" s="1084"/>
      <c r="L185" s="1084"/>
      <c r="M185" s="1492"/>
      <c r="N185" s="188"/>
      <c r="O185" s="188"/>
      <c r="P185" s="330"/>
      <c r="Q185" s="330"/>
      <c r="R185" s="187"/>
      <c r="U185" s="331" t="str">
        <f ca="1">'Calculos(2)'!BO$172</f>
        <v>-</v>
      </c>
      <c r="V185" s="332"/>
      <c r="W185" s="1"/>
    </row>
    <row r="186" spans="1:23" ht="20.100000000000001" customHeight="1" x14ac:dyDescent="0.25">
      <c r="A186" s="18"/>
      <c r="B186" s="18"/>
      <c r="C186" s="18"/>
      <c r="D186" s="7"/>
      <c r="E186" s="326"/>
      <c r="F186" s="1485"/>
      <c r="G186" s="1486"/>
      <c r="H186" s="1486"/>
      <c r="I186" s="1487"/>
      <c r="J186" s="1195"/>
      <c r="K186" s="1084"/>
      <c r="L186" s="1084"/>
      <c r="M186" s="1492"/>
      <c r="N186" s="188"/>
      <c r="O186" s="188"/>
      <c r="P186" s="330"/>
      <c r="Q186" s="330"/>
      <c r="R186" s="187"/>
      <c r="U186" s="331" t="str">
        <f ca="1">'Calculos(2)'!BO$173</f>
        <v>-</v>
      </c>
      <c r="V186" s="332"/>
      <c r="W186" s="1"/>
    </row>
    <row r="187" spans="1:23" ht="20.100000000000001" customHeight="1" x14ac:dyDescent="0.25">
      <c r="A187" s="18"/>
      <c r="B187" s="18"/>
      <c r="C187" s="18"/>
      <c r="D187" s="7"/>
      <c r="E187" s="326"/>
      <c r="F187" s="1485"/>
      <c r="G187" s="1486"/>
      <c r="H187" s="1486"/>
      <c r="I187" s="1487"/>
      <c r="J187" s="1195"/>
      <c r="K187" s="1084"/>
      <c r="L187" s="1084"/>
      <c r="M187" s="1492"/>
      <c r="N187" s="188"/>
      <c r="O187" s="188"/>
      <c r="P187" s="330"/>
      <c r="Q187" s="330"/>
      <c r="R187" s="187"/>
      <c r="U187" s="331" t="str">
        <f ca="1">'Calculos(2)'!BO$174</f>
        <v>-</v>
      </c>
      <c r="V187" s="332"/>
      <c r="W187" s="1"/>
    </row>
    <row r="188" spans="1:23" ht="20.100000000000001" customHeight="1" x14ac:dyDescent="0.25">
      <c r="A188" s="18"/>
      <c r="B188" s="18"/>
      <c r="C188" s="18"/>
      <c r="D188" s="7"/>
      <c r="E188" s="326"/>
      <c r="F188" s="1485"/>
      <c r="G188" s="1486"/>
      <c r="H188" s="1486"/>
      <c r="I188" s="1487"/>
      <c r="J188" s="1195"/>
      <c r="K188" s="1084"/>
      <c r="L188" s="1084"/>
      <c r="M188" s="1492"/>
      <c r="N188" s="188"/>
      <c r="O188" s="188"/>
      <c r="P188" s="330"/>
      <c r="Q188" s="330"/>
      <c r="R188" s="187"/>
      <c r="U188" s="331" t="str">
        <f ca="1">'Calculos(2)'!BO$175</f>
        <v>-</v>
      </c>
      <c r="V188" s="332"/>
      <c r="W188" s="1"/>
    </row>
    <row r="189" spans="1:23" ht="20.100000000000001" customHeight="1" x14ac:dyDescent="0.25">
      <c r="A189" s="18"/>
      <c r="B189" s="18"/>
      <c r="C189" s="18"/>
      <c r="D189" s="7"/>
      <c r="E189" s="326"/>
      <c r="F189" s="1485"/>
      <c r="G189" s="1486"/>
      <c r="H189" s="1486"/>
      <c r="I189" s="1487"/>
      <c r="J189" s="1195"/>
      <c r="K189" s="1084"/>
      <c r="L189" s="1084"/>
      <c r="M189" s="1492"/>
      <c r="N189" s="188"/>
      <c r="O189" s="188"/>
      <c r="P189" s="330"/>
      <c r="Q189" s="330"/>
      <c r="R189" s="187"/>
      <c r="U189" s="331" t="str">
        <f ca="1">'Calculos(2)'!BO$176</f>
        <v>-</v>
      </c>
      <c r="V189" s="332"/>
      <c r="W189" s="1"/>
    </row>
    <row r="190" spans="1:23" ht="20.100000000000001" customHeight="1" x14ac:dyDescent="0.25">
      <c r="A190" s="18"/>
      <c r="B190" s="18"/>
      <c r="C190" s="18"/>
      <c r="D190" s="7"/>
      <c r="E190" s="326"/>
      <c r="F190" s="1485"/>
      <c r="G190" s="1486"/>
      <c r="H190" s="1486"/>
      <c r="I190" s="1487"/>
      <c r="J190" s="1195"/>
      <c r="K190" s="1084"/>
      <c r="L190" s="1084"/>
      <c r="M190" s="1492"/>
      <c r="N190" s="188"/>
      <c r="O190" s="188"/>
      <c r="P190" s="330"/>
      <c r="Q190" s="330"/>
      <c r="R190" s="187"/>
      <c r="U190" s="331" t="str">
        <f ca="1">'Calculos(2)'!BO$177</f>
        <v>-</v>
      </c>
      <c r="V190" s="332"/>
      <c r="W190" s="1"/>
    </row>
    <row r="191" spans="1:23" ht="20.100000000000001" customHeight="1" x14ac:dyDescent="0.25">
      <c r="A191" s="18"/>
      <c r="B191" s="18"/>
      <c r="C191" s="18"/>
      <c r="D191" s="7"/>
      <c r="E191" s="326"/>
      <c r="F191" s="1485"/>
      <c r="G191" s="1486"/>
      <c r="H191" s="1486"/>
      <c r="I191" s="1487"/>
      <c r="J191" s="1195"/>
      <c r="K191" s="1084"/>
      <c r="L191" s="1084"/>
      <c r="M191" s="1492"/>
      <c r="N191" s="188"/>
      <c r="O191" s="188"/>
      <c r="P191" s="330"/>
      <c r="Q191" s="330"/>
      <c r="R191" s="187"/>
      <c r="U191" s="331" t="str">
        <f ca="1">'Calculos(2)'!BO$178</f>
        <v>-</v>
      </c>
      <c r="V191" s="332"/>
      <c r="W191" s="1"/>
    </row>
    <row r="192" spans="1:23" ht="20.100000000000001" customHeight="1" x14ac:dyDescent="0.25">
      <c r="A192" s="18"/>
      <c r="B192" s="18"/>
      <c r="C192" s="18"/>
      <c r="D192" s="7"/>
      <c r="E192" s="326"/>
      <c r="F192" s="1485"/>
      <c r="G192" s="1486"/>
      <c r="H192" s="1486"/>
      <c r="I192" s="1487"/>
      <c r="J192" s="1195"/>
      <c r="K192" s="1084"/>
      <c r="L192" s="1084"/>
      <c r="M192" s="1492"/>
      <c r="N192" s="188"/>
      <c r="O192" s="188"/>
      <c r="P192" s="330"/>
      <c r="Q192" s="330"/>
      <c r="R192" s="187"/>
      <c r="U192" s="331" t="str">
        <f ca="1">'Calculos(2)'!BO$179</f>
        <v>-</v>
      </c>
      <c r="V192" s="332"/>
      <c r="W192" s="1"/>
    </row>
    <row r="193" spans="1:23" ht="20.100000000000001" customHeight="1" x14ac:dyDescent="0.25">
      <c r="A193" s="18"/>
      <c r="B193" s="18"/>
      <c r="C193" s="18"/>
      <c r="D193" s="7"/>
      <c r="E193" s="326"/>
      <c r="F193" s="1485"/>
      <c r="G193" s="1486"/>
      <c r="H193" s="1486"/>
      <c r="I193" s="1487"/>
      <c r="J193" s="1196"/>
      <c r="K193" s="1121"/>
      <c r="L193" s="1121"/>
      <c r="M193" s="1493"/>
      <c r="N193" s="188"/>
      <c r="O193" s="188"/>
      <c r="P193" s="330"/>
      <c r="Q193" s="330"/>
      <c r="R193" s="187"/>
      <c r="U193" s="331" t="str">
        <f ca="1">'Calculos(2)'!BO$180</f>
        <v>-</v>
      </c>
      <c r="V193" s="332"/>
      <c r="W193" s="1"/>
    </row>
    <row r="194" spans="1:23" ht="20.100000000000001" customHeight="1" x14ac:dyDescent="0.25">
      <c r="A194" s="18"/>
      <c r="B194" s="18"/>
      <c r="C194" s="18"/>
      <c r="D194" s="7"/>
      <c r="E194" s="326"/>
      <c r="F194" s="1488"/>
      <c r="G194" s="1489"/>
      <c r="H194" s="1489"/>
      <c r="I194" s="1490"/>
      <c r="J194" s="1472" t="s">
        <v>80</v>
      </c>
      <c r="K194" s="1473"/>
      <c r="L194" s="1473"/>
      <c r="M194" s="1474"/>
      <c r="N194" s="188"/>
      <c r="O194" s="188"/>
      <c r="P194" s="330"/>
      <c r="Q194" s="330"/>
      <c r="R194" s="187" t="s">
        <v>10</v>
      </c>
      <c r="U194" s="331" t="str">
        <f ca="1">'Calculos(2)'!BO$181</f>
        <v>-</v>
      </c>
      <c r="V194" s="332"/>
      <c r="W194" s="1"/>
    </row>
    <row r="195" spans="1:23" ht="20.100000000000001" customHeight="1" x14ac:dyDescent="0.25">
      <c r="A195" s="18"/>
      <c r="B195" s="18"/>
      <c r="C195" s="18"/>
      <c r="D195" s="7"/>
      <c r="E195" s="326"/>
      <c r="V195" s="332"/>
      <c r="W195" s="1"/>
    </row>
    <row r="196" spans="1:23" ht="20.100000000000001" hidden="1" customHeight="1" x14ac:dyDescent="0.25">
      <c r="A196" s="18"/>
      <c r="B196" s="18"/>
      <c r="C196" s="18"/>
      <c r="D196" s="7"/>
      <c r="E196" s="326"/>
      <c r="V196" s="332"/>
      <c r="W196" s="1"/>
    </row>
    <row r="197" spans="1:23" ht="20.100000000000001" hidden="1" customHeight="1" x14ac:dyDescent="0.25">
      <c r="A197" s="18"/>
      <c r="B197" s="18"/>
      <c r="C197" s="18"/>
      <c r="D197" s="7"/>
      <c r="E197" s="326"/>
      <c r="V197" s="332"/>
      <c r="W197" s="7"/>
    </row>
    <row r="198" spans="1:23" s="7" customFormat="1" ht="20.100000000000001" customHeight="1" x14ac:dyDescent="0.25">
      <c r="A198" s="18"/>
      <c r="B198" s="18"/>
      <c r="C198" s="18"/>
      <c r="E198" s="326"/>
      <c r="F198" s="20"/>
      <c r="G198" s="20"/>
      <c r="H198" s="20"/>
      <c r="I198" s="20"/>
      <c r="J198" s="20"/>
      <c r="K198" s="20"/>
      <c r="L198" s="20"/>
      <c r="M198" s="20"/>
      <c r="N198" s="20"/>
      <c r="O198" s="20"/>
      <c r="P198" s="20"/>
      <c r="Q198" s="20"/>
      <c r="R198" s="20"/>
      <c r="S198" s="20"/>
      <c r="T198" s="20"/>
      <c r="U198" s="20"/>
      <c r="V198" s="332"/>
    </row>
    <row r="199" spans="1:23" s="7" customFormat="1" ht="45" customHeight="1" x14ac:dyDescent="0.25">
      <c r="A199" s="18"/>
      <c r="B199" s="18"/>
      <c r="C199" s="18"/>
      <c r="E199" s="326"/>
      <c r="F199" s="1479" t="s">
        <v>8619</v>
      </c>
      <c r="G199" s="1480"/>
      <c r="H199" s="1480"/>
      <c r="I199" s="1480"/>
      <c r="J199" s="1480"/>
      <c r="K199" s="1480"/>
      <c r="L199" s="1480"/>
      <c r="M199" s="1481"/>
      <c r="N199" s="333" t="str">
        <f ca="1">"Concentração"&amp;" "&amp;'Calculos(2)'!$BJ$3</f>
        <v>Concentração -</v>
      </c>
      <c r="O199" s="333" t="s">
        <v>6038</v>
      </c>
      <c r="P199" s="333" t="s">
        <v>8126</v>
      </c>
      <c r="Q199" s="333" t="s">
        <v>8028</v>
      </c>
      <c r="R199" s="333" t="s">
        <v>8603</v>
      </c>
      <c r="S199" s="333" t="s">
        <v>8127</v>
      </c>
      <c r="T199" s="20"/>
      <c r="U199" s="328" t="s">
        <v>119</v>
      </c>
      <c r="V199" s="332"/>
      <c r="W199" s="1"/>
    </row>
    <row r="200" spans="1:23" s="7" customFormat="1" ht="20.100000000000001" customHeight="1" x14ac:dyDescent="0.25">
      <c r="A200" s="18"/>
      <c r="B200" s="18"/>
      <c r="C200" s="18"/>
      <c r="E200" s="326"/>
      <c r="F200" s="1482" t="str">
        <f ca="1">'Calculos(2)'!$BJ$4</f>
        <v>-</v>
      </c>
      <c r="G200" s="1483"/>
      <c r="H200" s="1483"/>
      <c r="I200" s="1484"/>
      <c r="J200" s="1472" t="s">
        <v>7103</v>
      </c>
      <c r="K200" s="1473"/>
      <c r="L200" s="1473"/>
      <c r="M200" s="1474"/>
      <c r="N200" s="334"/>
      <c r="O200" s="334"/>
      <c r="P200" s="335"/>
      <c r="Q200" s="335"/>
      <c r="R200" s="335">
        <v>0</v>
      </c>
      <c r="S200" s="331">
        <f>O200/2</f>
        <v>0</v>
      </c>
      <c r="T200" s="20"/>
      <c r="U200" s="331" t="str">
        <f ca="1">'Calculos(2)'!BO$186</f>
        <v>-</v>
      </c>
      <c r="V200" s="332"/>
      <c r="W200" s="1"/>
    </row>
    <row r="201" spans="1:23" ht="20.100000000000001" customHeight="1" x14ac:dyDescent="0.25">
      <c r="A201" s="18"/>
      <c r="B201" s="18"/>
      <c r="C201" s="18"/>
      <c r="D201" s="7"/>
      <c r="E201" s="326"/>
      <c r="F201" s="1485"/>
      <c r="G201" s="1486"/>
      <c r="H201" s="1486"/>
      <c r="I201" s="1487"/>
      <c r="J201" s="1193" t="s">
        <v>8027</v>
      </c>
      <c r="K201" s="1194"/>
      <c r="L201" s="1194"/>
      <c r="M201" s="1491"/>
      <c r="N201" s="334"/>
      <c r="O201" s="334"/>
      <c r="P201" s="335"/>
      <c r="Q201" s="335"/>
      <c r="R201" s="335"/>
      <c r="U201" s="331" t="str">
        <f ca="1">'Calculos(2)'!BO$187</f>
        <v>-</v>
      </c>
      <c r="V201" s="332"/>
      <c r="W201" s="1"/>
    </row>
    <row r="202" spans="1:23" ht="20.100000000000001" customHeight="1" x14ac:dyDescent="0.25">
      <c r="A202" s="18"/>
      <c r="B202" s="18"/>
      <c r="C202" s="18"/>
      <c r="D202" s="7"/>
      <c r="E202" s="326"/>
      <c r="F202" s="1485"/>
      <c r="G202" s="1486"/>
      <c r="H202" s="1486"/>
      <c r="I202" s="1487"/>
      <c r="J202" s="1195"/>
      <c r="K202" s="1084"/>
      <c r="L202" s="1084"/>
      <c r="M202" s="1492"/>
      <c r="N202" s="334"/>
      <c r="O202" s="334"/>
      <c r="P202" s="335"/>
      <c r="Q202" s="335"/>
      <c r="R202" s="335"/>
      <c r="U202" s="331" t="str">
        <f ca="1">'Calculos(2)'!BO$188</f>
        <v>-</v>
      </c>
      <c r="V202" s="332"/>
      <c r="W202" s="1"/>
    </row>
    <row r="203" spans="1:23" ht="20.100000000000001" customHeight="1" x14ac:dyDescent="0.25">
      <c r="A203" s="18"/>
      <c r="B203" s="18"/>
      <c r="C203" s="18"/>
      <c r="D203" s="7"/>
      <c r="E203" s="326"/>
      <c r="F203" s="1485"/>
      <c r="G203" s="1486"/>
      <c r="H203" s="1486"/>
      <c r="I203" s="1487"/>
      <c r="J203" s="1195"/>
      <c r="K203" s="1084"/>
      <c r="L203" s="1084"/>
      <c r="M203" s="1492"/>
      <c r="N203" s="334"/>
      <c r="O203" s="334"/>
      <c r="P203" s="335"/>
      <c r="Q203" s="335"/>
      <c r="R203" s="335"/>
      <c r="U203" s="331" t="str">
        <f ca="1">'Calculos(2)'!BO$189</f>
        <v>-</v>
      </c>
      <c r="V203" s="332"/>
      <c r="W203" s="1"/>
    </row>
    <row r="204" spans="1:23" ht="20.100000000000001" customHeight="1" x14ac:dyDescent="0.25">
      <c r="A204" s="18"/>
      <c r="B204" s="18"/>
      <c r="C204" s="18"/>
      <c r="D204" s="7"/>
      <c r="E204" s="326"/>
      <c r="F204" s="1485"/>
      <c r="G204" s="1486"/>
      <c r="H204" s="1486"/>
      <c r="I204" s="1487"/>
      <c r="J204" s="1195"/>
      <c r="K204" s="1084"/>
      <c r="L204" s="1084"/>
      <c r="M204" s="1492"/>
      <c r="N204" s="334"/>
      <c r="O204" s="334"/>
      <c r="P204" s="335"/>
      <c r="Q204" s="335"/>
      <c r="R204" s="335"/>
      <c r="U204" s="331" t="str">
        <f ca="1">'Calculos(2)'!BO$190</f>
        <v>-</v>
      </c>
      <c r="V204" s="332"/>
      <c r="W204" s="1"/>
    </row>
    <row r="205" spans="1:23" ht="20.100000000000001" customHeight="1" x14ac:dyDescent="0.25">
      <c r="A205" s="18"/>
      <c r="B205" s="18"/>
      <c r="C205" s="18"/>
      <c r="D205" s="7"/>
      <c r="E205" s="326"/>
      <c r="F205" s="1485"/>
      <c r="G205" s="1486"/>
      <c r="H205" s="1486"/>
      <c r="I205" s="1487"/>
      <c r="J205" s="1195"/>
      <c r="K205" s="1084"/>
      <c r="L205" s="1084"/>
      <c r="M205" s="1492"/>
      <c r="N205" s="334"/>
      <c r="O205" s="334"/>
      <c r="P205" s="335"/>
      <c r="Q205" s="335"/>
      <c r="R205" s="335"/>
      <c r="U205" s="331" t="str">
        <f ca="1">'Calculos(2)'!BO$191</f>
        <v>-</v>
      </c>
      <c r="V205" s="332"/>
      <c r="W205" s="1"/>
    </row>
    <row r="206" spans="1:23" ht="20.100000000000001" customHeight="1" x14ac:dyDescent="0.25">
      <c r="A206" s="18"/>
      <c r="B206" s="18"/>
      <c r="C206" s="18"/>
      <c r="D206" s="7"/>
      <c r="E206" s="326"/>
      <c r="F206" s="1485"/>
      <c r="G206" s="1486"/>
      <c r="H206" s="1486"/>
      <c r="I206" s="1487"/>
      <c r="J206" s="1195"/>
      <c r="K206" s="1084"/>
      <c r="L206" s="1084"/>
      <c r="M206" s="1492"/>
      <c r="N206" s="334"/>
      <c r="O206" s="334"/>
      <c r="P206" s="335"/>
      <c r="Q206" s="335"/>
      <c r="R206" s="335"/>
      <c r="U206" s="331" t="str">
        <f ca="1">'Calculos(2)'!BO$192</f>
        <v>-</v>
      </c>
      <c r="V206" s="332"/>
      <c r="W206" s="1"/>
    </row>
    <row r="207" spans="1:23" ht="20.100000000000001" customHeight="1" x14ac:dyDescent="0.25">
      <c r="A207" s="18"/>
      <c r="B207" s="18"/>
      <c r="C207" s="18"/>
      <c r="D207" s="7"/>
      <c r="E207" s="326"/>
      <c r="F207" s="1485"/>
      <c r="G207" s="1486"/>
      <c r="H207" s="1486"/>
      <c r="I207" s="1487"/>
      <c r="J207" s="1195"/>
      <c r="K207" s="1084"/>
      <c r="L207" s="1084"/>
      <c r="M207" s="1492"/>
      <c r="N207" s="334"/>
      <c r="O207" s="334"/>
      <c r="P207" s="335"/>
      <c r="Q207" s="335"/>
      <c r="R207" s="335"/>
      <c r="U207" s="331" t="str">
        <f ca="1">'Calculos(2)'!BO$193</f>
        <v>-</v>
      </c>
      <c r="V207" s="332"/>
      <c r="W207" s="1"/>
    </row>
    <row r="208" spans="1:23" ht="20.100000000000001" customHeight="1" x14ac:dyDescent="0.25">
      <c r="A208" s="18"/>
      <c r="B208" s="18"/>
      <c r="C208" s="18"/>
      <c r="D208" s="7"/>
      <c r="E208" s="326"/>
      <c r="F208" s="1485"/>
      <c r="G208" s="1486"/>
      <c r="H208" s="1486"/>
      <c r="I208" s="1487"/>
      <c r="J208" s="1195"/>
      <c r="K208" s="1084"/>
      <c r="L208" s="1084"/>
      <c r="M208" s="1492"/>
      <c r="N208" s="334"/>
      <c r="O208" s="334"/>
      <c r="P208" s="335"/>
      <c r="Q208" s="335"/>
      <c r="R208" s="335"/>
      <c r="U208" s="331" t="str">
        <f ca="1">'Calculos(2)'!BO$194</f>
        <v>-</v>
      </c>
      <c r="V208" s="332"/>
      <c r="W208" s="1"/>
    </row>
    <row r="209" spans="1:23" ht="20.100000000000001" customHeight="1" x14ac:dyDescent="0.25">
      <c r="A209" s="18"/>
      <c r="B209" s="18"/>
      <c r="C209" s="18"/>
      <c r="D209" s="1"/>
      <c r="E209" s="326"/>
      <c r="F209" s="1485"/>
      <c r="G209" s="1486"/>
      <c r="H209" s="1486"/>
      <c r="I209" s="1487"/>
      <c r="J209" s="1195"/>
      <c r="K209" s="1084"/>
      <c r="L209" s="1084"/>
      <c r="M209" s="1492"/>
      <c r="N209" s="334"/>
      <c r="O209" s="334"/>
      <c r="P209" s="335"/>
      <c r="Q209" s="335"/>
      <c r="R209" s="335"/>
      <c r="U209" s="331" t="str">
        <f ca="1">'Calculos(2)'!BO$195</f>
        <v>-</v>
      </c>
      <c r="V209" s="332"/>
      <c r="W209" s="1"/>
    </row>
    <row r="210" spans="1:23" ht="20.100000000000001" customHeight="1" x14ac:dyDescent="0.25">
      <c r="A210" s="18"/>
      <c r="B210" s="18"/>
      <c r="C210" s="18"/>
      <c r="D210" s="1"/>
      <c r="E210" s="326"/>
      <c r="F210" s="1485"/>
      <c r="G210" s="1486"/>
      <c r="H210" s="1486"/>
      <c r="I210" s="1487"/>
      <c r="J210" s="1196"/>
      <c r="K210" s="1121"/>
      <c r="L210" s="1121"/>
      <c r="M210" s="1493"/>
      <c r="N210" s="334"/>
      <c r="O210" s="334"/>
      <c r="P210" s="335"/>
      <c r="Q210" s="335"/>
      <c r="R210" s="335"/>
      <c r="U210" s="331" t="str">
        <f ca="1">'Calculos(2)'!BO$196</f>
        <v>-</v>
      </c>
      <c r="V210" s="329"/>
      <c r="W210" s="1"/>
    </row>
    <row r="211" spans="1:23" ht="20.100000000000001" customHeight="1" x14ac:dyDescent="0.25">
      <c r="A211" s="18"/>
      <c r="B211" s="18"/>
      <c r="C211" s="18"/>
      <c r="D211" s="1"/>
      <c r="E211" s="326"/>
      <c r="F211" s="1488"/>
      <c r="G211" s="1489"/>
      <c r="H211" s="1489"/>
      <c r="I211" s="1490"/>
      <c r="J211" s="1472" t="s">
        <v>80</v>
      </c>
      <c r="K211" s="1473"/>
      <c r="L211" s="1473"/>
      <c r="M211" s="1474"/>
      <c r="N211" s="334"/>
      <c r="O211" s="334"/>
      <c r="P211" s="335"/>
      <c r="Q211" s="335"/>
      <c r="R211" s="335" t="s">
        <v>10</v>
      </c>
      <c r="U211" s="331" t="str">
        <f ca="1">'Calculos(2)'!BO$197</f>
        <v>-</v>
      </c>
      <c r="V211" s="329"/>
      <c r="W211" s="1"/>
    </row>
    <row r="212" spans="1:23" ht="20.100000000000001" customHeight="1" x14ac:dyDescent="0.25">
      <c r="A212" s="18"/>
      <c r="B212" s="18"/>
      <c r="C212" s="18"/>
      <c r="D212" s="1"/>
      <c r="E212" s="336"/>
      <c r="F212" s="337"/>
      <c r="G212" s="337"/>
      <c r="H212" s="337"/>
      <c r="I212" s="337"/>
      <c r="J212" s="337"/>
      <c r="K212" s="337"/>
      <c r="L212" s="337"/>
      <c r="M212" s="337"/>
      <c r="N212" s="337"/>
      <c r="O212" s="337"/>
      <c r="P212" s="337"/>
      <c r="Q212" s="337"/>
      <c r="R212" s="337"/>
      <c r="S212" s="337"/>
      <c r="T212" s="337"/>
      <c r="U212" s="337"/>
      <c r="V212" s="338"/>
      <c r="W212" s="1"/>
    </row>
    <row r="213" spans="1:23" ht="20.100000000000001" hidden="1" customHeight="1" x14ac:dyDescent="0.25">
      <c r="A213" s="18"/>
      <c r="B213" s="18"/>
      <c r="C213" s="18"/>
      <c r="D213" s="1"/>
      <c r="E213" s="2"/>
      <c r="W213" s="1"/>
    </row>
    <row r="214" spans="1:23" ht="20.100000000000001" customHeight="1" x14ac:dyDescent="0.25">
      <c r="A214" s="18"/>
      <c r="B214" s="18"/>
      <c r="C214" s="18"/>
      <c r="D214" s="1"/>
      <c r="E214" s="1"/>
      <c r="F214" s="1"/>
      <c r="G214" s="1"/>
      <c r="H214" s="1"/>
      <c r="I214" s="1"/>
      <c r="J214" s="1"/>
      <c r="K214" s="1"/>
      <c r="L214" s="1"/>
      <c r="M214" s="1"/>
      <c r="N214" s="1"/>
      <c r="O214" s="1"/>
      <c r="P214" s="1"/>
      <c r="Q214" s="1"/>
      <c r="R214" s="1"/>
      <c r="S214" s="1"/>
      <c r="T214" s="1"/>
      <c r="U214" s="1"/>
      <c r="V214" s="1"/>
      <c r="W214" s="1"/>
    </row>
    <row r="215" spans="1:23" ht="20.100000000000001" customHeight="1" x14ac:dyDescent="0.25">
      <c r="A215" s="18"/>
      <c r="B215" s="18"/>
      <c r="C215" s="18"/>
      <c r="D215" s="7"/>
      <c r="E215" s="321"/>
      <c r="F215" s="322"/>
      <c r="G215" s="323"/>
      <c r="H215" s="323"/>
      <c r="I215" s="323"/>
      <c r="J215" s="323"/>
      <c r="K215" s="323"/>
      <c r="L215" s="323"/>
      <c r="M215" s="323"/>
      <c r="N215" s="323"/>
      <c r="O215" s="323"/>
      <c r="P215" s="323"/>
      <c r="Q215" s="323"/>
      <c r="R215" s="323"/>
      <c r="S215" s="339"/>
      <c r="T215" s="339"/>
      <c r="U215" s="340"/>
      <c r="V215" s="325"/>
      <c r="W215" s="1"/>
    </row>
    <row r="216" spans="1:23" ht="45" customHeight="1" x14ac:dyDescent="0.25">
      <c r="A216" s="18"/>
      <c r="B216" s="18"/>
      <c r="C216" s="18"/>
      <c r="D216" s="7"/>
      <c r="E216" s="326"/>
      <c r="F216" s="1494" t="s">
        <v>8611</v>
      </c>
      <c r="G216" s="1495"/>
      <c r="H216" s="1495"/>
      <c r="I216" s="1495"/>
      <c r="J216" s="1495"/>
      <c r="K216" s="1495"/>
      <c r="L216" s="1495"/>
      <c r="M216" s="1496"/>
      <c r="N216" s="327" t="str">
        <f ca="1">"Concentração"&amp;" "&amp;'Calculos(2)'!$BJ$3</f>
        <v>Concentração -</v>
      </c>
      <c r="O216" s="327" t="s">
        <v>6038</v>
      </c>
      <c r="P216" s="327" t="s">
        <v>8126</v>
      </c>
      <c r="Q216" s="327" t="s">
        <v>8028</v>
      </c>
      <c r="R216" s="327" t="s">
        <v>8603</v>
      </c>
      <c r="S216" s="327" t="s">
        <v>8127</v>
      </c>
      <c r="U216" s="328" t="s">
        <v>119</v>
      </c>
      <c r="V216" s="332"/>
      <c r="W216" s="7"/>
    </row>
    <row r="217" spans="1:23" ht="20.100000000000001" customHeight="1" x14ac:dyDescent="0.25">
      <c r="A217" s="18"/>
      <c r="B217" s="18"/>
      <c r="C217" s="18"/>
      <c r="D217" s="7"/>
      <c r="E217" s="326"/>
      <c r="F217" s="1482" t="str">
        <f ca="1">'Calculos(2)'!$BJ$4</f>
        <v>-</v>
      </c>
      <c r="G217" s="1483"/>
      <c r="H217" s="1483"/>
      <c r="I217" s="1484"/>
      <c r="J217" s="1472" t="s">
        <v>7103</v>
      </c>
      <c r="K217" s="1473"/>
      <c r="L217" s="1473"/>
      <c r="M217" s="1474"/>
      <c r="N217" s="188"/>
      <c r="O217" s="188"/>
      <c r="P217" s="330"/>
      <c r="Q217" s="330"/>
      <c r="R217" s="187">
        <v>0</v>
      </c>
      <c r="S217" s="331">
        <f>O217/2</f>
        <v>0</v>
      </c>
      <c r="U217" s="331" t="str">
        <f ca="1">'Calculos(2)'!BO$202</f>
        <v>-</v>
      </c>
      <c r="V217" s="332"/>
      <c r="W217" s="1"/>
    </row>
    <row r="218" spans="1:23" ht="20.100000000000001" customHeight="1" x14ac:dyDescent="0.25">
      <c r="A218" s="18"/>
      <c r="B218" s="18"/>
      <c r="C218" s="18"/>
      <c r="D218" s="7"/>
      <c r="E218" s="326"/>
      <c r="F218" s="1485"/>
      <c r="G218" s="1486"/>
      <c r="H218" s="1486"/>
      <c r="I218" s="1487"/>
      <c r="J218" s="1193" t="s">
        <v>8027</v>
      </c>
      <c r="K218" s="1194"/>
      <c r="L218" s="1194"/>
      <c r="M218" s="1491"/>
      <c r="N218" s="188"/>
      <c r="O218" s="188"/>
      <c r="P218" s="330"/>
      <c r="Q218" s="330"/>
      <c r="R218" s="187"/>
      <c r="U218" s="331" t="str">
        <f ca="1">'Calculos(2)'!BO$203</f>
        <v>-</v>
      </c>
      <c r="V218" s="332"/>
      <c r="W218" s="1"/>
    </row>
    <row r="219" spans="1:23" ht="20.100000000000001" customHeight="1" x14ac:dyDescent="0.25">
      <c r="A219" s="18"/>
      <c r="B219" s="18"/>
      <c r="C219" s="18"/>
      <c r="D219" s="7"/>
      <c r="E219" s="326"/>
      <c r="F219" s="1485"/>
      <c r="G219" s="1486"/>
      <c r="H219" s="1486"/>
      <c r="I219" s="1487"/>
      <c r="J219" s="1195"/>
      <c r="K219" s="1084"/>
      <c r="L219" s="1084"/>
      <c r="M219" s="1492"/>
      <c r="N219" s="188"/>
      <c r="O219" s="188"/>
      <c r="P219" s="330"/>
      <c r="Q219" s="330"/>
      <c r="R219" s="187"/>
      <c r="U219" s="331" t="str">
        <f ca="1">'Calculos(2)'!BO$204</f>
        <v>-</v>
      </c>
      <c r="V219" s="332"/>
      <c r="W219" s="1"/>
    </row>
    <row r="220" spans="1:23" ht="20.100000000000001" customHeight="1" x14ac:dyDescent="0.25">
      <c r="A220" s="18"/>
      <c r="B220" s="18"/>
      <c r="C220" s="18"/>
      <c r="D220" s="7"/>
      <c r="E220" s="326"/>
      <c r="F220" s="1485"/>
      <c r="G220" s="1486"/>
      <c r="H220" s="1486"/>
      <c r="I220" s="1487"/>
      <c r="J220" s="1195"/>
      <c r="K220" s="1084"/>
      <c r="L220" s="1084"/>
      <c r="M220" s="1492"/>
      <c r="N220" s="188"/>
      <c r="O220" s="188"/>
      <c r="P220" s="330"/>
      <c r="Q220" s="330"/>
      <c r="R220" s="187"/>
      <c r="U220" s="331" t="str">
        <f ca="1">'Calculos(2)'!BO$205</f>
        <v>-</v>
      </c>
      <c r="V220" s="332"/>
      <c r="W220" s="1"/>
    </row>
    <row r="221" spans="1:23" ht="20.100000000000001" customHeight="1" x14ac:dyDescent="0.25">
      <c r="A221" s="18"/>
      <c r="B221" s="18"/>
      <c r="C221" s="18"/>
      <c r="D221" s="7"/>
      <c r="E221" s="326"/>
      <c r="F221" s="1485"/>
      <c r="G221" s="1486"/>
      <c r="H221" s="1486"/>
      <c r="I221" s="1487"/>
      <c r="J221" s="1195"/>
      <c r="K221" s="1084"/>
      <c r="L221" s="1084"/>
      <c r="M221" s="1492"/>
      <c r="N221" s="188"/>
      <c r="O221" s="188"/>
      <c r="P221" s="330"/>
      <c r="Q221" s="330"/>
      <c r="R221" s="187"/>
      <c r="U221" s="331" t="str">
        <f ca="1">'Calculos(2)'!BO$206</f>
        <v>-</v>
      </c>
      <c r="V221" s="332"/>
      <c r="W221" s="1"/>
    </row>
    <row r="222" spans="1:23" ht="20.100000000000001" customHeight="1" x14ac:dyDescent="0.25">
      <c r="A222" s="18"/>
      <c r="B222" s="18"/>
      <c r="C222" s="18"/>
      <c r="D222" s="7"/>
      <c r="E222" s="326"/>
      <c r="F222" s="1485"/>
      <c r="G222" s="1486"/>
      <c r="H222" s="1486"/>
      <c r="I222" s="1487"/>
      <c r="J222" s="1195"/>
      <c r="K222" s="1084"/>
      <c r="L222" s="1084"/>
      <c r="M222" s="1492"/>
      <c r="N222" s="188"/>
      <c r="O222" s="188"/>
      <c r="P222" s="330"/>
      <c r="Q222" s="330"/>
      <c r="R222" s="187"/>
      <c r="U222" s="331" t="str">
        <f ca="1">'Calculos(2)'!BO$207</f>
        <v>-</v>
      </c>
      <c r="V222" s="332"/>
      <c r="W222" s="1"/>
    </row>
    <row r="223" spans="1:23" ht="20.100000000000001" customHeight="1" x14ac:dyDescent="0.25">
      <c r="A223" s="18"/>
      <c r="B223" s="18"/>
      <c r="C223" s="18"/>
      <c r="D223" s="7"/>
      <c r="E223" s="326"/>
      <c r="F223" s="1485"/>
      <c r="G223" s="1486"/>
      <c r="H223" s="1486"/>
      <c r="I223" s="1487"/>
      <c r="J223" s="1195"/>
      <c r="K223" s="1084"/>
      <c r="L223" s="1084"/>
      <c r="M223" s="1492"/>
      <c r="N223" s="188"/>
      <c r="O223" s="188"/>
      <c r="P223" s="330"/>
      <c r="Q223" s="330"/>
      <c r="R223" s="187"/>
      <c r="U223" s="331" t="str">
        <f ca="1">'Calculos(2)'!BO$208</f>
        <v>-</v>
      </c>
      <c r="V223" s="332"/>
      <c r="W223" s="1"/>
    </row>
    <row r="224" spans="1:23" ht="20.100000000000001" customHeight="1" x14ac:dyDescent="0.25">
      <c r="A224" s="18"/>
      <c r="B224" s="18"/>
      <c r="C224" s="18"/>
      <c r="D224" s="7"/>
      <c r="E224" s="326"/>
      <c r="F224" s="1485"/>
      <c r="G224" s="1486"/>
      <c r="H224" s="1486"/>
      <c r="I224" s="1487"/>
      <c r="J224" s="1195"/>
      <c r="K224" s="1084"/>
      <c r="L224" s="1084"/>
      <c r="M224" s="1492"/>
      <c r="N224" s="188"/>
      <c r="O224" s="188"/>
      <c r="P224" s="330"/>
      <c r="Q224" s="330"/>
      <c r="R224" s="187"/>
      <c r="U224" s="331" t="str">
        <f ca="1">'Calculos(2)'!BO$209</f>
        <v>-</v>
      </c>
      <c r="V224" s="332"/>
      <c r="W224" s="1"/>
    </row>
    <row r="225" spans="1:23" ht="20.100000000000001" customHeight="1" x14ac:dyDescent="0.25">
      <c r="A225" s="18"/>
      <c r="B225" s="18"/>
      <c r="C225" s="18"/>
      <c r="D225" s="7"/>
      <c r="E225" s="326"/>
      <c r="F225" s="1485"/>
      <c r="G225" s="1486"/>
      <c r="H225" s="1486"/>
      <c r="I225" s="1487"/>
      <c r="J225" s="1195"/>
      <c r="K225" s="1084"/>
      <c r="L225" s="1084"/>
      <c r="M225" s="1492"/>
      <c r="N225" s="188"/>
      <c r="O225" s="188"/>
      <c r="P225" s="330"/>
      <c r="Q225" s="330"/>
      <c r="R225" s="187"/>
      <c r="U225" s="331" t="str">
        <f ca="1">'Calculos(2)'!BO$210</f>
        <v>-</v>
      </c>
      <c r="V225" s="332"/>
      <c r="W225" s="1"/>
    </row>
    <row r="226" spans="1:23" ht="20.100000000000001" customHeight="1" x14ac:dyDescent="0.25">
      <c r="A226" s="18"/>
      <c r="B226" s="18"/>
      <c r="C226" s="18"/>
      <c r="D226" s="7"/>
      <c r="E226" s="326"/>
      <c r="F226" s="1485"/>
      <c r="G226" s="1486"/>
      <c r="H226" s="1486"/>
      <c r="I226" s="1487"/>
      <c r="J226" s="1195"/>
      <c r="K226" s="1084"/>
      <c r="L226" s="1084"/>
      <c r="M226" s="1492"/>
      <c r="N226" s="188"/>
      <c r="O226" s="188"/>
      <c r="P226" s="330"/>
      <c r="Q226" s="330"/>
      <c r="R226" s="187"/>
      <c r="U226" s="331" t="str">
        <f ca="1">'Calculos(2)'!BO$211</f>
        <v>-</v>
      </c>
      <c r="V226" s="332"/>
      <c r="W226" s="1"/>
    </row>
    <row r="227" spans="1:23" ht="20.100000000000001" customHeight="1" x14ac:dyDescent="0.25">
      <c r="A227" s="18"/>
      <c r="B227" s="18"/>
      <c r="C227" s="18"/>
      <c r="D227" s="7"/>
      <c r="E227" s="326"/>
      <c r="F227" s="1485"/>
      <c r="G227" s="1486"/>
      <c r="H227" s="1486"/>
      <c r="I227" s="1487"/>
      <c r="J227" s="1196"/>
      <c r="K227" s="1121"/>
      <c r="L227" s="1121"/>
      <c r="M227" s="1493"/>
      <c r="N227" s="188"/>
      <c r="O227" s="188"/>
      <c r="P227" s="330"/>
      <c r="Q227" s="330"/>
      <c r="R227" s="187"/>
      <c r="U227" s="331" t="str">
        <f ca="1">'Calculos(2)'!BO$212</f>
        <v>-</v>
      </c>
      <c r="V227" s="332"/>
      <c r="W227" s="1"/>
    </row>
    <row r="228" spans="1:23" ht="20.100000000000001" customHeight="1" x14ac:dyDescent="0.25">
      <c r="A228" s="18"/>
      <c r="B228" s="18"/>
      <c r="C228" s="18"/>
      <c r="D228" s="7"/>
      <c r="E228" s="326"/>
      <c r="F228" s="1488"/>
      <c r="G228" s="1489"/>
      <c r="H228" s="1489"/>
      <c r="I228" s="1490"/>
      <c r="J228" s="1472" t="s">
        <v>80</v>
      </c>
      <c r="K228" s="1473"/>
      <c r="L228" s="1473"/>
      <c r="M228" s="1474"/>
      <c r="N228" s="188"/>
      <c r="O228" s="188"/>
      <c r="P228" s="330"/>
      <c r="Q228" s="330"/>
      <c r="R228" s="187" t="s">
        <v>10</v>
      </c>
      <c r="U228" s="331" t="str">
        <f ca="1">'Calculos(2)'!BO$213</f>
        <v>-</v>
      </c>
      <c r="V228" s="332"/>
      <c r="W228" s="1"/>
    </row>
    <row r="229" spans="1:23" ht="20.100000000000001" customHeight="1" x14ac:dyDescent="0.25">
      <c r="A229" s="18"/>
      <c r="B229" s="18"/>
      <c r="C229" s="18"/>
      <c r="D229" s="7"/>
      <c r="E229" s="326"/>
      <c r="V229" s="332"/>
      <c r="W229" s="1"/>
    </row>
    <row r="230" spans="1:23" ht="20.100000000000001" hidden="1" customHeight="1" x14ac:dyDescent="0.25">
      <c r="A230" s="18"/>
      <c r="B230" s="18"/>
      <c r="C230" s="18"/>
      <c r="D230" s="7"/>
      <c r="E230" s="326"/>
      <c r="V230" s="332"/>
      <c r="W230" s="1"/>
    </row>
    <row r="231" spans="1:23" ht="20.100000000000001" hidden="1" customHeight="1" x14ac:dyDescent="0.25">
      <c r="A231" s="18"/>
      <c r="B231" s="18"/>
      <c r="C231" s="18"/>
      <c r="D231" s="7"/>
      <c r="E231" s="326"/>
      <c r="V231" s="332"/>
      <c r="W231" s="7"/>
    </row>
    <row r="232" spans="1:23" ht="20.100000000000001" customHeight="1" x14ac:dyDescent="0.25">
      <c r="A232" s="18"/>
      <c r="B232" s="18"/>
      <c r="C232" s="18"/>
      <c r="D232" s="7"/>
      <c r="E232" s="326"/>
      <c r="V232" s="332"/>
      <c r="W232" s="7"/>
    </row>
    <row r="233" spans="1:23" ht="45" customHeight="1" x14ac:dyDescent="0.25">
      <c r="A233" s="18"/>
      <c r="B233" s="18"/>
      <c r="C233" s="18"/>
      <c r="D233" s="7"/>
      <c r="E233" s="326"/>
      <c r="F233" s="1479" t="s">
        <v>8620</v>
      </c>
      <c r="G233" s="1480"/>
      <c r="H233" s="1480"/>
      <c r="I233" s="1480"/>
      <c r="J233" s="1480"/>
      <c r="K233" s="1480"/>
      <c r="L233" s="1480"/>
      <c r="M233" s="1481"/>
      <c r="N233" s="333" t="str">
        <f ca="1">"Concentração"&amp;" "&amp;'Calculos(2)'!$BJ$3</f>
        <v>Concentração -</v>
      </c>
      <c r="O233" s="333" t="s">
        <v>6038</v>
      </c>
      <c r="P233" s="333" t="s">
        <v>8126</v>
      </c>
      <c r="Q233" s="333" t="s">
        <v>8028</v>
      </c>
      <c r="R233" s="333" t="s">
        <v>8603</v>
      </c>
      <c r="S233" s="333" t="s">
        <v>8127</v>
      </c>
      <c r="U233" s="328" t="s">
        <v>119</v>
      </c>
      <c r="V233" s="332"/>
      <c r="W233" s="1"/>
    </row>
    <row r="234" spans="1:23" ht="20.100000000000001" customHeight="1" x14ac:dyDescent="0.25">
      <c r="A234" s="18"/>
      <c r="B234" s="18"/>
      <c r="C234" s="18"/>
      <c r="D234" s="7"/>
      <c r="E234" s="326"/>
      <c r="F234" s="1482" t="str">
        <f ca="1">'Calculos(2)'!$BJ$4</f>
        <v>-</v>
      </c>
      <c r="G234" s="1483"/>
      <c r="H234" s="1483"/>
      <c r="I234" s="1484"/>
      <c r="J234" s="1472" t="s">
        <v>7103</v>
      </c>
      <c r="K234" s="1473"/>
      <c r="L234" s="1473"/>
      <c r="M234" s="1474"/>
      <c r="N234" s="334"/>
      <c r="O234" s="334"/>
      <c r="P234" s="335"/>
      <c r="Q234" s="335"/>
      <c r="R234" s="335">
        <v>0</v>
      </c>
      <c r="S234" s="331">
        <f>O234/2</f>
        <v>0</v>
      </c>
      <c r="U234" s="331" t="str">
        <f ca="1">'Calculos(2)'!BO$218</f>
        <v>-</v>
      </c>
      <c r="V234" s="332"/>
      <c r="W234" s="1"/>
    </row>
    <row r="235" spans="1:23" ht="20.100000000000001" customHeight="1" x14ac:dyDescent="0.25">
      <c r="A235" s="18"/>
      <c r="B235" s="18"/>
      <c r="C235" s="18"/>
      <c r="D235" s="7"/>
      <c r="E235" s="326"/>
      <c r="F235" s="1485"/>
      <c r="G235" s="1486"/>
      <c r="H235" s="1486"/>
      <c r="I235" s="1487"/>
      <c r="J235" s="1193" t="s">
        <v>8027</v>
      </c>
      <c r="K235" s="1194"/>
      <c r="L235" s="1194"/>
      <c r="M235" s="1491"/>
      <c r="N235" s="334"/>
      <c r="O235" s="334"/>
      <c r="P235" s="335"/>
      <c r="Q235" s="335"/>
      <c r="R235" s="335"/>
      <c r="U235" s="331" t="str">
        <f ca="1">'Calculos(2)'!BO$219</f>
        <v>-</v>
      </c>
      <c r="V235" s="332"/>
      <c r="W235" s="1"/>
    </row>
    <row r="236" spans="1:23" ht="20.100000000000001" customHeight="1" x14ac:dyDescent="0.25">
      <c r="A236" s="18"/>
      <c r="B236" s="18"/>
      <c r="C236" s="18"/>
      <c r="D236" s="7"/>
      <c r="E236" s="326"/>
      <c r="F236" s="1485"/>
      <c r="G236" s="1486"/>
      <c r="H236" s="1486"/>
      <c r="I236" s="1487"/>
      <c r="J236" s="1195"/>
      <c r="K236" s="1084"/>
      <c r="L236" s="1084"/>
      <c r="M236" s="1492"/>
      <c r="N236" s="334"/>
      <c r="O236" s="334"/>
      <c r="P236" s="335"/>
      <c r="Q236" s="335"/>
      <c r="R236" s="335"/>
      <c r="U236" s="331" t="str">
        <f ca="1">'Calculos(2)'!BO$220</f>
        <v>-</v>
      </c>
      <c r="V236" s="332"/>
      <c r="W236" s="1"/>
    </row>
    <row r="237" spans="1:23" ht="20.100000000000001" customHeight="1" x14ac:dyDescent="0.25">
      <c r="A237" s="18"/>
      <c r="B237" s="18"/>
      <c r="C237" s="18"/>
      <c r="D237" s="7"/>
      <c r="E237" s="326"/>
      <c r="F237" s="1485"/>
      <c r="G237" s="1486"/>
      <c r="H237" s="1486"/>
      <c r="I237" s="1487"/>
      <c r="J237" s="1195"/>
      <c r="K237" s="1084"/>
      <c r="L237" s="1084"/>
      <c r="M237" s="1492"/>
      <c r="N237" s="334"/>
      <c r="O237" s="334"/>
      <c r="P237" s="335"/>
      <c r="Q237" s="335"/>
      <c r="R237" s="335"/>
      <c r="U237" s="331" t="str">
        <f ca="1">'Calculos(2)'!BO$221</f>
        <v>-</v>
      </c>
      <c r="V237" s="332"/>
      <c r="W237" s="1"/>
    </row>
    <row r="238" spans="1:23" ht="20.100000000000001" customHeight="1" x14ac:dyDescent="0.25">
      <c r="A238" s="18"/>
      <c r="B238" s="18"/>
      <c r="C238" s="18"/>
      <c r="D238" s="7"/>
      <c r="E238" s="326"/>
      <c r="F238" s="1485"/>
      <c r="G238" s="1486"/>
      <c r="H238" s="1486"/>
      <c r="I238" s="1487"/>
      <c r="J238" s="1195"/>
      <c r="K238" s="1084"/>
      <c r="L238" s="1084"/>
      <c r="M238" s="1492"/>
      <c r="N238" s="334"/>
      <c r="O238" s="334"/>
      <c r="P238" s="335"/>
      <c r="Q238" s="335"/>
      <c r="R238" s="335"/>
      <c r="U238" s="331" t="str">
        <f ca="1">'Calculos(2)'!BO$222</f>
        <v>-</v>
      </c>
      <c r="V238" s="332"/>
      <c r="W238" s="1"/>
    </row>
    <row r="239" spans="1:23" ht="20.100000000000001" customHeight="1" x14ac:dyDescent="0.25">
      <c r="A239" s="18"/>
      <c r="B239" s="18"/>
      <c r="C239" s="18"/>
      <c r="D239" s="7"/>
      <c r="E239" s="326"/>
      <c r="F239" s="1485"/>
      <c r="G239" s="1486"/>
      <c r="H239" s="1486"/>
      <c r="I239" s="1487"/>
      <c r="J239" s="1195"/>
      <c r="K239" s="1084"/>
      <c r="L239" s="1084"/>
      <c r="M239" s="1492"/>
      <c r="N239" s="334"/>
      <c r="O239" s="334"/>
      <c r="P239" s="335"/>
      <c r="Q239" s="335"/>
      <c r="R239" s="335"/>
      <c r="U239" s="331" t="str">
        <f ca="1">'Calculos(2)'!BO$223</f>
        <v>-</v>
      </c>
      <c r="V239" s="332"/>
      <c r="W239" s="1"/>
    </row>
    <row r="240" spans="1:23" ht="20.100000000000001" customHeight="1" x14ac:dyDescent="0.25">
      <c r="A240" s="18"/>
      <c r="B240" s="18"/>
      <c r="C240" s="18"/>
      <c r="D240" s="7"/>
      <c r="E240" s="326"/>
      <c r="F240" s="1485"/>
      <c r="G240" s="1486"/>
      <c r="H240" s="1486"/>
      <c r="I240" s="1487"/>
      <c r="J240" s="1195"/>
      <c r="K240" s="1084"/>
      <c r="L240" s="1084"/>
      <c r="M240" s="1492"/>
      <c r="N240" s="334"/>
      <c r="O240" s="334"/>
      <c r="P240" s="335"/>
      <c r="Q240" s="335"/>
      <c r="R240" s="335"/>
      <c r="U240" s="331" t="str">
        <f ca="1">'Calculos(2)'!BO$224</f>
        <v>-</v>
      </c>
      <c r="V240" s="332"/>
      <c r="W240" s="1"/>
    </row>
    <row r="241" spans="1:23" ht="20.100000000000001" customHeight="1" x14ac:dyDescent="0.25">
      <c r="A241" s="18"/>
      <c r="B241" s="18"/>
      <c r="C241" s="18"/>
      <c r="D241" s="7"/>
      <c r="E241" s="326"/>
      <c r="F241" s="1485"/>
      <c r="G241" s="1486"/>
      <c r="H241" s="1486"/>
      <c r="I241" s="1487"/>
      <c r="J241" s="1195"/>
      <c r="K241" s="1084"/>
      <c r="L241" s="1084"/>
      <c r="M241" s="1492"/>
      <c r="N241" s="334"/>
      <c r="O241" s="334"/>
      <c r="P241" s="335"/>
      <c r="Q241" s="335"/>
      <c r="R241" s="335"/>
      <c r="U241" s="331" t="str">
        <f ca="1">'Calculos(2)'!BO$225</f>
        <v>-</v>
      </c>
      <c r="V241" s="332"/>
      <c r="W241" s="1"/>
    </row>
    <row r="242" spans="1:23" ht="20.100000000000001" customHeight="1" x14ac:dyDescent="0.25">
      <c r="A242" s="18"/>
      <c r="B242" s="18"/>
      <c r="C242" s="18"/>
      <c r="D242" s="7"/>
      <c r="E242" s="326"/>
      <c r="F242" s="1485"/>
      <c r="G242" s="1486"/>
      <c r="H242" s="1486"/>
      <c r="I242" s="1487"/>
      <c r="J242" s="1195"/>
      <c r="K242" s="1084"/>
      <c r="L242" s="1084"/>
      <c r="M242" s="1492"/>
      <c r="N242" s="334"/>
      <c r="O242" s="334"/>
      <c r="P242" s="335"/>
      <c r="Q242" s="335"/>
      <c r="R242" s="335"/>
      <c r="U242" s="331" t="str">
        <f ca="1">'Calculos(2)'!BO$226</f>
        <v>-</v>
      </c>
      <c r="V242" s="332"/>
      <c r="W242" s="1"/>
    </row>
    <row r="243" spans="1:23" ht="20.100000000000001" customHeight="1" x14ac:dyDescent="0.25">
      <c r="A243" s="18"/>
      <c r="B243" s="18"/>
      <c r="C243" s="18"/>
      <c r="D243" s="1"/>
      <c r="E243" s="326"/>
      <c r="F243" s="1485"/>
      <c r="G243" s="1486"/>
      <c r="H243" s="1486"/>
      <c r="I243" s="1487"/>
      <c r="J243" s="1195"/>
      <c r="K243" s="1084"/>
      <c r="L243" s="1084"/>
      <c r="M243" s="1492"/>
      <c r="N243" s="334"/>
      <c r="O243" s="334"/>
      <c r="P243" s="335"/>
      <c r="Q243" s="335"/>
      <c r="R243" s="335"/>
      <c r="U243" s="331" t="str">
        <f ca="1">'Calculos(2)'!BO$227</f>
        <v>-</v>
      </c>
      <c r="V243" s="332"/>
      <c r="W243" s="1"/>
    </row>
    <row r="244" spans="1:23" ht="20.100000000000001" customHeight="1" x14ac:dyDescent="0.25">
      <c r="A244" s="18"/>
      <c r="B244" s="18"/>
      <c r="C244" s="18"/>
      <c r="D244" s="1"/>
      <c r="E244" s="326"/>
      <c r="F244" s="1485"/>
      <c r="G244" s="1486"/>
      <c r="H244" s="1486"/>
      <c r="I244" s="1487"/>
      <c r="J244" s="1196"/>
      <c r="K244" s="1121"/>
      <c r="L244" s="1121"/>
      <c r="M244" s="1493"/>
      <c r="N244" s="334"/>
      <c r="O244" s="334"/>
      <c r="P244" s="335"/>
      <c r="Q244" s="335"/>
      <c r="R244" s="335"/>
      <c r="U244" s="331" t="str">
        <f ca="1">'Calculos(2)'!BO$228</f>
        <v>-</v>
      </c>
      <c r="V244" s="329"/>
      <c r="W244" s="1"/>
    </row>
    <row r="245" spans="1:23" ht="20.100000000000001" customHeight="1" x14ac:dyDescent="0.25">
      <c r="A245" s="18"/>
      <c r="B245" s="18"/>
      <c r="C245" s="18"/>
      <c r="D245" s="1"/>
      <c r="E245" s="326"/>
      <c r="F245" s="1488"/>
      <c r="G245" s="1489"/>
      <c r="H245" s="1489"/>
      <c r="I245" s="1490"/>
      <c r="J245" s="1472" t="s">
        <v>80</v>
      </c>
      <c r="K245" s="1473"/>
      <c r="L245" s="1473"/>
      <c r="M245" s="1474"/>
      <c r="N245" s="334"/>
      <c r="O245" s="334"/>
      <c r="P245" s="335"/>
      <c r="Q245" s="335"/>
      <c r="R245" s="335" t="s">
        <v>10</v>
      </c>
      <c r="U245" s="331" t="str">
        <f ca="1">'Calculos(2)'!BO$229</f>
        <v>-</v>
      </c>
      <c r="V245" s="329"/>
      <c r="W245" s="1"/>
    </row>
    <row r="246" spans="1:23" ht="20.100000000000001" customHeight="1" x14ac:dyDescent="0.25">
      <c r="A246" s="18"/>
      <c r="B246" s="18"/>
      <c r="C246" s="18"/>
      <c r="D246" s="1"/>
      <c r="E246" s="336"/>
      <c r="F246" s="337"/>
      <c r="G246" s="337"/>
      <c r="H246" s="337"/>
      <c r="I246" s="337"/>
      <c r="J246" s="337"/>
      <c r="K246" s="337"/>
      <c r="L246" s="337"/>
      <c r="M246" s="337"/>
      <c r="N246" s="337"/>
      <c r="O246" s="337"/>
      <c r="P246" s="337"/>
      <c r="Q246" s="337"/>
      <c r="R246" s="337"/>
      <c r="S246" s="337"/>
      <c r="T246" s="337"/>
      <c r="U246" s="337"/>
      <c r="V246" s="338"/>
      <c r="W246" s="1"/>
    </row>
    <row r="247" spans="1:23" ht="20.100000000000001" hidden="1" customHeight="1" x14ac:dyDescent="0.25">
      <c r="A247" s="18"/>
      <c r="B247" s="18"/>
      <c r="C247" s="18"/>
      <c r="D247" s="1"/>
      <c r="E247" s="2"/>
      <c r="W247" s="1"/>
    </row>
    <row r="248" spans="1:23" ht="20.100000000000001" customHeight="1" x14ac:dyDescent="0.25">
      <c r="A248" s="18"/>
      <c r="B248" s="18"/>
      <c r="C248" s="18"/>
      <c r="D248" s="1"/>
      <c r="E248" s="1"/>
      <c r="F248" s="1"/>
      <c r="G248" s="1"/>
      <c r="H248" s="1"/>
      <c r="I248" s="1"/>
      <c r="J248" s="1"/>
      <c r="K248" s="1"/>
      <c r="L248" s="1"/>
      <c r="M248" s="1"/>
      <c r="N248" s="1"/>
      <c r="O248" s="1"/>
      <c r="P248" s="1"/>
      <c r="Q248" s="1"/>
      <c r="R248" s="1"/>
      <c r="S248" s="1"/>
      <c r="T248" s="1"/>
      <c r="U248" s="1"/>
      <c r="V248" s="1"/>
      <c r="W248" s="1"/>
    </row>
    <row r="249" spans="1:23" ht="20.100000000000001" customHeight="1" x14ac:dyDescent="0.25">
      <c r="A249" s="18"/>
      <c r="B249" s="18"/>
      <c r="C249" s="18"/>
      <c r="D249" s="7"/>
      <c r="E249" s="321"/>
      <c r="F249" s="322"/>
      <c r="G249" s="323"/>
      <c r="H249" s="323"/>
      <c r="I249" s="323"/>
      <c r="J249" s="323"/>
      <c r="K249" s="323"/>
      <c r="L249" s="323"/>
      <c r="M249" s="323"/>
      <c r="N249" s="323"/>
      <c r="O249" s="323"/>
      <c r="P249" s="323"/>
      <c r="Q249" s="323"/>
      <c r="R249" s="323"/>
      <c r="S249" s="339"/>
      <c r="T249" s="339"/>
      <c r="U249" s="340"/>
      <c r="V249" s="325"/>
      <c r="W249" s="1"/>
    </row>
    <row r="250" spans="1:23" ht="45" customHeight="1" x14ac:dyDescent="0.25">
      <c r="A250" s="18"/>
      <c r="B250" s="18"/>
      <c r="C250" s="18"/>
      <c r="D250" s="7"/>
      <c r="E250" s="326"/>
      <c r="F250" s="1494" t="s">
        <v>8612</v>
      </c>
      <c r="G250" s="1495"/>
      <c r="H250" s="1495"/>
      <c r="I250" s="1495"/>
      <c r="J250" s="1495"/>
      <c r="K250" s="1495"/>
      <c r="L250" s="1495"/>
      <c r="M250" s="1496"/>
      <c r="N250" s="327" t="str">
        <f ca="1">"Concentração"&amp;" "&amp;'Calculos(2)'!$BJ$3</f>
        <v>Concentração -</v>
      </c>
      <c r="O250" s="327" t="s">
        <v>6038</v>
      </c>
      <c r="P250" s="327" t="s">
        <v>8126</v>
      </c>
      <c r="Q250" s="327" t="s">
        <v>8028</v>
      </c>
      <c r="R250" s="327" t="s">
        <v>8603</v>
      </c>
      <c r="S250" s="327" t="s">
        <v>8127</v>
      </c>
      <c r="U250" s="328" t="s">
        <v>119</v>
      </c>
      <c r="V250" s="332"/>
      <c r="W250" s="7"/>
    </row>
    <row r="251" spans="1:23" ht="20.100000000000001" customHeight="1" x14ac:dyDescent="0.25">
      <c r="A251" s="18"/>
      <c r="B251" s="18"/>
      <c r="C251" s="18"/>
      <c r="D251" s="7"/>
      <c r="E251" s="326"/>
      <c r="F251" s="1482" t="str">
        <f ca="1">'Calculos(2)'!$BJ$4</f>
        <v>-</v>
      </c>
      <c r="G251" s="1483"/>
      <c r="H251" s="1483"/>
      <c r="I251" s="1484"/>
      <c r="J251" s="1472" t="s">
        <v>7103</v>
      </c>
      <c r="K251" s="1473"/>
      <c r="L251" s="1473"/>
      <c r="M251" s="1474"/>
      <c r="N251" s="188"/>
      <c r="O251" s="188"/>
      <c r="P251" s="330"/>
      <c r="Q251" s="330"/>
      <c r="R251" s="187">
        <v>0</v>
      </c>
      <c r="S251" s="331">
        <f>O251/2</f>
        <v>0</v>
      </c>
      <c r="U251" s="331" t="str">
        <f ca="1">'Calculos(2)'!BO$234</f>
        <v>-</v>
      </c>
      <c r="V251" s="332"/>
      <c r="W251" s="1"/>
    </row>
    <row r="252" spans="1:23" ht="20.100000000000001" customHeight="1" x14ac:dyDescent="0.25">
      <c r="A252" s="18"/>
      <c r="B252" s="18"/>
      <c r="C252" s="18"/>
      <c r="D252" s="7"/>
      <c r="E252" s="326"/>
      <c r="F252" s="1485"/>
      <c r="G252" s="1486"/>
      <c r="H252" s="1486"/>
      <c r="I252" s="1487"/>
      <c r="J252" s="1193" t="s">
        <v>8027</v>
      </c>
      <c r="K252" s="1194"/>
      <c r="L252" s="1194"/>
      <c r="M252" s="1491"/>
      <c r="N252" s="188"/>
      <c r="O252" s="188"/>
      <c r="P252" s="330"/>
      <c r="Q252" s="330"/>
      <c r="R252" s="187"/>
      <c r="U252" s="331" t="str">
        <f ca="1">'Calculos(2)'!BO$235</f>
        <v>-</v>
      </c>
      <c r="V252" s="332"/>
      <c r="W252" s="1"/>
    </row>
    <row r="253" spans="1:23" ht="20.100000000000001" customHeight="1" x14ac:dyDescent="0.25">
      <c r="A253" s="18"/>
      <c r="B253" s="18"/>
      <c r="C253" s="18"/>
      <c r="D253" s="7"/>
      <c r="E253" s="326"/>
      <c r="F253" s="1485"/>
      <c r="G253" s="1486"/>
      <c r="H253" s="1486"/>
      <c r="I253" s="1487"/>
      <c r="J253" s="1195"/>
      <c r="K253" s="1084"/>
      <c r="L253" s="1084"/>
      <c r="M253" s="1492"/>
      <c r="N253" s="188"/>
      <c r="O253" s="188"/>
      <c r="P253" s="330"/>
      <c r="Q253" s="330"/>
      <c r="R253" s="187"/>
      <c r="U253" s="331" t="str">
        <f ca="1">'Calculos(2)'!BO$236</f>
        <v>-</v>
      </c>
      <c r="V253" s="332"/>
      <c r="W253" s="1"/>
    </row>
    <row r="254" spans="1:23" ht="20.100000000000001" customHeight="1" x14ac:dyDescent="0.25">
      <c r="A254" s="18"/>
      <c r="B254" s="18"/>
      <c r="C254" s="18"/>
      <c r="D254" s="7"/>
      <c r="E254" s="326"/>
      <c r="F254" s="1485"/>
      <c r="G254" s="1486"/>
      <c r="H254" s="1486"/>
      <c r="I254" s="1487"/>
      <c r="J254" s="1195"/>
      <c r="K254" s="1084"/>
      <c r="L254" s="1084"/>
      <c r="M254" s="1492"/>
      <c r="N254" s="188"/>
      <c r="O254" s="188"/>
      <c r="P254" s="330"/>
      <c r="Q254" s="330"/>
      <c r="R254" s="187"/>
      <c r="U254" s="331" t="str">
        <f ca="1">'Calculos(2)'!BO$237</f>
        <v>-</v>
      </c>
      <c r="V254" s="332"/>
      <c r="W254" s="1"/>
    </row>
    <row r="255" spans="1:23" ht="20.100000000000001" customHeight="1" x14ac:dyDescent="0.25">
      <c r="A255" s="18"/>
      <c r="B255" s="18"/>
      <c r="C255" s="18"/>
      <c r="D255" s="7"/>
      <c r="E255" s="326"/>
      <c r="F255" s="1485"/>
      <c r="G255" s="1486"/>
      <c r="H255" s="1486"/>
      <c r="I255" s="1487"/>
      <c r="J255" s="1195"/>
      <c r="K255" s="1084"/>
      <c r="L255" s="1084"/>
      <c r="M255" s="1492"/>
      <c r="N255" s="188"/>
      <c r="O255" s="188"/>
      <c r="P255" s="330"/>
      <c r="Q255" s="330"/>
      <c r="R255" s="187"/>
      <c r="U255" s="331" t="str">
        <f ca="1">'Calculos(2)'!BO$238</f>
        <v>-</v>
      </c>
      <c r="V255" s="332"/>
      <c r="W255" s="1"/>
    </row>
    <row r="256" spans="1:23" ht="20.100000000000001" customHeight="1" x14ac:dyDescent="0.25">
      <c r="A256" s="18"/>
      <c r="B256" s="18"/>
      <c r="C256" s="18"/>
      <c r="D256" s="7"/>
      <c r="E256" s="326"/>
      <c r="F256" s="1485"/>
      <c r="G256" s="1486"/>
      <c r="H256" s="1486"/>
      <c r="I256" s="1487"/>
      <c r="J256" s="1195"/>
      <c r="K256" s="1084"/>
      <c r="L256" s="1084"/>
      <c r="M256" s="1492"/>
      <c r="N256" s="188"/>
      <c r="O256" s="188"/>
      <c r="P256" s="330"/>
      <c r="Q256" s="330"/>
      <c r="R256" s="187"/>
      <c r="U256" s="331" t="str">
        <f ca="1">'Calculos(2)'!BO$239</f>
        <v>-</v>
      </c>
      <c r="V256" s="332"/>
      <c r="W256" s="1"/>
    </row>
    <row r="257" spans="1:23" ht="20.100000000000001" customHeight="1" x14ac:dyDescent="0.25">
      <c r="A257" s="18"/>
      <c r="B257" s="18"/>
      <c r="C257" s="18"/>
      <c r="D257" s="7"/>
      <c r="E257" s="326"/>
      <c r="F257" s="1485"/>
      <c r="G257" s="1486"/>
      <c r="H257" s="1486"/>
      <c r="I257" s="1487"/>
      <c r="J257" s="1195"/>
      <c r="K257" s="1084"/>
      <c r="L257" s="1084"/>
      <c r="M257" s="1492"/>
      <c r="N257" s="188"/>
      <c r="O257" s="188"/>
      <c r="P257" s="330"/>
      <c r="Q257" s="330"/>
      <c r="R257" s="187"/>
      <c r="U257" s="331" t="str">
        <f ca="1">'Calculos(2)'!BO$240</f>
        <v>-</v>
      </c>
      <c r="V257" s="332"/>
      <c r="W257" s="1"/>
    </row>
    <row r="258" spans="1:23" ht="20.100000000000001" customHeight="1" x14ac:dyDescent="0.25">
      <c r="A258" s="18"/>
      <c r="B258" s="18"/>
      <c r="C258" s="18"/>
      <c r="D258" s="7"/>
      <c r="E258" s="326"/>
      <c r="F258" s="1485"/>
      <c r="G258" s="1486"/>
      <c r="H258" s="1486"/>
      <c r="I258" s="1487"/>
      <c r="J258" s="1195"/>
      <c r="K258" s="1084"/>
      <c r="L258" s="1084"/>
      <c r="M258" s="1492"/>
      <c r="N258" s="188"/>
      <c r="O258" s="188"/>
      <c r="P258" s="330"/>
      <c r="Q258" s="330"/>
      <c r="R258" s="187"/>
      <c r="U258" s="331" t="str">
        <f ca="1">'Calculos(2)'!BO$241</f>
        <v>-</v>
      </c>
      <c r="V258" s="332"/>
      <c r="W258" s="1"/>
    </row>
    <row r="259" spans="1:23" ht="20.100000000000001" customHeight="1" x14ac:dyDescent="0.25">
      <c r="A259" s="18"/>
      <c r="B259" s="18"/>
      <c r="C259" s="18"/>
      <c r="D259" s="7"/>
      <c r="E259" s="326"/>
      <c r="F259" s="1485"/>
      <c r="G259" s="1486"/>
      <c r="H259" s="1486"/>
      <c r="I259" s="1487"/>
      <c r="J259" s="1195"/>
      <c r="K259" s="1084"/>
      <c r="L259" s="1084"/>
      <c r="M259" s="1492"/>
      <c r="N259" s="188"/>
      <c r="O259" s="188"/>
      <c r="P259" s="330"/>
      <c r="Q259" s="330"/>
      <c r="R259" s="187"/>
      <c r="U259" s="331" t="str">
        <f ca="1">'Calculos(2)'!BO$242</f>
        <v>-</v>
      </c>
      <c r="V259" s="332"/>
      <c r="W259" s="1"/>
    </row>
    <row r="260" spans="1:23" ht="20.100000000000001" customHeight="1" x14ac:dyDescent="0.25">
      <c r="A260" s="18"/>
      <c r="B260" s="18"/>
      <c r="C260" s="18"/>
      <c r="D260" s="7"/>
      <c r="E260" s="326"/>
      <c r="F260" s="1485"/>
      <c r="G260" s="1486"/>
      <c r="H260" s="1486"/>
      <c r="I260" s="1487"/>
      <c r="J260" s="1195"/>
      <c r="K260" s="1084"/>
      <c r="L260" s="1084"/>
      <c r="M260" s="1492"/>
      <c r="N260" s="188"/>
      <c r="O260" s="188"/>
      <c r="P260" s="330"/>
      <c r="Q260" s="330"/>
      <c r="R260" s="187"/>
      <c r="U260" s="331" t="str">
        <f ca="1">'Calculos(2)'!BO$243</f>
        <v>-</v>
      </c>
      <c r="V260" s="332"/>
      <c r="W260" s="1"/>
    </row>
    <row r="261" spans="1:23" ht="20.100000000000001" customHeight="1" x14ac:dyDescent="0.25">
      <c r="A261" s="18"/>
      <c r="B261" s="18"/>
      <c r="C261" s="18"/>
      <c r="D261" s="7"/>
      <c r="E261" s="326"/>
      <c r="F261" s="1485"/>
      <c r="G261" s="1486"/>
      <c r="H261" s="1486"/>
      <c r="I261" s="1487"/>
      <c r="J261" s="1196"/>
      <c r="K261" s="1121"/>
      <c r="L261" s="1121"/>
      <c r="M261" s="1493"/>
      <c r="N261" s="188"/>
      <c r="O261" s="188"/>
      <c r="P261" s="330"/>
      <c r="Q261" s="330"/>
      <c r="R261" s="187"/>
      <c r="U261" s="331" t="str">
        <f ca="1">'Calculos(2)'!BO$244</f>
        <v>-</v>
      </c>
      <c r="V261" s="332"/>
      <c r="W261" s="1"/>
    </row>
    <row r="262" spans="1:23" ht="20.100000000000001" customHeight="1" x14ac:dyDescent="0.25">
      <c r="A262" s="18"/>
      <c r="B262" s="18"/>
      <c r="C262" s="18"/>
      <c r="D262" s="7"/>
      <c r="E262" s="326"/>
      <c r="F262" s="1488"/>
      <c r="G262" s="1489"/>
      <c r="H262" s="1489"/>
      <c r="I262" s="1490"/>
      <c r="J262" s="1472" t="s">
        <v>80</v>
      </c>
      <c r="K262" s="1473"/>
      <c r="L262" s="1473"/>
      <c r="M262" s="1474"/>
      <c r="N262" s="188"/>
      <c r="O262" s="188"/>
      <c r="P262" s="330"/>
      <c r="Q262" s="330"/>
      <c r="R262" s="187" t="s">
        <v>10</v>
      </c>
      <c r="U262" s="331" t="str">
        <f ca="1">'Calculos(2)'!BO$245</f>
        <v>-</v>
      </c>
      <c r="V262" s="332"/>
      <c r="W262" s="1"/>
    </row>
    <row r="263" spans="1:23" ht="20.100000000000001" customHeight="1" x14ac:dyDescent="0.25">
      <c r="A263" s="18"/>
      <c r="B263" s="18"/>
      <c r="C263" s="18"/>
      <c r="D263" s="7"/>
      <c r="E263" s="326"/>
      <c r="V263" s="332"/>
      <c r="W263" s="1"/>
    </row>
    <row r="264" spans="1:23" ht="20.100000000000001" hidden="1" customHeight="1" x14ac:dyDescent="0.25">
      <c r="A264" s="18"/>
      <c r="B264" s="18"/>
      <c r="C264" s="18"/>
      <c r="D264" s="7"/>
      <c r="E264" s="326"/>
      <c r="V264" s="332"/>
      <c r="W264" s="1"/>
    </row>
    <row r="265" spans="1:23" ht="20.100000000000001" hidden="1" customHeight="1" x14ac:dyDescent="0.25">
      <c r="A265" s="18"/>
      <c r="B265" s="18"/>
      <c r="C265" s="18"/>
      <c r="D265" s="7"/>
      <c r="E265" s="326"/>
      <c r="V265" s="332"/>
      <c r="W265" s="7"/>
    </row>
    <row r="266" spans="1:23" ht="20.100000000000001" customHeight="1" x14ac:dyDescent="0.25">
      <c r="A266" s="18"/>
      <c r="B266" s="18"/>
      <c r="C266" s="18"/>
      <c r="D266" s="7"/>
      <c r="E266" s="326"/>
      <c r="V266" s="332"/>
      <c r="W266" s="7"/>
    </row>
    <row r="267" spans="1:23" ht="45" customHeight="1" x14ac:dyDescent="0.25">
      <c r="A267" s="18"/>
      <c r="B267" s="18"/>
      <c r="C267" s="18"/>
      <c r="D267" s="7"/>
      <c r="E267" s="326"/>
      <c r="F267" s="1479" t="s">
        <v>8621</v>
      </c>
      <c r="G267" s="1480"/>
      <c r="H267" s="1480"/>
      <c r="I267" s="1480"/>
      <c r="J267" s="1480"/>
      <c r="K267" s="1480"/>
      <c r="L267" s="1480"/>
      <c r="M267" s="1481"/>
      <c r="N267" s="333" t="str">
        <f ca="1">"Concentração"&amp;" "&amp;'Calculos(2)'!$BJ$3</f>
        <v>Concentração -</v>
      </c>
      <c r="O267" s="333" t="s">
        <v>6038</v>
      </c>
      <c r="P267" s="333" t="s">
        <v>8126</v>
      </c>
      <c r="Q267" s="333" t="s">
        <v>8028</v>
      </c>
      <c r="R267" s="333" t="s">
        <v>8603</v>
      </c>
      <c r="S267" s="333" t="s">
        <v>8127</v>
      </c>
      <c r="U267" s="328" t="s">
        <v>119</v>
      </c>
      <c r="V267" s="332"/>
      <c r="W267" s="1"/>
    </row>
    <row r="268" spans="1:23" ht="20.100000000000001" customHeight="1" x14ac:dyDescent="0.25">
      <c r="A268" s="18"/>
      <c r="B268" s="18"/>
      <c r="C268" s="18"/>
      <c r="D268" s="7"/>
      <c r="E268" s="326"/>
      <c r="F268" s="1482" t="str">
        <f ca="1">'Calculos(2)'!$BJ$4</f>
        <v>-</v>
      </c>
      <c r="G268" s="1483"/>
      <c r="H268" s="1483"/>
      <c r="I268" s="1484"/>
      <c r="J268" s="1472" t="s">
        <v>7103</v>
      </c>
      <c r="K268" s="1473"/>
      <c r="L268" s="1473"/>
      <c r="M268" s="1474"/>
      <c r="N268" s="334"/>
      <c r="O268" s="334"/>
      <c r="P268" s="335"/>
      <c r="Q268" s="335"/>
      <c r="R268" s="335">
        <v>0</v>
      </c>
      <c r="S268" s="331">
        <f>O268/2</f>
        <v>0</v>
      </c>
      <c r="U268" s="331" t="str">
        <f ca="1">'Calculos(2)'!BO$250</f>
        <v>-</v>
      </c>
      <c r="V268" s="332"/>
      <c r="W268" s="1"/>
    </row>
    <row r="269" spans="1:23" ht="20.100000000000001" customHeight="1" x14ac:dyDescent="0.25">
      <c r="A269" s="18"/>
      <c r="B269" s="18"/>
      <c r="C269" s="18"/>
      <c r="D269" s="7"/>
      <c r="E269" s="326"/>
      <c r="F269" s="1485"/>
      <c r="G269" s="1486"/>
      <c r="H269" s="1486"/>
      <c r="I269" s="1487"/>
      <c r="J269" s="1193" t="s">
        <v>8027</v>
      </c>
      <c r="K269" s="1194"/>
      <c r="L269" s="1194"/>
      <c r="M269" s="1491"/>
      <c r="N269" s="334"/>
      <c r="O269" s="334"/>
      <c r="P269" s="335"/>
      <c r="Q269" s="335"/>
      <c r="R269" s="335"/>
      <c r="U269" s="331" t="str">
        <f ca="1">'Calculos(2)'!BO$251</f>
        <v>-</v>
      </c>
      <c r="V269" s="332"/>
      <c r="W269" s="1"/>
    </row>
    <row r="270" spans="1:23" ht="20.100000000000001" customHeight="1" x14ac:dyDescent="0.25">
      <c r="A270" s="18"/>
      <c r="B270" s="18"/>
      <c r="C270" s="18"/>
      <c r="D270" s="7"/>
      <c r="E270" s="326"/>
      <c r="F270" s="1485"/>
      <c r="G270" s="1486"/>
      <c r="H270" s="1486"/>
      <c r="I270" s="1487"/>
      <c r="J270" s="1195"/>
      <c r="K270" s="1084"/>
      <c r="L270" s="1084"/>
      <c r="M270" s="1492"/>
      <c r="N270" s="334"/>
      <c r="O270" s="334"/>
      <c r="P270" s="335"/>
      <c r="Q270" s="335"/>
      <c r="R270" s="335"/>
      <c r="U270" s="331" t="str">
        <f ca="1">'Calculos(2)'!BO$252</f>
        <v>-</v>
      </c>
      <c r="V270" s="332"/>
      <c r="W270" s="1"/>
    </row>
    <row r="271" spans="1:23" ht="20.100000000000001" customHeight="1" x14ac:dyDescent="0.25">
      <c r="A271" s="18"/>
      <c r="B271" s="18"/>
      <c r="C271" s="18"/>
      <c r="D271" s="7"/>
      <c r="E271" s="326"/>
      <c r="F271" s="1485"/>
      <c r="G271" s="1486"/>
      <c r="H271" s="1486"/>
      <c r="I271" s="1487"/>
      <c r="J271" s="1195"/>
      <c r="K271" s="1084"/>
      <c r="L271" s="1084"/>
      <c r="M271" s="1492"/>
      <c r="N271" s="334"/>
      <c r="O271" s="334"/>
      <c r="P271" s="335"/>
      <c r="Q271" s="335"/>
      <c r="R271" s="335"/>
      <c r="U271" s="331" t="str">
        <f ca="1">'Calculos(2)'!BO$253</f>
        <v>-</v>
      </c>
      <c r="V271" s="332"/>
      <c r="W271" s="1"/>
    </row>
    <row r="272" spans="1:23" ht="20.100000000000001" customHeight="1" x14ac:dyDescent="0.25">
      <c r="A272" s="18"/>
      <c r="B272" s="18"/>
      <c r="C272" s="18"/>
      <c r="D272" s="7"/>
      <c r="E272" s="326"/>
      <c r="F272" s="1485"/>
      <c r="G272" s="1486"/>
      <c r="H272" s="1486"/>
      <c r="I272" s="1487"/>
      <c r="J272" s="1195"/>
      <c r="K272" s="1084"/>
      <c r="L272" s="1084"/>
      <c r="M272" s="1492"/>
      <c r="N272" s="334"/>
      <c r="O272" s="334"/>
      <c r="P272" s="335"/>
      <c r="Q272" s="335"/>
      <c r="R272" s="335"/>
      <c r="U272" s="331" t="str">
        <f ca="1">'Calculos(2)'!BO$254</f>
        <v>-</v>
      </c>
      <c r="V272" s="332"/>
      <c r="W272" s="1"/>
    </row>
    <row r="273" spans="1:23" ht="20.100000000000001" customHeight="1" x14ac:dyDescent="0.25">
      <c r="A273" s="18"/>
      <c r="B273" s="18"/>
      <c r="C273" s="18"/>
      <c r="D273" s="7"/>
      <c r="E273" s="326"/>
      <c r="F273" s="1485"/>
      <c r="G273" s="1486"/>
      <c r="H273" s="1486"/>
      <c r="I273" s="1487"/>
      <c r="J273" s="1195"/>
      <c r="K273" s="1084"/>
      <c r="L273" s="1084"/>
      <c r="M273" s="1492"/>
      <c r="N273" s="334"/>
      <c r="O273" s="334"/>
      <c r="P273" s="335"/>
      <c r="Q273" s="335"/>
      <c r="R273" s="335"/>
      <c r="U273" s="331" t="str">
        <f ca="1">'Calculos(2)'!BO$255</f>
        <v>-</v>
      </c>
      <c r="V273" s="332"/>
      <c r="W273" s="1"/>
    </row>
    <row r="274" spans="1:23" ht="20.100000000000001" customHeight="1" x14ac:dyDescent="0.25">
      <c r="A274" s="18"/>
      <c r="B274" s="18"/>
      <c r="C274" s="18"/>
      <c r="D274" s="7"/>
      <c r="E274" s="326"/>
      <c r="F274" s="1485"/>
      <c r="G274" s="1486"/>
      <c r="H274" s="1486"/>
      <c r="I274" s="1487"/>
      <c r="J274" s="1195"/>
      <c r="K274" s="1084"/>
      <c r="L274" s="1084"/>
      <c r="M274" s="1492"/>
      <c r="N274" s="334"/>
      <c r="O274" s="334"/>
      <c r="P274" s="335"/>
      <c r="Q274" s="335"/>
      <c r="R274" s="335"/>
      <c r="U274" s="331" t="str">
        <f ca="1">'Calculos(2)'!BO$256</f>
        <v>-</v>
      </c>
      <c r="V274" s="332"/>
      <c r="W274" s="1"/>
    </row>
    <row r="275" spans="1:23" ht="20.100000000000001" customHeight="1" x14ac:dyDescent="0.25">
      <c r="A275" s="18"/>
      <c r="B275" s="18"/>
      <c r="C275" s="18"/>
      <c r="D275" s="7"/>
      <c r="E275" s="326"/>
      <c r="F275" s="1485"/>
      <c r="G275" s="1486"/>
      <c r="H275" s="1486"/>
      <c r="I275" s="1487"/>
      <c r="J275" s="1195"/>
      <c r="K275" s="1084"/>
      <c r="L275" s="1084"/>
      <c r="M275" s="1492"/>
      <c r="N275" s="334"/>
      <c r="O275" s="334"/>
      <c r="P275" s="335"/>
      <c r="Q275" s="335"/>
      <c r="R275" s="335"/>
      <c r="U275" s="331" t="str">
        <f ca="1">'Calculos(2)'!BO$257</f>
        <v>-</v>
      </c>
      <c r="V275" s="332"/>
      <c r="W275" s="1"/>
    </row>
    <row r="276" spans="1:23" ht="20.100000000000001" customHeight="1" x14ac:dyDescent="0.25">
      <c r="A276" s="18"/>
      <c r="B276" s="18"/>
      <c r="C276" s="18"/>
      <c r="D276" s="7"/>
      <c r="E276" s="326"/>
      <c r="F276" s="1485"/>
      <c r="G276" s="1486"/>
      <c r="H276" s="1486"/>
      <c r="I276" s="1487"/>
      <c r="J276" s="1195"/>
      <c r="K276" s="1084"/>
      <c r="L276" s="1084"/>
      <c r="M276" s="1492"/>
      <c r="N276" s="334"/>
      <c r="O276" s="334"/>
      <c r="P276" s="335"/>
      <c r="Q276" s="335"/>
      <c r="R276" s="335"/>
      <c r="U276" s="331" t="str">
        <f ca="1">'Calculos(2)'!BO$258</f>
        <v>-</v>
      </c>
      <c r="V276" s="332"/>
      <c r="W276" s="1"/>
    </row>
    <row r="277" spans="1:23" ht="20.100000000000001" customHeight="1" x14ac:dyDescent="0.25">
      <c r="A277" s="18"/>
      <c r="B277" s="18"/>
      <c r="C277" s="18"/>
      <c r="D277" s="1"/>
      <c r="E277" s="326"/>
      <c r="F277" s="1485"/>
      <c r="G277" s="1486"/>
      <c r="H277" s="1486"/>
      <c r="I277" s="1487"/>
      <c r="J277" s="1195"/>
      <c r="K277" s="1084"/>
      <c r="L277" s="1084"/>
      <c r="M277" s="1492"/>
      <c r="N277" s="334"/>
      <c r="O277" s="334"/>
      <c r="P277" s="335"/>
      <c r="Q277" s="335"/>
      <c r="R277" s="335"/>
      <c r="U277" s="331" t="str">
        <f ca="1">'Calculos(2)'!BO$259</f>
        <v>-</v>
      </c>
      <c r="V277" s="332"/>
      <c r="W277" s="1"/>
    </row>
    <row r="278" spans="1:23" ht="20.100000000000001" customHeight="1" x14ac:dyDescent="0.25">
      <c r="A278" s="18"/>
      <c r="B278" s="18"/>
      <c r="C278" s="18"/>
      <c r="D278" s="1"/>
      <c r="E278" s="326"/>
      <c r="F278" s="1485"/>
      <c r="G278" s="1486"/>
      <c r="H278" s="1486"/>
      <c r="I278" s="1487"/>
      <c r="J278" s="1196"/>
      <c r="K278" s="1121"/>
      <c r="L278" s="1121"/>
      <c r="M278" s="1493"/>
      <c r="N278" s="334"/>
      <c r="O278" s="334"/>
      <c r="P278" s="335"/>
      <c r="Q278" s="335"/>
      <c r="R278" s="335"/>
      <c r="U278" s="331" t="str">
        <f ca="1">'Calculos(2)'!BO$260</f>
        <v>-</v>
      </c>
      <c r="V278" s="329"/>
      <c r="W278" s="1"/>
    </row>
    <row r="279" spans="1:23" ht="20.100000000000001" customHeight="1" x14ac:dyDescent="0.25">
      <c r="A279" s="18"/>
      <c r="B279" s="18"/>
      <c r="C279" s="18"/>
      <c r="D279" s="1"/>
      <c r="E279" s="326"/>
      <c r="F279" s="1488"/>
      <c r="G279" s="1489"/>
      <c r="H279" s="1489"/>
      <c r="I279" s="1490"/>
      <c r="J279" s="1472" t="s">
        <v>80</v>
      </c>
      <c r="K279" s="1473"/>
      <c r="L279" s="1473"/>
      <c r="M279" s="1474"/>
      <c r="N279" s="334"/>
      <c r="O279" s="334"/>
      <c r="P279" s="335"/>
      <c r="Q279" s="335"/>
      <c r="R279" s="335" t="s">
        <v>10</v>
      </c>
      <c r="U279" s="331" t="str">
        <f ca="1">'Calculos(2)'!BO$261</f>
        <v>-</v>
      </c>
      <c r="V279" s="329"/>
      <c r="W279" s="1"/>
    </row>
    <row r="280" spans="1:23" ht="20.100000000000001" customHeight="1" x14ac:dyDescent="0.25">
      <c r="A280" s="18"/>
      <c r="B280" s="18"/>
      <c r="C280" s="18"/>
      <c r="D280" s="1"/>
      <c r="E280" s="336"/>
      <c r="F280" s="337"/>
      <c r="G280" s="337"/>
      <c r="H280" s="337"/>
      <c r="I280" s="337"/>
      <c r="J280" s="337"/>
      <c r="K280" s="337"/>
      <c r="L280" s="337"/>
      <c r="M280" s="337"/>
      <c r="N280" s="337"/>
      <c r="O280" s="337"/>
      <c r="P280" s="337"/>
      <c r="Q280" s="337"/>
      <c r="R280" s="337"/>
      <c r="S280" s="337"/>
      <c r="T280" s="337"/>
      <c r="U280" s="337"/>
      <c r="V280" s="338"/>
      <c r="W280" s="1"/>
    </row>
    <row r="281" spans="1:23" ht="20.100000000000001" hidden="1" customHeight="1" x14ac:dyDescent="0.25">
      <c r="A281" s="18"/>
      <c r="B281" s="18"/>
      <c r="C281" s="18"/>
      <c r="D281" s="1"/>
      <c r="E281" s="2"/>
      <c r="W281" s="1"/>
    </row>
    <row r="282" spans="1:23" ht="20.100000000000001" customHeight="1" x14ac:dyDescent="0.25">
      <c r="A282" s="18"/>
      <c r="B282" s="18"/>
      <c r="C282" s="18"/>
      <c r="D282" s="1"/>
      <c r="E282" s="1"/>
      <c r="F282" s="1"/>
      <c r="G282" s="1"/>
      <c r="H282" s="1"/>
      <c r="I282" s="1"/>
      <c r="J282" s="1"/>
      <c r="K282" s="1"/>
      <c r="L282" s="1"/>
      <c r="M282" s="1"/>
      <c r="N282" s="1"/>
      <c r="O282" s="1"/>
      <c r="P282" s="1"/>
      <c r="Q282" s="1"/>
      <c r="R282" s="1"/>
      <c r="S282" s="1"/>
      <c r="T282" s="1"/>
      <c r="U282" s="1"/>
      <c r="V282" s="1"/>
      <c r="W282" s="1"/>
    </row>
    <row r="283" spans="1:23" ht="20.100000000000001" customHeight="1" x14ac:dyDescent="0.25">
      <c r="A283" s="18"/>
      <c r="B283" s="18"/>
      <c r="C283" s="18"/>
      <c r="D283" s="7"/>
      <c r="E283" s="321"/>
      <c r="F283" s="322"/>
      <c r="G283" s="323"/>
      <c r="H283" s="323"/>
      <c r="I283" s="323"/>
      <c r="J283" s="323"/>
      <c r="K283" s="323"/>
      <c r="L283" s="323"/>
      <c r="M283" s="323"/>
      <c r="N283" s="323"/>
      <c r="O283" s="323"/>
      <c r="P283" s="323"/>
      <c r="Q283" s="323"/>
      <c r="R283" s="323"/>
      <c r="S283" s="339"/>
      <c r="T283" s="339"/>
      <c r="U283" s="340"/>
      <c r="V283" s="325"/>
      <c r="W283" s="1"/>
    </row>
    <row r="284" spans="1:23" ht="45" customHeight="1" x14ac:dyDescent="0.25">
      <c r="A284" s="18"/>
      <c r="B284" s="18"/>
      <c r="C284" s="18"/>
      <c r="D284" s="7"/>
      <c r="E284" s="326"/>
      <c r="F284" s="1494" t="s">
        <v>8613</v>
      </c>
      <c r="G284" s="1495"/>
      <c r="H284" s="1495"/>
      <c r="I284" s="1495"/>
      <c r="J284" s="1495"/>
      <c r="K284" s="1495"/>
      <c r="L284" s="1495"/>
      <c r="M284" s="1496"/>
      <c r="N284" s="327" t="str">
        <f ca="1">"Concentração"&amp;" "&amp;'Calculos(2)'!$BJ$3</f>
        <v>Concentração -</v>
      </c>
      <c r="O284" s="327" t="s">
        <v>6038</v>
      </c>
      <c r="P284" s="327" t="s">
        <v>8126</v>
      </c>
      <c r="Q284" s="327" t="s">
        <v>8028</v>
      </c>
      <c r="R284" s="327" t="s">
        <v>8603</v>
      </c>
      <c r="S284" s="327" t="s">
        <v>8127</v>
      </c>
      <c r="U284" s="328" t="s">
        <v>119</v>
      </c>
      <c r="V284" s="332"/>
      <c r="W284" s="7"/>
    </row>
    <row r="285" spans="1:23" ht="20.100000000000001" customHeight="1" x14ac:dyDescent="0.25">
      <c r="A285" s="18"/>
      <c r="B285" s="18"/>
      <c r="C285" s="18"/>
      <c r="D285" s="7"/>
      <c r="E285" s="326"/>
      <c r="F285" s="1482" t="str">
        <f ca="1">'Calculos(2)'!$BJ$4</f>
        <v>-</v>
      </c>
      <c r="G285" s="1483"/>
      <c r="H285" s="1483"/>
      <c r="I285" s="1484"/>
      <c r="J285" s="1472" t="s">
        <v>7103</v>
      </c>
      <c r="K285" s="1473"/>
      <c r="L285" s="1473"/>
      <c r="M285" s="1474"/>
      <c r="N285" s="188"/>
      <c r="O285" s="188"/>
      <c r="P285" s="330"/>
      <c r="Q285" s="330"/>
      <c r="R285" s="187">
        <v>0</v>
      </c>
      <c r="S285" s="331">
        <f>O285/2</f>
        <v>0</v>
      </c>
      <c r="U285" s="331" t="str">
        <f ca="1">'Calculos(2)'!BO$266</f>
        <v>-</v>
      </c>
      <c r="V285" s="332"/>
      <c r="W285" s="1"/>
    </row>
    <row r="286" spans="1:23" ht="20.100000000000001" customHeight="1" x14ac:dyDescent="0.25">
      <c r="A286" s="18"/>
      <c r="B286" s="18"/>
      <c r="C286" s="18"/>
      <c r="D286" s="7"/>
      <c r="E286" s="326"/>
      <c r="F286" s="1485"/>
      <c r="G286" s="1486"/>
      <c r="H286" s="1486"/>
      <c r="I286" s="1487"/>
      <c r="J286" s="1193" t="s">
        <v>8027</v>
      </c>
      <c r="K286" s="1194"/>
      <c r="L286" s="1194"/>
      <c r="M286" s="1491"/>
      <c r="N286" s="188"/>
      <c r="O286" s="188"/>
      <c r="P286" s="330"/>
      <c r="Q286" s="330"/>
      <c r="R286" s="187"/>
      <c r="U286" s="331" t="str">
        <f ca="1">'Calculos(2)'!BO$267</f>
        <v>-</v>
      </c>
      <c r="V286" s="332"/>
      <c r="W286" s="1"/>
    </row>
    <row r="287" spans="1:23" ht="20.100000000000001" customHeight="1" x14ac:dyDescent="0.25">
      <c r="A287" s="18"/>
      <c r="B287" s="18"/>
      <c r="C287" s="18"/>
      <c r="D287" s="7"/>
      <c r="E287" s="326"/>
      <c r="F287" s="1485"/>
      <c r="G287" s="1486"/>
      <c r="H287" s="1486"/>
      <c r="I287" s="1487"/>
      <c r="J287" s="1195"/>
      <c r="K287" s="1084"/>
      <c r="L287" s="1084"/>
      <c r="M287" s="1492"/>
      <c r="N287" s="188"/>
      <c r="O287" s="188"/>
      <c r="P287" s="330"/>
      <c r="Q287" s="330"/>
      <c r="R287" s="187"/>
      <c r="U287" s="331" t="str">
        <f ca="1">'Calculos(2)'!BO$268</f>
        <v>-</v>
      </c>
      <c r="V287" s="332"/>
      <c r="W287" s="1"/>
    </row>
    <row r="288" spans="1:23" ht="20.100000000000001" customHeight="1" x14ac:dyDescent="0.25">
      <c r="A288" s="18"/>
      <c r="B288" s="18"/>
      <c r="C288" s="18"/>
      <c r="D288" s="7"/>
      <c r="E288" s="326"/>
      <c r="F288" s="1485"/>
      <c r="G288" s="1486"/>
      <c r="H288" s="1486"/>
      <c r="I288" s="1487"/>
      <c r="J288" s="1195"/>
      <c r="K288" s="1084"/>
      <c r="L288" s="1084"/>
      <c r="M288" s="1492"/>
      <c r="N288" s="188"/>
      <c r="O288" s="188"/>
      <c r="P288" s="330"/>
      <c r="Q288" s="330"/>
      <c r="R288" s="187"/>
      <c r="U288" s="331" t="str">
        <f ca="1">'Calculos(2)'!BO$269</f>
        <v>-</v>
      </c>
      <c r="V288" s="332"/>
      <c r="W288" s="1"/>
    </row>
    <row r="289" spans="1:23" ht="20.100000000000001" customHeight="1" x14ac:dyDescent="0.25">
      <c r="A289" s="18"/>
      <c r="B289" s="18"/>
      <c r="C289" s="18"/>
      <c r="D289" s="7"/>
      <c r="E289" s="326"/>
      <c r="F289" s="1485"/>
      <c r="G289" s="1486"/>
      <c r="H289" s="1486"/>
      <c r="I289" s="1487"/>
      <c r="J289" s="1195"/>
      <c r="K289" s="1084"/>
      <c r="L289" s="1084"/>
      <c r="M289" s="1492"/>
      <c r="N289" s="188"/>
      <c r="O289" s="188"/>
      <c r="P289" s="330"/>
      <c r="Q289" s="330"/>
      <c r="R289" s="187"/>
      <c r="U289" s="331" t="str">
        <f ca="1">'Calculos(2)'!BO$270</f>
        <v>-</v>
      </c>
      <c r="V289" s="332"/>
      <c r="W289" s="1"/>
    </row>
    <row r="290" spans="1:23" ht="20.100000000000001" customHeight="1" x14ac:dyDescent="0.25">
      <c r="A290" s="18"/>
      <c r="B290" s="18"/>
      <c r="C290" s="18"/>
      <c r="D290" s="7"/>
      <c r="E290" s="326"/>
      <c r="F290" s="1485"/>
      <c r="G290" s="1486"/>
      <c r="H290" s="1486"/>
      <c r="I290" s="1487"/>
      <c r="J290" s="1195"/>
      <c r="K290" s="1084"/>
      <c r="L290" s="1084"/>
      <c r="M290" s="1492"/>
      <c r="N290" s="188"/>
      <c r="O290" s="188"/>
      <c r="P290" s="330"/>
      <c r="Q290" s="330"/>
      <c r="R290" s="187"/>
      <c r="U290" s="331" t="str">
        <f ca="1">'Calculos(2)'!BO$271</f>
        <v>-</v>
      </c>
      <c r="V290" s="332"/>
      <c r="W290" s="1"/>
    </row>
    <row r="291" spans="1:23" ht="20.100000000000001" customHeight="1" x14ac:dyDescent="0.25">
      <c r="A291" s="18"/>
      <c r="B291" s="18"/>
      <c r="C291" s="18"/>
      <c r="D291" s="7"/>
      <c r="E291" s="326"/>
      <c r="F291" s="1485"/>
      <c r="G291" s="1486"/>
      <c r="H291" s="1486"/>
      <c r="I291" s="1487"/>
      <c r="J291" s="1195"/>
      <c r="K291" s="1084"/>
      <c r="L291" s="1084"/>
      <c r="M291" s="1492"/>
      <c r="N291" s="188"/>
      <c r="O291" s="188"/>
      <c r="P291" s="330"/>
      <c r="Q291" s="330"/>
      <c r="R291" s="187"/>
      <c r="U291" s="331" t="str">
        <f ca="1">'Calculos(2)'!BO$272</f>
        <v>-</v>
      </c>
      <c r="V291" s="332"/>
      <c r="W291" s="1"/>
    </row>
    <row r="292" spans="1:23" ht="20.100000000000001" customHeight="1" x14ac:dyDescent="0.25">
      <c r="A292" s="18"/>
      <c r="B292" s="18"/>
      <c r="C292" s="18"/>
      <c r="D292" s="7"/>
      <c r="E292" s="326"/>
      <c r="F292" s="1485"/>
      <c r="G292" s="1486"/>
      <c r="H292" s="1486"/>
      <c r="I292" s="1487"/>
      <c r="J292" s="1195"/>
      <c r="K292" s="1084"/>
      <c r="L292" s="1084"/>
      <c r="M292" s="1492"/>
      <c r="N292" s="188"/>
      <c r="O292" s="188"/>
      <c r="P292" s="330"/>
      <c r="Q292" s="330"/>
      <c r="R292" s="187"/>
      <c r="U292" s="331" t="str">
        <f ca="1">'Calculos(2)'!BO$273</f>
        <v>-</v>
      </c>
      <c r="V292" s="332"/>
      <c r="W292" s="1"/>
    </row>
    <row r="293" spans="1:23" ht="20.100000000000001" customHeight="1" x14ac:dyDescent="0.25">
      <c r="A293" s="18"/>
      <c r="B293" s="18"/>
      <c r="C293" s="18"/>
      <c r="D293" s="7"/>
      <c r="E293" s="326"/>
      <c r="F293" s="1485"/>
      <c r="G293" s="1486"/>
      <c r="H293" s="1486"/>
      <c r="I293" s="1487"/>
      <c r="J293" s="1195"/>
      <c r="K293" s="1084"/>
      <c r="L293" s="1084"/>
      <c r="M293" s="1492"/>
      <c r="N293" s="188"/>
      <c r="O293" s="188"/>
      <c r="P293" s="330"/>
      <c r="Q293" s="330"/>
      <c r="R293" s="187"/>
      <c r="U293" s="331" t="str">
        <f ca="1">'Calculos(2)'!BO$274</f>
        <v>-</v>
      </c>
      <c r="V293" s="332"/>
      <c r="W293" s="1"/>
    </row>
    <row r="294" spans="1:23" ht="20.100000000000001" customHeight="1" x14ac:dyDescent="0.25">
      <c r="A294" s="18"/>
      <c r="B294" s="18"/>
      <c r="C294" s="18"/>
      <c r="D294" s="7"/>
      <c r="E294" s="326"/>
      <c r="F294" s="1485"/>
      <c r="G294" s="1486"/>
      <c r="H294" s="1486"/>
      <c r="I294" s="1487"/>
      <c r="J294" s="1195"/>
      <c r="K294" s="1084"/>
      <c r="L294" s="1084"/>
      <c r="M294" s="1492"/>
      <c r="N294" s="188"/>
      <c r="O294" s="188"/>
      <c r="P294" s="330"/>
      <c r="Q294" s="330"/>
      <c r="R294" s="187"/>
      <c r="U294" s="331" t="str">
        <f ca="1">'Calculos(2)'!BO$275</f>
        <v>-</v>
      </c>
      <c r="V294" s="332"/>
      <c r="W294" s="1"/>
    </row>
    <row r="295" spans="1:23" ht="20.100000000000001" customHeight="1" x14ac:dyDescent="0.25">
      <c r="A295" s="18"/>
      <c r="B295" s="18"/>
      <c r="C295" s="18"/>
      <c r="D295" s="7"/>
      <c r="E295" s="326"/>
      <c r="F295" s="1485"/>
      <c r="G295" s="1486"/>
      <c r="H295" s="1486"/>
      <c r="I295" s="1487"/>
      <c r="J295" s="1196"/>
      <c r="K295" s="1121"/>
      <c r="L295" s="1121"/>
      <c r="M295" s="1493"/>
      <c r="N295" s="188"/>
      <c r="O295" s="188"/>
      <c r="P295" s="330"/>
      <c r="Q295" s="330"/>
      <c r="R295" s="187"/>
      <c r="U295" s="331" t="str">
        <f ca="1">'Calculos(2)'!BO$276</f>
        <v>-</v>
      </c>
      <c r="V295" s="332"/>
      <c r="W295" s="1"/>
    </row>
    <row r="296" spans="1:23" ht="20.100000000000001" customHeight="1" x14ac:dyDescent="0.25">
      <c r="A296" s="18"/>
      <c r="B296" s="18"/>
      <c r="C296" s="18"/>
      <c r="D296" s="7"/>
      <c r="E296" s="326"/>
      <c r="F296" s="1488"/>
      <c r="G296" s="1489"/>
      <c r="H296" s="1489"/>
      <c r="I296" s="1490"/>
      <c r="J296" s="1472" t="s">
        <v>80</v>
      </c>
      <c r="K296" s="1473"/>
      <c r="L296" s="1473"/>
      <c r="M296" s="1474"/>
      <c r="N296" s="188"/>
      <c r="O296" s="188"/>
      <c r="P296" s="330"/>
      <c r="Q296" s="330"/>
      <c r="R296" s="187" t="s">
        <v>10</v>
      </c>
      <c r="U296" s="331" t="str">
        <f ca="1">'Calculos(2)'!BO$277</f>
        <v>-</v>
      </c>
      <c r="V296" s="332"/>
      <c r="W296" s="1"/>
    </row>
    <row r="297" spans="1:23" ht="20.100000000000001" customHeight="1" x14ac:dyDescent="0.25">
      <c r="A297" s="18"/>
      <c r="B297" s="18"/>
      <c r="C297" s="18"/>
      <c r="D297" s="7"/>
      <c r="E297" s="326"/>
      <c r="V297" s="332"/>
      <c r="W297" s="1"/>
    </row>
    <row r="298" spans="1:23" ht="20.100000000000001" hidden="1" customHeight="1" x14ac:dyDescent="0.25">
      <c r="A298" s="18"/>
      <c r="B298" s="18"/>
      <c r="C298" s="18"/>
      <c r="D298" s="7"/>
      <c r="E298" s="326"/>
      <c r="V298" s="332"/>
      <c r="W298" s="1"/>
    </row>
    <row r="299" spans="1:23" ht="20.100000000000001" hidden="1" customHeight="1" x14ac:dyDescent="0.25">
      <c r="A299" s="18"/>
      <c r="B299" s="18"/>
      <c r="C299" s="18"/>
      <c r="D299" s="7"/>
      <c r="E299" s="326"/>
      <c r="V299" s="332"/>
      <c r="W299" s="7"/>
    </row>
    <row r="300" spans="1:23" ht="20.100000000000001" customHeight="1" x14ac:dyDescent="0.25">
      <c r="A300" s="18"/>
      <c r="B300" s="18"/>
      <c r="C300" s="18"/>
      <c r="D300" s="7"/>
      <c r="E300" s="326"/>
      <c r="V300" s="332"/>
      <c r="W300" s="7"/>
    </row>
    <row r="301" spans="1:23" ht="45" customHeight="1" x14ac:dyDescent="0.25">
      <c r="A301" s="18"/>
      <c r="B301" s="18"/>
      <c r="C301" s="18"/>
      <c r="D301" s="7"/>
      <c r="E301" s="326"/>
      <c r="F301" s="1479" t="s">
        <v>8622</v>
      </c>
      <c r="G301" s="1480"/>
      <c r="H301" s="1480"/>
      <c r="I301" s="1480"/>
      <c r="J301" s="1480"/>
      <c r="K301" s="1480"/>
      <c r="L301" s="1480"/>
      <c r="M301" s="1481"/>
      <c r="N301" s="333" t="str">
        <f ca="1">"Concentração"&amp;" "&amp;'Calculos(2)'!$BJ$3</f>
        <v>Concentração -</v>
      </c>
      <c r="O301" s="333" t="s">
        <v>6038</v>
      </c>
      <c r="P301" s="333" t="s">
        <v>8126</v>
      </c>
      <c r="Q301" s="333" t="s">
        <v>8028</v>
      </c>
      <c r="R301" s="333" t="s">
        <v>8603</v>
      </c>
      <c r="S301" s="333" t="s">
        <v>8127</v>
      </c>
      <c r="U301" s="328" t="s">
        <v>119</v>
      </c>
      <c r="V301" s="332"/>
      <c r="W301" s="1"/>
    </row>
    <row r="302" spans="1:23" ht="20.100000000000001" customHeight="1" x14ac:dyDescent="0.25">
      <c r="A302" s="18"/>
      <c r="B302" s="18"/>
      <c r="C302" s="18"/>
      <c r="D302" s="7"/>
      <c r="E302" s="326"/>
      <c r="F302" s="1482" t="str">
        <f ca="1">'Calculos(2)'!$BJ$4</f>
        <v>-</v>
      </c>
      <c r="G302" s="1483"/>
      <c r="H302" s="1483"/>
      <c r="I302" s="1484"/>
      <c r="J302" s="1472" t="s">
        <v>7103</v>
      </c>
      <c r="K302" s="1473"/>
      <c r="L302" s="1473"/>
      <c r="M302" s="1474"/>
      <c r="N302" s="334"/>
      <c r="O302" s="334"/>
      <c r="P302" s="335"/>
      <c r="Q302" s="335"/>
      <c r="R302" s="335">
        <v>0</v>
      </c>
      <c r="S302" s="331">
        <f>O302/2</f>
        <v>0</v>
      </c>
      <c r="U302" s="331" t="str">
        <f ca="1">'Calculos(2)'!BO$282</f>
        <v>-</v>
      </c>
      <c r="V302" s="332"/>
      <c r="W302" s="1"/>
    </row>
    <row r="303" spans="1:23" ht="20.100000000000001" customHeight="1" x14ac:dyDescent="0.25">
      <c r="A303" s="18"/>
      <c r="B303" s="18"/>
      <c r="C303" s="18"/>
      <c r="D303" s="7"/>
      <c r="E303" s="326"/>
      <c r="F303" s="1485"/>
      <c r="G303" s="1486"/>
      <c r="H303" s="1486"/>
      <c r="I303" s="1487"/>
      <c r="J303" s="1193" t="s">
        <v>8027</v>
      </c>
      <c r="K303" s="1194"/>
      <c r="L303" s="1194"/>
      <c r="M303" s="1491"/>
      <c r="N303" s="334"/>
      <c r="O303" s="334"/>
      <c r="P303" s="335"/>
      <c r="Q303" s="335"/>
      <c r="R303" s="335"/>
      <c r="U303" s="331" t="str">
        <f ca="1">'Calculos(2)'!BO$283</f>
        <v>-</v>
      </c>
      <c r="V303" s="332"/>
      <c r="W303" s="1"/>
    </row>
    <row r="304" spans="1:23" ht="20.100000000000001" customHeight="1" x14ac:dyDescent="0.25">
      <c r="A304" s="18"/>
      <c r="B304" s="18"/>
      <c r="C304" s="18"/>
      <c r="D304" s="7"/>
      <c r="E304" s="326"/>
      <c r="F304" s="1485"/>
      <c r="G304" s="1486"/>
      <c r="H304" s="1486"/>
      <c r="I304" s="1487"/>
      <c r="J304" s="1195"/>
      <c r="K304" s="1084"/>
      <c r="L304" s="1084"/>
      <c r="M304" s="1492"/>
      <c r="N304" s="334"/>
      <c r="O304" s="334"/>
      <c r="P304" s="335"/>
      <c r="Q304" s="335"/>
      <c r="R304" s="335"/>
      <c r="U304" s="331" t="str">
        <f ca="1">'Calculos(2)'!BO$284</f>
        <v>-</v>
      </c>
      <c r="V304" s="332"/>
      <c r="W304" s="1"/>
    </row>
    <row r="305" spans="1:23" ht="20.100000000000001" customHeight="1" x14ac:dyDescent="0.25">
      <c r="A305" s="18"/>
      <c r="B305" s="18"/>
      <c r="C305" s="18"/>
      <c r="D305" s="7"/>
      <c r="E305" s="326"/>
      <c r="F305" s="1485"/>
      <c r="G305" s="1486"/>
      <c r="H305" s="1486"/>
      <c r="I305" s="1487"/>
      <c r="J305" s="1195"/>
      <c r="K305" s="1084"/>
      <c r="L305" s="1084"/>
      <c r="M305" s="1492"/>
      <c r="N305" s="334"/>
      <c r="O305" s="334"/>
      <c r="P305" s="335"/>
      <c r="Q305" s="335"/>
      <c r="R305" s="335"/>
      <c r="U305" s="331" t="str">
        <f ca="1">'Calculos(2)'!BO$285</f>
        <v>-</v>
      </c>
      <c r="V305" s="332"/>
      <c r="W305" s="1"/>
    </row>
    <row r="306" spans="1:23" ht="20.100000000000001" customHeight="1" x14ac:dyDescent="0.25">
      <c r="A306" s="18"/>
      <c r="B306" s="18"/>
      <c r="C306" s="18"/>
      <c r="D306" s="7"/>
      <c r="E306" s="326"/>
      <c r="F306" s="1485"/>
      <c r="G306" s="1486"/>
      <c r="H306" s="1486"/>
      <c r="I306" s="1487"/>
      <c r="J306" s="1195"/>
      <c r="K306" s="1084"/>
      <c r="L306" s="1084"/>
      <c r="M306" s="1492"/>
      <c r="N306" s="334"/>
      <c r="O306" s="334"/>
      <c r="P306" s="335"/>
      <c r="Q306" s="335"/>
      <c r="R306" s="335"/>
      <c r="U306" s="331" t="str">
        <f ca="1">'Calculos(2)'!BO$286</f>
        <v>-</v>
      </c>
      <c r="V306" s="332"/>
      <c r="W306" s="1"/>
    </row>
    <row r="307" spans="1:23" ht="20.100000000000001" customHeight="1" x14ac:dyDescent="0.25">
      <c r="A307" s="18"/>
      <c r="B307" s="18"/>
      <c r="C307" s="18"/>
      <c r="D307" s="7"/>
      <c r="E307" s="326"/>
      <c r="F307" s="1485"/>
      <c r="G307" s="1486"/>
      <c r="H307" s="1486"/>
      <c r="I307" s="1487"/>
      <c r="J307" s="1195"/>
      <c r="K307" s="1084"/>
      <c r="L307" s="1084"/>
      <c r="M307" s="1492"/>
      <c r="N307" s="334"/>
      <c r="O307" s="334"/>
      <c r="P307" s="335"/>
      <c r="Q307" s="335"/>
      <c r="R307" s="335"/>
      <c r="U307" s="331" t="str">
        <f ca="1">'Calculos(2)'!BO$287</f>
        <v>-</v>
      </c>
      <c r="V307" s="332"/>
      <c r="W307" s="1"/>
    </row>
    <row r="308" spans="1:23" ht="20.100000000000001" customHeight="1" x14ac:dyDescent="0.25">
      <c r="A308" s="18"/>
      <c r="B308" s="18"/>
      <c r="C308" s="18"/>
      <c r="D308" s="7"/>
      <c r="E308" s="326"/>
      <c r="F308" s="1485"/>
      <c r="G308" s="1486"/>
      <c r="H308" s="1486"/>
      <c r="I308" s="1487"/>
      <c r="J308" s="1195"/>
      <c r="K308" s="1084"/>
      <c r="L308" s="1084"/>
      <c r="M308" s="1492"/>
      <c r="N308" s="334"/>
      <c r="O308" s="334"/>
      <c r="P308" s="335"/>
      <c r="Q308" s="335"/>
      <c r="R308" s="335"/>
      <c r="U308" s="331" t="str">
        <f ca="1">'Calculos(2)'!BO$288</f>
        <v>-</v>
      </c>
      <c r="V308" s="332"/>
      <c r="W308" s="1"/>
    </row>
    <row r="309" spans="1:23" ht="20.100000000000001" customHeight="1" x14ac:dyDescent="0.25">
      <c r="A309" s="18"/>
      <c r="B309" s="18"/>
      <c r="C309" s="18"/>
      <c r="D309" s="7"/>
      <c r="E309" s="326"/>
      <c r="F309" s="1485"/>
      <c r="G309" s="1486"/>
      <c r="H309" s="1486"/>
      <c r="I309" s="1487"/>
      <c r="J309" s="1195"/>
      <c r="K309" s="1084"/>
      <c r="L309" s="1084"/>
      <c r="M309" s="1492"/>
      <c r="N309" s="334"/>
      <c r="O309" s="334"/>
      <c r="P309" s="335"/>
      <c r="Q309" s="335"/>
      <c r="R309" s="335"/>
      <c r="U309" s="331" t="str">
        <f ca="1">'Calculos(2)'!BO$289</f>
        <v>-</v>
      </c>
      <c r="V309" s="332"/>
      <c r="W309" s="1"/>
    </row>
    <row r="310" spans="1:23" ht="20.100000000000001" customHeight="1" x14ac:dyDescent="0.25">
      <c r="A310" s="18"/>
      <c r="B310" s="18"/>
      <c r="C310" s="18"/>
      <c r="D310" s="7"/>
      <c r="E310" s="326"/>
      <c r="F310" s="1485"/>
      <c r="G310" s="1486"/>
      <c r="H310" s="1486"/>
      <c r="I310" s="1487"/>
      <c r="J310" s="1195"/>
      <c r="K310" s="1084"/>
      <c r="L310" s="1084"/>
      <c r="M310" s="1492"/>
      <c r="N310" s="334"/>
      <c r="O310" s="334"/>
      <c r="P310" s="335"/>
      <c r="Q310" s="335"/>
      <c r="R310" s="335"/>
      <c r="U310" s="331" t="str">
        <f ca="1">'Calculos(2)'!BO$290</f>
        <v>-</v>
      </c>
      <c r="V310" s="332"/>
      <c r="W310" s="1"/>
    </row>
    <row r="311" spans="1:23" ht="20.100000000000001" customHeight="1" x14ac:dyDescent="0.25">
      <c r="A311" s="18"/>
      <c r="B311" s="18"/>
      <c r="C311" s="18"/>
      <c r="D311" s="1"/>
      <c r="E311" s="326"/>
      <c r="F311" s="1485"/>
      <c r="G311" s="1486"/>
      <c r="H311" s="1486"/>
      <c r="I311" s="1487"/>
      <c r="J311" s="1195"/>
      <c r="K311" s="1084"/>
      <c r="L311" s="1084"/>
      <c r="M311" s="1492"/>
      <c r="N311" s="334"/>
      <c r="O311" s="334"/>
      <c r="P311" s="335"/>
      <c r="Q311" s="335"/>
      <c r="R311" s="335"/>
      <c r="U311" s="331" t="str">
        <f ca="1">'Calculos(2)'!BO$291</f>
        <v>-</v>
      </c>
      <c r="V311" s="332"/>
      <c r="W311" s="1"/>
    </row>
    <row r="312" spans="1:23" ht="20.100000000000001" customHeight="1" x14ac:dyDescent="0.25">
      <c r="A312" s="18"/>
      <c r="B312" s="18"/>
      <c r="C312" s="18"/>
      <c r="D312" s="1"/>
      <c r="E312" s="326"/>
      <c r="F312" s="1485"/>
      <c r="G312" s="1486"/>
      <c r="H312" s="1486"/>
      <c r="I312" s="1487"/>
      <c r="J312" s="1196"/>
      <c r="K312" s="1121"/>
      <c r="L312" s="1121"/>
      <c r="M312" s="1493"/>
      <c r="N312" s="334"/>
      <c r="O312" s="334"/>
      <c r="P312" s="335"/>
      <c r="Q312" s="335"/>
      <c r="R312" s="335"/>
      <c r="U312" s="331" t="str">
        <f ca="1">'Calculos(2)'!BO$292</f>
        <v>-</v>
      </c>
      <c r="V312" s="329"/>
      <c r="W312" s="1"/>
    </row>
    <row r="313" spans="1:23" ht="20.100000000000001" customHeight="1" x14ac:dyDescent="0.25">
      <c r="A313" s="18"/>
      <c r="B313" s="18"/>
      <c r="C313" s="18"/>
      <c r="D313" s="1"/>
      <c r="E313" s="326"/>
      <c r="F313" s="1488"/>
      <c r="G313" s="1489"/>
      <c r="H313" s="1489"/>
      <c r="I313" s="1490"/>
      <c r="J313" s="1472" t="s">
        <v>80</v>
      </c>
      <c r="K313" s="1473"/>
      <c r="L313" s="1473"/>
      <c r="M313" s="1474"/>
      <c r="N313" s="334"/>
      <c r="O313" s="334"/>
      <c r="P313" s="335"/>
      <c r="Q313" s="335"/>
      <c r="R313" s="335" t="s">
        <v>10</v>
      </c>
      <c r="U313" s="331" t="str">
        <f ca="1">'Calculos(2)'!BO$293</f>
        <v>-</v>
      </c>
      <c r="V313" s="329"/>
      <c r="W313" s="1"/>
    </row>
    <row r="314" spans="1:23" ht="20.100000000000001" customHeight="1" x14ac:dyDescent="0.25">
      <c r="A314" s="18"/>
      <c r="B314" s="18"/>
      <c r="C314" s="18"/>
      <c r="D314" s="1"/>
      <c r="E314" s="336"/>
      <c r="F314" s="337"/>
      <c r="G314" s="337"/>
      <c r="H314" s="337"/>
      <c r="I314" s="337"/>
      <c r="J314" s="337"/>
      <c r="K314" s="337"/>
      <c r="L314" s="337"/>
      <c r="M314" s="337"/>
      <c r="N314" s="337"/>
      <c r="O314" s="337"/>
      <c r="P314" s="337"/>
      <c r="Q314" s="337"/>
      <c r="R314" s="337"/>
      <c r="S314" s="337"/>
      <c r="T314" s="337"/>
      <c r="U314" s="337"/>
      <c r="V314" s="338"/>
      <c r="W314" s="1"/>
    </row>
    <row r="315" spans="1:23" ht="20.100000000000001" hidden="1" customHeight="1" x14ac:dyDescent="0.25">
      <c r="A315" s="18"/>
      <c r="B315" s="18"/>
      <c r="C315" s="18"/>
      <c r="D315" s="1"/>
      <c r="E315" s="2"/>
      <c r="W315" s="1"/>
    </row>
    <row r="316" spans="1:23" ht="20.100000000000001" customHeight="1" x14ac:dyDescent="0.25">
      <c r="A316" s="18"/>
      <c r="B316" s="18"/>
      <c r="C316" s="18"/>
      <c r="D316" s="1"/>
      <c r="E316" s="1"/>
      <c r="F316" s="1"/>
      <c r="G316" s="1"/>
      <c r="H316" s="1"/>
      <c r="I316" s="1"/>
      <c r="J316" s="1"/>
      <c r="K316" s="1"/>
      <c r="L316" s="1"/>
      <c r="M316" s="1"/>
      <c r="N316" s="1"/>
      <c r="O316" s="1"/>
      <c r="P316" s="1"/>
      <c r="Q316" s="1"/>
      <c r="R316" s="1"/>
      <c r="S316" s="1"/>
      <c r="T316" s="1"/>
      <c r="U316" s="1"/>
      <c r="V316" s="1"/>
      <c r="W316" s="1"/>
    </row>
    <row r="317" spans="1:23" ht="20.100000000000001" customHeight="1" x14ac:dyDescent="0.25">
      <c r="A317" s="18"/>
      <c r="B317" s="18"/>
      <c r="C317" s="18"/>
      <c r="D317" s="7"/>
      <c r="E317" s="321"/>
      <c r="F317" s="322"/>
      <c r="G317" s="323"/>
      <c r="H317" s="323"/>
      <c r="I317" s="323"/>
      <c r="J317" s="323"/>
      <c r="K317" s="323"/>
      <c r="L317" s="323"/>
      <c r="M317" s="323"/>
      <c r="N317" s="323"/>
      <c r="O317" s="323"/>
      <c r="P317" s="323"/>
      <c r="Q317" s="323"/>
      <c r="R317" s="323"/>
      <c r="S317" s="339"/>
      <c r="T317" s="339"/>
      <c r="U317" s="340"/>
      <c r="V317" s="325"/>
      <c r="W317" s="1"/>
    </row>
    <row r="318" spans="1:23" ht="45" customHeight="1" x14ac:dyDescent="0.25">
      <c r="A318" s="18"/>
      <c r="B318" s="18"/>
      <c r="C318" s="18"/>
      <c r="D318" s="7"/>
      <c r="E318" s="326"/>
      <c r="F318" s="1494" t="s">
        <v>8614</v>
      </c>
      <c r="G318" s="1495"/>
      <c r="H318" s="1495"/>
      <c r="I318" s="1495"/>
      <c r="J318" s="1495"/>
      <c r="K318" s="1495"/>
      <c r="L318" s="1495"/>
      <c r="M318" s="1496"/>
      <c r="N318" s="327" t="str">
        <f ca="1">"Concentração"&amp;" "&amp;'Calculos(2)'!$BJ$3</f>
        <v>Concentração -</v>
      </c>
      <c r="O318" s="327" t="s">
        <v>6038</v>
      </c>
      <c r="P318" s="327" t="s">
        <v>8126</v>
      </c>
      <c r="Q318" s="327" t="s">
        <v>8028</v>
      </c>
      <c r="R318" s="327" t="s">
        <v>8603</v>
      </c>
      <c r="S318" s="327" t="s">
        <v>8127</v>
      </c>
      <c r="U318" s="328" t="s">
        <v>119</v>
      </c>
      <c r="V318" s="332"/>
      <c r="W318" s="7"/>
    </row>
    <row r="319" spans="1:23" ht="20.100000000000001" customHeight="1" x14ac:dyDescent="0.25">
      <c r="A319" s="18"/>
      <c r="B319" s="18"/>
      <c r="C319" s="18"/>
      <c r="D319" s="7"/>
      <c r="E319" s="326"/>
      <c r="F319" s="1482" t="str">
        <f ca="1">'Calculos(2)'!$BJ$4</f>
        <v>-</v>
      </c>
      <c r="G319" s="1483"/>
      <c r="H319" s="1483"/>
      <c r="I319" s="1484"/>
      <c r="J319" s="1472" t="s">
        <v>7103</v>
      </c>
      <c r="K319" s="1473"/>
      <c r="L319" s="1473"/>
      <c r="M319" s="1474"/>
      <c r="N319" s="188"/>
      <c r="O319" s="188"/>
      <c r="P319" s="330"/>
      <c r="Q319" s="330"/>
      <c r="R319" s="187">
        <v>0</v>
      </c>
      <c r="S319" s="331">
        <f>O319/2</f>
        <v>0</v>
      </c>
      <c r="U319" s="331" t="str">
        <f ca="1">'Calculos(2)'!BO$298</f>
        <v>-</v>
      </c>
      <c r="V319" s="332"/>
      <c r="W319" s="1"/>
    </row>
    <row r="320" spans="1:23" ht="20.100000000000001" customHeight="1" x14ac:dyDescent="0.25">
      <c r="A320" s="18"/>
      <c r="B320" s="18"/>
      <c r="C320" s="18"/>
      <c r="D320" s="7"/>
      <c r="E320" s="326"/>
      <c r="F320" s="1485"/>
      <c r="G320" s="1486"/>
      <c r="H320" s="1486"/>
      <c r="I320" s="1487"/>
      <c r="J320" s="1193" t="s">
        <v>8027</v>
      </c>
      <c r="K320" s="1194"/>
      <c r="L320" s="1194"/>
      <c r="M320" s="1491"/>
      <c r="N320" s="188"/>
      <c r="O320" s="188"/>
      <c r="P320" s="330"/>
      <c r="Q320" s="330"/>
      <c r="R320" s="187"/>
      <c r="U320" s="331" t="str">
        <f ca="1">'Calculos(2)'!BO$299</f>
        <v>-</v>
      </c>
      <c r="V320" s="332"/>
      <c r="W320" s="1"/>
    </row>
    <row r="321" spans="1:23" ht="20.100000000000001" customHeight="1" x14ac:dyDescent="0.25">
      <c r="A321" s="18"/>
      <c r="B321" s="18"/>
      <c r="C321" s="18"/>
      <c r="D321" s="7"/>
      <c r="E321" s="326"/>
      <c r="F321" s="1485"/>
      <c r="G321" s="1486"/>
      <c r="H321" s="1486"/>
      <c r="I321" s="1487"/>
      <c r="J321" s="1195"/>
      <c r="K321" s="1084"/>
      <c r="L321" s="1084"/>
      <c r="M321" s="1492"/>
      <c r="N321" s="188"/>
      <c r="O321" s="188"/>
      <c r="P321" s="330"/>
      <c r="Q321" s="330"/>
      <c r="R321" s="187"/>
      <c r="U321" s="331" t="str">
        <f ca="1">'Calculos(2)'!BO$300</f>
        <v>-</v>
      </c>
      <c r="V321" s="332"/>
      <c r="W321" s="1"/>
    </row>
    <row r="322" spans="1:23" ht="20.100000000000001" customHeight="1" x14ac:dyDescent="0.25">
      <c r="A322" s="18"/>
      <c r="B322" s="18"/>
      <c r="C322" s="18"/>
      <c r="D322" s="7"/>
      <c r="E322" s="326"/>
      <c r="F322" s="1485"/>
      <c r="G322" s="1486"/>
      <c r="H322" s="1486"/>
      <c r="I322" s="1487"/>
      <c r="J322" s="1195"/>
      <c r="K322" s="1084"/>
      <c r="L322" s="1084"/>
      <c r="M322" s="1492"/>
      <c r="N322" s="188"/>
      <c r="O322" s="188"/>
      <c r="P322" s="330"/>
      <c r="Q322" s="330"/>
      <c r="R322" s="187"/>
      <c r="U322" s="331" t="str">
        <f ca="1">'Calculos(2)'!BO$301</f>
        <v>-</v>
      </c>
      <c r="V322" s="332"/>
      <c r="W322" s="1"/>
    </row>
    <row r="323" spans="1:23" ht="20.100000000000001" customHeight="1" x14ac:dyDescent="0.25">
      <c r="A323" s="18"/>
      <c r="B323" s="18"/>
      <c r="C323" s="18"/>
      <c r="D323" s="7"/>
      <c r="E323" s="326"/>
      <c r="F323" s="1485"/>
      <c r="G323" s="1486"/>
      <c r="H323" s="1486"/>
      <c r="I323" s="1487"/>
      <c r="J323" s="1195"/>
      <c r="K323" s="1084"/>
      <c r="L323" s="1084"/>
      <c r="M323" s="1492"/>
      <c r="N323" s="188"/>
      <c r="O323" s="188"/>
      <c r="P323" s="330"/>
      <c r="Q323" s="330"/>
      <c r="R323" s="187"/>
      <c r="U323" s="331" t="str">
        <f ca="1">'Calculos(2)'!BO$302</f>
        <v>-</v>
      </c>
      <c r="V323" s="332"/>
      <c r="W323" s="1"/>
    </row>
    <row r="324" spans="1:23" ht="20.100000000000001" customHeight="1" x14ac:dyDescent="0.25">
      <c r="A324" s="18"/>
      <c r="B324" s="18"/>
      <c r="C324" s="18"/>
      <c r="D324" s="7"/>
      <c r="E324" s="326"/>
      <c r="F324" s="1485"/>
      <c r="G324" s="1486"/>
      <c r="H324" s="1486"/>
      <c r="I324" s="1487"/>
      <c r="J324" s="1195"/>
      <c r="K324" s="1084"/>
      <c r="L324" s="1084"/>
      <c r="M324" s="1492"/>
      <c r="N324" s="188"/>
      <c r="O324" s="188"/>
      <c r="P324" s="330"/>
      <c r="Q324" s="330"/>
      <c r="R324" s="187"/>
      <c r="U324" s="331" t="str">
        <f ca="1">'Calculos(2)'!BO$303</f>
        <v>-</v>
      </c>
      <c r="V324" s="332"/>
      <c r="W324" s="1"/>
    </row>
    <row r="325" spans="1:23" ht="20.100000000000001" customHeight="1" x14ac:dyDescent="0.25">
      <c r="A325" s="18"/>
      <c r="B325" s="18"/>
      <c r="C325" s="18"/>
      <c r="D325" s="7"/>
      <c r="E325" s="326"/>
      <c r="F325" s="1485"/>
      <c r="G325" s="1486"/>
      <c r="H325" s="1486"/>
      <c r="I325" s="1487"/>
      <c r="J325" s="1195"/>
      <c r="K325" s="1084"/>
      <c r="L325" s="1084"/>
      <c r="M325" s="1492"/>
      <c r="N325" s="188"/>
      <c r="O325" s="188"/>
      <c r="P325" s="330"/>
      <c r="Q325" s="330"/>
      <c r="R325" s="187"/>
      <c r="U325" s="331" t="str">
        <f ca="1">'Calculos(2)'!BO$304</f>
        <v>-</v>
      </c>
      <c r="V325" s="332"/>
      <c r="W325" s="1"/>
    </row>
    <row r="326" spans="1:23" ht="20.100000000000001" customHeight="1" x14ac:dyDescent="0.25">
      <c r="A326" s="18"/>
      <c r="B326" s="18"/>
      <c r="C326" s="18"/>
      <c r="D326" s="7"/>
      <c r="E326" s="326"/>
      <c r="F326" s="1485"/>
      <c r="G326" s="1486"/>
      <c r="H326" s="1486"/>
      <c r="I326" s="1487"/>
      <c r="J326" s="1195"/>
      <c r="K326" s="1084"/>
      <c r="L326" s="1084"/>
      <c r="M326" s="1492"/>
      <c r="N326" s="188"/>
      <c r="O326" s="188"/>
      <c r="P326" s="330"/>
      <c r="Q326" s="330"/>
      <c r="R326" s="187"/>
      <c r="U326" s="331" t="str">
        <f ca="1">'Calculos(2)'!BO$305</f>
        <v>-</v>
      </c>
      <c r="V326" s="332"/>
      <c r="W326" s="1"/>
    </row>
    <row r="327" spans="1:23" ht="20.100000000000001" customHeight="1" x14ac:dyDescent="0.25">
      <c r="A327" s="18"/>
      <c r="B327" s="18"/>
      <c r="C327" s="18"/>
      <c r="D327" s="7"/>
      <c r="E327" s="326"/>
      <c r="F327" s="1485"/>
      <c r="G327" s="1486"/>
      <c r="H327" s="1486"/>
      <c r="I327" s="1487"/>
      <c r="J327" s="1195"/>
      <c r="K327" s="1084"/>
      <c r="L327" s="1084"/>
      <c r="M327" s="1492"/>
      <c r="N327" s="188"/>
      <c r="O327" s="188"/>
      <c r="P327" s="330"/>
      <c r="Q327" s="330"/>
      <c r="R327" s="187"/>
      <c r="U327" s="331" t="str">
        <f ca="1">'Calculos(2)'!BO$306</f>
        <v>-</v>
      </c>
      <c r="V327" s="332"/>
      <c r="W327" s="1"/>
    </row>
    <row r="328" spans="1:23" ht="20.100000000000001" customHeight="1" x14ac:dyDescent="0.25">
      <c r="A328" s="18"/>
      <c r="B328" s="18"/>
      <c r="C328" s="18"/>
      <c r="D328" s="7"/>
      <c r="E328" s="326"/>
      <c r="F328" s="1485"/>
      <c r="G328" s="1486"/>
      <c r="H328" s="1486"/>
      <c r="I328" s="1487"/>
      <c r="J328" s="1195"/>
      <c r="K328" s="1084"/>
      <c r="L328" s="1084"/>
      <c r="M328" s="1492"/>
      <c r="N328" s="188"/>
      <c r="O328" s="188"/>
      <c r="P328" s="330"/>
      <c r="Q328" s="330"/>
      <c r="R328" s="187"/>
      <c r="U328" s="331" t="str">
        <f ca="1">'Calculos(2)'!BO$307</f>
        <v>-</v>
      </c>
      <c r="V328" s="332"/>
      <c r="W328" s="1"/>
    </row>
    <row r="329" spans="1:23" ht="20.100000000000001" customHeight="1" x14ac:dyDescent="0.25">
      <c r="A329" s="18"/>
      <c r="B329" s="18"/>
      <c r="C329" s="18"/>
      <c r="D329" s="7"/>
      <c r="E329" s="326"/>
      <c r="F329" s="1485"/>
      <c r="G329" s="1486"/>
      <c r="H329" s="1486"/>
      <c r="I329" s="1487"/>
      <c r="J329" s="1196"/>
      <c r="K329" s="1121"/>
      <c r="L329" s="1121"/>
      <c r="M329" s="1493"/>
      <c r="N329" s="188"/>
      <c r="O329" s="188"/>
      <c r="P329" s="330"/>
      <c r="Q329" s="330"/>
      <c r="R329" s="187"/>
      <c r="U329" s="331" t="str">
        <f ca="1">'Calculos(2)'!BO$308</f>
        <v>-</v>
      </c>
      <c r="V329" s="332"/>
      <c r="W329" s="1"/>
    </row>
    <row r="330" spans="1:23" ht="20.100000000000001" customHeight="1" x14ac:dyDescent="0.25">
      <c r="A330" s="18"/>
      <c r="B330" s="18"/>
      <c r="C330" s="18"/>
      <c r="D330" s="7"/>
      <c r="E330" s="326"/>
      <c r="F330" s="1488"/>
      <c r="G330" s="1489"/>
      <c r="H330" s="1489"/>
      <c r="I330" s="1490"/>
      <c r="J330" s="1472" t="s">
        <v>80</v>
      </c>
      <c r="K330" s="1473"/>
      <c r="L330" s="1473"/>
      <c r="M330" s="1474"/>
      <c r="N330" s="188"/>
      <c r="O330" s="188"/>
      <c r="P330" s="330"/>
      <c r="Q330" s="330"/>
      <c r="R330" s="187" t="s">
        <v>10</v>
      </c>
      <c r="U330" s="331" t="str">
        <f ca="1">'Calculos(2)'!BO$309</f>
        <v>-</v>
      </c>
      <c r="V330" s="332"/>
      <c r="W330" s="1"/>
    </row>
    <row r="331" spans="1:23" ht="20.100000000000001" customHeight="1" x14ac:dyDescent="0.25">
      <c r="A331" s="18"/>
      <c r="B331" s="18"/>
      <c r="C331" s="18"/>
      <c r="D331" s="7"/>
      <c r="E331" s="326"/>
      <c r="V331" s="332"/>
      <c r="W331" s="1"/>
    </row>
    <row r="332" spans="1:23" ht="20.100000000000001" hidden="1" customHeight="1" x14ac:dyDescent="0.25">
      <c r="A332" s="18"/>
      <c r="B332" s="18"/>
      <c r="C332" s="18"/>
      <c r="D332" s="7"/>
      <c r="E332" s="326"/>
      <c r="V332" s="332"/>
      <c r="W332" s="1"/>
    </row>
    <row r="333" spans="1:23" ht="20.100000000000001" hidden="1" customHeight="1" x14ac:dyDescent="0.25">
      <c r="A333" s="18"/>
      <c r="B333" s="18"/>
      <c r="C333" s="18"/>
      <c r="D333" s="7"/>
      <c r="E333" s="326"/>
      <c r="V333" s="332"/>
      <c r="W333" s="1"/>
    </row>
    <row r="334" spans="1:23" ht="20.100000000000001" customHeight="1" x14ac:dyDescent="0.25">
      <c r="A334" s="18"/>
      <c r="B334" s="18"/>
      <c r="C334" s="18"/>
      <c r="D334" s="7"/>
      <c r="E334" s="326"/>
      <c r="V334" s="332"/>
      <c r="W334" s="7"/>
    </row>
    <row r="335" spans="1:23" ht="45" customHeight="1" x14ac:dyDescent="0.25">
      <c r="A335" s="18"/>
      <c r="B335" s="18"/>
      <c r="C335" s="18"/>
      <c r="D335" s="7"/>
      <c r="E335" s="326"/>
      <c r="F335" s="1479" t="s">
        <v>8623</v>
      </c>
      <c r="G335" s="1480"/>
      <c r="H335" s="1480"/>
      <c r="I335" s="1480"/>
      <c r="J335" s="1480"/>
      <c r="K335" s="1480"/>
      <c r="L335" s="1480"/>
      <c r="M335" s="1481"/>
      <c r="N335" s="333" t="str">
        <f ca="1">"Concentração"&amp;" "&amp;'Calculos(2)'!$BJ$3</f>
        <v>Concentração -</v>
      </c>
      <c r="O335" s="333" t="s">
        <v>6038</v>
      </c>
      <c r="P335" s="333" t="s">
        <v>8126</v>
      </c>
      <c r="Q335" s="333" t="s">
        <v>8028</v>
      </c>
      <c r="R335" s="333" t="s">
        <v>8603</v>
      </c>
      <c r="S335" s="333" t="s">
        <v>8127</v>
      </c>
      <c r="U335" s="328" t="s">
        <v>119</v>
      </c>
      <c r="V335" s="332"/>
      <c r="W335" s="1"/>
    </row>
    <row r="336" spans="1:23" ht="20.100000000000001" customHeight="1" x14ac:dyDescent="0.25">
      <c r="A336" s="18"/>
      <c r="B336" s="18"/>
      <c r="C336" s="18"/>
      <c r="D336" s="7"/>
      <c r="E336" s="326"/>
      <c r="F336" s="1482" t="str">
        <f ca="1">'Calculos(2)'!$BJ$4</f>
        <v>-</v>
      </c>
      <c r="G336" s="1483"/>
      <c r="H336" s="1483"/>
      <c r="I336" s="1484"/>
      <c r="J336" s="1472" t="s">
        <v>7103</v>
      </c>
      <c r="K336" s="1473"/>
      <c r="L336" s="1473"/>
      <c r="M336" s="1474"/>
      <c r="N336" s="334"/>
      <c r="O336" s="334"/>
      <c r="P336" s="335"/>
      <c r="Q336" s="335"/>
      <c r="R336" s="335">
        <v>0</v>
      </c>
      <c r="S336" s="331">
        <f>O336/2</f>
        <v>0</v>
      </c>
      <c r="U336" s="331" t="str">
        <f ca="1">'Calculos(2)'!BO$314</f>
        <v>-</v>
      </c>
      <c r="V336" s="332"/>
      <c r="W336" s="1"/>
    </row>
    <row r="337" spans="1:23" ht="20.100000000000001" customHeight="1" x14ac:dyDescent="0.25">
      <c r="A337" s="18"/>
      <c r="B337" s="18"/>
      <c r="C337" s="18"/>
      <c r="D337" s="7"/>
      <c r="E337" s="326"/>
      <c r="F337" s="1485"/>
      <c r="G337" s="1486"/>
      <c r="H337" s="1486"/>
      <c r="I337" s="1487"/>
      <c r="J337" s="1193" t="s">
        <v>8027</v>
      </c>
      <c r="K337" s="1194"/>
      <c r="L337" s="1194"/>
      <c r="M337" s="1491"/>
      <c r="N337" s="334"/>
      <c r="O337" s="334"/>
      <c r="P337" s="335"/>
      <c r="Q337" s="335"/>
      <c r="R337" s="335"/>
      <c r="U337" s="331" t="str">
        <f ca="1">'Calculos(2)'!BO$315</f>
        <v>-</v>
      </c>
      <c r="V337" s="332"/>
      <c r="W337" s="1"/>
    </row>
    <row r="338" spans="1:23" ht="20.100000000000001" customHeight="1" x14ac:dyDescent="0.25">
      <c r="A338" s="18"/>
      <c r="B338" s="18"/>
      <c r="C338" s="18"/>
      <c r="D338" s="7"/>
      <c r="E338" s="326"/>
      <c r="F338" s="1485"/>
      <c r="G338" s="1486"/>
      <c r="H338" s="1486"/>
      <c r="I338" s="1487"/>
      <c r="J338" s="1195"/>
      <c r="K338" s="1084"/>
      <c r="L338" s="1084"/>
      <c r="M338" s="1492"/>
      <c r="N338" s="334"/>
      <c r="O338" s="334"/>
      <c r="P338" s="335"/>
      <c r="Q338" s="335"/>
      <c r="R338" s="335"/>
      <c r="U338" s="331" t="str">
        <f ca="1">'Calculos(2)'!BO$316</f>
        <v>-</v>
      </c>
      <c r="V338" s="332"/>
      <c r="W338" s="1"/>
    </row>
    <row r="339" spans="1:23" ht="20.100000000000001" customHeight="1" x14ac:dyDescent="0.25">
      <c r="A339" s="18"/>
      <c r="B339" s="18"/>
      <c r="C339" s="18"/>
      <c r="D339" s="7"/>
      <c r="E339" s="326"/>
      <c r="F339" s="1485"/>
      <c r="G339" s="1486"/>
      <c r="H339" s="1486"/>
      <c r="I339" s="1487"/>
      <c r="J339" s="1195"/>
      <c r="K339" s="1084"/>
      <c r="L339" s="1084"/>
      <c r="M339" s="1492"/>
      <c r="N339" s="334"/>
      <c r="O339" s="334"/>
      <c r="P339" s="335"/>
      <c r="Q339" s="335"/>
      <c r="R339" s="335"/>
      <c r="U339" s="331" t="str">
        <f ca="1">'Calculos(2)'!BO$317</f>
        <v>-</v>
      </c>
      <c r="V339" s="332"/>
      <c r="W339" s="1"/>
    </row>
    <row r="340" spans="1:23" ht="20.100000000000001" customHeight="1" x14ac:dyDescent="0.25">
      <c r="A340" s="18"/>
      <c r="B340" s="18"/>
      <c r="C340" s="18"/>
      <c r="D340" s="7"/>
      <c r="E340" s="326"/>
      <c r="F340" s="1485"/>
      <c r="G340" s="1486"/>
      <c r="H340" s="1486"/>
      <c r="I340" s="1487"/>
      <c r="J340" s="1195"/>
      <c r="K340" s="1084"/>
      <c r="L340" s="1084"/>
      <c r="M340" s="1492"/>
      <c r="N340" s="334"/>
      <c r="O340" s="334"/>
      <c r="P340" s="335"/>
      <c r="Q340" s="335"/>
      <c r="R340" s="335"/>
      <c r="U340" s="331" t="str">
        <f ca="1">'Calculos(2)'!BO$318</f>
        <v>-</v>
      </c>
      <c r="V340" s="332"/>
      <c r="W340" s="1"/>
    </row>
    <row r="341" spans="1:23" ht="20.100000000000001" customHeight="1" x14ac:dyDescent="0.25">
      <c r="A341" s="18"/>
      <c r="B341" s="18"/>
      <c r="C341" s="18"/>
      <c r="D341" s="7"/>
      <c r="E341" s="326"/>
      <c r="F341" s="1485"/>
      <c r="G341" s="1486"/>
      <c r="H341" s="1486"/>
      <c r="I341" s="1487"/>
      <c r="J341" s="1195"/>
      <c r="K341" s="1084"/>
      <c r="L341" s="1084"/>
      <c r="M341" s="1492"/>
      <c r="N341" s="334"/>
      <c r="O341" s="334"/>
      <c r="P341" s="335"/>
      <c r="Q341" s="335"/>
      <c r="R341" s="335"/>
      <c r="U341" s="331" t="str">
        <f ca="1">'Calculos(2)'!BO$319</f>
        <v>-</v>
      </c>
      <c r="V341" s="332"/>
      <c r="W341" s="1"/>
    </row>
    <row r="342" spans="1:23" ht="20.100000000000001" customHeight="1" x14ac:dyDescent="0.25">
      <c r="A342" s="18"/>
      <c r="B342" s="18"/>
      <c r="C342" s="18"/>
      <c r="D342" s="7"/>
      <c r="E342" s="326"/>
      <c r="F342" s="1485"/>
      <c r="G342" s="1486"/>
      <c r="H342" s="1486"/>
      <c r="I342" s="1487"/>
      <c r="J342" s="1195"/>
      <c r="K342" s="1084"/>
      <c r="L342" s="1084"/>
      <c r="M342" s="1492"/>
      <c r="N342" s="334"/>
      <c r="O342" s="334"/>
      <c r="P342" s="335"/>
      <c r="Q342" s="335"/>
      <c r="R342" s="335"/>
      <c r="U342" s="331" t="str">
        <f ca="1">'Calculos(2)'!BO$320</f>
        <v>-</v>
      </c>
      <c r="V342" s="332"/>
      <c r="W342" s="1"/>
    </row>
    <row r="343" spans="1:23" ht="20.100000000000001" customHeight="1" x14ac:dyDescent="0.25">
      <c r="A343" s="18"/>
      <c r="B343" s="18"/>
      <c r="C343" s="18"/>
      <c r="D343" s="7"/>
      <c r="E343" s="326"/>
      <c r="F343" s="1485"/>
      <c r="G343" s="1486"/>
      <c r="H343" s="1486"/>
      <c r="I343" s="1487"/>
      <c r="J343" s="1195"/>
      <c r="K343" s="1084"/>
      <c r="L343" s="1084"/>
      <c r="M343" s="1492"/>
      <c r="N343" s="334"/>
      <c r="O343" s="334"/>
      <c r="P343" s="335"/>
      <c r="Q343" s="335"/>
      <c r="R343" s="335"/>
      <c r="U343" s="331" t="str">
        <f ca="1">'Calculos(2)'!BO$321</f>
        <v>-</v>
      </c>
      <c r="V343" s="332"/>
      <c r="W343" s="1"/>
    </row>
    <row r="344" spans="1:23" ht="20.100000000000001" customHeight="1" x14ac:dyDescent="0.25">
      <c r="A344" s="18"/>
      <c r="B344" s="18"/>
      <c r="C344" s="18"/>
      <c r="D344" s="7"/>
      <c r="E344" s="326"/>
      <c r="F344" s="1485"/>
      <c r="G344" s="1486"/>
      <c r="H344" s="1486"/>
      <c r="I344" s="1487"/>
      <c r="J344" s="1195"/>
      <c r="K344" s="1084"/>
      <c r="L344" s="1084"/>
      <c r="M344" s="1492"/>
      <c r="N344" s="334"/>
      <c r="O344" s="334"/>
      <c r="P344" s="335"/>
      <c r="Q344" s="335"/>
      <c r="R344" s="335"/>
      <c r="U344" s="331" t="str">
        <f ca="1">'Calculos(2)'!BO$322</f>
        <v>-</v>
      </c>
      <c r="V344" s="332"/>
      <c r="W344" s="1"/>
    </row>
    <row r="345" spans="1:23" ht="20.100000000000001" customHeight="1" x14ac:dyDescent="0.25">
      <c r="A345" s="18"/>
      <c r="B345" s="18"/>
      <c r="C345" s="18"/>
      <c r="D345" s="1"/>
      <c r="E345" s="326"/>
      <c r="F345" s="1485"/>
      <c r="G345" s="1486"/>
      <c r="H345" s="1486"/>
      <c r="I345" s="1487"/>
      <c r="J345" s="1195"/>
      <c r="K345" s="1084"/>
      <c r="L345" s="1084"/>
      <c r="M345" s="1492"/>
      <c r="N345" s="334"/>
      <c r="O345" s="334"/>
      <c r="P345" s="335"/>
      <c r="Q345" s="335"/>
      <c r="R345" s="335"/>
      <c r="U345" s="331" t="str">
        <f ca="1">'Calculos(2)'!BO$323</f>
        <v>-</v>
      </c>
      <c r="V345" s="332"/>
      <c r="W345" s="1"/>
    </row>
    <row r="346" spans="1:23" ht="20.100000000000001" customHeight="1" x14ac:dyDescent="0.25">
      <c r="A346" s="18"/>
      <c r="B346" s="18"/>
      <c r="C346" s="18"/>
      <c r="D346" s="1"/>
      <c r="E346" s="326"/>
      <c r="F346" s="1485"/>
      <c r="G346" s="1486"/>
      <c r="H346" s="1486"/>
      <c r="I346" s="1487"/>
      <c r="J346" s="1196"/>
      <c r="K346" s="1121"/>
      <c r="L346" s="1121"/>
      <c r="M346" s="1493"/>
      <c r="N346" s="334"/>
      <c r="O346" s="334"/>
      <c r="P346" s="335"/>
      <c r="Q346" s="335"/>
      <c r="R346" s="335"/>
      <c r="U346" s="331" t="str">
        <f ca="1">'Calculos(2)'!BO$324</f>
        <v>-</v>
      </c>
      <c r="V346" s="329"/>
      <c r="W346" s="1"/>
    </row>
    <row r="347" spans="1:23" ht="20.100000000000001" customHeight="1" x14ac:dyDescent="0.25">
      <c r="A347" s="18"/>
      <c r="B347" s="18"/>
      <c r="C347" s="18"/>
      <c r="D347" s="1"/>
      <c r="E347" s="326"/>
      <c r="F347" s="1488"/>
      <c r="G347" s="1489"/>
      <c r="H347" s="1489"/>
      <c r="I347" s="1490"/>
      <c r="J347" s="1472" t="s">
        <v>80</v>
      </c>
      <c r="K347" s="1473"/>
      <c r="L347" s="1473"/>
      <c r="M347" s="1474"/>
      <c r="N347" s="334"/>
      <c r="O347" s="334"/>
      <c r="P347" s="335"/>
      <c r="Q347" s="335"/>
      <c r="R347" s="335" t="s">
        <v>10</v>
      </c>
      <c r="U347" s="331" t="str">
        <f ca="1">'Calculos(2)'!BO$325</f>
        <v>-</v>
      </c>
      <c r="V347" s="329"/>
      <c r="W347" s="1"/>
    </row>
    <row r="348" spans="1:23" ht="20.100000000000001" customHeight="1" x14ac:dyDescent="0.25">
      <c r="A348" s="18"/>
      <c r="B348" s="18"/>
      <c r="C348" s="18"/>
      <c r="D348" s="1"/>
      <c r="E348" s="336"/>
      <c r="F348" s="337"/>
      <c r="G348" s="337"/>
      <c r="H348" s="337"/>
      <c r="I348" s="337"/>
      <c r="J348" s="337"/>
      <c r="K348" s="337"/>
      <c r="L348" s="337"/>
      <c r="M348" s="337"/>
      <c r="N348" s="337"/>
      <c r="O348" s="337"/>
      <c r="P348" s="337"/>
      <c r="Q348" s="337"/>
      <c r="R348" s="337"/>
      <c r="S348" s="337"/>
      <c r="T348" s="337"/>
      <c r="U348" s="337"/>
      <c r="V348" s="338"/>
      <c r="W348" s="1"/>
    </row>
    <row r="349" spans="1:23" ht="20.100000000000001" customHeight="1" x14ac:dyDescent="0.25">
      <c r="A349" s="18"/>
      <c r="B349" s="18"/>
      <c r="C349" s="18"/>
      <c r="D349" s="1"/>
      <c r="E349" s="1"/>
      <c r="F349" s="1"/>
      <c r="G349" s="1"/>
      <c r="H349" s="1"/>
      <c r="I349" s="1"/>
      <c r="J349" s="1"/>
      <c r="K349" s="1"/>
      <c r="L349" s="1"/>
      <c r="M349" s="1"/>
      <c r="N349" s="1"/>
      <c r="O349" s="1"/>
      <c r="P349" s="1"/>
      <c r="Q349" s="1"/>
      <c r="R349" s="1"/>
      <c r="S349" s="1"/>
      <c r="T349" s="1"/>
      <c r="U349" s="1"/>
      <c r="V349" s="1"/>
      <c r="W349" s="1"/>
    </row>
    <row r="350" spans="1:23" ht="20.100000000000001" customHeight="1" x14ac:dyDescent="0.25">
      <c r="A350" s="18"/>
      <c r="B350" s="18"/>
      <c r="C350" s="18"/>
      <c r="D350" s="1"/>
      <c r="E350" s="1"/>
      <c r="F350" s="1"/>
      <c r="G350" s="1"/>
      <c r="H350" s="1"/>
      <c r="I350" s="1"/>
      <c r="J350" s="1"/>
      <c r="K350" s="1"/>
      <c r="L350" s="1"/>
      <c r="M350" s="1"/>
      <c r="N350" s="1"/>
      <c r="O350" s="1"/>
      <c r="P350" s="1"/>
      <c r="Q350" s="1"/>
      <c r="R350" s="1"/>
      <c r="S350" s="1"/>
      <c r="T350" s="1"/>
      <c r="U350" s="1"/>
      <c r="V350" s="1"/>
      <c r="W350" s="1"/>
    </row>
    <row r="351" spans="1:23" ht="20.100000000000001" customHeight="1" x14ac:dyDescent="0.25">
      <c r="A351" s="18"/>
      <c r="B351" s="18"/>
      <c r="C351" s="18"/>
      <c r="D351" s="1"/>
      <c r="E351" s="1"/>
      <c r="F351" s="1"/>
      <c r="G351" s="1"/>
      <c r="H351" s="1"/>
      <c r="I351" s="1"/>
      <c r="J351" s="1"/>
      <c r="K351" s="1"/>
      <c r="L351" s="1"/>
      <c r="M351" s="1"/>
      <c r="N351" s="1"/>
      <c r="O351" s="1"/>
      <c r="P351" s="1"/>
      <c r="Q351" s="1"/>
      <c r="R351" s="1"/>
      <c r="S351" s="1"/>
      <c r="T351" s="1"/>
      <c r="U351" s="1"/>
      <c r="V351" s="1"/>
      <c r="W351" s="1"/>
    </row>
    <row r="352" spans="1:23" ht="20.100000000000001" customHeight="1" x14ac:dyDescent="0.25">
      <c r="A352" s="18"/>
      <c r="B352" s="18"/>
      <c r="C352" s="18"/>
      <c r="D352" s="1"/>
      <c r="E352" s="1"/>
      <c r="F352" s="1"/>
      <c r="G352" s="1"/>
      <c r="H352" s="1"/>
      <c r="I352" s="1"/>
      <c r="J352" s="1"/>
      <c r="K352" s="1"/>
      <c r="L352" s="1"/>
      <c r="M352" s="1"/>
      <c r="N352" s="1"/>
      <c r="O352" s="1"/>
      <c r="P352" s="1"/>
      <c r="Q352" s="1"/>
      <c r="R352" s="1"/>
      <c r="S352" s="1"/>
      <c r="T352" s="1"/>
      <c r="U352" s="1"/>
      <c r="V352" s="1"/>
      <c r="W352" s="1"/>
    </row>
    <row r="353" spans="1:23" ht="50.1" customHeight="1" x14ac:dyDescent="0.25">
      <c r="A353" s="343"/>
      <c r="B353" s="343"/>
      <c r="C353" s="343"/>
      <c r="D353" s="344"/>
      <c r="E353" s="344"/>
      <c r="F353" s="344"/>
      <c r="G353" s="344"/>
      <c r="H353" s="344"/>
      <c r="I353" s="344"/>
      <c r="J353" s="344"/>
      <c r="K353" s="344"/>
      <c r="L353" s="344"/>
      <c r="M353" s="344"/>
      <c r="N353" s="344"/>
      <c r="O353" s="343"/>
      <c r="P353" s="345" t="s">
        <v>8029</v>
      </c>
      <c r="Q353" s="344"/>
      <c r="R353" s="344"/>
      <c r="S353" s="344"/>
      <c r="T353" s="343"/>
      <c r="U353" s="344"/>
      <c r="V353" s="344"/>
      <c r="W353" s="344"/>
    </row>
    <row r="354" spans="1:23" ht="20.100000000000001" customHeight="1" x14ac:dyDescent="0.25">
      <c r="A354" s="18"/>
      <c r="B354" s="18"/>
      <c r="C354" s="18"/>
      <c r="D354" s="7"/>
      <c r="E354" s="7"/>
      <c r="F354" s="7"/>
      <c r="G354" s="7"/>
      <c r="H354" s="7"/>
      <c r="I354" s="7"/>
      <c r="J354" s="7"/>
      <c r="K354" s="7"/>
      <c r="L354" s="7"/>
      <c r="M354" s="7"/>
      <c r="N354" s="7"/>
      <c r="O354" s="7"/>
      <c r="P354" s="7"/>
      <c r="Q354" s="7"/>
      <c r="R354" s="7"/>
      <c r="S354" s="7"/>
      <c r="T354" s="7"/>
      <c r="U354" s="7"/>
      <c r="V354" s="7"/>
      <c r="W354" s="7"/>
    </row>
    <row r="355" spans="1:23" ht="50.1" customHeight="1" x14ac:dyDescent="0.25">
      <c r="A355" s="18"/>
      <c r="B355" s="18"/>
      <c r="C355" s="18"/>
      <c r="D355" s="7"/>
      <c r="E355" s="7"/>
      <c r="F355" s="346"/>
      <c r="G355" s="346"/>
      <c r="H355" s="346"/>
      <c r="I355" s="346"/>
      <c r="J355" s="346"/>
      <c r="K355" s="346"/>
      <c r="L355" s="346"/>
      <c r="M355" s="346"/>
      <c r="N355" s="346"/>
      <c r="O355" s="346"/>
      <c r="P355" s="347" t="s">
        <v>8110</v>
      </c>
      <c r="Q355" s="346"/>
      <c r="R355" s="346"/>
      <c r="S355" s="346"/>
      <c r="T355" s="346"/>
      <c r="U355" s="346"/>
      <c r="V355" s="346"/>
      <c r="W355" s="348"/>
    </row>
    <row r="356" spans="1:23" ht="20.100000000000001" customHeight="1" x14ac:dyDescent="0.25">
      <c r="A356" s="18"/>
      <c r="B356" s="18"/>
      <c r="C356" s="18"/>
      <c r="D356" s="7"/>
      <c r="E356" s="7"/>
      <c r="F356" s="1"/>
      <c r="G356" s="1"/>
      <c r="H356" s="1"/>
      <c r="I356" s="1"/>
      <c r="J356" s="1"/>
      <c r="K356" s="1"/>
      <c r="L356" s="1"/>
      <c r="M356" s="1"/>
      <c r="N356" s="316"/>
      <c r="O356" s="1"/>
      <c r="P356" s="1"/>
      <c r="Q356" s="1"/>
      <c r="R356" s="1"/>
      <c r="S356" s="1"/>
      <c r="T356" s="1"/>
      <c r="U356" s="1"/>
      <c r="V356" s="1"/>
      <c r="W356" s="7"/>
    </row>
    <row r="357" spans="1:23" ht="20.100000000000001" customHeight="1" x14ac:dyDescent="0.25">
      <c r="A357" s="18"/>
      <c r="B357" s="18"/>
      <c r="C357" s="18"/>
      <c r="D357" s="7"/>
      <c r="E357" s="321"/>
      <c r="F357" s="322"/>
      <c r="G357" s="323"/>
      <c r="H357" s="323"/>
      <c r="I357" s="323"/>
      <c r="J357" s="323"/>
      <c r="K357" s="323"/>
      <c r="L357" s="323"/>
      <c r="M357" s="323"/>
      <c r="N357" s="323"/>
      <c r="O357" s="323"/>
      <c r="P357" s="340"/>
      <c r="Q357" s="323"/>
      <c r="R357" s="323"/>
      <c r="S357" s="323"/>
      <c r="T357" s="339"/>
      <c r="U357" s="323"/>
      <c r="V357" s="325"/>
      <c r="W357" s="7"/>
    </row>
    <row r="358" spans="1:23" ht="45" customHeight="1" x14ac:dyDescent="0.25">
      <c r="A358" s="18"/>
      <c r="B358" s="18"/>
      <c r="C358" s="18"/>
      <c r="D358" s="7"/>
      <c r="E358" s="326"/>
      <c r="F358" s="1494" t="s">
        <v>8604</v>
      </c>
      <c r="G358" s="1495"/>
      <c r="H358" s="1495"/>
      <c r="I358" s="1495"/>
      <c r="J358" s="1495"/>
      <c r="K358" s="1495"/>
      <c r="L358" s="1495"/>
      <c r="M358" s="1496"/>
      <c r="N358" s="327" t="str">
        <f ca="1">"Concentração"&amp;" "&amp;'Calculos(2)'!$BJ$3</f>
        <v>Concentração -</v>
      </c>
      <c r="O358" s="327" t="s">
        <v>6038</v>
      </c>
      <c r="P358" s="327" t="s">
        <v>8126</v>
      </c>
      <c r="Q358" s="327" t="s">
        <v>8028</v>
      </c>
      <c r="R358" s="327" t="s">
        <v>8603</v>
      </c>
      <c r="S358" s="327" t="s">
        <v>8127</v>
      </c>
      <c r="U358" s="328" t="s">
        <v>119</v>
      </c>
      <c r="V358" s="332"/>
      <c r="W358" s="1"/>
    </row>
    <row r="359" spans="1:23" ht="20.100000000000001" customHeight="1" x14ac:dyDescent="0.25">
      <c r="A359" s="18"/>
      <c r="B359" s="18"/>
      <c r="C359" s="18"/>
      <c r="D359" s="7"/>
      <c r="E359" s="326"/>
      <c r="F359" s="1482" t="str">
        <f ca="1">'Calculos(2)'!$BJ$5</f>
        <v>-</v>
      </c>
      <c r="G359" s="1483"/>
      <c r="H359" s="1483"/>
      <c r="I359" s="1484"/>
      <c r="J359" s="1472" t="s">
        <v>7103</v>
      </c>
      <c r="K359" s="1473"/>
      <c r="L359" s="1473"/>
      <c r="M359" s="1474"/>
      <c r="N359" s="188"/>
      <c r="O359" s="188"/>
      <c r="P359" s="330"/>
      <c r="Q359" s="330"/>
      <c r="R359" s="187">
        <v>0</v>
      </c>
      <c r="S359" s="331">
        <f>O359/2</f>
        <v>0</v>
      </c>
      <c r="U359" s="331" t="str">
        <f ca="1">'Calculos(2)'!BZ$10</f>
        <v>-</v>
      </c>
      <c r="V359" s="332"/>
      <c r="W359" s="1"/>
    </row>
    <row r="360" spans="1:23" ht="20.100000000000001" customHeight="1" x14ac:dyDescent="0.25">
      <c r="A360" s="18"/>
      <c r="B360" s="18"/>
      <c r="C360" s="18"/>
      <c r="D360" s="7"/>
      <c r="E360" s="326"/>
      <c r="F360" s="1485"/>
      <c r="G360" s="1486"/>
      <c r="H360" s="1486"/>
      <c r="I360" s="1487"/>
      <c r="J360" s="1193" t="s">
        <v>8027</v>
      </c>
      <c r="K360" s="1194"/>
      <c r="L360" s="1194"/>
      <c r="M360" s="1491"/>
      <c r="N360" s="188"/>
      <c r="O360" s="188"/>
      <c r="P360" s="330"/>
      <c r="Q360" s="330"/>
      <c r="R360" s="187"/>
      <c r="U360" s="331" t="str">
        <f ca="1">'Calculos(2)'!BZ$11</f>
        <v>-</v>
      </c>
      <c r="V360" s="332"/>
      <c r="W360" s="1"/>
    </row>
    <row r="361" spans="1:23" ht="20.100000000000001" customHeight="1" x14ac:dyDescent="0.25">
      <c r="A361" s="18"/>
      <c r="B361" s="18"/>
      <c r="C361" s="18"/>
      <c r="D361" s="7"/>
      <c r="E361" s="326"/>
      <c r="F361" s="1485"/>
      <c r="G361" s="1486"/>
      <c r="H361" s="1486"/>
      <c r="I361" s="1487"/>
      <c r="J361" s="1195"/>
      <c r="K361" s="1084"/>
      <c r="L361" s="1084"/>
      <c r="M361" s="1492"/>
      <c r="N361" s="188"/>
      <c r="O361" s="188"/>
      <c r="P361" s="330"/>
      <c r="Q361" s="330"/>
      <c r="R361" s="187"/>
      <c r="U361" s="331" t="str">
        <f ca="1">'Calculos(2)'!BZ$12</f>
        <v>-</v>
      </c>
      <c r="V361" s="332"/>
      <c r="W361" s="1"/>
    </row>
    <row r="362" spans="1:23" ht="20.100000000000001" customHeight="1" x14ac:dyDescent="0.25">
      <c r="A362" s="18"/>
      <c r="B362" s="18"/>
      <c r="C362" s="18"/>
      <c r="D362" s="7"/>
      <c r="E362" s="326"/>
      <c r="F362" s="1485"/>
      <c r="G362" s="1486"/>
      <c r="H362" s="1486"/>
      <c r="I362" s="1487"/>
      <c r="J362" s="1195"/>
      <c r="K362" s="1084"/>
      <c r="L362" s="1084"/>
      <c r="M362" s="1492"/>
      <c r="N362" s="188"/>
      <c r="O362" s="188"/>
      <c r="P362" s="330"/>
      <c r="Q362" s="330"/>
      <c r="R362" s="187"/>
      <c r="U362" s="331" t="str">
        <f ca="1">'Calculos(2)'!BZ$13</f>
        <v>-</v>
      </c>
      <c r="V362" s="332"/>
      <c r="W362" s="1"/>
    </row>
    <row r="363" spans="1:23" ht="20.100000000000001" customHeight="1" x14ac:dyDescent="0.25">
      <c r="A363" s="18"/>
      <c r="B363" s="18"/>
      <c r="C363" s="18"/>
      <c r="D363" s="7"/>
      <c r="E363" s="326"/>
      <c r="F363" s="1485"/>
      <c r="G363" s="1486"/>
      <c r="H363" s="1486"/>
      <c r="I363" s="1487"/>
      <c r="J363" s="1195"/>
      <c r="K363" s="1084"/>
      <c r="L363" s="1084"/>
      <c r="M363" s="1492"/>
      <c r="N363" s="188"/>
      <c r="O363" s="188"/>
      <c r="P363" s="330"/>
      <c r="Q363" s="330"/>
      <c r="R363" s="187"/>
      <c r="U363" s="331" t="str">
        <f ca="1">'Calculos(2)'!BZ$14</f>
        <v>-</v>
      </c>
      <c r="V363" s="332"/>
      <c r="W363" s="1"/>
    </row>
    <row r="364" spans="1:23" ht="20.100000000000001" customHeight="1" x14ac:dyDescent="0.25">
      <c r="A364" s="18"/>
      <c r="B364" s="18"/>
      <c r="C364" s="18"/>
      <c r="D364" s="7"/>
      <c r="E364" s="326"/>
      <c r="F364" s="1485"/>
      <c r="G364" s="1486"/>
      <c r="H364" s="1486"/>
      <c r="I364" s="1487"/>
      <c r="J364" s="1195"/>
      <c r="K364" s="1084"/>
      <c r="L364" s="1084"/>
      <c r="M364" s="1492"/>
      <c r="N364" s="188"/>
      <c r="O364" s="188"/>
      <c r="P364" s="330"/>
      <c r="Q364" s="330"/>
      <c r="R364" s="187"/>
      <c r="U364" s="331" t="str">
        <f ca="1">'Calculos(2)'!BZ$15</f>
        <v>-</v>
      </c>
      <c r="V364" s="332"/>
      <c r="W364" s="1"/>
    </row>
    <row r="365" spans="1:23" ht="20.100000000000001" customHeight="1" x14ac:dyDescent="0.25">
      <c r="A365" s="18"/>
      <c r="B365" s="18"/>
      <c r="C365" s="18"/>
      <c r="D365" s="7"/>
      <c r="E365" s="326"/>
      <c r="F365" s="1485"/>
      <c r="G365" s="1486"/>
      <c r="H365" s="1486"/>
      <c r="I365" s="1487"/>
      <c r="J365" s="1195"/>
      <c r="K365" s="1084"/>
      <c r="L365" s="1084"/>
      <c r="M365" s="1492"/>
      <c r="N365" s="188"/>
      <c r="O365" s="188"/>
      <c r="P365" s="330"/>
      <c r="Q365" s="330"/>
      <c r="R365" s="187"/>
      <c r="U365" s="331" t="str">
        <f ca="1">'Calculos(2)'!BZ$16</f>
        <v>-</v>
      </c>
      <c r="V365" s="332"/>
      <c r="W365" s="1"/>
    </row>
    <row r="366" spans="1:23" ht="20.100000000000001" customHeight="1" x14ac:dyDescent="0.25">
      <c r="A366" s="18"/>
      <c r="B366" s="18"/>
      <c r="C366" s="18"/>
      <c r="D366" s="7"/>
      <c r="E366" s="326"/>
      <c r="F366" s="1485"/>
      <c r="G366" s="1486"/>
      <c r="H366" s="1486"/>
      <c r="I366" s="1487"/>
      <c r="J366" s="1195"/>
      <c r="K366" s="1084"/>
      <c r="L366" s="1084"/>
      <c r="M366" s="1492"/>
      <c r="N366" s="188"/>
      <c r="O366" s="188"/>
      <c r="P366" s="330"/>
      <c r="Q366" s="330"/>
      <c r="R366" s="187"/>
      <c r="U366" s="331" t="str">
        <f ca="1">'Calculos(2)'!BZ$17</f>
        <v>-</v>
      </c>
      <c r="V366" s="332"/>
      <c r="W366" s="1"/>
    </row>
    <row r="367" spans="1:23" ht="20.100000000000001" customHeight="1" x14ac:dyDescent="0.25">
      <c r="A367" s="18"/>
      <c r="B367" s="18"/>
      <c r="C367" s="18"/>
      <c r="D367" s="7"/>
      <c r="E367" s="326"/>
      <c r="F367" s="1485"/>
      <c r="G367" s="1486"/>
      <c r="H367" s="1486"/>
      <c r="I367" s="1487"/>
      <c r="J367" s="1195"/>
      <c r="K367" s="1084"/>
      <c r="L367" s="1084"/>
      <c r="M367" s="1492"/>
      <c r="N367" s="188"/>
      <c r="O367" s="188"/>
      <c r="P367" s="330"/>
      <c r="Q367" s="330"/>
      <c r="R367" s="187"/>
      <c r="U367" s="331" t="str">
        <f ca="1">'Calculos(2)'!BZ$18</f>
        <v>-</v>
      </c>
      <c r="V367" s="332"/>
      <c r="W367" s="1"/>
    </row>
    <row r="368" spans="1:23" ht="20.100000000000001" customHeight="1" x14ac:dyDescent="0.25">
      <c r="A368" s="18"/>
      <c r="B368" s="18"/>
      <c r="C368" s="18"/>
      <c r="D368" s="7"/>
      <c r="E368" s="326"/>
      <c r="F368" s="1485"/>
      <c r="G368" s="1486"/>
      <c r="H368" s="1486"/>
      <c r="I368" s="1487"/>
      <c r="J368" s="1195"/>
      <c r="K368" s="1084"/>
      <c r="L368" s="1084"/>
      <c r="M368" s="1492"/>
      <c r="N368" s="188"/>
      <c r="O368" s="188"/>
      <c r="P368" s="330"/>
      <c r="Q368" s="330"/>
      <c r="R368" s="187"/>
      <c r="U368" s="331" t="str">
        <f ca="1">'Calculos(2)'!BZ$19</f>
        <v>-</v>
      </c>
      <c r="V368" s="332"/>
      <c r="W368" s="1"/>
    </row>
    <row r="369" spans="1:23" ht="20.100000000000001" customHeight="1" x14ac:dyDescent="0.25">
      <c r="A369" s="18"/>
      <c r="B369" s="18"/>
      <c r="C369" s="18"/>
      <c r="D369" s="7"/>
      <c r="E369" s="326"/>
      <c r="F369" s="1485"/>
      <c r="G369" s="1486"/>
      <c r="H369" s="1486"/>
      <c r="I369" s="1487"/>
      <c r="J369" s="1196"/>
      <c r="K369" s="1121"/>
      <c r="L369" s="1121"/>
      <c r="M369" s="1493"/>
      <c r="N369" s="188"/>
      <c r="O369" s="188"/>
      <c r="P369" s="330"/>
      <c r="Q369" s="330"/>
      <c r="R369" s="187"/>
      <c r="U369" s="331" t="str">
        <f ca="1">'Calculos(2)'!BZ$20</f>
        <v>-</v>
      </c>
      <c r="V369" s="332"/>
      <c r="W369" s="1"/>
    </row>
    <row r="370" spans="1:23" ht="20.100000000000001" customHeight="1" x14ac:dyDescent="0.25">
      <c r="A370" s="18"/>
      <c r="B370" s="18"/>
      <c r="C370" s="18"/>
      <c r="D370" s="7"/>
      <c r="E370" s="326"/>
      <c r="F370" s="1488"/>
      <c r="G370" s="1489"/>
      <c r="H370" s="1489"/>
      <c r="I370" s="1490"/>
      <c r="J370" s="1472" t="s">
        <v>80</v>
      </c>
      <c r="K370" s="1473"/>
      <c r="L370" s="1473"/>
      <c r="M370" s="1474"/>
      <c r="N370" s="188"/>
      <c r="O370" s="188"/>
      <c r="P370" s="330"/>
      <c r="Q370" s="330"/>
      <c r="R370" s="187" t="s">
        <v>10</v>
      </c>
      <c r="U370" s="331" t="str">
        <f ca="1">'Calculos(2)'!BZ$21</f>
        <v>-</v>
      </c>
      <c r="V370" s="332"/>
      <c r="W370" s="1"/>
    </row>
    <row r="371" spans="1:23" ht="20.100000000000001" customHeight="1" x14ac:dyDescent="0.25">
      <c r="A371" s="18"/>
      <c r="B371" s="18"/>
      <c r="C371" s="18"/>
      <c r="D371" s="7"/>
      <c r="E371" s="326"/>
      <c r="V371" s="332"/>
      <c r="W371" s="1"/>
    </row>
    <row r="372" spans="1:23" ht="20.100000000000001" hidden="1" customHeight="1" x14ac:dyDescent="0.25">
      <c r="A372" s="18"/>
      <c r="B372" s="18"/>
      <c r="C372" s="18"/>
      <c r="D372" s="7"/>
      <c r="E372" s="326"/>
      <c r="V372" s="332"/>
      <c r="W372" s="1"/>
    </row>
    <row r="373" spans="1:23" ht="20.100000000000001" hidden="1" customHeight="1" x14ac:dyDescent="0.25">
      <c r="A373" s="18"/>
      <c r="B373" s="18"/>
      <c r="C373" s="18"/>
      <c r="D373" s="7"/>
      <c r="E373" s="326"/>
      <c r="V373" s="332"/>
      <c r="W373" s="1"/>
    </row>
    <row r="374" spans="1:23" ht="20.100000000000001" customHeight="1" x14ac:dyDescent="0.25">
      <c r="A374" s="18"/>
      <c r="B374" s="18"/>
      <c r="C374" s="18"/>
      <c r="D374" s="7"/>
      <c r="E374" s="326"/>
      <c r="V374" s="332"/>
      <c r="W374" s="1"/>
    </row>
    <row r="375" spans="1:23" ht="45" customHeight="1" x14ac:dyDescent="0.25">
      <c r="A375" s="18"/>
      <c r="B375" s="18"/>
      <c r="C375" s="18"/>
      <c r="D375" s="7"/>
      <c r="E375" s="326"/>
      <c r="F375" s="1479" t="s">
        <v>8605</v>
      </c>
      <c r="G375" s="1480"/>
      <c r="H375" s="1480"/>
      <c r="I375" s="1480"/>
      <c r="J375" s="1480"/>
      <c r="K375" s="1480"/>
      <c r="L375" s="1480"/>
      <c r="M375" s="1481"/>
      <c r="N375" s="333" t="str">
        <f ca="1">"Concentração"&amp;" "&amp;'Calculos(2)'!$BJ$3</f>
        <v>Concentração -</v>
      </c>
      <c r="O375" s="333" t="s">
        <v>6038</v>
      </c>
      <c r="P375" s="333" t="s">
        <v>8126</v>
      </c>
      <c r="Q375" s="333" t="s">
        <v>8028</v>
      </c>
      <c r="R375" s="333" t="s">
        <v>8603</v>
      </c>
      <c r="S375" s="333" t="s">
        <v>8127</v>
      </c>
      <c r="U375" s="328" t="s">
        <v>119</v>
      </c>
      <c r="V375" s="332"/>
      <c r="W375" s="1"/>
    </row>
    <row r="376" spans="1:23" ht="20.100000000000001" customHeight="1" x14ac:dyDescent="0.25">
      <c r="A376" s="18"/>
      <c r="B376" s="18"/>
      <c r="C376" s="18"/>
      <c r="D376" s="7"/>
      <c r="E376" s="326"/>
      <c r="F376" s="1482" t="str">
        <f ca="1">'Calculos(2)'!$BJ$5</f>
        <v>-</v>
      </c>
      <c r="G376" s="1483"/>
      <c r="H376" s="1483"/>
      <c r="I376" s="1484"/>
      <c r="J376" s="1472" t="s">
        <v>7103</v>
      </c>
      <c r="K376" s="1473"/>
      <c r="L376" s="1473"/>
      <c r="M376" s="1474"/>
      <c r="N376" s="334"/>
      <c r="O376" s="334"/>
      <c r="P376" s="335"/>
      <c r="Q376" s="335"/>
      <c r="R376" s="335">
        <v>0</v>
      </c>
      <c r="S376" s="331">
        <f>O376/2</f>
        <v>0</v>
      </c>
      <c r="U376" s="331" t="str">
        <f ca="1">'Calculos(2)'!BZ$26</f>
        <v>-</v>
      </c>
      <c r="V376" s="332"/>
      <c r="W376" s="1"/>
    </row>
    <row r="377" spans="1:23" ht="20.100000000000001" customHeight="1" x14ac:dyDescent="0.25">
      <c r="A377" s="18"/>
      <c r="B377" s="18"/>
      <c r="C377" s="18"/>
      <c r="D377" s="7"/>
      <c r="E377" s="326"/>
      <c r="F377" s="1485"/>
      <c r="G377" s="1486"/>
      <c r="H377" s="1486"/>
      <c r="I377" s="1487"/>
      <c r="J377" s="1193" t="s">
        <v>8027</v>
      </c>
      <c r="K377" s="1194"/>
      <c r="L377" s="1194"/>
      <c r="M377" s="1491"/>
      <c r="N377" s="334"/>
      <c r="O377" s="334"/>
      <c r="P377" s="335"/>
      <c r="Q377" s="335"/>
      <c r="R377" s="335"/>
      <c r="U377" s="331" t="str">
        <f ca="1">'Calculos(2)'!BZ$27</f>
        <v>-</v>
      </c>
      <c r="V377" s="332"/>
      <c r="W377" s="1"/>
    </row>
    <row r="378" spans="1:23" ht="20.100000000000001" customHeight="1" x14ac:dyDescent="0.25">
      <c r="A378" s="18"/>
      <c r="B378" s="18"/>
      <c r="C378" s="18"/>
      <c r="D378" s="7"/>
      <c r="E378" s="326"/>
      <c r="F378" s="1485"/>
      <c r="G378" s="1486"/>
      <c r="H378" s="1486"/>
      <c r="I378" s="1487"/>
      <c r="J378" s="1195"/>
      <c r="K378" s="1084"/>
      <c r="L378" s="1084"/>
      <c r="M378" s="1492"/>
      <c r="N378" s="334"/>
      <c r="O378" s="334"/>
      <c r="P378" s="335"/>
      <c r="Q378" s="335"/>
      <c r="R378" s="335"/>
      <c r="U378" s="331" t="str">
        <f ca="1">'Calculos(2)'!BZ$28</f>
        <v>-</v>
      </c>
      <c r="V378" s="332"/>
      <c r="W378" s="1"/>
    </row>
    <row r="379" spans="1:23" ht="20.100000000000001" customHeight="1" x14ac:dyDescent="0.25">
      <c r="A379" s="18"/>
      <c r="B379" s="18"/>
      <c r="C379" s="18"/>
      <c r="D379" s="7"/>
      <c r="E379" s="326"/>
      <c r="F379" s="1485"/>
      <c r="G379" s="1486"/>
      <c r="H379" s="1486"/>
      <c r="I379" s="1487"/>
      <c r="J379" s="1195"/>
      <c r="K379" s="1084"/>
      <c r="L379" s="1084"/>
      <c r="M379" s="1492"/>
      <c r="N379" s="334"/>
      <c r="O379" s="334"/>
      <c r="P379" s="335"/>
      <c r="Q379" s="335"/>
      <c r="R379" s="335"/>
      <c r="U379" s="331" t="str">
        <f ca="1">'Calculos(2)'!BZ$29</f>
        <v>-</v>
      </c>
      <c r="V379" s="332"/>
      <c r="W379" s="1"/>
    </row>
    <row r="380" spans="1:23" ht="20.100000000000001" customHeight="1" x14ac:dyDescent="0.25">
      <c r="A380" s="18"/>
      <c r="B380" s="18"/>
      <c r="C380" s="18"/>
      <c r="D380" s="7"/>
      <c r="E380" s="326"/>
      <c r="F380" s="1485"/>
      <c r="G380" s="1486"/>
      <c r="H380" s="1486"/>
      <c r="I380" s="1487"/>
      <c r="J380" s="1195"/>
      <c r="K380" s="1084"/>
      <c r="L380" s="1084"/>
      <c r="M380" s="1492"/>
      <c r="N380" s="334"/>
      <c r="O380" s="334"/>
      <c r="P380" s="335"/>
      <c r="Q380" s="335"/>
      <c r="R380" s="335"/>
      <c r="U380" s="331" t="str">
        <f ca="1">'Calculos(2)'!BZ$30</f>
        <v>-</v>
      </c>
      <c r="V380" s="332"/>
      <c r="W380" s="1"/>
    </row>
    <row r="381" spans="1:23" ht="20.100000000000001" customHeight="1" x14ac:dyDescent="0.25">
      <c r="A381" s="18"/>
      <c r="B381" s="18"/>
      <c r="C381" s="18"/>
      <c r="D381" s="7"/>
      <c r="E381" s="326"/>
      <c r="F381" s="1485"/>
      <c r="G381" s="1486"/>
      <c r="H381" s="1486"/>
      <c r="I381" s="1487"/>
      <c r="J381" s="1195"/>
      <c r="K381" s="1084"/>
      <c r="L381" s="1084"/>
      <c r="M381" s="1492"/>
      <c r="N381" s="334"/>
      <c r="O381" s="334"/>
      <c r="P381" s="335"/>
      <c r="Q381" s="335"/>
      <c r="R381" s="335"/>
      <c r="U381" s="331" t="str">
        <f ca="1">'Calculos(2)'!BZ$31</f>
        <v>-</v>
      </c>
      <c r="V381" s="332"/>
      <c r="W381" s="1"/>
    </row>
    <row r="382" spans="1:23" ht="20.100000000000001" customHeight="1" x14ac:dyDescent="0.25">
      <c r="A382" s="18"/>
      <c r="B382" s="18"/>
      <c r="C382" s="18"/>
      <c r="D382" s="7"/>
      <c r="E382" s="326"/>
      <c r="F382" s="1485"/>
      <c r="G382" s="1486"/>
      <c r="H382" s="1486"/>
      <c r="I382" s="1487"/>
      <c r="J382" s="1195"/>
      <c r="K382" s="1084"/>
      <c r="L382" s="1084"/>
      <c r="M382" s="1492"/>
      <c r="N382" s="334"/>
      <c r="O382" s="334"/>
      <c r="P382" s="335"/>
      <c r="Q382" s="335"/>
      <c r="R382" s="335"/>
      <c r="U382" s="331" t="str">
        <f ca="1">'Calculos(2)'!BZ$32</f>
        <v>-</v>
      </c>
      <c r="V382" s="332"/>
      <c r="W382" s="1"/>
    </row>
    <row r="383" spans="1:23" ht="20.100000000000001" customHeight="1" x14ac:dyDescent="0.25">
      <c r="A383" s="18"/>
      <c r="B383" s="18"/>
      <c r="C383" s="18"/>
      <c r="D383" s="7"/>
      <c r="E383" s="326"/>
      <c r="F383" s="1485"/>
      <c r="G383" s="1486"/>
      <c r="H383" s="1486"/>
      <c r="I383" s="1487"/>
      <c r="J383" s="1195"/>
      <c r="K383" s="1084"/>
      <c r="L383" s="1084"/>
      <c r="M383" s="1492"/>
      <c r="N383" s="334"/>
      <c r="O383" s="334"/>
      <c r="P383" s="335"/>
      <c r="Q383" s="335"/>
      <c r="R383" s="335"/>
      <c r="U383" s="331" t="str">
        <f ca="1">'Calculos(2)'!BZ$33</f>
        <v>-</v>
      </c>
      <c r="V383" s="332"/>
      <c r="W383" s="1"/>
    </row>
    <row r="384" spans="1:23" ht="20.100000000000001" customHeight="1" x14ac:dyDescent="0.25">
      <c r="A384" s="18"/>
      <c r="B384" s="18"/>
      <c r="C384" s="18"/>
      <c r="D384" s="7"/>
      <c r="E384" s="326"/>
      <c r="F384" s="1485"/>
      <c r="G384" s="1486"/>
      <c r="H384" s="1486"/>
      <c r="I384" s="1487"/>
      <c r="J384" s="1195"/>
      <c r="K384" s="1084"/>
      <c r="L384" s="1084"/>
      <c r="M384" s="1492"/>
      <c r="N384" s="334"/>
      <c r="O384" s="334"/>
      <c r="P384" s="335"/>
      <c r="Q384" s="335"/>
      <c r="R384" s="335"/>
      <c r="U384" s="331" t="str">
        <f ca="1">'Calculos(2)'!BZ$34</f>
        <v>-</v>
      </c>
      <c r="V384" s="332"/>
      <c r="W384" s="1"/>
    </row>
    <row r="385" spans="1:23" ht="20.100000000000001" customHeight="1" x14ac:dyDescent="0.25">
      <c r="A385" s="18"/>
      <c r="B385" s="18"/>
      <c r="C385" s="18"/>
      <c r="D385" s="7"/>
      <c r="E385" s="326"/>
      <c r="F385" s="1485"/>
      <c r="G385" s="1486"/>
      <c r="H385" s="1486"/>
      <c r="I385" s="1487"/>
      <c r="J385" s="1195"/>
      <c r="K385" s="1084"/>
      <c r="L385" s="1084"/>
      <c r="M385" s="1492"/>
      <c r="N385" s="334"/>
      <c r="O385" s="334"/>
      <c r="P385" s="335"/>
      <c r="Q385" s="335"/>
      <c r="R385" s="335"/>
      <c r="U385" s="331" t="str">
        <f ca="1">'Calculos(2)'!BZ$35</f>
        <v>-</v>
      </c>
      <c r="V385" s="332"/>
      <c r="W385" s="1"/>
    </row>
    <row r="386" spans="1:23" ht="20.100000000000001" customHeight="1" x14ac:dyDescent="0.25">
      <c r="A386" s="18"/>
      <c r="B386" s="18"/>
      <c r="C386" s="18"/>
      <c r="D386" s="7"/>
      <c r="E386" s="326"/>
      <c r="F386" s="1485"/>
      <c r="G386" s="1486"/>
      <c r="H386" s="1486"/>
      <c r="I386" s="1487"/>
      <c r="J386" s="1196"/>
      <c r="K386" s="1121"/>
      <c r="L386" s="1121"/>
      <c r="M386" s="1493"/>
      <c r="N386" s="334"/>
      <c r="O386" s="334"/>
      <c r="P386" s="335"/>
      <c r="Q386" s="335"/>
      <c r="R386" s="335"/>
      <c r="U386" s="331" t="str">
        <f ca="1">'Calculos(2)'!BZ$36</f>
        <v>-</v>
      </c>
      <c r="V386" s="329"/>
      <c r="W386" s="1"/>
    </row>
    <row r="387" spans="1:23" ht="20.100000000000001" customHeight="1" x14ac:dyDescent="0.25">
      <c r="A387" s="18"/>
      <c r="B387" s="18"/>
      <c r="C387" s="18"/>
      <c r="D387" s="7"/>
      <c r="E387" s="326"/>
      <c r="F387" s="1488"/>
      <c r="G387" s="1489"/>
      <c r="H387" s="1489"/>
      <c r="I387" s="1490"/>
      <c r="J387" s="1472" t="s">
        <v>80</v>
      </c>
      <c r="K387" s="1473"/>
      <c r="L387" s="1473"/>
      <c r="M387" s="1474"/>
      <c r="N387" s="334"/>
      <c r="O387" s="334"/>
      <c r="P387" s="335"/>
      <c r="Q387" s="335"/>
      <c r="R387" s="335" t="s">
        <v>10</v>
      </c>
      <c r="U387" s="331" t="str">
        <f ca="1">'Calculos(2)'!BZ$37</f>
        <v>-</v>
      </c>
      <c r="V387" s="329"/>
      <c r="W387" s="1"/>
    </row>
    <row r="388" spans="1:23" ht="20.100000000000001" customHeight="1" x14ac:dyDescent="0.25">
      <c r="A388" s="18"/>
      <c r="B388" s="18"/>
      <c r="C388" s="18"/>
      <c r="D388" s="7"/>
      <c r="E388" s="336"/>
      <c r="F388" s="337"/>
      <c r="G388" s="337"/>
      <c r="H388" s="337"/>
      <c r="I388" s="337"/>
      <c r="J388" s="337"/>
      <c r="K388" s="337"/>
      <c r="L388" s="337"/>
      <c r="M388" s="337"/>
      <c r="N388" s="337"/>
      <c r="O388" s="337"/>
      <c r="P388" s="337"/>
      <c r="Q388" s="337"/>
      <c r="R388" s="337"/>
      <c r="S388" s="337"/>
      <c r="T388" s="337"/>
      <c r="U388" s="337"/>
      <c r="V388" s="338"/>
      <c r="W388" s="1"/>
    </row>
    <row r="389" spans="1:23" ht="20.100000000000001" hidden="1" customHeight="1" x14ac:dyDescent="0.25">
      <c r="A389" s="18"/>
      <c r="B389" s="18"/>
      <c r="C389" s="18"/>
      <c r="D389" s="7"/>
      <c r="E389" s="2"/>
      <c r="W389" s="1"/>
    </row>
    <row r="390" spans="1:23" ht="20.100000000000001" customHeight="1" x14ac:dyDescent="0.25">
      <c r="A390" s="18"/>
      <c r="B390" s="18"/>
      <c r="C390" s="18"/>
      <c r="D390" s="7"/>
      <c r="E390" s="7"/>
      <c r="F390" s="1"/>
      <c r="G390" s="1"/>
      <c r="H390" s="1"/>
      <c r="I390" s="1"/>
      <c r="J390" s="1"/>
      <c r="K390" s="1"/>
      <c r="L390" s="1"/>
      <c r="M390" s="1"/>
      <c r="N390" s="1"/>
      <c r="O390" s="1"/>
      <c r="P390" s="1"/>
      <c r="Q390" s="1"/>
      <c r="R390" s="1"/>
      <c r="S390" s="1"/>
      <c r="T390" s="1"/>
      <c r="U390" s="1"/>
      <c r="V390" s="1"/>
      <c r="W390" s="1"/>
    </row>
    <row r="391" spans="1:23" ht="20.100000000000001" customHeight="1" x14ac:dyDescent="0.25">
      <c r="A391" s="18"/>
      <c r="B391" s="18"/>
      <c r="C391" s="18"/>
      <c r="D391" s="7"/>
      <c r="E391" s="321"/>
      <c r="F391" s="322"/>
      <c r="G391" s="323"/>
      <c r="H391" s="323"/>
      <c r="I391" s="323"/>
      <c r="J391" s="323"/>
      <c r="K391" s="323"/>
      <c r="L391" s="323"/>
      <c r="M391" s="323"/>
      <c r="N391" s="323"/>
      <c r="O391" s="323"/>
      <c r="P391" s="323"/>
      <c r="Q391" s="323"/>
      <c r="R391" s="323"/>
      <c r="S391" s="339"/>
      <c r="T391" s="339"/>
      <c r="U391" s="340"/>
      <c r="V391" s="325"/>
      <c r="W391" s="7"/>
    </row>
    <row r="392" spans="1:23" ht="45" customHeight="1" x14ac:dyDescent="0.25">
      <c r="A392" s="18"/>
      <c r="B392" s="18"/>
      <c r="C392" s="18"/>
      <c r="D392" s="7"/>
      <c r="E392" s="326"/>
      <c r="F392" s="1494" t="s">
        <v>8606</v>
      </c>
      <c r="G392" s="1495"/>
      <c r="H392" s="1495"/>
      <c r="I392" s="1495"/>
      <c r="J392" s="1495"/>
      <c r="K392" s="1495"/>
      <c r="L392" s="1495"/>
      <c r="M392" s="1496"/>
      <c r="N392" s="327" t="str">
        <f ca="1">"Concentração"&amp;" "&amp;'Calculos(2)'!$BJ$3</f>
        <v>Concentração -</v>
      </c>
      <c r="O392" s="327" t="s">
        <v>6038</v>
      </c>
      <c r="P392" s="327" t="s">
        <v>8126</v>
      </c>
      <c r="Q392" s="327" t="s">
        <v>8028</v>
      </c>
      <c r="R392" s="327" t="s">
        <v>8603</v>
      </c>
      <c r="S392" s="327" t="s">
        <v>8127</v>
      </c>
      <c r="U392" s="328" t="s">
        <v>119</v>
      </c>
      <c r="V392" s="332"/>
      <c r="W392" s="1"/>
    </row>
    <row r="393" spans="1:23" ht="20.100000000000001" customHeight="1" x14ac:dyDescent="0.25">
      <c r="A393" s="18"/>
      <c r="B393" s="18"/>
      <c r="C393" s="18"/>
      <c r="D393" s="7"/>
      <c r="E393" s="326"/>
      <c r="F393" s="1482" t="str">
        <f ca="1">'Calculos(2)'!$BJ$5</f>
        <v>-</v>
      </c>
      <c r="G393" s="1483"/>
      <c r="H393" s="1483"/>
      <c r="I393" s="1484"/>
      <c r="J393" s="1472" t="s">
        <v>7103</v>
      </c>
      <c r="K393" s="1473"/>
      <c r="L393" s="1473"/>
      <c r="M393" s="1474"/>
      <c r="N393" s="188"/>
      <c r="O393" s="188"/>
      <c r="P393" s="330"/>
      <c r="Q393" s="330"/>
      <c r="R393" s="187">
        <v>0</v>
      </c>
      <c r="S393" s="331">
        <f>O393/2</f>
        <v>0</v>
      </c>
      <c r="U393" s="331" t="str">
        <f ca="1">'Calculos(2)'!BZ$42</f>
        <v>-</v>
      </c>
      <c r="V393" s="332"/>
      <c r="W393" s="1"/>
    </row>
    <row r="394" spans="1:23" ht="20.100000000000001" customHeight="1" x14ac:dyDescent="0.25">
      <c r="A394" s="18"/>
      <c r="B394" s="18"/>
      <c r="C394" s="18"/>
      <c r="D394" s="7"/>
      <c r="E394" s="326"/>
      <c r="F394" s="1485"/>
      <c r="G394" s="1486"/>
      <c r="H394" s="1486"/>
      <c r="I394" s="1487"/>
      <c r="J394" s="1193" t="s">
        <v>8027</v>
      </c>
      <c r="K394" s="1194"/>
      <c r="L394" s="1194"/>
      <c r="M394" s="1491"/>
      <c r="N394" s="188"/>
      <c r="O394" s="188"/>
      <c r="P394" s="330"/>
      <c r="Q394" s="330"/>
      <c r="R394" s="187"/>
      <c r="U394" s="331" t="str">
        <f ca="1">'Calculos(2)'!BZ$43</f>
        <v>-</v>
      </c>
      <c r="V394" s="332"/>
      <c r="W394" s="1"/>
    </row>
    <row r="395" spans="1:23" ht="20.100000000000001" customHeight="1" x14ac:dyDescent="0.25">
      <c r="A395" s="18"/>
      <c r="B395" s="18"/>
      <c r="C395" s="18"/>
      <c r="D395" s="7"/>
      <c r="E395" s="326"/>
      <c r="F395" s="1485"/>
      <c r="G395" s="1486"/>
      <c r="H395" s="1486"/>
      <c r="I395" s="1487"/>
      <c r="J395" s="1195"/>
      <c r="K395" s="1084"/>
      <c r="L395" s="1084"/>
      <c r="M395" s="1492"/>
      <c r="N395" s="188"/>
      <c r="O395" s="188"/>
      <c r="P395" s="330"/>
      <c r="Q395" s="330"/>
      <c r="R395" s="187"/>
      <c r="U395" s="331" t="str">
        <f ca="1">'Calculos(2)'!BZ$44</f>
        <v>-</v>
      </c>
      <c r="V395" s="332"/>
      <c r="W395" s="1"/>
    </row>
    <row r="396" spans="1:23" ht="20.100000000000001" customHeight="1" x14ac:dyDescent="0.25">
      <c r="A396" s="18"/>
      <c r="B396" s="18"/>
      <c r="C396" s="18"/>
      <c r="D396" s="7"/>
      <c r="E396" s="326"/>
      <c r="F396" s="1485"/>
      <c r="G396" s="1486"/>
      <c r="H396" s="1486"/>
      <c r="I396" s="1487"/>
      <c r="J396" s="1195"/>
      <c r="K396" s="1084"/>
      <c r="L396" s="1084"/>
      <c r="M396" s="1492"/>
      <c r="N396" s="188"/>
      <c r="O396" s="188"/>
      <c r="P396" s="330"/>
      <c r="Q396" s="330"/>
      <c r="R396" s="187"/>
      <c r="U396" s="331" t="str">
        <f ca="1">'Calculos(2)'!BZ$45</f>
        <v>-</v>
      </c>
      <c r="V396" s="332"/>
      <c r="W396" s="1"/>
    </row>
    <row r="397" spans="1:23" ht="20.100000000000001" customHeight="1" x14ac:dyDescent="0.25">
      <c r="A397" s="18"/>
      <c r="B397" s="18"/>
      <c r="C397" s="18"/>
      <c r="D397" s="7"/>
      <c r="E397" s="326"/>
      <c r="F397" s="1485"/>
      <c r="G397" s="1486"/>
      <c r="H397" s="1486"/>
      <c r="I397" s="1487"/>
      <c r="J397" s="1195"/>
      <c r="K397" s="1084"/>
      <c r="L397" s="1084"/>
      <c r="M397" s="1492"/>
      <c r="N397" s="188"/>
      <c r="O397" s="188"/>
      <c r="P397" s="330"/>
      <c r="Q397" s="330"/>
      <c r="R397" s="187"/>
      <c r="U397" s="331" t="str">
        <f ca="1">'Calculos(2)'!BZ$46</f>
        <v>-</v>
      </c>
      <c r="V397" s="332"/>
      <c r="W397" s="1"/>
    </row>
    <row r="398" spans="1:23" ht="20.100000000000001" customHeight="1" x14ac:dyDescent="0.25">
      <c r="A398" s="18"/>
      <c r="B398" s="18"/>
      <c r="C398" s="18"/>
      <c r="D398" s="7"/>
      <c r="E398" s="326"/>
      <c r="F398" s="1485"/>
      <c r="G398" s="1486"/>
      <c r="H398" s="1486"/>
      <c r="I398" s="1487"/>
      <c r="J398" s="1195"/>
      <c r="K398" s="1084"/>
      <c r="L398" s="1084"/>
      <c r="M398" s="1492"/>
      <c r="N398" s="188"/>
      <c r="O398" s="188"/>
      <c r="P398" s="330"/>
      <c r="Q398" s="330"/>
      <c r="R398" s="187"/>
      <c r="U398" s="331" t="str">
        <f ca="1">'Calculos(2)'!BZ$47</f>
        <v>-</v>
      </c>
      <c r="V398" s="332"/>
      <c r="W398" s="1"/>
    </row>
    <row r="399" spans="1:23" ht="20.100000000000001" customHeight="1" x14ac:dyDescent="0.25">
      <c r="A399" s="18"/>
      <c r="B399" s="18"/>
      <c r="C399" s="18"/>
      <c r="D399" s="7"/>
      <c r="E399" s="326"/>
      <c r="F399" s="1485"/>
      <c r="G399" s="1486"/>
      <c r="H399" s="1486"/>
      <c r="I399" s="1487"/>
      <c r="J399" s="1195"/>
      <c r="K399" s="1084"/>
      <c r="L399" s="1084"/>
      <c r="M399" s="1492"/>
      <c r="N399" s="188"/>
      <c r="O399" s="188"/>
      <c r="P399" s="330"/>
      <c r="Q399" s="330"/>
      <c r="R399" s="187"/>
      <c r="U399" s="331" t="str">
        <f ca="1">'Calculos(2)'!BZ$48</f>
        <v>-</v>
      </c>
      <c r="V399" s="332"/>
      <c r="W399" s="1"/>
    </row>
    <row r="400" spans="1:23" ht="20.100000000000001" customHeight="1" x14ac:dyDescent="0.25">
      <c r="A400" s="18"/>
      <c r="B400" s="18"/>
      <c r="C400" s="18"/>
      <c r="D400" s="7"/>
      <c r="E400" s="326"/>
      <c r="F400" s="1485"/>
      <c r="G400" s="1486"/>
      <c r="H400" s="1486"/>
      <c r="I400" s="1487"/>
      <c r="J400" s="1195"/>
      <c r="K400" s="1084"/>
      <c r="L400" s="1084"/>
      <c r="M400" s="1492"/>
      <c r="N400" s="188"/>
      <c r="O400" s="188"/>
      <c r="P400" s="330"/>
      <c r="Q400" s="330"/>
      <c r="R400" s="187"/>
      <c r="U400" s="331" t="str">
        <f ca="1">'Calculos(2)'!BZ$49</f>
        <v>-</v>
      </c>
      <c r="V400" s="332"/>
      <c r="W400" s="1"/>
    </row>
    <row r="401" spans="1:23" ht="20.100000000000001" customHeight="1" x14ac:dyDescent="0.25">
      <c r="A401" s="18"/>
      <c r="B401" s="18"/>
      <c r="C401" s="18"/>
      <c r="D401" s="7"/>
      <c r="E401" s="326"/>
      <c r="F401" s="1485"/>
      <c r="G401" s="1486"/>
      <c r="H401" s="1486"/>
      <c r="I401" s="1487"/>
      <c r="J401" s="1195"/>
      <c r="K401" s="1084"/>
      <c r="L401" s="1084"/>
      <c r="M401" s="1492"/>
      <c r="N401" s="188"/>
      <c r="O401" s="188"/>
      <c r="P401" s="330"/>
      <c r="Q401" s="330"/>
      <c r="R401" s="187"/>
      <c r="U401" s="331" t="str">
        <f ca="1">'Calculos(2)'!BZ$50</f>
        <v>-</v>
      </c>
      <c r="V401" s="332"/>
      <c r="W401" s="1"/>
    </row>
    <row r="402" spans="1:23" ht="20.100000000000001" customHeight="1" x14ac:dyDescent="0.25">
      <c r="A402" s="18"/>
      <c r="B402" s="18"/>
      <c r="C402" s="18"/>
      <c r="D402" s="7"/>
      <c r="E402" s="326"/>
      <c r="F402" s="1485"/>
      <c r="G402" s="1486"/>
      <c r="H402" s="1486"/>
      <c r="I402" s="1487"/>
      <c r="J402" s="1195"/>
      <c r="K402" s="1084"/>
      <c r="L402" s="1084"/>
      <c r="M402" s="1492"/>
      <c r="N402" s="188"/>
      <c r="O402" s="188"/>
      <c r="P402" s="330"/>
      <c r="Q402" s="330"/>
      <c r="R402" s="187"/>
      <c r="U402" s="331" t="str">
        <f ca="1">'Calculos(2)'!BZ$51</f>
        <v>-</v>
      </c>
      <c r="V402" s="332"/>
      <c r="W402" s="1"/>
    </row>
    <row r="403" spans="1:23" ht="20.100000000000001" customHeight="1" x14ac:dyDescent="0.25">
      <c r="A403" s="18"/>
      <c r="B403" s="18"/>
      <c r="C403" s="18"/>
      <c r="D403" s="7"/>
      <c r="E403" s="326"/>
      <c r="F403" s="1485"/>
      <c r="G403" s="1486"/>
      <c r="H403" s="1486"/>
      <c r="I403" s="1487"/>
      <c r="J403" s="1196"/>
      <c r="K403" s="1121"/>
      <c r="L403" s="1121"/>
      <c r="M403" s="1493"/>
      <c r="N403" s="188"/>
      <c r="O403" s="188"/>
      <c r="P403" s="330"/>
      <c r="Q403" s="330"/>
      <c r="R403" s="187"/>
      <c r="U403" s="331" t="str">
        <f ca="1">'Calculos(2)'!BZ$52</f>
        <v>-</v>
      </c>
      <c r="V403" s="332"/>
      <c r="W403" s="1"/>
    </row>
    <row r="404" spans="1:23" ht="20.100000000000001" customHeight="1" x14ac:dyDescent="0.25">
      <c r="A404" s="18"/>
      <c r="B404" s="18"/>
      <c r="C404" s="18"/>
      <c r="D404" s="7"/>
      <c r="E404" s="326"/>
      <c r="F404" s="1488"/>
      <c r="G404" s="1489"/>
      <c r="H404" s="1489"/>
      <c r="I404" s="1490"/>
      <c r="J404" s="1472" t="s">
        <v>80</v>
      </c>
      <c r="K404" s="1473"/>
      <c r="L404" s="1473"/>
      <c r="M404" s="1474"/>
      <c r="N404" s="188"/>
      <c r="O404" s="188"/>
      <c r="P404" s="330"/>
      <c r="Q404" s="330"/>
      <c r="R404" s="187" t="s">
        <v>10</v>
      </c>
      <c r="U404" s="331" t="str">
        <f ca="1">'Calculos(2)'!BZ$53</f>
        <v>-</v>
      </c>
      <c r="V404" s="332"/>
      <c r="W404" s="1"/>
    </row>
    <row r="405" spans="1:23" ht="20.100000000000001" customHeight="1" x14ac:dyDescent="0.25">
      <c r="A405" s="18"/>
      <c r="B405" s="18"/>
      <c r="C405" s="18"/>
      <c r="D405" s="7"/>
      <c r="E405" s="326"/>
      <c r="V405" s="332"/>
      <c r="W405" s="1"/>
    </row>
    <row r="406" spans="1:23" ht="20.100000000000001" hidden="1" customHeight="1" x14ac:dyDescent="0.25">
      <c r="A406" s="18"/>
      <c r="B406" s="18"/>
      <c r="C406" s="18"/>
      <c r="D406" s="7"/>
      <c r="E406" s="326"/>
      <c r="V406" s="332"/>
      <c r="W406" s="1"/>
    </row>
    <row r="407" spans="1:23" ht="20.100000000000001" hidden="1" customHeight="1" x14ac:dyDescent="0.25">
      <c r="A407" s="18"/>
      <c r="B407" s="18"/>
      <c r="C407" s="18"/>
      <c r="D407" s="7"/>
      <c r="E407" s="326"/>
      <c r="V407" s="332"/>
      <c r="W407" s="1"/>
    </row>
    <row r="408" spans="1:23" ht="20.100000000000001" customHeight="1" x14ac:dyDescent="0.25">
      <c r="A408" s="18"/>
      <c r="B408" s="18"/>
      <c r="C408" s="18"/>
      <c r="D408" s="7"/>
      <c r="E408" s="326"/>
      <c r="V408" s="332"/>
      <c r="W408" s="1"/>
    </row>
    <row r="409" spans="1:23" ht="45" customHeight="1" x14ac:dyDescent="0.25">
      <c r="A409" s="18"/>
      <c r="B409" s="18"/>
      <c r="C409" s="18"/>
      <c r="D409" s="7"/>
      <c r="E409" s="326"/>
      <c r="F409" s="1479" t="s">
        <v>8615</v>
      </c>
      <c r="G409" s="1480"/>
      <c r="H409" s="1480"/>
      <c r="I409" s="1480"/>
      <c r="J409" s="1480"/>
      <c r="K409" s="1480"/>
      <c r="L409" s="1480"/>
      <c r="M409" s="1481"/>
      <c r="N409" s="333" t="str">
        <f ca="1">"Concentração"&amp;" "&amp;'Calculos(2)'!$BJ$3</f>
        <v>Concentração -</v>
      </c>
      <c r="O409" s="333" t="s">
        <v>6038</v>
      </c>
      <c r="P409" s="333" t="s">
        <v>8126</v>
      </c>
      <c r="Q409" s="333" t="s">
        <v>8028</v>
      </c>
      <c r="R409" s="333" t="s">
        <v>8603</v>
      </c>
      <c r="S409" s="333" t="s">
        <v>8127</v>
      </c>
      <c r="U409" s="328" t="s">
        <v>119</v>
      </c>
      <c r="V409" s="332"/>
      <c r="W409" s="1"/>
    </row>
    <row r="410" spans="1:23" ht="20.100000000000001" customHeight="1" x14ac:dyDescent="0.25">
      <c r="A410" s="18"/>
      <c r="B410" s="18"/>
      <c r="C410" s="18"/>
      <c r="D410" s="7"/>
      <c r="E410" s="326"/>
      <c r="F410" s="1482" t="str">
        <f ca="1">'Calculos(2)'!$BJ$5</f>
        <v>-</v>
      </c>
      <c r="G410" s="1483"/>
      <c r="H410" s="1483"/>
      <c r="I410" s="1484"/>
      <c r="J410" s="1472" t="s">
        <v>7103</v>
      </c>
      <c r="K410" s="1473"/>
      <c r="L410" s="1473"/>
      <c r="M410" s="1474"/>
      <c r="N410" s="334"/>
      <c r="O410" s="334"/>
      <c r="P410" s="335"/>
      <c r="Q410" s="335"/>
      <c r="R410" s="335">
        <v>0</v>
      </c>
      <c r="S410" s="331">
        <f>O410/2</f>
        <v>0</v>
      </c>
      <c r="U410" s="331" t="str">
        <f ca="1">'Calculos(2)'!BZ$58</f>
        <v>-</v>
      </c>
      <c r="V410" s="332"/>
      <c r="W410" s="1"/>
    </row>
    <row r="411" spans="1:23" ht="20.100000000000001" customHeight="1" x14ac:dyDescent="0.25">
      <c r="A411" s="18"/>
      <c r="B411" s="18"/>
      <c r="C411" s="18"/>
      <c r="D411" s="7"/>
      <c r="E411" s="326"/>
      <c r="F411" s="1485"/>
      <c r="G411" s="1486"/>
      <c r="H411" s="1486"/>
      <c r="I411" s="1487"/>
      <c r="J411" s="1193" t="s">
        <v>8027</v>
      </c>
      <c r="K411" s="1194"/>
      <c r="L411" s="1194"/>
      <c r="M411" s="1491"/>
      <c r="N411" s="334"/>
      <c r="O411" s="334"/>
      <c r="P411" s="335"/>
      <c r="Q411" s="335"/>
      <c r="R411" s="335"/>
      <c r="U411" s="331" t="str">
        <f ca="1">'Calculos(2)'!BZ$59</f>
        <v>-</v>
      </c>
      <c r="V411" s="332"/>
      <c r="W411" s="1"/>
    </row>
    <row r="412" spans="1:23" ht="20.100000000000001" customHeight="1" x14ac:dyDescent="0.25">
      <c r="A412" s="18"/>
      <c r="B412" s="18"/>
      <c r="C412" s="18"/>
      <c r="D412" s="7"/>
      <c r="E412" s="326"/>
      <c r="F412" s="1485"/>
      <c r="G412" s="1486"/>
      <c r="H412" s="1486"/>
      <c r="I412" s="1487"/>
      <c r="J412" s="1195"/>
      <c r="K412" s="1084"/>
      <c r="L412" s="1084"/>
      <c r="M412" s="1492"/>
      <c r="N412" s="334"/>
      <c r="O412" s="334"/>
      <c r="P412" s="335"/>
      <c r="Q412" s="335"/>
      <c r="R412" s="335"/>
      <c r="U412" s="331" t="str">
        <f ca="1">'Calculos(2)'!BZ$60</f>
        <v>-</v>
      </c>
      <c r="V412" s="332"/>
      <c r="W412" s="1"/>
    </row>
    <row r="413" spans="1:23" ht="20.100000000000001" customHeight="1" x14ac:dyDescent="0.25">
      <c r="A413" s="18"/>
      <c r="B413" s="18"/>
      <c r="C413" s="18"/>
      <c r="D413" s="7"/>
      <c r="E413" s="326"/>
      <c r="F413" s="1485"/>
      <c r="G413" s="1486"/>
      <c r="H413" s="1486"/>
      <c r="I413" s="1487"/>
      <c r="J413" s="1195"/>
      <c r="K413" s="1084"/>
      <c r="L413" s="1084"/>
      <c r="M413" s="1492"/>
      <c r="N413" s="334"/>
      <c r="O413" s="334"/>
      <c r="P413" s="335"/>
      <c r="Q413" s="335"/>
      <c r="R413" s="335"/>
      <c r="U413" s="331" t="str">
        <f ca="1">'Calculos(2)'!BZ$61</f>
        <v>-</v>
      </c>
      <c r="V413" s="332"/>
      <c r="W413" s="1"/>
    </row>
    <row r="414" spans="1:23" ht="20.100000000000001" customHeight="1" x14ac:dyDescent="0.25">
      <c r="A414" s="18"/>
      <c r="B414" s="18"/>
      <c r="C414" s="18"/>
      <c r="D414" s="7"/>
      <c r="E414" s="326"/>
      <c r="F414" s="1485"/>
      <c r="G414" s="1486"/>
      <c r="H414" s="1486"/>
      <c r="I414" s="1487"/>
      <c r="J414" s="1195"/>
      <c r="K414" s="1084"/>
      <c r="L414" s="1084"/>
      <c r="M414" s="1492"/>
      <c r="N414" s="334"/>
      <c r="O414" s="334"/>
      <c r="P414" s="335"/>
      <c r="Q414" s="335"/>
      <c r="R414" s="335"/>
      <c r="U414" s="331" t="str">
        <f ca="1">'Calculos(2)'!BZ$62</f>
        <v>-</v>
      </c>
      <c r="V414" s="332"/>
      <c r="W414" s="1"/>
    </row>
    <row r="415" spans="1:23" ht="20.100000000000001" customHeight="1" x14ac:dyDescent="0.25">
      <c r="A415" s="18"/>
      <c r="B415" s="18"/>
      <c r="C415" s="18"/>
      <c r="D415" s="7"/>
      <c r="E415" s="326"/>
      <c r="F415" s="1485"/>
      <c r="G415" s="1486"/>
      <c r="H415" s="1486"/>
      <c r="I415" s="1487"/>
      <c r="J415" s="1195"/>
      <c r="K415" s="1084"/>
      <c r="L415" s="1084"/>
      <c r="M415" s="1492"/>
      <c r="N415" s="334"/>
      <c r="O415" s="334"/>
      <c r="P415" s="335"/>
      <c r="Q415" s="335"/>
      <c r="R415" s="335"/>
      <c r="U415" s="331" t="str">
        <f ca="1">'Calculos(2)'!BZ$63</f>
        <v>-</v>
      </c>
      <c r="V415" s="332"/>
      <c r="W415" s="1"/>
    </row>
    <row r="416" spans="1:23" ht="20.100000000000001" customHeight="1" x14ac:dyDescent="0.25">
      <c r="A416" s="18"/>
      <c r="B416" s="18"/>
      <c r="C416" s="18"/>
      <c r="D416" s="7"/>
      <c r="E416" s="326"/>
      <c r="F416" s="1485"/>
      <c r="G416" s="1486"/>
      <c r="H416" s="1486"/>
      <c r="I416" s="1487"/>
      <c r="J416" s="1195"/>
      <c r="K416" s="1084"/>
      <c r="L416" s="1084"/>
      <c r="M416" s="1492"/>
      <c r="N416" s="334"/>
      <c r="O416" s="334"/>
      <c r="P416" s="335"/>
      <c r="Q416" s="335"/>
      <c r="R416" s="335"/>
      <c r="U416" s="331" t="str">
        <f ca="1">'Calculos(2)'!BZ$64</f>
        <v>-</v>
      </c>
      <c r="V416" s="332"/>
      <c r="W416" s="1"/>
    </row>
    <row r="417" spans="1:23" ht="20.100000000000001" customHeight="1" x14ac:dyDescent="0.25">
      <c r="A417" s="18"/>
      <c r="B417" s="18"/>
      <c r="C417" s="18"/>
      <c r="D417" s="7"/>
      <c r="E417" s="326"/>
      <c r="F417" s="1485"/>
      <c r="G417" s="1486"/>
      <c r="H417" s="1486"/>
      <c r="I417" s="1487"/>
      <c r="J417" s="1195"/>
      <c r="K417" s="1084"/>
      <c r="L417" s="1084"/>
      <c r="M417" s="1492"/>
      <c r="N417" s="334"/>
      <c r="O417" s="334"/>
      <c r="P417" s="335"/>
      <c r="Q417" s="335"/>
      <c r="R417" s="335"/>
      <c r="U417" s="331" t="str">
        <f ca="1">'Calculos(2)'!BZ$65</f>
        <v>-</v>
      </c>
      <c r="V417" s="332"/>
      <c r="W417" s="1"/>
    </row>
    <row r="418" spans="1:23" ht="20.100000000000001" customHeight="1" x14ac:dyDescent="0.25">
      <c r="A418" s="18"/>
      <c r="B418" s="18"/>
      <c r="C418" s="18"/>
      <c r="D418" s="7"/>
      <c r="E418" s="326"/>
      <c r="F418" s="1485"/>
      <c r="G418" s="1486"/>
      <c r="H418" s="1486"/>
      <c r="I418" s="1487"/>
      <c r="J418" s="1195"/>
      <c r="K418" s="1084"/>
      <c r="L418" s="1084"/>
      <c r="M418" s="1492"/>
      <c r="N418" s="334"/>
      <c r="O418" s="334"/>
      <c r="P418" s="335"/>
      <c r="Q418" s="335"/>
      <c r="R418" s="335"/>
      <c r="U418" s="331" t="str">
        <f ca="1">'Calculos(2)'!BZ$66</f>
        <v>-</v>
      </c>
      <c r="V418" s="332"/>
      <c r="W418" s="1"/>
    </row>
    <row r="419" spans="1:23" ht="20.100000000000001" customHeight="1" x14ac:dyDescent="0.25">
      <c r="A419" s="18"/>
      <c r="B419" s="18"/>
      <c r="C419" s="18"/>
      <c r="D419" s="7"/>
      <c r="E419" s="326"/>
      <c r="F419" s="1485"/>
      <c r="G419" s="1486"/>
      <c r="H419" s="1486"/>
      <c r="I419" s="1487"/>
      <c r="J419" s="1195"/>
      <c r="K419" s="1084"/>
      <c r="L419" s="1084"/>
      <c r="M419" s="1492"/>
      <c r="N419" s="334"/>
      <c r="O419" s="334"/>
      <c r="P419" s="335"/>
      <c r="Q419" s="335"/>
      <c r="R419" s="335"/>
      <c r="U419" s="331" t="str">
        <f ca="1">'Calculos(2)'!BZ$67</f>
        <v>-</v>
      </c>
      <c r="V419" s="332"/>
      <c r="W419" s="1"/>
    </row>
    <row r="420" spans="1:23" ht="20.100000000000001" customHeight="1" x14ac:dyDescent="0.25">
      <c r="A420" s="18"/>
      <c r="B420" s="18"/>
      <c r="C420" s="18"/>
      <c r="D420" s="7"/>
      <c r="E420" s="326"/>
      <c r="F420" s="1485"/>
      <c r="G420" s="1486"/>
      <c r="H420" s="1486"/>
      <c r="I420" s="1487"/>
      <c r="J420" s="1196"/>
      <c r="K420" s="1121"/>
      <c r="L420" s="1121"/>
      <c r="M420" s="1493"/>
      <c r="N420" s="334"/>
      <c r="O420" s="334"/>
      <c r="P420" s="335"/>
      <c r="Q420" s="335"/>
      <c r="R420" s="335"/>
      <c r="U420" s="331" t="str">
        <f ca="1">'Calculos(2)'!BZ$68</f>
        <v>-</v>
      </c>
      <c r="V420" s="329"/>
      <c r="W420" s="1"/>
    </row>
    <row r="421" spans="1:23" ht="20.100000000000001" customHeight="1" x14ac:dyDescent="0.25">
      <c r="A421" s="18"/>
      <c r="B421" s="18"/>
      <c r="C421" s="18"/>
      <c r="D421" s="7"/>
      <c r="E421" s="326"/>
      <c r="F421" s="1488"/>
      <c r="G421" s="1489"/>
      <c r="H421" s="1489"/>
      <c r="I421" s="1490"/>
      <c r="J421" s="1472" t="s">
        <v>80</v>
      </c>
      <c r="K421" s="1473"/>
      <c r="L421" s="1473"/>
      <c r="M421" s="1474"/>
      <c r="N421" s="334"/>
      <c r="O421" s="334"/>
      <c r="P421" s="335"/>
      <c r="Q421" s="335"/>
      <c r="R421" s="335" t="s">
        <v>10</v>
      </c>
      <c r="U421" s="331" t="str">
        <f ca="1">'Calculos(2)'!BZ$69</f>
        <v>-</v>
      </c>
      <c r="V421" s="329"/>
      <c r="W421" s="1"/>
    </row>
    <row r="422" spans="1:23" ht="20.100000000000001" customHeight="1" x14ac:dyDescent="0.25">
      <c r="A422" s="18"/>
      <c r="B422" s="18"/>
      <c r="C422" s="18"/>
      <c r="D422" s="7"/>
      <c r="E422" s="336"/>
      <c r="F422" s="337"/>
      <c r="G422" s="337"/>
      <c r="H422" s="337"/>
      <c r="I422" s="337"/>
      <c r="J422" s="337"/>
      <c r="K422" s="337"/>
      <c r="L422" s="337"/>
      <c r="M422" s="337"/>
      <c r="N422" s="337"/>
      <c r="O422" s="337"/>
      <c r="P422" s="337"/>
      <c r="Q422" s="337"/>
      <c r="R422" s="337"/>
      <c r="S422" s="337"/>
      <c r="T422" s="337"/>
      <c r="U422" s="337"/>
      <c r="V422" s="338"/>
      <c r="W422" s="1"/>
    </row>
    <row r="423" spans="1:23" ht="20.100000000000001" hidden="1" customHeight="1" x14ac:dyDescent="0.25">
      <c r="A423" s="18"/>
      <c r="B423" s="18"/>
      <c r="C423" s="18"/>
      <c r="D423" s="7"/>
      <c r="E423" s="2"/>
      <c r="W423" s="1"/>
    </row>
    <row r="424" spans="1:23" ht="20.100000000000001" customHeight="1" x14ac:dyDescent="0.25">
      <c r="A424" s="18"/>
      <c r="B424" s="18"/>
      <c r="C424" s="18"/>
      <c r="D424" s="7"/>
      <c r="E424" s="7"/>
      <c r="F424" s="7"/>
      <c r="G424" s="7"/>
      <c r="H424" s="7"/>
      <c r="I424" s="7"/>
      <c r="J424" s="7"/>
      <c r="K424" s="7"/>
      <c r="L424" s="7"/>
      <c r="M424" s="7"/>
      <c r="N424" s="7"/>
      <c r="O424" s="7"/>
      <c r="P424" s="7"/>
      <c r="Q424" s="7"/>
      <c r="R424" s="7"/>
      <c r="S424" s="7"/>
      <c r="T424" s="7"/>
      <c r="U424" s="7"/>
      <c r="V424" s="7"/>
      <c r="W424" s="7"/>
    </row>
    <row r="425" spans="1:23" ht="20.100000000000001" customHeight="1" x14ac:dyDescent="0.25">
      <c r="A425" s="18"/>
      <c r="B425" s="18"/>
      <c r="C425" s="18"/>
      <c r="D425" s="7"/>
      <c r="E425" s="321"/>
      <c r="F425" s="322"/>
      <c r="G425" s="323"/>
      <c r="H425" s="323"/>
      <c r="I425" s="323"/>
      <c r="J425" s="323"/>
      <c r="K425" s="323"/>
      <c r="L425" s="323"/>
      <c r="M425" s="323"/>
      <c r="N425" s="323"/>
      <c r="O425" s="323"/>
      <c r="P425" s="323"/>
      <c r="Q425" s="323"/>
      <c r="R425" s="323"/>
      <c r="S425" s="339"/>
      <c r="T425" s="339"/>
      <c r="U425" s="340"/>
      <c r="V425" s="325"/>
      <c r="W425" s="1"/>
    </row>
    <row r="426" spans="1:23" ht="45" customHeight="1" x14ac:dyDescent="0.25">
      <c r="A426" s="18"/>
      <c r="B426" s="18"/>
      <c r="C426" s="18"/>
      <c r="D426" s="7"/>
      <c r="E426" s="326"/>
      <c r="F426" s="1494" t="s">
        <v>8607</v>
      </c>
      <c r="G426" s="1495"/>
      <c r="H426" s="1495"/>
      <c r="I426" s="1495"/>
      <c r="J426" s="1495"/>
      <c r="K426" s="1495"/>
      <c r="L426" s="1495"/>
      <c r="M426" s="1496"/>
      <c r="N426" s="327" t="str">
        <f ca="1">"Concentração"&amp;" "&amp;'Calculos(2)'!$BJ$3</f>
        <v>Concentração -</v>
      </c>
      <c r="O426" s="327" t="s">
        <v>6038</v>
      </c>
      <c r="P426" s="327" t="s">
        <v>8126</v>
      </c>
      <c r="Q426" s="327" t="s">
        <v>8028</v>
      </c>
      <c r="R426" s="327" t="s">
        <v>8603</v>
      </c>
      <c r="S426" s="327" t="s">
        <v>8127</v>
      </c>
      <c r="U426" s="328" t="s">
        <v>119</v>
      </c>
      <c r="V426" s="332"/>
      <c r="W426" s="1"/>
    </row>
    <row r="427" spans="1:23" ht="20.100000000000001" customHeight="1" x14ac:dyDescent="0.25">
      <c r="A427" s="18"/>
      <c r="B427" s="18"/>
      <c r="C427" s="18"/>
      <c r="D427" s="7"/>
      <c r="E427" s="326"/>
      <c r="F427" s="1482" t="str">
        <f ca="1">'Calculos(2)'!$BJ$5</f>
        <v>-</v>
      </c>
      <c r="G427" s="1483"/>
      <c r="H427" s="1483"/>
      <c r="I427" s="1484"/>
      <c r="J427" s="1472" t="s">
        <v>7103</v>
      </c>
      <c r="K427" s="1473"/>
      <c r="L427" s="1473"/>
      <c r="M427" s="1474"/>
      <c r="N427" s="188"/>
      <c r="O427" s="188"/>
      <c r="P427" s="330"/>
      <c r="Q427" s="330"/>
      <c r="R427" s="187">
        <v>0</v>
      </c>
      <c r="S427" s="331">
        <f>O427/2</f>
        <v>0</v>
      </c>
      <c r="U427" s="331" t="str">
        <f ca="1">'Calculos(2)'!BZ$74</f>
        <v>-</v>
      </c>
      <c r="V427" s="332"/>
      <c r="W427" s="1"/>
    </row>
    <row r="428" spans="1:23" ht="20.100000000000001" customHeight="1" x14ac:dyDescent="0.25">
      <c r="A428" s="18"/>
      <c r="B428" s="18"/>
      <c r="C428" s="18"/>
      <c r="D428" s="7"/>
      <c r="E428" s="326"/>
      <c r="F428" s="1485"/>
      <c r="G428" s="1486"/>
      <c r="H428" s="1486"/>
      <c r="I428" s="1487"/>
      <c r="J428" s="1193" t="s">
        <v>8027</v>
      </c>
      <c r="K428" s="1194"/>
      <c r="L428" s="1194"/>
      <c r="M428" s="1491"/>
      <c r="N428" s="188"/>
      <c r="O428" s="188"/>
      <c r="P428" s="330"/>
      <c r="Q428" s="330"/>
      <c r="R428" s="187"/>
      <c r="U428" s="331" t="str">
        <f ca="1">'Calculos(2)'!BZ$75</f>
        <v>-</v>
      </c>
      <c r="V428" s="332"/>
      <c r="W428" s="1"/>
    </row>
    <row r="429" spans="1:23" ht="20.100000000000001" customHeight="1" x14ac:dyDescent="0.25">
      <c r="A429" s="18"/>
      <c r="B429" s="18"/>
      <c r="C429" s="18"/>
      <c r="D429" s="7"/>
      <c r="E429" s="326"/>
      <c r="F429" s="1485"/>
      <c r="G429" s="1486"/>
      <c r="H429" s="1486"/>
      <c r="I429" s="1487"/>
      <c r="J429" s="1195"/>
      <c r="K429" s="1084"/>
      <c r="L429" s="1084"/>
      <c r="M429" s="1492"/>
      <c r="N429" s="188"/>
      <c r="O429" s="188"/>
      <c r="P429" s="330"/>
      <c r="Q429" s="330"/>
      <c r="R429" s="187"/>
      <c r="U429" s="331" t="str">
        <f ca="1">'Calculos(2)'!BZ$76</f>
        <v>-</v>
      </c>
      <c r="V429" s="332"/>
      <c r="W429" s="1"/>
    </row>
    <row r="430" spans="1:23" ht="20.100000000000001" customHeight="1" x14ac:dyDescent="0.25">
      <c r="A430" s="18"/>
      <c r="B430" s="18"/>
      <c r="C430" s="18"/>
      <c r="D430" s="7"/>
      <c r="E430" s="326"/>
      <c r="F430" s="1485"/>
      <c r="G430" s="1486"/>
      <c r="H430" s="1486"/>
      <c r="I430" s="1487"/>
      <c r="J430" s="1195"/>
      <c r="K430" s="1084"/>
      <c r="L430" s="1084"/>
      <c r="M430" s="1492"/>
      <c r="N430" s="188"/>
      <c r="O430" s="188"/>
      <c r="P430" s="330"/>
      <c r="Q430" s="330"/>
      <c r="R430" s="187"/>
      <c r="U430" s="331" t="str">
        <f ca="1">'Calculos(2)'!BZ$77</f>
        <v>-</v>
      </c>
      <c r="V430" s="332"/>
      <c r="W430" s="1"/>
    </row>
    <row r="431" spans="1:23" ht="20.100000000000001" customHeight="1" x14ac:dyDescent="0.25">
      <c r="A431" s="18"/>
      <c r="B431" s="18"/>
      <c r="C431" s="18"/>
      <c r="D431" s="7"/>
      <c r="E431" s="326"/>
      <c r="F431" s="1485"/>
      <c r="G431" s="1486"/>
      <c r="H431" s="1486"/>
      <c r="I431" s="1487"/>
      <c r="J431" s="1195"/>
      <c r="K431" s="1084"/>
      <c r="L431" s="1084"/>
      <c r="M431" s="1492"/>
      <c r="N431" s="188"/>
      <c r="O431" s="188"/>
      <c r="P431" s="330"/>
      <c r="Q431" s="330"/>
      <c r="R431" s="187"/>
      <c r="U431" s="331" t="str">
        <f ca="1">'Calculos(2)'!BZ$78</f>
        <v>-</v>
      </c>
      <c r="V431" s="332"/>
      <c r="W431" s="1"/>
    </row>
    <row r="432" spans="1:23" ht="20.100000000000001" customHeight="1" x14ac:dyDescent="0.25">
      <c r="A432" s="18"/>
      <c r="B432" s="18"/>
      <c r="C432" s="18"/>
      <c r="D432" s="7"/>
      <c r="E432" s="326"/>
      <c r="F432" s="1485"/>
      <c r="G432" s="1486"/>
      <c r="H432" s="1486"/>
      <c r="I432" s="1487"/>
      <c r="J432" s="1195"/>
      <c r="K432" s="1084"/>
      <c r="L432" s="1084"/>
      <c r="M432" s="1492"/>
      <c r="N432" s="188"/>
      <c r="O432" s="188"/>
      <c r="P432" s="330"/>
      <c r="Q432" s="330"/>
      <c r="R432" s="187"/>
      <c r="U432" s="331" t="str">
        <f ca="1">'Calculos(2)'!BZ$79</f>
        <v>-</v>
      </c>
      <c r="V432" s="332"/>
      <c r="W432" s="1"/>
    </row>
    <row r="433" spans="1:23" ht="20.100000000000001" customHeight="1" x14ac:dyDescent="0.25">
      <c r="A433" s="18"/>
      <c r="B433" s="18"/>
      <c r="C433" s="18"/>
      <c r="D433" s="7"/>
      <c r="E433" s="326"/>
      <c r="F433" s="1485"/>
      <c r="G433" s="1486"/>
      <c r="H433" s="1486"/>
      <c r="I433" s="1487"/>
      <c r="J433" s="1195"/>
      <c r="K433" s="1084"/>
      <c r="L433" s="1084"/>
      <c r="M433" s="1492"/>
      <c r="N433" s="188"/>
      <c r="O433" s="188"/>
      <c r="P433" s="330"/>
      <c r="Q433" s="330"/>
      <c r="R433" s="187"/>
      <c r="U433" s="331" t="str">
        <f ca="1">'Calculos(2)'!BZ$80</f>
        <v>-</v>
      </c>
      <c r="V433" s="332"/>
      <c r="W433" s="1"/>
    </row>
    <row r="434" spans="1:23" ht="20.100000000000001" customHeight="1" x14ac:dyDescent="0.25">
      <c r="A434" s="18"/>
      <c r="B434" s="18"/>
      <c r="C434" s="18"/>
      <c r="D434" s="7"/>
      <c r="E434" s="326"/>
      <c r="F434" s="1485"/>
      <c r="G434" s="1486"/>
      <c r="H434" s="1486"/>
      <c r="I434" s="1487"/>
      <c r="J434" s="1195"/>
      <c r="K434" s="1084"/>
      <c r="L434" s="1084"/>
      <c r="M434" s="1492"/>
      <c r="N434" s="188"/>
      <c r="O434" s="188"/>
      <c r="P434" s="330"/>
      <c r="Q434" s="330"/>
      <c r="R434" s="187"/>
      <c r="U434" s="331" t="str">
        <f ca="1">'Calculos(2)'!BZ$81</f>
        <v>-</v>
      </c>
      <c r="V434" s="332"/>
      <c r="W434" s="1"/>
    </row>
    <row r="435" spans="1:23" ht="20.100000000000001" customHeight="1" x14ac:dyDescent="0.25">
      <c r="A435" s="18"/>
      <c r="B435" s="18"/>
      <c r="C435" s="18"/>
      <c r="D435" s="7"/>
      <c r="E435" s="326"/>
      <c r="F435" s="1485"/>
      <c r="G435" s="1486"/>
      <c r="H435" s="1486"/>
      <c r="I435" s="1487"/>
      <c r="J435" s="1195"/>
      <c r="K435" s="1084"/>
      <c r="L435" s="1084"/>
      <c r="M435" s="1492"/>
      <c r="N435" s="188"/>
      <c r="O435" s="188"/>
      <c r="P435" s="330"/>
      <c r="Q435" s="330"/>
      <c r="R435" s="187"/>
      <c r="U435" s="331" t="str">
        <f ca="1">'Calculos(2)'!BZ$82</f>
        <v>-</v>
      </c>
      <c r="V435" s="332"/>
      <c r="W435" s="7"/>
    </row>
    <row r="436" spans="1:23" ht="20.100000000000001" customHeight="1" x14ac:dyDescent="0.25">
      <c r="A436" s="18"/>
      <c r="B436" s="18"/>
      <c r="C436" s="18"/>
      <c r="D436" s="7"/>
      <c r="E436" s="326"/>
      <c r="F436" s="1485"/>
      <c r="G436" s="1486"/>
      <c r="H436" s="1486"/>
      <c r="I436" s="1487"/>
      <c r="J436" s="1195"/>
      <c r="K436" s="1084"/>
      <c r="L436" s="1084"/>
      <c r="M436" s="1492"/>
      <c r="N436" s="188"/>
      <c r="O436" s="188"/>
      <c r="P436" s="330"/>
      <c r="Q436" s="330"/>
      <c r="R436" s="187"/>
      <c r="U436" s="331" t="str">
        <f ca="1">'Calculos(2)'!BZ$83</f>
        <v>-</v>
      </c>
      <c r="V436" s="332"/>
      <c r="W436" s="7"/>
    </row>
    <row r="437" spans="1:23" ht="20.100000000000001" customHeight="1" x14ac:dyDescent="0.25">
      <c r="A437" s="18"/>
      <c r="B437" s="18"/>
      <c r="C437" s="18"/>
      <c r="D437" s="7"/>
      <c r="E437" s="326"/>
      <c r="F437" s="1485"/>
      <c r="G437" s="1486"/>
      <c r="H437" s="1486"/>
      <c r="I437" s="1487"/>
      <c r="J437" s="1196"/>
      <c r="K437" s="1121"/>
      <c r="L437" s="1121"/>
      <c r="M437" s="1493"/>
      <c r="N437" s="188"/>
      <c r="O437" s="188"/>
      <c r="P437" s="330"/>
      <c r="Q437" s="330"/>
      <c r="R437" s="187"/>
      <c r="U437" s="331" t="str">
        <f ca="1">'Calculos(2)'!BZ$84</f>
        <v>-</v>
      </c>
      <c r="V437" s="332"/>
      <c r="W437" s="1"/>
    </row>
    <row r="438" spans="1:23" ht="20.100000000000001" customHeight="1" x14ac:dyDescent="0.25">
      <c r="A438" s="18"/>
      <c r="B438" s="18"/>
      <c r="C438" s="18"/>
      <c r="D438" s="7"/>
      <c r="E438" s="326"/>
      <c r="F438" s="1488"/>
      <c r="G438" s="1489"/>
      <c r="H438" s="1489"/>
      <c r="I438" s="1490"/>
      <c r="J438" s="1472" t="s">
        <v>80</v>
      </c>
      <c r="K438" s="1473"/>
      <c r="L438" s="1473"/>
      <c r="M438" s="1474"/>
      <c r="N438" s="188"/>
      <c r="O438" s="188"/>
      <c r="P438" s="330"/>
      <c r="Q438" s="330"/>
      <c r="R438" s="187" t="s">
        <v>10</v>
      </c>
      <c r="U438" s="331" t="str">
        <f ca="1">'Calculos(2)'!BZ$85</f>
        <v>-</v>
      </c>
      <c r="V438" s="332"/>
      <c r="W438" s="1"/>
    </row>
    <row r="439" spans="1:23" ht="20.100000000000001" customHeight="1" x14ac:dyDescent="0.25">
      <c r="A439" s="18"/>
      <c r="B439" s="18"/>
      <c r="C439" s="18"/>
      <c r="D439" s="7"/>
      <c r="E439" s="326"/>
      <c r="V439" s="332"/>
      <c r="W439" s="1"/>
    </row>
    <row r="440" spans="1:23" ht="20.100000000000001" hidden="1" customHeight="1" x14ac:dyDescent="0.25">
      <c r="A440" s="18"/>
      <c r="B440" s="18"/>
      <c r="C440" s="18"/>
      <c r="D440" s="7"/>
      <c r="E440" s="326"/>
      <c r="V440" s="332"/>
      <c r="W440" s="1"/>
    </row>
    <row r="441" spans="1:23" ht="20.100000000000001" hidden="1" customHeight="1" x14ac:dyDescent="0.25">
      <c r="A441" s="18"/>
      <c r="B441" s="18"/>
      <c r="C441" s="18"/>
      <c r="D441" s="7"/>
      <c r="E441" s="326"/>
      <c r="V441" s="332"/>
      <c r="W441" s="1"/>
    </row>
    <row r="442" spans="1:23" ht="20.100000000000001" customHeight="1" x14ac:dyDescent="0.25">
      <c r="A442" s="18"/>
      <c r="B442" s="18"/>
      <c r="C442" s="18"/>
      <c r="D442" s="7"/>
      <c r="E442" s="326"/>
      <c r="V442" s="332"/>
      <c r="W442" s="1"/>
    </row>
    <row r="443" spans="1:23" ht="45" customHeight="1" x14ac:dyDescent="0.25">
      <c r="A443" s="18"/>
      <c r="B443" s="18"/>
      <c r="C443" s="18"/>
      <c r="D443" s="7"/>
      <c r="E443" s="326"/>
      <c r="F443" s="1479" t="s">
        <v>8616</v>
      </c>
      <c r="G443" s="1480"/>
      <c r="H443" s="1480"/>
      <c r="I443" s="1480"/>
      <c r="J443" s="1480"/>
      <c r="K443" s="1480"/>
      <c r="L443" s="1480"/>
      <c r="M443" s="1481"/>
      <c r="N443" s="333" t="str">
        <f ca="1">"Concentração"&amp;" "&amp;'Calculos(2)'!$BJ$3</f>
        <v>Concentração -</v>
      </c>
      <c r="O443" s="333" t="s">
        <v>6038</v>
      </c>
      <c r="P443" s="333" t="s">
        <v>8126</v>
      </c>
      <c r="Q443" s="333" t="s">
        <v>8028</v>
      </c>
      <c r="R443" s="333" t="s">
        <v>8603</v>
      </c>
      <c r="S443" s="333" t="s">
        <v>8127</v>
      </c>
      <c r="U443" s="328" t="s">
        <v>119</v>
      </c>
      <c r="V443" s="332"/>
      <c r="W443" s="1"/>
    </row>
    <row r="444" spans="1:23" ht="20.100000000000001" customHeight="1" x14ac:dyDescent="0.25">
      <c r="A444" s="18"/>
      <c r="B444" s="18"/>
      <c r="C444" s="18"/>
      <c r="D444" s="7"/>
      <c r="E444" s="326"/>
      <c r="F444" s="1482" t="str">
        <f ca="1">'Calculos(2)'!$BJ$5</f>
        <v>-</v>
      </c>
      <c r="G444" s="1483"/>
      <c r="H444" s="1483"/>
      <c r="I444" s="1484"/>
      <c r="J444" s="1472" t="s">
        <v>7103</v>
      </c>
      <c r="K444" s="1473"/>
      <c r="L444" s="1473"/>
      <c r="M444" s="1474"/>
      <c r="N444" s="334"/>
      <c r="O444" s="334"/>
      <c r="P444" s="335"/>
      <c r="Q444" s="335"/>
      <c r="R444" s="335">
        <v>0</v>
      </c>
      <c r="S444" s="331">
        <f>O444/2</f>
        <v>0</v>
      </c>
      <c r="U444" s="331" t="str">
        <f ca="1">'Calculos(2)'!BZ$90</f>
        <v>-</v>
      </c>
      <c r="V444" s="332"/>
      <c r="W444" s="1"/>
    </row>
    <row r="445" spans="1:23" ht="20.100000000000001" customHeight="1" x14ac:dyDescent="0.25">
      <c r="A445" s="18"/>
      <c r="B445" s="18"/>
      <c r="C445" s="18"/>
      <c r="D445" s="7"/>
      <c r="E445" s="326"/>
      <c r="F445" s="1485"/>
      <c r="G445" s="1486"/>
      <c r="H445" s="1486"/>
      <c r="I445" s="1487"/>
      <c r="J445" s="1193" t="s">
        <v>8027</v>
      </c>
      <c r="K445" s="1194"/>
      <c r="L445" s="1194"/>
      <c r="M445" s="1491"/>
      <c r="N445" s="334"/>
      <c r="O445" s="334"/>
      <c r="P445" s="335"/>
      <c r="Q445" s="335"/>
      <c r="R445" s="335"/>
      <c r="U445" s="331" t="str">
        <f ca="1">'Calculos(2)'!BZ$91</f>
        <v>-</v>
      </c>
      <c r="V445" s="332"/>
      <c r="W445" s="1"/>
    </row>
    <row r="446" spans="1:23" ht="20.100000000000001" customHeight="1" x14ac:dyDescent="0.25">
      <c r="A446" s="18"/>
      <c r="B446" s="18"/>
      <c r="C446" s="18"/>
      <c r="D446" s="7"/>
      <c r="E446" s="326"/>
      <c r="F446" s="1485"/>
      <c r="G446" s="1486"/>
      <c r="H446" s="1486"/>
      <c r="I446" s="1487"/>
      <c r="J446" s="1195"/>
      <c r="K446" s="1084"/>
      <c r="L446" s="1084"/>
      <c r="M446" s="1492"/>
      <c r="N446" s="334"/>
      <c r="O446" s="334"/>
      <c r="P446" s="335"/>
      <c r="Q446" s="335"/>
      <c r="R446" s="335"/>
      <c r="U446" s="331" t="str">
        <f ca="1">'Calculos(2)'!BZ$92</f>
        <v>-</v>
      </c>
      <c r="V446" s="332"/>
      <c r="W446" s="1"/>
    </row>
    <row r="447" spans="1:23" ht="20.100000000000001" customHeight="1" x14ac:dyDescent="0.25">
      <c r="A447" s="18"/>
      <c r="B447" s="18"/>
      <c r="C447" s="18"/>
      <c r="D447" s="7"/>
      <c r="E447" s="326"/>
      <c r="F447" s="1485"/>
      <c r="G447" s="1486"/>
      <c r="H447" s="1486"/>
      <c r="I447" s="1487"/>
      <c r="J447" s="1195"/>
      <c r="K447" s="1084"/>
      <c r="L447" s="1084"/>
      <c r="M447" s="1492"/>
      <c r="N447" s="334"/>
      <c r="O447" s="334"/>
      <c r="P447" s="335"/>
      <c r="Q447" s="335"/>
      <c r="R447" s="335"/>
      <c r="U447" s="331" t="str">
        <f ca="1">'Calculos(2)'!BZ$93</f>
        <v>-</v>
      </c>
      <c r="V447" s="332"/>
      <c r="W447" s="1"/>
    </row>
    <row r="448" spans="1:23" ht="20.100000000000001" customHeight="1" x14ac:dyDescent="0.25">
      <c r="A448" s="18"/>
      <c r="B448" s="18"/>
      <c r="C448" s="18"/>
      <c r="D448" s="7"/>
      <c r="E448" s="326"/>
      <c r="F448" s="1485"/>
      <c r="G448" s="1486"/>
      <c r="H448" s="1486"/>
      <c r="I448" s="1487"/>
      <c r="J448" s="1195"/>
      <c r="K448" s="1084"/>
      <c r="L448" s="1084"/>
      <c r="M448" s="1492"/>
      <c r="N448" s="334"/>
      <c r="O448" s="334"/>
      <c r="P448" s="335"/>
      <c r="Q448" s="335"/>
      <c r="R448" s="335"/>
      <c r="U448" s="331" t="str">
        <f ca="1">'Calculos(2)'!BZ$94</f>
        <v>-</v>
      </c>
      <c r="V448" s="332"/>
      <c r="W448" s="1"/>
    </row>
    <row r="449" spans="1:23" ht="20.100000000000001" customHeight="1" x14ac:dyDescent="0.25">
      <c r="A449" s="18"/>
      <c r="B449" s="18"/>
      <c r="C449" s="18"/>
      <c r="D449" s="7"/>
      <c r="E449" s="326"/>
      <c r="F449" s="1485"/>
      <c r="G449" s="1486"/>
      <c r="H449" s="1486"/>
      <c r="I449" s="1487"/>
      <c r="J449" s="1195"/>
      <c r="K449" s="1084"/>
      <c r="L449" s="1084"/>
      <c r="M449" s="1492"/>
      <c r="N449" s="334"/>
      <c r="O449" s="334"/>
      <c r="P449" s="335"/>
      <c r="Q449" s="335"/>
      <c r="R449" s="335"/>
      <c r="U449" s="331" t="str">
        <f ca="1">'Calculos(2)'!BZ$95</f>
        <v>-</v>
      </c>
      <c r="V449" s="332"/>
      <c r="W449" s="1"/>
    </row>
    <row r="450" spans="1:23" ht="20.100000000000001" customHeight="1" x14ac:dyDescent="0.25">
      <c r="A450" s="18"/>
      <c r="B450" s="18"/>
      <c r="C450" s="18"/>
      <c r="D450" s="7"/>
      <c r="E450" s="326"/>
      <c r="F450" s="1485"/>
      <c r="G450" s="1486"/>
      <c r="H450" s="1486"/>
      <c r="I450" s="1487"/>
      <c r="J450" s="1195"/>
      <c r="K450" s="1084"/>
      <c r="L450" s="1084"/>
      <c r="M450" s="1492"/>
      <c r="N450" s="334"/>
      <c r="O450" s="334"/>
      <c r="P450" s="335"/>
      <c r="Q450" s="335"/>
      <c r="R450" s="335"/>
      <c r="U450" s="331" t="str">
        <f ca="1">'Calculos(2)'!BZ$96</f>
        <v>-</v>
      </c>
      <c r="V450" s="332"/>
      <c r="W450" s="1"/>
    </row>
    <row r="451" spans="1:23" ht="20.100000000000001" customHeight="1" x14ac:dyDescent="0.25">
      <c r="A451" s="18"/>
      <c r="B451" s="18"/>
      <c r="C451" s="18"/>
      <c r="D451" s="7"/>
      <c r="E451" s="326"/>
      <c r="F451" s="1485"/>
      <c r="G451" s="1486"/>
      <c r="H451" s="1486"/>
      <c r="I451" s="1487"/>
      <c r="J451" s="1195"/>
      <c r="K451" s="1084"/>
      <c r="L451" s="1084"/>
      <c r="M451" s="1492"/>
      <c r="N451" s="334"/>
      <c r="O451" s="334"/>
      <c r="P451" s="335"/>
      <c r="Q451" s="335"/>
      <c r="R451" s="335"/>
      <c r="U451" s="331" t="str">
        <f ca="1">'Calculos(2)'!BZ$97</f>
        <v>-</v>
      </c>
      <c r="V451" s="332"/>
      <c r="W451" s="7"/>
    </row>
    <row r="452" spans="1:23" ht="20.100000000000001" customHeight="1" x14ac:dyDescent="0.25">
      <c r="A452" s="18"/>
      <c r="B452" s="18"/>
      <c r="C452" s="18"/>
      <c r="D452" s="7"/>
      <c r="E452" s="326"/>
      <c r="F452" s="1485"/>
      <c r="G452" s="1486"/>
      <c r="H452" s="1486"/>
      <c r="I452" s="1487"/>
      <c r="J452" s="1195"/>
      <c r="K452" s="1084"/>
      <c r="L452" s="1084"/>
      <c r="M452" s="1492"/>
      <c r="N452" s="334"/>
      <c r="O452" s="334"/>
      <c r="P452" s="335"/>
      <c r="Q452" s="335"/>
      <c r="R452" s="335"/>
      <c r="U452" s="331" t="str">
        <f ca="1">'Calculos(2)'!BZ$98</f>
        <v>-</v>
      </c>
      <c r="V452" s="332"/>
      <c r="W452" s="7"/>
    </row>
    <row r="453" spans="1:23" ht="20.100000000000001" customHeight="1" x14ac:dyDescent="0.25">
      <c r="A453" s="18"/>
      <c r="B453" s="18"/>
      <c r="C453" s="18"/>
      <c r="D453" s="7"/>
      <c r="E453" s="326"/>
      <c r="F453" s="1485"/>
      <c r="G453" s="1486"/>
      <c r="H453" s="1486"/>
      <c r="I453" s="1487"/>
      <c r="J453" s="1195"/>
      <c r="K453" s="1084"/>
      <c r="L453" s="1084"/>
      <c r="M453" s="1492"/>
      <c r="N453" s="334"/>
      <c r="O453" s="334"/>
      <c r="P453" s="335"/>
      <c r="Q453" s="335"/>
      <c r="R453" s="335"/>
      <c r="U453" s="331" t="str">
        <f ca="1">'Calculos(2)'!BZ$99</f>
        <v>-</v>
      </c>
      <c r="V453" s="332"/>
      <c r="W453" s="1"/>
    </row>
    <row r="454" spans="1:23" ht="20.100000000000001" customHeight="1" x14ac:dyDescent="0.25">
      <c r="A454" s="18"/>
      <c r="B454" s="18"/>
      <c r="C454" s="18"/>
      <c r="D454" s="7"/>
      <c r="E454" s="326"/>
      <c r="F454" s="1485"/>
      <c r="G454" s="1486"/>
      <c r="H454" s="1486"/>
      <c r="I454" s="1487"/>
      <c r="J454" s="1196"/>
      <c r="K454" s="1121"/>
      <c r="L454" s="1121"/>
      <c r="M454" s="1493"/>
      <c r="N454" s="334"/>
      <c r="O454" s="334"/>
      <c r="P454" s="335"/>
      <c r="Q454" s="335"/>
      <c r="R454" s="335"/>
      <c r="U454" s="331" t="str">
        <f ca="1">'Calculos(2)'!BZ$100</f>
        <v>-</v>
      </c>
      <c r="V454" s="329"/>
      <c r="W454" s="1"/>
    </row>
    <row r="455" spans="1:23" ht="20.100000000000001" customHeight="1" x14ac:dyDescent="0.25">
      <c r="A455" s="18"/>
      <c r="B455" s="18"/>
      <c r="C455" s="18"/>
      <c r="D455" s="7"/>
      <c r="E455" s="326"/>
      <c r="F455" s="1488"/>
      <c r="G455" s="1489"/>
      <c r="H455" s="1489"/>
      <c r="I455" s="1490"/>
      <c r="J455" s="1472" t="s">
        <v>80</v>
      </c>
      <c r="K455" s="1473"/>
      <c r="L455" s="1473"/>
      <c r="M455" s="1474"/>
      <c r="N455" s="334"/>
      <c r="O455" s="334"/>
      <c r="P455" s="335"/>
      <c r="Q455" s="335"/>
      <c r="R455" s="335" t="s">
        <v>10</v>
      </c>
      <c r="U455" s="331" t="str">
        <f ca="1">'Calculos(2)'!BZ$101</f>
        <v>-</v>
      </c>
      <c r="V455" s="329"/>
      <c r="W455" s="1"/>
    </row>
    <row r="456" spans="1:23" ht="20.100000000000001" customHeight="1" x14ac:dyDescent="0.25">
      <c r="A456" s="18"/>
      <c r="B456" s="18"/>
      <c r="C456" s="18"/>
      <c r="D456" s="7"/>
      <c r="E456" s="336"/>
      <c r="F456" s="337"/>
      <c r="G456" s="337"/>
      <c r="H456" s="337"/>
      <c r="I456" s="337"/>
      <c r="J456" s="337"/>
      <c r="K456" s="337"/>
      <c r="L456" s="337"/>
      <c r="M456" s="337"/>
      <c r="N456" s="337"/>
      <c r="O456" s="337"/>
      <c r="P456" s="337"/>
      <c r="Q456" s="337"/>
      <c r="R456" s="337"/>
      <c r="S456" s="337"/>
      <c r="T456" s="337"/>
      <c r="U456" s="337"/>
      <c r="V456" s="338"/>
      <c r="W456" s="1"/>
    </row>
    <row r="457" spans="1:23" ht="20.100000000000001" hidden="1" customHeight="1" x14ac:dyDescent="0.25">
      <c r="A457" s="18"/>
      <c r="B457" s="18"/>
      <c r="C457" s="18"/>
      <c r="D457" s="7"/>
      <c r="E457" s="2"/>
      <c r="W457" s="1"/>
    </row>
    <row r="458" spans="1:23" ht="20.100000000000001" customHeight="1" x14ac:dyDescent="0.25">
      <c r="A458" s="18"/>
      <c r="B458" s="18"/>
      <c r="C458" s="18"/>
      <c r="D458" s="7"/>
      <c r="E458" s="7"/>
      <c r="F458" s="7"/>
      <c r="G458" s="7"/>
      <c r="H458" s="7"/>
      <c r="I458" s="7"/>
      <c r="J458" s="7"/>
      <c r="K458" s="7"/>
      <c r="L458" s="7"/>
      <c r="M458" s="7"/>
      <c r="N458" s="7"/>
      <c r="O458" s="7"/>
      <c r="P458" s="7"/>
      <c r="Q458" s="7"/>
      <c r="R458" s="7"/>
      <c r="S458" s="7"/>
      <c r="T458" s="7"/>
      <c r="U458" s="7"/>
      <c r="V458" s="7"/>
      <c r="W458" s="7"/>
    </row>
    <row r="459" spans="1:23" ht="20.100000000000001" customHeight="1" x14ac:dyDescent="0.25">
      <c r="A459" s="18"/>
      <c r="B459" s="18"/>
      <c r="C459" s="18"/>
      <c r="D459" s="7"/>
      <c r="E459" s="321"/>
      <c r="F459" s="322"/>
      <c r="G459" s="323"/>
      <c r="H459" s="323"/>
      <c r="I459" s="323"/>
      <c r="J459" s="323"/>
      <c r="K459" s="323"/>
      <c r="L459" s="323"/>
      <c r="M459" s="323"/>
      <c r="N459" s="323"/>
      <c r="O459" s="323"/>
      <c r="P459" s="323"/>
      <c r="Q459" s="323"/>
      <c r="R459" s="323"/>
      <c r="S459" s="339"/>
      <c r="T459" s="339"/>
      <c r="U459" s="340"/>
      <c r="V459" s="325"/>
      <c r="W459" s="1"/>
    </row>
    <row r="460" spans="1:23" ht="45" customHeight="1" x14ac:dyDescent="0.25">
      <c r="A460" s="18"/>
      <c r="B460" s="18"/>
      <c r="C460" s="18"/>
      <c r="D460" s="7"/>
      <c r="E460" s="326"/>
      <c r="F460" s="1469" t="s">
        <v>8608</v>
      </c>
      <c r="G460" s="1470"/>
      <c r="H460" s="1470"/>
      <c r="I460" s="1470"/>
      <c r="J460" s="1470"/>
      <c r="K460" s="1470"/>
      <c r="L460" s="1470"/>
      <c r="M460" s="1470"/>
      <c r="N460" s="327" t="str">
        <f ca="1">"Concentração"&amp;" "&amp;'Calculos(2)'!$BJ$3</f>
        <v>Concentração -</v>
      </c>
      <c r="O460" s="327" t="s">
        <v>6038</v>
      </c>
      <c r="P460" s="327" t="s">
        <v>8126</v>
      </c>
      <c r="Q460" s="327" t="s">
        <v>8028</v>
      </c>
      <c r="R460" s="327" t="s">
        <v>8603</v>
      </c>
      <c r="S460" s="327" t="s">
        <v>8127</v>
      </c>
      <c r="U460" s="328" t="s">
        <v>119</v>
      </c>
      <c r="V460" s="332"/>
      <c r="W460" s="1"/>
    </row>
    <row r="461" spans="1:23" ht="20.100000000000001" customHeight="1" x14ac:dyDescent="0.25">
      <c r="A461" s="18"/>
      <c r="B461" s="18"/>
      <c r="C461" s="18"/>
      <c r="D461" s="7"/>
      <c r="E461" s="326"/>
      <c r="F461" s="1471" t="str">
        <f ca="1">'Calculos(2)'!$BJ$5</f>
        <v>-</v>
      </c>
      <c r="G461" s="1471"/>
      <c r="H461" s="1471"/>
      <c r="I461" s="1471"/>
      <c r="J461" s="1472" t="s">
        <v>7103</v>
      </c>
      <c r="K461" s="1473"/>
      <c r="L461" s="1473"/>
      <c r="M461" s="1474"/>
      <c r="N461" s="188"/>
      <c r="O461" s="188"/>
      <c r="P461" s="330"/>
      <c r="Q461" s="330"/>
      <c r="R461" s="187">
        <v>0</v>
      </c>
      <c r="S461" s="331">
        <f>O461/2</f>
        <v>0</v>
      </c>
      <c r="U461" s="331" t="str">
        <f ca="1">'Calculos(2)'!BZ$106</f>
        <v>-</v>
      </c>
      <c r="V461" s="332"/>
      <c r="W461" s="1"/>
    </row>
    <row r="462" spans="1:23" ht="20.100000000000001" customHeight="1" x14ac:dyDescent="0.25">
      <c r="A462" s="18"/>
      <c r="B462" s="18"/>
      <c r="C462" s="18"/>
      <c r="D462" s="7"/>
      <c r="E462" s="326"/>
      <c r="F462" s="1471"/>
      <c r="G462" s="1471"/>
      <c r="H462" s="1471"/>
      <c r="I462" s="1471"/>
      <c r="J462" s="1286" t="s">
        <v>8027</v>
      </c>
      <c r="K462" s="1286"/>
      <c r="L462" s="1286"/>
      <c r="M462" s="1286"/>
      <c r="N462" s="188"/>
      <c r="O462" s="188"/>
      <c r="P462" s="330"/>
      <c r="Q462" s="330"/>
      <c r="R462" s="187"/>
      <c r="U462" s="331" t="str">
        <f ca="1">'Calculos(2)'!BZ$107</f>
        <v>-</v>
      </c>
      <c r="V462" s="332"/>
      <c r="W462" s="1"/>
    </row>
    <row r="463" spans="1:23" ht="20.100000000000001" customHeight="1" x14ac:dyDescent="0.25">
      <c r="A463" s="18"/>
      <c r="B463" s="18"/>
      <c r="C463" s="18"/>
      <c r="D463" s="7"/>
      <c r="E463" s="326"/>
      <c r="F463" s="1471"/>
      <c r="G463" s="1471"/>
      <c r="H463" s="1471"/>
      <c r="I463" s="1471"/>
      <c r="J463" s="1286"/>
      <c r="K463" s="1286"/>
      <c r="L463" s="1286"/>
      <c r="M463" s="1286"/>
      <c r="N463" s="188"/>
      <c r="O463" s="188"/>
      <c r="P463" s="330"/>
      <c r="Q463" s="330"/>
      <c r="R463" s="187"/>
      <c r="U463" s="331" t="str">
        <f ca="1">'Calculos(2)'!BZ$108</f>
        <v>-</v>
      </c>
      <c r="V463" s="332"/>
      <c r="W463" s="1"/>
    </row>
    <row r="464" spans="1:23" ht="20.100000000000001" customHeight="1" x14ac:dyDescent="0.25">
      <c r="A464" s="18"/>
      <c r="B464" s="18"/>
      <c r="C464" s="18"/>
      <c r="D464" s="7"/>
      <c r="E464" s="326"/>
      <c r="F464" s="1471"/>
      <c r="G464" s="1471"/>
      <c r="H464" s="1471"/>
      <c r="I464" s="1471"/>
      <c r="J464" s="1286"/>
      <c r="K464" s="1286"/>
      <c r="L464" s="1286"/>
      <c r="M464" s="1286"/>
      <c r="N464" s="188"/>
      <c r="O464" s="188"/>
      <c r="P464" s="330"/>
      <c r="Q464" s="330"/>
      <c r="R464" s="187"/>
      <c r="U464" s="331" t="str">
        <f ca="1">'Calculos(2)'!BZ$109</f>
        <v>-</v>
      </c>
      <c r="V464" s="332"/>
      <c r="W464" s="7"/>
    </row>
    <row r="465" spans="1:23" ht="20.100000000000001" customHeight="1" x14ac:dyDescent="0.25">
      <c r="A465" s="18"/>
      <c r="B465" s="18"/>
      <c r="C465" s="18"/>
      <c r="D465" s="7"/>
      <c r="E465" s="326"/>
      <c r="F465" s="1471"/>
      <c r="G465" s="1471"/>
      <c r="H465" s="1471"/>
      <c r="I465" s="1471"/>
      <c r="J465" s="1286"/>
      <c r="K465" s="1286"/>
      <c r="L465" s="1286"/>
      <c r="M465" s="1286"/>
      <c r="N465" s="188"/>
      <c r="O465" s="188"/>
      <c r="P465" s="330"/>
      <c r="Q465" s="330"/>
      <c r="R465" s="187"/>
      <c r="U465" s="331" t="str">
        <f ca="1">'Calculos(2)'!BZ$110</f>
        <v>-</v>
      </c>
      <c r="V465" s="332"/>
      <c r="W465" s="7"/>
    </row>
    <row r="466" spans="1:23" ht="20.100000000000001" customHeight="1" x14ac:dyDescent="0.25">
      <c r="A466" s="18"/>
      <c r="B466" s="18"/>
      <c r="C466" s="18"/>
      <c r="D466" s="7"/>
      <c r="E466" s="326"/>
      <c r="F466" s="1471"/>
      <c r="G466" s="1471"/>
      <c r="H466" s="1471"/>
      <c r="I466" s="1471"/>
      <c r="J466" s="1286"/>
      <c r="K466" s="1286"/>
      <c r="L466" s="1286"/>
      <c r="M466" s="1286"/>
      <c r="N466" s="188"/>
      <c r="O466" s="188"/>
      <c r="P466" s="330"/>
      <c r="Q466" s="330"/>
      <c r="R466" s="187"/>
      <c r="U466" s="331" t="str">
        <f ca="1">'Calculos(2)'!BZ$111</f>
        <v>-</v>
      </c>
      <c r="V466" s="332"/>
      <c r="W466" s="1"/>
    </row>
    <row r="467" spans="1:23" ht="20.100000000000001" customHeight="1" x14ac:dyDescent="0.25">
      <c r="A467" s="18"/>
      <c r="B467" s="18"/>
      <c r="C467" s="18"/>
      <c r="D467" s="7"/>
      <c r="E467" s="326"/>
      <c r="F467" s="1471"/>
      <c r="G467" s="1471"/>
      <c r="H467" s="1471"/>
      <c r="I467" s="1471"/>
      <c r="J467" s="1286"/>
      <c r="K467" s="1286"/>
      <c r="L467" s="1286"/>
      <c r="M467" s="1286"/>
      <c r="N467" s="188"/>
      <c r="O467" s="188"/>
      <c r="P467" s="330"/>
      <c r="Q467" s="330"/>
      <c r="R467" s="187"/>
      <c r="U467" s="331" t="str">
        <f ca="1">'Calculos(2)'!BZ$112</f>
        <v>-</v>
      </c>
      <c r="V467" s="332"/>
      <c r="W467" s="1"/>
    </row>
    <row r="468" spans="1:23" ht="20.100000000000001" customHeight="1" x14ac:dyDescent="0.25">
      <c r="A468" s="18"/>
      <c r="B468" s="18"/>
      <c r="C468" s="18"/>
      <c r="D468" s="7"/>
      <c r="E468" s="326"/>
      <c r="F468" s="1471"/>
      <c r="G468" s="1471"/>
      <c r="H468" s="1471"/>
      <c r="I468" s="1471"/>
      <c r="J468" s="1286"/>
      <c r="K468" s="1286"/>
      <c r="L468" s="1286"/>
      <c r="M468" s="1286"/>
      <c r="N468" s="188"/>
      <c r="O468" s="188"/>
      <c r="P468" s="330"/>
      <c r="Q468" s="330"/>
      <c r="R468" s="187"/>
      <c r="U468" s="331" t="str">
        <f ca="1">'Calculos(2)'!BZ$113</f>
        <v>-</v>
      </c>
      <c r="V468" s="332"/>
      <c r="W468" s="1"/>
    </row>
    <row r="469" spans="1:23" ht="20.100000000000001" customHeight="1" x14ac:dyDescent="0.25">
      <c r="A469" s="18"/>
      <c r="B469" s="18"/>
      <c r="C469" s="18"/>
      <c r="D469" s="7"/>
      <c r="E469" s="326"/>
      <c r="F469" s="1471"/>
      <c r="G469" s="1471"/>
      <c r="H469" s="1471"/>
      <c r="I469" s="1471"/>
      <c r="J469" s="1286"/>
      <c r="K469" s="1286"/>
      <c r="L469" s="1286"/>
      <c r="M469" s="1286"/>
      <c r="N469" s="188"/>
      <c r="O469" s="188"/>
      <c r="P469" s="330"/>
      <c r="Q469" s="330"/>
      <c r="R469" s="187"/>
      <c r="U469" s="331" t="str">
        <f ca="1">'Calculos(2)'!BZ$114</f>
        <v>-</v>
      </c>
      <c r="V469" s="332"/>
      <c r="W469" s="1"/>
    </row>
    <row r="470" spans="1:23" ht="20.100000000000001" customHeight="1" x14ac:dyDescent="0.25">
      <c r="A470" s="18"/>
      <c r="B470" s="18"/>
      <c r="C470" s="18"/>
      <c r="D470" s="7"/>
      <c r="E470" s="326"/>
      <c r="F470" s="1471"/>
      <c r="G470" s="1471"/>
      <c r="H470" s="1471"/>
      <c r="I470" s="1471"/>
      <c r="J470" s="1286"/>
      <c r="K470" s="1286"/>
      <c r="L470" s="1286"/>
      <c r="M470" s="1286"/>
      <c r="N470" s="188"/>
      <c r="O470" s="188"/>
      <c r="P470" s="330"/>
      <c r="Q470" s="330"/>
      <c r="R470" s="187"/>
      <c r="U470" s="331" t="str">
        <f ca="1">'Calculos(2)'!BZ$115</f>
        <v>-</v>
      </c>
      <c r="V470" s="332"/>
      <c r="W470" s="1"/>
    </row>
    <row r="471" spans="1:23" ht="20.100000000000001" customHeight="1" x14ac:dyDescent="0.25">
      <c r="A471" s="18"/>
      <c r="B471" s="18"/>
      <c r="C471" s="18"/>
      <c r="D471" s="7"/>
      <c r="E471" s="326"/>
      <c r="F471" s="1471"/>
      <c r="G471" s="1471"/>
      <c r="H471" s="1471"/>
      <c r="I471" s="1471"/>
      <c r="J471" s="1286"/>
      <c r="K471" s="1286"/>
      <c r="L471" s="1286"/>
      <c r="M471" s="1286"/>
      <c r="N471" s="188"/>
      <c r="O471" s="188"/>
      <c r="P471" s="330"/>
      <c r="Q471" s="330"/>
      <c r="R471" s="187"/>
      <c r="U471" s="331" t="str">
        <f ca="1">'Calculos(2)'!BZ$116</f>
        <v>-</v>
      </c>
      <c r="V471" s="332"/>
      <c r="W471" s="1"/>
    </row>
    <row r="472" spans="1:23" ht="20.100000000000001" customHeight="1" x14ac:dyDescent="0.25">
      <c r="A472" s="18"/>
      <c r="B472" s="18"/>
      <c r="C472" s="18"/>
      <c r="D472" s="7"/>
      <c r="E472" s="326"/>
      <c r="F472" s="1471"/>
      <c r="G472" s="1471"/>
      <c r="H472" s="1471"/>
      <c r="I472" s="1471"/>
      <c r="J472" s="1472" t="s">
        <v>80</v>
      </c>
      <c r="K472" s="1473"/>
      <c r="L472" s="1473"/>
      <c r="M472" s="1474"/>
      <c r="N472" s="188"/>
      <c r="O472" s="188"/>
      <c r="P472" s="330"/>
      <c r="Q472" s="330"/>
      <c r="R472" s="187" t="s">
        <v>10</v>
      </c>
      <c r="U472" s="331" t="str">
        <f ca="1">'Calculos(2)'!BZ$117</f>
        <v>-</v>
      </c>
      <c r="V472" s="332"/>
      <c r="W472" s="1"/>
    </row>
    <row r="473" spans="1:23" ht="20.100000000000001" customHeight="1" x14ac:dyDescent="0.25">
      <c r="A473" s="18"/>
      <c r="B473" s="18"/>
      <c r="C473" s="18"/>
      <c r="D473" s="7"/>
      <c r="E473" s="326"/>
      <c r="V473" s="332"/>
      <c r="W473" s="1"/>
    </row>
    <row r="474" spans="1:23" ht="20.100000000000001" hidden="1" customHeight="1" x14ac:dyDescent="0.25">
      <c r="A474" s="18"/>
      <c r="B474" s="18"/>
      <c r="C474" s="18"/>
      <c r="D474" s="7"/>
      <c r="E474" s="326"/>
      <c r="V474" s="332"/>
      <c r="W474" s="1"/>
    </row>
    <row r="475" spans="1:23" ht="20.100000000000001" hidden="1" customHeight="1" x14ac:dyDescent="0.25">
      <c r="A475" s="18"/>
      <c r="B475" s="18"/>
      <c r="C475" s="18"/>
      <c r="D475" s="7"/>
      <c r="E475" s="326"/>
      <c r="V475" s="332"/>
      <c r="W475" s="1"/>
    </row>
    <row r="476" spans="1:23" ht="20.100000000000001" customHeight="1" x14ac:dyDescent="0.25">
      <c r="A476" s="18"/>
      <c r="B476" s="18"/>
      <c r="C476" s="18"/>
      <c r="D476" s="7"/>
      <c r="E476" s="326"/>
      <c r="V476" s="332"/>
      <c r="W476" s="1"/>
    </row>
    <row r="477" spans="1:23" ht="45" customHeight="1" x14ac:dyDescent="0.25">
      <c r="A477" s="18"/>
      <c r="B477" s="18"/>
      <c r="C477" s="18"/>
      <c r="D477" s="7"/>
      <c r="E477" s="326"/>
      <c r="F477" s="1475" t="s">
        <v>8617</v>
      </c>
      <c r="G477" s="1476"/>
      <c r="H477" s="1476"/>
      <c r="I477" s="1476"/>
      <c r="J477" s="1476"/>
      <c r="K477" s="1476"/>
      <c r="L477" s="1476"/>
      <c r="M477" s="1476"/>
      <c r="N477" s="333" t="str">
        <f ca="1">"Concentração"&amp;" "&amp;'Calculos(2)'!$BJ$3</f>
        <v>Concentração -</v>
      </c>
      <c r="O477" s="333" t="s">
        <v>6038</v>
      </c>
      <c r="P477" s="333" t="s">
        <v>8126</v>
      </c>
      <c r="Q477" s="333" t="s">
        <v>8028</v>
      </c>
      <c r="R477" s="333" t="s">
        <v>8603</v>
      </c>
      <c r="S477" s="333" t="s">
        <v>8127</v>
      </c>
      <c r="U477" s="328" t="s">
        <v>119</v>
      </c>
      <c r="V477" s="332"/>
      <c r="W477" s="1"/>
    </row>
    <row r="478" spans="1:23" ht="20.100000000000001" customHeight="1" x14ac:dyDescent="0.25">
      <c r="A478" s="18"/>
      <c r="B478" s="18"/>
      <c r="C478" s="18"/>
      <c r="D478" s="7"/>
      <c r="E478" s="326"/>
      <c r="F478" s="1471" t="str">
        <f ca="1">'Calculos(2)'!$BJ$5</f>
        <v>-</v>
      </c>
      <c r="G478" s="1471"/>
      <c r="H478" s="1471"/>
      <c r="I478" s="1471"/>
      <c r="J478" s="1472" t="s">
        <v>7103</v>
      </c>
      <c r="K478" s="1473"/>
      <c r="L478" s="1473"/>
      <c r="M478" s="1474"/>
      <c r="N478" s="334"/>
      <c r="O478" s="334"/>
      <c r="P478" s="335"/>
      <c r="Q478" s="335"/>
      <c r="R478" s="335">
        <v>0</v>
      </c>
      <c r="S478" s="331">
        <f>O478/2</f>
        <v>0</v>
      </c>
      <c r="U478" s="331" t="str">
        <f ca="1">'Calculos(2)'!BZ$122</f>
        <v>-</v>
      </c>
      <c r="V478" s="332"/>
      <c r="W478" s="1"/>
    </row>
    <row r="479" spans="1:23" ht="20.100000000000001" customHeight="1" x14ac:dyDescent="0.25">
      <c r="A479" s="18"/>
      <c r="B479" s="18"/>
      <c r="C479" s="18"/>
      <c r="D479" s="7"/>
      <c r="E479" s="326"/>
      <c r="F479" s="1471"/>
      <c r="G479" s="1471"/>
      <c r="H479" s="1471"/>
      <c r="I479" s="1471"/>
      <c r="J479" s="1286" t="s">
        <v>8027</v>
      </c>
      <c r="K479" s="1286"/>
      <c r="L479" s="1286"/>
      <c r="M479" s="1286"/>
      <c r="N479" s="334"/>
      <c r="O479" s="334"/>
      <c r="P479" s="335"/>
      <c r="Q479" s="335"/>
      <c r="R479" s="335"/>
      <c r="U479" s="331" t="str">
        <f ca="1">'Calculos(2)'!BZ$123</f>
        <v>-</v>
      </c>
      <c r="V479" s="332"/>
      <c r="W479" s="1"/>
    </row>
    <row r="480" spans="1:23" ht="20.100000000000001" customHeight="1" x14ac:dyDescent="0.25">
      <c r="A480" s="18"/>
      <c r="B480" s="18"/>
      <c r="C480" s="18"/>
      <c r="D480" s="7"/>
      <c r="E480" s="326"/>
      <c r="F480" s="1471"/>
      <c r="G480" s="1471"/>
      <c r="H480" s="1471"/>
      <c r="I480" s="1471"/>
      <c r="J480" s="1286"/>
      <c r="K480" s="1286"/>
      <c r="L480" s="1286"/>
      <c r="M480" s="1286"/>
      <c r="N480" s="334"/>
      <c r="O480" s="334"/>
      <c r="P480" s="335"/>
      <c r="Q480" s="335"/>
      <c r="R480" s="335"/>
      <c r="U480" s="331" t="str">
        <f ca="1">'Calculos(2)'!BZ$124</f>
        <v>-</v>
      </c>
      <c r="V480" s="332"/>
      <c r="W480" s="7"/>
    </row>
    <row r="481" spans="1:23" ht="20.100000000000001" customHeight="1" x14ac:dyDescent="0.25">
      <c r="A481" s="18"/>
      <c r="B481" s="18"/>
      <c r="C481" s="18"/>
      <c r="D481" s="7"/>
      <c r="E481" s="326"/>
      <c r="F481" s="1471"/>
      <c r="G481" s="1471"/>
      <c r="H481" s="1471"/>
      <c r="I481" s="1471"/>
      <c r="J481" s="1286"/>
      <c r="K481" s="1286"/>
      <c r="L481" s="1286"/>
      <c r="M481" s="1286"/>
      <c r="N481" s="334"/>
      <c r="O481" s="334"/>
      <c r="P481" s="335"/>
      <c r="Q481" s="335"/>
      <c r="R481" s="335"/>
      <c r="U481" s="331" t="str">
        <f ca="1">'Calculos(2)'!BZ$125</f>
        <v>-</v>
      </c>
      <c r="V481" s="332"/>
      <c r="W481" s="7"/>
    </row>
    <row r="482" spans="1:23" ht="20.100000000000001" customHeight="1" x14ac:dyDescent="0.25">
      <c r="A482" s="18"/>
      <c r="B482" s="18"/>
      <c r="C482" s="18"/>
      <c r="D482" s="7"/>
      <c r="E482" s="326"/>
      <c r="F482" s="1471"/>
      <c r="G482" s="1471"/>
      <c r="H482" s="1471"/>
      <c r="I482" s="1471"/>
      <c r="J482" s="1286"/>
      <c r="K482" s="1286"/>
      <c r="L482" s="1286"/>
      <c r="M482" s="1286"/>
      <c r="N482" s="334"/>
      <c r="O482" s="334"/>
      <c r="P482" s="335"/>
      <c r="Q482" s="335"/>
      <c r="R482" s="335"/>
      <c r="U482" s="331" t="str">
        <f ca="1">'Calculos(2)'!BZ$126</f>
        <v>-</v>
      </c>
      <c r="V482" s="332"/>
      <c r="W482" s="1"/>
    </row>
    <row r="483" spans="1:23" ht="20.100000000000001" customHeight="1" x14ac:dyDescent="0.25">
      <c r="A483" s="18"/>
      <c r="B483" s="18"/>
      <c r="C483" s="18"/>
      <c r="D483" s="7"/>
      <c r="E483" s="326"/>
      <c r="F483" s="1471"/>
      <c r="G483" s="1471"/>
      <c r="H483" s="1471"/>
      <c r="I483" s="1471"/>
      <c r="J483" s="1286"/>
      <c r="K483" s="1286"/>
      <c r="L483" s="1286"/>
      <c r="M483" s="1286"/>
      <c r="N483" s="334"/>
      <c r="O483" s="334"/>
      <c r="P483" s="335"/>
      <c r="Q483" s="335"/>
      <c r="R483" s="335"/>
      <c r="U483" s="331" t="str">
        <f ca="1">'Calculos(2)'!BZ$127</f>
        <v>-</v>
      </c>
      <c r="V483" s="332"/>
      <c r="W483" s="1"/>
    </row>
    <row r="484" spans="1:23" ht="20.100000000000001" customHeight="1" x14ac:dyDescent="0.25">
      <c r="A484" s="18"/>
      <c r="B484" s="18"/>
      <c r="C484" s="18"/>
      <c r="D484" s="7"/>
      <c r="E484" s="326"/>
      <c r="F484" s="1471"/>
      <c r="G484" s="1471"/>
      <c r="H484" s="1471"/>
      <c r="I484" s="1471"/>
      <c r="J484" s="1286"/>
      <c r="K484" s="1286"/>
      <c r="L484" s="1286"/>
      <c r="M484" s="1286"/>
      <c r="N484" s="334"/>
      <c r="O484" s="334"/>
      <c r="P484" s="335"/>
      <c r="Q484" s="335"/>
      <c r="R484" s="335"/>
      <c r="U484" s="331" t="str">
        <f ca="1">'Calculos(2)'!BZ$128</f>
        <v>-</v>
      </c>
      <c r="V484" s="332"/>
      <c r="W484" s="1"/>
    </row>
    <row r="485" spans="1:23" ht="20.100000000000001" customHeight="1" x14ac:dyDescent="0.25">
      <c r="A485" s="18"/>
      <c r="B485" s="18"/>
      <c r="C485" s="18"/>
      <c r="D485" s="7"/>
      <c r="E485" s="326"/>
      <c r="F485" s="1471"/>
      <c r="G485" s="1471"/>
      <c r="H485" s="1471"/>
      <c r="I485" s="1471"/>
      <c r="J485" s="1286"/>
      <c r="K485" s="1286"/>
      <c r="L485" s="1286"/>
      <c r="M485" s="1286"/>
      <c r="N485" s="334"/>
      <c r="O485" s="334"/>
      <c r="P485" s="335"/>
      <c r="Q485" s="335"/>
      <c r="R485" s="335"/>
      <c r="U485" s="331" t="str">
        <f ca="1">'Calculos(2)'!BZ$129</f>
        <v>-</v>
      </c>
      <c r="V485" s="332"/>
      <c r="W485" s="1"/>
    </row>
    <row r="486" spans="1:23" ht="20.100000000000001" customHeight="1" x14ac:dyDescent="0.25">
      <c r="A486" s="18"/>
      <c r="B486" s="18"/>
      <c r="C486" s="18"/>
      <c r="D486" s="7"/>
      <c r="E486" s="326"/>
      <c r="F486" s="1471"/>
      <c r="G486" s="1471"/>
      <c r="H486" s="1471"/>
      <c r="I486" s="1471"/>
      <c r="J486" s="1286"/>
      <c r="K486" s="1286"/>
      <c r="L486" s="1286"/>
      <c r="M486" s="1286"/>
      <c r="N486" s="334"/>
      <c r="O486" s="334"/>
      <c r="P486" s="335"/>
      <c r="Q486" s="335"/>
      <c r="R486" s="335"/>
      <c r="U486" s="331" t="str">
        <f ca="1">'Calculos(2)'!BZ$130</f>
        <v>-</v>
      </c>
      <c r="V486" s="332"/>
      <c r="W486" s="1"/>
    </row>
    <row r="487" spans="1:23" ht="20.100000000000001" customHeight="1" x14ac:dyDescent="0.25">
      <c r="A487" s="18"/>
      <c r="B487" s="18"/>
      <c r="C487" s="18"/>
      <c r="D487" s="7"/>
      <c r="E487" s="326"/>
      <c r="F487" s="1471"/>
      <c r="G487" s="1471"/>
      <c r="H487" s="1471"/>
      <c r="I487" s="1471"/>
      <c r="J487" s="1286"/>
      <c r="K487" s="1286"/>
      <c r="L487" s="1286"/>
      <c r="M487" s="1286"/>
      <c r="N487" s="334"/>
      <c r="O487" s="334"/>
      <c r="P487" s="335"/>
      <c r="Q487" s="335"/>
      <c r="R487" s="335"/>
      <c r="U487" s="331" t="str">
        <f ca="1">'Calculos(2)'!BZ$131</f>
        <v>-</v>
      </c>
      <c r="V487" s="332"/>
      <c r="W487" s="1"/>
    </row>
    <row r="488" spans="1:23" ht="20.100000000000001" customHeight="1" x14ac:dyDescent="0.25">
      <c r="A488" s="18"/>
      <c r="B488" s="18"/>
      <c r="C488" s="18"/>
      <c r="D488" s="7"/>
      <c r="E488" s="326"/>
      <c r="F488" s="1471"/>
      <c r="G488" s="1471"/>
      <c r="H488" s="1471"/>
      <c r="I488" s="1471"/>
      <c r="J488" s="1286"/>
      <c r="K488" s="1286"/>
      <c r="L488" s="1286"/>
      <c r="M488" s="1286"/>
      <c r="N488" s="334"/>
      <c r="O488" s="334"/>
      <c r="P488" s="335"/>
      <c r="Q488" s="335"/>
      <c r="R488" s="335"/>
      <c r="U488" s="331" t="str">
        <f ca="1">'Calculos(2)'!BZ$132</f>
        <v>-</v>
      </c>
      <c r="V488" s="329"/>
      <c r="W488" s="1"/>
    </row>
    <row r="489" spans="1:23" ht="20.100000000000001" customHeight="1" x14ac:dyDescent="0.25">
      <c r="A489" s="18"/>
      <c r="B489" s="18"/>
      <c r="C489" s="18"/>
      <c r="D489" s="7"/>
      <c r="E489" s="326"/>
      <c r="F489" s="1471"/>
      <c r="G489" s="1471"/>
      <c r="H489" s="1471"/>
      <c r="I489" s="1471"/>
      <c r="J489" s="1472" t="s">
        <v>80</v>
      </c>
      <c r="K489" s="1473"/>
      <c r="L489" s="1473"/>
      <c r="M489" s="1474"/>
      <c r="N489" s="334"/>
      <c r="O489" s="334"/>
      <c r="P489" s="335"/>
      <c r="Q489" s="335"/>
      <c r="R489" s="335" t="s">
        <v>10</v>
      </c>
      <c r="U489" s="331" t="str">
        <f ca="1">'Calculos(2)'!BZ$133</f>
        <v>-</v>
      </c>
      <c r="V489" s="329"/>
      <c r="W489" s="1"/>
    </row>
    <row r="490" spans="1:23" ht="20.100000000000001" customHeight="1" x14ac:dyDescent="0.25">
      <c r="A490" s="18"/>
      <c r="B490" s="18"/>
      <c r="C490" s="18"/>
      <c r="D490" s="7"/>
      <c r="E490" s="336"/>
      <c r="F490" s="337"/>
      <c r="G490" s="337"/>
      <c r="H490" s="337"/>
      <c r="I490" s="337"/>
      <c r="J490" s="337"/>
      <c r="K490" s="337"/>
      <c r="L490" s="337"/>
      <c r="M490" s="337"/>
      <c r="N490" s="337"/>
      <c r="O490" s="337"/>
      <c r="P490" s="337"/>
      <c r="Q490" s="337"/>
      <c r="R490" s="337"/>
      <c r="S490" s="337"/>
      <c r="T490" s="337"/>
      <c r="U490" s="337"/>
      <c r="V490" s="338"/>
      <c r="W490" s="1"/>
    </row>
    <row r="491" spans="1:23" ht="20.100000000000001" hidden="1" customHeight="1" x14ac:dyDescent="0.25">
      <c r="A491" s="18"/>
      <c r="B491" s="18"/>
      <c r="C491" s="18"/>
      <c r="D491" s="7"/>
      <c r="E491" s="2"/>
      <c r="W491" s="1"/>
    </row>
    <row r="492" spans="1:23" ht="20.100000000000001" customHeight="1" x14ac:dyDescent="0.25">
      <c r="A492" s="18"/>
      <c r="B492" s="18"/>
      <c r="C492" s="18"/>
      <c r="D492" s="7"/>
      <c r="E492" s="7"/>
      <c r="F492" s="7"/>
      <c r="G492" s="7"/>
      <c r="H492" s="7"/>
      <c r="I492" s="7"/>
      <c r="J492" s="7"/>
      <c r="K492" s="7"/>
      <c r="L492" s="7"/>
      <c r="M492" s="7"/>
      <c r="N492" s="7"/>
      <c r="O492" s="7"/>
      <c r="P492" s="7"/>
      <c r="Q492" s="7"/>
      <c r="R492" s="7"/>
      <c r="S492" s="7"/>
      <c r="T492" s="7"/>
      <c r="U492" s="7"/>
      <c r="V492" s="7"/>
      <c r="W492" s="7"/>
    </row>
    <row r="493" spans="1:23" ht="20.100000000000001" customHeight="1" x14ac:dyDescent="0.25">
      <c r="A493" s="18"/>
      <c r="B493" s="18"/>
      <c r="C493" s="18"/>
      <c r="D493" s="7"/>
      <c r="E493" s="321"/>
      <c r="F493" s="322"/>
      <c r="G493" s="323"/>
      <c r="H493" s="323"/>
      <c r="I493" s="323"/>
      <c r="J493" s="323"/>
      <c r="K493" s="323"/>
      <c r="L493" s="323"/>
      <c r="M493" s="323"/>
      <c r="N493" s="323"/>
      <c r="O493" s="323"/>
      <c r="P493" s="323"/>
      <c r="Q493" s="323"/>
      <c r="R493" s="323"/>
      <c r="S493" s="339"/>
      <c r="T493" s="339"/>
      <c r="U493" s="340"/>
      <c r="V493" s="325"/>
      <c r="W493" s="1"/>
    </row>
    <row r="494" spans="1:23" ht="45" customHeight="1" x14ac:dyDescent="0.25">
      <c r="A494" s="18"/>
      <c r="B494" s="18"/>
      <c r="C494" s="18"/>
      <c r="D494" s="7"/>
      <c r="E494" s="326"/>
      <c r="F494" s="1469" t="s">
        <v>8609</v>
      </c>
      <c r="G494" s="1470"/>
      <c r="H494" s="1470"/>
      <c r="I494" s="1470"/>
      <c r="J494" s="1470"/>
      <c r="K494" s="1470"/>
      <c r="L494" s="1470"/>
      <c r="M494" s="1470"/>
      <c r="N494" s="327" t="str">
        <f ca="1">"Concentração"&amp;" "&amp;'Calculos(2)'!$BJ$3</f>
        <v>Concentração -</v>
      </c>
      <c r="O494" s="327" t="s">
        <v>6038</v>
      </c>
      <c r="P494" s="327" t="s">
        <v>8126</v>
      </c>
      <c r="Q494" s="327" t="s">
        <v>8028</v>
      </c>
      <c r="R494" s="327" t="s">
        <v>8603</v>
      </c>
      <c r="S494" s="327" t="s">
        <v>8127</v>
      </c>
      <c r="U494" s="328" t="s">
        <v>119</v>
      </c>
      <c r="V494" s="332"/>
      <c r="W494" s="7"/>
    </row>
    <row r="495" spans="1:23" ht="20.100000000000001" customHeight="1" x14ac:dyDescent="0.25">
      <c r="A495" s="18"/>
      <c r="B495" s="18"/>
      <c r="C495" s="18"/>
      <c r="D495" s="7"/>
      <c r="E495" s="326"/>
      <c r="F495" s="1471" t="str">
        <f ca="1">'Calculos(2)'!$BJ$5</f>
        <v>-</v>
      </c>
      <c r="G495" s="1471"/>
      <c r="H495" s="1471"/>
      <c r="I495" s="1471"/>
      <c r="J495" s="1472" t="s">
        <v>7103</v>
      </c>
      <c r="K495" s="1473"/>
      <c r="L495" s="1473"/>
      <c r="M495" s="1474"/>
      <c r="N495" s="188"/>
      <c r="O495" s="188"/>
      <c r="P495" s="330"/>
      <c r="Q495" s="330"/>
      <c r="R495" s="187">
        <v>0</v>
      </c>
      <c r="S495" s="331">
        <f>O495/2</f>
        <v>0</v>
      </c>
      <c r="U495" s="331" t="str">
        <f ca="1">'Calculos(2)'!BZ$138</f>
        <v>-</v>
      </c>
      <c r="V495" s="332"/>
      <c r="W495" s="1"/>
    </row>
    <row r="496" spans="1:23" ht="20.100000000000001" customHeight="1" x14ac:dyDescent="0.25">
      <c r="A496" s="18"/>
      <c r="B496" s="18"/>
      <c r="C496" s="18"/>
      <c r="D496" s="7"/>
      <c r="E496" s="326"/>
      <c r="F496" s="1471"/>
      <c r="G496" s="1471"/>
      <c r="H496" s="1471"/>
      <c r="I496" s="1471"/>
      <c r="J496" s="1286" t="s">
        <v>8027</v>
      </c>
      <c r="K496" s="1286"/>
      <c r="L496" s="1286"/>
      <c r="M496" s="1286"/>
      <c r="N496" s="188"/>
      <c r="O496" s="188"/>
      <c r="P496" s="330"/>
      <c r="Q496" s="330"/>
      <c r="R496" s="187"/>
      <c r="U496" s="331" t="str">
        <f ca="1">'Calculos(2)'!BZ$139</f>
        <v>-</v>
      </c>
      <c r="V496" s="332"/>
      <c r="W496" s="1"/>
    </row>
    <row r="497" spans="1:23" ht="20.100000000000001" customHeight="1" x14ac:dyDescent="0.25">
      <c r="A497" s="18"/>
      <c r="B497" s="18"/>
      <c r="C497" s="18"/>
      <c r="D497" s="7"/>
      <c r="E497" s="326"/>
      <c r="F497" s="1471"/>
      <c r="G497" s="1471"/>
      <c r="H497" s="1471"/>
      <c r="I497" s="1471"/>
      <c r="J497" s="1286"/>
      <c r="K497" s="1286"/>
      <c r="L497" s="1286"/>
      <c r="M497" s="1286"/>
      <c r="N497" s="188"/>
      <c r="O497" s="188"/>
      <c r="P497" s="330"/>
      <c r="Q497" s="330"/>
      <c r="R497" s="187"/>
      <c r="U497" s="331" t="str">
        <f ca="1">'Calculos(2)'!BZ$140</f>
        <v>-</v>
      </c>
      <c r="V497" s="332"/>
      <c r="W497" s="1"/>
    </row>
    <row r="498" spans="1:23" ht="20.100000000000001" customHeight="1" x14ac:dyDescent="0.25">
      <c r="A498" s="18"/>
      <c r="B498" s="18"/>
      <c r="C498" s="18"/>
      <c r="D498" s="7"/>
      <c r="E498" s="326"/>
      <c r="F498" s="1471"/>
      <c r="G498" s="1471"/>
      <c r="H498" s="1471"/>
      <c r="I498" s="1471"/>
      <c r="J498" s="1286"/>
      <c r="K498" s="1286"/>
      <c r="L498" s="1286"/>
      <c r="M498" s="1286"/>
      <c r="N498" s="188"/>
      <c r="O498" s="188"/>
      <c r="P498" s="330"/>
      <c r="Q498" s="330"/>
      <c r="R498" s="187"/>
      <c r="U498" s="331" t="str">
        <f ca="1">'Calculos(2)'!BZ$141</f>
        <v>-</v>
      </c>
      <c r="V498" s="332"/>
      <c r="W498" s="1"/>
    </row>
    <row r="499" spans="1:23" ht="20.100000000000001" customHeight="1" x14ac:dyDescent="0.25">
      <c r="A499" s="18"/>
      <c r="B499" s="18"/>
      <c r="C499" s="18"/>
      <c r="D499" s="7"/>
      <c r="E499" s="326"/>
      <c r="F499" s="1471"/>
      <c r="G499" s="1471"/>
      <c r="H499" s="1471"/>
      <c r="I499" s="1471"/>
      <c r="J499" s="1286"/>
      <c r="K499" s="1286"/>
      <c r="L499" s="1286"/>
      <c r="M499" s="1286"/>
      <c r="N499" s="188"/>
      <c r="O499" s="188"/>
      <c r="P499" s="330"/>
      <c r="Q499" s="330"/>
      <c r="R499" s="187"/>
      <c r="U499" s="331" t="str">
        <f ca="1">'Calculos(2)'!BZ$142</f>
        <v>-</v>
      </c>
      <c r="V499" s="332"/>
      <c r="W499" s="1"/>
    </row>
    <row r="500" spans="1:23" ht="20.100000000000001" customHeight="1" x14ac:dyDescent="0.25">
      <c r="A500" s="18"/>
      <c r="B500" s="18"/>
      <c r="C500" s="18"/>
      <c r="D500" s="7"/>
      <c r="E500" s="326"/>
      <c r="F500" s="1471"/>
      <c r="G500" s="1471"/>
      <c r="H500" s="1471"/>
      <c r="I500" s="1471"/>
      <c r="J500" s="1286"/>
      <c r="K500" s="1286"/>
      <c r="L500" s="1286"/>
      <c r="M500" s="1286"/>
      <c r="N500" s="188"/>
      <c r="O500" s="188"/>
      <c r="P500" s="330"/>
      <c r="Q500" s="330"/>
      <c r="R500" s="187"/>
      <c r="U500" s="331" t="str">
        <f ca="1">'Calculos(2)'!BZ$143</f>
        <v>-</v>
      </c>
      <c r="V500" s="332"/>
      <c r="W500" s="1"/>
    </row>
    <row r="501" spans="1:23" ht="20.100000000000001" customHeight="1" x14ac:dyDescent="0.25">
      <c r="A501" s="18"/>
      <c r="B501" s="18"/>
      <c r="C501" s="18"/>
      <c r="D501" s="7"/>
      <c r="E501" s="326"/>
      <c r="F501" s="1471"/>
      <c r="G501" s="1471"/>
      <c r="H501" s="1471"/>
      <c r="I501" s="1471"/>
      <c r="J501" s="1286"/>
      <c r="K501" s="1286"/>
      <c r="L501" s="1286"/>
      <c r="M501" s="1286"/>
      <c r="N501" s="188"/>
      <c r="O501" s="188"/>
      <c r="P501" s="330"/>
      <c r="Q501" s="330"/>
      <c r="R501" s="187"/>
      <c r="U501" s="331" t="str">
        <f ca="1">'Calculos(2)'!BZ$144</f>
        <v>-</v>
      </c>
      <c r="V501" s="332"/>
      <c r="W501" s="1"/>
    </row>
    <row r="502" spans="1:23" ht="20.100000000000001" customHeight="1" x14ac:dyDescent="0.25">
      <c r="A502" s="18"/>
      <c r="B502" s="18"/>
      <c r="C502" s="18"/>
      <c r="D502" s="7"/>
      <c r="E502" s="326"/>
      <c r="F502" s="1471"/>
      <c r="G502" s="1471"/>
      <c r="H502" s="1471"/>
      <c r="I502" s="1471"/>
      <c r="J502" s="1286"/>
      <c r="K502" s="1286"/>
      <c r="L502" s="1286"/>
      <c r="M502" s="1286"/>
      <c r="N502" s="188"/>
      <c r="O502" s="188"/>
      <c r="P502" s="330"/>
      <c r="Q502" s="330"/>
      <c r="R502" s="187"/>
      <c r="U502" s="331" t="str">
        <f ca="1">'Calculos(2)'!BZ$145</f>
        <v>-</v>
      </c>
      <c r="V502" s="332"/>
      <c r="W502" s="1"/>
    </row>
    <row r="503" spans="1:23" ht="20.100000000000001" customHeight="1" x14ac:dyDescent="0.25">
      <c r="A503" s="18"/>
      <c r="B503" s="18"/>
      <c r="C503" s="18"/>
      <c r="D503" s="7"/>
      <c r="E503" s="326"/>
      <c r="F503" s="1471"/>
      <c r="G503" s="1471"/>
      <c r="H503" s="1471"/>
      <c r="I503" s="1471"/>
      <c r="J503" s="1286"/>
      <c r="K503" s="1286"/>
      <c r="L503" s="1286"/>
      <c r="M503" s="1286"/>
      <c r="N503" s="188"/>
      <c r="O503" s="188"/>
      <c r="P503" s="330"/>
      <c r="Q503" s="330"/>
      <c r="R503" s="187"/>
      <c r="U503" s="331" t="str">
        <f ca="1">'Calculos(2)'!BZ$146</f>
        <v>-</v>
      </c>
      <c r="V503" s="332"/>
      <c r="W503" s="1"/>
    </row>
    <row r="504" spans="1:23" ht="20.100000000000001" customHeight="1" x14ac:dyDescent="0.25">
      <c r="A504" s="18"/>
      <c r="B504" s="18"/>
      <c r="C504" s="18"/>
      <c r="D504" s="7"/>
      <c r="E504" s="326"/>
      <c r="F504" s="1471"/>
      <c r="G504" s="1471"/>
      <c r="H504" s="1471"/>
      <c r="I504" s="1471"/>
      <c r="J504" s="1286"/>
      <c r="K504" s="1286"/>
      <c r="L504" s="1286"/>
      <c r="M504" s="1286"/>
      <c r="N504" s="188"/>
      <c r="O504" s="188"/>
      <c r="P504" s="330"/>
      <c r="Q504" s="330"/>
      <c r="R504" s="187"/>
      <c r="U504" s="331" t="str">
        <f ca="1">'Calculos(2)'!BZ$147</f>
        <v>-</v>
      </c>
      <c r="V504" s="332"/>
      <c r="W504" s="1"/>
    </row>
    <row r="505" spans="1:23" ht="20.100000000000001" customHeight="1" x14ac:dyDescent="0.25">
      <c r="A505" s="18"/>
      <c r="B505" s="18"/>
      <c r="C505" s="18"/>
      <c r="D505" s="7"/>
      <c r="E505" s="326"/>
      <c r="F505" s="1471"/>
      <c r="G505" s="1471"/>
      <c r="H505" s="1471"/>
      <c r="I505" s="1471"/>
      <c r="J505" s="1286"/>
      <c r="K505" s="1286"/>
      <c r="L505" s="1286"/>
      <c r="M505" s="1286"/>
      <c r="N505" s="188"/>
      <c r="O505" s="188"/>
      <c r="P505" s="330"/>
      <c r="Q505" s="330"/>
      <c r="R505" s="187"/>
      <c r="U505" s="331" t="str">
        <f ca="1">'Calculos(2)'!BZ$148</f>
        <v>-</v>
      </c>
      <c r="V505" s="332"/>
      <c r="W505" s="1"/>
    </row>
    <row r="506" spans="1:23" ht="20.100000000000001" customHeight="1" x14ac:dyDescent="0.25">
      <c r="A506" s="18"/>
      <c r="B506" s="18"/>
      <c r="C506" s="18"/>
      <c r="D506" s="7"/>
      <c r="E506" s="326"/>
      <c r="F506" s="1471"/>
      <c r="G506" s="1471"/>
      <c r="H506" s="1471"/>
      <c r="I506" s="1471"/>
      <c r="J506" s="1472" t="s">
        <v>80</v>
      </c>
      <c r="K506" s="1473"/>
      <c r="L506" s="1473"/>
      <c r="M506" s="1474"/>
      <c r="N506" s="188"/>
      <c r="O506" s="188"/>
      <c r="P506" s="330"/>
      <c r="Q506" s="330"/>
      <c r="R506" s="187" t="s">
        <v>10</v>
      </c>
      <c r="U506" s="331" t="str">
        <f ca="1">'Calculos(2)'!BZ$149</f>
        <v>-</v>
      </c>
      <c r="V506" s="332"/>
      <c r="W506" s="1"/>
    </row>
    <row r="507" spans="1:23" ht="20.100000000000001" customHeight="1" x14ac:dyDescent="0.25">
      <c r="A507" s="18"/>
      <c r="B507" s="18"/>
      <c r="C507" s="18"/>
      <c r="D507" s="7"/>
      <c r="E507" s="326"/>
      <c r="V507" s="332"/>
      <c r="W507" s="1"/>
    </row>
    <row r="508" spans="1:23" ht="20.100000000000001" hidden="1" customHeight="1" x14ac:dyDescent="0.25">
      <c r="A508" s="18"/>
      <c r="B508" s="18"/>
      <c r="C508" s="18"/>
      <c r="D508" s="7"/>
      <c r="E508" s="326"/>
      <c r="V508" s="332"/>
      <c r="W508" s="1"/>
    </row>
    <row r="509" spans="1:23" ht="20.100000000000001" hidden="1" customHeight="1" x14ac:dyDescent="0.25">
      <c r="A509" s="18"/>
      <c r="B509" s="18"/>
      <c r="C509" s="18"/>
      <c r="D509" s="7"/>
      <c r="E509" s="326"/>
      <c r="V509" s="332"/>
      <c r="W509" s="1"/>
    </row>
    <row r="510" spans="1:23" ht="20.100000000000001" customHeight="1" x14ac:dyDescent="0.25">
      <c r="A510" s="18"/>
      <c r="B510" s="18"/>
      <c r="C510" s="18"/>
      <c r="D510" s="7"/>
      <c r="E510" s="326"/>
      <c r="V510" s="332"/>
      <c r="W510" s="7"/>
    </row>
    <row r="511" spans="1:23" ht="45" customHeight="1" x14ac:dyDescent="0.25">
      <c r="A511" s="18"/>
      <c r="B511" s="18"/>
      <c r="C511" s="18"/>
      <c r="D511" s="7"/>
      <c r="E511" s="326"/>
      <c r="F511" s="1475" t="s">
        <v>8618</v>
      </c>
      <c r="G511" s="1476"/>
      <c r="H511" s="1476"/>
      <c r="I511" s="1476"/>
      <c r="J511" s="1476"/>
      <c r="K511" s="1476"/>
      <c r="L511" s="1476"/>
      <c r="M511" s="1476"/>
      <c r="N511" s="333" t="str">
        <f ca="1">"Concentração"&amp;" "&amp;'Calculos(2)'!$BJ$3</f>
        <v>Concentração -</v>
      </c>
      <c r="O511" s="333" t="s">
        <v>6038</v>
      </c>
      <c r="P511" s="333" t="s">
        <v>8126</v>
      </c>
      <c r="Q511" s="333" t="s">
        <v>8028</v>
      </c>
      <c r="R511" s="333" t="s">
        <v>8603</v>
      </c>
      <c r="S511" s="333" t="s">
        <v>8127</v>
      </c>
      <c r="U511" s="328" t="s">
        <v>119</v>
      </c>
      <c r="V511" s="332"/>
      <c r="W511" s="1"/>
    </row>
    <row r="512" spans="1:23" ht="20.100000000000001" customHeight="1" x14ac:dyDescent="0.25">
      <c r="A512" s="18"/>
      <c r="B512" s="18"/>
      <c r="C512" s="18"/>
      <c r="D512" s="7"/>
      <c r="E512" s="326"/>
      <c r="F512" s="1471" t="str">
        <f ca="1">'Calculos(2)'!$BJ$5</f>
        <v>-</v>
      </c>
      <c r="G512" s="1471"/>
      <c r="H512" s="1471"/>
      <c r="I512" s="1471"/>
      <c r="J512" s="1472" t="s">
        <v>7103</v>
      </c>
      <c r="K512" s="1473"/>
      <c r="L512" s="1473"/>
      <c r="M512" s="1474"/>
      <c r="N512" s="334"/>
      <c r="O512" s="334"/>
      <c r="P512" s="335"/>
      <c r="Q512" s="335"/>
      <c r="R512" s="335">
        <v>0</v>
      </c>
      <c r="S512" s="331">
        <f>O512/2</f>
        <v>0</v>
      </c>
      <c r="U512" s="331" t="str">
        <f ca="1">'Calculos(2)'!BZ$154</f>
        <v>-</v>
      </c>
      <c r="V512" s="332"/>
      <c r="W512" s="1"/>
    </row>
    <row r="513" spans="1:23" ht="20.100000000000001" customHeight="1" x14ac:dyDescent="0.25">
      <c r="A513" s="18"/>
      <c r="B513" s="18"/>
      <c r="C513" s="18"/>
      <c r="D513" s="7"/>
      <c r="E513" s="326"/>
      <c r="F513" s="1471"/>
      <c r="G513" s="1471"/>
      <c r="H513" s="1471"/>
      <c r="I513" s="1471"/>
      <c r="J513" s="1286" t="s">
        <v>8027</v>
      </c>
      <c r="K513" s="1286"/>
      <c r="L513" s="1286"/>
      <c r="M513" s="1286"/>
      <c r="N513" s="334"/>
      <c r="O513" s="334"/>
      <c r="P513" s="335"/>
      <c r="Q513" s="335"/>
      <c r="R513" s="335"/>
      <c r="U513" s="331" t="str">
        <f ca="1">'Calculos(2)'!BZ$155</f>
        <v>-</v>
      </c>
      <c r="V513" s="332"/>
      <c r="W513" s="1"/>
    </row>
    <row r="514" spans="1:23" ht="20.100000000000001" customHeight="1" x14ac:dyDescent="0.25">
      <c r="A514" s="18"/>
      <c r="B514" s="18"/>
      <c r="C514" s="18"/>
      <c r="D514" s="7"/>
      <c r="E514" s="326"/>
      <c r="F514" s="1471"/>
      <c r="G514" s="1471"/>
      <c r="H514" s="1471"/>
      <c r="I514" s="1471"/>
      <c r="J514" s="1286"/>
      <c r="K514" s="1286"/>
      <c r="L514" s="1286"/>
      <c r="M514" s="1286"/>
      <c r="N514" s="334"/>
      <c r="O514" s="334"/>
      <c r="P514" s="335"/>
      <c r="Q514" s="335"/>
      <c r="R514" s="335"/>
      <c r="U514" s="331" t="str">
        <f ca="1">'Calculos(2)'!BZ$156</f>
        <v>-</v>
      </c>
      <c r="V514" s="332"/>
      <c r="W514" s="1"/>
    </row>
    <row r="515" spans="1:23" ht="20.100000000000001" customHeight="1" x14ac:dyDescent="0.25">
      <c r="A515" s="18"/>
      <c r="B515" s="18"/>
      <c r="C515" s="18"/>
      <c r="D515" s="7"/>
      <c r="E515" s="326"/>
      <c r="F515" s="1471"/>
      <c r="G515" s="1471"/>
      <c r="H515" s="1471"/>
      <c r="I515" s="1471"/>
      <c r="J515" s="1286"/>
      <c r="K515" s="1286"/>
      <c r="L515" s="1286"/>
      <c r="M515" s="1286"/>
      <c r="N515" s="334"/>
      <c r="O515" s="334"/>
      <c r="P515" s="335"/>
      <c r="Q515" s="335"/>
      <c r="R515" s="335"/>
      <c r="U515" s="331" t="str">
        <f ca="1">'Calculos(2)'!BZ$157</f>
        <v>-</v>
      </c>
      <c r="V515" s="332"/>
      <c r="W515" s="1"/>
    </row>
    <row r="516" spans="1:23" ht="20.100000000000001" customHeight="1" x14ac:dyDescent="0.25">
      <c r="A516" s="18"/>
      <c r="B516" s="18"/>
      <c r="C516" s="18"/>
      <c r="D516" s="7"/>
      <c r="E516" s="326"/>
      <c r="F516" s="1471"/>
      <c r="G516" s="1471"/>
      <c r="H516" s="1471"/>
      <c r="I516" s="1471"/>
      <c r="J516" s="1286"/>
      <c r="K516" s="1286"/>
      <c r="L516" s="1286"/>
      <c r="M516" s="1286"/>
      <c r="N516" s="334"/>
      <c r="O516" s="334"/>
      <c r="P516" s="335"/>
      <c r="Q516" s="335"/>
      <c r="R516" s="335"/>
      <c r="U516" s="331" t="str">
        <f ca="1">'Calculos(2)'!BZ$158</f>
        <v>-</v>
      </c>
      <c r="V516" s="332"/>
      <c r="W516" s="1"/>
    </row>
    <row r="517" spans="1:23" ht="20.100000000000001" customHeight="1" x14ac:dyDescent="0.25">
      <c r="A517" s="18"/>
      <c r="B517" s="18"/>
      <c r="C517" s="18"/>
      <c r="D517" s="7"/>
      <c r="E517" s="326"/>
      <c r="F517" s="1471"/>
      <c r="G517" s="1471"/>
      <c r="H517" s="1471"/>
      <c r="I517" s="1471"/>
      <c r="J517" s="1286"/>
      <c r="K517" s="1286"/>
      <c r="L517" s="1286"/>
      <c r="M517" s="1286"/>
      <c r="N517" s="334"/>
      <c r="O517" s="334"/>
      <c r="P517" s="335"/>
      <c r="Q517" s="335"/>
      <c r="R517" s="335"/>
      <c r="U517" s="331" t="str">
        <f ca="1">'Calculos(2)'!BZ$159</f>
        <v>-</v>
      </c>
      <c r="V517" s="332"/>
      <c r="W517" s="1"/>
    </row>
    <row r="518" spans="1:23" ht="20.100000000000001" customHeight="1" x14ac:dyDescent="0.25">
      <c r="A518" s="18"/>
      <c r="B518" s="18"/>
      <c r="C518" s="18"/>
      <c r="D518" s="7"/>
      <c r="E518" s="326"/>
      <c r="F518" s="1471"/>
      <c r="G518" s="1471"/>
      <c r="H518" s="1471"/>
      <c r="I518" s="1471"/>
      <c r="J518" s="1286"/>
      <c r="K518" s="1286"/>
      <c r="L518" s="1286"/>
      <c r="M518" s="1286"/>
      <c r="N518" s="334"/>
      <c r="O518" s="334"/>
      <c r="P518" s="335"/>
      <c r="Q518" s="335"/>
      <c r="R518" s="335"/>
      <c r="U518" s="331" t="str">
        <f ca="1">'Calculos(2)'!BZ$160</f>
        <v>-</v>
      </c>
      <c r="V518" s="332"/>
      <c r="W518" s="1"/>
    </row>
    <row r="519" spans="1:23" ht="20.100000000000001" customHeight="1" x14ac:dyDescent="0.25">
      <c r="A519" s="18"/>
      <c r="B519" s="18"/>
      <c r="C519" s="18"/>
      <c r="D519" s="7"/>
      <c r="E519" s="326"/>
      <c r="F519" s="1471"/>
      <c r="G519" s="1471"/>
      <c r="H519" s="1471"/>
      <c r="I519" s="1471"/>
      <c r="J519" s="1286"/>
      <c r="K519" s="1286"/>
      <c r="L519" s="1286"/>
      <c r="M519" s="1286"/>
      <c r="N519" s="334"/>
      <c r="O519" s="334"/>
      <c r="P519" s="335"/>
      <c r="Q519" s="335"/>
      <c r="R519" s="335"/>
      <c r="U519" s="331" t="str">
        <f ca="1">'Calculos(2)'!BZ$161</f>
        <v>-</v>
      </c>
      <c r="V519" s="332"/>
      <c r="W519" s="1"/>
    </row>
    <row r="520" spans="1:23" ht="20.100000000000001" customHeight="1" x14ac:dyDescent="0.25">
      <c r="A520" s="18"/>
      <c r="B520" s="18"/>
      <c r="C520" s="18"/>
      <c r="D520" s="7"/>
      <c r="E520" s="326"/>
      <c r="F520" s="1471"/>
      <c r="G520" s="1471"/>
      <c r="H520" s="1471"/>
      <c r="I520" s="1471"/>
      <c r="J520" s="1286"/>
      <c r="K520" s="1286"/>
      <c r="L520" s="1286"/>
      <c r="M520" s="1286"/>
      <c r="N520" s="334"/>
      <c r="O520" s="334"/>
      <c r="P520" s="335"/>
      <c r="Q520" s="335"/>
      <c r="R520" s="335"/>
      <c r="U520" s="331" t="str">
        <f ca="1">'Calculos(2)'!BZ$162</f>
        <v>-</v>
      </c>
      <c r="V520" s="332"/>
      <c r="W520" s="1"/>
    </row>
    <row r="521" spans="1:23" ht="20.100000000000001" customHeight="1" x14ac:dyDescent="0.25">
      <c r="A521" s="18"/>
      <c r="B521" s="18"/>
      <c r="C521" s="18"/>
      <c r="D521" s="7"/>
      <c r="E521" s="326"/>
      <c r="F521" s="1471"/>
      <c r="G521" s="1471"/>
      <c r="H521" s="1471"/>
      <c r="I521" s="1471"/>
      <c r="J521" s="1286"/>
      <c r="K521" s="1286"/>
      <c r="L521" s="1286"/>
      <c r="M521" s="1286"/>
      <c r="N521" s="334"/>
      <c r="O521" s="334"/>
      <c r="P521" s="335"/>
      <c r="Q521" s="335"/>
      <c r="R521" s="335"/>
      <c r="U521" s="331" t="str">
        <f ca="1">'Calculos(2)'!BZ$163</f>
        <v>-</v>
      </c>
      <c r="V521" s="332"/>
      <c r="W521" s="1"/>
    </row>
    <row r="522" spans="1:23" ht="20.100000000000001" customHeight="1" x14ac:dyDescent="0.25">
      <c r="A522" s="18"/>
      <c r="B522" s="18"/>
      <c r="C522" s="18"/>
      <c r="D522" s="7"/>
      <c r="E522" s="326"/>
      <c r="F522" s="1471"/>
      <c r="G522" s="1471"/>
      <c r="H522" s="1471"/>
      <c r="I522" s="1471"/>
      <c r="J522" s="1286"/>
      <c r="K522" s="1286"/>
      <c r="L522" s="1286"/>
      <c r="M522" s="1286"/>
      <c r="N522" s="334"/>
      <c r="O522" s="334"/>
      <c r="P522" s="335"/>
      <c r="Q522" s="335"/>
      <c r="R522" s="335"/>
      <c r="U522" s="331" t="str">
        <f ca="1">'Calculos(2)'!BZ$164</f>
        <v>-</v>
      </c>
      <c r="V522" s="329"/>
      <c r="W522" s="1"/>
    </row>
    <row r="523" spans="1:23" ht="20.100000000000001" customHeight="1" x14ac:dyDescent="0.25">
      <c r="A523" s="18"/>
      <c r="B523" s="18"/>
      <c r="C523" s="18"/>
      <c r="D523" s="7"/>
      <c r="E523" s="326"/>
      <c r="F523" s="1471"/>
      <c r="G523" s="1471"/>
      <c r="H523" s="1471"/>
      <c r="I523" s="1471"/>
      <c r="J523" s="1472" t="s">
        <v>80</v>
      </c>
      <c r="K523" s="1473"/>
      <c r="L523" s="1473"/>
      <c r="M523" s="1474"/>
      <c r="N523" s="334"/>
      <c r="O523" s="334"/>
      <c r="P523" s="335"/>
      <c r="Q523" s="335"/>
      <c r="R523" s="335" t="s">
        <v>10</v>
      </c>
      <c r="U523" s="331" t="str">
        <f ca="1">'Calculos(2)'!BZ$165</f>
        <v>-</v>
      </c>
      <c r="V523" s="329"/>
      <c r="W523" s="1"/>
    </row>
    <row r="524" spans="1:23" ht="20.100000000000001" customHeight="1" x14ac:dyDescent="0.25">
      <c r="A524" s="18"/>
      <c r="B524" s="18"/>
      <c r="C524" s="18"/>
      <c r="D524" s="7"/>
      <c r="E524" s="336"/>
      <c r="F524" s="337"/>
      <c r="G524" s="337"/>
      <c r="H524" s="337"/>
      <c r="I524" s="337"/>
      <c r="J524" s="337"/>
      <c r="K524" s="337"/>
      <c r="L524" s="337"/>
      <c r="M524" s="337"/>
      <c r="N524" s="337"/>
      <c r="O524" s="337"/>
      <c r="P524" s="337"/>
      <c r="Q524" s="337"/>
      <c r="R524" s="337"/>
      <c r="S524" s="337"/>
      <c r="T524" s="337"/>
      <c r="U524" s="337"/>
      <c r="V524" s="338"/>
      <c r="W524" s="1"/>
    </row>
    <row r="525" spans="1:23" ht="20.100000000000001" hidden="1" customHeight="1" x14ac:dyDescent="0.25">
      <c r="A525" s="18"/>
      <c r="B525" s="18"/>
      <c r="C525" s="18"/>
      <c r="D525" s="7"/>
      <c r="E525" s="2"/>
      <c r="W525" s="1"/>
    </row>
    <row r="526" spans="1:23" ht="20.100000000000001" customHeight="1" x14ac:dyDescent="0.25">
      <c r="A526" s="18"/>
      <c r="B526" s="18"/>
      <c r="C526" s="18"/>
      <c r="D526" s="7"/>
      <c r="E526" s="1"/>
      <c r="F526" s="1"/>
      <c r="G526" s="1"/>
      <c r="H526" s="1"/>
      <c r="I526" s="1"/>
      <c r="J526" s="1"/>
      <c r="K526" s="1"/>
      <c r="L526" s="1"/>
      <c r="M526" s="1"/>
      <c r="N526" s="1"/>
      <c r="O526" s="1"/>
      <c r="P526" s="1"/>
      <c r="Q526" s="1"/>
      <c r="R526" s="1"/>
      <c r="S526" s="1"/>
      <c r="T526" s="1"/>
      <c r="U526" s="1"/>
      <c r="V526" s="1"/>
      <c r="W526" s="1"/>
    </row>
    <row r="527" spans="1:23" ht="20.100000000000001" customHeight="1" x14ac:dyDescent="0.25">
      <c r="A527" s="18"/>
      <c r="B527" s="18"/>
      <c r="C527" s="18"/>
      <c r="D527" s="7"/>
      <c r="E527" s="321"/>
      <c r="F527" s="322"/>
      <c r="G527" s="323"/>
      <c r="H527" s="323"/>
      <c r="I527" s="323"/>
      <c r="J527" s="323"/>
      <c r="K527" s="323"/>
      <c r="L527" s="323"/>
      <c r="M527" s="323"/>
      <c r="N527" s="323"/>
      <c r="O527" s="323"/>
      <c r="P527" s="323"/>
      <c r="Q527" s="323"/>
      <c r="R527" s="339"/>
      <c r="S527" s="339"/>
      <c r="T527" s="339"/>
      <c r="U527" s="339"/>
      <c r="V527" s="342"/>
      <c r="W527" s="1"/>
    </row>
    <row r="528" spans="1:23" ht="45" customHeight="1" x14ac:dyDescent="0.25">
      <c r="A528" s="18"/>
      <c r="B528" s="18"/>
      <c r="C528" s="18"/>
      <c r="D528" s="7"/>
      <c r="E528" s="326"/>
      <c r="F528" s="1469" t="s">
        <v>8610</v>
      </c>
      <c r="G528" s="1470"/>
      <c r="H528" s="1470"/>
      <c r="I528" s="1470"/>
      <c r="J528" s="1470"/>
      <c r="K528" s="1470"/>
      <c r="L528" s="1470"/>
      <c r="M528" s="1470"/>
      <c r="N528" s="327" t="str">
        <f ca="1">"Concentração"&amp;" "&amp;'Calculos(2)'!$BJ$3</f>
        <v>Concentração -</v>
      </c>
      <c r="O528" s="327" t="s">
        <v>6038</v>
      </c>
      <c r="P528" s="327" t="s">
        <v>8126</v>
      </c>
      <c r="Q528" s="327" t="s">
        <v>8028</v>
      </c>
      <c r="R528" s="327" t="s">
        <v>8603</v>
      </c>
      <c r="S528" s="327" t="s">
        <v>8127</v>
      </c>
      <c r="U528" s="328" t="s">
        <v>119</v>
      </c>
      <c r="V528" s="332"/>
      <c r="W528" s="7"/>
    </row>
    <row r="529" spans="1:23" ht="20.100000000000001" customHeight="1" x14ac:dyDescent="0.25">
      <c r="A529" s="18"/>
      <c r="B529" s="18"/>
      <c r="C529" s="18"/>
      <c r="D529" s="7"/>
      <c r="E529" s="326"/>
      <c r="F529" s="1471" t="str">
        <f ca="1">'Calculos(2)'!$BJ$5</f>
        <v>-</v>
      </c>
      <c r="G529" s="1471"/>
      <c r="H529" s="1471"/>
      <c r="I529" s="1471"/>
      <c r="J529" s="1472" t="s">
        <v>7103</v>
      </c>
      <c r="K529" s="1473"/>
      <c r="L529" s="1473"/>
      <c r="M529" s="1474"/>
      <c r="N529" s="188"/>
      <c r="O529" s="188"/>
      <c r="P529" s="330"/>
      <c r="Q529" s="330"/>
      <c r="R529" s="187">
        <v>0</v>
      </c>
      <c r="S529" s="331">
        <f>O529/2</f>
        <v>0</v>
      </c>
      <c r="U529" s="331" t="str">
        <f ca="1">'Calculos(2)'!BZ$170</f>
        <v>-</v>
      </c>
      <c r="V529" s="332"/>
      <c r="W529" s="1"/>
    </row>
    <row r="530" spans="1:23" ht="20.100000000000001" customHeight="1" x14ac:dyDescent="0.25">
      <c r="A530" s="18"/>
      <c r="B530" s="18"/>
      <c r="C530" s="18"/>
      <c r="D530" s="7"/>
      <c r="E530" s="326"/>
      <c r="F530" s="1471"/>
      <c r="G530" s="1471"/>
      <c r="H530" s="1471"/>
      <c r="I530" s="1471"/>
      <c r="J530" s="1286" t="s">
        <v>8027</v>
      </c>
      <c r="K530" s="1286"/>
      <c r="L530" s="1286"/>
      <c r="M530" s="1286"/>
      <c r="N530" s="188"/>
      <c r="O530" s="188"/>
      <c r="P530" s="330"/>
      <c r="Q530" s="330"/>
      <c r="R530" s="187"/>
      <c r="U530" s="331" t="str">
        <f ca="1">'Calculos(2)'!BZ$171</f>
        <v>-</v>
      </c>
      <c r="V530" s="332"/>
      <c r="W530" s="1"/>
    </row>
    <row r="531" spans="1:23" ht="20.100000000000001" customHeight="1" x14ac:dyDescent="0.25">
      <c r="A531" s="18"/>
      <c r="B531" s="18"/>
      <c r="C531" s="18"/>
      <c r="D531" s="7"/>
      <c r="E531" s="326"/>
      <c r="F531" s="1471"/>
      <c r="G531" s="1471"/>
      <c r="H531" s="1471"/>
      <c r="I531" s="1471"/>
      <c r="J531" s="1286"/>
      <c r="K531" s="1286"/>
      <c r="L531" s="1286"/>
      <c r="M531" s="1286"/>
      <c r="N531" s="188"/>
      <c r="O531" s="188"/>
      <c r="P531" s="330"/>
      <c r="Q531" s="330"/>
      <c r="R531" s="187"/>
      <c r="U531" s="331" t="str">
        <f ca="1">'Calculos(2)'!BZ$172</f>
        <v>-</v>
      </c>
      <c r="V531" s="332"/>
      <c r="W531" s="1"/>
    </row>
    <row r="532" spans="1:23" ht="20.100000000000001" customHeight="1" x14ac:dyDescent="0.25">
      <c r="A532" s="18"/>
      <c r="B532" s="18"/>
      <c r="C532" s="18"/>
      <c r="D532" s="7"/>
      <c r="E532" s="326"/>
      <c r="F532" s="1471"/>
      <c r="G532" s="1471"/>
      <c r="H532" s="1471"/>
      <c r="I532" s="1471"/>
      <c r="J532" s="1286"/>
      <c r="K532" s="1286"/>
      <c r="L532" s="1286"/>
      <c r="M532" s="1286"/>
      <c r="N532" s="188"/>
      <c r="O532" s="188"/>
      <c r="P532" s="330"/>
      <c r="Q532" s="330"/>
      <c r="R532" s="187"/>
      <c r="U532" s="331" t="str">
        <f ca="1">'Calculos(2)'!BZ$173</f>
        <v>-</v>
      </c>
      <c r="V532" s="332"/>
      <c r="W532" s="1"/>
    </row>
    <row r="533" spans="1:23" ht="20.100000000000001" customHeight="1" x14ac:dyDescent="0.25">
      <c r="A533" s="18"/>
      <c r="B533" s="18"/>
      <c r="C533" s="18"/>
      <c r="D533" s="7"/>
      <c r="E533" s="326"/>
      <c r="F533" s="1471"/>
      <c r="G533" s="1471"/>
      <c r="H533" s="1471"/>
      <c r="I533" s="1471"/>
      <c r="J533" s="1286"/>
      <c r="K533" s="1286"/>
      <c r="L533" s="1286"/>
      <c r="M533" s="1286"/>
      <c r="N533" s="188"/>
      <c r="O533" s="188"/>
      <c r="P533" s="330"/>
      <c r="Q533" s="330"/>
      <c r="R533" s="187"/>
      <c r="U533" s="331" t="str">
        <f ca="1">'Calculos(2)'!BZ$174</f>
        <v>-</v>
      </c>
      <c r="V533" s="332"/>
      <c r="W533" s="1"/>
    </row>
    <row r="534" spans="1:23" ht="20.100000000000001" customHeight="1" x14ac:dyDescent="0.25">
      <c r="A534" s="18"/>
      <c r="B534" s="18"/>
      <c r="C534" s="18"/>
      <c r="D534" s="7"/>
      <c r="E534" s="326"/>
      <c r="F534" s="1471"/>
      <c r="G534" s="1471"/>
      <c r="H534" s="1471"/>
      <c r="I534" s="1471"/>
      <c r="J534" s="1286"/>
      <c r="K534" s="1286"/>
      <c r="L534" s="1286"/>
      <c r="M534" s="1286"/>
      <c r="N534" s="188"/>
      <c r="O534" s="188"/>
      <c r="P534" s="330"/>
      <c r="Q534" s="330"/>
      <c r="R534" s="187"/>
      <c r="U534" s="331" t="str">
        <f ca="1">'Calculos(2)'!BZ$175</f>
        <v>-</v>
      </c>
      <c r="V534" s="332"/>
      <c r="W534" s="1"/>
    </row>
    <row r="535" spans="1:23" ht="20.100000000000001" customHeight="1" x14ac:dyDescent="0.25">
      <c r="A535" s="18"/>
      <c r="B535" s="18"/>
      <c r="C535" s="18"/>
      <c r="D535" s="7"/>
      <c r="E535" s="326"/>
      <c r="F535" s="1471"/>
      <c r="G535" s="1471"/>
      <c r="H535" s="1471"/>
      <c r="I535" s="1471"/>
      <c r="J535" s="1286"/>
      <c r="K535" s="1286"/>
      <c r="L535" s="1286"/>
      <c r="M535" s="1286"/>
      <c r="N535" s="188"/>
      <c r="O535" s="188"/>
      <c r="P535" s="330"/>
      <c r="Q535" s="330"/>
      <c r="R535" s="187"/>
      <c r="U535" s="331" t="str">
        <f ca="1">'Calculos(2)'!BZ$176</f>
        <v>-</v>
      </c>
      <c r="V535" s="332"/>
      <c r="W535" s="1"/>
    </row>
    <row r="536" spans="1:23" ht="20.100000000000001" customHeight="1" x14ac:dyDescent="0.25">
      <c r="A536" s="18"/>
      <c r="B536" s="18"/>
      <c r="C536" s="18"/>
      <c r="D536" s="7"/>
      <c r="E536" s="326"/>
      <c r="F536" s="1471"/>
      <c r="G536" s="1471"/>
      <c r="H536" s="1471"/>
      <c r="I536" s="1471"/>
      <c r="J536" s="1286"/>
      <c r="K536" s="1286"/>
      <c r="L536" s="1286"/>
      <c r="M536" s="1286"/>
      <c r="N536" s="188"/>
      <c r="O536" s="188"/>
      <c r="P536" s="330"/>
      <c r="Q536" s="330"/>
      <c r="R536" s="187"/>
      <c r="U536" s="331" t="str">
        <f ca="1">'Calculos(2)'!BZ$177</f>
        <v>-</v>
      </c>
      <c r="V536" s="332"/>
      <c r="W536" s="1"/>
    </row>
    <row r="537" spans="1:23" ht="20.100000000000001" customHeight="1" x14ac:dyDescent="0.25">
      <c r="A537" s="18"/>
      <c r="B537" s="18"/>
      <c r="C537" s="18"/>
      <c r="D537" s="7"/>
      <c r="E537" s="326"/>
      <c r="F537" s="1471"/>
      <c r="G537" s="1471"/>
      <c r="H537" s="1471"/>
      <c r="I537" s="1471"/>
      <c r="J537" s="1286"/>
      <c r="K537" s="1286"/>
      <c r="L537" s="1286"/>
      <c r="M537" s="1286"/>
      <c r="N537" s="188"/>
      <c r="O537" s="188"/>
      <c r="P537" s="330"/>
      <c r="Q537" s="330"/>
      <c r="R537" s="187"/>
      <c r="U537" s="331" t="str">
        <f ca="1">'Calculos(2)'!BZ$178</f>
        <v>-</v>
      </c>
      <c r="V537" s="332"/>
      <c r="W537" s="1"/>
    </row>
    <row r="538" spans="1:23" ht="20.100000000000001" customHeight="1" x14ac:dyDescent="0.25">
      <c r="A538" s="18"/>
      <c r="B538" s="18"/>
      <c r="C538" s="18"/>
      <c r="D538" s="7"/>
      <c r="E538" s="326"/>
      <c r="F538" s="1471"/>
      <c r="G538" s="1471"/>
      <c r="H538" s="1471"/>
      <c r="I538" s="1471"/>
      <c r="J538" s="1286"/>
      <c r="K538" s="1286"/>
      <c r="L538" s="1286"/>
      <c r="M538" s="1286"/>
      <c r="N538" s="188"/>
      <c r="O538" s="188"/>
      <c r="P538" s="330"/>
      <c r="Q538" s="330"/>
      <c r="R538" s="187"/>
      <c r="U538" s="331" t="str">
        <f ca="1">'Calculos(2)'!BZ$179</f>
        <v>-</v>
      </c>
      <c r="V538" s="332"/>
      <c r="W538" s="1"/>
    </row>
    <row r="539" spans="1:23" ht="20.100000000000001" customHeight="1" x14ac:dyDescent="0.25">
      <c r="A539" s="18"/>
      <c r="B539" s="18"/>
      <c r="C539" s="18"/>
      <c r="D539" s="7"/>
      <c r="E539" s="326"/>
      <c r="F539" s="1471"/>
      <c r="G539" s="1471"/>
      <c r="H539" s="1471"/>
      <c r="I539" s="1471"/>
      <c r="J539" s="1286"/>
      <c r="K539" s="1286"/>
      <c r="L539" s="1286"/>
      <c r="M539" s="1286"/>
      <c r="N539" s="188"/>
      <c r="O539" s="188"/>
      <c r="P539" s="330"/>
      <c r="Q539" s="330"/>
      <c r="R539" s="187"/>
      <c r="U539" s="331" t="str">
        <f ca="1">'Calculos(2)'!BZ$180</f>
        <v>-</v>
      </c>
      <c r="V539" s="332"/>
      <c r="W539" s="1"/>
    </row>
    <row r="540" spans="1:23" ht="20.100000000000001" customHeight="1" x14ac:dyDescent="0.25">
      <c r="A540" s="18"/>
      <c r="B540" s="18"/>
      <c r="C540" s="18"/>
      <c r="D540" s="7"/>
      <c r="E540" s="326"/>
      <c r="F540" s="1471"/>
      <c r="G540" s="1471"/>
      <c r="H540" s="1471"/>
      <c r="I540" s="1471"/>
      <c r="J540" s="1472" t="s">
        <v>80</v>
      </c>
      <c r="K540" s="1473"/>
      <c r="L540" s="1473"/>
      <c r="M540" s="1474"/>
      <c r="N540" s="188"/>
      <c r="O540" s="188"/>
      <c r="P540" s="330"/>
      <c r="Q540" s="330"/>
      <c r="R540" s="187" t="s">
        <v>10</v>
      </c>
      <c r="U540" s="331" t="str">
        <f ca="1">'Calculos(2)'!BZ$181</f>
        <v>-</v>
      </c>
      <c r="V540" s="332"/>
      <c r="W540" s="1"/>
    </row>
    <row r="541" spans="1:23" ht="20.100000000000001" customHeight="1" x14ac:dyDescent="0.25">
      <c r="A541" s="18"/>
      <c r="B541" s="18"/>
      <c r="C541" s="18"/>
      <c r="D541" s="7"/>
      <c r="E541" s="326"/>
      <c r="V541" s="332"/>
      <c r="W541" s="1"/>
    </row>
    <row r="542" spans="1:23" ht="20.100000000000001" hidden="1" customHeight="1" x14ac:dyDescent="0.25">
      <c r="A542" s="18"/>
      <c r="B542" s="18"/>
      <c r="C542" s="18"/>
      <c r="D542" s="7"/>
      <c r="E542" s="326"/>
      <c r="V542" s="332"/>
      <c r="W542" s="1"/>
    </row>
    <row r="543" spans="1:23" ht="20.100000000000001" hidden="1" customHeight="1" x14ac:dyDescent="0.25">
      <c r="A543" s="18"/>
      <c r="B543" s="18"/>
      <c r="C543" s="18"/>
      <c r="D543" s="7"/>
      <c r="E543" s="326"/>
      <c r="V543" s="332"/>
      <c r="W543" s="7"/>
    </row>
    <row r="544" spans="1:23" ht="20.100000000000001" customHeight="1" x14ac:dyDescent="0.25">
      <c r="A544" s="18"/>
      <c r="B544" s="18"/>
      <c r="C544" s="18"/>
      <c r="D544" s="7"/>
      <c r="E544" s="326"/>
      <c r="V544" s="332"/>
      <c r="W544" s="7"/>
    </row>
    <row r="545" spans="1:23" ht="45" customHeight="1" x14ac:dyDescent="0.25">
      <c r="A545" s="18"/>
      <c r="B545" s="18"/>
      <c r="C545" s="18"/>
      <c r="D545" s="7"/>
      <c r="E545" s="326"/>
      <c r="F545" s="1475" t="s">
        <v>8619</v>
      </c>
      <c r="G545" s="1476"/>
      <c r="H545" s="1476"/>
      <c r="I545" s="1476"/>
      <c r="J545" s="1476"/>
      <c r="K545" s="1476"/>
      <c r="L545" s="1476"/>
      <c r="M545" s="1476"/>
      <c r="N545" s="333" t="str">
        <f ca="1">"Concentração"&amp;" "&amp;'Calculos(2)'!$BJ$3</f>
        <v>Concentração -</v>
      </c>
      <c r="O545" s="333" t="s">
        <v>6038</v>
      </c>
      <c r="P545" s="333" t="s">
        <v>8126</v>
      </c>
      <c r="Q545" s="333" t="s">
        <v>8028</v>
      </c>
      <c r="R545" s="333" t="s">
        <v>8603</v>
      </c>
      <c r="S545" s="333" t="s">
        <v>8127</v>
      </c>
      <c r="U545" s="328" t="s">
        <v>119</v>
      </c>
      <c r="V545" s="332"/>
      <c r="W545" s="1"/>
    </row>
    <row r="546" spans="1:23" ht="20.100000000000001" customHeight="1" x14ac:dyDescent="0.25">
      <c r="A546" s="18"/>
      <c r="B546" s="18"/>
      <c r="C546" s="18"/>
      <c r="D546" s="7"/>
      <c r="E546" s="326"/>
      <c r="F546" s="1471" t="str">
        <f ca="1">'Calculos(2)'!$BJ$5</f>
        <v>-</v>
      </c>
      <c r="G546" s="1471"/>
      <c r="H546" s="1471"/>
      <c r="I546" s="1471"/>
      <c r="J546" s="1472" t="s">
        <v>7103</v>
      </c>
      <c r="K546" s="1473"/>
      <c r="L546" s="1473"/>
      <c r="M546" s="1474"/>
      <c r="N546" s="334"/>
      <c r="O546" s="334"/>
      <c r="P546" s="335"/>
      <c r="Q546" s="335"/>
      <c r="R546" s="335">
        <v>0</v>
      </c>
      <c r="S546" s="331">
        <f>O546/2</f>
        <v>0</v>
      </c>
      <c r="U546" s="331" t="str">
        <f ca="1">'Calculos(2)'!BZ$186</f>
        <v>-</v>
      </c>
      <c r="V546" s="332"/>
      <c r="W546" s="1"/>
    </row>
    <row r="547" spans="1:23" ht="20.100000000000001" customHeight="1" x14ac:dyDescent="0.25">
      <c r="A547" s="18"/>
      <c r="B547" s="18"/>
      <c r="C547" s="18"/>
      <c r="D547" s="7"/>
      <c r="E547" s="326"/>
      <c r="F547" s="1471"/>
      <c r="G547" s="1471"/>
      <c r="H547" s="1471"/>
      <c r="I547" s="1471"/>
      <c r="J547" s="1286" t="s">
        <v>8027</v>
      </c>
      <c r="K547" s="1286"/>
      <c r="L547" s="1286"/>
      <c r="M547" s="1286"/>
      <c r="N547" s="334"/>
      <c r="O547" s="334"/>
      <c r="P547" s="335"/>
      <c r="Q547" s="335"/>
      <c r="R547" s="335"/>
      <c r="U547" s="331" t="str">
        <f ca="1">'Calculos(2)'!BZ$187</f>
        <v>-</v>
      </c>
      <c r="V547" s="332"/>
      <c r="W547" s="1"/>
    </row>
    <row r="548" spans="1:23" ht="20.100000000000001" customHeight="1" x14ac:dyDescent="0.25">
      <c r="A548" s="18"/>
      <c r="B548" s="18"/>
      <c r="C548" s="18"/>
      <c r="D548" s="7"/>
      <c r="E548" s="326"/>
      <c r="F548" s="1471"/>
      <c r="G548" s="1471"/>
      <c r="H548" s="1471"/>
      <c r="I548" s="1471"/>
      <c r="J548" s="1286"/>
      <c r="K548" s="1286"/>
      <c r="L548" s="1286"/>
      <c r="M548" s="1286"/>
      <c r="N548" s="334"/>
      <c r="O548" s="334"/>
      <c r="P548" s="335"/>
      <c r="Q548" s="335"/>
      <c r="R548" s="335"/>
      <c r="U548" s="331" t="str">
        <f ca="1">'Calculos(2)'!BZ$188</f>
        <v>-</v>
      </c>
      <c r="V548" s="332"/>
      <c r="W548" s="1"/>
    </row>
    <row r="549" spans="1:23" ht="20.100000000000001" customHeight="1" x14ac:dyDescent="0.25">
      <c r="A549" s="18"/>
      <c r="B549" s="18"/>
      <c r="C549" s="18"/>
      <c r="D549" s="7"/>
      <c r="E549" s="326"/>
      <c r="F549" s="1471"/>
      <c r="G549" s="1471"/>
      <c r="H549" s="1471"/>
      <c r="I549" s="1471"/>
      <c r="J549" s="1286"/>
      <c r="K549" s="1286"/>
      <c r="L549" s="1286"/>
      <c r="M549" s="1286"/>
      <c r="N549" s="334"/>
      <c r="O549" s="334"/>
      <c r="P549" s="335"/>
      <c r="Q549" s="335"/>
      <c r="R549" s="335"/>
      <c r="U549" s="331" t="str">
        <f ca="1">'Calculos(2)'!BZ$189</f>
        <v>-</v>
      </c>
      <c r="V549" s="332"/>
      <c r="W549" s="1"/>
    </row>
    <row r="550" spans="1:23" ht="20.100000000000001" customHeight="1" x14ac:dyDescent="0.25">
      <c r="A550" s="18"/>
      <c r="B550" s="18"/>
      <c r="C550" s="18"/>
      <c r="D550" s="7"/>
      <c r="E550" s="326"/>
      <c r="F550" s="1471"/>
      <c r="G550" s="1471"/>
      <c r="H550" s="1471"/>
      <c r="I550" s="1471"/>
      <c r="J550" s="1286"/>
      <c r="K550" s="1286"/>
      <c r="L550" s="1286"/>
      <c r="M550" s="1286"/>
      <c r="N550" s="334"/>
      <c r="O550" s="334"/>
      <c r="P550" s="335"/>
      <c r="Q550" s="335"/>
      <c r="R550" s="335"/>
      <c r="U550" s="331" t="str">
        <f ca="1">'Calculos(2)'!BZ$190</f>
        <v>-</v>
      </c>
      <c r="V550" s="332"/>
      <c r="W550" s="1"/>
    </row>
    <row r="551" spans="1:23" ht="20.100000000000001" customHeight="1" x14ac:dyDescent="0.25">
      <c r="A551" s="18"/>
      <c r="B551" s="18"/>
      <c r="C551" s="18"/>
      <c r="D551" s="7"/>
      <c r="E551" s="326"/>
      <c r="F551" s="1471"/>
      <c r="G551" s="1471"/>
      <c r="H551" s="1471"/>
      <c r="I551" s="1471"/>
      <c r="J551" s="1286"/>
      <c r="K551" s="1286"/>
      <c r="L551" s="1286"/>
      <c r="M551" s="1286"/>
      <c r="N551" s="334"/>
      <c r="O551" s="334"/>
      <c r="P551" s="335"/>
      <c r="Q551" s="335"/>
      <c r="R551" s="335"/>
      <c r="U551" s="331" t="str">
        <f ca="1">'Calculos(2)'!BZ$191</f>
        <v>-</v>
      </c>
      <c r="V551" s="332"/>
      <c r="W551" s="1"/>
    </row>
    <row r="552" spans="1:23" ht="20.100000000000001" customHeight="1" x14ac:dyDescent="0.25">
      <c r="A552" s="18"/>
      <c r="B552" s="18"/>
      <c r="C552" s="18"/>
      <c r="D552" s="7"/>
      <c r="E552" s="326"/>
      <c r="F552" s="1471"/>
      <c r="G552" s="1471"/>
      <c r="H552" s="1471"/>
      <c r="I552" s="1471"/>
      <c r="J552" s="1286"/>
      <c r="K552" s="1286"/>
      <c r="L552" s="1286"/>
      <c r="M552" s="1286"/>
      <c r="N552" s="334"/>
      <c r="O552" s="334"/>
      <c r="P552" s="335"/>
      <c r="Q552" s="335"/>
      <c r="R552" s="335"/>
      <c r="U552" s="331" t="str">
        <f ca="1">'Calculos(2)'!BZ$192</f>
        <v>-</v>
      </c>
      <c r="V552" s="332"/>
      <c r="W552" s="1"/>
    </row>
    <row r="553" spans="1:23" ht="20.100000000000001" customHeight="1" x14ac:dyDescent="0.25">
      <c r="A553" s="18"/>
      <c r="B553" s="18"/>
      <c r="C553" s="18"/>
      <c r="D553" s="7"/>
      <c r="E553" s="326"/>
      <c r="F553" s="1471"/>
      <c r="G553" s="1471"/>
      <c r="H553" s="1471"/>
      <c r="I553" s="1471"/>
      <c r="J553" s="1286"/>
      <c r="K553" s="1286"/>
      <c r="L553" s="1286"/>
      <c r="M553" s="1286"/>
      <c r="N553" s="334"/>
      <c r="O553" s="334"/>
      <c r="P553" s="335"/>
      <c r="Q553" s="335"/>
      <c r="R553" s="335"/>
      <c r="U553" s="331" t="str">
        <f ca="1">'Calculos(2)'!BZ$193</f>
        <v>-</v>
      </c>
      <c r="V553" s="332"/>
      <c r="W553" s="1"/>
    </row>
    <row r="554" spans="1:23" ht="20.100000000000001" customHeight="1" x14ac:dyDescent="0.25">
      <c r="A554" s="18"/>
      <c r="B554" s="18"/>
      <c r="C554" s="18"/>
      <c r="D554" s="7"/>
      <c r="E554" s="326"/>
      <c r="F554" s="1471"/>
      <c r="G554" s="1471"/>
      <c r="H554" s="1471"/>
      <c r="I554" s="1471"/>
      <c r="J554" s="1286"/>
      <c r="K554" s="1286"/>
      <c r="L554" s="1286"/>
      <c r="M554" s="1286"/>
      <c r="N554" s="334"/>
      <c r="O554" s="334"/>
      <c r="P554" s="335"/>
      <c r="Q554" s="335"/>
      <c r="R554" s="335"/>
      <c r="U554" s="331" t="str">
        <f ca="1">'Calculos(2)'!BZ$194</f>
        <v>-</v>
      </c>
      <c r="V554" s="332"/>
      <c r="W554" s="1"/>
    </row>
    <row r="555" spans="1:23" ht="20.100000000000001" customHeight="1" x14ac:dyDescent="0.25">
      <c r="A555" s="18"/>
      <c r="B555" s="18"/>
      <c r="C555" s="18"/>
      <c r="D555" s="7"/>
      <c r="E555" s="326"/>
      <c r="F555" s="1471"/>
      <c r="G555" s="1471"/>
      <c r="H555" s="1471"/>
      <c r="I555" s="1471"/>
      <c r="J555" s="1286"/>
      <c r="K555" s="1286"/>
      <c r="L555" s="1286"/>
      <c r="M555" s="1286"/>
      <c r="N555" s="334"/>
      <c r="O555" s="334"/>
      <c r="P555" s="335"/>
      <c r="Q555" s="335"/>
      <c r="R555" s="335"/>
      <c r="U555" s="331" t="str">
        <f ca="1">'Calculos(2)'!BZ$195</f>
        <v>-</v>
      </c>
      <c r="V555" s="332"/>
      <c r="W555" s="1"/>
    </row>
    <row r="556" spans="1:23" ht="20.100000000000001" customHeight="1" x14ac:dyDescent="0.25">
      <c r="A556" s="18"/>
      <c r="B556" s="18"/>
      <c r="C556" s="18"/>
      <c r="D556" s="7"/>
      <c r="E556" s="326"/>
      <c r="F556" s="1471"/>
      <c r="G556" s="1471"/>
      <c r="H556" s="1471"/>
      <c r="I556" s="1471"/>
      <c r="J556" s="1286"/>
      <c r="K556" s="1286"/>
      <c r="L556" s="1286"/>
      <c r="M556" s="1286"/>
      <c r="N556" s="334"/>
      <c r="O556" s="334"/>
      <c r="P556" s="335"/>
      <c r="Q556" s="335"/>
      <c r="R556" s="335"/>
      <c r="U556" s="331" t="str">
        <f ca="1">'Calculos(2)'!BZ$196</f>
        <v>-</v>
      </c>
      <c r="V556" s="329"/>
      <c r="W556" s="1"/>
    </row>
    <row r="557" spans="1:23" ht="20.100000000000001" customHeight="1" x14ac:dyDescent="0.25">
      <c r="A557" s="18"/>
      <c r="B557" s="18"/>
      <c r="C557" s="18"/>
      <c r="D557" s="7"/>
      <c r="E557" s="326"/>
      <c r="F557" s="1471"/>
      <c r="G557" s="1471"/>
      <c r="H557" s="1471"/>
      <c r="I557" s="1471"/>
      <c r="J557" s="1472" t="s">
        <v>80</v>
      </c>
      <c r="K557" s="1473"/>
      <c r="L557" s="1473"/>
      <c r="M557" s="1474"/>
      <c r="N557" s="334"/>
      <c r="O557" s="334"/>
      <c r="P557" s="335"/>
      <c r="Q557" s="335"/>
      <c r="R557" s="335" t="s">
        <v>10</v>
      </c>
      <c r="U557" s="331" t="str">
        <f ca="1">'Calculos(2)'!BZ$197</f>
        <v>-</v>
      </c>
      <c r="V557" s="329"/>
      <c r="W557" s="1"/>
    </row>
    <row r="558" spans="1:23" ht="20.100000000000001" customHeight="1" x14ac:dyDescent="0.25">
      <c r="A558" s="18"/>
      <c r="B558" s="18"/>
      <c r="C558" s="18"/>
      <c r="D558" s="7"/>
      <c r="E558" s="336"/>
      <c r="F558" s="337"/>
      <c r="G558" s="337"/>
      <c r="H558" s="337"/>
      <c r="I558" s="337"/>
      <c r="J558" s="337"/>
      <c r="K558" s="337"/>
      <c r="L558" s="337"/>
      <c r="M558" s="337"/>
      <c r="N558" s="337"/>
      <c r="O558" s="337"/>
      <c r="P558" s="337"/>
      <c r="Q558" s="337"/>
      <c r="R558" s="337"/>
      <c r="S558" s="337"/>
      <c r="T558" s="337"/>
      <c r="U558" s="337"/>
      <c r="V558" s="338"/>
      <c r="W558" s="1"/>
    </row>
    <row r="559" spans="1:23" ht="20.100000000000001" hidden="1" customHeight="1" x14ac:dyDescent="0.25">
      <c r="A559" s="18"/>
      <c r="B559" s="18"/>
      <c r="C559" s="18"/>
      <c r="D559" s="7"/>
      <c r="E559" s="2"/>
      <c r="W559" s="1"/>
    </row>
    <row r="560" spans="1:23" ht="20.100000000000001" customHeight="1" x14ac:dyDescent="0.25">
      <c r="A560" s="18"/>
      <c r="B560" s="18"/>
      <c r="C560" s="18"/>
      <c r="D560" s="7"/>
      <c r="E560" s="1"/>
      <c r="F560" s="1"/>
      <c r="G560" s="1"/>
      <c r="H560" s="1"/>
      <c r="I560" s="1"/>
      <c r="J560" s="1"/>
      <c r="K560" s="1"/>
      <c r="L560" s="1"/>
      <c r="M560" s="1"/>
      <c r="N560" s="1"/>
      <c r="O560" s="1"/>
      <c r="P560" s="1"/>
      <c r="Q560" s="1"/>
      <c r="R560" s="1"/>
      <c r="S560" s="1"/>
      <c r="T560" s="1"/>
      <c r="U560" s="1"/>
      <c r="V560" s="1"/>
      <c r="W560" s="1"/>
    </row>
    <row r="561" spans="1:23" ht="20.100000000000001" customHeight="1" x14ac:dyDescent="0.25">
      <c r="A561" s="18"/>
      <c r="B561" s="18"/>
      <c r="C561" s="18"/>
      <c r="D561" s="7"/>
      <c r="E561" s="321"/>
      <c r="F561" s="322"/>
      <c r="G561" s="323"/>
      <c r="H561" s="323"/>
      <c r="I561" s="323"/>
      <c r="J561" s="323"/>
      <c r="K561" s="323"/>
      <c r="L561" s="323"/>
      <c r="M561" s="323"/>
      <c r="N561" s="323"/>
      <c r="O561" s="323"/>
      <c r="P561" s="323"/>
      <c r="Q561" s="323"/>
      <c r="R561" s="323"/>
      <c r="S561" s="339"/>
      <c r="T561" s="339"/>
      <c r="U561" s="340"/>
      <c r="V561" s="325"/>
      <c r="W561" s="1"/>
    </row>
    <row r="562" spans="1:23" ht="45" customHeight="1" x14ac:dyDescent="0.25">
      <c r="A562" s="18"/>
      <c r="B562" s="18"/>
      <c r="C562" s="18"/>
      <c r="D562" s="7"/>
      <c r="E562" s="326"/>
      <c r="F562" s="1469" t="s">
        <v>8611</v>
      </c>
      <c r="G562" s="1470"/>
      <c r="H562" s="1470"/>
      <c r="I562" s="1470"/>
      <c r="J562" s="1470"/>
      <c r="K562" s="1470"/>
      <c r="L562" s="1470"/>
      <c r="M562" s="1470"/>
      <c r="N562" s="327" t="str">
        <f ca="1">"Concentração"&amp;" "&amp;'Calculos(2)'!$BJ$3</f>
        <v>Concentração -</v>
      </c>
      <c r="O562" s="327" t="s">
        <v>6038</v>
      </c>
      <c r="P562" s="327" t="s">
        <v>8126</v>
      </c>
      <c r="Q562" s="327" t="s">
        <v>8028</v>
      </c>
      <c r="R562" s="327" t="s">
        <v>8603</v>
      </c>
      <c r="S562" s="327" t="s">
        <v>8127</v>
      </c>
      <c r="U562" s="328" t="s">
        <v>119</v>
      </c>
      <c r="V562" s="332"/>
      <c r="W562" s="7"/>
    </row>
    <row r="563" spans="1:23" ht="20.100000000000001" customHeight="1" x14ac:dyDescent="0.25">
      <c r="A563" s="18"/>
      <c r="B563" s="18"/>
      <c r="C563" s="18"/>
      <c r="D563" s="7"/>
      <c r="E563" s="326"/>
      <c r="F563" s="1471" t="str">
        <f ca="1">'Calculos(2)'!$BJ$5</f>
        <v>-</v>
      </c>
      <c r="G563" s="1471"/>
      <c r="H563" s="1471"/>
      <c r="I563" s="1471"/>
      <c r="J563" s="1472" t="s">
        <v>7103</v>
      </c>
      <c r="K563" s="1473"/>
      <c r="L563" s="1473"/>
      <c r="M563" s="1474"/>
      <c r="N563" s="188"/>
      <c r="O563" s="188"/>
      <c r="P563" s="330"/>
      <c r="Q563" s="330"/>
      <c r="R563" s="187">
        <v>0</v>
      </c>
      <c r="S563" s="331">
        <f>O563/2</f>
        <v>0</v>
      </c>
      <c r="U563" s="331" t="str">
        <f ca="1">'Calculos(2)'!BZ$202</f>
        <v>-</v>
      </c>
      <c r="V563" s="332"/>
      <c r="W563" s="1"/>
    </row>
    <row r="564" spans="1:23" ht="20.100000000000001" customHeight="1" x14ac:dyDescent="0.25">
      <c r="A564" s="18"/>
      <c r="B564" s="18"/>
      <c r="C564" s="18"/>
      <c r="D564" s="7"/>
      <c r="E564" s="326"/>
      <c r="F564" s="1471"/>
      <c r="G564" s="1471"/>
      <c r="H564" s="1471"/>
      <c r="I564" s="1471"/>
      <c r="J564" s="1286" t="s">
        <v>8027</v>
      </c>
      <c r="K564" s="1286"/>
      <c r="L564" s="1286"/>
      <c r="M564" s="1286"/>
      <c r="N564" s="188"/>
      <c r="O564" s="188"/>
      <c r="P564" s="330"/>
      <c r="Q564" s="330"/>
      <c r="R564" s="187"/>
      <c r="U564" s="331" t="str">
        <f ca="1">'Calculos(2)'!BZ$203</f>
        <v>-</v>
      </c>
      <c r="V564" s="332"/>
      <c r="W564" s="1"/>
    </row>
    <row r="565" spans="1:23" ht="20.100000000000001" customHeight="1" x14ac:dyDescent="0.25">
      <c r="A565" s="18"/>
      <c r="B565" s="18"/>
      <c r="C565" s="18"/>
      <c r="D565" s="7"/>
      <c r="E565" s="326"/>
      <c r="F565" s="1471"/>
      <c r="G565" s="1471"/>
      <c r="H565" s="1471"/>
      <c r="I565" s="1471"/>
      <c r="J565" s="1286"/>
      <c r="K565" s="1286"/>
      <c r="L565" s="1286"/>
      <c r="M565" s="1286"/>
      <c r="N565" s="188"/>
      <c r="O565" s="188"/>
      <c r="P565" s="330"/>
      <c r="Q565" s="330"/>
      <c r="R565" s="187"/>
      <c r="U565" s="331" t="str">
        <f ca="1">'Calculos(2)'!BZ$204</f>
        <v>-</v>
      </c>
      <c r="V565" s="332"/>
      <c r="W565" s="1"/>
    </row>
    <row r="566" spans="1:23" ht="20.100000000000001" customHeight="1" x14ac:dyDescent="0.25">
      <c r="A566" s="18"/>
      <c r="B566" s="18"/>
      <c r="C566" s="18"/>
      <c r="D566" s="7"/>
      <c r="E566" s="326"/>
      <c r="F566" s="1471"/>
      <c r="G566" s="1471"/>
      <c r="H566" s="1471"/>
      <c r="I566" s="1471"/>
      <c r="J566" s="1286"/>
      <c r="K566" s="1286"/>
      <c r="L566" s="1286"/>
      <c r="M566" s="1286"/>
      <c r="N566" s="188"/>
      <c r="O566" s="188"/>
      <c r="P566" s="330"/>
      <c r="Q566" s="330"/>
      <c r="R566" s="187"/>
      <c r="U566" s="331" t="str">
        <f ca="1">'Calculos(2)'!BZ$205</f>
        <v>-</v>
      </c>
      <c r="V566" s="332"/>
      <c r="W566" s="1"/>
    </row>
    <row r="567" spans="1:23" ht="20.100000000000001" customHeight="1" x14ac:dyDescent="0.25">
      <c r="A567" s="18"/>
      <c r="B567" s="18"/>
      <c r="C567" s="18"/>
      <c r="D567" s="7"/>
      <c r="E567" s="326"/>
      <c r="F567" s="1471"/>
      <c r="G567" s="1471"/>
      <c r="H567" s="1471"/>
      <c r="I567" s="1471"/>
      <c r="J567" s="1286"/>
      <c r="K567" s="1286"/>
      <c r="L567" s="1286"/>
      <c r="M567" s="1286"/>
      <c r="N567" s="188"/>
      <c r="O567" s="188"/>
      <c r="P567" s="330"/>
      <c r="Q567" s="330"/>
      <c r="R567" s="187"/>
      <c r="U567" s="331" t="str">
        <f ca="1">'Calculos(2)'!BZ$206</f>
        <v>-</v>
      </c>
      <c r="V567" s="332"/>
      <c r="W567" s="1"/>
    </row>
    <row r="568" spans="1:23" ht="20.100000000000001" customHeight="1" x14ac:dyDescent="0.25">
      <c r="A568" s="18"/>
      <c r="B568" s="18"/>
      <c r="C568" s="18"/>
      <c r="D568" s="7"/>
      <c r="E568" s="326"/>
      <c r="F568" s="1471"/>
      <c r="G568" s="1471"/>
      <c r="H568" s="1471"/>
      <c r="I568" s="1471"/>
      <c r="J568" s="1286"/>
      <c r="K568" s="1286"/>
      <c r="L568" s="1286"/>
      <c r="M568" s="1286"/>
      <c r="N568" s="188"/>
      <c r="O568" s="188"/>
      <c r="P568" s="330"/>
      <c r="Q568" s="330"/>
      <c r="R568" s="187"/>
      <c r="U568" s="331" t="str">
        <f ca="1">'Calculos(2)'!BZ$207</f>
        <v>-</v>
      </c>
      <c r="V568" s="332"/>
      <c r="W568" s="1"/>
    </row>
    <row r="569" spans="1:23" ht="20.100000000000001" customHeight="1" x14ac:dyDescent="0.25">
      <c r="A569" s="18"/>
      <c r="B569" s="18"/>
      <c r="C569" s="18"/>
      <c r="D569" s="7"/>
      <c r="E569" s="326"/>
      <c r="F569" s="1471"/>
      <c r="G569" s="1471"/>
      <c r="H569" s="1471"/>
      <c r="I569" s="1471"/>
      <c r="J569" s="1286"/>
      <c r="K569" s="1286"/>
      <c r="L569" s="1286"/>
      <c r="M569" s="1286"/>
      <c r="N569" s="188"/>
      <c r="O569" s="188"/>
      <c r="P569" s="330"/>
      <c r="Q569" s="330"/>
      <c r="R569" s="187"/>
      <c r="U569" s="331" t="str">
        <f ca="1">'Calculos(2)'!BZ$208</f>
        <v>-</v>
      </c>
      <c r="V569" s="332"/>
      <c r="W569" s="1"/>
    </row>
    <row r="570" spans="1:23" ht="20.100000000000001" customHeight="1" x14ac:dyDescent="0.25">
      <c r="A570" s="18"/>
      <c r="B570" s="18"/>
      <c r="C570" s="18"/>
      <c r="D570" s="7"/>
      <c r="E570" s="326"/>
      <c r="F570" s="1471"/>
      <c r="G570" s="1471"/>
      <c r="H570" s="1471"/>
      <c r="I570" s="1471"/>
      <c r="J570" s="1286"/>
      <c r="K570" s="1286"/>
      <c r="L570" s="1286"/>
      <c r="M570" s="1286"/>
      <c r="N570" s="188"/>
      <c r="O570" s="188"/>
      <c r="P570" s="330"/>
      <c r="Q570" s="330"/>
      <c r="R570" s="187"/>
      <c r="U570" s="331" t="str">
        <f ca="1">'Calculos(2)'!BZ$209</f>
        <v>-</v>
      </c>
      <c r="V570" s="332"/>
      <c r="W570" s="1"/>
    </row>
    <row r="571" spans="1:23" ht="20.100000000000001" customHeight="1" x14ac:dyDescent="0.25">
      <c r="A571" s="18"/>
      <c r="B571" s="18"/>
      <c r="C571" s="18"/>
      <c r="D571" s="7"/>
      <c r="E571" s="326"/>
      <c r="F571" s="1471"/>
      <c r="G571" s="1471"/>
      <c r="H571" s="1471"/>
      <c r="I571" s="1471"/>
      <c r="J571" s="1286"/>
      <c r="K571" s="1286"/>
      <c r="L571" s="1286"/>
      <c r="M571" s="1286"/>
      <c r="N571" s="188"/>
      <c r="O571" s="188"/>
      <c r="P571" s="330"/>
      <c r="Q571" s="330"/>
      <c r="R571" s="187"/>
      <c r="U571" s="331" t="str">
        <f ca="1">'Calculos(2)'!BZ$210</f>
        <v>-</v>
      </c>
      <c r="V571" s="332"/>
      <c r="W571" s="1"/>
    </row>
    <row r="572" spans="1:23" ht="20.100000000000001" customHeight="1" x14ac:dyDescent="0.25">
      <c r="A572" s="18"/>
      <c r="B572" s="18"/>
      <c r="C572" s="18"/>
      <c r="D572" s="7"/>
      <c r="E572" s="326"/>
      <c r="F572" s="1471"/>
      <c r="G572" s="1471"/>
      <c r="H572" s="1471"/>
      <c r="I572" s="1471"/>
      <c r="J572" s="1286"/>
      <c r="K572" s="1286"/>
      <c r="L572" s="1286"/>
      <c r="M572" s="1286"/>
      <c r="N572" s="188"/>
      <c r="O572" s="188"/>
      <c r="P572" s="330"/>
      <c r="Q572" s="330"/>
      <c r="R572" s="187"/>
      <c r="U572" s="331" t="str">
        <f ca="1">'Calculos(2)'!BZ$211</f>
        <v>-</v>
      </c>
      <c r="V572" s="332"/>
      <c r="W572" s="1"/>
    </row>
    <row r="573" spans="1:23" ht="20.100000000000001" customHeight="1" x14ac:dyDescent="0.25">
      <c r="A573" s="18"/>
      <c r="B573" s="18"/>
      <c r="C573" s="18"/>
      <c r="D573" s="7"/>
      <c r="E573" s="326"/>
      <c r="F573" s="1471"/>
      <c r="G573" s="1471"/>
      <c r="H573" s="1471"/>
      <c r="I573" s="1471"/>
      <c r="J573" s="1286"/>
      <c r="K573" s="1286"/>
      <c r="L573" s="1286"/>
      <c r="M573" s="1286"/>
      <c r="N573" s="188"/>
      <c r="O573" s="188"/>
      <c r="P573" s="330"/>
      <c r="Q573" s="330"/>
      <c r="R573" s="187"/>
      <c r="U573" s="331" t="str">
        <f ca="1">'Calculos(2)'!BZ$212</f>
        <v>-</v>
      </c>
      <c r="V573" s="332"/>
      <c r="W573" s="1"/>
    </row>
    <row r="574" spans="1:23" ht="20.100000000000001" customHeight="1" x14ac:dyDescent="0.25">
      <c r="A574" s="18"/>
      <c r="B574" s="18"/>
      <c r="C574" s="18"/>
      <c r="D574" s="7"/>
      <c r="E574" s="326"/>
      <c r="F574" s="1471"/>
      <c r="G574" s="1471"/>
      <c r="H574" s="1471"/>
      <c r="I574" s="1471"/>
      <c r="J574" s="1472" t="s">
        <v>80</v>
      </c>
      <c r="K574" s="1473"/>
      <c r="L574" s="1473"/>
      <c r="M574" s="1474"/>
      <c r="N574" s="188"/>
      <c r="O574" s="188"/>
      <c r="P574" s="330"/>
      <c r="Q574" s="330"/>
      <c r="R574" s="187" t="s">
        <v>10</v>
      </c>
      <c r="U574" s="331" t="str">
        <f ca="1">'Calculos(2)'!BZ$213</f>
        <v>-</v>
      </c>
      <c r="V574" s="332"/>
      <c r="W574" s="1"/>
    </row>
    <row r="575" spans="1:23" ht="20.100000000000001" customHeight="1" x14ac:dyDescent="0.25">
      <c r="A575" s="18"/>
      <c r="B575" s="18"/>
      <c r="C575" s="18"/>
      <c r="D575" s="7"/>
      <c r="E575" s="326"/>
      <c r="V575" s="332"/>
      <c r="W575" s="1"/>
    </row>
    <row r="576" spans="1:23" ht="20.100000000000001" hidden="1" customHeight="1" x14ac:dyDescent="0.25">
      <c r="A576" s="18"/>
      <c r="B576" s="18"/>
      <c r="C576" s="18"/>
      <c r="D576" s="7"/>
      <c r="E576" s="326"/>
      <c r="V576" s="332"/>
      <c r="W576" s="1"/>
    </row>
    <row r="577" spans="1:23" ht="20.100000000000001" hidden="1" customHeight="1" x14ac:dyDescent="0.25">
      <c r="A577" s="18"/>
      <c r="B577" s="18"/>
      <c r="C577" s="18"/>
      <c r="D577" s="7"/>
      <c r="E577" s="326"/>
      <c r="V577" s="332"/>
      <c r="W577" s="7"/>
    </row>
    <row r="578" spans="1:23" ht="20.100000000000001" customHeight="1" x14ac:dyDescent="0.25">
      <c r="A578" s="18"/>
      <c r="B578" s="18"/>
      <c r="C578" s="18"/>
      <c r="D578" s="7"/>
      <c r="E578" s="326"/>
      <c r="V578" s="332"/>
      <c r="W578" s="7"/>
    </row>
    <row r="579" spans="1:23" ht="45" customHeight="1" x14ac:dyDescent="0.25">
      <c r="A579" s="18"/>
      <c r="B579" s="18"/>
      <c r="C579" s="18"/>
      <c r="D579" s="7"/>
      <c r="E579" s="326"/>
      <c r="F579" s="1475" t="s">
        <v>8620</v>
      </c>
      <c r="G579" s="1476"/>
      <c r="H579" s="1476"/>
      <c r="I579" s="1476"/>
      <c r="J579" s="1476"/>
      <c r="K579" s="1476"/>
      <c r="L579" s="1476"/>
      <c r="M579" s="1476"/>
      <c r="N579" s="333" t="str">
        <f ca="1">"Concentração"&amp;" "&amp;'Calculos(2)'!$BJ$3</f>
        <v>Concentração -</v>
      </c>
      <c r="O579" s="333" t="s">
        <v>6038</v>
      </c>
      <c r="P579" s="333" t="s">
        <v>8126</v>
      </c>
      <c r="Q579" s="333" t="s">
        <v>8028</v>
      </c>
      <c r="R579" s="333" t="s">
        <v>8603</v>
      </c>
      <c r="S579" s="333" t="s">
        <v>8127</v>
      </c>
      <c r="U579" s="328" t="s">
        <v>119</v>
      </c>
      <c r="V579" s="332"/>
      <c r="W579" s="1"/>
    </row>
    <row r="580" spans="1:23" ht="20.100000000000001" customHeight="1" x14ac:dyDescent="0.25">
      <c r="A580" s="18"/>
      <c r="B580" s="18"/>
      <c r="C580" s="18"/>
      <c r="D580" s="7"/>
      <c r="E580" s="326"/>
      <c r="F580" s="1471" t="str">
        <f ca="1">'Calculos(2)'!$BJ$5</f>
        <v>-</v>
      </c>
      <c r="G580" s="1471"/>
      <c r="H580" s="1471"/>
      <c r="I580" s="1471"/>
      <c r="J580" s="1472" t="s">
        <v>7103</v>
      </c>
      <c r="K580" s="1473"/>
      <c r="L580" s="1473"/>
      <c r="M580" s="1474"/>
      <c r="N580" s="334"/>
      <c r="O580" s="334"/>
      <c r="P580" s="335"/>
      <c r="Q580" s="335"/>
      <c r="R580" s="335">
        <v>0</v>
      </c>
      <c r="S580" s="331">
        <f>O580/2</f>
        <v>0</v>
      </c>
      <c r="U580" s="331" t="str">
        <f ca="1">'Calculos(2)'!BZ$218</f>
        <v>-</v>
      </c>
      <c r="V580" s="332"/>
      <c r="W580" s="1"/>
    </row>
    <row r="581" spans="1:23" ht="20.100000000000001" customHeight="1" x14ac:dyDescent="0.25">
      <c r="A581" s="18"/>
      <c r="B581" s="18"/>
      <c r="C581" s="18"/>
      <c r="D581" s="7"/>
      <c r="E581" s="326"/>
      <c r="F581" s="1471"/>
      <c r="G581" s="1471"/>
      <c r="H581" s="1471"/>
      <c r="I581" s="1471"/>
      <c r="J581" s="1286" t="s">
        <v>8027</v>
      </c>
      <c r="K581" s="1286"/>
      <c r="L581" s="1286"/>
      <c r="M581" s="1286"/>
      <c r="N581" s="334"/>
      <c r="O581" s="334"/>
      <c r="P581" s="335"/>
      <c r="Q581" s="335"/>
      <c r="R581" s="335"/>
      <c r="U581" s="331" t="str">
        <f ca="1">'Calculos(2)'!BZ$219</f>
        <v>-</v>
      </c>
      <c r="V581" s="332"/>
      <c r="W581" s="1"/>
    </row>
    <row r="582" spans="1:23" ht="20.100000000000001" customHeight="1" x14ac:dyDescent="0.25">
      <c r="A582" s="18"/>
      <c r="B582" s="18"/>
      <c r="C582" s="18"/>
      <c r="D582" s="7"/>
      <c r="E582" s="326"/>
      <c r="F582" s="1471"/>
      <c r="G582" s="1471"/>
      <c r="H582" s="1471"/>
      <c r="I582" s="1471"/>
      <c r="J582" s="1286"/>
      <c r="K582" s="1286"/>
      <c r="L582" s="1286"/>
      <c r="M582" s="1286"/>
      <c r="N582" s="334"/>
      <c r="O582" s="334"/>
      <c r="P582" s="335"/>
      <c r="Q582" s="335"/>
      <c r="R582" s="335"/>
      <c r="U582" s="331" t="str">
        <f ca="1">'Calculos(2)'!BZ$220</f>
        <v>-</v>
      </c>
      <c r="V582" s="332"/>
      <c r="W582" s="1"/>
    </row>
    <row r="583" spans="1:23" ht="20.100000000000001" customHeight="1" x14ac:dyDescent="0.25">
      <c r="A583" s="18"/>
      <c r="B583" s="18"/>
      <c r="C583" s="18"/>
      <c r="D583" s="7"/>
      <c r="E583" s="326"/>
      <c r="F583" s="1471"/>
      <c r="G583" s="1471"/>
      <c r="H583" s="1471"/>
      <c r="I583" s="1471"/>
      <c r="J583" s="1286"/>
      <c r="K583" s="1286"/>
      <c r="L583" s="1286"/>
      <c r="M583" s="1286"/>
      <c r="N583" s="334"/>
      <c r="O583" s="334"/>
      <c r="P583" s="335"/>
      <c r="Q583" s="335"/>
      <c r="R583" s="335"/>
      <c r="U583" s="331" t="str">
        <f ca="1">'Calculos(2)'!BZ$221</f>
        <v>-</v>
      </c>
      <c r="V583" s="332"/>
      <c r="W583" s="1"/>
    </row>
    <row r="584" spans="1:23" ht="20.100000000000001" customHeight="1" x14ac:dyDescent="0.25">
      <c r="A584" s="18"/>
      <c r="B584" s="18"/>
      <c r="C584" s="18"/>
      <c r="D584" s="7"/>
      <c r="E584" s="326"/>
      <c r="F584" s="1471"/>
      <c r="G584" s="1471"/>
      <c r="H584" s="1471"/>
      <c r="I584" s="1471"/>
      <c r="J584" s="1286"/>
      <c r="K584" s="1286"/>
      <c r="L584" s="1286"/>
      <c r="M584" s="1286"/>
      <c r="N584" s="334"/>
      <c r="O584" s="334"/>
      <c r="P584" s="335"/>
      <c r="Q584" s="335"/>
      <c r="R584" s="335"/>
      <c r="U584" s="331" t="str">
        <f ca="1">'Calculos(2)'!BZ$222</f>
        <v>-</v>
      </c>
      <c r="V584" s="332"/>
      <c r="W584" s="1"/>
    </row>
    <row r="585" spans="1:23" ht="20.100000000000001" customHeight="1" x14ac:dyDescent="0.25">
      <c r="A585" s="18"/>
      <c r="B585" s="18"/>
      <c r="C585" s="18"/>
      <c r="D585" s="7"/>
      <c r="E585" s="326"/>
      <c r="F585" s="1471"/>
      <c r="G585" s="1471"/>
      <c r="H585" s="1471"/>
      <c r="I585" s="1471"/>
      <c r="J585" s="1286"/>
      <c r="K585" s="1286"/>
      <c r="L585" s="1286"/>
      <c r="M585" s="1286"/>
      <c r="N585" s="334"/>
      <c r="O585" s="334"/>
      <c r="P585" s="335"/>
      <c r="Q585" s="335"/>
      <c r="R585" s="335"/>
      <c r="U585" s="331" t="str">
        <f ca="1">'Calculos(2)'!BZ$223</f>
        <v>-</v>
      </c>
      <c r="V585" s="332"/>
      <c r="W585" s="1"/>
    </row>
    <row r="586" spans="1:23" ht="20.100000000000001" customHeight="1" x14ac:dyDescent="0.25">
      <c r="A586" s="18"/>
      <c r="B586" s="18"/>
      <c r="C586" s="18"/>
      <c r="D586" s="7"/>
      <c r="E586" s="326"/>
      <c r="F586" s="1471"/>
      <c r="G586" s="1471"/>
      <c r="H586" s="1471"/>
      <c r="I586" s="1471"/>
      <c r="J586" s="1286"/>
      <c r="K586" s="1286"/>
      <c r="L586" s="1286"/>
      <c r="M586" s="1286"/>
      <c r="N586" s="334"/>
      <c r="O586" s="334"/>
      <c r="P586" s="335"/>
      <c r="Q586" s="335"/>
      <c r="R586" s="335"/>
      <c r="U586" s="331" t="str">
        <f ca="1">'Calculos(2)'!BZ$224</f>
        <v>-</v>
      </c>
      <c r="V586" s="332"/>
      <c r="W586" s="1"/>
    </row>
    <row r="587" spans="1:23" ht="20.100000000000001" customHeight="1" x14ac:dyDescent="0.25">
      <c r="A587" s="18"/>
      <c r="B587" s="18"/>
      <c r="C587" s="18"/>
      <c r="D587" s="7"/>
      <c r="E587" s="326"/>
      <c r="F587" s="1471"/>
      <c r="G587" s="1471"/>
      <c r="H587" s="1471"/>
      <c r="I587" s="1471"/>
      <c r="J587" s="1286"/>
      <c r="K587" s="1286"/>
      <c r="L587" s="1286"/>
      <c r="M587" s="1286"/>
      <c r="N587" s="334"/>
      <c r="O587" s="334"/>
      <c r="P587" s="335"/>
      <c r="Q587" s="335"/>
      <c r="R587" s="335"/>
      <c r="U587" s="331" t="str">
        <f ca="1">'Calculos(2)'!BZ$225</f>
        <v>-</v>
      </c>
      <c r="V587" s="332"/>
      <c r="W587" s="1"/>
    </row>
    <row r="588" spans="1:23" ht="20.100000000000001" customHeight="1" x14ac:dyDescent="0.25">
      <c r="A588" s="18"/>
      <c r="B588" s="18"/>
      <c r="C588" s="18"/>
      <c r="D588" s="7"/>
      <c r="E588" s="326"/>
      <c r="F588" s="1471"/>
      <c r="G588" s="1471"/>
      <c r="H588" s="1471"/>
      <c r="I588" s="1471"/>
      <c r="J588" s="1286"/>
      <c r="K588" s="1286"/>
      <c r="L588" s="1286"/>
      <c r="M588" s="1286"/>
      <c r="N588" s="334"/>
      <c r="O588" s="334"/>
      <c r="P588" s="335"/>
      <c r="Q588" s="335"/>
      <c r="R588" s="335"/>
      <c r="U588" s="331" t="str">
        <f ca="1">'Calculos(2)'!BZ$226</f>
        <v>-</v>
      </c>
      <c r="V588" s="332"/>
      <c r="W588" s="1"/>
    </row>
    <row r="589" spans="1:23" ht="20.100000000000001" customHeight="1" x14ac:dyDescent="0.25">
      <c r="A589" s="18"/>
      <c r="B589" s="18"/>
      <c r="C589" s="18"/>
      <c r="D589" s="7"/>
      <c r="E589" s="326"/>
      <c r="F589" s="1471"/>
      <c r="G589" s="1471"/>
      <c r="H589" s="1471"/>
      <c r="I589" s="1471"/>
      <c r="J589" s="1286"/>
      <c r="K589" s="1286"/>
      <c r="L589" s="1286"/>
      <c r="M589" s="1286"/>
      <c r="N589" s="334"/>
      <c r="O589" s="334"/>
      <c r="P589" s="335"/>
      <c r="Q589" s="335"/>
      <c r="R589" s="335"/>
      <c r="U589" s="331" t="str">
        <f ca="1">'Calculos(2)'!BZ$227</f>
        <v>-</v>
      </c>
      <c r="V589" s="332"/>
      <c r="W589" s="1"/>
    </row>
    <row r="590" spans="1:23" ht="20.100000000000001" customHeight="1" x14ac:dyDescent="0.25">
      <c r="A590" s="18"/>
      <c r="B590" s="18"/>
      <c r="C590" s="18"/>
      <c r="D590" s="7"/>
      <c r="E590" s="326"/>
      <c r="F590" s="1471"/>
      <c r="G590" s="1471"/>
      <c r="H590" s="1471"/>
      <c r="I590" s="1471"/>
      <c r="J590" s="1286"/>
      <c r="K590" s="1286"/>
      <c r="L590" s="1286"/>
      <c r="M590" s="1286"/>
      <c r="N590" s="334"/>
      <c r="O590" s="334"/>
      <c r="P590" s="335"/>
      <c r="Q590" s="335"/>
      <c r="R590" s="335"/>
      <c r="U590" s="331" t="str">
        <f ca="1">'Calculos(2)'!BZ$228</f>
        <v>-</v>
      </c>
      <c r="V590" s="329"/>
      <c r="W590" s="1"/>
    </row>
    <row r="591" spans="1:23" ht="20.100000000000001" customHeight="1" x14ac:dyDescent="0.25">
      <c r="A591" s="18"/>
      <c r="B591" s="18"/>
      <c r="C591" s="18"/>
      <c r="D591" s="7"/>
      <c r="E591" s="326"/>
      <c r="F591" s="1471"/>
      <c r="G591" s="1471"/>
      <c r="H591" s="1471"/>
      <c r="I591" s="1471"/>
      <c r="J591" s="1472" t="s">
        <v>80</v>
      </c>
      <c r="K591" s="1473"/>
      <c r="L591" s="1473"/>
      <c r="M591" s="1474"/>
      <c r="N591" s="334"/>
      <c r="O591" s="334"/>
      <c r="P591" s="335"/>
      <c r="Q591" s="335"/>
      <c r="R591" s="335" t="s">
        <v>10</v>
      </c>
      <c r="U591" s="331" t="str">
        <f ca="1">'Calculos(2)'!BZ$229</f>
        <v>-</v>
      </c>
      <c r="V591" s="329"/>
      <c r="W591" s="1"/>
    </row>
    <row r="592" spans="1:23" ht="20.100000000000001" customHeight="1" x14ac:dyDescent="0.25">
      <c r="A592" s="18"/>
      <c r="B592" s="18"/>
      <c r="C592" s="18"/>
      <c r="D592" s="7"/>
      <c r="E592" s="336"/>
      <c r="F592" s="337"/>
      <c r="G592" s="337"/>
      <c r="H592" s="337"/>
      <c r="I592" s="337"/>
      <c r="J592" s="337"/>
      <c r="K592" s="337"/>
      <c r="L592" s="337"/>
      <c r="M592" s="337"/>
      <c r="N592" s="337"/>
      <c r="O592" s="337"/>
      <c r="P592" s="337"/>
      <c r="Q592" s="337"/>
      <c r="R592" s="337"/>
      <c r="S592" s="337"/>
      <c r="T592" s="337"/>
      <c r="U592" s="337"/>
      <c r="V592" s="338"/>
      <c r="W592" s="1"/>
    </row>
    <row r="593" spans="1:23" ht="20.100000000000001" hidden="1" customHeight="1" x14ac:dyDescent="0.25">
      <c r="A593" s="18"/>
      <c r="B593" s="18"/>
      <c r="C593" s="18"/>
      <c r="D593" s="7"/>
      <c r="E593" s="2"/>
      <c r="W593" s="1"/>
    </row>
    <row r="594" spans="1:23" ht="20.100000000000001" customHeight="1" x14ac:dyDescent="0.25">
      <c r="A594" s="18"/>
      <c r="B594" s="18"/>
      <c r="C594" s="18"/>
      <c r="D594" s="7"/>
      <c r="E594" s="1"/>
      <c r="F594" s="1"/>
      <c r="G594" s="1"/>
      <c r="H594" s="1"/>
      <c r="I594" s="1"/>
      <c r="J594" s="1"/>
      <c r="K594" s="1"/>
      <c r="L594" s="1"/>
      <c r="M594" s="1"/>
      <c r="N594" s="1"/>
      <c r="O594" s="1"/>
      <c r="P594" s="1"/>
      <c r="Q594" s="1"/>
      <c r="R594" s="1"/>
      <c r="S594" s="1"/>
      <c r="T594" s="1"/>
      <c r="U594" s="1"/>
      <c r="V594" s="1"/>
      <c r="W594" s="1"/>
    </row>
    <row r="595" spans="1:23" ht="20.100000000000001" customHeight="1" x14ac:dyDescent="0.25">
      <c r="A595" s="18"/>
      <c r="B595" s="18"/>
      <c r="C595" s="18"/>
      <c r="D595" s="7"/>
      <c r="E595" s="321"/>
      <c r="F595" s="322"/>
      <c r="G595" s="323"/>
      <c r="H595" s="323"/>
      <c r="I595" s="323"/>
      <c r="J595" s="323"/>
      <c r="K595" s="323"/>
      <c r="L595" s="323"/>
      <c r="M595" s="323"/>
      <c r="N595" s="323"/>
      <c r="O595" s="323"/>
      <c r="P595" s="323"/>
      <c r="Q595" s="323"/>
      <c r="R595" s="323"/>
      <c r="S595" s="339"/>
      <c r="T595" s="339"/>
      <c r="U595" s="340"/>
      <c r="V595" s="325"/>
      <c r="W595" s="1"/>
    </row>
    <row r="596" spans="1:23" ht="45" customHeight="1" x14ac:dyDescent="0.25">
      <c r="A596" s="18"/>
      <c r="B596" s="18"/>
      <c r="C596" s="18"/>
      <c r="D596" s="7"/>
      <c r="E596" s="326"/>
      <c r="F596" s="1469" t="s">
        <v>8612</v>
      </c>
      <c r="G596" s="1470"/>
      <c r="H596" s="1470"/>
      <c r="I596" s="1470"/>
      <c r="J596" s="1470"/>
      <c r="K596" s="1470"/>
      <c r="L596" s="1470"/>
      <c r="M596" s="1470"/>
      <c r="N596" s="327" t="str">
        <f ca="1">"Concentração"&amp;" "&amp;'Calculos(2)'!$BJ$3</f>
        <v>Concentração -</v>
      </c>
      <c r="O596" s="327" t="s">
        <v>6038</v>
      </c>
      <c r="P596" s="327" t="s">
        <v>8126</v>
      </c>
      <c r="Q596" s="327" t="s">
        <v>8028</v>
      </c>
      <c r="R596" s="327" t="s">
        <v>8603</v>
      </c>
      <c r="S596" s="327" t="s">
        <v>8127</v>
      </c>
      <c r="U596" s="328" t="s">
        <v>119</v>
      </c>
      <c r="V596" s="332"/>
      <c r="W596" s="7"/>
    </row>
    <row r="597" spans="1:23" ht="20.100000000000001" customHeight="1" x14ac:dyDescent="0.25">
      <c r="A597" s="18"/>
      <c r="B597" s="18"/>
      <c r="C597" s="18"/>
      <c r="D597" s="7"/>
      <c r="E597" s="326"/>
      <c r="F597" s="1471" t="str">
        <f ca="1">'Calculos(2)'!$BJ$5</f>
        <v>-</v>
      </c>
      <c r="G597" s="1471"/>
      <c r="H597" s="1471"/>
      <c r="I597" s="1471"/>
      <c r="J597" s="1472" t="s">
        <v>7103</v>
      </c>
      <c r="K597" s="1473"/>
      <c r="L597" s="1473"/>
      <c r="M597" s="1474"/>
      <c r="N597" s="188"/>
      <c r="O597" s="188"/>
      <c r="P597" s="330"/>
      <c r="Q597" s="330"/>
      <c r="R597" s="187">
        <v>0</v>
      </c>
      <c r="S597" s="331">
        <f>O597/2</f>
        <v>0</v>
      </c>
      <c r="U597" s="331" t="str">
        <f ca="1">'Calculos(2)'!BZ$234</f>
        <v>-</v>
      </c>
      <c r="V597" s="332"/>
      <c r="W597" s="1"/>
    </row>
    <row r="598" spans="1:23" ht="20.100000000000001" customHeight="1" x14ac:dyDescent="0.25">
      <c r="A598" s="18"/>
      <c r="B598" s="18"/>
      <c r="C598" s="18"/>
      <c r="D598" s="7"/>
      <c r="E598" s="326"/>
      <c r="F598" s="1471"/>
      <c r="G598" s="1471"/>
      <c r="H598" s="1471"/>
      <c r="I598" s="1471"/>
      <c r="J598" s="1286" t="s">
        <v>8027</v>
      </c>
      <c r="K598" s="1286"/>
      <c r="L598" s="1286"/>
      <c r="M598" s="1286"/>
      <c r="N598" s="188"/>
      <c r="O598" s="188"/>
      <c r="P598" s="330"/>
      <c r="Q598" s="330"/>
      <c r="R598" s="187"/>
      <c r="U598" s="331" t="str">
        <f ca="1">'Calculos(2)'!BZ$235</f>
        <v>-</v>
      </c>
      <c r="V598" s="332"/>
      <c r="W598" s="1"/>
    </row>
    <row r="599" spans="1:23" ht="20.100000000000001" customHeight="1" x14ac:dyDescent="0.25">
      <c r="A599" s="18"/>
      <c r="B599" s="18"/>
      <c r="C599" s="18"/>
      <c r="D599" s="7"/>
      <c r="E599" s="326"/>
      <c r="F599" s="1471"/>
      <c r="G599" s="1471"/>
      <c r="H599" s="1471"/>
      <c r="I599" s="1471"/>
      <c r="J599" s="1286"/>
      <c r="K599" s="1286"/>
      <c r="L599" s="1286"/>
      <c r="M599" s="1286"/>
      <c r="N599" s="188"/>
      <c r="O599" s="188"/>
      <c r="P599" s="330"/>
      <c r="Q599" s="330"/>
      <c r="R599" s="187"/>
      <c r="U599" s="331" t="str">
        <f ca="1">'Calculos(2)'!BZ$236</f>
        <v>-</v>
      </c>
      <c r="V599" s="332"/>
      <c r="W599" s="1"/>
    </row>
    <row r="600" spans="1:23" ht="20.100000000000001" customHeight="1" x14ac:dyDescent="0.25">
      <c r="A600" s="18"/>
      <c r="B600" s="18"/>
      <c r="C600" s="18"/>
      <c r="D600" s="7"/>
      <c r="E600" s="326"/>
      <c r="F600" s="1471"/>
      <c r="G600" s="1471"/>
      <c r="H600" s="1471"/>
      <c r="I600" s="1471"/>
      <c r="J600" s="1286"/>
      <c r="K600" s="1286"/>
      <c r="L600" s="1286"/>
      <c r="M600" s="1286"/>
      <c r="N600" s="188"/>
      <c r="O600" s="188"/>
      <c r="P600" s="330"/>
      <c r="Q600" s="330"/>
      <c r="R600" s="187"/>
      <c r="U600" s="331" t="str">
        <f ca="1">'Calculos(2)'!BZ$237</f>
        <v>-</v>
      </c>
      <c r="V600" s="332"/>
      <c r="W600" s="1"/>
    </row>
    <row r="601" spans="1:23" ht="20.100000000000001" customHeight="1" x14ac:dyDescent="0.25">
      <c r="A601" s="18"/>
      <c r="B601" s="18"/>
      <c r="C601" s="18"/>
      <c r="D601" s="7"/>
      <c r="E601" s="326"/>
      <c r="F601" s="1471"/>
      <c r="G601" s="1471"/>
      <c r="H601" s="1471"/>
      <c r="I601" s="1471"/>
      <c r="J601" s="1286"/>
      <c r="K601" s="1286"/>
      <c r="L601" s="1286"/>
      <c r="M601" s="1286"/>
      <c r="N601" s="188"/>
      <c r="O601" s="188"/>
      <c r="P601" s="330"/>
      <c r="Q601" s="330"/>
      <c r="R601" s="187"/>
      <c r="U601" s="331" t="str">
        <f ca="1">'Calculos(2)'!BZ$238</f>
        <v>-</v>
      </c>
      <c r="V601" s="332"/>
      <c r="W601" s="1"/>
    </row>
    <row r="602" spans="1:23" ht="20.100000000000001" customHeight="1" x14ac:dyDescent="0.25">
      <c r="A602" s="18"/>
      <c r="B602" s="18"/>
      <c r="C602" s="18"/>
      <c r="D602" s="7"/>
      <c r="E602" s="326"/>
      <c r="F602" s="1471"/>
      <c r="G602" s="1471"/>
      <c r="H602" s="1471"/>
      <c r="I602" s="1471"/>
      <c r="J602" s="1286"/>
      <c r="K602" s="1286"/>
      <c r="L602" s="1286"/>
      <c r="M602" s="1286"/>
      <c r="N602" s="188"/>
      <c r="O602" s="188"/>
      <c r="P602" s="330"/>
      <c r="Q602" s="330"/>
      <c r="R602" s="187"/>
      <c r="U602" s="331" t="str">
        <f ca="1">'Calculos(2)'!BZ$239</f>
        <v>-</v>
      </c>
      <c r="V602" s="332"/>
      <c r="W602" s="1"/>
    </row>
    <row r="603" spans="1:23" ht="20.100000000000001" customHeight="1" x14ac:dyDescent="0.25">
      <c r="A603" s="18"/>
      <c r="B603" s="18"/>
      <c r="C603" s="18"/>
      <c r="D603" s="7"/>
      <c r="E603" s="326"/>
      <c r="F603" s="1471"/>
      <c r="G603" s="1471"/>
      <c r="H603" s="1471"/>
      <c r="I603" s="1471"/>
      <c r="J603" s="1286"/>
      <c r="K603" s="1286"/>
      <c r="L603" s="1286"/>
      <c r="M603" s="1286"/>
      <c r="N603" s="188"/>
      <c r="O603" s="188"/>
      <c r="P603" s="330"/>
      <c r="Q603" s="330"/>
      <c r="R603" s="187"/>
      <c r="U603" s="331" t="str">
        <f ca="1">'Calculos(2)'!BZ$240</f>
        <v>-</v>
      </c>
      <c r="V603" s="332"/>
      <c r="W603" s="1"/>
    </row>
    <row r="604" spans="1:23" ht="20.100000000000001" customHeight="1" x14ac:dyDescent="0.25">
      <c r="A604" s="18"/>
      <c r="B604" s="18"/>
      <c r="C604" s="18"/>
      <c r="D604" s="7"/>
      <c r="E604" s="326"/>
      <c r="F604" s="1471"/>
      <c r="G604" s="1471"/>
      <c r="H604" s="1471"/>
      <c r="I604" s="1471"/>
      <c r="J604" s="1286"/>
      <c r="K604" s="1286"/>
      <c r="L604" s="1286"/>
      <c r="M604" s="1286"/>
      <c r="N604" s="188"/>
      <c r="O604" s="188"/>
      <c r="P604" s="330"/>
      <c r="Q604" s="330"/>
      <c r="R604" s="187"/>
      <c r="U604" s="331" t="str">
        <f ca="1">'Calculos(2)'!BZ$241</f>
        <v>-</v>
      </c>
      <c r="V604" s="332"/>
      <c r="W604" s="1"/>
    </row>
    <row r="605" spans="1:23" ht="20.100000000000001" customHeight="1" x14ac:dyDescent="0.25">
      <c r="A605" s="18"/>
      <c r="B605" s="18"/>
      <c r="C605" s="18"/>
      <c r="D605" s="7"/>
      <c r="E605" s="326"/>
      <c r="F605" s="1471"/>
      <c r="G605" s="1471"/>
      <c r="H605" s="1471"/>
      <c r="I605" s="1471"/>
      <c r="J605" s="1286"/>
      <c r="K605" s="1286"/>
      <c r="L605" s="1286"/>
      <c r="M605" s="1286"/>
      <c r="N605" s="188"/>
      <c r="O605" s="188"/>
      <c r="P605" s="330"/>
      <c r="Q605" s="330"/>
      <c r="R605" s="187"/>
      <c r="U605" s="331" t="str">
        <f ca="1">'Calculos(2)'!BZ$242</f>
        <v>-</v>
      </c>
      <c r="V605" s="332"/>
      <c r="W605" s="1"/>
    </row>
    <row r="606" spans="1:23" ht="20.100000000000001" customHeight="1" x14ac:dyDescent="0.25">
      <c r="A606" s="18"/>
      <c r="B606" s="18"/>
      <c r="C606" s="18"/>
      <c r="D606" s="7"/>
      <c r="E606" s="326"/>
      <c r="F606" s="1471"/>
      <c r="G606" s="1471"/>
      <c r="H606" s="1471"/>
      <c r="I606" s="1471"/>
      <c r="J606" s="1286"/>
      <c r="K606" s="1286"/>
      <c r="L606" s="1286"/>
      <c r="M606" s="1286"/>
      <c r="N606" s="188"/>
      <c r="O606" s="188"/>
      <c r="P606" s="330"/>
      <c r="Q606" s="330"/>
      <c r="R606" s="187"/>
      <c r="U606" s="331" t="str">
        <f ca="1">'Calculos(2)'!BZ$243</f>
        <v>-</v>
      </c>
      <c r="V606" s="332"/>
      <c r="W606" s="1"/>
    </row>
    <row r="607" spans="1:23" ht="20.100000000000001" customHeight="1" x14ac:dyDescent="0.25">
      <c r="A607" s="18"/>
      <c r="B607" s="18"/>
      <c r="C607" s="18"/>
      <c r="D607" s="7"/>
      <c r="E607" s="326"/>
      <c r="F607" s="1471"/>
      <c r="G607" s="1471"/>
      <c r="H607" s="1471"/>
      <c r="I607" s="1471"/>
      <c r="J607" s="1286"/>
      <c r="K607" s="1286"/>
      <c r="L607" s="1286"/>
      <c r="M607" s="1286"/>
      <c r="N607" s="188"/>
      <c r="O607" s="188"/>
      <c r="P607" s="330"/>
      <c r="Q607" s="330"/>
      <c r="R607" s="187"/>
      <c r="U607" s="331" t="str">
        <f ca="1">'Calculos(2)'!BZ$244</f>
        <v>-</v>
      </c>
      <c r="V607" s="332"/>
      <c r="W607" s="1"/>
    </row>
    <row r="608" spans="1:23" ht="20.100000000000001" customHeight="1" x14ac:dyDescent="0.25">
      <c r="A608" s="18"/>
      <c r="B608" s="18"/>
      <c r="C608" s="18"/>
      <c r="D608" s="7"/>
      <c r="E608" s="326"/>
      <c r="F608" s="1471"/>
      <c r="G608" s="1471"/>
      <c r="H608" s="1471"/>
      <c r="I608" s="1471"/>
      <c r="J608" s="1472" t="s">
        <v>80</v>
      </c>
      <c r="K608" s="1473"/>
      <c r="L608" s="1473"/>
      <c r="M608" s="1474"/>
      <c r="N608" s="188"/>
      <c r="O608" s="188"/>
      <c r="P608" s="330"/>
      <c r="Q608" s="330"/>
      <c r="R608" s="187" t="s">
        <v>10</v>
      </c>
      <c r="U608" s="331" t="str">
        <f ca="1">'Calculos(2)'!BZ$245</f>
        <v>-</v>
      </c>
      <c r="V608" s="332"/>
      <c r="W608" s="1"/>
    </row>
    <row r="609" spans="1:23" ht="20.100000000000001" customHeight="1" x14ac:dyDescent="0.25">
      <c r="A609" s="18"/>
      <c r="B609" s="18"/>
      <c r="C609" s="18"/>
      <c r="D609" s="7"/>
      <c r="E609" s="326"/>
      <c r="V609" s="332"/>
      <c r="W609" s="1"/>
    </row>
    <row r="610" spans="1:23" ht="20.100000000000001" hidden="1" customHeight="1" x14ac:dyDescent="0.25">
      <c r="A610" s="18"/>
      <c r="B610" s="18"/>
      <c r="C610" s="18"/>
      <c r="D610" s="7"/>
      <c r="E610" s="326"/>
      <c r="V610" s="332"/>
      <c r="W610" s="1"/>
    </row>
    <row r="611" spans="1:23" ht="20.100000000000001" hidden="1" customHeight="1" x14ac:dyDescent="0.25">
      <c r="A611" s="18"/>
      <c r="B611" s="18"/>
      <c r="C611" s="18"/>
      <c r="D611" s="7"/>
      <c r="E611" s="326"/>
      <c r="V611" s="332"/>
      <c r="W611" s="7"/>
    </row>
    <row r="612" spans="1:23" ht="20.100000000000001" customHeight="1" x14ac:dyDescent="0.25">
      <c r="A612" s="18"/>
      <c r="B612" s="18"/>
      <c r="C612" s="18"/>
      <c r="D612" s="7"/>
      <c r="E612" s="326"/>
      <c r="V612" s="332"/>
      <c r="W612" s="7"/>
    </row>
    <row r="613" spans="1:23" ht="45" customHeight="1" x14ac:dyDescent="0.25">
      <c r="A613" s="18"/>
      <c r="B613" s="18"/>
      <c r="C613" s="18"/>
      <c r="D613" s="7"/>
      <c r="E613" s="326"/>
      <c r="F613" s="1475" t="s">
        <v>8621</v>
      </c>
      <c r="G613" s="1476"/>
      <c r="H613" s="1476"/>
      <c r="I613" s="1476"/>
      <c r="J613" s="1476"/>
      <c r="K613" s="1476"/>
      <c r="L613" s="1476"/>
      <c r="M613" s="1476"/>
      <c r="N613" s="333" t="str">
        <f ca="1">"Concentração"&amp;" "&amp;'Calculos(2)'!$BJ$3</f>
        <v>Concentração -</v>
      </c>
      <c r="O613" s="333" t="s">
        <v>6038</v>
      </c>
      <c r="P613" s="333" t="s">
        <v>8126</v>
      </c>
      <c r="Q613" s="333" t="s">
        <v>8028</v>
      </c>
      <c r="R613" s="333" t="s">
        <v>8603</v>
      </c>
      <c r="S613" s="333" t="s">
        <v>8127</v>
      </c>
      <c r="U613" s="328" t="s">
        <v>119</v>
      </c>
      <c r="V613" s="332"/>
      <c r="W613" s="1"/>
    </row>
    <row r="614" spans="1:23" ht="20.100000000000001" customHeight="1" x14ac:dyDescent="0.25">
      <c r="A614" s="18"/>
      <c r="B614" s="18"/>
      <c r="C614" s="18"/>
      <c r="D614" s="7"/>
      <c r="E614" s="326"/>
      <c r="F614" s="1471" t="str">
        <f ca="1">'Calculos(2)'!$BJ$5</f>
        <v>-</v>
      </c>
      <c r="G614" s="1471"/>
      <c r="H614" s="1471"/>
      <c r="I614" s="1471"/>
      <c r="J614" s="1472" t="s">
        <v>7103</v>
      </c>
      <c r="K614" s="1473"/>
      <c r="L614" s="1473"/>
      <c r="M614" s="1474"/>
      <c r="N614" s="334"/>
      <c r="O614" s="334"/>
      <c r="P614" s="335"/>
      <c r="Q614" s="335"/>
      <c r="R614" s="335">
        <v>0</v>
      </c>
      <c r="S614" s="331">
        <f>O614/2</f>
        <v>0</v>
      </c>
      <c r="U614" s="331" t="str">
        <f ca="1">'Calculos(2)'!BZ$250</f>
        <v>-</v>
      </c>
      <c r="V614" s="332"/>
      <c r="W614" s="1"/>
    </row>
    <row r="615" spans="1:23" ht="20.100000000000001" customHeight="1" x14ac:dyDescent="0.25">
      <c r="A615" s="18"/>
      <c r="B615" s="18"/>
      <c r="C615" s="18"/>
      <c r="D615" s="7"/>
      <c r="E615" s="326"/>
      <c r="F615" s="1471"/>
      <c r="G615" s="1471"/>
      <c r="H615" s="1471"/>
      <c r="I615" s="1471"/>
      <c r="J615" s="1286" t="s">
        <v>8027</v>
      </c>
      <c r="K615" s="1286"/>
      <c r="L615" s="1286"/>
      <c r="M615" s="1286"/>
      <c r="N615" s="334"/>
      <c r="O615" s="334"/>
      <c r="P615" s="335"/>
      <c r="Q615" s="335"/>
      <c r="R615" s="335"/>
      <c r="U615" s="331" t="str">
        <f ca="1">'Calculos(2)'!BZ$251</f>
        <v>-</v>
      </c>
      <c r="V615" s="332"/>
      <c r="W615" s="1"/>
    </row>
    <row r="616" spans="1:23" ht="20.100000000000001" customHeight="1" x14ac:dyDescent="0.25">
      <c r="A616" s="18"/>
      <c r="B616" s="18"/>
      <c r="C616" s="18"/>
      <c r="D616" s="7"/>
      <c r="E616" s="326"/>
      <c r="F616" s="1471"/>
      <c r="G616" s="1471"/>
      <c r="H616" s="1471"/>
      <c r="I616" s="1471"/>
      <c r="J616" s="1286"/>
      <c r="K616" s="1286"/>
      <c r="L616" s="1286"/>
      <c r="M616" s="1286"/>
      <c r="N616" s="334"/>
      <c r="O616" s="334"/>
      <c r="P616" s="335"/>
      <c r="Q616" s="335"/>
      <c r="R616" s="335"/>
      <c r="U616" s="331" t="str">
        <f ca="1">'Calculos(2)'!BZ$252</f>
        <v>-</v>
      </c>
      <c r="V616" s="332"/>
      <c r="W616" s="1"/>
    </row>
    <row r="617" spans="1:23" ht="20.100000000000001" customHeight="1" x14ac:dyDescent="0.25">
      <c r="A617" s="18"/>
      <c r="B617" s="18"/>
      <c r="C617" s="18"/>
      <c r="D617" s="7"/>
      <c r="E617" s="326"/>
      <c r="F617" s="1471"/>
      <c r="G617" s="1471"/>
      <c r="H617" s="1471"/>
      <c r="I617" s="1471"/>
      <c r="J617" s="1286"/>
      <c r="K617" s="1286"/>
      <c r="L617" s="1286"/>
      <c r="M617" s="1286"/>
      <c r="N617" s="334"/>
      <c r="O617" s="334"/>
      <c r="P617" s="335"/>
      <c r="Q617" s="335"/>
      <c r="R617" s="335"/>
      <c r="U617" s="331" t="str">
        <f ca="1">'Calculos(2)'!BZ$253</f>
        <v>-</v>
      </c>
      <c r="V617" s="332"/>
      <c r="W617" s="1"/>
    </row>
    <row r="618" spans="1:23" ht="20.100000000000001" customHeight="1" x14ac:dyDescent="0.25">
      <c r="A618" s="18"/>
      <c r="B618" s="18"/>
      <c r="C618" s="18"/>
      <c r="D618" s="7"/>
      <c r="E618" s="326"/>
      <c r="F618" s="1471"/>
      <c r="G618" s="1471"/>
      <c r="H618" s="1471"/>
      <c r="I618" s="1471"/>
      <c r="J618" s="1286"/>
      <c r="K618" s="1286"/>
      <c r="L618" s="1286"/>
      <c r="M618" s="1286"/>
      <c r="N618" s="334"/>
      <c r="O618" s="334"/>
      <c r="P618" s="335"/>
      <c r="Q618" s="335"/>
      <c r="R618" s="335"/>
      <c r="U618" s="331" t="str">
        <f ca="1">'Calculos(2)'!BZ$254</f>
        <v>-</v>
      </c>
      <c r="V618" s="332"/>
      <c r="W618" s="1"/>
    </row>
    <row r="619" spans="1:23" ht="20.100000000000001" customHeight="1" x14ac:dyDescent="0.25">
      <c r="A619" s="18"/>
      <c r="B619" s="18"/>
      <c r="C619" s="18"/>
      <c r="D619" s="7"/>
      <c r="E619" s="326"/>
      <c r="F619" s="1471"/>
      <c r="G619" s="1471"/>
      <c r="H619" s="1471"/>
      <c r="I619" s="1471"/>
      <c r="J619" s="1286"/>
      <c r="K619" s="1286"/>
      <c r="L619" s="1286"/>
      <c r="M619" s="1286"/>
      <c r="N619" s="334"/>
      <c r="O619" s="334"/>
      <c r="P619" s="335"/>
      <c r="Q619" s="335"/>
      <c r="R619" s="335"/>
      <c r="U619" s="331" t="str">
        <f ca="1">'Calculos(2)'!BZ$255</f>
        <v>-</v>
      </c>
      <c r="V619" s="332"/>
      <c r="W619" s="1"/>
    </row>
    <row r="620" spans="1:23" ht="20.100000000000001" customHeight="1" x14ac:dyDescent="0.25">
      <c r="A620" s="18"/>
      <c r="B620" s="18"/>
      <c r="C620" s="18"/>
      <c r="D620" s="7"/>
      <c r="E620" s="326"/>
      <c r="F620" s="1471"/>
      <c r="G620" s="1471"/>
      <c r="H620" s="1471"/>
      <c r="I620" s="1471"/>
      <c r="J620" s="1286"/>
      <c r="K620" s="1286"/>
      <c r="L620" s="1286"/>
      <c r="M620" s="1286"/>
      <c r="N620" s="334"/>
      <c r="O620" s="334"/>
      <c r="P620" s="335"/>
      <c r="Q620" s="335"/>
      <c r="R620" s="335"/>
      <c r="U620" s="331" t="str">
        <f ca="1">'Calculos(2)'!BZ$256</f>
        <v>-</v>
      </c>
      <c r="V620" s="332"/>
      <c r="W620" s="1"/>
    </row>
    <row r="621" spans="1:23" ht="20.100000000000001" customHeight="1" x14ac:dyDescent="0.25">
      <c r="A621" s="18"/>
      <c r="B621" s="18"/>
      <c r="C621" s="18"/>
      <c r="D621" s="7"/>
      <c r="E621" s="326"/>
      <c r="F621" s="1471"/>
      <c r="G621" s="1471"/>
      <c r="H621" s="1471"/>
      <c r="I621" s="1471"/>
      <c r="J621" s="1286"/>
      <c r="K621" s="1286"/>
      <c r="L621" s="1286"/>
      <c r="M621" s="1286"/>
      <c r="N621" s="334"/>
      <c r="O621" s="334"/>
      <c r="P621" s="335"/>
      <c r="Q621" s="335"/>
      <c r="R621" s="335"/>
      <c r="U621" s="331" t="str">
        <f ca="1">'Calculos(2)'!BZ$257</f>
        <v>-</v>
      </c>
      <c r="V621" s="332"/>
      <c r="W621" s="1"/>
    </row>
    <row r="622" spans="1:23" ht="20.100000000000001" customHeight="1" x14ac:dyDescent="0.25">
      <c r="A622" s="18"/>
      <c r="B622" s="18"/>
      <c r="C622" s="18"/>
      <c r="D622" s="7"/>
      <c r="E622" s="326"/>
      <c r="F622" s="1471"/>
      <c r="G622" s="1471"/>
      <c r="H622" s="1471"/>
      <c r="I622" s="1471"/>
      <c r="J622" s="1286"/>
      <c r="K622" s="1286"/>
      <c r="L622" s="1286"/>
      <c r="M622" s="1286"/>
      <c r="N622" s="334"/>
      <c r="O622" s="334"/>
      <c r="P622" s="335"/>
      <c r="Q622" s="335"/>
      <c r="R622" s="335"/>
      <c r="U622" s="331" t="str">
        <f ca="1">'Calculos(2)'!BZ$258</f>
        <v>-</v>
      </c>
      <c r="V622" s="332"/>
      <c r="W622" s="1"/>
    </row>
    <row r="623" spans="1:23" ht="20.100000000000001" customHeight="1" x14ac:dyDescent="0.25">
      <c r="A623" s="18"/>
      <c r="B623" s="18"/>
      <c r="C623" s="18"/>
      <c r="D623" s="7"/>
      <c r="E623" s="326"/>
      <c r="F623" s="1471"/>
      <c r="G623" s="1471"/>
      <c r="H623" s="1471"/>
      <c r="I623" s="1471"/>
      <c r="J623" s="1286"/>
      <c r="K623" s="1286"/>
      <c r="L623" s="1286"/>
      <c r="M623" s="1286"/>
      <c r="N623" s="334"/>
      <c r="O623" s="334"/>
      <c r="P623" s="335"/>
      <c r="Q623" s="335"/>
      <c r="R623" s="335"/>
      <c r="U623" s="331" t="str">
        <f ca="1">'Calculos(2)'!BZ$259</f>
        <v>-</v>
      </c>
      <c r="V623" s="332"/>
      <c r="W623" s="1"/>
    </row>
    <row r="624" spans="1:23" ht="20.100000000000001" customHeight="1" x14ac:dyDescent="0.25">
      <c r="A624" s="18"/>
      <c r="B624" s="18"/>
      <c r="C624" s="18"/>
      <c r="D624" s="7"/>
      <c r="E624" s="326"/>
      <c r="F624" s="1471"/>
      <c r="G624" s="1471"/>
      <c r="H624" s="1471"/>
      <c r="I624" s="1471"/>
      <c r="J624" s="1286"/>
      <c r="K624" s="1286"/>
      <c r="L624" s="1286"/>
      <c r="M624" s="1286"/>
      <c r="N624" s="334"/>
      <c r="O624" s="334"/>
      <c r="P624" s="335"/>
      <c r="Q624" s="335"/>
      <c r="R624" s="335"/>
      <c r="U624" s="331" t="str">
        <f ca="1">'Calculos(2)'!BZ$260</f>
        <v>-</v>
      </c>
      <c r="V624" s="329"/>
      <c r="W624" s="1"/>
    </row>
    <row r="625" spans="1:23" ht="20.100000000000001" customHeight="1" x14ac:dyDescent="0.25">
      <c r="A625" s="18"/>
      <c r="B625" s="18"/>
      <c r="C625" s="18"/>
      <c r="D625" s="7"/>
      <c r="E625" s="326"/>
      <c r="F625" s="1471"/>
      <c r="G625" s="1471"/>
      <c r="H625" s="1471"/>
      <c r="I625" s="1471"/>
      <c r="J625" s="1472" t="s">
        <v>80</v>
      </c>
      <c r="K625" s="1473"/>
      <c r="L625" s="1473"/>
      <c r="M625" s="1474"/>
      <c r="N625" s="334"/>
      <c r="O625" s="334"/>
      <c r="P625" s="335"/>
      <c r="Q625" s="335"/>
      <c r="R625" s="335" t="s">
        <v>10</v>
      </c>
      <c r="U625" s="331" t="str">
        <f ca="1">'Calculos(2)'!BZ$261</f>
        <v>-</v>
      </c>
      <c r="V625" s="329"/>
      <c r="W625" s="1"/>
    </row>
    <row r="626" spans="1:23" ht="20.100000000000001" customHeight="1" x14ac:dyDescent="0.25">
      <c r="A626" s="18"/>
      <c r="B626" s="18"/>
      <c r="C626" s="18"/>
      <c r="D626" s="7"/>
      <c r="E626" s="336"/>
      <c r="F626" s="337"/>
      <c r="G626" s="337"/>
      <c r="H626" s="337"/>
      <c r="I626" s="337"/>
      <c r="J626" s="337"/>
      <c r="K626" s="337"/>
      <c r="L626" s="337"/>
      <c r="M626" s="337"/>
      <c r="N626" s="337"/>
      <c r="O626" s="337"/>
      <c r="P626" s="337"/>
      <c r="Q626" s="337"/>
      <c r="R626" s="337"/>
      <c r="S626" s="337"/>
      <c r="T626" s="337"/>
      <c r="U626" s="337"/>
      <c r="V626" s="338"/>
      <c r="W626" s="1"/>
    </row>
    <row r="627" spans="1:23" ht="20.100000000000001" hidden="1" customHeight="1" x14ac:dyDescent="0.25">
      <c r="A627" s="18"/>
      <c r="B627" s="18"/>
      <c r="C627" s="18"/>
      <c r="D627" s="7"/>
      <c r="E627" s="2"/>
      <c r="W627" s="1"/>
    </row>
    <row r="628" spans="1:23" ht="20.100000000000001" customHeight="1" x14ac:dyDescent="0.25">
      <c r="A628" s="18"/>
      <c r="B628" s="18"/>
      <c r="C628" s="18"/>
      <c r="D628" s="7"/>
      <c r="E628" s="1"/>
      <c r="F628" s="1"/>
      <c r="G628" s="1"/>
      <c r="H628" s="1"/>
      <c r="I628" s="1"/>
      <c r="J628" s="1"/>
      <c r="K628" s="1"/>
      <c r="L628" s="1"/>
      <c r="M628" s="1"/>
      <c r="N628" s="1"/>
      <c r="O628" s="1"/>
      <c r="P628" s="1"/>
      <c r="Q628" s="1"/>
      <c r="R628" s="1"/>
      <c r="S628" s="1"/>
      <c r="T628" s="1"/>
      <c r="U628" s="1"/>
      <c r="V628" s="1"/>
      <c r="W628" s="1"/>
    </row>
    <row r="629" spans="1:23" ht="20.100000000000001" customHeight="1" x14ac:dyDescent="0.25">
      <c r="A629" s="18"/>
      <c r="B629" s="18"/>
      <c r="C629" s="18"/>
      <c r="D629" s="7"/>
      <c r="E629" s="321"/>
      <c r="F629" s="322"/>
      <c r="G629" s="323"/>
      <c r="H629" s="323"/>
      <c r="I629" s="323"/>
      <c r="J629" s="323"/>
      <c r="K629" s="323"/>
      <c r="L629" s="323"/>
      <c r="M629" s="323"/>
      <c r="N629" s="323"/>
      <c r="O629" s="323"/>
      <c r="P629" s="323"/>
      <c r="Q629" s="323"/>
      <c r="R629" s="323"/>
      <c r="S629" s="339"/>
      <c r="T629" s="339"/>
      <c r="U629" s="340"/>
      <c r="V629" s="325"/>
      <c r="W629" s="1"/>
    </row>
    <row r="630" spans="1:23" ht="45" customHeight="1" x14ac:dyDescent="0.25">
      <c r="A630" s="18"/>
      <c r="B630" s="18"/>
      <c r="C630" s="18"/>
      <c r="D630" s="7"/>
      <c r="E630" s="326"/>
      <c r="F630" s="1469" t="s">
        <v>8613</v>
      </c>
      <c r="G630" s="1470"/>
      <c r="H630" s="1470"/>
      <c r="I630" s="1470"/>
      <c r="J630" s="1470"/>
      <c r="K630" s="1470"/>
      <c r="L630" s="1470"/>
      <c r="M630" s="1470"/>
      <c r="N630" s="327" t="str">
        <f ca="1">"Concentração"&amp;" "&amp;'Calculos(2)'!$BJ$3</f>
        <v>Concentração -</v>
      </c>
      <c r="O630" s="327" t="s">
        <v>6038</v>
      </c>
      <c r="P630" s="327" t="s">
        <v>8126</v>
      </c>
      <c r="Q630" s="327" t="s">
        <v>8028</v>
      </c>
      <c r="R630" s="327" t="s">
        <v>8603</v>
      </c>
      <c r="S630" s="327" t="s">
        <v>8127</v>
      </c>
      <c r="U630" s="328" t="s">
        <v>119</v>
      </c>
      <c r="V630" s="332"/>
      <c r="W630" s="7"/>
    </row>
    <row r="631" spans="1:23" ht="20.100000000000001" customHeight="1" x14ac:dyDescent="0.25">
      <c r="A631" s="18"/>
      <c r="B631" s="18"/>
      <c r="C631" s="18"/>
      <c r="D631" s="7"/>
      <c r="E631" s="326"/>
      <c r="F631" s="1471" t="str">
        <f ca="1">'Calculos(2)'!$BJ$5</f>
        <v>-</v>
      </c>
      <c r="G631" s="1471"/>
      <c r="H631" s="1471"/>
      <c r="I631" s="1471"/>
      <c r="J631" s="1472" t="s">
        <v>7103</v>
      </c>
      <c r="K631" s="1473"/>
      <c r="L631" s="1473"/>
      <c r="M631" s="1474"/>
      <c r="N631" s="188"/>
      <c r="O631" s="188"/>
      <c r="P631" s="330"/>
      <c r="Q631" s="330"/>
      <c r="R631" s="187">
        <v>0</v>
      </c>
      <c r="S631" s="331">
        <f>O631/2</f>
        <v>0</v>
      </c>
      <c r="U631" s="331" t="str">
        <f ca="1">'Calculos(2)'!BZ$266</f>
        <v>-</v>
      </c>
      <c r="V631" s="332"/>
      <c r="W631" s="1"/>
    </row>
    <row r="632" spans="1:23" ht="20.100000000000001" customHeight="1" x14ac:dyDescent="0.25">
      <c r="A632" s="18"/>
      <c r="B632" s="18"/>
      <c r="C632" s="18"/>
      <c r="D632" s="7"/>
      <c r="E632" s="326"/>
      <c r="F632" s="1471"/>
      <c r="G632" s="1471"/>
      <c r="H632" s="1471"/>
      <c r="I632" s="1471"/>
      <c r="J632" s="1286" t="s">
        <v>8027</v>
      </c>
      <c r="K632" s="1286"/>
      <c r="L632" s="1286"/>
      <c r="M632" s="1286"/>
      <c r="N632" s="188"/>
      <c r="O632" s="188"/>
      <c r="P632" s="330"/>
      <c r="Q632" s="330"/>
      <c r="R632" s="187"/>
      <c r="U632" s="331" t="str">
        <f ca="1">'Calculos(2)'!BZ$267</f>
        <v>-</v>
      </c>
      <c r="V632" s="332"/>
      <c r="W632" s="1"/>
    </row>
    <row r="633" spans="1:23" ht="20.100000000000001" customHeight="1" x14ac:dyDescent="0.25">
      <c r="A633" s="18"/>
      <c r="B633" s="18"/>
      <c r="C633" s="18"/>
      <c r="D633" s="7"/>
      <c r="E633" s="326"/>
      <c r="F633" s="1471"/>
      <c r="G633" s="1471"/>
      <c r="H633" s="1471"/>
      <c r="I633" s="1471"/>
      <c r="J633" s="1286"/>
      <c r="K633" s="1286"/>
      <c r="L633" s="1286"/>
      <c r="M633" s="1286"/>
      <c r="N633" s="188"/>
      <c r="O633" s="188"/>
      <c r="P633" s="330"/>
      <c r="Q633" s="330"/>
      <c r="R633" s="187"/>
      <c r="U633" s="331" t="str">
        <f ca="1">'Calculos(2)'!BZ$268</f>
        <v>-</v>
      </c>
      <c r="V633" s="332"/>
      <c r="W633" s="1"/>
    </row>
    <row r="634" spans="1:23" ht="20.100000000000001" customHeight="1" x14ac:dyDescent="0.25">
      <c r="A634" s="18"/>
      <c r="B634" s="18"/>
      <c r="C634" s="18"/>
      <c r="D634" s="7"/>
      <c r="E634" s="326"/>
      <c r="F634" s="1471"/>
      <c r="G634" s="1471"/>
      <c r="H634" s="1471"/>
      <c r="I634" s="1471"/>
      <c r="J634" s="1286"/>
      <c r="K634" s="1286"/>
      <c r="L634" s="1286"/>
      <c r="M634" s="1286"/>
      <c r="N634" s="188"/>
      <c r="O634" s="188"/>
      <c r="P634" s="330"/>
      <c r="Q634" s="330"/>
      <c r="R634" s="187"/>
      <c r="U634" s="331" t="str">
        <f ca="1">'Calculos(2)'!BZ$269</f>
        <v>-</v>
      </c>
      <c r="V634" s="332"/>
      <c r="W634" s="1"/>
    </row>
    <row r="635" spans="1:23" ht="20.100000000000001" customHeight="1" x14ac:dyDescent="0.25">
      <c r="A635" s="18"/>
      <c r="B635" s="18"/>
      <c r="C635" s="18"/>
      <c r="D635" s="7"/>
      <c r="E635" s="326"/>
      <c r="F635" s="1471"/>
      <c r="G635" s="1471"/>
      <c r="H635" s="1471"/>
      <c r="I635" s="1471"/>
      <c r="J635" s="1286"/>
      <c r="K635" s="1286"/>
      <c r="L635" s="1286"/>
      <c r="M635" s="1286"/>
      <c r="N635" s="188"/>
      <c r="O635" s="188"/>
      <c r="P635" s="330"/>
      <c r="Q635" s="330"/>
      <c r="R635" s="187"/>
      <c r="U635" s="331" t="str">
        <f ca="1">'Calculos(2)'!BZ$270</f>
        <v>-</v>
      </c>
      <c r="V635" s="332"/>
      <c r="W635" s="1"/>
    </row>
    <row r="636" spans="1:23" ht="20.100000000000001" customHeight="1" x14ac:dyDescent="0.25">
      <c r="A636" s="18"/>
      <c r="B636" s="18"/>
      <c r="C636" s="18"/>
      <c r="D636" s="7"/>
      <c r="E636" s="326"/>
      <c r="F636" s="1471"/>
      <c r="G636" s="1471"/>
      <c r="H636" s="1471"/>
      <c r="I636" s="1471"/>
      <c r="J636" s="1286"/>
      <c r="K636" s="1286"/>
      <c r="L636" s="1286"/>
      <c r="M636" s="1286"/>
      <c r="N636" s="188"/>
      <c r="O636" s="188"/>
      <c r="P636" s="330"/>
      <c r="Q636" s="330"/>
      <c r="R636" s="187"/>
      <c r="U636" s="331" t="str">
        <f ca="1">'Calculos(2)'!BZ$271</f>
        <v>-</v>
      </c>
      <c r="V636" s="332"/>
      <c r="W636" s="1"/>
    </row>
    <row r="637" spans="1:23" ht="20.100000000000001" customHeight="1" x14ac:dyDescent="0.25">
      <c r="A637" s="18"/>
      <c r="B637" s="18"/>
      <c r="C637" s="18"/>
      <c r="D637" s="7"/>
      <c r="E637" s="326"/>
      <c r="F637" s="1471"/>
      <c r="G637" s="1471"/>
      <c r="H637" s="1471"/>
      <c r="I637" s="1471"/>
      <c r="J637" s="1286"/>
      <c r="K637" s="1286"/>
      <c r="L637" s="1286"/>
      <c r="M637" s="1286"/>
      <c r="N637" s="188"/>
      <c r="O637" s="188"/>
      <c r="P637" s="330"/>
      <c r="Q637" s="330"/>
      <c r="R637" s="187"/>
      <c r="U637" s="331" t="str">
        <f ca="1">'Calculos(2)'!BZ$272</f>
        <v>-</v>
      </c>
      <c r="V637" s="332"/>
      <c r="W637" s="1"/>
    </row>
    <row r="638" spans="1:23" ht="20.100000000000001" customHeight="1" x14ac:dyDescent="0.25">
      <c r="A638" s="18"/>
      <c r="B638" s="18"/>
      <c r="C638" s="18"/>
      <c r="D638" s="7"/>
      <c r="E638" s="326"/>
      <c r="F638" s="1471"/>
      <c r="G638" s="1471"/>
      <c r="H638" s="1471"/>
      <c r="I638" s="1471"/>
      <c r="J638" s="1286"/>
      <c r="K638" s="1286"/>
      <c r="L638" s="1286"/>
      <c r="M638" s="1286"/>
      <c r="N638" s="188"/>
      <c r="O638" s="188"/>
      <c r="P638" s="330"/>
      <c r="Q638" s="330"/>
      <c r="R638" s="187"/>
      <c r="U638" s="331" t="str">
        <f ca="1">'Calculos(2)'!BZ$273</f>
        <v>-</v>
      </c>
      <c r="V638" s="332"/>
      <c r="W638" s="1"/>
    </row>
    <row r="639" spans="1:23" ht="20.100000000000001" customHeight="1" x14ac:dyDescent="0.25">
      <c r="A639" s="18"/>
      <c r="B639" s="18"/>
      <c r="C639" s="18"/>
      <c r="D639" s="7"/>
      <c r="E639" s="326"/>
      <c r="F639" s="1471"/>
      <c r="G639" s="1471"/>
      <c r="H639" s="1471"/>
      <c r="I639" s="1471"/>
      <c r="J639" s="1286"/>
      <c r="K639" s="1286"/>
      <c r="L639" s="1286"/>
      <c r="M639" s="1286"/>
      <c r="N639" s="188"/>
      <c r="O639" s="188"/>
      <c r="P639" s="330"/>
      <c r="Q639" s="330"/>
      <c r="R639" s="187"/>
      <c r="U639" s="331" t="str">
        <f ca="1">'Calculos(2)'!BZ$274</f>
        <v>-</v>
      </c>
      <c r="V639" s="332"/>
      <c r="W639" s="1"/>
    </row>
    <row r="640" spans="1:23" ht="20.100000000000001" customHeight="1" x14ac:dyDescent="0.25">
      <c r="A640" s="18"/>
      <c r="B640" s="18"/>
      <c r="C640" s="18"/>
      <c r="D640" s="7"/>
      <c r="E640" s="326"/>
      <c r="F640" s="1471"/>
      <c r="G640" s="1471"/>
      <c r="H640" s="1471"/>
      <c r="I640" s="1471"/>
      <c r="J640" s="1286"/>
      <c r="K640" s="1286"/>
      <c r="L640" s="1286"/>
      <c r="M640" s="1286"/>
      <c r="N640" s="188"/>
      <c r="O640" s="188"/>
      <c r="P640" s="330"/>
      <c r="Q640" s="330"/>
      <c r="R640" s="187"/>
      <c r="U640" s="331" t="str">
        <f ca="1">'Calculos(2)'!BZ$275</f>
        <v>-</v>
      </c>
      <c r="V640" s="332"/>
      <c r="W640" s="1"/>
    </row>
    <row r="641" spans="1:23" ht="20.100000000000001" customHeight="1" x14ac:dyDescent="0.25">
      <c r="A641" s="18"/>
      <c r="B641" s="18"/>
      <c r="C641" s="18"/>
      <c r="D641" s="7"/>
      <c r="E641" s="326"/>
      <c r="F641" s="1471"/>
      <c r="G641" s="1471"/>
      <c r="H641" s="1471"/>
      <c r="I641" s="1471"/>
      <c r="J641" s="1286"/>
      <c r="K641" s="1286"/>
      <c r="L641" s="1286"/>
      <c r="M641" s="1286"/>
      <c r="N641" s="188"/>
      <c r="O641" s="188"/>
      <c r="P641" s="330"/>
      <c r="Q641" s="330"/>
      <c r="R641" s="187"/>
      <c r="U641" s="331" t="str">
        <f ca="1">'Calculos(2)'!BZ$276</f>
        <v>-</v>
      </c>
      <c r="V641" s="332"/>
      <c r="W641" s="1"/>
    </row>
    <row r="642" spans="1:23" ht="20.100000000000001" customHeight="1" x14ac:dyDescent="0.25">
      <c r="A642" s="18"/>
      <c r="B642" s="18"/>
      <c r="C642" s="18"/>
      <c r="D642" s="7"/>
      <c r="E642" s="326"/>
      <c r="F642" s="1471"/>
      <c r="G642" s="1471"/>
      <c r="H642" s="1471"/>
      <c r="I642" s="1471"/>
      <c r="J642" s="1472" t="s">
        <v>80</v>
      </c>
      <c r="K642" s="1473"/>
      <c r="L642" s="1473"/>
      <c r="M642" s="1474"/>
      <c r="N642" s="188"/>
      <c r="O642" s="188"/>
      <c r="P642" s="330"/>
      <c r="Q642" s="330"/>
      <c r="R642" s="187" t="s">
        <v>10</v>
      </c>
      <c r="U642" s="331" t="str">
        <f ca="1">'Calculos(2)'!BZ$277</f>
        <v>-</v>
      </c>
      <c r="V642" s="332"/>
      <c r="W642" s="1"/>
    </row>
    <row r="643" spans="1:23" ht="20.100000000000001" customHeight="1" x14ac:dyDescent="0.25">
      <c r="A643" s="18"/>
      <c r="B643" s="18"/>
      <c r="C643" s="18"/>
      <c r="D643" s="7"/>
      <c r="E643" s="326"/>
      <c r="V643" s="332"/>
      <c r="W643" s="1"/>
    </row>
    <row r="644" spans="1:23" ht="20.100000000000001" hidden="1" customHeight="1" x14ac:dyDescent="0.25">
      <c r="A644" s="18"/>
      <c r="B644" s="18"/>
      <c r="C644" s="18"/>
      <c r="D644" s="7"/>
      <c r="E644" s="326"/>
      <c r="V644" s="332"/>
      <c r="W644" s="1"/>
    </row>
    <row r="645" spans="1:23" ht="20.100000000000001" hidden="1" customHeight="1" x14ac:dyDescent="0.25">
      <c r="A645" s="18"/>
      <c r="B645" s="18"/>
      <c r="C645" s="18"/>
      <c r="D645" s="7"/>
      <c r="E645" s="326"/>
      <c r="V645" s="332"/>
      <c r="W645" s="7"/>
    </row>
    <row r="646" spans="1:23" ht="20.100000000000001" customHeight="1" x14ac:dyDescent="0.25">
      <c r="A646" s="18"/>
      <c r="B646" s="18"/>
      <c r="C646" s="18"/>
      <c r="D646" s="7"/>
      <c r="E646" s="326"/>
      <c r="V646" s="332"/>
      <c r="W646" s="7"/>
    </row>
    <row r="647" spans="1:23" ht="45" customHeight="1" x14ac:dyDescent="0.25">
      <c r="A647" s="18"/>
      <c r="B647" s="18"/>
      <c r="C647" s="18"/>
      <c r="D647" s="7"/>
      <c r="E647" s="326"/>
      <c r="F647" s="1475" t="s">
        <v>8622</v>
      </c>
      <c r="G647" s="1476"/>
      <c r="H647" s="1476"/>
      <c r="I647" s="1476"/>
      <c r="J647" s="1476"/>
      <c r="K647" s="1476"/>
      <c r="L647" s="1476"/>
      <c r="M647" s="1476"/>
      <c r="N647" s="333" t="str">
        <f ca="1">"Concentração"&amp;" "&amp;'Calculos(2)'!$BJ$3</f>
        <v>Concentração -</v>
      </c>
      <c r="O647" s="333" t="s">
        <v>6038</v>
      </c>
      <c r="P647" s="333" t="s">
        <v>8126</v>
      </c>
      <c r="Q647" s="333" t="s">
        <v>8028</v>
      </c>
      <c r="R647" s="333" t="s">
        <v>8603</v>
      </c>
      <c r="S647" s="333" t="s">
        <v>8127</v>
      </c>
      <c r="U647" s="328" t="s">
        <v>119</v>
      </c>
      <c r="V647" s="332"/>
      <c r="W647" s="1"/>
    </row>
    <row r="648" spans="1:23" ht="20.100000000000001" customHeight="1" x14ac:dyDescent="0.25">
      <c r="A648" s="18"/>
      <c r="B648" s="18"/>
      <c r="C648" s="18"/>
      <c r="D648" s="7"/>
      <c r="E648" s="326"/>
      <c r="F648" s="1471" t="str">
        <f ca="1">'Calculos(2)'!$BJ$5</f>
        <v>-</v>
      </c>
      <c r="G648" s="1471"/>
      <c r="H648" s="1471"/>
      <c r="I648" s="1471"/>
      <c r="J648" s="1472" t="s">
        <v>7103</v>
      </c>
      <c r="K648" s="1473"/>
      <c r="L648" s="1473"/>
      <c r="M648" s="1474"/>
      <c r="N648" s="334"/>
      <c r="O648" s="334"/>
      <c r="P648" s="335"/>
      <c r="Q648" s="335"/>
      <c r="R648" s="335">
        <v>0</v>
      </c>
      <c r="S648" s="331">
        <f>O648/2</f>
        <v>0</v>
      </c>
      <c r="U648" s="331" t="str">
        <f ca="1">'Calculos(2)'!BZ$282</f>
        <v>-</v>
      </c>
      <c r="V648" s="332"/>
      <c r="W648" s="1"/>
    </row>
    <row r="649" spans="1:23" ht="20.100000000000001" customHeight="1" x14ac:dyDescent="0.25">
      <c r="A649" s="18"/>
      <c r="B649" s="18"/>
      <c r="C649" s="18"/>
      <c r="D649" s="7"/>
      <c r="E649" s="326"/>
      <c r="F649" s="1471"/>
      <c r="G649" s="1471"/>
      <c r="H649" s="1471"/>
      <c r="I649" s="1471"/>
      <c r="J649" s="1286" t="s">
        <v>8027</v>
      </c>
      <c r="K649" s="1286"/>
      <c r="L649" s="1286"/>
      <c r="M649" s="1286"/>
      <c r="N649" s="334"/>
      <c r="O649" s="334"/>
      <c r="P649" s="335"/>
      <c r="Q649" s="335"/>
      <c r="R649" s="335"/>
      <c r="U649" s="331" t="str">
        <f ca="1">'Calculos(2)'!BZ$283</f>
        <v>-</v>
      </c>
      <c r="V649" s="332"/>
      <c r="W649" s="1"/>
    </row>
    <row r="650" spans="1:23" ht="20.100000000000001" customHeight="1" x14ac:dyDescent="0.25">
      <c r="A650" s="18"/>
      <c r="B650" s="18"/>
      <c r="C650" s="18"/>
      <c r="D650" s="7"/>
      <c r="E650" s="326"/>
      <c r="F650" s="1471"/>
      <c r="G650" s="1471"/>
      <c r="H650" s="1471"/>
      <c r="I650" s="1471"/>
      <c r="J650" s="1286"/>
      <c r="K650" s="1286"/>
      <c r="L650" s="1286"/>
      <c r="M650" s="1286"/>
      <c r="N650" s="334"/>
      <c r="O650" s="334"/>
      <c r="P650" s="335"/>
      <c r="Q650" s="335"/>
      <c r="R650" s="335"/>
      <c r="U650" s="331" t="str">
        <f ca="1">'Calculos(2)'!BZ$284</f>
        <v>-</v>
      </c>
      <c r="V650" s="332"/>
      <c r="W650" s="1"/>
    </row>
    <row r="651" spans="1:23" ht="20.100000000000001" customHeight="1" x14ac:dyDescent="0.25">
      <c r="A651" s="18"/>
      <c r="B651" s="18"/>
      <c r="C651" s="18"/>
      <c r="D651" s="7"/>
      <c r="E651" s="326"/>
      <c r="F651" s="1471"/>
      <c r="G651" s="1471"/>
      <c r="H651" s="1471"/>
      <c r="I651" s="1471"/>
      <c r="J651" s="1286"/>
      <c r="K651" s="1286"/>
      <c r="L651" s="1286"/>
      <c r="M651" s="1286"/>
      <c r="N651" s="334"/>
      <c r="O651" s="334"/>
      <c r="P651" s="335"/>
      <c r="Q651" s="335"/>
      <c r="R651" s="335"/>
      <c r="U651" s="331" t="str">
        <f ca="1">'Calculos(2)'!BZ$285</f>
        <v>-</v>
      </c>
      <c r="V651" s="332"/>
      <c r="W651" s="1"/>
    </row>
    <row r="652" spans="1:23" ht="20.100000000000001" customHeight="1" x14ac:dyDescent="0.25">
      <c r="A652" s="18"/>
      <c r="B652" s="18"/>
      <c r="C652" s="18"/>
      <c r="D652" s="7"/>
      <c r="E652" s="326"/>
      <c r="F652" s="1471"/>
      <c r="G652" s="1471"/>
      <c r="H652" s="1471"/>
      <c r="I652" s="1471"/>
      <c r="J652" s="1286"/>
      <c r="K652" s="1286"/>
      <c r="L652" s="1286"/>
      <c r="M652" s="1286"/>
      <c r="N652" s="334"/>
      <c r="O652" s="334"/>
      <c r="P652" s="335"/>
      <c r="Q652" s="335"/>
      <c r="R652" s="335"/>
      <c r="U652" s="331" t="str">
        <f ca="1">'Calculos(2)'!BZ$286</f>
        <v>-</v>
      </c>
      <c r="V652" s="332"/>
      <c r="W652" s="1"/>
    </row>
    <row r="653" spans="1:23" ht="20.100000000000001" customHeight="1" x14ac:dyDescent="0.25">
      <c r="A653" s="18"/>
      <c r="B653" s="18"/>
      <c r="C653" s="18"/>
      <c r="D653" s="7"/>
      <c r="E653" s="326"/>
      <c r="F653" s="1471"/>
      <c r="G653" s="1471"/>
      <c r="H653" s="1471"/>
      <c r="I653" s="1471"/>
      <c r="J653" s="1286"/>
      <c r="K653" s="1286"/>
      <c r="L653" s="1286"/>
      <c r="M653" s="1286"/>
      <c r="N653" s="334"/>
      <c r="O653" s="334"/>
      <c r="P653" s="335"/>
      <c r="Q653" s="335"/>
      <c r="R653" s="335"/>
      <c r="U653" s="331" t="str">
        <f ca="1">'Calculos(2)'!BZ$287</f>
        <v>-</v>
      </c>
      <c r="V653" s="332"/>
      <c r="W653" s="1"/>
    </row>
    <row r="654" spans="1:23" ht="20.100000000000001" customHeight="1" x14ac:dyDescent="0.25">
      <c r="A654" s="18"/>
      <c r="B654" s="18"/>
      <c r="C654" s="18"/>
      <c r="D654" s="7"/>
      <c r="E654" s="326"/>
      <c r="F654" s="1471"/>
      <c r="G654" s="1471"/>
      <c r="H654" s="1471"/>
      <c r="I654" s="1471"/>
      <c r="J654" s="1286"/>
      <c r="K654" s="1286"/>
      <c r="L654" s="1286"/>
      <c r="M654" s="1286"/>
      <c r="N654" s="334"/>
      <c r="O654" s="334"/>
      <c r="P654" s="335"/>
      <c r="Q654" s="335"/>
      <c r="R654" s="335"/>
      <c r="U654" s="331" t="str">
        <f ca="1">'Calculos(2)'!BZ$288</f>
        <v>-</v>
      </c>
      <c r="V654" s="332"/>
      <c r="W654" s="1"/>
    </row>
    <row r="655" spans="1:23" ht="20.100000000000001" customHeight="1" x14ac:dyDescent="0.25">
      <c r="A655" s="18"/>
      <c r="B655" s="18"/>
      <c r="C655" s="18"/>
      <c r="D655" s="7"/>
      <c r="E655" s="326"/>
      <c r="F655" s="1471"/>
      <c r="G655" s="1471"/>
      <c r="H655" s="1471"/>
      <c r="I655" s="1471"/>
      <c r="J655" s="1286"/>
      <c r="K655" s="1286"/>
      <c r="L655" s="1286"/>
      <c r="M655" s="1286"/>
      <c r="N655" s="334"/>
      <c r="O655" s="334"/>
      <c r="P655" s="335"/>
      <c r="Q655" s="335"/>
      <c r="R655" s="335"/>
      <c r="U655" s="331" t="str">
        <f ca="1">'Calculos(2)'!BZ$289</f>
        <v>-</v>
      </c>
      <c r="V655" s="332"/>
      <c r="W655" s="1"/>
    </row>
    <row r="656" spans="1:23" ht="20.100000000000001" customHeight="1" x14ac:dyDescent="0.25">
      <c r="A656" s="18"/>
      <c r="B656" s="18"/>
      <c r="C656" s="18"/>
      <c r="D656" s="7"/>
      <c r="E656" s="326"/>
      <c r="F656" s="1471"/>
      <c r="G656" s="1471"/>
      <c r="H656" s="1471"/>
      <c r="I656" s="1471"/>
      <c r="J656" s="1286"/>
      <c r="K656" s="1286"/>
      <c r="L656" s="1286"/>
      <c r="M656" s="1286"/>
      <c r="N656" s="334"/>
      <c r="O656" s="334"/>
      <c r="P656" s="335"/>
      <c r="Q656" s="335"/>
      <c r="R656" s="335"/>
      <c r="U656" s="331" t="str">
        <f ca="1">'Calculos(2)'!BZ$290</f>
        <v>-</v>
      </c>
      <c r="V656" s="332"/>
      <c r="W656" s="1"/>
    </row>
    <row r="657" spans="1:23" ht="20.100000000000001" customHeight="1" x14ac:dyDescent="0.25">
      <c r="A657" s="18"/>
      <c r="B657" s="18"/>
      <c r="C657" s="18"/>
      <c r="D657" s="7"/>
      <c r="E657" s="326"/>
      <c r="F657" s="1471"/>
      <c r="G657" s="1471"/>
      <c r="H657" s="1471"/>
      <c r="I657" s="1471"/>
      <c r="J657" s="1286"/>
      <c r="K657" s="1286"/>
      <c r="L657" s="1286"/>
      <c r="M657" s="1286"/>
      <c r="N657" s="334"/>
      <c r="O657" s="334"/>
      <c r="P657" s="335"/>
      <c r="Q657" s="335"/>
      <c r="R657" s="335"/>
      <c r="U657" s="331" t="str">
        <f ca="1">'Calculos(2)'!BZ$291</f>
        <v>-</v>
      </c>
      <c r="V657" s="332"/>
      <c r="W657" s="1"/>
    </row>
    <row r="658" spans="1:23" ht="20.100000000000001" customHeight="1" x14ac:dyDescent="0.25">
      <c r="A658" s="18"/>
      <c r="B658" s="18"/>
      <c r="C658" s="18"/>
      <c r="D658" s="7"/>
      <c r="E658" s="326"/>
      <c r="F658" s="1471"/>
      <c r="G658" s="1471"/>
      <c r="H658" s="1471"/>
      <c r="I658" s="1471"/>
      <c r="J658" s="1286"/>
      <c r="K658" s="1286"/>
      <c r="L658" s="1286"/>
      <c r="M658" s="1286"/>
      <c r="N658" s="334"/>
      <c r="O658" s="334"/>
      <c r="P658" s="335"/>
      <c r="Q658" s="335"/>
      <c r="R658" s="335"/>
      <c r="U658" s="331" t="str">
        <f ca="1">'Calculos(2)'!BZ$292</f>
        <v>-</v>
      </c>
      <c r="V658" s="329"/>
      <c r="W658" s="1"/>
    </row>
    <row r="659" spans="1:23" ht="20.100000000000001" customHeight="1" x14ac:dyDescent="0.25">
      <c r="A659" s="18"/>
      <c r="B659" s="18"/>
      <c r="C659" s="18"/>
      <c r="D659" s="7"/>
      <c r="E659" s="326"/>
      <c r="F659" s="1471"/>
      <c r="G659" s="1471"/>
      <c r="H659" s="1471"/>
      <c r="I659" s="1471"/>
      <c r="J659" s="1472" t="s">
        <v>80</v>
      </c>
      <c r="K659" s="1473"/>
      <c r="L659" s="1473"/>
      <c r="M659" s="1474"/>
      <c r="N659" s="334"/>
      <c r="O659" s="334"/>
      <c r="P659" s="335"/>
      <c r="Q659" s="335"/>
      <c r="R659" s="335" t="s">
        <v>10</v>
      </c>
      <c r="U659" s="331" t="str">
        <f ca="1">'Calculos(2)'!BZ$293</f>
        <v>-</v>
      </c>
      <c r="V659" s="329"/>
      <c r="W659" s="1"/>
    </row>
    <row r="660" spans="1:23" ht="20.100000000000001" customHeight="1" x14ac:dyDescent="0.25">
      <c r="A660" s="18"/>
      <c r="B660" s="18"/>
      <c r="C660" s="18"/>
      <c r="D660" s="7"/>
      <c r="E660" s="336"/>
      <c r="F660" s="337"/>
      <c r="G660" s="337"/>
      <c r="H660" s="337"/>
      <c r="I660" s="337"/>
      <c r="J660" s="337"/>
      <c r="K660" s="337"/>
      <c r="L660" s="337"/>
      <c r="M660" s="337"/>
      <c r="N660" s="337"/>
      <c r="O660" s="337"/>
      <c r="P660" s="337"/>
      <c r="Q660" s="337"/>
      <c r="R660" s="337"/>
      <c r="S660" s="337"/>
      <c r="T660" s="337"/>
      <c r="U660" s="337"/>
      <c r="V660" s="338"/>
      <c r="W660" s="1"/>
    </row>
    <row r="661" spans="1:23" ht="20.100000000000001" hidden="1" customHeight="1" x14ac:dyDescent="0.25">
      <c r="A661" s="18"/>
      <c r="B661" s="18"/>
      <c r="C661" s="18"/>
      <c r="D661" s="7"/>
      <c r="E661" s="2"/>
      <c r="W661" s="1"/>
    </row>
    <row r="662" spans="1:23" ht="20.100000000000001" customHeight="1" x14ac:dyDescent="0.25">
      <c r="A662" s="18"/>
      <c r="B662" s="18"/>
      <c r="C662" s="18"/>
      <c r="D662" s="7"/>
      <c r="E662" s="1"/>
      <c r="F662" s="1"/>
      <c r="G662" s="1"/>
      <c r="H662" s="1"/>
      <c r="I662" s="1"/>
      <c r="J662" s="1"/>
      <c r="K662" s="1"/>
      <c r="L662" s="1"/>
      <c r="M662" s="1"/>
      <c r="N662" s="1"/>
      <c r="O662" s="1"/>
      <c r="P662" s="1"/>
      <c r="Q662" s="1"/>
      <c r="R662" s="1"/>
      <c r="S662" s="1"/>
      <c r="T662" s="1"/>
      <c r="U662" s="1"/>
      <c r="V662" s="1"/>
      <c r="W662" s="1"/>
    </row>
    <row r="663" spans="1:23" ht="20.100000000000001" customHeight="1" x14ac:dyDescent="0.25">
      <c r="A663" s="18"/>
      <c r="B663" s="18"/>
      <c r="C663" s="18"/>
      <c r="D663" s="7"/>
      <c r="E663" s="321"/>
      <c r="F663" s="322"/>
      <c r="G663" s="323"/>
      <c r="H663" s="323"/>
      <c r="I663" s="323"/>
      <c r="J663" s="323"/>
      <c r="K663" s="323"/>
      <c r="L663" s="323"/>
      <c r="M663" s="323"/>
      <c r="N663" s="323"/>
      <c r="O663" s="323"/>
      <c r="P663" s="323"/>
      <c r="Q663" s="323"/>
      <c r="R663" s="323"/>
      <c r="S663" s="339"/>
      <c r="T663" s="339"/>
      <c r="U663" s="340"/>
      <c r="V663" s="325"/>
      <c r="W663" s="1"/>
    </row>
    <row r="664" spans="1:23" ht="45" customHeight="1" x14ac:dyDescent="0.25">
      <c r="A664" s="18"/>
      <c r="B664" s="18"/>
      <c r="C664" s="18"/>
      <c r="D664" s="7"/>
      <c r="E664" s="326"/>
      <c r="F664" s="1469" t="s">
        <v>8614</v>
      </c>
      <c r="G664" s="1470"/>
      <c r="H664" s="1470"/>
      <c r="I664" s="1470"/>
      <c r="J664" s="1470"/>
      <c r="K664" s="1470"/>
      <c r="L664" s="1470"/>
      <c r="M664" s="1470"/>
      <c r="N664" s="327" t="str">
        <f ca="1">"Concentração"&amp;" "&amp;'Calculos(2)'!$BJ$3</f>
        <v>Concentração -</v>
      </c>
      <c r="O664" s="327" t="s">
        <v>6038</v>
      </c>
      <c r="P664" s="327" t="s">
        <v>8126</v>
      </c>
      <c r="Q664" s="327" t="s">
        <v>8028</v>
      </c>
      <c r="R664" s="327" t="s">
        <v>8603</v>
      </c>
      <c r="S664" s="327" t="s">
        <v>8127</v>
      </c>
      <c r="U664" s="328" t="s">
        <v>119</v>
      </c>
      <c r="V664" s="332"/>
      <c r="W664" s="7"/>
    </row>
    <row r="665" spans="1:23" ht="20.100000000000001" customHeight="1" x14ac:dyDescent="0.25">
      <c r="A665" s="18"/>
      <c r="B665" s="18"/>
      <c r="C665" s="18"/>
      <c r="D665" s="7"/>
      <c r="E665" s="326"/>
      <c r="F665" s="1471" t="str">
        <f ca="1">'Calculos(2)'!$BJ$5</f>
        <v>-</v>
      </c>
      <c r="G665" s="1471"/>
      <c r="H665" s="1471"/>
      <c r="I665" s="1471"/>
      <c r="J665" s="1472" t="s">
        <v>7103</v>
      </c>
      <c r="K665" s="1473"/>
      <c r="L665" s="1473"/>
      <c r="M665" s="1474"/>
      <c r="N665" s="188"/>
      <c r="O665" s="188"/>
      <c r="P665" s="330"/>
      <c r="Q665" s="330"/>
      <c r="R665" s="187">
        <v>0</v>
      </c>
      <c r="S665" s="331">
        <f>O665/2</f>
        <v>0</v>
      </c>
      <c r="U665" s="331" t="str">
        <f ca="1">'Calculos(2)'!BZ$298</f>
        <v>-</v>
      </c>
      <c r="V665" s="332"/>
      <c r="W665" s="1"/>
    </row>
    <row r="666" spans="1:23" ht="20.100000000000001" customHeight="1" x14ac:dyDescent="0.25">
      <c r="A666" s="18"/>
      <c r="B666" s="18"/>
      <c r="C666" s="18"/>
      <c r="D666" s="7"/>
      <c r="E666" s="326"/>
      <c r="F666" s="1471"/>
      <c r="G666" s="1471"/>
      <c r="H666" s="1471"/>
      <c r="I666" s="1471"/>
      <c r="J666" s="1286" t="s">
        <v>8027</v>
      </c>
      <c r="K666" s="1286"/>
      <c r="L666" s="1286"/>
      <c r="M666" s="1286"/>
      <c r="N666" s="188"/>
      <c r="O666" s="188"/>
      <c r="P666" s="330"/>
      <c r="Q666" s="330"/>
      <c r="R666" s="187"/>
      <c r="U666" s="331" t="str">
        <f ca="1">'Calculos(2)'!BZ$299</f>
        <v>-</v>
      </c>
      <c r="V666" s="332"/>
      <c r="W666" s="1"/>
    </row>
    <row r="667" spans="1:23" ht="20.100000000000001" customHeight="1" x14ac:dyDescent="0.25">
      <c r="A667" s="18"/>
      <c r="B667" s="18"/>
      <c r="C667" s="18"/>
      <c r="D667" s="7"/>
      <c r="E667" s="326"/>
      <c r="F667" s="1471"/>
      <c r="G667" s="1471"/>
      <c r="H667" s="1471"/>
      <c r="I667" s="1471"/>
      <c r="J667" s="1286"/>
      <c r="K667" s="1286"/>
      <c r="L667" s="1286"/>
      <c r="M667" s="1286"/>
      <c r="N667" s="188"/>
      <c r="O667" s="188"/>
      <c r="P667" s="330"/>
      <c r="Q667" s="330"/>
      <c r="R667" s="187"/>
      <c r="U667" s="331" t="str">
        <f ca="1">'Calculos(2)'!BZ$300</f>
        <v>-</v>
      </c>
      <c r="V667" s="332"/>
      <c r="W667" s="1"/>
    </row>
    <row r="668" spans="1:23" ht="20.100000000000001" customHeight="1" x14ac:dyDescent="0.25">
      <c r="A668" s="18"/>
      <c r="B668" s="18"/>
      <c r="C668" s="18"/>
      <c r="D668" s="7"/>
      <c r="E668" s="326"/>
      <c r="F668" s="1471"/>
      <c r="G668" s="1471"/>
      <c r="H668" s="1471"/>
      <c r="I668" s="1471"/>
      <c r="J668" s="1286"/>
      <c r="K668" s="1286"/>
      <c r="L668" s="1286"/>
      <c r="M668" s="1286"/>
      <c r="N668" s="188"/>
      <c r="O668" s="188"/>
      <c r="P668" s="330"/>
      <c r="Q668" s="330"/>
      <c r="R668" s="187"/>
      <c r="U668" s="331" t="str">
        <f ca="1">'Calculos(2)'!BZ$301</f>
        <v>-</v>
      </c>
      <c r="V668" s="332"/>
      <c r="W668" s="1"/>
    </row>
    <row r="669" spans="1:23" ht="20.100000000000001" customHeight="1" x14ac:dyDescent="0.25">
      <c r="A669" s="18"/>
      <c r="B669" s="18"/>
      <c r="C669" s="18"/>
      <c r="D669" s="7"/>
      <c r="E669" s="326"/>
      <c r="F669" s="1471"/>
      <c r="G669" s="1471"/>
      <c r="H669" s="1471"/>
      <c r="I669" s="1471"/>
      <c r="J669" s="1286"/>
      <c r="K669" s="1286"/>
      <c r="L669" s="1286"/>
      <c r="M669" s="1286"/>
      <c r="N669" s="188"/>
      <c r="O669" s="188"/>
      <c r="P669" s="330"/>
      <c r="Q669" s="330"/>
      <c r="R669" s="187"/>
      <c r="U669" s="331" t="str">
        <f ca="1">'Calculos(2)'!BZ$302</f>
        <v>-</v>
      </c>
      <c r="V669" s="332"/>
      <c r="W669" s="1"/>
    </row>
    <row r="670" spans="1:23" ht="20.100000000000001" customHeight="1" x14ac:dyDescent="0.25">
      <c r="A670" s="18"/>
      <c r="B670" s="18"/>
      <c r="C670" s="18"/>
      <c r="D670" s="7"/>
      <c r="E670" s="326"/>
      <c r="F670" s="1471"/>
      <c r="G670" s="1471"/>
      <c r="H670" s="1471"/>
      <c r="I670" s="1471"/>
      <c r="J670" s="1286"/>
      <c r="K670" s="1286"/>
      <c r="L670" s="1286"/>
      <c r="M670" s="1286"/>
      <c r="N670" s="188"/>
      <c r="O670" s="188"/>
      <c r="P670" s="330"/>
      <c r="Q670" s="330"/>
      <c r="R670" s="187"/>
      <c r="U670" s="331" t="str">
        <f ca="1">'Calculos(2)'!BZ$303</f>
        <v>-</v>
      </c>
      <c r="V670" s="332"/>
      <c r="W670" s="1"/>
    </row>
    <row r="671" spans="1:23" ht="20.100000000000001" customHeight="1" x14ac:dyDescent="0.25">
      <c r="A671" s="18"/>
      <c r="B671" s="18"/>
      <c r="C671" s="18"/>
      <c r="D671" s="7"/>
      <c r="E671" s="326"/>
      <c r="F671" s="1471"/>
      <c r="G671" s="1471"/>
      <c r="H671" s="1471"/>
      <c r="I671" s="1471"/>
      <c r="J671" s="1286"/>
      <c r="K671" s="1286"/>
      <c r="L671" s="1286"/>
      <c r="M671" s="1286"/>
      <c r="N671" s="188"/>
      <c r="O671" s="188"/>
      <c r="P671" s="330"/>
      <c r="Q671" s="330"/>
      <c r="R671" s="187"/>
      <c r="U671" s="331" t="str">
        <f ca="1">'Calculos(2)'!BZ$304</f>
        <v>-</v>
      </c>
      <c r="V671" s="332"/>
      <c r="W671" s="1"/>
    </row>
    <row r="672" spans="1:23" ht="20.100000000000001" customHeight="1" x14ac:dyDescent="0.25">
      <c r="A672" s="18"/>
      <c r="B672" s="18"/>
      <c r="C672" s="18"/>
      <c r="D672" s="7"/>
      <c r="E672" s="326"/>
      <c r="F672" s="1471"/>
      <c r="G672" s="1471"/>
      <c r="H672" s="1471"/>
      <c r="I672" s="1471"/>
      <c r="J672" s="1286"/>
      <c r="K672" s="1286"/>
      <c r="L672" s="1286"/>
      <c r="M672" s="1286"/>
      <c r="N672" s="188"/>
      <c r="O672" s="188"/>
      <c r="P672" s="330"/>
      <c r="Q672" s="330"/>
      <c r="R672" s="187"/>
      <c r="U672" s="331" t="str">
        <f ca="1">'Calculos(2)'!BZ$305</f>
        <v>-</v>
      </c>
      <c r="V672" s="332"/>
      <c r="W672" s="1"/>
    </row>
    <row r="673" spans="1:23" ht="20.100000000000001" customHeight="1" x14ac:dyDescent="0.25">
      <c r="A673" s="18"/>
      <c r="B673" s="18"/>
      <c r="C673" s="18"/>
      <c r="D673" s="7"/>
      <c r="E673" s="326"/>
      <c r="F673" s="1471"/>
      <c r="G673" s="1471"/>
      <c r="H673" s="1471"/>
      <c r="I673" s="1471"/>
      <c r="J673" s="1286"/>
      <c r="K673" s="1286"/>
      <c r="L673" s="1286"/>
      <c r="M673" s="1286"/>
      <c r="N673" s="188"/>
      <c r="O673" s="188"/>
      <c r="P673" s="330"/>
      <c r="Q673" s="330"/>
      <c r="R673" s="187"/>
      <c r="U673" s="331" t="str">
        <f ca="1">'Calculos(2)'!BZ$306</f>
        <v>-</v>
      </c>
      <c r="V673" s="332"/>
      <c r="W673" s="1"/>
    </row>
    <row r="674" spans="1:23" ht="20.100000000000001" customHeight="1" x14ac:dyDescent="0.25">
      <c r="A674" s="18"/>
      <c r="B674" s="18"/>
      <c r="C674" s="18"/>
      <c r="D674" s="7"/>
      <c r="E674" s="326"/>
      <c r="F674" s="1471"/>
      <c r="G674" s="1471"/>
      <c r="H674" s="1471"/>
      <c r="I674" s="1471"/>
      <c r="J674" s="1286"/>
      <c r="K674" s="1286"/>
      <c r="L674" s="1286"/>
      <c r="M674" s="1286"/>
      <c r="N674" s="188"/>
      <c r="O674" s="188"/>
      <c r="P674" s="330"/>
      <c r="Q674" s="330"/>
      <c r="R674" s="187"/>
      <c r="U674" s="331" t="str">
        <f ca="1">'Calculos(2)'!BZ$307</f>
        <v>-</v>
      </c>
      <c r="V674" s="332"/>
      <c r="W674" s="1"/>
    </row>
    <row r="675" spans="1:23" ht="20.100000000000001" customHeight="1" x14ac:dyDescent="0.25">
      <c r="A675" s="18"/>
      <c r="B675" s="18"/>
      <c r="C675" s="18"/>
      <c r="D675" s="7"/>
      <c r="E675" s="326"/>
      <c r="F675" s="1471"/>
      <c r="G675" s="1471"/>
      <c r="H675" s="1471"/>
      <c r="I675" s="1471"/>
      <c r="J675" s="1286"/>
      <c r="K675" s="1286"/>
      <c r="L675" s="1286"/>
      <c r="M675" s="1286"/>
      <c r="N675" s="188"/>
      <c r="O675" s="188"/>
      <c r="P675" s="330"/>
      <c r="Q675" s="330"/>
      <c r="R675" s="187"/>
      <c r="U675" s="331" t="str">
        <f ca="1">'Calculos(2)'!BZ$308</f>
        <v>-</v>
      </c>
      <c r="V675" s="332"/>
      <c r="W675" s="1"/>
    </row>
    <row r="676" spans="1:23" ht="20.100000000000001" customHeight="1" x14ac:dyDescent="0.25">
      <c r="A676" s="18"/>
      <c r="B676" s="18"/>
      <c r="C676" s="18"/>
      <c r="D676" s="7"/>
      <c r="E676" s="326"/>
      <c r="F676" s="1471"/>
      <c r="G676" s="1471"/>
      <c r="H676" s="1471"/>
      <c r="I676" s="1471"/>
      <c r="J676" s="1472" t="s">
        <v>80</v>
      </c>
      <c r="K676" s="1473"/>
      <c r="L676" s="1473"/>
      <c r="M676" s="1474"/>
      <c r="N676" s="188"/>
      <c r="O676" s="188"/>
      <c r="P676" s="330"/>
      <c r="Q676" s="330"/>
      <c r="R676" s="187" t="s">
        <v>10</v>
      </c>
      <c r="U676" s="331" t="str">
        <f ca="1">'Calculos(2)'!BZ$309</f>
        <v>-</v>
      </c>
      <c r="V676" s="332"/>
      <c r="W676" s="1"/>
    </row>
    <row r="677" spans="1:23" ht="20.100000000000001" customHeight="1" x14ac:dyDescent="0.25">
      <c r="A677" s="18"/>
      <c r="B677" s="18"/>
      <c r="C677" s="18"/>
      <c r="D677" s="7"/>
      <c r="E677" s="326"/>
      <c r="V677" s="332"/>
      <c r="W677" s="1"/>
    </row>
    <row r="678" spans="1:23" ht="20.100000000000001" hidden="1" customHeight="1" x14ac:dyDescent="0.25">
      <c r="A678" s="18"/>
      <c r="B678" s="18"/>
      <c r="C678" s="18"/>
      <c r="D678" s="7"/>
      <c r="E678" s="326"/>
      <c r="V678" s="332"/>
      <c r="W678" s="1"/>
    </row>
    <row r="679" spans="1:23" ht="20.100000000000001" hidden="1" customHeight="1" x14ac:dyDescent="0.25">
      <c r="A679" s="18"/>
      <c r="B679" s="18"/>
      <c r="C679" s="18"/>
      <c r="D679" s="7"/>
      <c r="E679" s="326"/>
      <c r="V679" s="332"/>
      <c r="W679" s="7"/>
    </row>
    <row r="680" spans="1:23" ht="20.100000000000001" customHeight="1" x14ac:dyDescent="0.25">
      <c r="A680" s="18"/>
      <c r="B680" s="18"/>
      <c r="C680" s="18"/>
      <c r="D680" s="7"/>
      <c r="E680" s="326"/>
      <c r="V680" s="332"/>
      <c r="W680" s="7"/>
    </row>
    <row r="681" spans="1:23" ht="45" customHeight="1" x14ac:dyDescent="0.25">
      <c r="A681" s="18"/>
      <c r="B681" s="18"/>
      <c r="C681" s="18"/>
      <c r="D681" s="7"/>
      <c r="E681" s="326"/>
      <c r="F681" s="1475" t="s">
        <v>8623</v>
      </c>
      <c r="G681" s="1476"/>
      <c r="H681" s="1476"/>
      <c r="I681" s="1476"/>
      <c r="J681" s="1476"/>
      <c r="K681" s="1476"/>
      <c r="L681" s="1476"/>
      <c r="M681" s="1476"/>
      <c r="N681" s="333" t="str">
        <f ca="1">"Concentração"&amp;" "&amp;'Calculos(2)'!$BJ$3</f>
        <v>Concentração -</v>
      </c>
      <c r="O681" s="333" t="s">
        <v>6038</v>
      </c>
      <c r="P681" s="333" t="s">
        <v>8126</v>
      </c>
      <c r="Q681" s="333" t="s">
        <v>8028</v>
      </c>
      <c r="R681" s="333" t="s">
        <v>8603</v>
      </c>
      <c r="S681" s="333" t="s">
        <v>8127</v>
      </c>
      <c r="U681" s="328" t="s">
        <v>119</v>
      </c>
      <c r="V681" s="332"/>
      <c r="W681" s="1"/>
    </row>
    <row r="682" spans="1:23" ht="20.100000000000001" customHeight="1" x14ac:dyDescent="0.25">
      <c r="A682" s="18"/>
      <c r="B682" s="18"/>
      <c r="C682" s="18"/>
      <c r="D682" s="7"/>
      <c r="E682" s="326"/>
      <c r="F682" s="1471" t="str">
        <f ca="1">'Calculos(2)'!$BJ$5</f>
        <v>-</v>
      </c>
      <c r="G682" s="1471"/>
      <c r="H682" s="1471"/>
      <c r="I682" s="1471"/>
      <c r="J682" s="1472" t="s">
        <v>7103</v>
      </c>
      <c r="K682" s="1473"/>
      <c r="L682" s="1473"/>
      <c r="M682" s="1474"/>
      <c r="N682" s="334"/>
      <c r="O682" s="334"/>
      <c r="P682" s="335"/>
      <c r="Q682" s="335"/>
      <c r="R682" s="335">
        <v>0</v>
      </c>
      <c r="S682" s="331">
        <f>O682/2</f>
        <v>0</v>
      </c>
      <c r="U682" s="331" t="str">
        <f ca="1">'Calculos(2)'!BZ$314</f>
        <v>-</v>
      </c>
      <c r="V682" s="332"/>
      <c r="W682" s="1"/>
    </row>
    <row r="683" spans="1:23" ht="20.100000000000001" customHeight="1" x14ac:dyDescent="0.25">
      <c r="A683" s="18"/>
      <c r="B683" s="18"/>
      <c r="C683" s="18"/>
      <c r="D683" s="7"/>
      <c r="E683" s="326"/>
      <c r="F683" s="1471"/>
      <c r="G683" s="1471"/>
      <c r="H683" s="1471"/>
      <c r="I683" s="1471"/>
      <c r="J683" s="1286" t="s">
        <v>8027</v>
      </c>
      <c r="K683" s="1286"/>
      <c r="L683" s="1286"/>
      <c r="M683" s="1286"/>
      <c r="N683" s="334"/>
      <c r="O683" s="334"/>
      <c r="P683" s="335"/>
      <c r="Q683" s="335"/>
      <c r="R683" s="335"/>
      <c r="U683" s="331" t="str">
        <f ca="1">'Calculos(2)'!BZ$315</f>
        <v>-</v>
      </c>
      <c r="V683" s="332"/>
      <c r="W683" s="1"/>
    </row>
    <row r="684" spans="1:23" ht="20.100000000000001" customHeight="1" x14ac:dyDescent="0.25">
      <c r="A684" s="18"/>
      <c r="B684" s="18"/>
      <c r="C684" s="18"/>
      <c r="D684" s="7"/>
      <c r="E684" s="326"/>
      <c r="F684" s="1471"/>
      <c r="G684" s="1471"/>
      <c r="H684" s="1471"/>
      <c r="I684" s="1471"/>
      <c r="J684" s="1286"/>
      <c r="K684" s="1286"/>
      <c r="L684" s="1286"/>
      <c r="M684" s="1286"/>
      <c r="N684" s="334"/>
      <c r="O684" s="334"/>
      <c r="P684" s="335"/>
      <c r="Q684" s="335"/>
      <c r="R684" s="335"/>
      <c r="U684" s="331" t="str">
        <f ca="1">'Calculos(2)'!BZ$316</f>
        <v>-</v>
      </c>
      <c r="V684" s="332"/>
      <c r="W684" s="1"/>
    </row>
    <row r="685" spans="1:23" ht="20.100000000000001" customHeight="1" x14ac:dyDescent="0.25">
      <c r="A685" s="18"/>
      <c r="B685" s="18"/>
      <c r="C685" s="18"/>
      <c r="D685" s="7"/>
      <c r="E685" s="326"/>
      <c r="F685" s="1471"/>
      <c r="G685" s="1471"/>
      <c r="H685" s="1471"/>
      <c r="I685" s="1471"/>
      <c r="J685" s="1286"/>
      <c r="K685" s="1286"/>
      <c r="L685" s="1286"/>
      <c r="M685" s="1286"/>
      <c r="N685" s="334"/>
      <c r="O685" s="334"/>
      <c r="P685" s="335"/>
      <c r="Q685" s="335"/>
      <c r="R685" s="335"/>
      <c r="U685" s="331" t="str">
        <f ca="1">'Calculos(2)'!BZ$317</f>
        <v>-</v>
      </c>
      <c r="V685" s="332"/>
      <c r="W685" s="1"/>
    </row>
    <row r="686" spans="1:23" ht="20.100000000000001" customHeight="1" x14ac:dyDescent="0.25">
      <c r="A686" s="18"/>
      <c r="B686" s="18"/>
      <c r="C686" s="18"/>
      <c r="D686" s="7"/>
      <c r="E686" s="326"/>
      <c r="F686" s="1471"/>
      <c r="G686" s="1471"/>
      <c r="H686" s="1471"/>
      <c r="I686" s="1471"/>
      <c r="J686" s="1286"/>
      <c r="K686" s="1286"/>
      <c r="L686" s="1286"/>
      <c r="M686" s="1286"/>
      <c r="N686" s="334"/>
      <c r="O686" s="334"/>
      <c r="P686" s="335"/>
      <c r="Q686" s="335"/>
      <c r="R686" s="335"/>
      <c r="U686" s="331" t="str">
        <f ca="1">'Calculos(2)'!BZ$318</f>
        <v>-</v>
      </c>
      <c r="V686" s="332"/>
      <c r="W686" s="1"/>
    </row>
    <row r="687" spans="1:23" ht="20.100000000000001" customHeight="1" x14ac:dyDescent="0.25">
      <c r="A687" s="18"/>
      <c r="B687" s="18"/>
      <c r="C687" s="18"/>
      <c r="D687" s="7"/>
      <c r="E687" s="326"/>
      <c r="F687" s="1471"/>
      <c r="G687" s="1471"/>
      <c r="H687" s="1471"/>
      <c r="I687" s="1471"/>
      <c r="J687" s="1286"/>
      <c r="K687" s="1286"/>
      <c r="L687" s="1286"/>
      <c r="M687" s="1286"/>
      <c r="N687" s="334"/>
      <c r="O687" s="334"/>
      <c r="P687" s="335"/>
      <c r="Q687" s="335"/>
      <c r="R687" s="335"/>
      <c r="U687" s="331" t="str">
        <f ca="1">'Calculos(2)'!BZ$319</f>
        <v>-</v>
      </c>
      <c r="V687" s="332"/>
      <c r="W687" s="1"/>
    </row>
    <row r="688" spans="1:23" ht="20.100000000000001" customHeight="1" x14ac:dyDescent="0.25">
      <c r="A688" s="18"/>
      <c r="B688" s="18"/>
      <c r="C688" s="18"/>
      <c r="D688" s="7"/>
      <c r="E688" s="326"/>
      <c r="F688" s="1471"/>
      <c r="G688" s="1471"/>
      <c r="H688" s="1471"/>
      <c r="I688" s="1471"/>
      <c r="J688" s="1286"/>
      <c r="K688" s="1286"/>
      <c r="L688" s="1286"/>
      <c r="M688" s="1286"/>
      <c r="N688" s="334"/>
      <c r="O688" s="334"/>
      <c r="P688" s="335"/>
      <c r="Q688" s="335"/>
      <c r="R688" s="335"/>
      <c r="U688" s="331" t="str">
        <f ca="1">'Calculos(2)'!BZ$320</f>
        <v>-</v>
      </c>
      <c r="V688" s="332"/>
      <c r="W688" s="1"/>
    </row>
    <row r="689" spans="1:23" ht="20.100000000000001" customHeight="1" x14ac:dyDescent="0.25">
      <c r="A689" s="18"/>
      <c r="B689" s="18"/>
      <c r="C689" s="18"/>
      <c r="D689" s="7"/>
      <c r="E689" s="326"/>
      <c r="F689" s="1471"/>
      <c r="G689" s="1471"/>
      <c r="H689" s="1471"/>
      <c r="I689" s="1471"/>
      <c r="J689" s="1286"/>
      <c r="K689" s="1286"/>
      <c r="L689" s="1286"/>
      <c r="M689" s="1286"/>
      <c r="N689" s="334"/>
      <c r="O689" s="334"/>
      <c r="P689" s="335"/>
      <c r="Q689" s="335"/>
      <c r="R689" s="335"/>
      <c r="U689" s="331" t="str">
        <f ca="1">'Calculos(2)'!BZ$321</f>
        <v>-</v>
      </c>
      <c r="V689" s="332"/>
      <c r="W689" s="1"/>
    </row>
    <row r="690" spans="1:23" ht="20.100000000000001" customHeight="1" x14ac:dyDescent="0.25">
      <c r="A690" s="18"/>
      <c r="B690" s="18"/>
      <c r="C690" s="18"/>
      <c r="D690" s="7"/>
      <c r="E690" s="326"/>
      <c r="F690" s="1471"/>
      <c r="G690" s="1471"/>
      <c r="H690" s="1471"/>
      <c r="I690" s="1471"/>
      <c r="J690" s="1286"/>
      <c r="K690" s="1286"/>
      <c r="L690" s="1286"/>
      <c r="M690" s="1286"/>
      <c r="N690" s="334"/>
      <c r="O690" s="334"/>
      <c r="P690" s="335"/>
      <c r="Q690" s="335"/>
      <c r="R690" s="335"/>
      <c r="U690" s="331" t="str">
        <f ca="1">'Calculos(2)'!BZ$322</f>
        <v>-</v>
      </c>
      <c r="V690" s="332"/>
      <c r="W690" s="1"/>
    </row>
    <row r="691" spans="1:23" ht="20.100000000000001" customHeight="1" x14ac:dyDescent="0.25">
      <c r="A691" s="18"/>
      <c r="B691" s="18"/>
      <c r="C691" s="18"/>
      <c r="D691" s="7"/>
      <c r="E691" s="326"/>
      <c r="F691" s="1471"/>
      <c r="G691" s="1471"/>
      <c r="H691" s="1471"/>
      <c r="I691" s="1471"/>
      <c r="J691" s="1286"/>
      <c r="K691" s="1286"/>
      <c r="L691" s="1286"/>
      <c r="M691" s="1286"/>
      <c r="N691" s="334"/>
      <c r="O691" s="334"/>
      <c r="P691" s="335"/>
      <c r="Q691" s="335"/>
      <c r="R691" s="335"/>
      <c r="U691" s="331" t="str">
        <f ca="1">'Calculos(2)'!BZ$323</f>
        <v>-</v>
      </c>
      <c r="V691" s="332"/>
      <c r="W691" s="1"/>
    </row>
    <row r="692" spans="1:23" ht="20.100000000000001" customHeight="1" x14ac:dyDescent="0.25">
      <c r="A692" s="18"/>
      <c r="B692" s="18"/>
      <c r="C692" s="18"/>
      <c r="D692" s="7"/>
      <c r="E692" s="326"/>
      <c r="F692" s="1471"/>
      <c r="G692" s="1471"/>
      <c r="H692" s="1471"/>
      <c r="I692" s="1471"/>
      <c r="J692" s="1286"/>
      <c r="K692" s="1286"/>
      <c r="L692" s="1286"/>
      <c r="M692" s="1286"/>
      <c r="N692" s="334"/>
      <c r="O692" s="334"/>
      <c r="P692" s="335"/>
      <c r="Q692" s="335"/>
      <c r="R692" s="335"/>
      <c r="U692" s="331" t="str">
        <f ca="1">'Calculos(2)'!BZ$324</f>
        <v>-</v>
      </c>
      <c r="V692" s="329"/>
      <c r="W692" s="1"/>
    </row>
    <row r="693" spans="1:23" ht="20.100000000000001" customHeight="1" x14ac:dyDescent="0.25">
      <c r="A693" s="18"/>
      <c r="B693" s="18"/>
      <c r="C693" s="18"/>
      <c r="D693" s="7"/>
      <c r="E693" s="326"/>
      <c r="F693" s="1471"/>
      <c r="G693" s="1471"/>
      <c r="H693" s="1471"/>
      <c r="I693" s="1471"/>
      <c r="J693" s="1472" t="s">
        <v>80</v>
      </c>
      <c r="K693" s="1473"/>
      <c r="L693" s="1473"/>
      <c r="M693" s="1474"/>
      <c r="N693" s="334"/>
      <c r="O693" s="334"/>
      <c r="P693" s="335"/>
      <c r="Q693" s="335"/>
      <c r="R693" s="335" t="s">
        <v>10</v>
      </c>
      <c r="U693" s="331" t="str">
        <f ca="1">'Calculos(2)'!BZ$325</f>
        <v>-</v>
      </c>
      <c r="V693" s="329"/>
      <c r="W693" s="1"/>
    </row>
    <row r="694" spans="1:23" ht="20.100000000000001" customHeight="1" x14ac:dyDescent="0.25">
      <c r="A694" s="18"/>
      <c r="B694" s="18"/>
      <c r="C694" s="18"/>
      <c r="D694" s="7"/>
      <c r="E694" s="336"/>
      <c r="F694" s="337"/>
      <c r="G694" s="337"/>
      <c r="H694" s="337"/>
      <c r="I694" s="337"/>
      <c r="J694" s="337"/>
      <c r="K694" s="337"/>
      <c r="L694" s="337"/>
      <c r="M694" s="337"/>
      <c r="N694" s="337"/>
      <c r="O694" s="337"/>
      <c r="P694" s="337"/>
      <c r="Q694" s="337"/>
      <c r="R694" s="337"/>
      <c r="S694" s="337"/>
      <c r="T694" s="337"/>
      <c r="U694" s="337"/>
      <c r="V694" s="338"/>
      <c r="W694" s="1"/>
    </row>
    <row r="695" spans="1:23" ht="20.100000000000001" customHeight="1" x14ac:dyDescent="0.25">
      <c r="A695" s="18"/>
      <c r="B695" s="18"/>
      <c r="C695" s="18"/>
      <c r="D695" s="7"/>
      <c r="E695" s="7"/>
      <c r="F695" s="1"/>
      <c r="G695" s="1"/>
      <c r="H695" s="1"/>
      <c r="I695" s="1"/>
      <c r="J695" s="1"/>
      <c r="K695" s="1"/>
      <c r="L695" s="1"/>
      <c r="M695" s="1"/>
      <c r="N695" s="1"/>
      <c r="O695" s="1"/>
      <c r="P695" s="1"/>
      <c r="Q695" s="1"/>
      <c r="R695" s="1"/>
      <c r="S695" s="1"/>
      <c r="T695" s="1"/>
      <c r="U695" s="1"/>
      <c r="V695" s="1"/>
      <c r="W695" s="1"/>
    </row>
    <row r="696" spans="1:23" ht="20.100000000000001" customHeight="1" x14ac:dyDescent="0.25">
      <c r="A696" s="18"/>
      <c r="B696" s="18"/>
      <c r="C696" s="18"/>
      <c r="D696" s="7"/>
      <c r="E696" s="7"/>
      <c r="F696" s="1"/>
      <c r="G696" s="1"/>
      <c r="H696" s="1"/>
      <c r="I696" s="1"/>
      <c r="J696" s="1"/>
      <c r="K696" s="1"/>
      <c r="L696" s="1"/>
      <c r="M696" s="1"/>
      <c r="N696" s="1"/>
      <c r="O696" s="1"/>
      <c r="P696" s="1"/>
      <c r="Q696" s="1"/>
      <c r="R696" s="1"/>
      <c r="S696" s="1"/>
      <c r="T696" s="1"/>
      <c r="U696" s="1"/>
      <c r="V696" s="1"/>
      <c r="W696" s="1"/>
    </row>
    <row r="697" spans="1:23" ht="20.100000000000001" customHeight="1" x14ac:dyDescent="0.25">
      <c r="A697" s="18"/>
      <c r="B697" s="18"/>
      <c r="C697" s="18"/>
      <c r="D697" s="7"/>
      <c r="E697" s="7"/>
      <c r="F697" s="1"/>
      <c r="G697" s="1"/>
      <c r="H697" s="1"/>
      <c r="I697" s="1"/>
      <c r="J697" s="1"/>
      <c r="K697" s="1"/>
      <c r="L697" s="1"/>
      <c r="M697" s="1"/>
      <c r="N697" s="1"/>
      <c r="O697" s="1"/>
      <c r="P697" s="1"/>
      <c r="Q697" s="1"/>
      <c r="R697" s="1"/>
      <c r="S697" s="1"/>
      <c r="T697" s="1"/>
      <c r="U697" s="1"/>
      <c r="V697" s="1"/>
      <c r="W697" s="1"/>
    </row>
    <row r="698" spans="1:23" ht="20.100000000000001" customHeight="1" x14ac:dyDescent="0.25">
      <c r="A698" s="18"/>
      <c r="B698" s="18"/>
      <c r="C698" s="18"/>
      <c r="D698" s="7"/>
      <c r="E698" s="7"/>
      <c r="F698" s="1"/>
      <c r="G698" s="1"/>
      <c r="H698" s="1"/>
      <c r="I698" s="1"/>
      <c r="J698" s="1"/>
      <c r="K698" s="1"/>
      <c r="L698" s="1"/>
      <c r="M698" s="1"/>
      <c r="N698" s="1"/>
      <c r="O698" s="1"/>
      <c r="P698" s="1"/>
      <c r="Q698" s="1"/>
      <c r="R698" s="1"/>
      <c r="S698" s="1"/>
      <c r="T698" s="1"/>
      <c r="U698" s="1"/>
      <c r="V698" s="1"/>
      <c r="W698" s="1"/>
    </row>
    <row r="699" spans="1:23" ht="50.1" customHeight="1" x14ac:dyDescent="0.25">
      <c r="A699" s="343"/>
      <c r="B699" s="343"/>
      <c r="C699" s="343"/>
      <c r="D699" s="344"/>
      <c r="E699" s="344"/>
      <c r="F699" s="344"/>
      <c r="G699" s="344"/>
      <c r="H699" s="344"/>
      <c r="I699" s="344"/>
      <c r="J699" s="344"/>
      <c r="K699" s="344"/>
      <c r="L699" s="344"/>
      <c r="M699" s="344"/>
      <c r="N699" s="344"/>
      <c r="O699" s="343"/>
      <c r="P699" s="345" t="s">
        <v>8030</v>
      </c>
      <c r="Q699" s="344"/>
      <c r="R699" s="344"/>
      <c r="S699" s="344"/>
      <c r="T699" s="344"/>
      <c r="U699" s="344"/>
      <c r="V699" s="344"/>
      <c r="W699" s="344"/>
    </row>
    <row r="700" spans="1:23" ht="20.100000000000001" customHeight="1" x14ac:dyDescent="0.25">
      <c r="A700" s="18"/>
      <c r="B700" s="18"/>
      <c r="C700" s="18"/>
      <c r="D700" s="7"/>
      <c r="E700" s="7"/>
      <c r="F700" s="7"/>
      <c r="G700" s="7"/>
      <c r="H700" s="7"/>
      <c r="I700" s="7"/>
      <c r="J700" s="7"/>
      <c r="K700" s="7"/>
      <c r="L700" s="7"/>
      <c r="M700" s="7"/>
      <c r="N700" s="7"/>
      <c r="O700" s="7"/>
      <c r="P700" s="7"/>
      <c r="Q700" s="7"/>
      <c r="R700" s="7"/>
      <c r="S700" s="7"/>
      <c r="T700" s="7"/>
      <c r="U700" s="7"/>
      <c r="V700" s="7"/>
      <c r="W700" s="7"/>
    </row>
    <row r="701" spans="1:23" ht="50.1" customHeight="1" x14ac:dyDescent="0.25">
      <c r="A701" s="18"/>
      <c r="B701" s="18"/>
      <c r="C701" s="18"/>
      <c r="D701" s="7"/>
      <c r="E701" s="346"/>
      <c r="F701" s="346"/>
      <c r="G701" s="346"/>
      <c r="H701" s="346"/>
      <c r="I701" s="346"/>
      <c r="J701" s="346"/>
      <c r="K701" s="346"/>
      <c r="L701" s="346"/>
      <c r="M701" s="346"/>
      <c r="N701" s="346"/>
      <c r="O701" s="346"/>
      <c r="P701" s="347" t="s">
        <v>8111</v>
      </c>
      <c r="Q701" s="346"/>
      <c r="R701" s="346"/>
      <c r="S701" s="346"/>
      <c r="T701" s="346"/>
      <c r="U701" s="346"/>
      <c r="V701" s="346"/>
      <c r="W701" s="348"/>
    </row>
    <row r="702" spans="1:23" ht="20.100000000000001" customHeight="1" x14ac:dyDescent="0.25">
      <c r="A702" s="18"/>
      <c r="B702" s="18"/>
      <c r="C702" s="18"/>
      <c r="D702" s="7"/>
      <c r="E702" s="7"/>
      <c r="F702" s="1"/>
      <c r="G702" s="1"/>
      <c r="H702" s="1"/>
      <c r="I702" s="1"/>
      <c r="J702" s="1"/>
      <c r="K702" s="1"/>
      <c r="L702" s="1"/>
      <c r="M702" s="1"/>
      <c r="N702" s="316"/>
      <c r="O702" s="1"/>
      <c r="P702" s="1"/>
      <c r="Q702" s="1"/>
      <c r="R702" s="1"/>
      <c r="S702" s="1"/>
      <c r="T702" s="1"/>
      <c r="U702" s="1"/>
      <c r="V702" s="1"/>
      <c r="W702" s="7"/>
    </row>
    <row r="703" spans="1:23" ht="20.100000000000001" customHeight="1" x14ac:dyDescent="0.25">
      <c r="A703" s="18"/>
      <c r="B703" s="18"/>
      <c r="C703" s="18"/>
      <c r="D703" s="7"/>
      <c r="E703" s="321"/>
      <c r="F703" s="322"/>
      <c r="G703" s="323"/>
      <c r="H703" s="323"/>
      <c r="I703" s="323"/>
      <c r="J703" s="323"/>
      <c r="K703" s="323"/>
      <c r="L703" s="323"/>
      <c r="M703" s="323"/>
      <c r="N703" s="323"/>
      <c r="O703" s="323"/>
      <c r="P703" s="340"/>
      <c r="Q703" s="323"/>
      <c r="R703" s="323"/>
      <c r="S703" s="323"/>
      <c r="T703" s="339"/>
      <c r="U703" s="323"/>
      <c r="V703" s="325"/>
      <c r="W703" s="7"/>
    </row>
    <row r="704" spans="1:23" ht="45" customHeight="1" x14ac:dyDescent="0.25">
      <c r="A704" s="18"/>
      <c r="B704" s="18"/>
      <c r="C704" s="18"/>
      <c r="D704" s="7"/>
      <c r="E704" s="326"/>
      <c r="F704" s="1469" t="s">
        <v>8604</v>
      </c>
      <c r="G704" s="1470"/>
      <c r="H704" s="1470"/>
      <c r="I704" s="1470"/>
      <c r="J704" s="1470"/>
      <c r="K704" s="1470"/>
      <c r="L704" s="1470"/>
      <c r="M704" s="1470"/>
      <c r="N704" s="327" t="str">
        <f ca="1">"Concentração"&amp;" "&amp;'Calculos(2)'!$BJ$3</f>
        <v>Concentração -</v>
      </c>
      <c r="O704" s="327" t="s">
        <v>6038</v>
      </c>
      <c r="P704" s="327" t="s">
        <v>8126</v>
      </c>
      <c r="Q704" s="327" t="s">
        <v>8028</v>
      </c>
      <c r="R704" s="327" t="s">
        <v>8603</v>
      </c>
      <c r="S704" s="327" t="s">
        <v>8127</v>
      </c>
      <c r="U704" s="328" t="s">
        <v>119</v>
      </c>
      <c r="V704" s="332"/>
      <c r="W704" s="1"/>
    </row>
    <row r="705" spans="1:23" ht="20.100000000000001" customHeight="1" x14ac:dyDescent="0.25">
      <c r="A705" s="18"/>
      <c r="B705" s="18"/>
      <c r="C705" s="18"/>
      <c r="D705" s="7"/>
      <c r="E705" s="326"/>
      <c r="F705" s="1471" t="str">
        <f ca="1">'Calculos(2)'!$BJ$6</f>
        <v>-</v>
      </c>
      <c r="G705" s="1471"/>
      <c r="H705" s="1471"/>
      <c r="I705" s="1471"/>
      <c r="J705" s="1472" t="s">
        <v>7103</v>
      </c>
      <c r="K705" s="1473"/>
      <c r="L705" s="1473"/>
      <c r="M705" s="1474"/>
      <c r="N705" s="188"/>
      <c r="O705" s="188"/>
      <c r="P705" s="330"/>
      <c r="Q705" s="330"/>
      <c r="R705" s="187">
        <v>0</v>
      </c>
      <c r="S705" s="331">
        <f>O705/2</f>
        <v>0</v>
      </c>
      <c r="U705" s="331" t="str">
        <f ca="1">'Calculos(2)'!CK$10</f>
        <v>-</v>
      </c>
      <c r="V705" s="332"/>
      <c r="W705" s="1"/>
    </row>
    <row r="706" spans="1:23" ht="20.100000000000001" customHeight="1" x14ac:dyDescent="0.25">
      <c r="A706" s="18"/>
      <c r="B706" s="18"/>
      <c r="C706" s="18"/>
      <c r="D706" s="7"/>
      <c r="E706" s="326"/>
      <c r="F706" s="1471"/>
      <c r="G706" s="1471"/>
      <c r="H706" s="1471"/>
      <c r="I706" s="1471"/>
      <c r="J706" s="1286" t="s">
        <v>8027</v>
      </c>
      <c r="K706" s="1286"/>
      <c r="L706" s="1286"/>
      <c r="M706" s="1286"/>
      <c r="N706" s="188"/>
      <c r="O706" s="188"/>
      <c r="P706" s="330"/>
      <c r="Q706" s="330"/>
      <c r="R706" s="187"/>
      <c r="U706" s="331" t="str">
        <f ca="1">'Calculos(2)'!CK$11</f>
        <v>-</v>
      </c>
      <c r="V706" s="332"/>
      <c r="W706" s="1"/>
    </row>
    <row r="707" spans="1:23" ht="20.100000000000001" customHeight="1" x14ac:dyDescent="0.25">
      <c r="A707" s="18"/>
      <c r="B707" s="18"/>
      <c r="C707" s="18"/>
      <c r="D707" s="7"/>
      <c r="E707" s="326"/>
      <c r="F707" s="1471"/>
      <c r="G707" s="1471"/>
      <c r="H707" s="1471"/>
      <c r="I707" s="1471"/>
      <c r="J707" s="1286"/>
      <c r="K707" s="1286"/>
      <c r="L707" s="1286"/>
      <c r="M707" s="1286"/>
      <c r="N707" s="188"/>
      <c r="O707" s="188"/>
      <c r="P707" s="330"/>
      <c r="Q707" s="330"/>
      <c r="R707" s="187"/>
      <c r="U707" s="331" t="str">
        <f ca="1">'Calculos(2)'!CK$12</f>
        <v>-</v>
      </c>
      <c r="V707" s="332"/>
      <c r="W707" s="1"/>
    </row>
    <row r="708" spans="1:23" ht="20.100000000000001" customHeight="1" x14ac:dyDescent="0.25">
      <c r="A708" s="18"/>
      <c r="B708" s="18"/>
      <c r="C708" s="18"/>
      <c r="D708" s="7"/>
      <c r="E708" s="326"/>
      <c r="F708" s="1471"/>
      <c r="G708" s="1471"/>
      <c r="H708" s="1471"/>
      <c r="I708" s="1471"/>
      <c r="J708" s="1286"/>
      <c r="K708" s="1286"/>
      <c r="L708" s="1286"/>
      <c r="M708" s="1286"/>
      <c r="N708" s="188"/>
      <c r="O708" s="188"/>
      <c r="P708" s="330"/>
      <c r="Q708" s="330"/>
      <c r="R708" s="187"/>
      <c r="U708" s="331" t="str">
        <f ca="1">'Calculos(2)'!CK$13</f>
        <v>-</v>
      </c>
      <c r="V708" s="332"/>
      <c r="W708" s="1"/>
    </row>
    <row r="709" spans="1:23" ht="20.100000000000001" customHeight="1" x14ac:dyDescent="0.25">
      <c r="A709" s="18"/>
      <c r="B709" s="18"/>
      <c r="C709" s="18"/>
      <c r="D709" s="7"/>
      <c r="E709" s="326"/>
      <c r="F709" s="1471"/>
      <c r="G709" s="1471"/>
      <c r="H709" s="1471"/>
      <c r="I709" s="1471"/>
      <c r="J709" s="1286"/>
      <c r="K709" s="1286"/>
      <c r="L709" s="1286"/>
      <c r="M709" s="1286"/>
      <c r="N709" s="188"/>
      <c r="O709" s="188"/>
      <c r="P709" s="330"/>
      <c r="Q709" s="330"/>
      <c r="R709" s="187"/>
      <c r="U709" s="331" t="str">
        <f ca="1">'Calculos(2)'!CK$14</f>
        <v>-</v>
      </c>
      <c r="V709" s="332"/>
      <c r="W709" s="1"/>
    </row>
    <row r="710" spans="1:23" ht="20.100000000000001" customHeight="1" x14ac:dyDescent="0.25">
      <c r="A710" s="18"/>
      <c r="B710" s="18"/>
      <c r="C710" s="18"/>
      <c r="D710" s="7"/>
      <c r="E710" s="326"/>
      <c r="F710" s="1471"/>
      <c r="G710" s="1471"/>
      <c r="H710" s="1471"/>
      <c r="I710" s="1471"/>
      <c r="J710" s="1286"/>
      <c r="K710" s="1286"/>
      <c r="L710" s="1286"/>
      <c r="M710" s="1286"/>
      <c r="N710" s="188"/>
      <c r="O710" s="188"/>
      <c r="P710" s="330"/>
      <c r="Q710" s="330"/>
      <c r="R710" s="187"/>
      <c r="U710" s="331" t="str">
        <f ca="1">'Calculos(2)'!CK$15</f>
        <v>-</v>
      </c>
      <c r="V710" s="332"/>
      <c r="W710" s="1"/>
    </row>
    <row r="711" spans="1:23" ht="20.100000000000001" customHeight="1" x14ac:dyDescent="0.25">
      <c r="A711" s="18"/>
      <c r="B711" s="18"/>
      <c r="C711" s="18"/>
      <c r="D711" s="7"/>
      <c r="E711" s="326"/>
      <c r="F711" s="1471"/>
      <c r="G711" s="1471"/>
      <c r="H711" s="1471"/>
      <c r="I711" s="1471"/>
      <c r="J711" s="1286"/>
      <c r="K711" s="1286"/>
      <c r="L711" s="1286"/>
      <c r="M711" s="1286"/>
      <c r="N711" s="188"/>
      <c r="O711" s="188"/>
      <c r="P711" s="330"/>
      <c r="Q711" s="330"/>
      <c r="R711" s="187"/>
      <c r="U711" s="331" t="str">
        <f ca="1">'Calculos(2)'!CK$16</f>
        <v>-</v>
      </c>
      <c r="V711" s="332"/>
      <c r="W711" s="1"/>
    </row>
    <row r="712" spans="1:23" ht="20.100000000000001" customHeight="1" x14ac:dyDescent="0.25">
      <c r="A712" s="18"/>
      <c r="B712" s="18"/>
      <c r="C712" s="18"/>
      <c r="D712" s="7"/>
      <c r="E712" s="326"/>
      <c r="F712" s="1471"/>
      <c r="G712" s="1471"/>
      <c r="H712" s="1471"/>
      <c r="I712" s="1471"/>
      <c r="J712" s="1286"/>
      <c r="K712" s="1286"/>
      <c r="L712" s="1286"/>
      <c r="M712" s="1286"/>
      <c r="N712" s="188"/>
      <c r="O712" s="188"/>
      <c r="P712" s="330"/>
      <c r="Q712" s="330"/>
      <c r="R712" s="187"/>
      <c r="U712" s="331" t="str">
        <f ca="1">'Calculos(2)'!CK$17</f>
        <v>-</v>
      </c>
      <c r="V712" s="332"/>
      <c r="W712" s="1"/>
    </row>
    <row r="713" spans="1:23" ht="20.100000000000001" customHeight="1" x14ac:dyDescent="0.25">
      <c r="A713" s="18"/>
      <c r="B713" s="18"/>
      <c r="C713" s="18"/>
      <c r="D713" s="7"/>
      <c r="E713" s="326"/>
      <c r="F713" s="1471"/>
      <c r="G713" s="1471"/>
      <c r="H713" s="1471"/>
      <c r="I713" s="1471"/>
      <c r="J713" s="1286"/>
      <c r="K713" s="1286"/>
      <c r="L713" s="1286"/>
      <c r="M713" s="1286"/>
      <c r="N713" s="188"/>
      <c r="O713" s="188"/>
      <c r="P713" s="330"/>
      <c r="Q713" s="330"/>
      <c r="R713" s="187"/>
      <c r="U713" s="331" t="str">
        <f ca="1">'Calculos(2)'!CK$18</f>
        <v>-</v>
      </c>
      <c r="V713" s="332"/>
      <c r="W713" s="1"/>
    </row>
    <row r="714" spans="1:23" ht="20.100000000000001" customHeight="1" x14ac:dyDescent="0.25">
      <c r="A714" s="18"/>
      <c r="B714" s="18"/>
      <c r="C714" s="18"/>
      <c r="D714" s="7"/>
      <c r="E714" s="326"/>
      <c r="F714" s="1471"/>
      <c r="G714" s="1471"/>
      <c r="H714" s="1471"/>
      <c r="I714" s="1471"/>
      <c r="J714" s="1286"/>
      <c r="K714" s="1286"/>
      <c r="L714" s="1286"/>
      <c r="M714" s="1286"/>
      <c r="N714" s="188"/>
      <c r="O714" s="188"/>
      <c r="P714" s="330"/>
      <c r="Q714" s="330"/>
      <c r="R714" s="187"/>
      <c r="U714" s="331" t="str">
        <f ca="1">'Calculos(2)'!CK$19</f>
        <v>-</v>
      </c>
      <c r="V714" s="332"/>
      <c r="W714" s="1"/>
    </row>
    <row r="715" spans="1:23" ht="20.100000000000001" customHeight="1" x14ac:dyDescent="0.25">
      <c r="A715" s="18"/>
      <c r="B715" s="18"/>
      <c r="C715" s="18"/>
      <c r="D715" s="7"/>
      <c r="E715" s="326"/>
      <c r="F715" s="1471"/>
      <c r="G715" s="1471"/>
      <c r="H715" s="1471"/>
      <c r="I715" s="1471"/>
      <c r="J715" s="1286"/>
      <c r="K715" s="1286"/>
      <c r="L715" s="1286"/>
      <c r="M715" s="1286"/>
      <c r="N715" s="188"/>
      <c r="O715" s="188"/>
      <c r="P715" s="330"/>
      <c r="Q715" s="330"/>
      <c r="R715" s="187"/>
      <c r="U715" s="331" t="str">
        <f ca="1">'Calculos(2)'!CK$20</f>
        <v>-</v>
      </c>
      <c r="V715" s="332"/>
      <c r="W715" s="1"/>
    </row>
    <row r="716" spans="1:23" ht="20.100000000000001" customHeight="1" x14ac:dyDescent="0.25">
      <c r="A716" s="18"/>
      <c r="B716" s="18"/>
      <c r="C716" s="18"/>
      <c r="D716" s="7"/>
      <c r="E716" s="326"/>
      <c r="F716" s="1471"/>
      <c r="G716" s="1471"/>
      <c r="H716" s="1471"/>
      <c r="I716" s="1471"/>
      <c r="J716" s="1472" t="s">
        <v>80</v>
      </c>
      <c r="K716" s="1473"/>
      <c r="L716" s="1473"/>
      <c r="M716" s="1474"/>
      <c r="N716" s="188"/>
      <c r="O716" s="188"/>
      <c r="P716" s="330"/>
      <c r="Q716" s="330"/>
      <c r="R716" s="187" t="s">
        <v>10</v>
      </c>
      <c r="U716" s="331" t="str">
        <f ca="1">'Calculos(2)'!CK$21</f>
        <v>-</v>
      </c>
      <c r="V716" s="332"/>
      <c r="W716" s="1"/>
    </row>
    <row r="717" spans="1:23" ht="20.100000000000001" customHeight="1" x14ac:dyDescent="0.25">
      <c r="A717" s="18"/>
      <c r="B717" s="18"/>
      <c r="C717" s="18"/>
      <c r="D717" s="7"/>
      <c r="E717" s="326"/>
      <c r="V717" s="332"/>
      <c r="W717" s="1"/>
    </row>
    <row r="718" spans="1:23" ht="20.100000000000001" hidden="1" customHeight="1" x14ac:dyDescent="0.25">
      <c r="A718" s="18"/>
      <c r="B718" s="18"/>
      <c r="C718" s="18"/>
      <c r="D718" s="7"/>
      <c r="E718" s="326"/>
      <c r="V718" s="332"/>
      <c r="W718" s="1"/>
    </row>
    <row r="719" spans="1:23" ht="20.100000000000001" hidden="1" customHeight="1" x14ac:dyDescent="0.25">
      <c r="A719" s="18"/>
      <c r="B719" s="18"/>
      <c r="C719" s="18"/>
      <c r="D719" s="7"/>
      <c r="E719" s="326"/>
      <c r="V719" s="332"/>
      <c r="W719" s="1"/>
    </row>
    <row r="720" spans="1:23" ht="20.100000000000001" customHeight="1" x14ac:dyDescent="0.25">
      <c r="A720" s="18"/>
      <c r="B720" s="18"/>
      <c r="C720" s="18"/>
      <c r="D720" s="7"/>
      <c r="E720" s="326"/>
      <c r="V720" s="332"/>
      <c r="W720" s="1"/>
    </row>
    <row r="721" spans="1:23" ht="45" customHeight="1" x14ac:dyDescent="0.25">
      <c r="A721" s="18"/>
      <c r="B721" s="18"/>
      <c r="C721" s="18"/>
      <c r="D721" s="7"/>
      <c r="E721" s="326"/>
      <c r="F721" s="1475" t="s">
        <v>8605</v>
      </c>
      <c r="G721" s="1476"/>
      <c r="H721" s="1476"/>
      <c r="I721" s="1476"/>
      <c r="J721" s="1476"/>
      <c r="K721" s="1476"/>
      <c r="L721" s="1476"/>
      <c r="M721" s="1476"/>
      <c r="N721" s="333" t="str">
        <f ca="1">"Concentração"&amp;" "&amp;'Calculos(2)'!$BJ$3</f>
        <v>Concentração -</v>
      </c>
      <c r="O721" s="333" t="s">
        <v>6038</v>
      </c>
      <c r="P721" s="333" t="s">
        <v>8126</v>
      </c>
      <c r="Q721" s="333" t="s">
        <v>8028</v>
      </c>
      <c r="R721" s="333" t="s">
        <v>8603</v>
      </c>
      <c r="S721" s="333" t="s">
        <v>8127</v>
      </c>
      <c r="U721" s="328" t="s">
        <v>119</v>
      </c>
      <c r="V721" s="332"/>
      <c r="W721" s="1"/>
    </row>
    <row r="722" spans="1:23" ht="20.100000000000001" customHeight="1" x14ac:dyDescent="0.25">
      <c r="A722" s="18"/>
      <c r="B722" s="18"/>
      <c r="C722" s="18"/>
      <c r="D722" s="7"/>
      <c r="E722" s="326"/>
      <c r="F722" s="1471" t="str">
        <f ca="1">'Calculos(2)'!$BJ$6</f>
        <v>-</v>
      </c>
      <c r="G722" s="1471"/>
      <c r="H722" s="1471"/>
      <c r="I722" s="1471"/>
      <c r="J722" s="1472" t="s">
        <v>7103</v>
      </c>
      <c r="K722" s="1473"/>
      <c r="L722" s="1473"/>
      <c r="M722" s="1474"/>
      <c r="N722" s="334"/>
      <c r="O722" s="334"/>
      <c r="P722" s="335"/>
      <c r="Q722" s="335"/>
      <c r="R722" s="335">
        <v>0</v>
      </c>
      <c r="S722" s="331">
        <f>O722/2</f>
        <v>0</v>
      </c>
      <c r="U722" s="331" t="str">
        <f ca="1">'Calculos(2)'!CK$26</f>
        <v>-</v>
      </c>
      <c r="V722" s="332"/>
      <c r="W722" s="1"/>
    </row>
    <row r="723" spans="1:23" ht="20.100000000000001" customHeight="1" x14ac:dyDescent="0.25">
      <c r="A723" s="18"/>
      <c r="B723" s="18"/>
      <c r="C723" s="18"/>
      <c r="D723" s="7"/>
      <c r="E723" s="326"/>
      <c r="F723" s="1471"/>
      <c r="G723" s="1471"/>
      <c r="H723" s="1471"/>
      <c r="I723" s="1471"/>
      <c r="J723" s="1286" t="s">
        <v>8027</v>
      </c>
      <c r="K723" s="1286"/>
      <c r="L723" s="1286"/>
      <c r="M723" s="1286"/>
      <c r="N723" s="334"/>
      <c r="O723" s="334"/>
      <c r="P723" s="335"/>
      <c r="Q723" s="335"/>
      <c r="R723" s="335"/>
      <c r="U723" s="331" t="str">
        <f ca="1">'Calculos(2)'!CK$27</f>
        <v>-</v>
      </c>
      <c r="V723" s="332"/>
      <c r="W723" s="1"/>
    </row>
    <row r="724" spans="1:23" ht="20.100000000000001" customHeight="1" x14ac:dyDescent="0.25">
      <c r="A724" s="18"/>
      <c r="B724" s="18"/>
      <c r="C724" s="18"/>
      <c r="D724" s="7"/>
      <c r="E724" s="326"/>
      <c r="F724" s="1471"/>
      <c r="G724" s="1471"/>
      <c r="H724" s="1471"/>
      <c r="I724" s="1471"/>
      <c r="J724" s="1286"/>
      <c r="K724" s="1286"/>
      <c r="L724" s="1286"/>
      <c r="M724" s="1286"/>
      <c r="N724" s="334"/>
      <c r="O724" s="334"/>
      <c r="P724" s="335"/>
      <c r="Q724" s="335"/>
      <c r="R724" s="335"/>
      <c r="U724" s="331" t="str">
        <f ca="1">'Calculos(2)'!CK$28</f>
        <v>-</v>
      </c>
      <c r="V724" s="332"/>
      <c r="W724" s="1"/>
    </row>
    <row r="725" spans="1:23" ht="20.100000000000001" customHeight="1" x14ac:dyDescent="0.25">
      <c r="A725" s="18"/>
      <c r="B725" s="18"/>
      <c r="C725" s="18"/>
      <c r="D725" s="7"/>
      <c r="E725" s="326"/>
      <c r="F725" s="1471"/>
      <c r="G725" s="1471"/>
      <c r="H725" s="1471"/>
      <c r="I725" s="1471"/>
      <c r="J725" s="1286"/>
      <c r="K725" s="1286"/>
      <c r="L725" s="1286"/>
      <c r="M725" s="1286"/>
      <c r="N725" s="334"/>
      <c r="O725" s="334"/>
      <c r="P725" s="335"/>
      <c r="Q725" s="335"/>
      <c r="R725" s="335"/>
      <c r="U725" s="331" t="str">
        <f ca="1">'Calculos(2)'!CK$29</f>
        <v>-</v>
      </c>
      <c r="V725" s="332"/>
      <c r="W725" s="1"/>
    </row>
    <row r="726" spans="1:23" ht="20.100000000000001" customHeight="1" x14ac:dyDescent="0.25">
      <c r="A726" s="18"/>
      <c r="B726" s="18"/>
      <c r="C726" s="18"/>
      <c r="D726" s="7"/>
      <c r="E726" s="326"/>
      <c r="F726" s="1471"/>
      <c r="G726" s="1471"/>
      <c r="H726" s="1471"/>
      <c r="I726" s="1471"/>
      <c r="J726" s="1286"/>
      <c r="K726" s="1286"/>
      <c r="L726" s="1286"/>
      <c r="M726" s="1286"/>
      <c r="N726" s="334"/>
      <c r="O726" s="334"/>
      <c r="P726" s="335"/>
      <c r="Q726" s="335"/>
      <c r="R726" s="335"/>
      <c r="U726" s="331" t="str">
        <f ca="1">'Calculos(2)'!CK$30</f>
        <v>-</v>
      </c>
      <c r="V726" s="332"/>
      <c r="W726" s="1"/>
    </row>
    <row r="727" spans="1:23" ht="20.100000000000001" customHeight="1" x14ac:dyDescent="0.25">
      <c r="A727" s="18"/>
      <c r="B727" s="18"/>
      <c r="C727" s="18"/>
      <c r="D727" s="7"/>
      <c r="E727" s="326"/>
      <c r="F727" s="1471"/>
      <c r="G727" s="1471"/>
      <c r="H727" s="1471"/>
      <c r="I727" s="1471"/>
      <c r="J727" s="1286"/>
      <c r="K727" s="1286"/>
      <c r="L727" s="1286"/>
      <c r="M727" s="1286"/>
      <c r="N727" s="334"/>
      <c r="O727" s="334"/>
      <c r="P727" s="335"/>
      <c r="Q727" s="335"/>
      <c r="R727" s="335"/>
      <c r="U727" s="331" t="str">
        <f ca="1">'Calculos(2)'!CK$31</f>
        <v>-</v>
      </c>
      <c r="V727" s="332"/>
      <c r="W727" s="1"/>
    </row>
    <row r="728" spans="1:23" ht="20.100000000000001" customHeight="1" x14ac:dyDescent="0.25">
      <c r="A728" s="18"/>
      <c r="B728" s="18"/>
      <c r="C728" s="18"/>
      <c r="D728" s="7"/>
      <c r="E728" s="326"/>
      <c r="F728" s="1471"/>
      <c r="G728" s="1471"/>
      <c r="H728" s="1471"/>
      <c r="I728" s="1471"/>
      <c r="J728" s="1286"/>
      <c r="K728" s="1286"/>
      <c r="L728" s="1286"/>
      <c r="M728" s="1286"/>
      <c r="N728" s="334"/>
      <c r="O728" s="334"/>
      <c r="P728" s="335"/>
      <c r="Q728" s="335"/>
      <c r="R728" s="335"/>
      <c r="U728" s="331" t="str">
        <f ca="1">'Calculos(2)'!CK$32</f>
        <v>-</v>
      </c>
      <c r="V728" s="332"/>
      <c r="W728" s="1"/>
    </row>
    <row r="729" spans="1:23" ht="20.100000000000001" customHeight="1" x14ac:dyDescent="0.25">
      <c r="A729" s="18"/>
      <c r="B729" s="18"/>
      <c r="C729" s="18"/>
      <c r="D729" s="7"/>
      <c r="E729" s="326"/>
      <c r="F729" s="1471"/>
      <c r="G729" s="1471"/>
      <c r="H729" s="1471"/>
      <c r="I729" s="1471"/>
      <c r="J729" s="1286"/>
      <c r="K729" s="1286"/>
      <c r="L729" s="1286"/>
      <c r="M729" s="1286"/>
      <c r="N729" s="334"/>
      <c r="O729" s="334"/>
      <c r="P729" s="335"/>
      <c r="Q729" s="335"/>
      <c r="R729" s="335"/>
      <c r="U729" s="331" t="str">
        <f ca="1">'Calculos(2)'!CK$33</f>
        <v>-</v>
      </c>
      <c r="V729" s="332"/>
      <c r="W729" s="1"/>
    </row>
    <row r="730" spans="1:23" ht="20.100000000000001" customHeight="1" x14ac:dyDescent="0.25">
      <c r="A730" s="18"/>
      <c r="B730" s="18"/>
      <c r="C730" s="18"/>
      <c r="D730" s="7"/>
      <c r="E730" s="326"/>
      <c r="F730" s="1471"/>
      <c r="G730" s="1471"/>
      <c r="H730" s="1471"/>
      <c r="I730" s="1471"/>
      <c r="J730" s="1286"/>
      <c r="K730" s="1286"/>
      <c r="L730" s="1286"/>
      <c r="M730" s="1286"/>
      <c r="N730" s="334"/>
      <c r="O730" s="334"/>
      <c r="P730" s="335"/>
      <c r="Q730" s="335"/>
      <c r="R730" s="335"/>
      <c r="U730" s="331" t="str">
        <f ca="1">'Calculos(2)'!CK$34</f>
        <v>-</v>
      </c>
      <c r="V730" s="332"/>
      <c r="W730" s="1"/>
    </row>
    <row r="731" spans="1:23" ht="20.100000000000001" customHeight="1" x14ac:dyDescent="0.25">
      <c r="A731" s="18"/>
      <c r="B731" s="18"/>
      <c r="C731" s="18"/>
      <c r="D731" s="7"/>
      <c r="E731" s="326"/>
      <c r="F731" s="1471"/>
      <c r="G731" s="1471"/>
      <c r="H731" s="1471"/>
      <c r="I731" s="1471"/>
      <c r="J731" s="1286"/>
      <c r="K731" s="1286"/>
      <c r="L731" s="1286"/>
      <c r="M731" s="1286"/>
      <c r="N731" s="334"/>
      <c r="O731" s="334"/>
      <c r="P731" s="335"/>
      <c r="Q731" s="335"/>
      <c r="R731" s="335"/>
      <c r="U731" s="331" t="str">
        <f ca="1">'Calculos(2)'!CK$35</f>
        <v>-</v>
      </c>
      <c r="V731" s="332"/>
      <c r="W731" s="1"/>
    </row>
    <row r="732" spans="1:23" ht="20.100000000000001" customHeight="1" x14ac:dyDescent="0.25">
      <c r="A732" s="18"/>
      <c r="B732" s="18"/>
      <c r="C732" s="18"/>
      <c r="D732" s="7"/>
      <c r="E732" s="326"/>
      <c r="F732" s="1471"/>
      <c r="G732" s="1471"/>
      <c r="H732" s="1471"/>
      <c r="I732" s="1471"/>
      <c r="J732" s="1286"/>
      <c r="K732" s="1286"/>
      <c r="L732" s="1286"/>
      <c r="M732" s="1286"/>
      <c r="N732" s="334"/>
      <c r="O732" s="334"/>
      <c r="P732" s="335"/>
      <c r="Q732" s="335"/>
      <c r="R732" s="335"/>
      <c r="U732" s="331" t="str">
        <f ca="1">'Calculos(2)'!CK$36</f>
        <v>-</v>
      </c>
      <c r="V732" s="329"/>
      <c r="W732" s="1"/>
    </row>
    <row r="733" spans="1:23" ht="20.100000000000001" customHeight="1" x14ac:dyDescent="0.25">
      <c r="A733" s="18"/>
      <c r="B733" s="18"/>
      <c r="C733" s="18"/>
      <c r="D733" s="7"/>
      <c r="E733" s="326"/>
      <c r="F733" s="1471"/>
      <c r="G733" s="1471"/>
      <c r="H733" s="1471"/>
      <c r="I733" s="1471"/>
      <c r="J733" s="1472" t="s">
        <v>80</v>
      </c>
      <c r="K733" s="1473"/>
      <c r="L733" s="1473"/>
      <c r="M733" s="1474"/>
      <c r="N733" s="334"/>
      <c r="O733" s="334"/>
      <c r="P733" s="335"/>
      <c r="Q733" s="335"/>
      <c r="R733" s="335" t="s">
        <v>10</v>
      </c>
      <c r="U733" s="331" t="str">
        <f ca="1">'Calculos(2)'!CK$37</f>
        <v>-</v>
      </c>
      <c r="V733" s="329"/>
      <c r="W733" s="1"/>
    </row>
    <row r="734" spans="1:23" ht="20.100000000000001" customHeight="1" x14ac:dyDescent="0.25">
      <c r="A734" s="18"/>
      <c r="B734" s="18"/>
      <c r="C734" s="18"/>
      <c r="D734" s="7"/>
      <c r="E734" s="336"/>
      <c r="F734" s="337"/>
      <c r="G734" s="337"/>
      <c r="H734" s="337"/>
      <c r="I734" s="337"/>
      <c r="J734" s="337"/>
      <c r="K734" s="337"/>
      <c r="L734" s="337"/>
      <c r="M734" s="337"/>
      <c r="N734" s="337"/>
      <c r="O734" s="337"/>
      <c r="P734" s="337"/>
      <c r="Q734" s="337"/>
      <c r="R734" s="337"/>
      <c r="S734" s="337"/>
      <c r="T734" s="337"/>
      <c r="U734" s="337"/>
      <c r="V734" s="338"/>
      <c r="W734" s="1"/>
    </row>
    <row r="735" spans="1:23" ht="20.100000000000001" hidden="1" customHeight="1" x14ac:dyDescent="0.25">
      <c r="A735" s="18"/>
      <c r="B735" s="18"/>
      <c r="C735" s="18"/>
      <c r="D735" s="7"/>
      <c r="E735" s="2"/>
      <c r="W735" s="1"/>
    </row>
    <row r="736" spans="1:23" ht="20.100000000000001" customHeight="1" x14ac:dyDescent="0.25">
      <c r="A736" s="18"/>
      <c r="B736" s="18"/>
      <c r="C736" s="18"/>
      <c r="D736" s="7"/>
      <c r="E736" s="7"/>
      <c r="F736" s="1"/>
      <c r="G736" s="1"/>
      <c r="H736" s="1"/>
      <c r="I736" s="1"/>
      <c r="J736" s="1"/>
      <c r="K736" s="1"/>
      <c r="L736" s="1"/>
      <c r="M736" s="1"/>
      <c r="N736" s="1"/>
      <c r="O736" s="1"/>
      <c r="P736" s="1"/>
      <c r="Q736" s="1"/>
      <c r="R736" s="1"/>
      <c r="S736" s="1"/>
      <c r="T736" s="1"/>
      <c r="U736" s="1"/>
      <c r="V736" s="1"/>
      <c r="W736" s="7"/>
    </row>
    <row r="737" spans="1:23" ht="20.100000000000001" customHeight="1" x14ac:dyDescent="0.25">
      <c r="A737" s="18"/>
      <c r="B737" s="18"/>
      <c r="C737" s="18"/>
      <c r="D737" s="7"/>
      <c r="E737" s="321"/>
      <c r="F737" s="322"/>
      <c r="G737" s="323"/>
      <c r="H737" s="323"/>
      <c r="I737" s="323"/>
      <c r="J737" s="323"/>
      <c r="K737" s="323"/>
      <c r="L737" s="323"/>
      <c r="M737" s="323"/>
      <c r="N737" s="323"/>
      <c r="O737" s="323"/>
      <c r="P737" s="323"/>
      <c r="Q737" s="323"/>
      <c r="R737" s="323"/>
      <c r="S737" s="339"/>
      <c r="T737" s="339"/>
      <c r="U737" s="340"/>
      <c r="V737" s="325"/>
      <c r="W737" s="1"/>
    </row>
    <row r="738" spans="1:23" ht="45" customHeight="1" x14ac:dyDescent="0.25">
      <c r="A738" s="18"/>
      <c r="B738" s="18"/>
      <c r="C738" s="18"/>
      <c r="D738" s="7"/>
      <c r="E738" s="326"/>
      <c r="F738" s="1469" t="s">
        <v>8606</v>
      </c>
      <c r="G738" s="1470"/>
      <c r="H738" s="1470"/>
      <c r="I738" s="1470"/>
      <c r="J738" s="1470"/>
      <c r="K738" s="1470"/>
      <c r="L738" s="1470"/>
      <c r="M738" s="1470"/>
      <c r="N738" s="327" t="str">
        <f ca="1">"Concentração"&amp;" "&amp;'Calculos(2)'!$BJ$3</f>
        <v>Concentração -</v>
      </c>
      <c r="O738" s="327" t="s">
        <v>6038</v>
      </c>
      <c r="P738" s="327" t="s">
        <v>8126</v>
      </c>
      <c r="Q738" s="327" t="s">
        <v>8028</v>
      </c>
      <c r="R738" s="327" t="s">
        <v>8603</v>
      </c>
      <c r="S738" s="327" t="s">
        <v>8127</v>
      </c>
      <c r="U738" s="328" t="s">
        <v>119</v>
      </c>
      <c r="V738" s="332"/>
      <c r="W738" s="1"/>
    </row>
    <row r="739" spans="1:23" ht="20.100000000000001" customHeight="1" x14ac:dyDescent="0.25">
      <c r="A739" s="18"/>
      <c r="B739" s="18"/>
      <c r="C739" s="18"/>
      <c r="D739" s="7"/>
      <c r="E739" s="326"/>
      <c r="F739" s="1471" t="str">
        <f ca="1">'Calculos(2)'!$BJ$6</f>
        <v>-</v>
      </c>
      <c r="G739" s="1471"/>
      <c r="H739" s="1471"/>
      <c r="I739" s="1471"/>
      <c r="J739" s="1472" t="s">
        <v>7103</v>
      </c>
      <c r="K739" s="1473"/>
      <c r="L739" s="1473"/>
      <c r="M739" s="1474"/>
      <c r="N739" s="188"/>
      <c r="O739" s="188"/>
      <c r="P739" s="330"/>
      <c r="Q739" s="330"/>
      <c r="R739" s="187">
        <v>0</v>
      </c>
      <c r="S739" s="331">
        <f>O739/2</f>
        <v>0</v>
      </c>
      <c r="U739" s="331" t="str">
        <f ca="1">'Calculos(2)'!CK$42</f>
        <v>-</v>
      </c>
      <c r="V739" s="332"/>
      <c r="W739" s="1"/>
    </row>
    <row r="740" spans="1:23" ht="20.100000000000001" customHeight="1" x14ac:dyDescent="0.25">
      <c r="A740" s="18"/>
      <c r="B740" s="18"/>
      <c r="C740" s="18"/>
      <c r="D740" s="7"/>
      <c r="E740" s="326"/>
      <c r="F740" s="1471"/>
      <c r="G740" s="1471"/>
      <c r="H740" s="1471"/>
      <c r="I740" s="1471"/>
      <c r="J740" s="1286" t="s">
        <v>8027</v>
      </c>
      <c r="K740" s="1286"/>
      <c r="L740" s="1286"/>
      <c r="M740" s="1286"/>
      <c r="N740" s="188"/>
      <c r="O740" s="188"/>
      <c r="P740" s="330"/>
      <c r="Q740" s="330"/>
      <c r="R740" s="187"/>
      <c r="U740" s="331" t="str">
        <f ca="1">'Calculos(2)'!CK$43</f>
        <v>-</v>
      </c>
      <c r="V740" s="332"/>
      <c r="W740" s="1"/>
    </row>
    <row r="741" spans="1:23" ht="20.100000000000001" customHeight="1" x14ac:dyDescent="0.25">
      <c r="A741" s="18"/>
      <c r="B741" s="18"/>
      <c r="C741" s="18"/>
      <c r="D741" s="7"/>
      <c r="E741" s="326"/>
      <c r="F741" s="1471"/>
      <c r="G741" s="1471"/>
      <c r="H741" s="1471"/>
      <c r="I741" s="1471"/>
      <c r="J741" s="1286"/>
      <c r="K741" s="1286"/>
      <c r="L741" s="1286"/>
      <c r="M741" s="1286"/>
      <c r="N741" s="188"/>
      <c r="O741" s="188"/>
      <c r="P741" s="330"/>
      <c r="Q741" s="330"/>
      <c r="R741" s="187"/>
      <c r="U741" s="331" t="str">
        <f ca="1">'Calculos(2)'!CK$44</f>
        <v>-</v>
      </c>
      <c r="V741" s="332"/>
      <c r="W741" s="1"/>
    </row>
    <row r="742" spans="1:23" ht="20.100000000000001" customHeight="1" x14ac:dyDescent="0.25">
      <c r="A742" s="18"/>
      <c r="B742" s="18"/>
      <c r="C742" s="18"/>
      <c r="D742" s="7"/>
      <c r="E742" s="326"/>
      <c r="F742" s="1471"/>
      <c r="G742" s="1471"/>
      <c r="H742" s="1471"/>
      <c r="I742" s="1471"/>
      <c r="J742" s="1286"/>
      <c r="K742" s="1286"/>
      <c r="L742" s="1286"/>
      <c r="M742" s="1286"/>
      <c r="N742" s="188"/>
      <c r="O742" s="188"/>
      <c r="P742" s="330"/>
      <c r="Q742" s="330"/>
      <c r="R742" s="187"/>
      <c r="U742" s="331" t="str">
        <f ca="1">'Calculos(2)'!CK$45</f>
        <v>-</v>
      </c>
      <c r="V742" s="332"/>
      <c r="W742" s="1"/>
    </row>
    <row r="743" spans="1:23" ht="20.100000000000001" customHeight="1" x14ac:dyDescent="0.25">
      <c r="A743" s="18"/>
      <c r="B743" s="18"/>
      <c r="C743" s="18"/>
      <c r="D743" s="7"/>
      <c r="E743" s="326"/>
      <c r="F743" s="1471"/>
      <c r="G743" s="1471"/>
      <c r="H743" s="1471"/>
      <c r="I743" s="1471"/>
      <c r="J743" s="1286"/>
      <c r="K743" s="1286"/>
      <c r="L743" s="1286"/>
      <c r="M743" s="1286"/>
      <c r="N743" s="188"/>
      <c r="O743" s="188"/>
      <c r="P743" s="330"/>
      <c r="Q743" s="330"/>
      <c r="R743" s="187"/>
      <c r="U743" s="331" t="str">
        <f ca="1">'Calculos(2)'!CK$46</f>
        <v>-</v>
      </c>
      <c r="V743" s="332"/>
      <c r="W743" s="1"/>
    </row>
    <row r="744" spans="1:23" ht="20.100000000000001" customHeight="1" x14ac:dyDescent="0.25">
      <c r="A744" s="18"/>
      <c r="B744" s="18"/>
      <c r="C744" s="18"/>
      <c r="D744" s="7"/>
      <c r="E744" s="326"/>
      <c r="F744" s="1471"/>
      <c r="G744" s="1471"/>
      <c r="H744" s="1471"/>
      <c r="I744" s="1471"/>
      <c r="J744" s="1286"/>
      <c r="K744" s="1286"/>
      <c r="L744" s="1286"/>
      <c r="M744" s="1286"/>
      <c r="N744" s="188"/>
      <c r="O744" s="188"/>
      <c r="P744" s="330"/>
      <c r="Q744" s="330"/>
      <c r="R744" s="187"/>
      <c r="U744" s="331" t="str">
        <f ca="1">'Calculos(2)'!CK$47</f>
        <v>-</v>
      </c>
      <c r="V744" s="332"/>
      <c r="W744" s="1"/>
    </row>
    <row r="745" spans="1:23" ht="20.100000000000001" customHeight="1" x14ac:dyDescent="0.25">
      <c r="A745" s="18"/>
      <c r="B745" s="18"/>
      <c r="C745" s="18"/>
      <c r="D745" s="7"/>
      <c r="E745" s="326"/>
      <c r="F745" s="1471"/>
      <c r="G745" s="1471"/>
      <c r="H745" s="1471"/>
      <c r="I745" s="1471"/>
      <c r="J745" s="1286"/>
      <c r="K745" s="1286"/>
      <c r="L745" s="1286"/>
      <c r="M745" s="1286"/>
      <c r="N745" s="188"/>
      <c r="O745" s="188"/>
      <c r="P745" s="330"/>
      <c r="Q745" s="330"/>
      <c r="R745" s="187"/>
      <c r="U745" s="331" t="str">
        <f ca="1">'Calculos(2)'!CK$48</f>
        <v>-</v>
      </c>
      <c r="V745" s="332"/>
      <c r="W745" s="1"/>
    </row>
    <row r="746" spans="1:23" ht="20.100000000000001" customHeight="1" x14ac:dyDescent="0.25">
      <c r="A746" s="18"/>
      <c r="B746" s="18"/>
      <c r="C746" s="18"/>
      <c r="D746" s="7"/>
      <c r="E746" s="326"/>
      <c r="F746" s="1471"/>
      <c r="G746" s="1471"/>
      <c r="H746" s="1471"/>
      <c r="I746" s="1471"/>
      <c r="J746" s="1286"/>
      <c r="K746" s="1286"/>
      <c r="L746" s="1286"/>
      <c r="M746" s="1286"/>
      <c r="N746" s="188"/>
      <c r="O746" s="188"/>
      <c r="P746" s="330"/>
      <c r="Q746" s="330"/>
      <c r="R746" s="187"/>
      <c r="U746" s="331" t="str">
        <f ca="1">'Calculos(2)'!CK$49</f>
        <v>-</v>
      </c>
      <c r="V746" s="332"/>
      <c r="W746" s="1"/>
    </row>
    <row r="747" spans="1:23" ht="20.100000000000001" customHeight="1" x14ac:dyDescent="0.25">
      <c r="A747" s="18"/>
      <c r="B747" s="18"/>
      <c r="C747" s="18"/>
      <c r="D747" s="7"/>
      <c r="E747" s="326"/>
      <c r="F747" s="1471"/>
      <c r="G747" s="1471"/>
      <c r="H747" s="1471"/>
      <c r="I747" s="1471"/>
      <c r="J747" s="1286"/>
      <c r="K747" s="1286"/>
      <c r="L747" s="1286"/>
      <c r="M747" s="1286"/>
      <c r="N747" s="188"/>
      <c r="O747" s="188"/>
      <c r="P747" s="330"/>
      <c r="Q747" s="330"/>
      <c r="R747" s="187"/>
      <c r="U747" s="331" t="str">
        <f ca="1">'Calculos(2)'!CK$50</f>
        <v>-</v>
      </c>
      <c r="V747" s="332"/>
      <c r="W747" s="1"/>
    </row>
    <row r="748" spans="1:23" ht="20.100000000000001" customHeight="1" x14ac:dyDescent="0.25">
      <c r="A748" s="18"/>
      <c r="B748" s="18"/>
      <c r="C748" s="18"/>
      <c r="D748" s="7"/>
      <c r="E748" s="326"/>
      <c r="F748" s="1471"/>
      <c r="G748" s="1471"/>
      <c r="H748" s="1471"/>
      <c r="I748" s="1471"/>
      <c r="J748" s="1286"/>
      <c r="K748" s="1286"/>
      <c r="L748" s="1286"/>
      <c r="M748" s="1286"/>
      <c r="N748" s="188"/>
      <c r="O748" s="188"/>
      <c r="P748" s="330"/>
      <c r="Q748" s="330"/>
      <c r="R748" s="187"/>
      <c r="U748" s="331" t="str">
        <f ca="1">'Calculos(2)'!CK$51</f>
        <v>-</v>
      </c>
      <c r="V748" s="332"/>
      <c r="W748" s="1"/>
    </row>
    <row r="749" spans="1:23" ht="20.100000000000001" customHeight="1" x14ac:dyDescent="0.25">
      <c r="A749" s="18"/>
      <c r="B749" s="18"/>
      <c r="C749" s="18"/>
      <c r="D749" s="7"/>
      <c r="E749" s="326"/>
      <c r="F749" s="1471"/>
      <c r="G749" s="1471"/>
      <c r="H749" s="1471"/>
      <c r="I749" s="1471"/>
      <c r="J749" s="1286"/>
      <c r="K749" s="1286"/>
      <c r="L749" s="1286"/>
      <c r="M749" s="1286"/>
      <c r="N749" s="188"/>
      <c r="O749" s="188"/>
      <c r="P749" s="330"/>
      <c r="Q749" s="330"/>
      <c r="R749" s="187"/>
      <c r="U749" s="331" t="str">
        <f ca="1">'Calculos(2)'!CK$52</f>
        <v>-</v>
      </c>
      <c r="V749" s="332"/>
      <c r="W749" s="1"/>
    </row>
    <row r="750" spans="1:23" ht="20.100000000000001" customHeight="1" x14ac:dyDescent="0.25">
      <c r="A750" s="18"/>
      <c r="B750" s="18"/>
      <c r="C750" s="18"/>
      <c r="D750" s="7"/>
      <c r="E750" s="326"/>
      <c r="F750" s="1471"/>
      <c r="G750" s="1471"/>
      <c r="H750" s="1471"/>
      <c r="I750" s="1471"/>
      <c r="J750" s="1472" t="s">
        <v>80</v>
      </c>
      <c r="K750" s="1473"/>
      <c r="L750" s="1473"/>
      <c r="M750" s="1474"/>
      <c r="N750" s="188"/>
      <c r="O750" s="188"/>
      <c r="P750" s="330"/>
      <c r="Q750" s="330"/>
      <c r="R750" s="187" t="s">
        <v>10</v>
      </c>
      <c r="U750" s="331" t="str">
        <f ca="1">'Calculos(2)'!CK$53</f>
        <v>-</v>
      </c>
      <c r="V750" s="332"/>
      <c r="W750" s="1"/>
    </row>
    <row r="751" spans="1:23" ht="20.100000000000001" customHeight="1" x14ac:dyDescent="0.25">
      <c r="A751" s="18"/>
      <c r="B751" s="18"/>
      <c r="C751" s="18"/>
      <c r="D751" s="7"/>
      <c r="E751" s="326"/>
      <c r="V751" s="332"/>
      <c r="W751" s="1"/>
    </row>
    <row r="752" spans="1:23" ht="20.100000000000001" hidden="1" customHeight="1" x14ac:dyDescent="0.25">
      <c r="A752" s="18"/>
      <c r="B752" s="18"/>
      <c r="C752" s="18"/>
      <c r="D752" s="7"/>
      <c r="E752" s="326"/>
      <c r="V752" s="332"/>
      <c r="W752" s="1"/>
    </row>
    <row r="753" spans="1:23" ht="20.100000000000001" hidden="1" customHeight="1" x14ac:dyDescent="0.25">
      <c r="A753" s="18"/>
      <c r="B753" s="18"/>
      <c r="C753" s="18"/>
      <c r="D753" s="7"/>
      <c r="E753" s="326"/>
      <c r="V753" s="332"/>
      <c r="W753" s="1"/>
    </row>
    <row r="754" spans="1:23" ht="20.100000000000001" customHeight="1" x14ac:dyDescent="0.25">
      <c r="A754" s="18"/>
      <c r="B754" s="18"/>
      <c r="C754" s="18"/>
      <c r="D754" s="7"/>
      <c r="E754" s="326"/>
      <c r="V754" s="332"/>
      <c r="W754" s="1"/>
    </row>
    <row r="755" spans="1:23" ht="45" customHeight="1" x14ac:dyDescent="0.25">
      <c r="A755" s="18"/>
      <c r="B755" s="18"/>
      <c r="C755" s="18"/>
      <c r="D755" s="7"/>
      <c r="E755" s="326"/>
      <c r="F755" s="1475" t="s">
        <v>8615</v>
      </c>
      <c r="G755" s="1476"/>
      <c r="H755" s="1476"/>
      <c r="I755" s="1476"/>
      <c r="J755" s="1476"/>
      <c r="K755" s="1476"/>
      <c r="L755" s="1476"/>
      <c r="M755" s="1476"/>
      <c r="N755" s="333" t="str">
        <f ca="1">"Concentração"&amp;" "&amp;'Calculos(2)'!$BJ$3</f>
        <v>Concentração -</v>
      </c>
      <c r="O755" s="333" t="s">
        <v>6038</v>
      </c>
      <c r="P755" s="333" t="s">
        <v>8126</v>
      </c>
      <c r="Q755" s="333" t="s">
        <v>8028</v>
      </c>
      <c r="R755" s="333" t="s">
        <v>8603</v>
      </c>
      <c r="S755" s="333" t="s">
        <v>8127</v>
      </c>
      <c r="U755" s="328" t="s">
        <v>119</v>
      </c>
      <c r="V755" s="332"/>
      <c r="W755" s="1"/>
    </row>
    <row r="756" spans="1:23" ht="20.100000000000001" customHeight="1" x14ac:dyDescent="0.25">
      <c r="A756" s="18"/>
      <c r="B756" s="18"/>
      <c r="C756" s="18"/>
      <c r="D756" s="7"/>
      <c r="E756" s="326"/>
      <c r="F756" s="1471" t="str">
        <f ca="1">'Calculos(2)'!$BJ$6</f>
        <v>-</v>
      </c>
      <c r="G756" s="1471"/>
      <c r="H756" s="1471"/>
      <c r="I756" s="1471"/>
      <c r="J756" s="1472" t="s">
        <v>7103</v>
      </c>
      <c r="K756" s="1473"/>
      <c r="L756" s="1473"/>
      <c r="M756" s="1474"/>
      <c r="N756" s="334"/>
      <c r="O756" s="334"/>
      <c r="P756" s="335"/>
      <c r="Q756" s="335"/>
      <c r="R756" s="335">
        <v>0</v>
      </c>
      <c r="S756" s="331">
        <f>O756/2</f>
        <v>0</v>
      </c>
      <c r="U756" s="331" t="str">
        <f ca="1">'Calculos(2)'!CK$58</f>
        <v>-</v>
      </c>
      <c r="V756" s="332"/>
      <c r="W756" s="1"/>
    </row>
    <row r="757" spans="1:23" ht="20.100000000000001" customHeight="1" x14ac:dyDescent="0.25">
      <c r="A757" s="18"/>
      <c r="B757" s="18"/>
      <c r="C757" s="18"/>
      <c r="D757" s="7"/>
      <c r="E757" s="326"/>
      <c r="F757" s="1471"/>
      <c r="G757" s="1471"/>
      <c r="H757" s="1471"/>
      <c r="I757" s="1471"/>
      <c r="J757" s="1286" t="s">
        <v>8027</v>
      </c>
      <c r="K757" s="1286"/>
      <c r="L757" s="1286"/>
      <c r="M757" s="1286"/>
      <c r="N757" s="334"/>
      <c r="O757" s="334"/>
      <c r="P757" s="335"/>
      <c r="Q757" s="335"/>
      <c r="R757" s="335"/>
      <c r="U757" s="331" t="str">
        <f ca="1">'Calculos(2)'!CK$59</f>
        <v>-</v>
      </c>
      <c r="V757" s="332"/>
      <c r="W757" s="1"/>
    </row>
    <row r="758" spans="1:23" ht="20.100000000000001" customHeight="1" x14ac:dyDescent="0.25">
      <c r="A758" s="18"/>
      <c r="B758" s="18"/>
      <c r="C758" s="18"/>
      <c r="D758" s="7"/>
      <c r="E758" s="326"/>
      <c r="F758" s="1471"/>
      <c r="G758" s="1471"/>
      <c r="H758" s="1471"/>
      <c r="I758" s="1471"/>
      <c r="J758" s="1286"/>
      <c r="K758" s="1286"/>
      <c r="L758" s="1286"/>
      <c r="M758" s="1286"/>
      <c r="N758" s="334"/>
      <c r="O758" s="334"/>
      <c r="P758" s="335"/>
      <c r="Q758" s="335"/>
      <c r="R758" s="335"/>
      <c r="U758" s="331" t="str">
        <f ca="1">'Calculos(2)'!CK$60</f>
        <v>-</v>
      </c>
      <c r="V758" s="332"/>
      <c r="W758" s="1"/>
    </row>
    <row r="759" spans="1:23" ht="20.100000000000001" customHeight="1" x14ac:dyDescent="0.25">
      <c r="A759" s="18"/>
      <c r="B759" s="18"/>
      <c r="C759" s="18"/>
      <c r="D759" s="7"/>
      <c r="E759" s="326"/>
      <c r="F759" s="1471"/>
      <c r="G759" s="1471"/>
      <c r="H759" s="1471"/>
      <c r="I759" s="1471"/>
      <c r="J759" s="1286"/>
      <c r="K759" s="1286"/>
      <c r="L759" s="1286"/>
      <c r="M759" s="1286"/>
      <c r="N759" s="334"/>
      <c r="O759" s="334"/>
      <c r="P759" s="335"/>
      <c r="Q759" s="335"/>
      <c r="R759" s="335"/>
      <c r="U759" s="331" t="str">
        <f ca="1">'Calculos(2)'!CK$61</f>
        <v>-</v>
      </c>
      <c r="V759" s="332"/>
      <c r="W759" s="1"/>
    </row>
    <row r="760" spans="1:23" ht="20.100000000000001" customHeight="1" x14ac:dyDescent="0.25">
      <c r="A760" s="18"/>
      <c r="B760" s="18"/>
      <c r="C760" s="18"/>
      <c r="D760" s="7"/>
      <c r="E760" s="326"/>
      <c r="F760" s="1471"/>
      <c r="G760" s="1471"/>
      <c r="H760" s="1471"/>
      <c r="I760" s="1471"/>
      <c r="J760" s="1286"/>
      <c r="K760" s="1286"/>
      <c r="L760" s="1286"/>
      <c r="M760" s="1286"/>
      <c r="N760" s="334"/>
      <c r="O760" s="334"/>
      <c r="P760" s="335"/>
      <c r="Q760" s="335"/>
      <c r="R760" s="335"/>
      <c r="U760" s="331" t="str">
        <f ca="1">'Calculos(2)'!CK$62</f>
        <v>-</v>
      </c>
      <c r="V760" s="332"/>
      <c r="W760" s="1"/>
    </row>
    <row r="761" spans="1:23" ht="20.100000000000001" customHeight="1" x14ac:dyDescent="0.25">
      <c r="A761" s="18"/>
      <c r="B761" s="18"/>
      <c r="C761" s="18"/>
      <c r="D761" s="7"/>
      <c r="E761" s="326"/>
      <c r="F761" s="1471"/>
      <c r="G761" s="1471"/>
      <c r="H761" s="1471"/>
      <c r="I761" s="1471"/>
      <c r="J761" s="1286"/>
      <c r="K761" s="1286"/>
      <c r="L761" s="1286"/>
      <c r="M761" s="1286"/>
      <c r="N761" s="334"/>
      <c r="O761" s="334"/>
      <c r="P761" s="335"/>
      <c r="Q761" s="335"/>
      <c r="R761" s="335"/>
      <c r="U761" s="331" t="str">
        <f ca="1">'Calculos(2)'!CK$63</f>
        <v>-</v>
      </c>
      <c r="V761" s="332"/>
      <c r="W761" s="1"/>
    </row>
    <row r="762" spans="1:23" ht="20.100000000000001" customHeight="1" x14ac:dyDescent="0.25">
      <c r="A762" s="18"/>
      <c r="B762" s="18"/>
      <c r="C762" s="18"/>
      <c r="D762" s="7"/>
      <c r="E762" s="326"/>
      <c r="F762" s="1471"/>
      <c r="G762" s="1471"/>
      <c r="H762" s="1471"/>
      <c r="I762" s="1471"/>
      <c r="J762" s="1286"/>
      <c r="K762" s="1286"/>
      <c r="L762" s="1286"/>
      <c r="M762" s="1286"/>
      <c r="N762" s="334"/>
      <c r="O762" s="334"/>
      <c r="P762" s="335"/>
      <c r="Q762" s="335"/>
      <c r="R762" s="335"/>
      <c r="U762" s="331" t="str">
        <f ca="1">'Calculos(2)'!CK$64</f>
        <v>-</v>
      </c>
      <c r="V762" s="332"/>
      <c r="W762" s="1"/>
    </row>
    <row r="763" spans="1:23" ht="20.100000000000001" customHeight="1" x14ac:dyDescent="0.25">
      <c r="A763" s="18"/>
      <c r="B763" s="18"/>
      <c r="C763" s="18"/>
      <c r="D763" s="7"/>
      <c r="E763" s="326"/>
      <c r="F763" s="1471"/>
      <c r="G763" s="1471"/>
      <c r="H763" s="1471"/>
      <c r="I763" s="1471"/>
      <c r="J763" s="1286"/>
      <c r="K763" s="1286"/>
      <c r="L763" s="1286"/>
      <c r="M763" s="1286"/>
      <c r="N763" s="334"/>
      <c r="O763" s="334"/>
      <c r="P763" s="335"/>
      <c r="Q763" s="335"/>
      <c r="R763" s="335"/>
      <c r="U763" s="331" t="str">
        <f ca="1">'Calculos(2)'!CK$65</f>
        <v>-</v>
      </c>
      <c r="V763" s="332"/>
      <c r="W763" s="1"/>
    </row>
    <row r="764" spans="1:23" ht="20.100000000000001" customHeight="1" x14ac:dyDescent="0.25">
      <c r="A764" s="18"/>
      <c r="B764" s="18"/>
      <c r="C764" s="18"/>
      <c r="D764" s="7"/>
      <c r="E764" s="326"/>
      <c r="F764" s="1471"/>
      <c r="G764" s="1471"/>
      <c r="H764" s="1471"/>
      <c r="I764" s="1471"/>
      <c r="J764" s="1286"/>
      <c r="K764" s="1286"/>
      <c r="L764" s="1286"/>
      <c r="M764" s="1286"/>
      <c r="N764" s="334"/>
      <c r="O764" s="334"/>
      <c r="P764" s="335"/>
      <c r="Q764" s="335"/>
      <c r="R764" s="335"/>
      <c r="U764" s="331" t="str">
        <f ca="1">'Calculos(2)'!CK$66</f>
        <v>-</v>
      </c>
      <c r="V764" s="332"/>
      <c r="W764" s="1"/>
    </row>
    <row r="765" spans="1:23" ht="20.100000000000001" customHeight="1" x14ac:dyDescent="0.25">
      <c r="A765" s="18"/>
      <c r="B765" s="18"/>
      <c r="C765" s="18"/>
      <c r="D765" s="7"/>
      <c r="E765" s="326"/>
      <c r="F765" s="1471"/>
      <c r="G765" s="1471"/>
      <c r="H765" s="1471"/>
      <c r="I765" s="1471"/>
      <c r="J765" s="1286"/>
      <c r="K765" s="1286"/>
      <c r="L765" s="1286"/>
      <c r="M765" s="1286"/>
      <c r="N765" s="334"/>
      <c r="O765" s="334"/>
      <c r="P765" s="335"/>
      <c r="Q765" s="335"/>
      <c r="R765" s="335"/>
      <c r="U765" s="331" t="str">
        <f ca="1">'Calculos(2)'!CK$67</f>
        <v>-</v>
      </c>
      <c r="V765" s="332"/>
      <c r="W765" s="7"/>
    </row>
    <row r="766" spans="1:23" ht="20.100000000000001" customHeight="1" x14ac:dyDescent="0.25">
      <c r="A766" s="18"/>
      <c r="B766" s="18"/>
      <c r="C766" s="18"/>
      <c r="D766" s="7"/>
      <c r="E766" s="326"/>
      <c r="F766" s="1471"/>
      <c r="G766" s="1471"/>
      <c r="H766" s="1471"/>
      <c r="I766" s="1471"/>
      <c r="J766" s="1286"/>
      <c r="K766" s="1286"/>
      <c r="L766" s="1286"/>
      <c r="M766" s="1286"/>
      <c r="N766" s="334"/>
      <c r="O766" s="334"/>
      <c r="P766" s="335"/>
      <c r="Q766" s="335"/>
      <c r="R766" s="335"/>
      <c r="U766" s="331" t="str">
        <f ca="1">'Calculos(2)'!CK$68</f>
        <v>-</v>
      </c>
      <c r="V766" s="329"/>
      <c r="W766" s="7"/>
    </row>
    <row r="767" spans="1:23" ht="20.100000000000001" customHeight="1" x14ac:dyDescent="0.25">
      <c r="A767" s="18"/>
      <c r="B767" s="18"/>
      <c r="C767" s="18"/>
      <c r="D767" s="7"/>
      <c r="E767" s="326"/>
      <c r="F767" s="1471"/>
      <c r="G767" s="1471"/>
      <c r="H767" s="1471"/>
      <c r="I767" s="1471"/>
      <c r="J767" s="1472" t="s">
        <v>80</v>
      </c>
      <c r="K767" s="1473"/>
      <c r="L767" s="1473"/>
      <c r="M767" s="1474"/>
      <c r="N767" s="334"/>
      <c r="O767" s="334"/>
      <c r="P767" s="335"/>
      <c r="Q767" s="335"/>
      <c r="R767" s="335" t="s">
        <v>10</v>
      </c>
      <c r="U767" s="331" t="str">
        <f ca="1">'Calculos(2)'!CK$69</f>
        <v>-</v>
      </c>
      <c r="V767" s="329"/>
      <c r="W767" s="1"/>
    </row>
    <row r="768" spans="1:23" ht="20.100000000000001" customHeight="1" x14ac:dyDescent="0.25">
      <c r="A768" s="18"/>
      <c r="B768" s="18"/>
      <c r="C768" s="18"/>
      <c r="D768" s="7"/>
      <c r="E768" s="336"/>
      <c r="F768" s="337"/>
      <c r="G768" s="337"/>
      <c r="H768" s="337"/>
      <c r="I768" s="337"/>
      <c r="J768" s="337"/>
      <c r="K768" s="337"/>
      <c r="L768" s="337"/>
      <c r="M768" s="337"/>
      <c r="N768" s="337"/>
      <c r="O768" s="337"/>
      <c r="P768" s="337"/>
      <c r="Q768" s="337"/>
      <c r="R768" s="337"/>
      <c r="S768" s="337"/>
      <c r="T768" s="337"/>
      <c r="U768" s="337"/>
      <c r="V768" s="338"/>
      <c r="W768" s="1"/>
    </row>
    <row r="769" spans="1:23" ht="20.100000000000001" hidden="1" customHeight="1" x14ac:dyDescent="0.25">
      <c r="A769" s="18"/>
      <c r="B769" s="18"/>
      <c r="C769" s="18"/>
      <c r="D769" s="7"/>
      <c r="E769" s="2"/>
      <c r="W769" s="1"/>
    </row>
    <row r="770" spans="1:23" ht="20.100000000000001" customHeight="1" x14ac:dyDescent="0.25">
      <c r="A770" s="18"/>
      <c r="B770" s="18"/>
      <c r="C770" s="18"/>
      <c r="D770" s="7"/>
      <c r="E770" s="7"/>
      <c r="F770" s="7"/>
      <c r="G770" s="7"/>
      <c r="H770" s="7"/>
      <c r="I770" s="7"/>
      <c r="J770" s="7"/>
      <c r="K770" s="7"/>
      <c r="L770" s="7"/>
      <c r="M770" s="7"/>
      <c r="N770" s="7"/>
      <c r="O770" s="7"/>
      <c r="P770" s="7"/>
      <c r="Q770" s="7"/>
      <c r="R770" s="7"/>
      <c r="S770" s="7"/>
      <c r="T770" s="7"/>
      <c r="U770" s="7"/>
      <c r="V770" s="7"/>
      <c r="W770" s="7"/>
    </row>
    <row r="771" spans="1:23" ht="20.100000000000001" customHeight="1" x14ac:dyDescent="0.25">
      <c r="A771" s="18"/>
      <c r="B771" s="18"/>
      <c r="C771" s="18"/>
      <c r="D771" s="7"/>
      <c r="E771" s="321"/>
      <c r="F771" s="322"/>
      <c r="G771" s="323"/>
      <c r="H771" s="323"/>
      <c r="I771" s="323"/>
      <c r="J771" s="323"/>
      <c r="K771" s="323"/>
      <c r="L771" s="323"/>
      <c r="M771" s="323"/>
      <c r="N771" s="323"/>
      <c r="O771" s="323"/>
      <c r="P771" s="323"/>
      <c r="Q771" s="323"/>
      <c r="R771" s="323"/>
      <c r="S771" s="339"/>
      <c r="T771" s="339"/>
      <c r="U771" s="340"/>
      <c r="V771" s="325"/>
      <c r="W771" s="1"/>
    </row>
    <row r="772" spans="1:23" ht="45" customHeight="1" x14ac:dyDescent="0.25">
      <c r="A772" s="18"/>
      <c r="B772" s="18"/>
      <c r="C772" s="18"/>
      <c r="D772" s="7"/>
      <c r="E772" s="326"/>
      <c r="F772" s="1469" t="s">
        <v>8607</v>
      </c>
      <c r="G772" s="1470"/>
      <c r="H772" s="1470"/>
      <c r="I772" s="1470"/>
      <c r="J772" s="1470"/>
      <c r="K772" s="1470"/>
      <c r="L772" s="1470"/>
      <c r="M772" s="1470"/>
      <c r="N772" s="327" t="str">
        <f ca="1">"Concentração"&amp;" "&amp;'Calculos(2)'!$BJ$3</f>
        <v>Concentração -</v>
      </c>
      <c r="O772" s="327" t="s">
        <v>6038</v>
      </c>
      <c r="P772" s="327" t="s">
        <v>8126</v>
      </c>
      <c r="Q772" s="327" t="s">
        <v>8028</v>
      </c>
      <c r="R772" s="327" t="s">
        <v>8603</v>
      </c>
      <c r="S772" s="327" t="s">
        <v>8127</v>
      </c>
      <c r="U772" s="328" t="s">
        <v>119</v>
      </c>
      <c r="V772" s="332"/>
      <c r="W772" s="1"/>
    </row>
    <row r="773" spans="1:23" ht="20.100000000000001" customHeight="1" x14ac:dyDescent="0.25">
      <c r="A773" s="18"/>
      <c r="B773" s="18"/>
      <c r="C773" s="18"/>
      <c r="D773" s="7"/>
      <c r="E773" s="326"/>
      <c r="F773" s="1471" t="str">
        <f ca="1">'Calculos(2)'!$BJ$6</f>
        <v>-</v>
      </c>
      <c r="G773" s="1471"/>
      <c r="H773" s="1471"/>
      <c r="I773" s="1471"/>
      <c r="J773" s="1472" t="s">
        <v>7103</v>
      </c>
      <c r="K773" s="1473"/>
      <c r="L773" s="1473"/>
      <c r="M773" s="1474"/>
      <c r="N773" s="188"/>
      <c r="O773" s="188"/>
      <c r="P773" s="330"/>
      <c r="Q773" s="330"/>
      <c r="R773" s="187">
        <v>0</v>
      </c>
      <c r="S773" s="331">
        <f>O773/2</f>
        <v>0</v>
      </c>
      <c r="U773" s="331" t="str">
        <f ca="1">'Calculos(2)'!CK$74</f>
        <v>-</v>
      </c>
      <c r="V773" s="332"/>
      <c r="W773" s="1"/>
    </row>
    <row r="774" spans="1:23" ht="20.100000000000001" customHeight="1" x14ac:dyDescent="0.25">
      <c r="A774" s="18"/>
      <c r="B774" s="18"/>
      <c r="C774" s="18"/>
      <c r="D774" s="7"/>
      <c r="E774" s="326"/>
      <c r="F774" s="1471"/>
      <c r="G774" s="1471"/>
      <c r="H774" s="1471"/>
      <c r="I774" s="1471"/>
      <c r="J774" s="1286" t="s">
        <v>8027</v>
      </c>
      <c r="K774" s="1286"/>
      <c r="L774" s="1286"/>
      <c r="M774" s="1286"/>
      <c r="N774" s="188"/>
      <c r="O774" s="188"/>
      <c r="P774" s="330"/>
      <c r="Q774" s="330"/>
      <c r="R774" s="187"/>
      <c r="U774" s="331" t="str">
        <f ca="1">'Calculos(2)'!CK$75</f>
        <v>-</v>
      </c>
      <c r="V774" s="332"/>
      <c r="W774" s="1"/>
    </row>
    <row r="775" spans="1:23" ht="20.100000000000001" customHeight="1" x14ac:dyDescent="0.25">
      <c r="A775" s="18"/>
      <c r="B775" s="18"/>
      <c r="C775" s="18"/>
      <c r="D775" s="7"/>
      <c r="E775" s="326"/>
      <c r="F775" s="1471"/>
      <c r="G775" s="1471"/>
      <c r="H775" s="1471"/>
      <c r="I775" s="1471"/>
      <c r="J775" s="1286"/>
      <c r="K775" s="1286"/>
      <c r="L775" s="1286"/>
      <c r="M775" s="1286"/>
      <c r="N775" s="188"/>
      <c r="O775" s="188"/>
      <c r="P775" s="330"/>
      <c r="Q775" s="330"/>
      <c r="R775" s="187"/>
      <c r="U775" s="331" t="str">
        <f ca="1">'Calculos(2)'!CK$76</f>
        <v>-</v>
      </c>
      <c r="V775" s="332"/>
      <c r="W775" s="1"/>
    </row>
    <row r="776" spans="1:23" ht="20.100000000000001" customHeight="1" x14ac:dyDescent="0.25">
      <c r="A776" s="18"/>
      <c r="B776" s="18"/>
      <c r="C776" s="18"/>
      <c r="D776" s="7"/>
      <c r="E776" s="326"/>
      <c r="F776" s="1471"/>
      <c r="G776" s="1471"/>
      <c r="H776" s="1471"/>
      <c r="I776" s="1471"/>
      <c r="J776" s="1286"/>
      <c r="K776" s="1286"/>
      <c r="L776" s="1286"/>
      <c r="M776" s="1286"/>
      <c r="N776" s="188"/>
      <c r="O776" s="188"/>
      <c r="P776" s="330"/>
      <c r="Q776" s="330"/>
      <c r="R776" s="187"/>
      <c r="U776" s="331" t="str">
        <f ca="1">'Calculos(2)'!CK$77</f>
        <v>-</v>
      </c>
      <c r="V776" s="332"/>
      <c r="W776" s="1"/>
    </row>
    <row r="777" spans="1:23" ht="20.100000000000001" customHeight="1" x14ac:dyDescent="0.25">
      <c r="A777" s="18"/>
      <c r="B777" s="18"/>
      <c r="C777" s="18"/>
      <c r="D777" s="7"/>
      <c r="E777" s="326"/>
      <c r="F777" s="1471"/>
      <c r="G777" s="1471"/>
      <c r="H777" s="1471"/>
      <c r="I777" s="1471"/>
      <c r="J777" s="1286"/>
      <c r="K777" s="1286"/>
      <c r="L777" s="1286"/>
      <c r="M777" s="1286"/>
      <c r="N777" s="188"/>
      <c r="O777" s="188"/>
      <c r="P777" s="330"/>
      <c r="Q777" s="330"/>
      <c r="R777" s="187"/>
      <c r="U777" s="331" t="str">
        <f ca="1">'Calculos(2)'!CK$78</f>
        <v>-</v>
      </c>
      <c r="V777" s="332"/>
      <c r="W777" s="1"/>
    </row>
    <row r="778" spans="1:23" ht="20.100000000000001" customHeight="1" x14ac:dyDescent="0.25">
      <c r="A778" s="18"/>
      <c r="B778" s="18"/>
      <c r="C778" s="18"/>
      <c r="D778" s="7"/>
      <c r="E778" s="326"/>
      <c r="F778" s="1471"/>
      <c r="G778" s="1471"/>
      <c r="H778" s="1471"/>
      <c r="I778" s="1471"/>
      <c r="J778" s="1286"/>
      <c r="K778" s="1286"/>
      <c r="L778" s="1286"/>
      <c r="M778" s="1286"/>
      <c r="N778" s="188"/>
      <c r="O778" s="188"/>
      <c r="P778" s="330"/>
      <c r="Q778" s="330"/>
      <c r="R778" s="187"/>
      <c r="U778" s="331" t="str">
        <f ca="1">'Calculos(2)'!CK$79</f>
        <v>-</v>
      </c>
      <c r="V778" s="332"/>
      <c r="W778" s="1"/>
    </row>
    <row r="779" spans="1:23" ht="20.100000000000001" customHeight="1" x14ac:dyDescent="0.25">
      <c r="A779" s="18"/>
      <c r="B779" s="18"/>
      <c r="C779" s="18"/>
      <c r="D779" s="7"/>
      <c r="E779" s="326"/>
      <c r="F779" s="1471"/>
      <c r="G779" s="1471"/>
      <c r="H779" s="1471"/>
      <c r="I779" s="1471"/>
      <c r="J779" s="1286"/>
      <c r="K779" s="1286"/>
      <c r="L779" s="1286"/>
      <c r="M779" s="1286"/>
      <c r="N779" s="188"/>
      <c r="O779" s="188"/>
      <c r="P779" s="330"/>
      <c r="Q779" s="330"/>
      <c r="R779" s="187"/>
      <c r="U779" s="331" t="str">
        <f ca="1">'Calculos(2)'!CK$80</f>
        <v>-</v>
      </c>
      <c r="V779" s="332"/>
      <c r="W779" s="1"/>
    </row>
    <row r="780" spans="1:23" ht="20.100000000000001" customHeight="1" x14ac:dyDescent="0.25">
      <c r="A780" s="18"/>
      <c r="B780" s="18"/>
      <c r="C780" s="18"/>
      <c r="D780" s="7"/>
      <c r="E780" s="326"/>
      <c r="F780" s="1471"/>
      <c r="G780" s="1471"/>
      <c r="H780" s="1471"/>
      <c r="I780" s="1471"/>
      <c r="J780" s="1286"/>
      <c r="K780" s="1286"/>
      <c r="L780" s="1286"/>
      <c r="M780" s="1286"/>
      <c r="N780" s="188"/>
      <c r="O780" s="188"/>
      <c r="P780" s="330"/>
      <c r="Q780" s="330"/>
      <c r="R780" s="187"/>
      <c r="U780" s="331" t="str">
        <f ca="1">'Calculos(2)'!CK$81</f>
        <v>-</v>
      </c>
      <c r="V780" s="332"/>
      <c r="W780" s="1"/>
    </row>
    <row r="781" spans="1:23" ht="20.100000000000001" customHeight="1" x14ac:dyDescent="0.25">
      <c r="A781" s="18"/>
      <c r="B781" s="18"/>
      <c r="C781" s="18"/>
      <c r="D781" s="7"/>
      <c r="E781" s="326"/>
      <c r="F781" s="1471"/>
      <c r="G781" s="1471"/>
      <c r="H781" s="1471"/>
      <c r="I781" s="1471"/>
      <c r="J781" s="1286"/>
      <c r="K781" s="1286"/>
      <c r="L781" s="1286"/>
      <c r="M781" s="1286"/>
      <c r="N781" s="188"/>
      <c r="O781" s="188"/>
      <c r="P781" s="330"/>
      <c r="Q781" s="330"/>
      <c r="R781" s="187"/>
      <c r="U781" s="331" t="str">
        <f ca="1">'Calculos(2)'!CK$82</f>
        <v>-</v>
      </c>
      <c r="V781" s="332"/>
      <c r="W781" s="1"/>
    </row>
    <row r="782" spans="1:23" ht="20.100000000000001" customHeight="1" x14ac:dyDescent="0.25">
      <c r="A782" s="18"/>
      <c r="B782" s="18"/>
      <c r="C782" s="18"/>
      <c r="D782" s="7"/>
      <c r="E782" s="326"/>
      <c r="F782" s="1471"/>
      <c r="G782" s="1471"/>
      <c r="H782" s="1471"/>
      <c r="I782" s="1471"/>
      <c r="J782" s="1286"/>
      <c r="K782" s="1286"/>
      <c r="L782" s="1286"/>
      <c r="M782" s="1286"/>
      <c r="N782" s="188"/>
      <c r="O782" s="188"/>
      <c r="P782" s="330"/>
      <c r="Q782" s="330"/>
      <c r="R782" s="187"/>
      <c r="U782" s="331" t="str">
        <f ca="1">'Calculos(2)'!CK$83</f>
        <v>-</v>
      </c>
      <c r="V782" s="332"/>
      <c r="W782" s="7"/>
    </row>
    <row r="783" spans="1:23" ht="20.100000000000001" customHeight="1" x14ac:dyDescent="0.25">
      <c r="A783" s="18"/>
      <c r="B783" s="18"/>
      <c r="C783" s="18"/>
      <c r="D783" s="7"/>
      <c r="E783" s="326"/>
      <c r="F783" s="1471"/>
      <c r="G783" s="1471"/>
      <c r="H783" s="1471"/>
      <c r="I783" s="1471"/>
      <c r="J783" s="1286"/>
      <c r="K783" s="1286"/>
      <c r="L783" s="1286"/>
      <c r="M783" s="1286"/>
      <c r="N783" s="188"/>
      <c r="O783" s="188"/>
      <c r="P783" s="330"/>
      <c r="Q783" s="330"/>
      <c r="R783" s="187"/>
      <c r="U783" s="331" t="str">
        <f ca="1">'Calculos(2)'!CK$84</f>
        <v>-</v>
      </c>
      <c r="V783" s="332"/>
      <c r="W783" s="7"/>
    </row>
    <row r="784" spans="1:23" ht="20.100000000000001" customHeight="1" x14ac:dyDescent="0.25">
      <c r="A784" s="18"/>
      <c r="B784" s="18"/>
      <c r="C784" s="18"/>
      <c r="D784" s="7"/>
      <c r="E784" s="326"/>
      <c r="F784" s="1471"/>
      <c r="G784" s="1471"/>
      <c r="H784" s="1471"/>
      <c r="I784" s="1471"/>
      <c r="J784" s="1472" t="s">
        <v>80</v>
      </c>
      <c r="K784" s="1473"/>
      <c r="L784" s="1473"/>
      <c r="M784" s="1474"/>
      <c r="N784" s="188"/>
      <c r="O784" s="188"/>
      <c r="P784" s="330"/>
      <c r="Q784" s="330"/>
      <c r="R784" s="187" t="s">
        <v>10</v>
      </c>
      <c r="U784" s="331" t="str">
        <f ca="1">'Calculos(2)'!CK$85</f>
        <v>-</v>
      </c>
      <c r="V784" s="332"/>
      <c r="W784" s="1"/>
    </row>
    <row r="785" spans="1:23" ht="20.100000000000001" customHeight="1" x14ac:dyDescent="0.25">
      <c r="A785" s="18"/>
      <c r="B785" s="18"/>
      <c r="C785" s="18"/>
      <c r="D785" s="7"/>
      <c r="E785" s="326"/>
      <c r="V785" s="332"/>
      <c r="W785" s="1"/>
    </row>
    <row r="786" spans="1:23" ht="20.100000000000001" hidden="1" customHeight="1" x14ac:dyDescent="0.25">
      <c r="A786" s="18"/>
      <c r="B786" s="18"/>
      <c r="C786" s="18"/>
      <c r="D786" s="7"/>
      <c r="E786" s="326"/>
      <c r="V786" s="332"/>
      <c r="W786" s="1"/>
    </row>
    <row r="787" spans="1:23" ht="20.100000000000001" hidden="1" customHeight="1" x14ac:dyDescent="0.25">
      <c r="A787" s="18"/>
      <c r="B787" s="18"/>
      <c r="C787" s="18"/>
      <c r="D787" s="7"/>
      <c r="E787" s="326"/>
      <c r="V787" s="332"/>
      <c r="W787" s="1"/>
    </row>
    <row r="788" spans="1:23" ht="20.100000000000001" customHeight="1" x14ac:dyDescent="0.25">
      <c r="A788" s="18"/>
      <c r="B788" s="18"/>
      <c r="C788" s="18"/>
      <c r="D788" s="7"/>
      <c r="E788" s="326"/>
      <c r="V788" s="332"/>
      <c r="W788" s="1"/>
    </row>
    <row r="789" spans="1:23" ht="45" customHeight="1" x14ac:dyDescent="0.25">
      <c r="A789" s="18"/>
      <c r="B789" s="18"/>
      <c r="C789" s="18"/>
      <c r="D789" s="7"/>
      <c r="E789" s="326"/>
      <c r="F789" s="1475" t="s">
        <v>8616</v>
      </c>
      <c r="G789" s="1476"/>
      <c r="H789" s="1476"/>
      <c r="I789" s="1476"/>
      <c r="J789" s="1476"/>
      <c r="K789" s="1476"/>
      <c r="L789" s="1476"/>
      <c r="M789" s="1476"/>
      <c r="N789" s="333" t="str">
        <f ca="1">"Concentração"&amp;" "&amp;'Calculos(2)'!$BJ$3</f>
        <v>Concentração -</v>
      </c>
      <c r="O789" s="333" t="s">
        <v>6038</v>
      </c>
      <c r="P789" s="333" t="s">
        <v>8126</v>
      </c>
      <c r="Q789" s="333" t="s">
        <v>8028</v>
      </c>
      <c r="R789" s="333" t="s">
        <v>8603</v>
      </c>
      <c r="S789" s="333" t="s">
        <v>8127</v>
      </c>
      <c r="U789" s="328" t="s">
        <v>119</v>
      </c>
      <c r="V789" s="332"/>
      <c r="W789" s="1"/>
    </row>
    <row r="790" spans="1:23" ht="20.100000000000001" customHeight="1" x14ac:dyDescent="0.25">
      <c r="A790" s="18"/>
      <c r="B790" s="18"/>
      <c r="C790" s="18"/>
      <c r="D790" s="7"/>
      <c r="E790" s="326"/>
      <c r="F790" s="1471" t="str">
        <f ca="1">'Calculos(2)'!$BJ$6</f>
        <v>-</v>
      </c>
      <c r="G790" s="1471"/>
      <c r="H790" s="1471"/>
      <c r="I790" s="1471"/>
      <c r="J790" s="1472" t="s">
        <v>7103</v>
      </c>
      <c r="K790" s="1473"/>
      <c r="L790" s="1473"/>
      <c r="M790" s="1474"/>
      <c r="N790" s="334"/>
      <c r="O790" s="334"/>
      <c r="P790" s="335"/>
      <c r="Q790" s="335"/>
      <c r="R790" s="335">
        <v>0</v>
      </c>
      <c r="S790" s="331">
        <f>O790/2</f>
        <v>0</v>
      </c>
      <c r="U790" s="331" t="str">
        <f ca="1">'Calculos(2)'!CK$90</f>
        <v>-</v>
      </c>
      <c r="V790" s="332"/>
      <c r="W790" s="1"/>
    </row>
    <row r="791" spans="1:23" ht="20.100000000000001" customHeight="1" x14ac:dyDescent="0.25">
      <c r="A791" s="18"/>
      <c r="B791" s="18"/>
      <c r="C791" s="18"/>
      <c r="D791" s="7"/>
      <c r="E791" s="326"/>
      <c r="F791" s="1471"/>
      <c r="G791" s="1471"/>
      <c r="H791" s="1471"/>
      <c r="I791" s="1471"/>
      <c r="J791" s="1286" t="s">
        <v>8027</v>
      </c>
      <c r="K791" s="1286"/>
      <c r="L791" s="1286"/>
      <c r="M791" s="1286"/>
      <c r="N791" s="334"/>
      <c r="O791" s="334"/>
      <c r="P791" s="335"/>
      <c r="Q791" s="335"/>
      <c r="R791" s="335"/>
      <c r="U791" s="331" t="str">
        <f ca="1">'Calculos(2)'!CK$91</f>
        <v>-</v>
      </c>
      <c r="V791" s="332"/>
      <c r="W791" s="1"/>
    </row>
    <row r="792" spans="1:23" ht="20.100000000000001" customHeight="1" x14ac:dyDescent="0.25">
      <c r="A792" s="18"/>
      <c r="B792" s="18"/>
      <c r="C792" s="18"/>
      <c r="D792" s="7"/>
      <c r="E792" s="326"/>
      <c r="F792" s="1471"/>
      <c r="G792" s="1471"/>
      <c r="H792" s="1471"/>
      <c r="I792" s="1471"/>
      <c r="J792" s="1286"/>
      <c r="K792" s="1286"/>
      <c r="L792" s="1286"/>
      <c r="M792" s="1286"/>
      <c r="N792" s="334"/>
      <c r="O792" s="334"/>
      <c r="P792" s="335"/>
      <c r="Q792" s="335"/>
      <c r="R792" s="335"/>
      <c r="U792" s="331" t="str">
        <f ca="1">'Calculos(2)'!CK$92</f>
        <v>-</v>
      </c>
      <c r="V792" s="332"/>
      <c r="W792" s="1"/>
    </row>
    <row r="793" spans="1:23" ht="20.100000000000001" customHeight="1" x14ac:dyDescent="0.25">
      <c r="A793" s="18"/>
      <c r="B793" s="18"/>
      <c r="C793" s="18"/>
      <c r="D793" s="7"/>
      <c r="E793" s="326"/>
      <c r="F793" s="1471"/>
      <c r="G793" s="1471"/>
      <c r="H793" s="1471"/>
      <c r="I793" s="1471"/>
      <c r="J793" s="1286"/>
      <c r="K793" s="1286"/>
      <c r="L793" s="1286"/>
      <c r="M793" s="1286"/>
      <c r="N793" s="334"/>
      <c r="O793" s="334"/>
      <c r="P793" s="335"/>
      <c r="Q793" s="335"/>
      <c r="R793" s="335"/>
      <c r="U793" s="331" t="str">
        <f ca="1">'Calculos(2)'!CK$93</f>
        <v>-</v>
      </c>
      <c r="V793" s="332"/>
      <c r="W793" s="1"/>
    </row>
    <row r="794" spans="1:23" ht="20.100000000000001" customHeight="1" x14ac:dyDescent="0.25">
      <c r="A794" s="18"/>
      <c r="B794" s="18"/>
      <c r="C794" s="18"/>
      <c r="D794" s="7"/>
      <c r="E794" s="326"/>
      <c r="F794" s="1471"/>
      <c r="G794" s="1471"/>
      <c r="H794" s="1471"/>
      <c r="I794" s="1471"/>
      <c r="J794" s="1286"/>
      <c r="K794" s="1286"/>
      <c r="L794" s="1286"/>
      <c r="M794" s="1286"/>
      <c r="N794" s="334"/>
      <c r="O794" s="334"/>
      <c r="P794" s="335"/>
      <c r="Q794" s="335"/>
      <c r="R794" s="335"/>
      <c r="U794" s="331" t="str">
        <f ca="1">'Calculos(2)'!CK$94</f>
        <v>-</v>
      </c>
      <c r="V794" s="332"/>
      <c r="W794" s="1"/>
    </row>
    <row r="795" spans="1:23" ht="20.100000000000001" customHeight="1" x14ac:dyDescent="0.25">
      <c r="A795" s="18"/>
      <c r="B795" s="18"/>
      <c r="C795" s="18"/>
      <c r="D795" s="7"/>
      <c r="E795" s="326"/>
      <c r="F795" s="1471"/>
      <c r="G795" s="1471"/>
      <c r="H795" s="1471"/>
      <c r="I795" s="1471"/>
      <c r="J795" s="1286"/>
      <c r="K795" s="1286"/>
      <c r="L795" s="1286"/>
      <c r="M795" s="1286"/>
      <c r="N795" s="334"/>
      <c r="O795" s="334"/>
      <c r="P795" s="335"/>
      <c r="Q795" s="335"/>
      <c r="R795" s="335"/>
      <c r="U795" s="331" t="str">
        <f ca="1">'Calculos(2)'!CK$95</f>
        <v>-</v>
      </c>
      <c r="V795" s="332"/>
      <c r="W795" s="1"/>
    </row>
    <row r="796" spans="1:23" ht="20.100000000000001" customHeight="1" x14ac:dyDescent="0.25">
      <c r="A796" s="18"/>
      <c r="B796" s="18"/>
      <c r="C796" s="18"/>
      <c r="D796" s="7"/>
      <c r="E796" s="326"/>
      <c r="F796" s="1471"/>
      <c r="G796" s="1471"/>
      <c r="H796" s="1471"/>
      <c r="I796" s="1471"/>
      <c r="J796" s="1286"/>
      <c r="K796" s="1286"/>
      <c r="L796" s="1286"/>
      <c r="M796" s="1286"/>
      <c r="N796" s="334"/>
      <c r="O796" s="334"/>
      <c r="P796" s="335"/>
      <c r="Q796" s="335"/>
      <c r="R796" s="335"/>
      <c r="U796" s="331" t="str">
        <f ca="1">'Calculos(2)'!CK$96</f>
        <v>-</v>
      </c>
      <c r="V796" s="332"/>
      <c r="W796" s="1"/>
    </row>
    <row r="797" spans="1:23" ht="20.100000000000001" customHeight="1" x14ac:dyDescent="0.25">
      <c r="A797" s="18"/>
      <c r="B797" s="18"/>
      <c r="C797" s="18"/>
      <c r="D797" s="7"/>
      <c r="E797" s="326"/>
      <c r="F797" s="1471"/>
      <c r="G797" s="1471"/>
      <c r="H797" s="1471"/>
      <c r="I797" s="1471"/>
      <c r="J797" s="1286"/>
      <c r="K797" s="1286"/>
      <c r="L797" s="1286"/>
      <c r="M797" s="1286"/>
      <c r="N797" s="334"/>
      <c r="O797" s="334"/>
      <c r="P797" s="335"/>
      <c r="Q797" s="335"/>
      <c r="R797" s="335"/>
      <c r="U797" s="331" t="str">
        <f ca="1">'Calculos(2)'!CK$97</f>
        <v>-</v>
      </c>
      <c r="V797" s="332"/>
      <c r="W797" s="1"/>
    </row>
    <row r="798" spans="1:23" ht="20.100000000000001" customHeight="1" x14ac:dyDescent="0.25">
      <c r="A798" s="18"/>
      <c r="B798" s="18"/>
      <c r="C798" s="18"/>
      <c r="D798" s="7"/>
      <c r="E798" s="326"/>
      <c r="F798" s="1471"/>
      <c r="G798" s="1471"/>
      <c r="H798" s="1471"/>
      <c r="I798" s="1471"/>
      <c r="J798" s="1286"/>
      <c r="K798" s="1286"/>
      <c r="L798" s="1286"/>
      <c r="M798" s="1286"/>
      <c r="N798" s="334"/>
      <c r="O798" s="334"/>
      <c r="P798" s="335"/>
      <c r="Q798" s="335"/>
      <c r="R798" s="335"/>
      <c r="U798" s="331" t="str">
        <f ca="1">'Calculos(2)'!CK$98</f>
        <v>-</v>
      </c>
      <c r="V798" s="332"/>
      <c r="W798" s="1"/>
    </row>
    <row r="799" spans="1:23" ht="20.100000000000001" customHeight="1" x14ac:dyDescent="0.25">
      <c r="A799" s="18"/>
      <c r="B799" s="18"/>
      <c r="C799" s="18"/>
      <c r="D799" s="7"/>
      <c r="E799" s="326"/>
      <c r="F799" s="1471"/>
      <c r="G799" s="1471"/>
      <c r="H799" s="1471"/>
      <c r="I799" s="1471"/>
      <c r="J799" s="1286"/>
      <c r="K799" s="1286"/>
      <c r="L799" s="1286"/>
      <c r="M799" s="1286"/>
      <c r="N799" s="334"/>
      <c r="O799" s="334"/>
      <c r="P799" s="335"/>
      <c r="Q799" s="335"/>
      <c r="R799" s="335"/>
      <c r="U799" s="331" t="str">
        <f ca="1">'Calculos(2)'!CK$99</f>
        <v>-</v>
      </c>
      <c r="V799" s="332"/>
      <c r="W799" s="7"/>
    </row>
    <row r="800" spans="1:23" ht="20.100000000000001" customHeight="1" x14ac:dyDescent="0.25">
      <c r="A800" s="18"/>
      <c r="B800" s="18"/>
      <c r="C800" s="18"/>
      <c r="D800" s="7"/>
      <c r="E800" s="326"/>
      <c r="F800" s="1471"/>
      <c r="G800" s="1471"/>
      <c r="H800" s="1471"/>
      <c r="I800" s="1471"/>
      <c r="J800" s="1286"/>
      <c r="K800" s="1286"/>
      <c r="L800" s="1286"/>
      <c r="M800" s="1286"/>
      <c r="N800" s="334"/>
      <c r="O800" s="334"/>
      <c r="P800" s="335"/>
      <c r="Q800" s="335"/>
      <c r="R800" s="335"/>
      <c r="U800" s="331" t="str">
        <f ca="1">'Calculos(2)'!CK$100</f>
        <v>-</v>
      </c>
      <c r="V800" s="329"/>
      <c r="W800" s="7"/>
    </row>
    <row r="801" spans="1:23" ht="20.100000000000001" customHeight="1" x14ac:dyDescent="0.25">
      <c r="A801" s="18"/>
      <c r="B801" s="18"/>
      <c r="C801" s="18"/>
      <c r="D801" s="7"/>
      <c r="E801" s="326"/>
      <c r="F801" s="1471"/>
      <c r="G801" s="1471"/>
      <c r="H801" s="1471"/>
      <c r="I801" s="1471"/>
      <c r="J801" s="1472" t="s">
        <v>80</v>
      </c>
      <c r="K801" s="1473"/>
      <c r="L801" s="1473"/>
      <c r="M801" s="1474"/>
      <c r="N801" s="334"/>
      <c r="O801" s="334"/>
      <c r="P801" s="335"/>
      <c r="Q801" s="335"/>
      <c r="R801" s="335" t="s">
        <v>10</v>
      </c>
      <c r="U801" s="331" t="str">
        <f ca="1">'Calculos(2)'!CK$101</f>
        <v>-</v>
      </c>
      <c r="V801" s="329"/>
      <c r="W801" s="1"/>
    </row>
    <row r="802" spans="1:23" ht="20.100000000000001" customHeight="1" x14ac:dyDescent="0.25">
      <c r="A802" s="18"/>
      <c r="B802" s="18"/>
      <c r="C802" s="18"/>
      <c r="D802" s="7"/>
      <c r="E802" s="336"/>
      <c r="F802" s="337"/>
      <c r="G802" s="337"/>
      <c r="H802" s="337"/>
      <c r="I802" s="337"/>
      <c r="J802" s="337"/>
      <c r="K802" s="337"/>
      <c r="L802" s="337"/>
      <c r="M802" s="337"/>
      <c r="N802" s="337"/>
      <c r="O802" s="337"/>
      <c r="P802" s="337"/>
      <c r="Q802" s="337"/>
      <c r="R802" s="337"/>
      <c r="S802" s="337"/>
      <c r="T802" s="337"/>
      <c r="U802" s="337"/>
      <c r="V802" s="338"/>
      <c r="W802" s="1"/>
    </row>
    <row r="803" spans="1:23" ht="20.100000000000001" hidden="1" customHeight="1" x14ac:dyDescent="0.25">
      <c r="A803" s="18"/>
      <c r="B803" s="18"/>
      <c r="C803" s="18"/>
      <c r="D803" s="7"/>
      <c r="E803" s="2"/>
      <c r="W803" s="1"/>
    </row>
    <row r="804" spans="1:23" ht="20.100000000000001" customHeight="1" x14ac:dyDescent="0.25">
      <c r="A804" s="18"/>
      <c r="B804" s="18"/>
      <c r="C804" s="18"/>
      <c r="D804" s="7"/>
      <c r="E804" s="7"/>
      <c r="F804" s="7"/>
      <c r="G804" s="7"/>
      <c r="H804" s="7"/>
      <c r="I804" s="7"/>
      <c r="J804" s="7"/>
      <c r="K804" s="7"/>
      <c r="L804" s="7"/>
      <c r="M804" s="7"/>
      <c r="N804" s="7"/>
      <c r="O804" s="7"/>
      <c r="P804" s="7"/>
      <c r="Q804" s="7"/>
      <c r="R804" s="7"/>
      <c r="S804" s="7"/>
      <c r="T804" s="7"/>
      <c r="U804" s="7"/>
      <c r="V804" s="7"/>
      <c r="W804" s="1"/>
    </row>
    <row r="805" spans="1:23" ht="20.100000000000001" customHeight="1" x14ac:dyDescent="0.25">
      <c r="A805" s="18"/>
      <c r="B805" s="18"/>
      <c r="C805" s="18"/>
      <c r="D805" s="7"/>
      <c r="E805" s="321"/>
      <c r="F805" s="322"/>
      <c r="G805" s="323"/>
      <c r="H805" s="323"/>
      <c r="I805" s="323"/>
      <c r="J805" s="323"/>
      <c r="K805" s="323"/>
      <c r="L805" s="323"/>
      <c r="M805" s="323"/>
      <c r="N805" s="323"/>
      <c r="O805" s="323"/>
      <c r="P805" s="323"/>
      <c r="Q805" s="323"/>
      <c r="R805" s="323"/>
      <c r="S805" s="339"/>
      <c r="T805" s="339"/>
      <c r="U805" s="340"/>
      <c r="V805" s="325"/>
      <c r="W805" s="1"/>
    </row>
    <row r="806" spans="1:23" ht="45" customHeight="1" x14ac:dyDescent="0.25">
      <c r="A806" s="18"/>
      <c r="B806" s="18"/>
      <c r="C806" s="18"/>
      <c r="D806" s="7"/>
      <c r="E806" s="326"/>
      <c r="F806" s="1469" t="s">
        <v>8608</v>
      </c>
      <c r="G806" s="1470"/>
      <c r="H806" s="1470"/>
      <c r="I806" s="1470"/>
      <c r="J806" s="1470"/>
      <c r="K806" s="1470"/>
      <c r="L806" s="1470"/>
      <c r="M806" s="1470"/>
      <c r="N806" s="327" t="str">
        <f ca="1">"Concentração"&amp;" "&amp;'Calculos(2)'!$BJ$3</f>
        <v>Concentração -</v>
      </c>
      <c r="O806" s="327" t="s">
        <v>6038</v>
      </c>
      <c r="P806" s="327" t="s">
        <v>8126</v>
      </c>
      <c r="Q806" s="327" t="s">
        <v>8028</v>
      </c>
      <c r="R806" s="327" t="s">
        <v>8603</v>
      </c>
      <c r="S806" s="327" t="s">
        <v>8127</v>
      </c>
      <c r="U806" s="328" t="s">
        <v>119</v>
      </c>
      <c r="V806" s="332"/>
      <c r="W806" s="1"/>
    </row>
    <row r="807" spans="1:23" ht="20.100000000000001" customHeight="1" x14ac:dyDescent="0.25">
      <c r="A807" s="18"/>
      <c r="B807" s="18"/>
      <c r="C807" s="18"/>
      <c r="D807" s="7"/>
      <c r="E807" s="326"/>
      <c r="F807" s="1471" t="str">
        <f ca="1">'Calculos(2)'!$BJ$6</f>
        <v>-</v>
      </c>
      <c r="G807" s="1471"/>
      <c r="H807" s="1471"/>
      <c r="I807" s="1471"/>
      <c r="J807" s="1472" t="s">
        <v>7103</v>
      </c>
      <c r="K807" s="1473"/>
      <c r="L807" s="1473"/>
      <c r="M807" s="1474"/>
      <c r="N807" s="188"/>
      <c r="O807" s="188"/>
      <c r="P807" s="330"/>
      <c r="Q807" s="330"/>
      <c r="R807" s="187">
        <v>0</v>
      </c>
      <c r="S807" s="331">
        <f>O807/2</f>
        <v>0</v>
      </c>
      <c r="U807" s="331" t="str">
        <f ca="1">'Calculos(2)'!CK$106</f>
        <v>-</v>
      </c>
      <c r="V807" s="332"/>
      <c r="W807" s="1"/>
    </row>
    <row r="808" spans="1:23" ht="20.100000000000001" customHeight="1" x14ac:dyDescent="0.25">
      <c r="A808" s="18"/>
      <c r="B808" s="18"/>
      <c r="C808" s="18"/>
      <c r="D808" s="7"/>
      <c r="E808" s="326"/>
      <c r="F808" s="1471"/>
      <c r="G808" s="1471"/>
      <c r="H808" s="1471"/>
      <c r="I808" s="1471"/>
      <c r="J808" s="1286" t="s">
        <v>8027</v>
      </c>
      <c r="K808" s="1286"/>
      <c r="L808" s="1286"/>
      <c r="M808" s="1286"/>
      <c r="N808" s="188"/>
      <c r="O808" s="188"/>
      <c r="P808" s="330"/>
      <c r="Q808" s="330"/>
      <c r="R808" s="187"/>
      <c r="U808" s="331" t="str">
        <f ca="1">'Calculos(2)'!CK$107</f>
        <v>-</v>
      </c>
      <c r="V808" s="332"/>
      <c r="W808" s="1"/>
    </row>
    <row r="809" spans="1:23" ht="20.100000000000001" customHeight="1" x14ac:dyDescent="0.25">
      <c r="A809" s="18"/>
      <c r="B809" s="18"/>
      <c r="C809" s="18"/>
      <c r="D809" s="7"/>
      <c r="E809" s="326"/>
      <c r="F809" s="1471"/>
      <c r="G809" s="1471"/>
      <c r="H809" s="1471"/>
      <c r="I809" s="1471"/>
      <c r="J809" s="1286"/>
      <c r="K809" s="1286"/>
      <c r="L809" s="1286"/>
      <c r="M809" s="1286"/>
      <c r="N809" s="188"/>
      <c r="O809" s="188"/>
      <c r="P809" s="330"/>
      <c r="Q809" s="330"/>
      <c r="R809" s="187"/>
      <c r="U809" s="331" t="str">
        <f ca="1">'Calculos(2)'!CK$108</f>
        <v>-</v>
      </c>
      <c r="V809" s="332"/>
      <c r="W809" s="1"/>
    </row>
    <row r="810" spans="1:23" ht="20.100000000000001" customHeight="1" x14ac:dyDescent="0.25">
      <c r="A810" s="18"/>
      <c r="B810" s="18"/>
      <c r="C810" s="18"/>
      <c r="D810" s="7"/>
      <c r="E810" s="326"/>
      <c r="F810" s="1471"/>
      <c r="G810" s="1471"/>
      <c r="H810" s="1471"/>
      <c r="I810" s="1471"/>
      <c r="J810" s="1286"/>
      <c r="K810" s="1286"/>
      <c r="L810" s="1286"/>
      <c r="M810" s="1286"/>
      <c r="N810" s="188"/>
      <c r="O810" s="188"/>
      <c r="P810" s="330"/>
      <c r="Q810" s="330"/>
      <c r="R810" s="187"/>
      <c r="U810" s="331" t="str">
        <f ca="1">'Calculos(2)'!CK$109</f>
        <v>-</v>
      </c>
      <c r="V810" s="332"/>
      <c r="W810" s="1"/>
    </row>
    <row r="811" spans="1:23" ht="20.100000000000001" customHeight="1" x14ac:dyDescent="0.25">
      <c r="A811" s="18"/>
      <c r="B811" s="18"/>
      <c r="C811" s="18"/>
      <c r="D811" s="7"/>
      <c r="E811" s="326"/>
      <c r="F811" s="1471"/>
      <c r="G811" s="1471"/>
      <c r="H811" s="1471"/>
      <c r="I811" s="1471"/>
      <c r="J811" s="1286"/>
      <c r="K811" s="1286"/>
      <c r="L811" s="1286"/>
      <c r="M811" s="1286"/>
      <c r="N811" s="188"/>
      <c r="O811" s="188"/>
      <c r="P811" s="330"/>
      <c r="Q811" s="330"/>
      <c r="R811" s="187"/>
      <c r="U811" s="331" t="str">
        <f ca="1">'Calculos(2)'!CK$110</f>
        <v>-</v>
      </c>
      <c r="V811" s="332"/>
      <c r="W811" s="1"/>
    </row>
    <row r="812" spans="1:23" ht="20.100000000000001" customHeight="1" x14ac:dyDescent="0.25">
      <c r="A812" s="18"/>
      <c r="B812" s="18"/>
      <c r="C812" s="18"/>
      <c r="D812" s="7"/>
      <c r="E812" s="326"/>
      <c r="F812" s="1471"/>
      <c r="G812" s="1471"/>
      <c r="H812" s="1471"/>
      <c r="I812" s="1471"/>
      <c r="J812" s="1286"/>
      <c r="K812" s="1286"/>
      <c r="L812" s="1286"/>
      <c r="M812" s="1286"/>
      <c r="N812" s="188"/>
      <c r="O812" s="188"/>
      <c r="P812" s="330"/>
      <c r="Q812" s="330"/>
      <c r="R812" s="187"/>
      <c r="U812" s="331" t="str">
        <f ca="1">'Calculos(2)'!CK$111</f>
        <v>-</v>
      </c>
      <c r="V812" s="332"/>
      <c r="W812" s="1"/>
    </row>
    <row r="813" spans="1:23" ht="20.100000000000001" customHeight="1" x14ac:dyDescent="0.25">
      <c r="A813" s="18"/>
      <c r="B813" s="18"/>
      <c r="C813" s="18"/>
      <c r="D813" s="7"/>
      <c r="E813" s="326"/>
      <c r="F813" s="1471"/>
      <c r="G813" s="1471"/>
      <c r="H813" s="1471"/>
      <c r="I813" s="1471"/>
      <c r="J813" s="1286"/>
      <c r="K813" s="1286"/>
      <c r="L813" s="1286"/>
      <c r="M813" s="1286"/>
      <c r="N813" s="188"/>
      <c r="O813" s="188"/>
      <c r="P813" s="330"/>
      <c r="Q813" s="330"/>
      <c r="R813" s="187"/>
      <c r="U813" s="331" t="str">
        <f ca="1">'Calculos(2)'!CK$112</f>
        <v>-</v>
      </c>
      <c r="V813" s="332"/>
      <c r="W813" s="1"/>
    </row>
    <row r="814" spans="1:23" ht="20.100000000000001" customHeight="1" x14ac:dyDescent="0.25">
      <c r="A814" s="18"/>
      <c r="B814" s="18"/>
      <c r="C814" s="18"/>
      <c r="D814" s="7"/>
      <c r="E814" s="326"/>
      <c r="F814" s="1471"/>
      <c r="G814" s="1471"/>
      <c r="H814" s="1471"/>
      <c r="I814" s="1471"/>
      <c r="J814" s="1286"/>
      <c r="K814" s="1286"/>
      <c r="L814" s="1286"/>
      <c r="M814" s="1286"/>
      <c r="N814" s="188"/>
      <c r="O814" s="188"/>
      <c r="P814" s="330"/>
      <c r="Q814" s="330"/>
      <c r="R814" s="187"/>
      <c r="U814" s="331" t="str">
        <f ca="1">'Calculos(2)'!CK$113</f>
        <v>-</v>
      </c>
      <c r="V814" s="332"/>
      <c r="W814" s="1"/>
    </row>
    <row r="815" spans="1:23" ht="20.100000000000001" customHeight="1" x14ac:dyDescent="0.25">
      <c r="A815" s="18"/>
      <c r="B815" s="18"/>
      <c r="C815" s="18"/>
      <c r="D815" s="7"/>
      <c r="E815" s="326"/>
      <c r="F815" s="1471"/>
      <c r="G815" s="1471"/>
      <c r="H815" s="1471"/>
      <c r="I815" s="1471"/>
      <c r="J815" s="1286"/>
      <c r="K815" s="1286"/>
      <c r="L815" s="1286"/>
      <c r="M815" s="1286"/>
      <c r="N815" s="188"/>
      <c r="O815" s="188"/>
      <c r="P815" s="330"/>
      <c r="Q815" s="330"/>
      <c r="R815" s="187"/>
      <c r="U815" s="331" t="str">
        <f ca="1">'Calculos(2)'!CK$114</f>
        <v>-</v>
      </c>
      <c r="V815" s="332"/>
      <c r="W815" s="1"/>
    </row>
    <row r="816" spans="1:23" ht="20.100000000000001" customHeight="1" x14ac:dyDescent="0.25">
      <c r="A816" s="18"/>
      <c r="B816" s="18"/>
      <c r="C816" s="18"/>
      <c r="D816" s="7"/>
      <c r="E816" s="326"/>
      <c r="F816" s="1471"/>
      <c r="G816" s="1471"/>
      <c r="H816" s="1471"/>
      <c r="I816" s="1471"/>
      <c r="J816" s="1286"/>
      <c r="K816" s="1286"/>
      <c r="L816" s="1286"/>
      <c r="M816" s="1286"/>
      <c r="N816" s="188"/>
      <c r="O816" s="188"/>
      <c r="P816" s="330"/>
      <c r="Q816" s="330"/>
      <c r="R816" s="187"/>
      <c r="U816" s="331" t="str">
        <f ca="1">'Calculos(2)'!CK$115</f>
        <v>-</v>
      </c>
      <c r="V816" s="332"/>
      <c r="W816" s="7"/>
    </row>
    <row r="817" spans="1:23" ht="20.100000000000001" customHeight="1" x14ac:dyDescent="0.25">
      <c r="A817" s="18"/>
      <c r="B817" s="18"/>
      <c r="C817" s="18"/>
      <c r="D817" s="7"/>
      <c r="E817" s="326"/>
      <c r="F817" s="1471"/>
      <c r="G817" s="1471"/>
      <c r="H817" s="1471"/>
      <c r="I817" s="1471"/>
      <c r="J817" s="1286"/>
      <c r="K817" s="1286"/>
      <c r="L817" s="1286"/>
      <c r="M817" s="1286"/>
      <c r="N817" s="188"/>
      <c r="O817" s="188"/>
      <c r="P817" s="330"/>
      <c r="Q817" s="330"/>
      <c r="R817" s="187"/>
      <c r="U817" s="331" t="str">
        <f ca="1">'Calculos(2)'!CK$116</f>
        <v>-</v>
      </c>
      <c r="V817" s="332"/>
      <c r="W817" s="7"/>
    </row>
    <row r="818" spans="1:23" ht="20.100000000000001" customHeight="1" x14ac:dyDescent="0.25">
      <c r="A818" s="18"/>
      <c r="B818" s="18"/>
      <c r="C818" s="18"/>
      <c r="D818" s="7"/>
      <c r="E818" s="326"/>
      <c r="F818" s="1471"/>
      <c r="G818" s="1471"/>
      <c r="H818" s="1471"/>
      <c r="I818" s="1471"/>
      <c r="J818" s="1472" t="s">
        <v>80</v>
      </c>
      <c r="K818" s="1473"/>
      <c r="L818" s="1473"/>
      <c r="M818" s="1474"/>
      <c r="N818" s="188"/>
      <c r="O818" s="188"/>
      <c r="P818" s="330"/>
      <c r="Q818" s="330"/>
      <c r="R818" s="187" t="s">
        <v>10</v>
      </c>
      <c r="U818" s="331" t="str">
        <f ca="1">'Calculos(2)'!CK$117</f>
        <v>-</v>
      </c>
      <c r="V818" s="332"/>
      <c r="W818" s="1"/>
    </row>
    <row r="819" spans="1:23" ht="20.100000000000001" customHeight="1" x14ac:dyDescent="0.25">
      <c r="A819" s="18"/>
      <c r="B819" s="18"/>
      <c r="C819" s="18"/>
      <c r="D819" s="7"/>
      <c r="E819" s="326"/>
      <c r="V819" s="332"/>
      <c r="W819" s="1"/>
    </row>
    <row r="820" spans="1:23" ht="20.100000000000001" hidden="1" customHeight="1" x14ac:dyDescent="0.25">
      <c r="A820" s="18"/>
      <c r="B820" s="18"/>
      <c r="C820" s="18"/>
      <c r="D820" s="7"/>
      <c r="E820" s="326"/>
      <c r="V820" s="332"/>
      <c r="W820" s="1"/>
    </row>
    <row r="821" spans="1:23" ht="20.100000000000001" hidden="1" customHeight="1" x14ac:dyDescent="0.25">
      <c r="A821" s="18"/>
      <c r="B821" s="18"/>
      <c r="C821" s="18"/>
      <c r="D821" s="7"/>
      <c r="E821" s="326"/>
      <c r="V821" s="332"/>
      <c r="W821" s="1"/>
    </row>
    <row r="822" spans="1:23" ht="20.100000000000001" customHeight="1" x14ac:dyDescent="0.25">
      <c r="A822" s="18"/>
      <c r="B822" s="18"/>
      <c r="C822" s="18"/>
      <c r="D822" s="7"/>
      <c r="E822" s="326"/>
      <c r="V822" s="332"/>
      <c r="W822" s="1"/>
    </row>
    <row r="823" spans="1:23" ht="45" customHeight="1" x14ac:dyDescent="0.25">
      <c r="A823" s="18"/>
      <c r="B823" s="18"/>
      <c r="C823" s="18"/>
      <c r="D823" s="7"/>
      <c r="E823" s="326"/>
      <c r="F823" s="1475" t="s">
        <v>8617</v>
      </c>
      <c r="G823" s="1476"/>
      <c r="H823" s="1476"/>
      <c r="I823" s="1476"/>
      <c r="J823" s="1476"/>
      <c r="K823" s="1476"/>
      <c r="L823" s="1476"/>
      <c r="M823" s="1476"/>
      <c r="N823" s="333" t="str">
        <f ca="1">"Concentração"&amp;" "&amp;'Calculos(2)'!$BJ$3</f>
        <v>Concentração -</v>
      </c>
      <c r="O823" s="333" t="s">
        <v>6038</v>
      </c>
      <c r="P823" s="333" t="s">
        <v>8126</v>
      </c>
      <c r="Q823" s="333" t="s">
        <v>8028</v>
      </c>
      <c r="R823" s="333" t="s">
        <v>8603</v>
      </c>
      <c r="S823" s="333" t="s">
        <v>8127</v>
      </c>
      <c r="U823" s="328" t="s">
        <v>119</v>
      </c>
      <c r="V823" s="332"/>
      <c r="W823" s="1"/>
    </row>
    <row r="824" spans="1:23" ht="20.100000000000001" customHeight="1" x14ac:dyDescent="0.25">
      <c r="A824" s="18"/>
      <c r="B824" s="18"/>
      <c r="C824" s="18"/>
      <c r="D824" s="7"/>
      <c r="E824" s="326"/>
      <c r="F824" s="1471" t="str">
        <f ca="1">'Calculos(2)'!$BJ$6</f>
        <v>-</v>
      </c>
      <c r="G824" s="1471"/>
      <c r="H824" s="1471"/>
      <c r="I824" s="1471"/>
      <c r="J824" s="1472" t="s">
        <v>7103</v>
      </c>
      <c r="K824" s="1473"/>
      <c r="L824" s="1473"/>
      <c r="M824" s="1474"/>
      <c r="N824" s="334"/>
      <c r="O824" s="334"/>
      <c r="P824" s="335"/>
      <c r="Q824" s="335"/>
      <c r="R824" s="335">
        <v>0</v>
      </c>
      <c r="S824" s="331">
        <f>O824/2</f>
        <v>0</v>
      </c>
      <c r="U824" s="331" t="str">
        <f ca="1">'Calculos(2)'!CK$122</f>
        <v>-</v>
      </c>
      <c r="V824" s="332"/>
      <c r="W824" s="1"/>
    </row>
    <row r="825" spans="1:23" ht="20.100000000000001" customHeight="1" x14ac:dyDescent="0.25">
      <c r="A825" s="18"/>
      <c r="B825" s="18"/>
      <c r="C825" s="18"/>
      <c r="D825" s="7"/>
      <c r="E825" s="326"/>
      <c r="F825" s="1471"/>
      <c r="G825" s="1471"/>
      <c r="H825" s="1471"/>
      <c r="I825" s="1471"/>
      <c r="J825" s="1286" t="s">
        <v>8027</v>
      </c>
      <c r="K825" s="1286"/>
      <c r="L825" s="1286"/>
      <c r="M825" s="1286"/>
      <c r="N825" s="334"/>
      <c r="O825" s="334"/>
      <c r="P825" s="335"/>
      <c r="Q825" s="335"/>
      <c r="R825" s="335"/>
      <c r="U825" s="331" t="str">
        <f ca="1">'Calculos(2)'!CK$123</f>
        <v>-</v>
      </c>
      <c r="V825" s="332"/>
      <c r="W825" s="1"/>
    </row>
    <row r="826" spans="1:23" ht="20.100000000000001" customHeight="1" x14ac:dyDescent="0.25">
      <c r="A826" s="18"/>
      <c r="B826" s="18"/>
      <c r="C826" s="18"/>
      <c r="D826" s="7"/>
      <c r="E826" s="326"/>
      <c r="F826" s="1471"/>
      <c r="G826" s="1471"/>
      <c r="H826" s="1471"/>
      <c r="I826" s="1471"/>
      <c r="J826" s="1286"/>
      <c r="K826" s="1286"/>
      <c r="L826" s="1286"/>
      <c r="M826" s="1286"/>
      <c r="N826" s="334"/>
      <c r="O826" s="334"/>
      <c r="P826" s="335"/>
      <c r="Q826" s="335"/>
      <c r="R826" s="335"/>
      <c r="U826" s="331" t="str">
        <f ca="1">'Calculos(2)'!CK$124</f>
        <v>-</v>
      </c>
      <c r="V826" s="332"/>
      <c r="W826" s="1"/>
    </row>
    <row r="827" spans="1:23" ht="20.100000000000001" customHeight="1" x14ac:dyDescent="0.25">
      <c r="A827" s="18"/>
      <c r="B827" s="18"/>
      <c r="C827" s="18"/>
      <c r="D827" s="7"/>
      <c r="E827" s="326"/>
      <c r="F827" s="1471"/>
      <c r="G827" s="1471"/>
      <c r="H827" s="1471"/>
      <c r="I827" s="1471"/>
      <c r="J827" s="1286"/>
      <c r="K827" s="1286"/>
      <c r="L827" s="1286"/>
      <c r="M827" s="1286"/>
      <c r="N827" s="334"/>
      <c r="O827" s="334"/>
      <c r="P827" s="335"/>
      <c r="Q827" s="335"/>
      <c r="R827" s="335"/>
      <c r="U827" s="331" t="str">
        <f ca="1">'Calculos(2)'!CK$125</f>
        <v>-</v>
      </c>
      <c r="V827" s="332"/>
      <c r="W827" s="1"/>
    </row>
    <row r="828" spans="1:23" ht="20.100000000000001" customHeight="1" x14ac:dyDescent="0.25">
      <c r="A828" s="18"/>
      <c r="B828" s="18"/>
      <c r="C828" s="18"/>
      <c r="D828" s="7"/>
      <c r="E828" s="326"/>
      <c r="F828" s="1471"/>
      <c r="G828" s="1471"/>
      <c r="H828" s="1471"/>
      <c r="I828" s="1471"/>
      <c r="J828" s="1286"/>
      <c r="K828" s="1286"/>
      <c r="L828" s="1286"/>
      <c r="M828" s="1286"/>
      <c r="N828" s="334"/>
      <c r="O828" s="334"/>
      <c r="P828" s="335"/>
      <c r="Q828" s="335"/>
      <c r="R828" s="335"/>
      <c r="U828" s="331" t="str">
        <f ca="1">'Calculos(2)'!CK$126</f>
        <v>-</v>
      </c>
      <c r="V828" s="332"/>
      <c r="W828" s="1"/>
    </row>
    <row r="829" spans="1:23" ht="20.100000000000001" customHeight="1" x14ac:dyDescent="0.25">
      <c r="A829" s="18"/>
      <c r="B829" s="18"/>
      <c r="C829" s="18"/>
      <c r="D829" s="7"/>
      <c r="E829" s="326"/>
      <c r="F829" s="1471"/>
      <c r="G829" s="1471"/>
      <c r="H829" s="1471"/>
      <c r="I829" s="1471"/>
      <c r="J829" s="1286"/>
      <c r="K829" s="1286"/>
      <c r="L829" s="1286"/>
      <c r="M829" s="1286"/>
      <c r="N829" s="334"/>
      <c r="O829" s="334"/>
      <c r="P829" s="335"/>
      <c r="Q829" s="335"/>
      <c r="R829" s="335"/>
      <c r="U829" s="331" t="str">
        <f ca="1">'Calculos(2)'!CK$127</f>
        <v>-</v>
      </c>
      <c r="V829" s="332"/>
      <c r="W829" s="1"/>
    </row>
    <row r="830" spans="1:23" ht="20.100000000000001" customHeight="1" x14ac:dyDescent="0.25">
      <c r="A830" s="18"/>
      <c r="B830" s="18"/>
      <c r="C830" s="18"/>
      <c r="D830" s="7"/>
      <c r="E830" s="326"/>
      <c r="F830" s="1471"/>
      <c r="G830" s="1471"/>
      <c r="H830" s="1471"/>
      <c r="I830" s="1471"/>
      <c r="J830" s="1286"/>
      <c r="K830" s="1286"/>
      <c r="L830" s="1286"/>
      <c r="M830" s="1286"/>
      <c r="N830" s="334"/>
      <c r="O830" s="334"/>
      <c r="P830" s="335"/>
      <c r="Q830" s="335"/>
      <c r="R830" s="335"/>
      <c r="U830" s="331" t="str">
        <f ca="1">'Calculos(2)'!CK$128</f>
        <v>-</v>
      </c>
      <c r="V830" s="332"/>
      <c r="W830" s="1"/>
    </row>
    <row r="831" spans="1:23" ht="20.100000000000001" customHeight="1" x14ac:dyDescent="0.25">
      <c r="A831" s="18"/>
      <c r="B831" s="18"/>
      <c r="C831" s="18"/>
      <c r="D831" s="7"/>
      <c r="E831" s="326"/>
      <c r="F831" s="1471"/>
      <c r="G831" s="1471"/>
      <c r="H831" s="1471"/>
      <c r="I831" s="1471"/>
      <c r="J831" s="1286"/>
      <c r="K831" s="1286"/>
      <c r="L831" s="1286"/>
      <c r="M831" s="1286"/>
      <c r="N831" s="334"/>
      <c r="O831" s="334"/>
      <c r="P831" s="335"/>
      <c r="Q831" s="335"/>
      <c r="R831" s="335"/>
      <c r="U831" s="331" t="str">
        <f ca="1">'Calculos(2)'!CK$129</f>
        <v>-</v>
      </c>
      <c r="V831" s="332"/>
      <c r="W831" s="1"/>
    </row>
    <row r="832" spans="1:23" ht="20.100000000000001" customHeight="1" x14ac:dyDescent="0.25">
      <c r="A832" s="18"/>
      <c r="B832" s="18"/>
      <c r="C832" s="18"/>
      <c r="D832" s="7"/>
      <c r="E832" s="326"/>
      <c r="F832" s="1471"/>
      <c r="G832" s="1471"/>
      <c r="H832" s="1471"/>
      <c r="I832" s="1471"/>
      <c r="J832" s="1286"/>
      <c r="K832" s="1286"/>
      <c r="L832" s="1286"/>
      <c r="M832" s="1286"/>
      <c r="N832" s="334"/>
      <c r="O832" s="334"/>
      <c r="P832" s="335"/>
      <c r="Q832" s="335"/>
      <c r="R832" s="335"/>
      <c r="U832" s="331" t="str">
        <f ca="1">'Calculos(2)'!CK$130</f>
        <v>-</v>
      </c>
      <c r="V832" s="332"/>
      <c r="W832" s="1"/>
    </row>
    <row r="833" spans="1:23" ht="20.100000000000001" customHeight="1" x14ac:dyDescent="0.25">
      <c r="A833" s="18"/>
      <c r="B833" s="18"/>
      <c r="C833" s="18"/>
      <c r="D833" s="7"/>
      <c r="E833" s="326"/>
      <c r="F833" s="1471"/>
      <c r="G833" s="1471"/>
      <c r="H833" s="1471"/>
      <c r="I833" s="1471"/>
      <c r="J833" s="1286"/>
      <c r="K833" s="1286"/>
      <c r="L833" s="1286"/>
      <c r="M833" s="1286"/>
      <c r="N833" s="334"/>
      <c r="O833" s="334"/>
      <c r="P833" s="335"/>
      <c r="Q833" s="335"/>
      <c r="R833" s="335"/>
      <c r="U833" s="331" t="str">
        <f ca="1">'Calculos(2)'!CK$131</f>
        <v>-</v>
      </c>
      <c r="V833" s="332"/>
      <c r="W833" s="7"/>
    </row>
    <row r="834" spans="1:23" ht="20.100000000000001" customHeight="1" x14ac:dyDescent="0.25">
      <c r="A834" s="18"/>
      <c r="B834" s="18"/>
      <c r="C834" s="18"/>
      <c r="D834" s="7"/>
      <c r="E834" s="326"/>
      <c r="F834" s="1471"/>
      <c r="G834" s="1471"/>
      <c r="H834" s="1471"/>
      <c r="I834" s="1471"/>
      <c r="J834" s="1286"/>
      <c r="K834" s="1286"/>
      <c r="L834" s="1286"/>
      <c r="M834" s="1286"/>
      <c r="N834" s="334"/>
      <c r="O834" s="334"/>
      <c r="P834" s="335"/>
      <c r="Q834" s="335"/>
      <c r="R834" s="335"/>
      <c r="U834" s="331" t="str">
        <f ca="1">'Calculos(2)'!CK$132</f>
        <v>-</v>
      </c>
      <c r="V834" s="329"/>
      <c r="W834" s="7"/>
    </row>
    <row r="835" spans="1:23" ht="20.100000000000001" customHeight="1" x14ac:dyDescent="0.25">
      <c r="A835" s="18"/>
      <c r="B835" s="18"/>
      <c r="C835" s="18"/>
      <c r="D835" s="7"/>
      <c r="E835" s="326"/>
      <c r="F835" s="1471"/>
      <c r="G835" s="1471"/>
      <c r="H835" s="1471"/>
      <c r="I835" s="1471"/>
      <c r="J835" s="1472" t="s">
        <v>80</v>
      </c>
      <c r="K835" s="1473"/>
      <c r="L835" s="1473"/>
      <c r="M835" s="1474"/>
      <c r="N835" s="334"/>
      <c r="O835" s="334"/>
      <c r="P835" s="335"/>
      <c r="Q835" s="335"/>
      <c r="R835" s="335" t="s">
        <v>10</v>
      </c>
      <c r="U835" s="331" t="str">
        <f ca="1">'Calculos(2)'!CK$133</f>
        <v>-</v>
      </c>
      <c r="V835" s="329"/>
      <c r="W835" s="1"/>
    </row>
    <row r="836" spans="1:23" ht="20.100000000000001" customHeight="1" x14ac:dyDescent="0.25">
      <c r="A836" s="18"/>
      <c r="B836" s="18"/>
      <c r="C836" s="18"/>
      <c r="D836" s="7"/>
      <c r="E836" s="336"/>
      <c r="F836" s="337"/>
      <c r="G836" s="337"/>
      <c r="H836" s="337"/>
      <c r="I836" s="337"/>
      <c r="J836" s="337"/>
      <c r="K836" s="337"/>
      <c r="L836" s="337"/>
      <c r="M836" s="337"/>
      <c r="N836" s="337"/>
      <c r="O836" s="337"/>
      <c r="P836" s="337"/>
      <c r="Q836" s="337"/>
      <c r="R836" s="337"/>
      <c r="S836" s="337"/>
      <c r="T836" s="337"/>
      <c r="U836" s="337"/>
      <c r="V836" s="338"/>
      <c r="W836" s="1"/>
    </row>
    <row r="837" spans="1:23" ht="20.100000000000001" hidden="1" customHeight="1" x14ac:dyDescent="0.25">
      <c r="A837" s="18"/>
      <c r="B837" s="18"/>
      <c r="C837" s="18"/>
      <c r="D837" s="7"/>
      <c r="E837" s="2"/>
      <c r="W837" s="1"/>
    </row>
    <row r="838" spans="1:23" ht="20.100000000000001" customHeight="1" x14ac:dyDescent="0.25">
      <c r="A838" s="18"/>
      <c r="B838" s="18"/>
      <c r="C838" s="18"/>
      <c r="D838" s="7"/>
      <c r="E838" s="7"/>
      <c r="F838" s="7"/>
      <c r="G838" s="7"/>
      <c r="H838" s="7"/>
      <c r="I838" s="7"/>
      <c r="J838" s="7"/>
      <c r="K838" s="7"/>
      <c r="L838" s="7"/>
      <c r="M838" s="7"/>
      <c r="N838" s="7"/>
      <c r="O838" s="7"/>
      <c r="P838" s="7"/>
      <c r="Q838" s="7"/>
      <c r="R838" s="7"/>
      <c r="S838" s="7"/>
      <c r="T838" s="7"/>
      <c r="U838" s="7"/>
      <c r="V838" s="7"/>
      <c r="W838" s="1"/>
    </row>
    <row r="839" spans="1:23" ht="20.100000000000001" customHeight="1" x14ac:dyDescent="0.25">
      <c r="A839" s="18"/>
      <c r="B839" s="18"/>
      <c r="C839" s="18"/>
      <c r="D839" s="7"/>
      <c r="E839" s="321"/>
      <c r="F839" s="322"/>
      <c r="G839" s="323"/>
      <c r="H839" s="323"/>
      <c r="I839" s="323"/>
      <c r="J839" s="323"/>
      <c r="K839" s="323"/>
      <c r="L839" s="323"/>
      <c r="M839" s="323"/>
      <c r="N839" s="323"/>
      <c r="O839" s="323"/>
      <c r="P839" s="323"/>
      <c r="Q839" s="323"/>
      <c r="R839" s="323"/>
      <c r="S839" s="339"/>
      <c r="T839" s="339"/>
      <c r="U839" s="340"/>
      <c r="V839" s="325"/>
      <c r="W839" s="1"/>
    </row>
    <row r="840" spans="1:23" ht="45" customHeight="1" x14ac:dyDescent="0.25">
      <c r="A840" s="18"/>
      <c r="B840" s="18"/>
      <c r="C840" s="18"/>
      <c r="D840" s="7"/>
      <c r="E840" s="326"/>
      <c r="F840" s="1469" t="s">
        <v>8609</v>
      </c>
      <c r="G840" s="1470"/>
      <c r="H840" s="1470"/>
      <c r="I840" s="1470"/>
      <c r="J840" s="1470"/>
      <c r="K840" s="1470"/>
      <c r="L840" s="1470"/>
      <c r="M840" s="1470"/>
      <c r="N840" s="327" t="str">
        <f ca="1">"Concentração"&amp;" "&amp;'Calculos(2)'!$BJ$3</f>
        <v>Concentração -</v>
      </c>
      <c r="O840" s="327" t="s">
        <v>6038</v>
      </c>
      <c r="P840" s="327" t="s">
        <v>8126</v>
      </c>
      <c r="Q840" s="327" t="s">
        <v>8028</v>
      </c>
      <c r="R840" s="327" t="s">
        <v>8603</v>
      </c>
      <c r="S840" s="327" t="s">
        <v>8127</v>
      </c>
      <c r="U840" s="328" t="s">
        <v>119</v>
      </c>
      <c r="V840" s="332"/>
      <c r="W840" s="1"/>
    </row>
    <row r="841" spans="1:23" ht="20.100000000000001" customHeight="1" x14ac:dyDescent="0.25">
      <c r="A841" s="18"/>
      <c r="B841" s="18"/>
      <c r="C841" s="18"/>
      <c r="D841" s="7"/>
      <c r="E841" s="326"/>
      <c r="F841" s="1471" t="str">
        <f ca="1">'Calculos(2)'!$BJ$6</f>
        <v>-</v>
      </c>
      <c r="G841" s="1471"/>
      <c r="H841" s="1471"/>
      <c r="I841" s="1471"/>
      <c r="J841" s="1472" t="s">
        <v>7103</v>
      </c>
      <c r="K841" s="1473"/>
      <c r="L841" s="1473"/>
      <c r="M841" s="1474"/>
      <c r="N841" s="188"/>
      <c r="O841" s="188"/>
      <c r="P841" s="330"/>
      <c r="Q841" s="330"/>
      <c r="R841" s="187">
        <v>0</v>
      </c>
      <c r="S841" s="331">
        <f>O841/2</f>
        <v>0</v>
      </c>
      <c r="U841" s="331" t="str">
        <f ca="1">'Calculos(2)'!CK$138</f>
        <v>-</v>
      </c>
      <c r="V841" s="332"/>
      <c r="W841" s="1"/>
    </row>
    <row r="842" spans="1:23" ht="20.100000000000001" customHeight="1" x14ac:dyDescent="0.25">
      <c r="A842" s="18"/>
      <c r="B842" s="18"/>
      <c r="C842" s="18"/>
      <c r="D842" s="7"/>
      <c r="E842" s="326"/>
      <c r="F842" s="1471"/>
      <c r="G842" s="1471"/>
      <c r="H842" s="1471"/>
      <c r="I842" s="1471"/>
      <c r="J842" s="1286" t="s">
        <v>8027</v>
      </c>
      <c r="K842" s="1286"/>
      <c r="L842" s="1286"/>
      <c r="M842" s="1286"/>
      <c r="N842" s="188"/>
      <c r="O842" s="188"/>
      <c r="P842" s="330"/>
      <c r="Q842" s="330"/>
      <c r="R842" s="187"/>
      <c r="U842" s="331" t="str">
        <f ca="1">'Calculos(2)'!CK$139</f>
        <v>-</v>
      </c>
      <c r="V842" s="332"/>
      <c r="W842" s="1"/>
    </row>
    <row r="843" spans="1:23" ht="20.100000000000001" customHeight="1" x14ac:dyDescent="0.25">
      <c r="A843" s="18"/>
      <c r="B843" s="18"/>
      <c r="C843" s="18"/>
      <c r="D843" s="7"/>
      <c r="E843" s="326"/>
      <c r="F843" s="1471"/>
      <c r="G843" s="1471"/>
      <c r="H843" s="1471"/>
      <c r="I843" s="1471"/>
      <c r="J843" s="1286"/>
      <c r="K843" s="1286"/>
      <c r="L843" s="1286"/>
      <c r="M843" s="1286"/>
      <c r="N843" s="188"/>
      <c r="O843" s="188"/>
      <c r="P843" s="330"/>
      <c r="Q843" s="330"/>
      <c r="R843" s="187"/>
      <c r="U843" s="331" t="str">
        <f ca="1">'Calculos(2)'!CK$140</f>
        <v>-</v>
      </c>
      <c r="V843" s="332"/>
      <c r="W843" s="1"/>
    </row>
    <row r="844" spans="1:23" ht="20.100000000000001" customHeight="1" x14ac:dyDescent="0.25">
      <c r="A844" s="18"/>
      <c r="B844" s="18"/>
      <c r="C844" s="18"/>
      <c r="D844" s="7"/>
      <c r="E844" s="326"/>
      <c r="F844" s="1471"/>
      <c r="G844" s="1471"/>
      <c r="H844" s="1471"/>
      <c r="I844" s="1471"/>
      <c r="J844" s="1286"/>
      <c r="K844" s="1286"/>
      <c r="L844" s="1286"/>
      <c r="M844" s="1286"/>
      <c r="N844" s="188"/>
      <c r="O844" s="188"/>
      <c r="P844" s="330"/>
      <c r="Q844" s="330"/>
      <c r="R844" s="187"/>
      <c r="U844" s="331" t="str">
        <f ca="1">'Calculos(2)'!CK$141</f>
        <v>-</v>
      </c>
      <c r="V844" s="332"/>
      <c r="W844" s="1"/>
    </row>
    <row r="845" spans="1:23" ht="20.100000000000001" customHeight="1" x14ac:dyDescent="0.25">
      <c r="A845" s="18"/>
      <c r="B845" s="18"/>
      <c r="C845" s="18"/>
      <c r="D845" s="7"/>
      <c r="E845" s="326"/>
      <c r="F845" s="1471"/>
      <c r="G845" s="1471"/>
      <c r="H845" s="1471"/>
      <c r="I845" s="1471"/>
      <c r="J845" s="1286"/>
      <c r="K845" s="1286"/>
      <c r="L845" s="1286"/>
      <c r="M845" s="1286"/>
      <c r="N845" s="188"/>
      <c r="O845" s="188"/>
      <c r="P845" s="330"/>
      <c r="Q845" s="330"/>
      <c r="R845" s="187"/>
      <c r="U845" s="331" t="str">
        <f ca="1">'Calculos(2)'!CK$142</f>
        <v>-</v>
      </c>
      <c r="V845" s="332"/>
      <c r="W845" s="1"/>
    </row>
    <row r="846" spans="1:23" ht="20.100000000000001" customHeight="1" x14ac:dyDescent="0.25">
      <c r="A846" s="18"/>
      <c r="B846" s="18"/>
      <c r="C846" s="18"/>
      <c r="D846" s="7"/>
      <c r="E846" s="326"/>
      <c r="F846" s="1471"/>
      <c r="G846" s="1471"/>
      <c r="H846" s="1471"/>
      <c r="I846" s="1471"/>
      <c r="J846" s="1286"/>
      <c r="K846" s="1286"/>
      <c r="L846" s="1286"/>
      <c r="M846" s="1286"/>
      <c r="N846" s="188"/>
      <c r="O846" s="188"/>
      <c r="P846" s="330"/>
      <c r="Q846" s="330"/>
      <c r="R846" s="187"/>
      <c r="U846" s="331" t="str">
        <f ca="1">'Calculos(2)'!CK$143</f>
        <v>-</v>
      </c>
      <c r="V846" s="332"/>
      <c r="W846" s="1"/>
    </row>
    <row r="847" spans="1:23" ht="20.100000000000001" customHeight="1" x14ac:dyDescent="0.25">
      <c r="A847" s="18"/>
      <c r="B847" s="18"/>
      <c r="C847" s="18"/>
      <c r="D847" s="7"/>
      <c r="E847" s="326"/>
      <c r="F847" s="1471"/>
      <c r="G847" s="1471"/>
      <c r="H847" s="1471"/>
      <c r="I847" s="1471"/>
      <c r="J847" s="1286"/>
      <c r="K847" s="1286"/>
      <c r="L847" s="1286"/>
      <c r="M847" s="1286"/>
      <c r="N847" s="188"/>
      <c r="O847" s="188"/>
      <c r="P847" s="330"/>
      <c r="Q847" s="330"/>
      <c r="R847" s="187"/>
      <c r="U847" s="331" t="str">
        <f ca="1">'Calculos(2)'!CK$144</f>
        <v>-</v>
      </c>
      <c r="V847" s="332"/>
      <c r="W847" s="1"/>
    </row>
    <row r="848" spans="1:23" ht="20.100000000000001" customHeight="1" x14ac:dyDescent="0.25">
      <c r="A848" s="18"/>
      <c r="B848" s="18"/>
      <c r="C848" s="18"/>
      <c r="D848" s="7"/>
      <c r="E848" s="326"/>
      <c r="F848" s="1471"/>
      <c r="G848" s="1471"/>
      <c r="H848" s="1471"/>
      <c r="I848" s="1471"/>
      <c r="J848" s="1286"/>
      <c r="K848" s="1286"/>
      <c r="L848" s="1286"/>
      <c r="M848" s="1286"/>
      <c r="N848" s="188"/>
      <c r="O848" s="188"/>
      <c r="P848" s="330"/>
      <c r="Q848" s="330"/>
      <c r="R848" s="187"/>
      <c r="U848" s="331" t="str">
        <f ca="1">'Calculos(2)'!CK$145</f>
        <v>-</v>
      </c>
      <c r="V848" s="332"/>
      <c r="W848" s="7"/>
    </row>
    <row r="849" spans="1:23" ht="20.100000000000001" customHeight="1" x14ac:dyDescent="0.25">
      <c r="A849" s="18"/>
      <c r="B849" s="18"/>
      <c r="C849" s="18"/>
      <c r="D849" s="7"/>
      <c r="E849" s="326"/>
      <c r="F849" s="1471"/>
      <c r="G849" s="1471"/>
      <c r="H849" s="1471"/>
      <c r="I849" s="1471"/>
      <c r="J849" s="1286"/>
      <c r="K849" s="1286"/>
      <c r="L849" s="1286"/>
      <c r="M849" s="1286"/>
      <c r="N849" s="188"/>
      <c r="O849" s="188"/>
      <c r="P849" s="330"/>
      <c r="Q849" s="330"/>
      <c r="R849" s="187"/>
      <c r="U849" s="331" t="str">
        <f ca="1">'Calculos(2)'!CK$146</f>
        <v>-</v>
      </c>
      <c r="V849" s="332"/>
      <c r="W849" s="1"/>
    </row>
    <row r="850" spans="1:23" ht="20.100000000000001" customHeight="1" x14ac:dyDescent="0.25">
      <c r="A850" s="18"/>
      <c r="B850" s="18"/>
      <c r="C850" s="18"/>
      <c r="D850" s="7"/>
      <c r="E850" s="326"/>
      <c r="F850" s="1471"/>
      <c r="G850" s="1471"/>
      <c r="H850" s="1471"/>
      <c r="I850" s="1471"/>
      <c r="J850" s="1286"/>
      <c r="K850" s="1286"/>
      <c r="L850" s="1286"/>
      <c r="M850" s="1286"/>
      <c r="N850" s="188"/>
      <c r="O850" s="188"/>
      <c r="P850" s="330"/>
      <c r="Q850" s="330"/>
      <c r="R850" s="187"/>
      <c r="U850" s="331" t="str">
        <f ca="1">'Calculos(2)'!CK$147</f>
        <v>-</v>
      </c>
      <c r="V850" s="332"/>
      <c r="W850" s="7"/>
    </row>
    <row r="851" spans="1:23" ht="20.100000000000001" customHeight="1" x14ac:dyDescent="0.25">
      <c r="A851" s="18"/>
      <c r="B851" s="18"/>
      <c r="C851" s="18"/>
      <c r="D851" s="7"/>
      <c r="E851" s="326"/>
      <c r="F851" s="1471"/>
      <c r="G851" s="1471"/>
      <c r="H851" s="1471"/>
      <c r="I851" s="1471"/>
      <c r="J851" s="1286"/>
      <c r="K851" s="1286"/>
      <c r="L851" s="1286"/>
      <c r="M851" s="1286"/>
      <c r="N851" s="188"/>
      <c r="O851" s="188"/>
      <c r="P851" s="330"/>
      <c r="Q851" s="330"/>
      <c r="R851" s="187"/>
      <c r="U851" s="331" t="str">
        <f ca="1">'Calculos(2)'!CK$148</f>
        <v>-</v>
      </c>
      <c r="V851" s="332"/>
      <c r="W851" s="7"/>
    </row>
    <row r="852" spans="1:23" ht="20.100000000000001" customHeight="1" x14ac:dyDescent="0.25">
      <c r="A852" s="18"/>
      <c r="B852" s="18"/>
      <c r="C852" s="18"/>
      <c r="D852" s="7"/>
      <c r="E852" s="326"/>
      <c r="F852" s="1471"/>
      <c r="G852" s="1471"/>
      <c r="H852" s="1471"/>
      <c r="I852" s="1471"/>
      <c r="J852" s="1472" t="s">
        <v>80</v>
      </c>
      <c r="K852" s="1473"/>
      <c r="L852" s="1473"/>
      <c r="M852" s="1474"/>
      <c r="N852" s="188"/>
      <c r="O852" s="188"/>
      <c r="P852" s="330"/>
      <c r="Q852" s="330"/>
      <c r="R852" s="187" t="s">
        <v>10</v>
      </c>
      <c r="U852" s="331" t="str">
        <f ca="1">'Calculos(2)'!CK$149</f>
        <v>-</v>
      </c>
      <c r="V852" s="332"/>
      <c r="W852" s="1"/>
    </row>
    <row r="853" spans="1:23" ht="20.100000000000001" customHeight="1" x14ac:dyDescent="0.25">
      <c r="A853" s="18"/>
      <c r="B853" s="18"/>
      <c r="C853" s="18"/>
      <c r="D853" s="7"/>
      <c r="E853" s="326"/>
      <c r="V853" s="332"/>
      <c r="W853" s="1"/>
    </row>
    <row r="854" spans="1:23" ht="20.100000000000001" hidden="1" customHeight="1" x14ac:dyDescent="0.25">
      <c r="A854" s="18"/>
      <c r="B854" s="18"/>
      <c r="C854" s="18"/>
      <c r="D854" s="7"/>
      <c r="E854" s="326"/>
      <c r="V854" s="332"/>
      <c r="W854" s="1"/>
    </row>
    <row r="855" spans="1:23" ht="20.100000000000001" hidden="1" customHeight="1" x14ac:dyDescent="0.25">
      <c r="A855" s="18"/>
      <c r="B855" s="18"/>
      <c r="C855" s="18"/>
      <c r="D855" s="7"/>
      <c r="E855" s="326"/>
      <c r="V855" s="332"/>
      <c r="W855" s="1"/>
    </row>
    <row r="856" spans="1:23" ht="20.100000000000001" customHeight="1" x14ac:dyDescent="0.25">
      <c r="A856" s="18"/>
      <c r="B856" s="18"/>
      <c r="C856" s="18"/>
      <c r="D856" s="7"/>
      <c r="E856" s="326"/>
      <c r="V856" s="332"/>
      <c r="W856" s="1"/>
    </row>
    <row r="857" spans="1:23" ht="45" customHeight="1" x14ac:dyDescent="0.25">
      <c r="A857" s="18"/>
      <c r="B857" s="18"/>
      <c r="C857" s="18"/>
      <c r="D857" s="7"/>
      <c r="E857" s="326"/>
      <c r="F857" s="1475" t="s">
        <v>8618</v>
      </c>
      <c r="G857" s="1476"/>
      <c r="H857" s="1476"/>
      <c r="I857" s="1476"/>
      <c r="J857" s="1476"/>
      <c r="K857" s="1476"/>
      <c r="L857" s="1476"/>
      <c r="M857" s="1476"/>
      <c r="N857" s="333" t="str">
        <f ca="1">"Concentração"&amp;" "&amp;'Calculos(2)'!$BJ$3</f>
        <v>Concentração -</v>
      </c>
      <c r="O857" s="333" t="s">
        <v>6038</v>
      </c>
      <c r="P857" s="333" t="s">
        <v>8126</v>
      </c>
      <c r="Q857" s="333" t="s">
        <v>8028</v>
      </c>
      <c r="R857" s="333" t="s">
        <v>8603</v>
      </c>
      <c r="S857" s="333" t="s">
        <v>8127</v>
      </c>
      <c r="U857" s="328" t="s">
        <v>119</v>
      </c>
      <c r="V857" s="332"/>
      <c r="W857" s="1"/>
    </row>
    <row r="858" spans="1:23" ht="20.100000000000001" customHeight="1" x14ac:dyDescent="0.25">
      <c r="A858" s="18"/>
      <c r="B858" s="18"/>
      <c r="C858" s="18"/>
      <c r="D858" s="7"/>
      <c r="E858" s="326"/>
      <c r="F858" s="1471" t="str">
        <f ca="1">'Calculos(2)'!$BJ$6</f>
        <v>-</v>
      </c>
      <c r="G858" s="1471"/>
      <c r="H858" s="1471"/>
      <c r="I858" s="1471"/>
      <c r="J858" s="1472" t="s">
        <v>7103</v>
      </c>
      <c r="K858" s="1473"/>
      <c r="L858" s="1473"/>
      <c r="M858" s="1474"/>
      <c r="N858" s="334"/>
      <c r="O858" s="334"/>
      <c r="P858" s="335"/>
      <c r="Q858" s="335"/>
      <c r="R858" s="335">
        <v>0</v>
      </c>
      <c r="S858" s="331">
        <f>O858/2</f>
        <v>0</v>
      </c>
      <c r="U858" s="331" t="str">
        <f ca="1">'Calculos(2)'!CK$154</f>
        <v>-</v>
      </c>
      <c r="V858" s="332"/>
      <c r="W858" s="1"/>
    </row>
    <row r="859" spans="1:23" ht="20.100000000000001" customHeight="1" x14ac:dyDescent="0.25">
      <c r="A859" s="18"/>
      <c r="B859" s="18"/>
      <c r="C859" s="18"/>
      <c r="D859" s="7"/>
      <c r="E859" s="326"/>
      <c r="F859" s="1471"/>
      <c r="G859" s="1471"/>
      <c r="H859" s="1471"/>
      <c r="I859" s="1471"/>
      <c r="J859" s="1286" t="s">
        <v>8027</v>
      </c>
      <c r="K859" s="1286"/>
      <c r="L859" s="1286"/>
      <c r="M859" s="1286"/>
      <c r="N859" s="334"/>
      <c r="O859" s="334"/>
      <c r="P859" s="335"/>
      <c r="Q859" s="335"/>
      <c r="R859" s="335"/>
      <c r="U859" s="331" t="str">
        <f ca="1">'Calculos(2)'!CK$155</f>
        <v>-</v>
      </c>
      <c r="V859" s="332"/>
      <c r="W859" s="1"/>
    </row>
    <row r="860" spans="1:23" ht="20.100000000000001" customHeight="1" x14ac:dyDescent="0.25">
      <c r="A860" s="18"/>
      <c r="B860" s="18"/>
      <c r="C860" s="18"/>
      <c r="D860" s="7"/>
      <c r="E860" s="326"/>
      <c r="F860" s="1471"/>
      <c r="G860" s="1471"/>
      <c r="H860" s="1471"/>
      <c r="I860" s="1471"/>
      <c r="J860" s="1286"/>
      <c r="K860" s="1286"/>
      <c r="L860" s="1286"/>
      <c r="M860" s="1286"/>
      <c r="N860" s="334"/>
      <c r="O860" s="334"/>
      <c r="P860" s="335"/>
      <c r="Q860" s="335"/>
      <c r="R860" s="335"/>
      <c r="U860" s="331" t="str">
        <f ca="1">'Calculos(2)'!CK$156</f>
        <v>-</v>
      </c>
      <c r="V860" s="332"/>
      <c r="W860" s="1"/>
    </row>
    <row r="861" spans="1:23" ht="20.100000000000001" customHeight="1" x14ac:dyDescent="0.25">
      <c r="A861" s="18"/>
      <c r="B861" s="18"/>
      <c r="C861" s="18"/>
      <c r="D861" s="7"/>
      <c r="E861" s="326"/>
      <c r="F861" s="1471"/>
      <c r="G861" s="1471"/>
      <c r="H861" s="1471"/>
      <c r="I861" s="1471"/>
      <c r="J861" s="1286"/>
      <c r="K861" s="1286"/>
      <c r="L861" s="1286"/>
      <c r="M861" s="1286"/>
      <c r="N861" s="334"/>
      <c r="O861" s="334"/>
      <c r="P861" s="335"/>
      <c r="Q861" s="335"/>
      <c r="R861" s="335"/>
      <c r="U861" s="331" t="str">
        <f ca="1">'Calculos(2)'!CK$157</f>
        <v>-</v>
      </c>
      <c r="V861" s="332"/>
      <c r="W861" s="1"/>
    </row>
    <row r="862" spans="1:23" ht="20.100000000000001" customHeight="1" x14ac:dyDescent="0.25">
      <c r="A862" s="18"/>
      <c r="B862" s="18"/>
      <c r="C862" s="18"/>
      <c r="D862" s="7"/>
      <c r="E862" s="326"/>
      <c r="F862" s="1471"/>
      <c r="G862" s="1471"/>
      <c r="H862" s="1471"/>
      <c r="I862" s="1471"/>
      <c r="J862" s="1286"/>
      <c r="K862" s="1286"/>
      <c r="L862" s="1286"/>
      <c r="M862" s="1286"/>
      <c r="N862" s="334"/>
      <c r="O862" s="334"/>
      <c r="P862" s="335"/>
      <c r="Q862" s="335"/>
      <c r="R862" s="335"/>
      <c r="U862" s="331" t="str">
        <f ca="1">'Calculos(2)'!CK$158</f>
        <v>-</v>
      </c>
      <c r="V862" s="332"/>
      <c r="W862" s="1"/>
    </row>
    <row r="863" spans="1:23" ht="20.100000000000001" customHeight="1" x14ac:dyDescent="0.25">
      <c r="A863" s="18"/>
      <c r="B863" s="18"/>
      <c r="C863" s="18"/>
      <c r="D863" s="7"/>
      <c r="E863" s="326"/>
      <c r="F863" s="1471"/>
      <c r="G863" s="1471"/>
      <c r="H863" s="1471"/>
      <c r="I863" s="1471"/>
      <c r="J863" s="1286"/>
      <c r="K863" s="1286"/>
      <c r="L863" s="1286"/>
      <c r="M863" s="1286"/>
      <c r="N863" s="334"/>
      <c r="O863" s="334"/>
      <c r="P863" s="335"/>
      <c r="Q863" s="335"/>
      <c r="R863" s="335"/>
      <c r="U863" s="331" t="str">
        <f ca="1">'Calculos(2)'!CK$159</f>
        <v>-</v>
      </c>
      <c r="V863" s="332"/>
      <c r="W863" s="1"/>
    </row>
    <row r="864" spans="1:23" ht="20.100000000000001" customHeight="1" x14ac:dyDescent="0.25">
      <c r="A864" s="18"/>
      <c r="B864" s="18"/>
      <c r="C864" s="18"/>
      <c r="D864" s="7"/>
      <c r="E864" s="326"/>
      <c r="F864" s="1471"/>
      <c r="G864" s="1471"/>
      <c r="H864" s="1471"/>
      <c r="I864" s="1471"/>
      <c r="J864" s="1286"/>
      <c r="K864" s="1286"/>
      <c r="L864" s="1286"/>
      <c r="M864" s="1286"/>
      <c r="N864" s="334"/>
      <c r="O864" s="334"/>
      <c r="P864" s="335"/>
      <c r="Q864" s="335"/>
      <c r="R864" s="335"/>
      <c r="U864" s="331" t="str">
        <f ca="1">'Calculos(2)'!CK$160</f>
        <v>-</v>
      </c>
      <c r="V864" s="332"/>
      <c r="W864" s="1"/>
    </row>
    <row r="865" spans="1:23" ht="20.100000000000001" customHeight="1" x14ac:dyDescent="0.25">
      <c r="A865" s="18"/>
      <c r="B865" s="18"/>
      <c r="C865" s="18"/>
      <c r="D865" s="7"/>
      <c r="E865" s="326"/>
      <c r="F865" s="1471"/>
      <c r="G865" s="1471"/>
      <c r="H865" s="1471"/>
      <c r="I865" s="1471"/>
      <c r="J865" s="1286"/>
      <c r="K865" s="1286"/>
      <c r="L865" s="1286"/>
      <c r="M865" s="1286"/>
      <c r="N865" s="334"/>
      <c r="O865" s="334"/>
      <c r="P865" s="335"/>
      <c r="Q865" s="335"/>
      <c r="R865" s="335"/>
      <c r="U865" s="331" t="str">
        <f ca="1">'Calculos(2)'!CK$161</f>
        <v>-</v>
      </c>
      <c r="V865" s="332"/>
      <c r="W865" s="1"/>
    </row>
    <row r="866" spans="1:23" ht="20.100000000000001" customHeight="1" x14ac:dyDescent="0.25">
      <c r="A866" s="18"/>
      <c r="B866" s="18"/>
      <c r="C866" s="18"/>
      <c r="D866" s="7"/>
      <c r="E866" s="326"/>
      <c r="F866" s="1471"/>
      <c r="G866" s="1471"/>
      <c r="H866" s="1471"/>
      <c r="I866" s="1471"/>
      <c r="J866" s="1286"/>
      <c r="K866" s="1286"/>
      <c r="L866" s="1286"/>
      <c r="M866" s="1286"/>
      <c r="N866" s="334"/>
      <c r="O866" s="334"/>
      <c r="P866" s="335"/>
      <c r="Q866" s="335"/>
      <c r="R866" s="335"/>
      <c r="U866" s="331" t="str">
        <f ca="1">'Calculos(2)'!CK$162</f>
        <v>-</v>
      </c>
      <c r="V866" s="332"/>
      <c r="W866" s="1"/>
    </row>
    <row r="867" spans="1:23" ht="20.100000000000001" customHeight="1" x14ac:dyDescent="0.25">
      <c r="A867" s="18"/>
      <c r="B867" s="18"/>
      <c r="C867" s="18"/>
      <c r="D867" s="7"/>
      <c r="E867" s="326"/>
      <c r="F867" s="1471"/>
      <c r="G867" s="1471"/>
      <c r="H867" s="1471"/>
      <c r="I867" s="1471"/>
      <c r="J867" s="1286"/>
      <c r="K867" s="1286"/>
      <c r="L867" s="1286"/>
      <c r="M867" s="1286"/>
      <c r="N867" s="334"/>
      <c r="O867" s="334"/>
      <c r="P867" s="335"/>
      <c r="Q867" s="335"/>
      <c r="R867" s="335"/>
      <c r="U867" s="331" t="str">
        <f ca="1">'Calculos(2)'!CK$163</f>
        <v>-</v>
      </c>
      <c r="V867" s="332"/>
      <c r="W867" s="7"/>
    </row>
    <row r="868" spans="1:23" ht="20.100000000000001" customHeight="1" x14ac:dyDescent="0.25">
      <c r="A868" s="18"/>
      <c r="B868" s="18"/>
      <c r="C868" s="18"/>
      <c r="D868" s="7"/>
      <c r="E868" s="326"/>
      <c r="F868" s="1471"/>
      <c r="G868" s="1471"/>
      <c r="H868" s="1471"/>
      <c r="I868" s="1471"/>
      <c r="J868" s="1286"/>
      <c r="K868" s="1286"/>
      <c r="L868" s="1286"/>
      <c r="M868" s="1286"/>
      <c r="N868" s="334"/>
      <c r="O868" s="334"/>
      <c r="P868" s="335"/>
      <c r="Q868" s="335"/>
      <c r="R868" s="335"/>
      <c r="U868" s="331" t="str">
        <f ca="1">'Calculos(2)'!CK$164</f>
        <v>-</v>
      </c>
      <c r="V868" s="329"/>
      <c r="W868" s="7"/>
    </row>
    <row r="869" spans="1:23" ht="20.100000000000001" customHeight="1" x14ac:dyDescent="0.25">
      <c r="A869" s="18"/>
      <c r="B869" s="18"/>
      <c r="C869" s="18"/>
      <c r="D869" s="7"/>
      <c r="E869" s="326"/>
      <c r="F869" s="1471"/>
      <c r="G869" s="1471"/>
      <c r="H869" s="1471"/>
      <c r="I869" s="1471"/>
      <c r="J869" s="1472" t="s">
        <v>80</v>
      </c>
      <c r="K869" s="1473"/>
      <c r="L869" s="1473"/>
      <c r="M869" s="1474"/>
      <c r="N869" s="334"/>
      <c r="O869" s="334"/>
      <c r="P869" s="335"/>
      <c r="Q869" s="335"/>
      <c r="R869" s="335" t="s">
        <v>10</v>
      </c>
      <c r="U869" s="331" t="str">
        <f ca="1">'Calculos(2)'!CK$165</f>
        <v>-</v>
      </c>
      <c r="V869" s="329"/>
      <c r="W869" s="1"/>
    </row>
    <row r="870" spans="1:23" ht="20.100000000000001" customHeight="1" x14ac:dyDescent="0.25">
      <c r="A870" s="18"/>
      <c r="B870" s="18"/>
      <c r="C870" s="18"/>
      <c r="D870" s="7"/>
      <c r="E870" s="336"/>
      <c r="F870" s="337"/>
      <c r="G870" s="337"/>
      <c r="H870" s="337"/>
      <c r="I870" s="337"/>
      <c r="J870" s="337"/>
      <c r="K870" s="337"/>
      <c r="L870" s="337"/>
      <c r="M870" s="337"/>
      <c r="N870" s="337"/>
      <c r="O870" s="337"/>
      <c r="P870" s="337"/>
      <c r="Q870" s="337"/>
      <c r="R870" s="337"/>
      <c r="S870" s="337"/>
      <c r="T870" s="337"/>
      <c r="U870" s="337"/>
      <c r="V870" s="338"/>
      <c r="W870" s="1"/>
    </row>
    <row r="871" spans="1:23" ht="20.100000000000001" hidden="1" customHeight="1" x14ac:dyDescent="0.25">
      <c r="A871" s="18"/>
      <c r="B871" s="18"/>
      <c r="C871" s="18"/>
      <c r="D871" s="7"/>
      <c r="E871" s="2"/>
      <c r="W871" s="1"/>
    </row>
    <row r="872" spans="1:23" ht="20.100000000000001" customHeight="1" x14ac:dyDescent="0.25">
      <c r="A872" s="18"/>
      <c r="B872" s="18"/>
      <c r="C872" s="18"/>
      <c r="D872" s="7"/>
      <c r="E872" s="1"/>
      <c r="F872" s="1"/>
      <c r="G872" s="1"/>
      <c r="H872" s="1"/>
      <c r="I872" s="1"/>
      <c r="J872" s="1"/>
      <c r="K872" s="1"/>
      <c r="L872" s="1"/>
      <c r="M872" s="1"/>
      <c r="N872" s="1"/>
      <c r="O872" s="1"/>
      <c r="P872" s="1"/>
      <c r="Q872" s="1"/>
      <c r="R872" s="1"/>
      <c r="S872" s="1"/>
      <c r="T872" s="1"/>
      <c r="U872" s="1"/>
      <c r="V872" s="1"/>
      <c r="W872" s="1"/>
    </row>
    <row r="873" spans="1:23" ht="20.100000000000001" customHeight="1" x14ac:dyDescent="0.25">
      <c r="A873" s="18"/>
      <c r="B873" s="18"/>
      <c r="C873" s="18"/>
      <c r="D873" s="7"/>
      <c r="E873" s="321"/>
      <c r="F873" s="322"/>
      <c r="G873" s="323"/>
      <c r="H873" s="323"/>
      <c r="I873" s="323"/>
      <c r="J873" s="323"/>
      <c r="K873" s="323"/>
      <c r="L873" s="323"/>
      <c r="M873" s="323"/>
      <c r="N873" s="323"/>
      <c r="O873" s="323"/>
      <c r="P873" s="323"/>
      <c r="Q873" s="323"/>
      <c r="R873" s="339"/>
      <c r="S873" s="339"/>
      <c r="T873" s="339"/>
      <c r="U873" s="339"/>
      <c r="V873" s="342"/>
      <c r="W873" s="1"/>
    </row>
    <row r="874" spans="1:23" ht="45" customHeight="1" x14ac:dyDescent="0.25">
      <c r="A874" s="18"/>
      <c r="B874" s="18"/>
      <c r="C874" s="18"/>
      <c r="D874" s="7"/>
      <c r="E874" s="326"/>
      <c r="F874" s="1469" t="s">
        <v>8610</v>
      </c>
      <c r="G874" s="1470"/>
      <c r="H874" s="1470"/>
      <c r="I874" s="1470"/>
      <c r="J874" s="1470"/>
      <c r="K874" s="1470"/>
      <c r="L874" s="1470"/>
      <c r="M874" s="1470"/>
      <c r="N874" s="327" t="str">
        <f ca="1">"Concentração"&amp;" "&amp;'Calculos(2)'!$BJ$3</f>
        <v>Concentração -</v>
      </c>
      <c r="O874" s="327" t="s">
        <v>6038</v>
      </c>
      <c r="P874" s="327" t="s">
        <v>8126</v>
      </c>
      <c r="Q874" s="327" t="s">
        <v>8028</v>
      </c>
      <c r="R874" s="327" t="s">
        <v>8603</v>
      </c>
      <c r="S874" s="327" t="s">
        <v>8127</v>
      </c>
      <c r="U874" s="328" t="s">
        <v>119</v>
      </c>
      <c r="V874" s="332"/>
      <c r="W874" s="1"/>
    </row>
    <row r="875" spans="1:23" ht="20.100000000000001" customHeight="1" x14ac:dyDescent="0.25">
      <c r="A875" s="18"/>
      <c r="B875" s="18"/>
      <c r="C875" s="18"/>
      <c r="D875" s="7"/>
      <c r="E875" s="326"/>
      <c r="F875" s="1471" t="str">
        <f ca="1">'Calculos(2)'!$BJ$6</f>
        <v>-</v>
      </c>
      <c r="G875" s="1471"/>
      <c r="H875" s="1471"/>
      <c r="I875" s="1471"/>
      <c r="J875" s="1472" t="s">
        <v>7103</v>
      </c>
      <c r="K875" s="1473"/>
      <c r="L875" s="1473"/>
      <c r="M875" s="1474"/>
      <c r="N875" s="188"/>
      <c r="O875" s="188"/>
      <c r="P875" s="330"/>
      <c r="Q875" s="330"/>
      <c r="R875" s="187">
        <v>0</v>
      </c>
      <c r="S875" s="331">
        <f>O875/2</f>
        <v>0</v>
      </c>
      <c r="U875" s="331" t="str">
        <f ca="1">'Calculos(2)'!CK$170</f>
        <v>-</v>
      </c>
      <c r="V875" s="332"/>
      <c r="W875" s="1"/>
    </row>
    <row r="876" spans="1:23" ht="20.100000000000001" customHeight="1" x14ac:dyDescent="0.25">
      <c r="A876" s="18"/>
      <c r="B876" s="18"/>
      <c r="C876" s="18"/>
      <c r="D876" s="7"/>
      <c r="E876" s="326"/>
      <c r="F876" s="1471"/>
      <c r="G876" s="1471"/>
      <c r="H876" s="1471"/>
      <c r="I876" s="1471"/>
      <c r="J876" s="1286" t="s">
        <v>8027</v>
      </c>
      <c r="K876" s="1286"/>
      <c r="L876" s="1286"/>
      <c r="M876" s="1286"/>
      <c r="N876" s="188"/>
      <c r="O876" s="188"/>
      <c r="P876" s="330"/>
      <c r="Q876" s="330"/>
      <c r="R876" s="187"/>
      <c r="U876" s="331" t="str">
        <f ca="1">'Calculos(2)'!CK$171</f>
        <v>-</v>
      </c>
      <c r="V876" s="332"/>
      <c r="W876" s="1"/>
    </row>
    <row r="877" spans="1:23" ht="20.100000000000001" customHeight="1" x14ac:dyDescent="0.25">
      <c r="A877" s="18"/>
      <c r="B877" s="18"/>
      <c r="C877" s="18"/>
      <c r="D877" s="7"/>
      <c r="E877" s="326"/>
      <c r="F877" s="1471"/>
      <c r="G877" s="1471"/>
      <c r="H877" s="1471"/>
      <c r="I877" s="1471"/>
      <c r="J877" s="1286"/>
      <c r="K877" s="1286"/>
      <c r="L877" s="1286"/>
      <c r="M877" s="1286"/>
      <c r="N877" s="188"/>
      <c r="O877" s="188"/>
      <c r="P877" s="330"/>
      <c r="Q877" s="330"/>
      <c r="R877" s="187"/>
      <c r="U877" s="331" t="str">
        <f ca="1">'Calculos(2)'!CK$172</f>
        <v>-</v>
      </c>
      <c r="V877" s="332"/>
      <c r="W877" s="1"/>
    </row>
    <row r="878" spans="1:23" ht="20.100000000000001" customHeight="1" x14ac:dyDescent="0.25">
      <c r="A878" s="18"/>
      <c r="B878" s="18"/>
      <c r="C878" s="18"/>
      <c r="D878" s="7"/>
      <c r="E878" s="326"/>
      <c r="F878" s="1471"/>
      <c r="G878" s="1471"/>
      <c r="H878" s="1471"/>
      <c r="I878" s="1471"/>
      <c r="J878" s="1286"/>
      <c r="K878" s="1286"/>
      <c r="L878" s="1286"/>
      <c r="M878" s="1286"/>
      <c r="N878" s="188"/>
      <c r="O878" s="188"/>
      <c r="P878" s="330"/>
      <c r="Q878" s="330"/>
      <c r="R878" s="187"/>
      <c r="U878" s="331" t="str">
        <f ca="1">'Calculos(2)'!CK$173</f>
        <v>-</v>
      </c>
      <c r="V878" s="332"/>
      <c r="W878" s="1"/>
    </row>
    <row r="879" spans="1:23" ht="20.100000000000001" customHeight="1" x14ac:dyDescent="0.25">
      <c r="A879" s="18"/>
      <c r="B879" s="18"/>
      <c r="C879" s="18"/>
      <c r="D879" s="7"/>
      <c r="E879" s="326"/>
      <c r="F879" s="1471"/>
      <c r="G879" s="1471"/>
      <c r="H879" s="1471"/>
      <c r="I879" s="1471"/>
      <c r="J879" s="1286"/>
      <c r="K879" s="1286"/>
      <c r="L879" s="1286"/>
      <c r="M879" s="1286"/>
      <c r="N879" s="188"/>
      <c r="O879" s="188"/>
      <c r="P879" s="330"/>
      <c r="Q879" s="330"/>
      <c r="R879" s="187"/>
      <c r="U879" s="331" t="str">
        <f ca="1">'Calculos(2)'!CK$174</f>
        <v>-</v>
      </c>
      <c r="V879" s="332"/>
      <c r="W879" s="1"/>
    </row>
    <row r="880" spans="1:23" ht="20.100000000000001" customHeight="1" x14ac:dyDescent="0.25">
      <c r="A880" s="18"/>
      <c r="B880" s="18"/>
      <c r="C880" s="18"/>
      <c r="D880" s="7"/>
      <c r="E880" s="326"/>
      <c r="F880" s="1471"/>
      <c r="G880" s="1471"/>
      <c r="H880" s="1471"/>
      <c r="I880" s="1471"/>
      <c r="J880" s="1286"/>
      <c r="K880" s="1286"/>
      <c r="L880" s="1286"/>
      <c r="M880" s="1286"/>
      <c r="N880" s="188"/>
      <c r="O880" s="188"/>
      <c r="P880" s="330"/>
      <c r="Q880" s="330"/>
      <c r="R880" s="187"/>
      <c r="U880" s="331" t="str">
        <f ca="1">'Calculos(2)'!CK$175</f>
        <v>-</v>
      </c>
      <c r="V880" s="332"/>
      <c r="W880" s="1"/>
    </row>
    <row r="881" spans="1:23" ht="20.100000000000001" customHeight="1" x14ac:dyDescent="0.25">
      <c r="A881" s="18"/>
      <c r="B881" s="18"/>
      <c r="C881" s="18"/>
      <c r="D881" s="7"/>
      <c r="E881" s="326"/>
      <c r="F881" s="1471"/>
      <c r="G881" s="1471"/>
      <c r="H881" s="1471"/>
      <c r="I881" s="1471"/>
      <c r="J881" s="1286"/>
      <c r="K881" s="1286"/>
      <c r="L881" s="1286"/>
      <c r="M881" s="1286"/>
      <c r="N881" s="188"/>
      <c r="O881" s="188"/>
      <c r="P881" s="330"/>
      <c r="Q881" s="330"/>
      <c r="R881" s="187"/>
      <c r="U881" s="331" t="str">
        <f ca="1">'Calculos(2)'!CK$176</f>
        <v>-</v>
      </c>
      <c r="V881" s="332"/>
      <c r="W881" s="1"/>
    </row>
    <row r="882" spans="1:23" ht="20.100000000000001" customHeight="1" x14ac:dyDescent="0.25">
      <c r="A882" s="18"/>
      <c r="B882" s="18"/>
      <c r="C882" s="18"/>
      <c r="D882" s="7"/>
      <c r="E882" s="326"/>
      <c r="F882" s="1471"/>
      <c r="G882" s="1471"/>
      <c r="H882" s="1471"/>
      <c r="I882" s="1471"/>
      <c r="J882" s="1286"/>
      <c r="K882" s="1286"/>
      <c r="L882" s="1286"/>
      <c r="M882" s="1286"/>
      <c r="N882" s="188"/>
      <c r="O882" s="188"/>
      <c r="P882" s="330"/>
      <c r="Q882" s="330"/>
      <c r="R882" s="187"/>
      <c r="U882" s="331" t="str">
        <f ca="1">'Calculos(2)'!CK$177</f>
        <v>-</v>
      </c>
      <c r="V882" s="332"/>
      <c r="W882" s="1"/>
    </row>
    <row r="883" spans="1:23" ht="20.100000000000001" customHeight="1" x14ac:dyDescent="0.25">
      <c r="A883" s="18"/>
      <c r="B883" s="18"/>
      <c r="C883" s="18"/>
      <c r="D883" s="7"/>
      <c r="E883" s="326"/>
      <c r="F883" s="1471"/>
      <c r="G883" s="1471"/>
      <c r="H883" s="1471"/>
      <c r="I883" s="1471"/>
      <c r="J883" s="1286"/>
      <c r="K883" s="1286"/>
      <c r="L883" s="1286"/>
      <c r="M883" s="1286"/>
      <c r="N883" s="188"/>
      <c r="O883" s="188"/>
      <c r="P883" s="330"/>
      <c r="Q883" s="330"/>
      <c r="R883" s="187"/>
      <c r="U883" s="331" t="str">
        <f ca="1">'Calculos(2)'!CK$178</f>
        <v>-</v>
      </c>
      <c r="V883" s="332"/>
      <c r="W883" s="1"/>
    </row>
    <row r="884" spans="1:23" ht="20.100000000000001" customHeight="1" x14ac:dyDescent="0.25">
      <c r="A884" s="18"/>
      <c r="B884" s="18"/>
      <c r="C884" s="18"/>
      <c r="D884" s="7"/>
      <c r="E884" s="326"/>
      <c r="F884" s="1471"/>
      <c r="G884" s="1471"/>
      <c r="H884" s="1471"/>
      <c r="I884" s="1471"/>
      <c r="J884" s="1286"/>
      <c r="K884" s="1286"/>
      <c r="L884" s="1286"/>
      <c r="M884" s="1286"/>
      <c r="N884" s="188"/>
      <c r="O884" s="188"/>
      <c r="P884" s="330"/>
      <c r="Q884" s="330"/>
      <c r="R884" s="187"/>
      <c r="U884" s="331" t="str">
        <f ca="1">'Calculos(2)'!CK$179</f>
        <v>-</v>
      </c>
      <c r="V884" s="332"/>
      <c r="W884" s="1"/>
    </row>
    <row r="885" spans="1:23" ht="20.100000000000001" customHeight="1" x14ac:dyDescent="0.25">
      <c r="A885" s="18"/>
      <c r="B885" s="18"/>
      <c r="C885" s="18"/>
      <c r="D885" s="7"/>
      <c r="E885" s="326"/>
      <c r="F885" s="1471"/>
      <c r="G885" s="1471"/>
      <c r="H885" s="1471"/>
      <c r="I885" s="1471"/>
      <c r="J885" s="1286"/>
      <c r="K885" s="1286"/>
      <c r="L885" s="1286"/>
      <c r="M885" s="1286"/>
      <c r="N885" s="188"/>
      <c r="O885" s="188"/>
      <c r="P885" s="330"/>
      <c r="Q885" s="330"/>
      <c r="R885" s="187"/>
      <c r="U885" s="331" t="str">
        <f ca="1">'Calculos(2)'!CK$180</f>
        <v>-</v>
      </c>
      <c r="V885" s="332"/>
      <c r="W885" s="1"/>
    </row>
    <row r="886" spans="1:23" ht="20.100000000000001" customHeight="1" x14ac:dyDescent="0.25">
      <c r="A886" s="18"/>
      <c r="B886" s="18"/>
      <c r="C886" s="18"/>
      <c r="D886" s="7"/>
      <c r="E886" s="326"/>
      <c r="F886" s="1471"/>
      <c r="G886" s="1471"/>
      <c r="H886" s="1471"/>
      <c r="I886" s="1471"/>
      <c r="J886" s="1472" t="s">
        <v>80</v>
      </c>
      <c r="K886" s="1473"/>
      <c r="L886" s="1473"/>
      <c r="M886" s="1474"/>
      <c r="N886" s="188"/>
      <c r="O886" s="188"/>
      <c r="P886" s="330"/>
      <c r="Q886" s="330"/>
      <c r="R886" s="187" t="s">
        <v>10</v>
      </c>
      <c r="U886" s="331" t="str">
        <f ca="1">'Calculos(2)'!CK$181</f>
        <v>-</v>
      </c>
      <c r="V886" s="332"/>
      <c r="W886" s="1"/>
    </row>
    <row r="887" spans="1:23" ht="20.100000000000001" customHeight="1" x14ac:dyDescent="0.25">
      <c r="A887" s="18"/>
      <c r="B887" s="18"/>
      <c r="C887" s="18"/>
      <c r="D887" s="7"/>
      <c r="E887" s="326"/>
      <c r="V887" s="332"/>
      <c r="W887" s="1"/>
    </row>
    <row r="888" spans="1:23" ht="20.100000000000001" hidden="1" customHeight="1" x14ac:dyDescent="0.25">
      <c r="A888" s="18"/>
      <c r="B888" s="18"/>
      <c r="C888" s="18"/>
      <c r="D888" s="7"/>
      <c r="E888" s="326"/>
      <c r="V888" s="332"/>
      <c r="W888" s="1"/>
    </row>
    <row r="889" spans="1:23" ht="20.100000000000001" hidden="1" customHeight="1" x14ac:dyDescent="0.25">
      <c r="A889" s="18"/>
      <c r="B889" s="18"/>
      <c r="C889" s="18"/>
      <c r="D889" s="7"/>
      <c r="E889" s="326"/>
      <c r="V889" s="332"/>
      <c r="W889" s="7"/>
    </row>
    <row r="890" spans="1:23" ht="20.100000000000001" customHeight="1" x14ac:dyDescent="0.25">
      <c r="A890" s="18"/>
      <c r="B890" s="18"/>
      <c r="C890" s="18"/>
      <c r="D890" s="7"/>
      <c r="E890" s="326"/>
      <c r="V890" s="332"/>
      <c r="W890" s="7"/>
    </row>
    <row r="891" spans="1:23" ht="45" customHeight="1" x14ac:dyDescent="0.25">
      <c r="A891" s="18"/>
      <c r="B891" s="18"/>
      <c r="C891" s="18"/>
      <c r="D891" s="7"/>
      <c r="E891" s="326"/>
      <c r="F891" s="1475" t="s">
        <v>8619</v>
      </c>
      <c r="G891" s="1476"/>
      <c r="H891" s="1476"/>
      <c r="I891" s="1476"/>
      <c r="J891" s="1476"/>
      <c r="K891" s="1476"/>
      <c r="L891" s="1476"/>
      <c r="M891" s="1476"/>
      <c r="N891" s="333" t="str">
        <f ca="1">"Concentração"&amp;" "&amp;'Calculos(2)'!$BJ$3</f>
        <v>Concentração -</v>
      </c>
      <c r="O891" s="333" t="s">
        <v>6038</v>
      </c>
      <c r="P891" s="333" t="s">
        <v>8126</v>
      </c>
      <c r="Q891" s="333" t="s">
        <v>8028</v>
      </c>
      <c r="R891" s="333" t="s">
        <v>8603</v>
      </c>
      <c r="S891" s="333" t="s">
        <v>8127</v>
      </c>
      <c r="U891" s="328" t="s">
        <v>119</v>
      </c>
      <c r="V891" s="332"/>
      <c r="W891" s="1"/>
    </row>
    <row r="892" spans="1:23" ht="20.100000000000001" customHeight="1" x14ac:dyDescent="0.25">
      <c r="A892" s="18"/>
      <c r="B892" s="18"/>
      <c r="C892" s="18"/>
      <c r="D892" s="7"/>
      <c r="E892" s="326"/>
      <c r="F892" s="1471" t="str">
        <f ca="1">'Calculos(2)'!$BJ$6</f>
        <v>-</v>
      </c>
      <c r="G892" s="1471"/>
      <c r="H892" s="1471"/>
      <c r="I892" s="1471"/>
      <c r="J892" s="1472" t="s">
        <v>7103</v>
      </c>
      <c r="K892" s="1473"/>
      <c r="L892" s="1473"/>
      <c r="M892" s="1474"/>
      <c r="N892" s="334"/>
      <c r="O892" s="334"/>
      <c r="P892" s="335"/>
      <c r="Q892" s="335"/>
      <c r="R892" s="335">
        <v>0</v>
      </c>
      <c r="S892" s="331">
        <f>O892/2</f>
        <v>0</v>
      </c>
      <c r="U892" s="331" t="str">
        <f ca="1">'Calculos(2)'!CK$186</f>
        <v>-</v>
      </c>
      <c r="V892" s="332"/>
      <c r="W892" s="1"/>
    </row>
    <row r="893" spans="1:23" ht="20.100000000000001" customHeight="1" x14ac:dyDescent="0.25">
      <c r="A893" s="18"/>
      <c r="B893" s="18"/>
      <c r="C893" s="18"/>
      <c r="D893" s="7"/>
      <c r="E893" s="326"/>
      <c r="F893" s="1471"/>
      <c r="G893" s="1471"/>
      <c r="H893" s="1471"/>
      <c r="I893" s="1471"/>
      <c r="J893" s="1286" t="s">
        <v>8027</v>
      </c>
      <c r="K893" s="1286"/>
      <c r="L893" s="1286"/>
      <c r="M893" s="1286"/>
      <c r="N893" s="334"/>
      <c r="O893" s="334"/>
      <c r="P893" s="335"/>
      <c r="Q893" s="335"/>
      <c r="R893" s="335"/>
      <c r="U893" s="331" t="str">
        <f ca="1">'Calculos(2)'!CK$187</f>
        <v>-</v>
      </c>
      <c r="V893" s="332"/>
      <c r="W893" s="1"/>
    </row>
    <row r="894" spans="1:23" ht="20.100000000000001" customHeight="1" x14ac:dyDescent="0.25">
      <c r="A894" s="18"/>
      <c r="B894" s="18"/>
      <c r="C894" s="18"/>
      <c r="D894" s="7"/>
      <c r="E894" s="326"/>
      <c r="F894" s="1471"/>
      <c r="G894" s="1471"/>
      <c r="H894" s="1471"/>
      <c r="I894" s="1471"/>
      <c r="J894" s="1286"/>
      <c r="K894" s="1286"/>
      <c r="L894" s="1286"/>
      <c r="M894" s="1286"/>
      <c r="N894" s="334"/>
      <c r="O894" s="334"/>
      <c r="P894" s="335"/>
      <c r="Q894" s="335"/>
      <c r="R894" s="335"/>
      <c r="U894" s="331" t="str">
        <f ca="1">'Calculos(2)'!CK$188</f>
        <v>-</v>
      </c>
      <c r="V894" s="332"/>
      <c r="W894" s="1"/>
    </row>
    <row r="895" spans="1:23" ht="20.100000000000001" customHeight="1" x14ac:dyDescent="0.25">
      <c r="A895" s="18"/>
      <c r="B895" s="18"/>
      <c r="C895" s="18"/>
      <c r="D895" s="7"/>
      <c r="E895" s="326"/>
      <c r="F895" s="1471"/>
      <c r="G895" s="1471"/>
      <c r="H895" s="1471"/>
      <c r="I895" s="1471"/>
      <c r="J895" s="1286"/>
      <c r="K895" s="1286"/>
      <c r="L895" s="1286"/>
      <c r="M895" s="1286"/>
      <c r="N895" s="334"/>
      <c r="O895" s="334"/>
      <c r="P895" s="335"/>
      <c r="Q895" s="335"/>
      <c r="R895" s="335"/>
      <c r="U895" s="331" t="str">
        <f ca="1">'Calculos(2)'!CK$189</f>
        <v>-</v>
      </c>
      <c r="V895" s="332"/>
      <c r="W895" s="1"/>
    </row>
    <row r="896" spans="1:23" ht="20.100000000000001" customHeight="1" x14ac:dyDescent="0.25">
      <c r="A896" s="18"/>
      <c r="B896" s="18"/>
      <c r="C896" s="18"/>
      <c r="D896" s="7"/>
      <c r="E896" s="326"/>
      <c r="F896" s="1471"/>
      <c r="G896" s="1471"/>
      <c r="H896" s="1471"/>
      <c r="I896" s="1471"/>
      <c r="J896" s="1286"/>
      <c r="K896" s="1286"/>
      <c r="L896" s="1286"/>
      <c r="M896" s="1286"/>
      <c r="N896" s="334"/>
      <c r="O896" s="334"/>
      <c r="P896" s="335"/>
      <c r="Q896" s="335"/>
      <c r="R896" s="335"/>
      <c r="U896" s="331" t="str">
        <f ca="1">'Calculos(2)'!CK$190</f>
        <v>-</v>
      </c>
      <c r="V896" s="332"/>
      <c r="W896" s="1"/>
    </row>
    <row r="897" spans="1:23" ht="20.100000000000001" customHeight="1" x14ac:dyDescent="0.25">
      <c r="A897" s="18"/>
      <c r="B897" s="18"/>
      <c r="C897" s="18"/>
      <c r="D897" s="7"/>
      <c r="E897" s="326"/>
      <c r="F897" s="1471"/>
      <c r="G897" s="1471"/>
      <c r="H897" s="1471"/>
      <c r="I897" s="1471"/>
      <c r="J897" s="1286"/>
      <c r="K897" s="1286"/>
      <c r="L897" s="1286"/>
      <c r="M897" s="1286"/>
      <c r="N897" s="334"/>
      <c r="O897" s="334"/>
      <c r="P897" s="335"/>
      <c r="Q897" s="335"/>
      <c r="R897" s="335"/>
      <c r="U897" s="331" t="str">
        <f ca="1">'Calculos(2)'!CK$191</f>
        <v>-</v>
      </c>
      <c r="V897" s="332"/>
      <c r="W897" s="1"/>
    </row>
    <row r="898" spans="1:23" ht="20.100000000000001" customHeight="1" x14ac:dyDescent="0.25">
      <c r="A898" s="18"/>
      <c r="B898" s="18"/>
      <c r="C898" s="18"/>
      <c r="D898" s="7"/>
      <c r="E898" s="326"/>
      <c r="F898" s="1471"/>
      <c r="G898" s="1471"/>
      <c r="H898" s="1471"/>
      <c r="I898" s="1471"/>
      <c r="J898" s="1286"/>
      <c r="K898" s="1286"/>
      <c r="L898" s="1286"/>
      <c r="M898" s="1286"/>
      <c r="N898" s="334"/>
      <c r="O898" s="334"/>
      <c r="P898" s="335"/>
      <c r="Q898" s="335"/>
      <c r="R898" s="335"/>
      <c r="U898" s="331" t="str">
        <f ca="1">'Calculos(2)'!CK$192</f>
        <v>-</v>
      </c>
      <c r="V898" s="332"/>
      <c r="W898" s="1"/>
    </row>
    <row r="899" spans="1:23" ht="20.100000000000001" customHeight="1" x14ac:dyDescent="0.25">
      <c r="A899" s="18"/>
      <c r="B899" s="18"/>
      <c r="C899" s="18"/>
      <c r="D899" s="7"/>
      <c r="E899" s="326"/>
      <c r="F899" s="1471"/>
      <c r="G899" s="1471"/>
      <c r="H899" s="1471"/>
      <c r="I899" s="1471"/>
      <c r="J899" s="1286"/>
      <c r="K899" s="1286"/>
      <c r="L899" s="1286"/>
      <c r="M899" s="1286"/>
      <c r="N899" s="334"/>
      <c r="O899" s="334"/>
      <c r="P899" s="335"/>
      <c r="Q899" s="335"/>
      <c r="R899" s="335"/>
      <c r="U899" s="331" t="str">
        <f ca="1">'Calculos(2)'!CK$193</f>
        <v>-</v>
      </c>
      <c r="V899" s="332"/>
      <c r="W899" s="1"/>
    </row>
    <row r="900" spans="1:23" ht="20.100000000000001" customHeight="1" x14ac:dyDescent="0.25">
      <c r="A900" s="18"/>
      <c r="B900" s="18"/>
      <c r="C900" s="18"/>
      <c r="D900" s="7"/>
      <c r="E900" s="326"/>
      <c r="F900" s="1471"/>
      <c r="G900" s="1471"/>
      <c r="H900" s="1471"/>
      <c r="I900" s="1471"/>
      <c r="J900" s="1286"/>
      <c r="K900" s="1286"/>
      <c r="L900" s="1286"/>
      <c r="M900" s="1286"/>
      <c r="N900" s="334"/>
      <c r="O900" s="334"/>
      <c r="P900" s="335"/>
      <c r="Q900" s="335"/>
      <c r="R900" s="335"/>
      <c r="U900" s="331" t="str">
        <f ca="1">'Calculos(2)'!CK$194</f>
        <v>-</v>
      </c>
      <c r="V900" s="332"/>
      <c r="W900" s="1"/>
    </row>
    <row r="901" spans="1:23" ht="20.100000000000001" customHeight="1" x14ac:dyDescent="0.25">
      <c r="A901" s="18"/>
      <c r="B901" s="18"/>
      <c r="C901" s="18"/>
      <c r="D901" s="7"/>
      <c r="E901" s="326"/>
      <c r="F901" s="1471"/>
      <c r="G901" s="1471"/>
      <c r="H901" s="1471"/>
      <c r="I901" s="1471"/>
      <c r="J901" s="1286"/>
      <c r="K901" s="1286"/>
      <c r="L901" s="1286"/>
      <c r="M901" s="1286"/>
      <c r="N901" s="334"/>
      <c r="O901" s="334"/>
      <c r="P901" s="335"/>
      <c r="Q901" s="335"/>
      <c r="R901" s="335"/>
      <c r="U901" s="331" t="str">
        <f ca="1">'Calculos(2)'!CK$195</f>
        <v>-</v>
      </c>
      <c r="V901" s="332"/>
      <c r="W901" s="1"/>
    </row>
    <row r="902" spans="1:23" ht="20.100000000000001" customHeight="1" x14ac:dyDescent="0.25">
      <c r="A902" s="18"/>
      <c r="B902" s="18"/>
      <c r="C902" s="18"/>
      <c r="D902" s="7"/>
      <c r="E902" s="326"/>
      <c r="F902" s="1471"/>
      <c r="G902" s="1471"/>
      <c r="H902" s="1471"/>
      <c r="I902" s="1471"/>
      <c r="J902" s="1286"/>
      <c r="K902" s="1286"/>
      <c r="L902" s="1286"/>
      <c r="M902" s="1286"/>
      <c r="N902" s="334"/>
      <c r="O902" s="334"/>
      <c r="P902" s="335"/>
      <c r="Q902" s="335"/>
      <c r="R902" s="335"/>
      <c r="U902" s="331" t="str">
        <f ca="1">'Calculos(2)'!CK$196</f>
        <v>-</v>
      </c>
      <c r="V902" s="329"/>
      <c r="W902" s="1"/>
    </row>
    <row r="903" spans="1:23" ht="20.100000000000001" customHeight="1" x14ac:dyDescent="0.25">
      <c r="A903" s="18"/>
      <c r="B903" s="18"/>
      <c r="C903" s="18"/>
      <c r="D903" s="7"/>
      <c r="E903" s="326"/>
      <c r="F903" s="1471"/>
      <c r="G903" s="1471"/>
      <c r="H903" s="1471"/>
      <c r="I903" s="1471"/>
      <c r="J903" s="1472" t="s">
        <v>80</v>
      </c>
      <c r="K903" s="1473"/>
      <c r="L903" s="1473"/>
      <c r="M903" s="1474"/>
      <c r="N903" s="334"/>
      <c r="O903" s="334"/>
      <c r="P903" s="335"/>
      <c r="Q903" s="335"/>
      <c r="R903" s="335" t="s">
        <v>10</v>
      </c>
      <c r="U903" s="331" t="str">
        <f ca="1">'Calculos(2)'!CK$197</f>
        <v>-</v>
      </c>
      <c r="V903" s="329"/>
      <c r="W903" s="1"/>
    </row>
    <row r="904" spans="1:23" ht="20.100000000000001" customHeight="1" x14ac:dyDescent="0.25">
      <c r="A904" s="18"/>
      <c r="B904" s="18"/>
      <c r="C904" s="18"/>
      <c r="D904" s="7"/>
      <c r="E904" s="336"/>
      <c r="F904" s="337"/>
      <c r="G904" s="337"/>
      <c r="H904" s="337"/>
      <c r="I904" s="337"/>
      <c r="J904" s="337"/>
      <c r="K904" s="337"/>
      <c r="L904" s="337"/>
      <c r="M904" s="337"/>
      <c r="N904" s="337"/>
      <c r="O904" s="337"/>
      <c r="P904" s="337"/>
      <c r="Q904" s="337"/>
      <c r="R904" s="337"/>
      <c r="S904" s="337"/>
      <c r="T904" s="337"/>
      <c r="U904" s="337"/>
      <c r="V904" s="338"/>
      <c r="W904" s="1"/>
    </row>
    <row r="905" spans="1:23" ht="20.100000000000001" hidden="1" customHeight="1" x14ac:dyDescent="0.25">
      <c r="A905" s="18"/>
      <c r="B905" s="18"/>
      <c r="C905" s="18"/>
      <c r="D905" s="7"/>
      <c r="E905" s="2"/>
      <c r="W905" s="1"/>
    </row>
    <row r="906" spans="1:23" ht="20.100000000000001" customHeight="1" x14ac:dyDescent="0.25">
      <c r="A906" s="18"/>
      <c r="B906" s="18"/>
      <c r="C906" s="18"/>
      <c r="D906" s="7"/>
      <c r="E906" s="1"/>
      <c r="F906" s="1"/>
      <c r="G906" s="1"/>
      <c r="H906" s="1"/>
      <c r="I906" s="1"/>
      <c r="J906" s="1"/>
      <c r="K906" s="1"/>
      <c r="L906" s="1"/>
      <c r="M906" s="1"/>
      <c r="N906" s="1"/>
      <c r="O906" s="1"/>
      <c r="P906" s="1"/>
      <c r="Q906" s="1"/>
      <c r="R906" s="1"/>
      <c r="S906" s="1"/>
      <c r="T906" s="1"/>
      <c r="U906" s="1"/>
      <c r="V906" s="1"/>
      <c r="W906" s="7"/>
    </row>
    <row r="907" spans="1:23" ht="20.100000000000001" customHeight="1" x14ac:dyDescent="0.25">
      <c r="A907" s="18"/>
      <c r="B907" s="18"/>
      <c r="C907" s="18"/>
      <c r="D907" s="7"/>
      <c r="E907" s="321"/>
      <c r="F907" s="322"/>
      <c r="G907" s="323"/>
      <c r="H907" s="323"/>
      <c r="I907" s="323"/>
      <c r="J907" s="323"/>
      <c r="K907" s="323"/>
      <c r="L907" s="323"/>
      <c r="M907" s="323"/>
      <c r="N907" s="323"/>
      <c r="O907" s="323"/>
      <c r="P907" s="323"/>
      <c r="Q907" s="323"/>
      <c r="R907" s="323"/>
      <c r="S907" s="339"/>
      <c r="T907" s="339"/>
      <c r="U907" s="340"/>
      <c r="V907" s="325"/>
      <c r="W907" s="7"/>
    </row>
    <row r="908" spans="1:23" ht="45" customHeight="1" x14ac:dyDescent="0.25">
      <c r="A908" s="18"/>
      <c r="B908" s="18"/>
      <c r="C908" s="18"/>
      <c r="D908" s="7"/>
      <c r="E908" s="326"/>
      <c r="F908" s="1469" t="s">
        <v>8611</v>
      </c>
      <c r="G908" s="1470"/>
      <c r="H908" s="1470"/>
      <c r="I908" s="1470"/>
      <c r="J908" s="1470"/>
      <c r="K908" s="1470"/>
      <c r="L908" s="1470"/>
      <c r="M908" s="1470"/>
      <c r="N908" s="327" t="str">
        <f ca="1">"Concentração"&amp;" "&amp;'Calculos(2)'!$BJ$3</f>
        <v>Concentração -</v>
      </c>
      <c r="O908" s="327" t="s">
        <v>6038</v>
      </c>
      <c r="P908" s="327" t="s">
        <v>8126</v>
      </c>
      <c r="Q908" s="327" t="s">
        <v>8028</v>
      </c>
      <c r="R908" s="327" t="s">
        <v>8603</v>
      </c>
      <c r="S908" s="327" t="s">
        <v>8127</v>
      </c>
      <c r="U908" s="328" t="s">
        <v>119</v>
      </c>
      <c r="V908" s="332"/>
      <c r="W908" s="1"/>
    </row>
    <row r="909" spans="1:23" ht="20.100000000000001" customHeight="1" x14ac:dyDescent="0.25">
      <c r="A909" s="18"/>
      <c r="B909" s="18"/>
      <c r="C909" s="18"/>
      <c r="D909" s="7"/>
      <c r="E909" s="326"/>
      <c r="F909" s="1471" t="str">
        <f ca="1">'Calculos(2)'!$BJ$6</f>
        <v>-</v>
      </c>
      <c r="G909" s="1471"/>
      <c r="H909" s="1471"/>
      <c r="I909" s="1471"/>
      <c r="J909" s="1472" t="s">
        <v>7103</v>
      </c>
      <c r="K909" s="1473"/>
      <c r="L909" s="1473"/>
      <c r="M909" s="1474"/>
      <c r="N909" s="188"/>
      <c r="O909" s="188"/>
      <c r="P909" s="330"/>
      <c r="Q909" s="330"/>
      <c r="R909" s="187">
        <v>0</v>
      </c>
      <c r="S909" s="331">
        <f>O909/2</f>
        <v>0</v>
      </c>
      <c r="U909" s="331" t="str">
        <f ca="1">'Calculos(2)'!CK$202</f>
        <v>-</v>
      </c>
      <c r="V909" s="332"/>
      <c r="W909" s="1"/>
    </row>
    <row r="910" spans="1:23" ht="20.100000000000001" customHeight="1" x14ac:dyDescent="0.25">
      <c r="A910" s="18"/>
      <c r="B910" s="18"/>
      <c r="C910" s="18"/>
      <c r="D910" s="7"/>
      <c r="E910" s="326"/>
      <c r="F910" s="1471"/>
      <c r="G910" s="1471"/>
      <c r="H910" s="1471"/>
      <c r="I910" s="1471"/>
      <c r="J910" s="1286" t="s">
        <v>8027</v>
      </c>
      <c r="K910" s="1286"/>
      <c r="L910" s="1286"/>
      <c r="M910" s="1286"/>
      <c r="N910" s="188"/>
      <c r="O910" s="188"/>
      <c r="P910" s="330"/>
      <c r="Q910" s="330"/>
      <c r="R910" s="187"/>
      <c r="U910" s="331" t="str">
        <f ca="1">'Calculos(2)'!CK$203</f>
        <v>-</v>
      </c>
      <c r="V910" s="332"/>
      <c r="W910" s="1"/>
    </row>
    <row r="911" spans="1:23" ht="20.100000000000001" customHeight="1" x14ac:dyDescent="0.25">
      <c r="A911" s="18"/>
      <c r="B911" s="18"/>
      <c r="C911" s="18"/>
      <c r="D911" s="7"/>
      <c r="E911" s="326"/>
      <c r="F911" s="1471"/>
      <c r="G911" s="1471"/>
      <c r="H911" s="1471"/>
      <c r="I911" s="1471"/>
      <c r="J911" s="1286"/>
      <c r="K911" s="1286"/>
      <c r="L911" s="1286"/>
      <c r="M911" s="1286"/>
      <c r="N911" s="188"/>
      <c r="O911" s="188"/>
      <c r="P911" s="330"/>
      <c r="Q911" s="330"/>
      <c r="R911" s="187"/>
      <c r="U911" s="331" t="str">
        <f ca="1">'Calculos(2)'!CK$204</f>
        <v>-</v>
      </c>
      <c r="V911" s="332"/>
      <c r="W911" s="1"/>
    </row>
    <row r="912" spans="1:23" ht="20.100000000000001" customHeight="1" x14ac:dyDescent="0.25">
      <c r="A912" s="18"/>
      <c r="B912" s="18"/>
      <c r="C912" s="18"/>
      <c r="D912" s="7"/>
      <c r="E912" s="326"/>
      <c r="F912" s="1471"/>
      <c r="G912" s="1471"/>
      <c r="H912" s="1471"/>
      <c r="I912" s="1471"/>
      <c r="J912" s="1286"/>
      <c r="K912" s="1286"/>
      <c r="L912" s="1286"/>
      <c r="M912" s="1286"/>
      <c r="N912" s="188"/>
      <c r="O912" s="188"/>
      <c r="P912" s="330"/>
      <c r="Q912" s="330"/>
      <c r="R912" s="187"/>
      <c r="U912" s="331" t="str">
        <f ca="1">'Calculos(2)'!CK$205</f>
        <v>-</v>
      </c>
      <c r="V912" s="332"/>
      <c r="W912" s="1"/>
    </row>
    <row r="913" spans="1:23" ht="20.100000000000001" customHeight="1" x14ac:dyDescent="0.25">
      <c r="A913" s="18"/>
      <c r="B913" s="18"/>
      <c r="C913" s="18"/>
      <c r="D913" s="7"/>
      <c r="E913" s="326"/>
      <c r="F913" s="1471"/>
      <c r="G913" s="1471"/>
      <c r="H913" s="1471"/>
      <c r="I913" s="1471"/>
      <c r="J913" s="1286"/>
      <c r="K913" s="1286"/>
      <c r="L913" s="1286"/>
      <c r="M913" s="1286"/>
      <c r="N913" s="188"/>
      <c r="O913" s="188"/>
      <c r="P913" s="330"/>
      <c r="Q913" s="330"/>
      <c r="R913" s="187"/>
      <c r="U913" s="331" t="str">
        <f ca="1">'Calculos(2)'!CK$206</f>
        <v>-</v>
      </c>
      <c r="V913" s="332"/>
      <c r="W913" s="1"/>
    </row>
    <row r="914" spans="1:23" ht="20.100000000000001" customHeight="1" x14ac:dyDescent="0.25">
      <c r="A914" s="18"/>
      <c r="B914" s="18"/>
      <c r="C914" s="18"/>
      <c r="D914" s="7"/>
      <c r="E914" s="326"/>
      <c r="F914" s="1471"/>
      <c r="G914" s="1471"/>
      <c r="H914" s="1471"/>
      <c r="I914" s="1471"/>
      <c r="J914" s="1286"/>
      <c r="K914" s="1286"/>
      <c r="L914" s="1286"/>
      <c r="M914" s="1286"/>
      <c r="N914" s="188"/>
      <c r="O914" s="188"/>
      <c r="P914" s="330"/>
      <c r="Q914" s="330"/>
      <c r="R914" s="187"/>
      <c r="U914" s="331" t="str">
        <f ca="1">'Calculos(2)'!CK$207</f>
        <v>-</v>
      </c>
      <c r="V914" s="332"/>
      <c r="W914" s="1"/>
    </row>
    <row r="915" spans="1:23" ht="20.100000000000001" customHeight="1" x14ac:dyDescent="0.25">
      <c r="A915" s="18"/>
      <c r="B915" s="18"/>
      <c r="C915" s="18"/>
      <c r="D915" s="7"/>
      <c r="E915" s="326"/>
      <c r="F915" s="1471"/>
      <c r="G915" s="1471"/>
      <c r="H915" s="1471"/>
      <c r="I915" s="1471"/>
      <c r="J915" s="1286"/>
      <c r="K915" s="1286"/>
      <c r="L915" s="1286"/>
      <c r="M915" s="1286"/>
      <c r="N915" s="188"/>
      <c r="O915" s="188"/>
      <c r="P915" s="330"/>
      <c r="Q915" s="330"/>
      <c r="R915" s="187"/>
      <c r="U915" s="331" t="str">
        <f ca="1">'Calculos(2)'!CK$208</f>
        <v>-</v>
      </c>
      <c r="V915" s="332"/>
      <c r="W915" s="1"/>
    </row>
    <row r="916" spans="1:23" ht="20.100000000000001" customHeight="1" x14ac:dyDescent="0.25">
      <c r="A916" s="18"/>
      <c r="B916" s="18"/>
      <c r="C916" s="18"/>
      <c r="D916" s="7"/>
      <c r="E916" s="326"/>
      <c r="F916" s="1471"/>
      <c r="G916" s="1471"/>
      <c r="H916" s="1471"/>
      <c r="I916" s="1471"/>
      <c r="J916" s="1286"/>
      <c r="K916" s="1286"/>
      <c r="L916" s="1286"/>
      <c r="M916" s="1286"/>
      <c r="N916" s="188"/>
      <c r="O916" s="188"/>
      <c r="P916" s="330"/>
      <c r="Q916" s="330"/>
      <c r="R916" s="187"/>
      <c r="U916" s="331" t="str">
        <f ca="1">'Calculos(2)'!CK$209</f>
        <v>-</v>
      </c>
      <c r="V916" s="332"/>
      <c r="W916" s="1"/>
    </row>
    <row r="917" spans="1:23" ht="20.100000000000001" customHeight="1" x14ac:dyDescent="0.25">
      <c r="A917" s="18"/>
      <c r="B917" s="18"/>
      <c r="C917" s="18"/>
      <c r="D917" s="7"/>
      <c r="E917" s="326"/>
      <c r="F917" s="1471"/>
      <c r="G917" s="1471"/>
      <c r="H917" s="1471"/>
      <c r="I917" s="1471"/>
      <c r="J917" s="1286"/>
      <c r="K917" s="1286"/>
      <c r="L917" s="1286"/>
      <c r="M917" s="1286"/>
      <c r="N917" s="188"/>
      <c r="O917" s="188"/>
      <c r="P917" s="330"/>
      <c r="Q917" s="330"/>
      <c r="R917" s="187"/>
      <c r="U917" s="331" t="str">
        <f ca="1">'Calculos(2)'!CK$210</f>
        <v>-</v>
      </c>
      <c r="V917" s="332"/>
      <c r="W917" s="1"/>
    </row>
    <row r="918" spans="1:23" ht="20.100000000000001" customHeight="1" x14ac:dyDescent="0.25">
      <c r="A918" s="18"/>
      <c r="B918" s="18"/>
      <c r="C918" s="18"/>
      <c r="D918" s="7"/>
      <c r="E918" s="326"/>
      <c r="F918" s="1471"/>
      <c r="G918" s="1471"/>
      <c r="H918" s="1471"/>
      <c r="I918" s="1471"/>
      <c r="J918" s="1286"/>
      <c r="K918" s="1286"/>
      <c r="L918" s="1286"/>
      <c r="M918" s="1286"/>
      <c r="N918" s="188"/>
      <c r="O918" s="188"/>
      <c r="P918" s="330"/>
      <c r="Q918" s="330"/>
      <c r="R918" s="187"/>
      <c r="U918" s="331" t="str">
        <f ca="1">'Calculos(2)'!CK$211</f>
        <v>-</v>
      </c>
      <c r="V918" s="332"/>
      <c r="W918" s="1"/>
    </row>
    <row r="919" spans="1:23" ht="20.100000000000001" customHeight="1" x14ac:dyDescent="0.25">
      <c r="A919" s="18"/>
      <c r="B919" s="18"/>
      <c r="C919" s="18"/>
      <c r="D919" s="7"/>
      <c r="E919" s="326"/>
      <c r="F919" s="1471"/>
      <c r="G919" s="1471"/>
      <c r="H919" s="1471"/>
      <c r="I919" s="1471"/>
      <c r="J919" s="1286"/>
      <c r="K919" s="1286"/>
      <c r="L919" s="1286"/>
      <c r="M919" s="1286"/>
      <c r="N919" s="188"/>
      <c r="O919" s="188"/>
      <c r="P919" s="330"/>
      <c r="Q919" s="330"/>
      <c r="R919" s="187"/>
      <c r="U919" s="331" t="str">
        <f ca="1">'Calculos(2)'!CK$212</f>
        <v>-</v>
      </c>
      <c r="V919" s="332"/>
      <c r="W919" s="1"/>
    </row>
    <row r="920" spans="1:23" ht="20.100000000000001" customHeight="1" x14ac:dyDescent="0.25">
      <c r="A920" s="18"/>
      <c r="B920" s="18"/>
      <c r="C920" s="18"/>
      <c r="D920" s="7"/>
      <c r="E920" s="326"/>
      <c r="F920" s="1471"/>
      <c r="G920" s="1471"/>
      <c r="H920" s="1471"/>
      <c r="I920" s="1471"/>
      <c r="J920" s="1472" t="s">
        <v>80</v>
      </c>
      <c r="K920" s="1473"/>
      <c r="L920" s="1473"/>
      <c r="M920" s="1474"/>
      <c r="N920" s="188"/>
      <c r="O920" s="188"/>
      <c r="P920" s="330"/>
      <c r="Q920" s="330"/>
      <c r="R920" s="187" t="s">
        <v>10</v>
      </c>
      <c r="U920" s="331" t="str">
        <f ca="1">'Calculos(2)'!CK$213</f>
        <v>-</v>
      </c>
      <c r="V920" s="332"/>
      <c r="W920" s="1"/>
    </row>
    <row r="921" spans="1:23" ht="20.100000000000001" customHeight="1" x14ac:dyDescent="0.25">
      <c r="A921" s="18"/>
      <c r="B921" s="18"/>
      <c r="C921" s="18"/>
      <c r="D921" s="7"/>
      <c r="E921" s="326"/>
      <c r="V921" s="332"/>
      <c r="W921" s="1"/>
    </row>
    <row r="922" spans="1:23" ht="20.100000000000001" hidden="1" customHeight="1" x14ac:dyDescent="0.25">
      <c r="A922" s="18"/>
      <c r="B922" s="18"/>
      <c r="C922" s="18"/>
      <c r="D922" s="7"/>
      <c r="E922" s="326"/>
      <c r="V922" s="332"/>
      <c r="W922" s="1"/>
    </row>
    <row r="923" spans="1:23" ht="20.100000000000001" hidden="1" customHeight="1" x14ac:dyDescent="0.25">
      <c r="A923" s="18"/>
      <c r="B923" s="18"/>
      <c r="C923" s="18"/>
      <c r="D923" s="7"/>
      <c r="E923" s="326"/>
      <c r="V923" s="332"/>
      <c r="W923" s="1"/>
    </row>
    <row r="924" spans="1:23" ht="20.100000000000001" customHeight="1" x14ac:dyDescent="0.25">
      <c r="A924" s="18"/>
      <c r="B924" s="18"/>
      <c r="C924" s="18"/>
      <c r="D924" s="7"/>
      <c r="E924" s="326"/>
      <c r="V924" s="332"/>
      <c r="W924" s="1"/>
    </row>
    <row r="925" spans="1:23" ht="45" customHeight="1" x14ac:dyDescent="0.25">
      <c r="A925" s="18"/>
      <c r="B925" s="18"/>
      <c r="C925" s="18"/>
      <c r="D925" s="7"/>
      <c r="E925" s="326"/>
      <c r="F925" s="1475" t="s">
        <v>8620</v>
      </c>
      <c r="G925" s="1476"/>
      <c r="H925" s="1476"/>
      <c r="I925" s="1476"/>
      <c r="J925" s="1476"/>
      <c r="K925" s="1476"/>
      <c r="L925" s="1476"/>
      <c r="M925" s="1476"/>
      <c r="N925" s="333" t="str">
        <f ca="1">"Concentração"&amp;" "&amp;'Calculos(2)'!$BJ$3</f>
        <v>Concentração -</v>
      </c>
      <c r="O925" s="333" t="s">
        <v>6038</v>
      </c>
      <c r="P925" s="333" t="s">
        <v>8126</v>
      </c>
      <c r="Q925" s="333" t="s">
        <v>8028</v>
      </c>
      <c r="R925" s="333" t="s">
        <v>8603</v>
      </c>
      <c r="S925" s="333" t="s">
        <v>8127</v>
      </c>
      <c r="U925" s="328" t="s">
        <v>119</v>
      </c>
      <c r="V925" s="332"/>
      <c r="W925" s="1"/>
    </row>
    <row r="926" spans="1:23" ht="20.100000000000001" customHeight="1" x14ac:dyDescent="0.25">
      <c r="A926" s="18"/>
      <c r="B926" s="18"/>
      <c r="C926" s="18"/>
      <c r="D926" s="7"/>
      <c r="E926" s="326"/>
      <c r="F926" s="1471" t="str">
        <f ca="1">'Calculos(2)'!$BJ$6</f>
        <v>-</v>
      </c>
      <c r="G926" s="1471"/>
      <c r="H926" s="1471"/>
      <c r="I926" s="1471"/>
      <c r="J926" s="1472" t="s">
        <v>7103</v>
      </c>
      <c r="K926" s="1473"/>
      <c r="L926" s="1473"/>
      <c r="M926" s="1474"/>
      <c r="N926" s="334"/>
      <c r="O926" s="334"/>
      <c r="P926" s="335"/>
      <c r="Q926" s="335"/>
      <c r="R926" s="335">
        <v>0</v>
      </c>
      <c r="S926" s="331">
        <f>O926/2</f>
        <v>0</v>
      </c>
      <c r="U926" s="331" t="str">
        <f ca="1">'Calculos(2)'!CK$218</f>
        <v>-</v>
      </c>
      <c r="V926" s="332"/>
      <c r="W926" s="1"/>
    </row>
    <row r="927" spans="1:23" ht="20.100000000000001" customHeight="1" x14ac:dyDescent="0.25">
      <c r="A927" s="18"/>
      <c r="B927" s="18"/>
      <c r="C927" s="18"/>
      <c r="D927" s="7"/>
      <c r="E927" s="326"/>
      <c r="F927" s="1471"/>
      <c r="G927" s="1471"/>
      <c r="H927" s="1471"/>
      <c r="I927" s="1471"/>
      <c r="J927" s="1286" t="s">
        <v>8027</v>
      </c>
      <c r="K927" s="1286"/>
      <c r="L927" s="1286"/>
      <c r="M927" s="1286"/>
      <c r="N927" s="334"/>
      <c r="O927" s="334"/>
      <c r="P927" s="335"/>
      <c r="Q927" s="335"/>
      <c r="R927" s="335"/>
      <c r="U927" s="331" t="str">
        <f ca="1">'Calculos(2)'!CK$219</f>
        <v>-</v>
      </c>
      <c r="V927" s="332"/>
      <c r="W927" s="1"/>
    </row>
    <row r="928" spans="1:23" ht="20.100000000000001" customHeight="1" x14ac:dyDescent="0.25">
      <c r="A928" s="18"/>
      <c r="B928" s="18"/>
      <c r="C928" s="18"/>
      <c r="D928" s="7"/>
      <c r="E928" s="326"/>
      <c r="F928" s="1471"/>
      <c r="G928" s="1471"/>
      <c r="H928" s="1471"/>
      <c r="I928" s="1471"/>
      <c r="J928" s="1286"/>
      <c r="K928" s="1286"/>
      <c r="L928" s="1286"/>
      <c r="M928" s="1286"/>
      <c r="N928" s="334"/>
      <c r="O928" s="334"/>
      <c r="P928" s="335"/>
      <c r="Q928" s="335"/>
      <c r="R928" s="335"/>
      <c r="U928" s="331" t="str">
        <f ca="1">'Calculos(2)'!CK$220</f>
        <v>-</v>
      </c>
      <c r="V928" s="332"/>
      <c r="W928" s="7"/>
    </row>
    <row r="929" spans="1:23" ht="20.100000000000001" customHeight="1" x14ac:dyDescent="0.25">
      <c r="A929" s="18"/>
      <c r="B929" s="18"/>
      <c r="C929" s="18"/>
      <c r="D929" s="7"/>
      <c r="E929" s="326"/>
      <c r="F929" s="1471"/>
      <c r="G929" s="1471"/>
      <c r="H929" s="1471"/>
      <c r="I929" s="1471"/>
      <c r="J929" s="1286"/>
      <c r="K929" s="1286"/>
      <c r="L929" s="1286"/>
      <c r="M929" s="1286"/>
      <c r="N929" s="334"/>
      <c r="O929" s="334"/>
      <c r="P929" s="335"/>
      <c r="Q929" s="335"/>
      <c r="R929" s="335"/>
      <c r="U929" s="331" t="str">
        <f ca="1">'Calculos(2)'!CK$221</f>
        <v>-</v>
      </c>
      <c r="V929" s="332"/>
      <c r="W929" s="7"/>
    </row>
    <row r="930" spans="1:23" ht="20.100000000000001" customHeight="1" x14ac:dyDescent="0.25">
      <c r="A930" s="18"/>
      <c r="B930" s="18"/>
      <c r="C930" s="18"/>
      <c r="D930" s="7"/>
      <c r="E930" s="326"/>
      <c r="F930" s="1471"/>
      <c r="G930" s="1471"/>
      <c r="H930" s="1471"/>
      <c r="I930" s="1471"/>
      <c r="J930" s="1286"/>
      <c r="K930" s="1286"/>
      <c r="L930" s="1286"/>
      <c r="M930" s="1286"/>
      <c r="N930" s="334"/>
      <c r="O930" s="334"/>
      <c r="P930" s="335"/>
      <c r="Q930" s="335"/>
      <c r="R930" s="335"/>
      <c r="U930" s="331" t="str">
        <f ca="1">'Calculos(2)'!CK$222</f>
        <v>-</v>
      </c>
      <c r="V930" s="332"/>
      <c r="W930" s="1"/>
    </row>
    <row r="931" spans="1:23" ht="20.100000000000001" customHeight="1" x14ac:dyDescent="0.25">
      <c r="A931" s="18"/>
      <c r="B931" s="18"/>
      <c r="C931" s="18"/>
      <c r="D931" s="7"/>
      <c r="E931" s="326"/>
      <c r="F931" s="1471"/>
      <c r="G931" s="1471"/>
      <c r="H931" s="1471"/>
      <c r="I931" s="1471"/>
      <c r="J931" s="1286"/>
      <c r="K931" s="1286"/>
      <c r="L931" s="1286"/>
      <c r="M931" s="1286"/>
      <c r="N931" s="334"/>
      <c r="O931" s="334"/>
      <c r="P931" s="335"/>
      <c r="Q931" s="335"/>
      <c r="R931" s="335"/>
      <c r="U931" s="331" t="str">
        <f ca="1">'Calculos(2)'!CK$223</f>
        <v>-</v>
      </c>
      <c r="V931" s="332"/>
      <c r="W931" s="1"/>
    </row>
    <row r="932" spans="1:23" ht="20.100000000000001" customHeight="1" x14ac:dyDescent="0.25">
      <c r="A932" s="18"/>
      <c r="B932" s="18"/>
      <c r="C932" s="18"/>
      <c r="D932" s="7"/>
      <c r="E932" s="326"/>
      <c r="F932" s="1471"/>
      <c r="G932" s="1471"/>
      <c r="H932" s="1471"/>
      <c r="I932" s="1471"/>
      <c r="J932" s="1286"/>
      <c r="K932" s="1286"/>
      <c r="L932" s="1286"/>
      <c r="M932" s="1286"/>
      <c r="N932" s="334"/>
      <c r="O932" s="334"/>
      <c r="P932" s="335"/>
      <c r="Q932" s="335"/>
      <c r="R932" s="335"/>
      <c r="U932" s="331" t="str">
        <f ca="1">'Calculos(2)'!CK$224</f>
        <v>-</v>
      </c>
      <c r="V932" s="332"/>
      <c r="W932" s="1"/>
    </row>
    <row r="933" spans="1:23" ht="20.100000000000001" customHeight="1" x14ac:dyDescent="0.25">
      <c r="A933" s="18"/>
      <c r="B933" s="18"/>
      <c r="C933" s="18"/>
      <c r="D933" s="7"/>
      <c r="E933" s="326"/>
      <c r="F933" s="1471"/>
      <c r="G933" s="1471"/>
      <c r="H933" s="1471"/>
      <c r="I933" s="1471"/>
      <c r="J933" s="1286"/>
      <c r="K933" s="1286"/>
      <c r="L933" s="1286"/>
      <c r="M933" s="1286"/>
      <c r="N933" s="334"/>
      <c r="O933" s="334"/>
      <c r="P933" s="335"/>
      <c r="Q933" s="335"/>
      <c r="R933" s="335"/>
      <c r="U933" s="331" t="str">
        <f ca="1">'Calculos(2)'!CK$225</f>
        <v>-</v>
      </c>
      <c r="V933" s="332"/>
      <c r="W933" s="1"/>
    </row>
    <row r="934" spans="1:23" ht="20.100000000000001" customHeight="1" x14ac:dyDescent="0.25">
      <c r="A934" s="18"/>
      <c r="B934" s="18"/>
      <c r="C934" s="18"/>
      <c r="D934" s="7"/>
      <c r="E934" s="326"/>
      <c r="F934" s="1471"/>
      <c r="G934" s="1471"/>
      <c r="H934" s="1471"/>
      <c r="I934" s="1471"/>
      <c r="J934" s="1286"/>
      <c r="K934" s="1286"/>
      <c r="L934" s="1286"/>
      <c r="M934" s="1286"/>
      <c r="N934" s="334"/>
      <c r="O934" s="334"/>
      <c r="P934" s="335"/>
      <c r="Q934" s="335"/>
      <c r="R934" s="335"/>
      <c r="U934" s="331" t="str">
        <f ca="1">'Calculos(2)'!CK$226</f>
        <v>-</v>
      </c>
      <c r="V934" s="332"/>
      <c r="W934" s="1"/>
    </row>
    <row r="935" spans="1:23" ht="20.100000000000001" customHeight="1" x14ac:dyDescent="0.25">
      <c r="A935" s="18"/>
      <c r="B935" s="18"/>
      <c r="C935" s="18"/>
      <c r="D935" s="7"/>
      <c r="E935" s="326"/>
      <c r="F935" s="1471"/>
      <c r="G935" s="1471"/>
      <c r="H935" s="1471"/>
      <c r="I935" s="1471"/>
      <c r="J935" s="1286"/>
      <c r="K935" s="1286"/>
      <c r="L935" s="1286"/>
      <c r="M935" s="1286"/>
      <c r="N935" s="334"/>
      <c r="O935" s="334"/>
      <c r="P935" s="335"/>
      <c r="Q935" s="335"/>
      <c r="R935" s="335"/>
      <c r="U935" s="331" t="str">
        <f ca="1">'Calculos(2)'!CK$227</f>
        <v>-</v>
      </c>
      <c r="V935" s="332"/>
      <c r="W935" s="1"/>
    </row>
    <row r="936" spans="1:23" ht="20.100000000000001" customHeight="1" x14ac:dyDescent="0.25">
      <c r="A936" s="18"/>
      <c r="B936" s="18"/>
      <c r="C936" s="18"/>
      <c r="D936" s="7"/>
      <c r="E936" s="326"/>
      <c r="F936" s="1471"/>
      <c r="G936" s="1471"/>
      <c r="H936" s="1471"/>
      <c r="I936" s="1471"/>
      <c r="J936" s="1286"/>
      <c r="K936" s="1286"/>
      <c r="L936" s="1286"/>
      <c r="M936" s="1286"/>
      <c r="N936" s="334"/>
      <c r="O936" s="334"/>
      <c r="P936" s="335"/>
      <c r="Q936" s="335"/>
      <c r="R936" s="335"/>
      <c r="U936" s="331" t="str">
        <f ca="1">'Calculos(2)'!CK$228</f>
        <v>-</v>
      </c>
      <c r="V936" s="329"/>
      <c r="W936" s="1"/>
    </row>
    <row r="937" spans="1:23" ht="20.100000000000001" customHeight="1" x14ac:dyDescent="0.25">
      <c r="A937" s="18"/>
      <c r="B937" s="18"/>
      <c r="C937" s="18"/>
      <c r="D937" s="7"/>
      <c r="E937" s="326"/>
      <c r="F937" s="1471"/>
      <c r="G937" s="1471"/>
      <c r="H937" s="1471"/>
      <c r="I937" s="1471"/>
      <c r="J937" s="1472" t="s">
        <v>80</v>
      </c>
      <c r="K937" s="1473"/>
      <c r="L937" s="1473"/>
      <c r="M937" s="1474"/>
      <c r="N937" s="334"/>
      <c r="O937" s="334"/>
      <c r="P937" s="335"/>
      <c r="Q937" s="335"/>
      <c r="R937" s="335" t="s">
        <v>10</v>
      </c>
      <c r="U937" s="331" t="str">
        <f ca="1">'Calculos(2)'!CK$229</f>
        <v>-</v>
      </c>
      <c r="V937" s="329"/>
      <c r="W937" s="1"/>
    </row>
    <row r="938" spans="1:23" ht="20.100000000000001" customHeight="1" x14ac:dyDescent="0.25">
      <c r="A938" s="18"/>
      <c r="B938" s="18"/>
      <c r="C938" s="18"/>
      <c r="D938" s="7"/>
      <c r="E938" s="336"/>
      <c r="F938" s="337"/>
      <c r="G938" s="337"/>
      <c r="H938" s="337"/>
      <c r="I938" s="337"/>
      <c r="J938" s="337"/>
      <c r="K938" s="337"/>
      <c r="L938" s="337"/>
      <c r="M938" s="337"/>
      <c r="N938" s="337"/>
      <c r="O938" s="337"/>
      <c r="P938" s="337"/>
      <c r="Q938" s="337"/>
      <c r="R938" s="337"/>
      <c r="S938" s="337"/>
      <c r="T938" s="337"/>
      <c r="U938" s="337"/>
      <c r="V938" s="338"/>
      <c r="W938" s="1"/>
    </row>
    <row r="939" spans="1:23" ht="20.100000000000001" hidden="1" customHeight="1" x14ac:dyDescent="0.25">
      <c r="A939" s="18"/>
      <c r="B939" s="18"/>
      <c r="C939" s="18"/>
      <c r="D939" s="7"/>
      <c r="E939" s="2"/>
      <c r="W939" s="1"/>
    </row>
    <row r="940" spans="1:23" ht="20.100000000000001" customHeight="1" x14ac:dyDescent="0.25">
      <c r="A940" s="18"/>
      <c r="B940" s="18"/>
      <c r="C940" s="18"/>
      <c r="D940" s="7"/>
      <c r="E940" s="1"/>
      <c r="F940" s="1"/>
      <c r="G940" s="1"/>
      <c r="H940" s="1"/>
      <c r="I940" s="1"/>
      <c r="J940" s="1"/>
      <c r="K940" s="1"/>
      <c r="L940" s="1"/>
      <c r="M940" s="1"/>
      <c r="N940" s="1"/>
      <c r="O940" s="1"/>
      <c r="P940" s="1"/>
      <c r="Q940" s="1"/>
      <c r="R940" s="1"/>
      <c r="S940" s="1"/>
      <c r="T940" s="1"/>
      <c r="U940" s="1"/>
      <c r="V940" s="1"/>
      <c r="W940" s="1"/>
    </row>
    <row r="941" spans="1:23" ht="20.100000000000001" customHeight="1" x14ac:dyDescent="0.25">
      <c r="A941" s="18"/>
      <c r="B941" s="18"/>
      <c r="C941" s="18"/>
      <c r="D941" s="7"/>
      <c r="E941" s="321"/>
      <c r="F941" s="322"/>
      <c r="G941" s="323"/>
      <c r="H941" s="323"/>
      <c r="I941" s="323"/>
      <c r="J941" s="323"/>
      <c r="K941" s="323"/>
      <c r="L941" s="323"/>
      <c r="M941" s="323"/>
      <c r="N941" s="323"/>
      <c r="O941" s="323"/>
      <c r="P941" s="323"/>
      <c r="Q941" s="323"/>
      <c r="R941" s="323"/>
      <c r="S941" s="339"/>
      <c r="T941" s="339"/>
      <c r="U941" s="340"/>
      <c r="V941" s="325"/>
      <c r="W941" s="1"/>
    </row>
    <row r="942" spans="1:23" ht="45" customHeight="1" x14ac:dyDescent="0.25">
      <c r="A942" s="18"/>
      <c r="B942" s="18"/>
      <c r="C942" s="18"/>
      <c r="D942" s="7"/>
      <c r="E942" s="326"/>
      <c r="F942" s="1469" t="s">
        <v>8612</v>
      </c>
      <c r="G942" s="1470"/>
      <c r="H942" s="1470"/>
      <c r="I942" s="1470"/>
      <c r="J942" s="1470"/>
      <c r="K942" s="1470"/>
      <c r="L942" s="1470"/>
      <c r="M942" s="1470"/>
      <c r="N942" s="327" t="str">
        <f ca="1">"Concentração"&amp;" "&amp;'Calculos(2)'!$BJ$3</f>
        <v>Concentração -</v>
      </c>
      <c r="O942" s="327" t="s">
        <v>6038</v>
      </c>
      <c r="P942" s="327" t="s">
        <v>8126</v>
      </c>
      <c r="Q942" s="327" t="s">
        <v>8028</v>
      </c>
      <c r="R942" s="327" t="s">
        <v>8603</v>
      </c>
      <c r="S942" s="327" t="s">
        <v>8127</v>
      </c>
      <c r="U942" s="328" t="s">
        <v>119</v>
      </c>
      <c r="V942" s="332"/>
      <c r="W942" s="1"/>
    </row>
    <row r="943" spans="1:23" ht="20.100000000000001" customHeight="1" x14ac:dyDescent="0.25">
      <c r="A943" s="18"/>
      <c r="B943" s="18"/>
      <c r="C943" s="18"/>
      <c r="D943" s="7"/>
      <c r="E943" s="326"/>
      <c r="F943" s="1471" t="str">
        <f ca="1">'Calculos(2)'!$BJ$6</f>
        <v>-</v>
      </c>
      <c r="G943" s="1471"/>
      <c r="H943" s="1471"/>
      <c r="I943" s="1471"/>
      <c r="J943" s="1472" t="s">
        <v>7103</v>
      </c>
      <c r="K943" s="1473"/>
      <c r="L943" s="1473"/>
      <c r="M943" s="1474"/>
      <c r="N943" s="188"/>
      <c r="O943" s="188"/>
      <c r="P943" s="330"/>
      <c r="Q943" s="330"/>
      <c r="R943" s="187">
        <v>0</v>
      </c>
      <c r="S943" s="331">
        <f>O943/2</f>
        <v>0</v>
      </c>
      <c r="U943" s="331" t="str">
        <f ca="1">'Calculos(2)'!CK$234</f>
        <v>-</v>
      </c>
      <c r="V943" s="332"/>
      <c r="W943" s="1"/>
    </row>
    <row r="944" spans="1:23" ht="20.100000000000001" customHeight="1" x14ac:dyDescent="0.25">
      <c r="A944" s="18"/>
      <c r="B944" s="18"/>
      <c r="C944" s="18"/>
      <c r="D944" s="7"/>
      <c r="E944" s="326"/>
      <c r="F944" s="1471"/>
      <c r="G944" s="1471"/>
      <c r="H944" s="1471"/>
      <c r="I944" s="1471"/>
      <c r="J944" s="1286" t="s">
        <v>8027</v>
      </c>
      <c r="K944" s="1286"/>
      <c r="L944" s="1286"/>
      <c r="M944" s="1286"/>
      <c r="N944" s="188"/>
      <c r="O944" s="188"/>
      <c r="P944" s="330"/>
      <c r="Q944" s="330"/>
      <c r="R944" s="187"/>
      <c r="U944" s="331" t="str">
        <f ca="1">'Calculos(2)'!CK$235</f>
        <v>-</v>
      </c>
      <c r="V944" s="332"/>
      <c r="W944" s="1"/>
    </row>
    <row r="945" spans="1:23" ht="20.100000000000001" customHeight="1" x14ac:dyDescent="0.25">
      <c r="A945" s="18"/>
      <c r="B945" s="18"/>
      <c r="C945" s="18"/>
      <c r="D945" s="7"/>
      <c r="E945" s="326"/>
      <c r="F945" s="1471"/>
      <c r="G945" s="1471"/>
      <c r="H945" s="1471"/>
      <c r="I945" s="1471"/>
      <c r="J945" s="1286"/>
      <c r="K945" s="1286"/>
      <c r="L945" s="1286"/>
      <c r="M945" s="1286"/>
      <c r="N945" s="188"/>
      <c r="O945" s="188"/>
      <c r="P945" s="330"/>
      <c r="Q945" s="330"/>
      <c r="R945" s="187"/>
      <c r="U945" s="331" t="str">
        <f ca="1">'Calculos(2)'!CK$236</f>
        <v>-</v>
      </c>
      <c r="V945" s="332"/>
      <c r="W945" s="7"/>
    </row>
    <row r="946" spans="1:23" ht="20.100000000000001" customHeight="1" x14ac:dyDescent="0.25">
      <c r="A946" s="18"/>
      <c r="B946" s="18"/>
      <c r="C946" s="18"/>
      <c r="D946" s="7"/>
      <c r="E946" s="326"/>
      <c r="F946" s="1471"/>
      <c r="G946" s="1471"/>
      <c r="H946" s="1471"/>
      <c r="I946" s="1471"/>
      <c r="J946" s="1286"/>
      <c r="K946" s="1286"/>
      <c r="L946" s="1286"/>
      <c r="M946" s="1286"/>
      <c r="N946" s="188"/>
      <c r="O946" s="188"/>
      <c r="P946" s="330"/>
      <c r="Q946" s="330"/>
      <c r="R946" s="187"/>
      <c r="U946" s="331" t="str">
        <f ca="1">'Calculos(2)'!CK$237</f>
        <v>-</v>
      </c>
      <c r="V946" s="332"/>
      <c r="W946" s="7"/>
    </row>
    <row r="947" spans="1:23" ht="20.100000000000001" customHeight="1" x14ac:dyDescent="0.25">
      <c r="A947" s="18"/>
      <c r="B947" s="18"/>
      <c r="C947" s="18"/>
      <c r="D947" s="7"/>
      <c r="E947" s="326"/>
      <c r="F947" s="1471"/>
      <c r="G947" s="1471"/>
      <c r="H947" s="1471"/>
      <c r="I947" s="1471"/>
      <c r="J947" s="1286"/>
      <c r="K947" s="1286"/>
      <c r="L947" s="1286"/>
      <c r="M947" s="1286"/>
      <c r="N947" s="188"/>
      <c r="O947" s="188"/>
      <c r="P947" s="330"/>
      <c r="Q947" s="330"/>
      <c r="R947" s="187"/>
      <c r="U947" s="331" t="str">
        <f ca="1">'Calculos(2)'!CK$238</f>
        <v>-</v>
      </c>
      <c r="V947" s="332"/>
      <c r="W947" s="1"/>
    </row>
    <row r="948" spans="1:23" ht="20.100000000000001" customHeight="1" x14ac:dyDescent="0.25">
      <c r="A948" s="18"/>
      <c r="B948" s="18"/>
      <c r="C948" s="18"/>
      <c r="D948" s="7"/>
      <c r="E948" s="326"/>
      <c r="F948" s="1471"/>
      <c r="G948" s="1471"/>
      <c r="H948" s="1471"/>
      <c r="I948" s="1471"/>
      <c r="J948" s="1286"/>
      <c r="K948" s="1286"/>
      <c r="L948" s="1286"/>
      <c r="M948" s="1286"/>
      <c r="N948" s="188"/>
      <c r="O948" s="188"/>
      <c r="P948" s="330"/>
      <c r="Q948" s="330"/>
      <c r="R948" s="187"/>
      <c r="U948" s="331" t="str">
        <f ca="1">'Calculos(2)'!CK$239</f>
        <v>-</v>
      </c>
      <c r="V948" s="332"/>
      <c r="W948" s="1"/>
    </row>
    <row r="949" spans="1:23" ht="20.100000000000001" customHeight="1" x14ac:dyDescent="0.25">
      <c r="A949" s="18"/>
      <c r="B949" s="18"/>
      <c r="C949" s="18"/>
      <c r="D949" s="7"/>
      <c r="E949" s="326"/>
      <c r="F949" s="1471"/>
      <c r="G949" s="1471"/>
      <c r="H949" s="1471"/>
      <c r="I949" s="1471"/>
      <c r="J949" s="1286"/>
      <c r="K949" s="1286"/>
      <c r="L949" s="1286"/>
      <c r="M949" s="1286"/>
      <c r="N949" s="188"/>
      <c r="O949" s="188"/>
      <c r="P949" s="330"/>
      <c r="Q949" s="330"/>
      <c r="R949" s="187"/>
      <c r="U949" s="331" t="str">
        <f ca="1">'Calculos(2)'!CK$240</f>
        <v>-</v>
      </c>
      <c r="V949" s="332"/>
      <c r="W949" s="1"/>
    </row>
    <row r="950" spans="1:23" ht="20.100000000000001" customHeight="1" x14ac:dyDescent="0.25">
      <c r="A950" s="18"/>
      <c r="B950" s="18"/>
      <c r="C950" s="18"/>
      <c r="D950" s="7"/>
      <c r="E950" s="326"/>
      <c r="F950" s="1471"/>
      <c r="G950" s="1471"/>
      <c r="H950" s="1471"/>
      <c r="I950" s="1471"/>
      <c r="J950" s="1286"/>
      <c r="K950" s="1286"/>
      <c r="L950" s="1286"/>
      <c r="M950" s="1286"/>
      <c r="N950" s="188"/>
      <c r="O950" s="188"/>
      <c r="P950" s="330"/>
      <c r="Q950" s="330"/>
      <c r="R950" s="187"/>
      <c r="U950" s="331" t="str">
        <f ca="1">'Calculos(2)'!CK$241</f>
        <v>-</v>
      </c>
      <c r="V950" s="332"/>
      <c r="W950" s="1"/>
    </row>
    <row r="951" spans="1:23" ht="20.100000000000001" customHeight="1" x14ac:dyDescent="0.25">
      <c r="A951" s="18"/>
      <c r="B951" s="18"/>
      <c r="C951" s="18"/>
      <c r="D951" s="7"/>
      <c r="E951" s="326"/>
      <c r="F951" s="1471"/>
      <c r="G951" s="1471"/>
      <c r="H951" s="1471"/>
      <c r="I951" s="1471"/>
      <c r="J951" s="1286"/>
      <c r="K951" s="1286"/>
      <c r="L951" s="1286"/>
      <c r="M951" s="1286"/>
      <c r="N951" s="188"/>
      <c r="O951" s="188"/>
      <c r="P951" s="330"/>
      <c r="Q951" s="330"/>
      <c r="R951" s="187"/>
      <c r="U951" s="331" t="str">
        <f ca="1">'Calculos(2)'!CK$242</f>
        <v>-</v>
      </c>
      <c r="V951" s="332"/>
      <c r="W951" s="1"/>
    </row>
    <row r="952" spans="1:23" ht="20.100000000000001" customHeight="1" x14ac:dyDescent="0.25">
      <c r="A952" s="18"/>
      <c r="B952" s="18"/>
      <c r="C952" s="18"/>
      <c r="D952" s="7"/>
      <c r="E952" s="326"/>
      <c r="F952" s="1471"/>
      <c r="G952" s="1471"/>
      <c r="H952" s="1471"/>
      <c r="I952" s="1471"/>
      <c r="J952" s="1286"/>
      <c r="K952" s="1286"/>
      <c r="L952" s="1286"/>
      <c r="M952" s="1286"/>
      <c r="N952" s="188"/>
      <c r="O952" s="188"/>
      <c r="P952" s="330"/>
      <c r="Q952" s="330"/>
      <c r="R952" s="187"/>
      <c r="U952" s="331" t="str">
        <f ca="1">'Calculos(2)'!CK$243</f>
        <v>-</v>
      </c>
      <c r="V952" s="332"/>
      <c r="W952" s="1"/>
    </row>
    <row r="953" spans="1:23" ht="20.100000000000001" customHeight="1" x14ac:dyDescent="0.25">
      <c r="A953" s="18"/>
      <c r="B953" s="18"/>
      <c r="C953" s="18"/>
      <c r="D953" s="7"/>
      <c r="E953" s="326"/>
      <c r="F953" s="1471"/>
      <c r="G953" s="1471"/>
      <c r="H953" s="1471"/>
      <c r="I953" s="1471"/>
      <c r="J953" s="1286"/>
      <c r="K953" s="1286"/>
      <c r="L953" s="1286"/>
      <c r="M953" s="1286"/>
      <c r="N953" s="188"/>
      <c r="O953" s="188"/>
      <c r="P953" s="330"/>
      <c r="Q953" s="330"/>
      <c r="R953" s="187"/>
      <c r="U953" s="331" t="str">
        <f ca="1">'Calculos(2)'!CK$244</f>
        <v>-</v>
      </c>
      <c r="V953" s="332"/>
      <c r="W953" s="1"/>
    </row>
    <row r="954" spans="1:23" ht="20.100000000000001" customHeight="1" x14ac:dyDescent="0.25">
      <c r="A954" s="18"/>
      <c r="B954" s="18"/>
      <c r="C954" s="18"/>
      <c r="D954" s="7"/>
      <c r="E954" s="326"/>
      <c r="F954" s="1471"/>
      <c r="G954" s="1471"/>
      <c r="H954" s="1471"/>
      <c r="I954" s="1471"/>
      <c r="J954" s="1472" t="s">
        <v>80</v>
      </c>
      <c r="K954" s="1473"/>
      <c r="L954" s="1473"/>
      <c r="M954" s="1474"/>
      <c r="N954" s="188"/>
      <c r="O954" s="188"/>
      <c r="P954" s="330"/>
      <c r="Q954" s="330"/>
      <c r="R954" s="187" t="s">
        <v>10</v>
      </c>
      <c r="U954" s="331" t="str">
        <f ca="1">'Calculos(2)'!CK$245</f>
        <v>-</v>
      </c>
      <c r="V954" s="332"/>
      <c r="W954" s="1"/>
    </row>
    <row r="955" spans="1:23" ht="20.100000000000001" customHeight="1" x14ac:dyDescent="0.25">
      <c r="A955" s="18"/>
      <c r="B955" s="18"/>
      <c r="C955" s="18"/>
      <c r="D955" s="7"/>
      <c r="E955" s="326"/>
      <c r="V955" s="332"/>
      <c r="W955" s="1"/>
    </row>
    <row r="956" spans="1:23" ht="20.100000000000001" hidden="1" customHeight="1" x14ac:dyDescent="0.25">
      <c r="A956" s="18"/>
      <c r="B956" s="18"/>
      <c r="C956" s="18"/>
      <c r="D956" s="7"/>
      <c r="E956" s="326"/>
      <c r="V956" s="332"/>
      <c r="W956" s="1"/>
    </row>
    <row r="957" spans="1:23" ht="20.100000000000001" hidden="1" customHeight="1" x14ac:dyDescent="0.25">
      <c r="A957" s="18"/>
      <c r="B957" s="18"/>
      <c r="C957" s="18"/>
      <c r="D957" s="7"/>
      <c r="E957" s="326"/>
      <c r="V957" s="332"/>
      <c r="W957" s="1"/>
    </row>
    <row r="958" spans="1:23" ht="20.100000000000001" customHeight="1" x14ac:dyDescent="0.25">
      <c r="A958" s="18"/>
      <c r="B958" s="18"/>
      <c r="C958" s="18"/>
      <c r="D958" s="7"/>
      <c r="E958" s="326"/>
      <c r="V958" s="332"/>
      <c r="W958" s="1"/>
    </row>
    <row r="959" spans="1:23" ht="45" customHeight="1" x14ac:dyDescent="0.25">
      <c r="A959" s="18"/>
      <c r="B959" s="18"/>
      <c r="C959" s="18"/>
      <c r="D959" s="7"/>
      <c r="E959" s="326"/>
      <c r="F959" s="1475" t="s">
        <v>8621</v>
      </c>
      <c r="G959" s="1476"/>
      <c r="H959" s="1476"/>
      <c r="I959" s="1476"/>
      <c r="J959" s="1476"/>
      <c r="K959" s="1476"/>
      <c r="L959" s="1476"/>
      <c r="M959" s="1476"/>
      <c r="N959" s="333" t="str">
        <f ca="1">"Concentração"&amp;" "&amp;'Calculos(2)'!$BJ$3</f>
        <v>Concentração -</v>
      </c>
      <c r="O959" s="333" t="s">
        <v>6038</v>
      </c>
      <c r="P959" s="333" t="s">
        <v>8126</v>
      </c>
      <c r="Q959" s="333" t="s">
        <v>8028</v>
      </c>
      <c r="R959" s="333" t="s">
        <v>8603</v>
      </c>
      <c r="S959" s="333" t="s">
        <v>8127</v>
      </c>
      <c r="U959" s="328" t="s">
        <v>119</v>
      </c>
      <c r="V959" s="332"/>
      <c r="W959" s="1"/>
    </row>
    <row r="960" spans="1:23" ht="20.100000000000001" customHeight="1" x14ac:dyDescent="0.25">
      <c r="A960" s="18"/>
      <c r="B960" s="18"/>
      <c r="C960" s="18"/>
      <c r="D960" s="7"/>
      <c r="E960" s="326"/>
      <c r="F960" s="1471" t="str">
        <f ca="1">'Calculos(2)'!$BJ$6</f>
        <v>-</v>
      </c>
      <c r="G960" s="1471"/>
      <c r="H960" s="1471"/>
      <c r="I960" s="1471"/>
      <c r="J960" s="1472" t="s">
        <v>7103</v>
      </c>
      <c r="K960" s="1473"/>
      <c r="L960" s="1473"/>
      <c r="M960" s="1474"/>
      <c r="N960" s="334"/>
      <c r="O960" s="334"/>
      <c r="P960" s="335"/>
      <c r="Q960" s="335"/>
      <c r="R960" s="335">
        <v>0</v>
      </c>
      <c r="S960" s="331">
        <f>O960/2</f>
        <v>0</v>
      </c>
      <c r="U960" s="331" t="str">
        <f ca="1">'Calculos(2)'!CK$250</f>
        <v>-</v>
      </c>
      <c r="V960" s="332"/>
      <c r="W960" s="1"/>
    </row>
    <row r="961" spans="1:23" ht="20.100000000000001" customHeight="1" x14ac:dyDescent="0.25">
      <c r="A961" s="18"/>
      <c r="B961" s="18"/>
      <c r="C961" s="18"/>
      <c r="D961" s="7"/>
      <c r="E961" s="326"/>
      <c r="F961" s="1471"/>
      <c r="G961" s="1471"/>
      <c r="H961" s="1471"/>
      <c r="I961" s="1471"/>
      <c r="J961" s="1286" t="s">
        <v>8027</v>
      </c>
      <c r="K961" s="1286"/>
      <c r="L961" s="1286"/>
      <c r="M961" s="1286"/>
      <c r="N961" s="334"/>
      <c r="O961" s="334"/>
      <c r="P961" s="335"/>
      <c r="Q961" s="335"/>
      <c r="R961" s="335"/>
      <c r="U961" s="331" t="str">
        <f ca="1">'Calculos(2)'!CK$251</f>
        <v>-</v>
      </c>
      <c r="V961" s="332"/>
      <c r="W961" s="1"/>
    </row>
    <row r="962" spans="1:23" ht="20.100000000000001" customHeight="1" x14ac:dyDescent="0.25">
      <c r="A962" s="18"/>
      <c r="B962" s="18"/>
      <c r="C962" s="18"/>
      <c r="D962" s="7"/>
      <c r="E962" s="326"/>
      <c r="F962" s="1471"/>
      <c r="G962" s="1471"/>
      <c r="H962" s="1471"/>
      <c r="I962" s="1471"/>
      <c r="J962" s="1286"/>
      <c r="K962" s="1286"/>
      <c r="L962" s="1286"/>
      <c r="M962" s="1286"/>
      <c r="N962" s="334"/>
      <c r="O962" s="334"/>
      <c r="P962" s="335"/>
      <c r="Q962" s="335"/>
      <c r="R962" s="335"/>
      <c r="U962" s="331" t="str">
        <f ca="1">'Calculos(2)'!CK$252</f>
        <v>-</v>
      </c>
      <c r="V962" s="332"/>
      <c r="W962" s="1"/>
    </row>
    <row r="963" spans="1:23" ht="20.100000000000001" customHeight="1" x14ac:dyDescent="0.25">
      <c r="A963" s="18"/>
      <c r="B963" s="18"/>
      <c r="C963" s="18"/>
      <c r="D963" s="7"/>
      <c r="E963" s="326"/>
      <c r="F963" s="1471"/>
      <c r="G963" s="1471"/>
      <c r="H963" s="1471"/>
      <c r="I963" s="1471"/>
      <c r="J963" s="1286"/>
      <c r="K963" s="1286"/>
      <c r="L963" s="1286"/>
      <c r="M963" s="1286"/>
      <c r="N963" s="334"/>
      <c r="O963" s="334"/>
      <c r="P963" s="335"/>
      <c r="Q963" s="335"/>
      <c r="R963" s="335"/>
      <c r="U963" s="331" t="str">
        <f ca="1">'Calculos(2)'!CK$253</f>
        <v>-</v>
      </c>
      <c r="V963" s="332"/>
      <c r="W963" s="1"/>
    </row>
    <row r="964" spans="1:23" ht="20.100000000000001" customHeight="1" x14ac:dyDescent="0.25">
      <c r="A964" s="18"/>
      <c r="B964" s="18"/>
      <c r="C964" s="18"/>
      <c r="D964" s="7"/>
      <c r="E964" s="326"/>
      <c r="F964" s="1471"/>
      <c r="G964" s="1471"/>
      <c r="H964" s="1471"/>
      <c r="I964" s="1471"/>
      <c r="J964" s="1286"/>
      <c r="K964" s="1286"/>
      <c r="L964" s="1286"/>
      <c r="M964" s="1286"/>
      <c r="N964" s="334"/>
      <c r="O964" s="334"/>
      <c r="P964" s="335"/>
      <c r="Q964" s="335"/>
      <c r="R964" s="335"/>
      <c r="U964" s="331" t="str">
        <f ca="1">'Calculos(2)'!CK$254</f>
        <v>-</v>
      </c>
      <c r="V964" s="332"/>
      <c r="W964" s="1"/>
    </row>
    <row r="965" spans="1:23" ht="20.100000000000001" customHeight="1" x14ac:dyDescent="0.25">
      <c r="A965" s="18"/>
      <c r="B965" s="18"/>
      <c r="C965" s="18"/>
      <c r="D965" s="7"/>
      <c r="E965" s="326"/>
      <c r="F965" s="1471"/>
      <c r="G965" s="1471"/>
      <c r="H965" s="1471"/>
      <c r="I965" s="1471"/>
      <c r="J965" s="1286"/>
      <c r="K965" s="1286"/>
      <c r="L965" s="1286"/>
      <c r="M965" s="1286"/>
      <c r="N965" s="334"/>
      <c r="O965" s="334"/>
      <c r="P965" s="335"/>
      <c r="Q965" s="335"/>
      <c r="R965" s="335"/>
      <c r="U965" s="331" t="str">
        <f ca="1">'Calculos(2)'!CK$255</f>
        <v>-</v>
      </c>
      <c r="V965" s="332"/>
      <c r="W965" s="1"/>
    </row>
    <row r="966" spans="1:23" ht="20.100000000000001" customHeight="1" x14ac:dyDescent="0.25">
      <c r="A966" s="18"/>
      <c r="B966" s="18"/>
      <c r="C966" s="18"/>
      <c r="D966" s="7"/>
      <c r="E966" s="326"/>
      <c r="F966" s="1471"/>
      <c r="G966" s="1471"/>
      <c r="H966" s="1471"/>
      <c r="I966" s="1471"/>
      <c r="J966" s="1286"/>
      <c r="K966" s="1286"/>
      <c r="L966" s="1286"/>
      <c r="M966" s="1286"/>
      <c r="N966" s="334"/>
      <c r="O966" s="334"/>
      <c r="P966" s="335"/>
      <c r="Q966" s="335"/>
      <c r="R966" s="335"/>
      <c r="U966" s="331" t="str">
        <f ca="1">'Calculos(2)'!CK$256</f>
        <v>-</v>
      </c>
      <c r="V966" s="332"/>
      <c r="W966" s="1"/>
    </row>
    <row r="967" spans="1:23" ht="20.100000000000001" customHeight="1" x14ac:dyDescent="0.25">
      <c r="A967" s="18"/>
      <c r="B967" s="18"/>
      <c r="C967" s="18"/>
      <c r="D967" s="7"/>
      <c r="E967" s="326"/>
      <c r="F967" s="1471"/>
      <c r="G967" s="1471"/>
      <c r="H967" s="1471"/>
      <c r="I967" s="1471"/>
      <c r="J967" s="1286"/>
      <c r="K967" s="1286"/>
      <c r="L967" s="1286"/>
      <c r="M967" s="1286"/>
      <c r="N967" s="334"/>
      <c r="O967" s="334"/>
      <c r="P967" s="335"/>
      <c r="Q967" s="335"/>
      <c r="R967" s="335"/>
      <c r="U967" s="331" t="str">
        <f ca="1">'Calculos(2)'!CK$257</f>
        <v>-</v>
      </c>
      <c r="V967" s="332"/>
      <c r="W967" s="7"/>
    </row>
    <row r="968" spans="1:23" ht="20.100000000000001" customHeight="1" x14ac:dyDescent="0.25">
      <c r="A968" s="18"/>
      <c r="B968" s="18"/>
      <c r="C968" s="18"/>
      <c r="D968" s="7"/>
      <c r="E968" s="326"/>
      <c r="F968" s="1471"/>
      <c r="G968" s="1471"/>
      <c r="H968" s="1471"/>
      <c r="I968" s="1471"/>
      <c r="J968" s="1286"/>
      <c r="K968" s="1286"/>
      <c r="L968" s="1286"/>
      <c r="M968" s="1286"/>
      <c r="N968" s="334"/>
      <c r="O968" s="334"/>
      <c r="P968" s="335"/>
      <c r="Q968" s="335"/>
      <c r="R968" s="335"/>
      <c r="U968" s="331" t="str">
        <f ca="1">'Calculos(2)'!CK$258</f>
        <v>-</v>
      </c>
      <c r="V968" s="332"/>
      <c r="W968" s="7"/>
    </row>
    <row r="969" spans="1:23" ht="20.100000000000001" customHeight="1" x14ac:dyDescent="0.25">
      <c r="A969" s="18"/>
      <c r="B969" s="18"/>
      <c r="C969" s="18"/>
      <c r="D969" s="7"/>
      <c r="E969" s="326"/>
      <c r="F969" s="1471"/>
      <c r="G969" s="1471"/>
      <c r="H969" s="1471"/>
      <c r="I969" s="1471"/>
      <c r="J969" s="1286"/>
      <c r="K969" s="1286"/>
      <c r="L969" s="1286"/>
      <c r="M969" s="1286"/>
      <c r="N969" s="334"/>
      <c r="O969" s="334"/>
      <c r="P969" s="335"/>
      <c r="Q969" s="335"/>
      <c r="R969" s="335"/>
      <c r="U969" s="331" t="str">
        <f ca="1">'Calculos(2)'!CK$259</f>
        <v>-</v>
      </c>
      <c r="V969" s="332"/>
      <c r="W969" s="1"/>
    </row>
    <row r="970" spans="1:23" ht="20.100000000000001" customHeight="1" x14ac:dyDescent="0.25">
      <c r="A970" s="18"/>
      <c r="B970" s="18"/>
      <c r="C970" s="18"/>
      <c r="D970" s="7"/>
      <c r="E970" s="326"/>
      <c r="F970" s="1471"/>
      <c r="G970" s="1471"/>
      <c r="H970" s="1471"/>
      <c r="I970" s="1471"/>
      <c r="J970" s="1286"/>
      <c r="K970" s="1286"/>
      <c r="L970" s="1286"/>
      <c r="M970" s="1286"/>
      <c r="N970" s="334"/>
      <c r="O970" s="334"/>
      <c r="P970" s="335"/>
      <c r="Q970" s="335"/>
      <c r="R970" s="335"/>
      <c r="U970" s="331" t="str">
        <f ca="1">'Calculos(2)'!CK$260</f>
        <v>-</v>
      </c>
      <c r="V970" s="329"/>
      <c r="W970" s="1"/>
    </row>
    <row r="971" spans="1:23" ht="20.100000000000001" customHeight="1" x14ac:dyDescent="0.25">
      <c r="A971" s="18"/>
      <c r="B971" s="18"/>
      <c r="C971" s="18"/>
      <c r="D971" s="7"/>
      <c r="E971" s="326"/>
      <c r="F971" s="1471"/>
      <c r="G971" s="1471"/>
      <c r="H971" s="1471"/>
      <c r="I971" s="1471"/>
      <c r="J971" s="1472" t="s">
        <v>80</v>
      </c>
      <c r="K971" s="1473"/>
      <c r="L971" s="1473"/>
      <c r="M971" s="1474"/>
      <c r="N971" s="334"/>
      <c r="O971" s="334"/>
      <c r="P971" s="335"/>
      <c r="Q971" s="335"/>
      <c r="R971" s="335" t="s">
        <v>10</v>
      </c>
      <c r="U971" s="331" t="str">
        <f ca="1">'Calculos(2)'!CK$261</f>
        <v>-</v>
      </c>
      <c r="V971" s="329"/>
      <c r="W971" s="1"/>
    </row>
    <row r="972" spans="1:23" ht="20.100000000000001" customHeight="1" x14ac:dyDescent="0.25">
      <c r="A972" s="18"/>
      <c r="B972" s="18"/>
      <c r="C972" s="18"/>
      <c r="D972" s="7"/>
      <c r="E972" s="336"/>
      <c r="F972" s="337"/>
      <c r="G972" s="337"/>
      <c r="H972" s="337"/>
      <c r="I972" s="337"/>
      <c r="J972" s="337"/>
      <c r="K972" s="337"/>
      <c r="L972" s="337"/>
      <c r="M972" s="337"/>
      <c r="N972" s="337"/>
      <c r="O972" s="337"/>
      <c r="P972" s="337"/>
      <c r="Q972" s="337"/>
      <c r="R972" s="337"/>
      <c r="S972" s="337"/>
      <c r="T972" s="337"/>
      <c r="U972" s="337"/>
      <c r="V972" s="338"/>
      <c r="W972" s="1"/>
    </row>
    <row r="973" spans="1:23" ht="20.100000000000001" hidden="1" customHeight="1" x14ac:dyDescent="0.25">
      <c r="A973" s="18"/>
      <c r="B973" s="18"/>
      <c r="C973" s="18"/>
      <c r="D973" s="7"/>
      <c r="E973" s="2"/>
      <c r="W973" s="1"/>
    </row>
    <row r="974" spans="1:23" ht="20.100000000000001" customHeight="1" x14ac:dyDescent="0.25">
      <c r="A974" s="18"/>
      <c r="B974" s="18"/>
      <c r="C974" s="18"/>
      <c r="D974" s="7"/>
      <c r="E974" s="1"/>
      <c r="F974" s="1"/>
      <c r="G974" s="1"/>
      <c r="H974" s="1"/>
      <c r="I974" s="1"/>
      <c r="J974" s="1"/>
      <c r="K974" s="1"/>
      <c r="L974" s="1"/>
      <c r="M974" s="1"/>
      <c r="N974" s="1"/>
      <c r="O974" s="1"/>
      <c r="P974" s="1"/>
      <c r="Q974" s="1"/>
      <c r="R974" s="1"/>
      <c r="S974" s="1"/>
      <c r="T974" s="1"/>
      <c r="U974" s="1"/>
      <c r="V974" s="1"/>
      <c r="W974" s="1"/>
    </row>
    <row r="975" spans="1:23" ht="20.100000000000001" customHeight="1" x14ac:dyDescent="0.25">
      <c r="A975" s="18"/>
      <c r="B975" s="18"/>
      <c r="C975" s="18"/>
      <c r="D975" s="7"/>
      <c r="E975" s="321"/>
      <c r="F975" s="322"/>
      <c r="G975" s="323"/>
      <c r="H975" s="323"/>
      <c r="I975" s="323"/>
      <c r="J975" s="323"/>
      <c r="K975" s="323"/>
      <c r="L975" s="323"/>
      <c r="M975" s="323"/>
      <c r="N975" s="323"/>
      <c r="O975" s="323"/>
      <c r="P975" s="323"/>
      <c r="Q975" s="323"/>
      <c r="R975" s="323"/>
      <c r="S975" s="339"/>
      <c r="T975" s="339"/>
      <c r="U975" s="340"/>
      <c r="V975" s="325"/>
      <c r="W975" s="1"/>
    </row>
    <row r="976" spans="1:23" ht="45" customHeight="1" x14ac:dyDescent="0.25">
      <c r="A976" s="18"/>
      <c r="B976" s="18"/>
      <c r="C976" s="18"/>
      <c r="D976" s="7"/>
      <c r="E976" s="326"/>
      <c r="F976" s="1494" t="s">
        <v>8613</v>
      </c>
      <c r="G976" s="1495"/>
      <c r="H976" s="1495"/>
      <c r="I976" s="1495"/>
      <c r="J976" s="1495"/>
      <c r="K976" s="1495"/>
      <c r="L976" s="1495"/>
      <c r="M976" s="1496"/>
      <c r="N976" s="327" t="str">
        <f ca="1">"Concentração"&amp;" "&amp;'Calculos(2)'!$BJ$3</f>
        <v>Concentração -</v>
      </c>
      <c r="O976" s="327" t="s">
        <v>6038</v>
      </c>
      <c r="P976" s="327" t="s">
        <v>8126</v>
      </c>
      <c r="Q976" s="327" t="s">
        <v>8028</v>
      </c>
      <c r="R976" s="327" t="s">
        <v>8603</v>
      </c>
      <c r="S976" s="327" t="s">
        <v>8127</v>
      </c>
      <c r="U976" s="328" t="s">
        <v>119</v>
      </c>
      <c r="V976" s="332"/>
      <c r="W976" s="1"/>
    </row>
    <row r="977" spans="1:23" ht="20.100000000000001" customHeight="1" x14ac:dyDescent="0.25">
      <c r="A977" s="18"/>
      <c r="B977" s="18"/>
      <c r="C977" s="18"/>
      <c r="D977" s="7"/>
      <c r="E977" s="326"/>
      <c r="F977" s="1482" t="str">
        <f ca="1">'Calculos(2)'!$BJ$6</f>
        <v>-</v>
      </c>
      <c r="G977" s="1483"/>
      <c r="H977" s="1483"/>
      <c r="I977" s="1484"/>
      <c r="J977" s="1472" t="s">
        <v>7103</v>
      </c>
      <c r="K977" s="1473"/>
      <c r="L977" s="1473"/>
      <c r="M977" s="1474"/>
      <c r="N977" s="188"/>
      <c r="O977" s="188"/>
      <c r="P977" s="330"/>
      <c r="Q977" s="330"/>
      <c r="R977" s="187">
        <v>0</v>
      </c>
      <c r="S977" s="331">
        <f>O977/2</f>
        <v>0</v>
      </c>
      <c r="U977" s="331" t="str">
        <f ca="1">'Calculos(2)'!CK$266</f>
        <v>-</v>
      </c>
      <c r="V977" s="332"/>
      <c r="W977" s="1"/>
    </row>
    <row r="978" spans="1:23" ht="20.100000000000001" customHeight="1" x14ac:dyDescent="0.25">
      <c r="A978" s="18"/>
      <c r="B978" s="18"/>
      <c r="C978" s="18"/>
      <c r="D978" s="7"/>
      <c r="E978" s="326"/>
      <c r="F978" s="1485"/>
      <c r="G978" s="1486"/>
      <c r="H978" s="1486"/>
      <c r="I978" s="1487"/>
      <c r="J978" s="1193" t="s">
        <v>8027</v>
      </c>
      <c r="K978" s="1194"/>
      <c r="L978" s="1194"/>
      <c r="M978" s="1491"/>
      <c r="N978" s="188"/>
      <c r="O978" s="188"/>
      <c r="P978" s="330"/>
      <c r="Q978" s="330"/>
      <c r="R978" s="187"/>
      <c r="U978" s="331" t="str">
        <f ca="1">'Calculos(2)'!CK$267</f>
        <v>-</v>
      </c>
      <c r="V978" s="332"/>
      <c r="W978" s="1"/>
    </row>
    <row r="979" spans="1:23" ht="20.100000000000001" customHeight="1" x14ac:dyDescent="0.25">
      <c r="A979" s="18"/>
      <c r="B979" s="18"/>
      <c r="C979" s="18"/>
      <c r="D979" s="7"/>
      <c r="E979" s="326"/>
      <c r="F979" s="1485"/>
      <c r="G979" s="1486"/>
      <c r="H979" s="1486"/>
      <c r="I979" s="1487"/>
      <c r="J979" s="1195"/>
      <c r="K979" s="1084"/>
      <c r="L979" s="1084"/>
      <c r="M979" s="1492"/>
      <c r="N979" s="188"/>
      <c r="O979" s="188"/>
      <c r="P979" s="330"/>
      <c r="Q979" s="330"/>
      <c r="R979" s="187"/>
      <c r="U979" s="331" t="str">
        <f ca="1">'Calculos(2)'!CK$268</f>
        <v>-</v>
      </c>
      <c r="V979" s="332"/>
      <c r="W979" s="1"/>
    </row>
    <row r="980" spans="1:23" ht="20.100000000000001" customHeight="1" x14ac:dyDescent="0.25">
      <c r="A980" s="18"/>
      <c r="B980" s="18"/>
      <c r="C980" s="18"/>
      <c r="D980" s="7"/>
      <c r="E980" s="326"/>
      <c r="F980" s="1485"/>
      <c r="G980" s="1486"/>
      <c r="H980" s="1486"/>
      <c r="I980" s="1487"/>
      <c r="J980" s="1195"/>
      <c r="K980" s="1084"/>
      <c r="L980" s="1084"/>
      <c r="M980" s="1492"/>
      <c r="N980" s="188"/>
      <c r="O980" s="188"/>
      <c r="P980" s="330"/>
      <c r="Q980" s="330"/>
      <c r="R980" s="187"/>
      <c r="U980" s="331" t="str">
        <f ca="1">'Calculos(2)'!CK$269</f>
        <v>-</v>
      </c>
      <c r="V980" s="332"/>
      <c r="W980" s="1"/>
    </row>
    <row r="981" spans="1:23" ht="20.100000000000001" customHeight="1" x14ac:dyDescent="0.25">
      <c r="A981" s="18"/>
      <c r="B981" s="18"/>
      <c r="C981" s="18"/>
      <c r="D981" s="7"/>
      <c r="E981" s="326"/>
      <c r="F981" s="1485"/>
      <c r="G981" s="1486"/>
      <c r="H981" s="1486"/>
      <c r="I981" s="1487"/>
      <c r="J981" s="1195"/>
      <c r="K981" s="1084"/>
      <c r="L981" s="1084"/>
      <c r="M981" s="1492"/>
      <c r="N981" s="188"/>
      <c r="O981" s="188"/>
      <c r="P981" s="330"/>
      <c r="Q981" s="330"/>
      <c r="R981" s="187"/>
      <c r="U981" s="331" t="str">
        <f ca="1">'Calculos(2)'!CK$270</f>
        <v>-</v>
      </c>
      <c r="V981" s="332"/>
      <c r="W981" s="1"/>
    </row>
    <row r="982" spans="1:23" ht="20.100000000000001" customHeight="1" x14ac:dyDescent="0.25">
      <c r="A982" s="18"/>
      <c r="B982" s="18"/>
      <c r="C982" s="18"/>
      <c r="D982" s="7"/>
      <c r="E982" s="326"/>
      <c r="F982" s="1485"/>
      <c r="G982" s="1486"/>
      <c r="H982" s="1486"/>
      <c r="I982" s="1487"/>
      <c r="J982" s="1195"/>
      <c r="K982" s="1084"/>
      <c r="L982" s="1084"/>
      <c r="M982" s="1492"/>
      <c r="N982" s="188"/>
      <c r="O982" s="188"/>
      <c r="P982" s="330"/>
      <c r="Q982" s="330"/>
      <c r="R982" s="187"/>
      <c r="U982" s="331" t="str">
        <f ca="1">'Calculos(2)'!CK$271</f>
        <v>-</v>
      </c>
      <c r="V982" s="332"/>
      <c r="W982" s="1"/>
    </row>
    <row r="983" spans="1:23" ht="20.100000000000001" customHeight="1" x14ac:dyDescent="0.25">
      <c r="A983" s="18"/>
      <c r="B983" s="18"/>
      <c r="C983" s="18"/>
      <c r="D983" s="7"/>
      <c r="E983" s="326"/>
      <c r="F983" s="1485"/>
      <c r="G983" s="1486"/>
      <c r="H983" s="1486"/>
      <c r="I983" s="1487"/>
      <c r="J983" s="1195"/>
      <c r="K983" s="1084"/>
      <c r="L983" s="1084"/>
      <c r="M983" s="1492"/>
      <c r="N983" s="188"/>
      <c r="O983" s="188"/>
      <c r="P983" s="330"/>
      <c r="Q983" s="330"/>
      <c r="R983" s="187"/>
      <c r="U983" s="331" t="str">
        <f ca="1">'Calculos(2)'!CK$272</f>
        <v>-</v>
      </c>
      <c r="V983" s="332"/>
      <c r="W983" s="1"/>
    </row>
    <row r="984" spans="1:23" ht="20.100000000000001" customHeight="1" x14ac:dyDescent="0.25">
      <c r="A984" s="18"/>
      <c r="B984" s="18"/>
      <c r="C984" s="18"/>
      <c r="D984" s="7"/>
      <c r="E984" s="326"/>
      <c r="F984" s="1485"/>
      <c r="G984" s="1486"/>
      <c r="H984" s="1486"/>
      <c r="I984" s="1487"/>
      <c r="J984" s="1195"/>
      <c r="K984" s="1084"/>
      <c r="L984" s="1084"/>
      <c r="M984" s="1492"/>
      <c r="N984" s="188"/>
      <c r="O984" s="188"/>
      <c r="P984" s="330"/>
      <c r="Q984" s="330"/>
      <c r="R984" s="187"/>
      <c r="U984" s="331" t="str">
        <f ca="1">'Calculos(2)'!CK$273</f>
        <v>-</v>
      </c>
      <c r="V984" s="332"/>
      <c r="W984" s="7"/>
    </row>
    <row r="985" spans="1:23" ht="20.100000000000001" customHeight="1" x14ac:dyDescent="0.25">
      <c r="A985" s="18"/>
      <c r="B985" s="18"/>
      <c r="C985" s="18"/>
      <c r="D985" s="7"/>
      <c r="E985" s="326"/>
      <c r="F985" s="1485"/>
      <c r="G985" s="1486"/>
      <c r="H985" s="1486"/>
      <c r="I985" s="1487"/>
      <c r="J985" s="1195"/>
      <c r="K985" s="1084"/>
      <c r="L985" s="1084"/>
      <c r="M985" s="1492"/>
      <c r="N985" s="188"/>
      <c r="O985" s="188"/>
      <c r="P985" s="330"/>
      <c r="Q985" s="330"/>
      <c r="R985" s="187"/>
      <c r="U985" s="331" t="str">
        <f ca="1">'Calculos(2)'!CK$274</f>
        <v>-</v>
      </c>
      <c r="V985" s="332"/>
      <c r="W985" s="7"/>
    </row>
    <row r="986" spans="1:23" ht="20.100000000000001" customHeight="1" x14ac:dyDescent="0.25">
      <c r="A986" s="18"/>
      <c r="B986" s="18"/>
      <c r="C986" s="18"/>
      <c r="D986" s="7"/>
      <c r="E986" s="326"/>
      <c r="F986" s="1485"/>
      <c r="G986" s="1486"/>
      <c r="H986" s="1486"/>
      <c r="I986" s="1487"/>
      <c r="J986" s="1195"/>
      <c r="K986" s="1084"/>
      <c r="L986" s="1084"/>
      <c r="M986" s="1492"/>
      <c r="N986" s="188"/>
      <c r="O986" s="188"/>
      <c r="P986" s="330"/>
      <c r="Q986" s="330"/>
      <c r="R986" s="187"/>
      <c r="U986" s="331" t="str">
        <f ca="1">'Calculos(2)'!CK$275</f>
        <v>-</v>
      </c>
      <c r="V986" s="332"/>
      <c r="W986" s="1"/>
    </row>
    <row r="987" spans="1:23" ht="20.100000000000001" customHeight="1" x14ac:dyDescent="0.25">
      <c r="A987" s="18"/>
      <c r="B987" s="18"/>
      <c r="C987" s="18"/>
      <c r="D987" s="7"/>
      <c r="E987" s="326"/>
      <c r="F987" s="1485"/>
      <c r="G987" s="1486"/>
      <c r="H987" s="1486"/>
      <c r="I987" s="1487"/>
      <c r="J987" s="1196"/>
      <c r="K987" s="1121"/>
      <c r="L987" s="1121"/>
      <c r="M987" s="1493"/>
      <c r="N987" s="188"/>
      <c r="O987" s="188"/>
      <c r="P987" s="330"/>
      <c r="Q987" s="330"/>
      <c r="R987" s="187"/>
      <c r="U987" s="331" t="str">
        <f ca="1">'Calculos(2)'!CK$276</f>
        <v>-</v>
      </c>
      <c r="V987" s="332"/>
      <c r="W987" s="1"/>
    </row>
    <row r="988" spans="1:23" ht="20.100000000000001" customHeight="1" x14ac:dyDescent="0.25">
      <c r="A988" s="18"/>
      <c r="B988" s="18"/>
      <c r="C988" s="18"/>
      <c r="D988" s="7"/>
      <c r="E988" s="326"/>
      <c r="F988" s="1488"/>
      <c r="G988" s="1489"/>
      <c r="H988" s="1489"/>
      <c r="I988" s="1490"/>
      <c r="J988" s="1472" t="s">
        <v>80</v>
      </c>
      <c r="K988" s="1473"/>
      <c r="L988" s="1473"/>
      <c r="M988" s="1474"/>
      <c r="N988" s="188"/>
      <c r="O988" s="188"/>
      <c r="P988" s="330"/>
      <c r="Q988" s="330"/>
      <c r="R988" s="187" t="s">
        <v>10</v>
      </c>
      <c r="U988" s="331" t="str">
        <f ca="1">'Calculos(2)'!CK$277</f>
        <v>-</v>
      </c>
      <c r="V988" s="332"/>
      <c r="W988" s="1"/>
    </row>
    <row r="989" spans="1:23" ht="20.100000000000001" customHeight="1" x14ac:dyDescent="0.25">
      <c r="A989" s="18"/>
      <c r="B989" s="18"/>
      <c r="C989" s="18"/>
      <c r="D989" s="7"/>
      <c r="E989" s="326"/>
      <c r="V989" s="332"/>
      <c r="W989" s="1"/>
    </row>
    <row r="990" spans="1:23" ht="20.100000000000001" hidden="1" customHeight="1" x14ac:dyDescent="0.25">
      <c r="A990" s="18"/>
      <c r="B990" s="18"/>
      <c r="C990" s="18"/>
      <c r="D990" s="7"/>
      <c r="E990" s="326"/>
      <c r="V990" s="332"/>
      <c r="W990" s="1"/>
    </row>
    <row r="991" spans="1:23" ht="20.100000000000001" hidden="1" customHeight="1" x14ac:dyDescent="0.25">
      <c r="A991" s="18"/>
      <c r="B991" s="18"/>
      <c r="C991" s="18"/>
      <c r="D991" s="7"/>
      <c r="E991" s="326"/>
      <c r="V991" s="332"/>
      <c r="W991" s="1"/>
    </row>
    <row r="992" spans="1:23" ht="20.100000000000001" customHeight="1" x14ac:dyDescent="0.25">
      <c r="A992" s="18"/>
      <c r="B992" s="18"/>
      <c r="C992" s="18"/>
      <c r="D992" s="7"/>
      <c r="E992" s="326"/>
      <c r="V992" s="332"/>
      <c r="W992" s="1"/>
    </row>
    <row r="993" spans="1:23" ht="45" customHeight="1" x14ac:dyDescent="0.25">
      <c r="A993" s="18"/>
      <c r="B993" s="18"/>
      <c r="C993" s="18"/>
      <c r="D993" s="7"/>
      <c r="E993" s="326"/>
      <c r="F993" s="1479" t="s">
        <v>8622</v>
      </c>
      <c r="G993" s="1480"/>
      <c r="H993" s="1480"/>
      <c r="I993" s="1480"/>
      <c r="J993" s="1480"/>
      <c r="K993" s="1480"/>
      <c r="L993" s="1480"/>
      <c r="M993" s="1481"/>
      <c r="N993" s="333" t="str">
        <f ca="1">"Concentração"&amp;" "&amp;'Calculos(2)'!$BJ$3</f>
        <v>Concentração -</v>
      </c>
      <c r="O993" s="333" t="s">
        <v>6038</v>
      </c>
      <c r="P993" s="333" t="s">
        <v>8126</v>
      </c>
      <c r="Q993" s="333" t="s">
        <v>8028</v>
      </c>
      <c r="R993" s="333" t="s">
        <v>8603</v>
      </c>
      <c r="S993" s="333" t="s">
        <v>8127</v>
      </c>
      <c r="U993" s="328" t="s">
        <v>119</v>
      </c>
      <c r="V993" s="332"/>
      <c r="W993" s="1"/>
    </row>
    <row r="994" spans="1:23" ht="20.100000000000001" customHeight="1" x14ac:dyDescent="0.25">
      <c r="A994" s="18"/>
      <c r="B994" s="18"/>
      <c r="C994" s="18"/>
      <c r="D994" s="7"/>
      <c r="E994" s="326"/>
      <c r="F994" s="1482" t="str">
        <f ca="1">'Calculos(2)'!$BJ$6</f>
        <v>-</v>
      </c>
      <c r="G994" s="1483"/>
      <c r="H994" s="1483"/>
      <c r="I994" s="1484"/>
      <c r="J994" s="1472" t="s">
        <v>7103</v>
      </c>
      <c r="K994" s="1473"/>
      <c r="L994" s="1473"/>
      <c r="M994" s="1474"/>
      <c r="N994" s="334"/>
      <c r="O994" s="334"/>
      <c r="P994" s="335"/>
      <c r="Q994" s="335"/>
      <c r="R994" s="335">
        <v>0</v>
      </c>
      <c r="S994" s="331">
        <f>O994/2</f>
        <v>0</v>
      </c>
      <c r="U994" s="331" t="str">
        <f ca="1">'Calculos(2)'!CK$282</f>
        <v>-</v>
      </c>
      <c r="V994" s="332"/>
      <c r="W994" s="1"/>
    </row>
    <row r="995" spans="1:23" ht="20.100000000000001" customHeight="1" x14ac:dyDescent="0.25">
      <c r="A995" s="18"/>
      <c r="B995" s="18"/>
      <c r="C995" s="18"/>
      <c r="D995" s="7"/>
      <c r="E995" s="326"/>
      <c r="F995" s="1485"/>
      <c r="G995" s="1486"/>
      <c r="H995" s="1486"/>
      <c r="I995" s="1487"/>
      <c r="J995" s="1193" t="s">
        <v>8027</v>
      </c>
      <c r="K995" s="1194"/>
      <c r="L995" s="1194"/>
      <c r="M995" s="1491"/>
      <c r="N995" s="334"/>
      <c r="O995" s="334"/>
      <c r="P995" s="335"/>
      <c r="Q995" s="335"/>
      <c r="R995" s="335"/>
      <c r="U995" s="331" t="str">
        <f ca="1">'Calculos(2)'!CK$283</f>
        <v>-</v>
      </c>
      <c r="V995" s="332"/>
      <c r="W995" s="1"/>
    </row>
    <row r="996" spans="1:23" ht="20.100000000000001" customHeight="1" x14ac:dyDescent="0.25">
      <c r="A996" s="18"/>
      <c r="B996" s="18"/>
      <c r="C996" s="18"/>
      <c r="D996" s="7"/>
      <c r="E996" s="326"/>
      <c r="F996" s="1485"/>
      <c r="G996" s="1486"/>
      <c r="H996" s="1486"/>
      <c r="I996" s="1487"/>
      <c r="J996" s="1195"/>
      <c r="K996" s="1084"/>
      <c r="L996" s="1084"/>
      <c r="M996" s="1492"/>
      <c r="N996" s="334"/>
      <c r="O996" s="334"/>
      <c r="P996" s="335"/>
      <c r="Q996" s="335"/>
      <c r="R996" s="335"/>
      <c r="U996" s="331" t="str">
        <f ca="1">'Calculos(2)'!CK$284</f>
        <v>-</v>
      </c>
      <c r="V996" s="332"/>
      <c r="W996" s="1"/>
    </row>
    <row r="997" spans="1:23" ht="20.100000000000001" customHeight="1" x14ac:dyDescent="0.25">
      <c r="A997" s="18"/>
      <c r="B997" s="18"/>
      <c r="C997" s="18"/>
      <c r="D997" s="7"/>
      <c r="E997" s="326"/>
      <c r="F997" s="1485"/>
      <c r="G997" s="1486"/>
      <c r="H997" s="1486"/>
      <c r="I997" s="1487"/>
      <c r="J997" s="1195"/>
      <c r="K997" s="1084"/>
      <c r="L997" s="1084"/>
      <c r="M997" s="1492"/>
      <c r="N997" s="334"/>
      <c r="O997" s="334"/>
      <c r="P997" s="335"/>
      <c r="Q997" s="335"/>
      <c r="R997" s="335"/>
      <c r="U997" s="331" t="str">
        <f ca="1">'Calculos(2)'!CK$285</f>
        <v>-</v>
      </c>
      <c r="V997" s="332"/>
      <c r="W997" s="1"/>
    </row>
    <row r="998" spans="1:23" ht="20.100000000000001" customHeight="1" x14ac:dyDescent="0.25">
      <c r="A998" s="18"/>
      <c r="B998" s="18"/>
      <c r="C998" s="18"/>
      <c r="D998" s="7"/>
      <c r="E998" s="326"/>
      <c r="F998" s="1485"/>
      <c r="G998" s="1486"/>
      <c r="H998" s="1486"/>
      <c r="I998" s="1487"/>
      <c r="J998" s="1195"/>
      <c r="K998" s="1084"/>
      <c r="L998" s="1084"/>
      <c r="M998" s="1492"/>
      <c r="N998" s="334"/>
      <c r="O998" s="334"/>
      <c r="P998" s="335"/>
      <c r="Q998" s="335"/>
      <c r="R998" s="335"/>
      <c r="U998" s="331" t="str">
        <f ca="1">'Calculos(2)'!CK$286</f>
        <v>-</v>
      </c>
      <c r="V998" s="332"/>
      <c r="W998" s="1"/>
    </row>
    <row r="999" spans="1:23" ht="20.100000000000001" customHeight="1" x14ac:dyDescent="0.25">
      <c r="A999" s="18"/>
      <c r="B999" s="18"/>
      <c r="C999" s="18"/>
      <c r="D999" s="7"/>
      <c r="E999" s="326"/>
      <c r="F999" s="1485"/>
      <c r="G999" s="1486"/>
      <c r="H999" s="1486"/>
      <c r="I999" s="1487"/>
      <c r="J999" s="1195"/>
      <c r="K999" s="1084"/>
      <c r="L999" s="1084"/>
      <c r="M999" s="1492"/>
      <c r="N999" s="334"/>
      <c r="O999" s="334"/>
      <c r="P999" s="335"/>
      <c r="Q999" s="335"/>
      <c r="R999" s="335"/>
      <c r="U999" s="331" t="str">
        <f ca="1">'Calculos(2)'!CK$287</f>
        <v>-</v>
      </c>
      <c r="V999" s="332"/>
      <c r="W999" s="1"/>
    </row>
    <row r="1000" spans="1:23" ht="20.100000000000001" customHeight="1" x14ac:dyDescent="0.25">
      <c r="A1000" s="18"/>
      <c r="B1000" s="18"/>
      <c r="C1000" s="18"/>
      <c r="D1000" s="7"/>
      <c r="E1000" s="326"/>
      <c r="F1000" s="1485"/>
      <c r="G1000" s="1486"/>
      <c r="H1000" s="1486"/>
      <c r="I1000" s="1487"/>
      <c r="J1000" s="1195"/>
      <c r="K1000" s="1084"/>
      <c r="L1000" s="1084"/>
      <c r="M1000" s="1492"/>
      <c r="N1000" s="334"/>
      <c r="O1000" s="334"/>
      <c r="P1000" s="335"/>
      <c r="Q1000" s="335"/>
      <c r="R1000" s="335"/>
      <c r="U1000" s="331" t="str">
        <f ca="1">'Calculos(2)'!CK$288</f>
        <v>-</v>
      </c>
      <c r="V1000" s="332"/>
      <c r="W1000" s="1"/>
    </row>
    <row r="1001" spans="1:23" ht="20.100000000000001" customHeight="1" x14ac:dyDescent="0.25">
      <c r="A1001" s="18"/>
      <c r="B1001" s="18"/>
      <c r="C1001" s="18"/>
      <c r="D1001" s="7"/>
      <c r="E1001" s="326"/>
      <c r="F1001" s="1485"/>
      <c r="G1001" s="1486"/>
      <c r="H1001" s="1486"/>
      <c r="I1001" s="1487"/>
      <c r="J1001" s="1195"/>
      <c r="K1001" s="1084"/>
      <c r="L1001" s="1084"/>
      <c r="M1001" s="1492"/>
      <c r="N1001" s="334"/>
      <c r="O1001" s="334"/>
      <c r="P1001" s="335"/>
      <c r="Q1001" s="335"/>
      <c r="R1001" s="335"/>
      <c r="U1001" s="331" t="str">
        <f ca="1">'Calculos(2)'!CK$289</f>
        <v>-</v>
      </c>
      <c r="V1001" s="332"/>
      <c r="W1001" s="1"/>
    </row>
    <row r="1002" spans="1:23" ht="20.100000000000001" customHeight="1" x14ac:dyDescent="0.25">
      <c r="A1002" s="18"/>
      <c r="B1002" s="18"/>
      <c r="C1002" s="18"/>
      <c r="D1002" s="7"/>
      <c r="E1002" s="326"/>
      <c r="F1002" s="1485"/>
      <c r="G1002" s="1486"/>
      <c r="H1002" s="1486"/>
      <c r="I1002" s="1487"/>
      <c r="J1002" s="1195"/>
      <c r="K1002" s="1084"/>
      <c r="L1002" s="1084"/>
      <c r="M1002" s="1492"/>
      <c r="N1002" s="334"/>
      <c r="O1002" s="334"/>
      <c r="P1002" s="335"/>
      <c r="Q1002" s="335"/>
      <c r="R1002" s="335"/>
      <c r="U1002" s="331" t="str">
        <f ca="1">'Calculos(2)'!CK$290</f>
        <v>-</v>
      </c>
      <c r="V1002" s="332"/>
      <c r="W1002" s="1"/>
    </row>
    <row r="1003" spans="1:23" ht="20.100000000000001" customHeight="1" x14ac:dyDescent="0.25">
      <c r="A1003" s="18"/>
      <c r="B1003" s="18"/>
      <c r="C1003" s="18"/>
      <c r="D1003" s="7"/>
      <c r="E1003" s="326"/>
      <c r="F1003" s="1485"/>
      <c r="G1003" s="1486"/>
      <c r="H1003" s="1486"/>
      <c r="I1003" s="1487"/>
      <c r="J1003" s="1195"/>
      <c r="K1003" s="1084"/>
      <c r="L1003" s="1084"/>
      <c r="M1003" s="1492"/>
      <c r="N1003" s="334"/>
      <c r="O1003" s="334"/>
      <c r="P1003" s="335"/>
      <c r="Q1003" s="335"/>
      <c r="R1003" s="335"/>
      <c r="U1003" s="331" t="str">
        <f ca="1">'Calculos(2)'!CK$291</f>
        <v>-</v>
      </c>
      <c r="V1003" s="332"/>
      <c r="W1003" s="1"/>
    </row>
    <row r="1004" spans="1:23" ht="20.100000000000001" customHeight="1" x14ac:dyDescent="0.25">
      <c r="A1004" s="18"/>
      <c r="B1004" s="18"/>
      <c r="C1004" s="18"/>
      <c r="D1004" s="7"/>
      <c r="E1004" s="326"/>
      <c r="F1004" s="1485"/>
      <c r="G1004" s="1486"/>
      <c r="H1004" s="1486"/>
      <c r="I1004" s="1487"/>
      <c r="J1004" s="1196"/>
      <c r="K1004" s="1121"/>
      <c r="L1004" s="1121"/>
      <c r="M1004" s="1493"/>
      <c r="N1004" s="334"/>
      <c r="O1004" s="334"/>
      <c r="P1004" s="335"/>
      <c r="Q1004" s="335"/>
      <c r="R1004" s="335"/>
      <c r="U1004" s="331" t="str">
        <f ca="1">'Calculos(2)'!CK$292</f>
        <v>-</v>
      </c>
      <c r="V1004" s="329"/>
      <c r="W1004" s="1"/>
    </row>
    <row r="1005" spans="1:23" ht="20.100000000000001" customHeight="1" x14ac:dyDescent="0.25">
      <c r="A1005" s="18"/>
      <c r="B1005" s="18"/>
      <c r="C1005" s="18"/>
      <c r="D1005" s="7"/>
      <c r="E1005" s="326"/>
      <c r="F1005" s="1488"/>
      <c r="G1005" s="1489"/>
      <c r="H1005" s="1489"/>
      <c r="I1005" s="1490"/>
      <c r="J1005" s="1472" t="s">
        <v>80</v>
      </c>
      <c r="K1005" s="1473"/>
      <c r="L1005" s="1473"/>
      <c r="M1005" s="1474"/>
      <c r="N1005" s="334"/>
      <c r="O1005" s="334"/>
      <c r="P1005" s="335"/>
      <c r="Q1005" s="335"/>
      <c r="R1005" s="335" t="s">
        <v>10</v>
      </c>
      <c r="U1005" s="331" t="str">
        <f ca="1">'Calculos(2)'!CK$293</f>
        <v>-</v>
      </c>
      <c r="V1005" s="329"/>
      <c r="W1005" s="1"/>
    </row>
    <row r="1006" spans="1:23" ht="20.100000000000001" customHeight="1" x14ac:dyDescent="0.25">
      <c r="A1006" s="18"/>
      <c r="B1006" s="18"/>
      <c r="C1006" s="18"/>
      <c r="D1006" s="7"/>
      <c r="E1006" s="336"/>
      <c r="F1006" s="337"/>
      <c r="G1006" s="337"/>
      <c r="H1006" s="337"/>
      <c r="I1006" s="337"/>
      <c r="J1006" s="337"/>
      <c r="K1006" s="337"/>
      <c r="L1006" s="337"/>
      <c r="M1006" s="337"/>
      <c r="N1006" s="337"/>
      <c r="O1006" s="337"/>
      <c r="P1006" s="337"/>
      <c r="Q1006" s="337"/>
      <c r="R1006" s="337"/>
      <c r="S1006" s="337"/>
      <c r="T1006" s="337"/>
      <c r="U1006" s="337"/>
      <c r="V1006" s="338"/>
      <c r="W1006" s="7"/>
    </row>
    <row r="1007" spans="1:23" ht="20.100000000000001" hidden="1" customHeight="1" x14ac:dyDescent="0.25">
      <c r="A1007" s="18"/>
      <c r="B1007" s="18"/>
      <c r="C1007" s="18"/>
      <c r="D1007" s="7"/>
      <c r="E1007" s="2"/>
      <c r="W1007" s="7"/>
    </row>
    <row r="1008" spans="1:23" ht="20.100000000000001" customHeight="1" x14ac:dyDescent="0.25">
      <c r="A1008" s="18"/>
      <c r="B1008" s="18"/>
      <c r="C1008" s="18"/>
      <c r="D1008" s="7"/>
      <c r="E1008" s="1"/>
      <c r="F1008" s="1"/>
      <c r="G1008" s="1"/>
      <c r="H1008" s="1"/>
      <c r="I1008" s="1"/>
      <c r="J1008" s="1"/>
      <c r="K1008" s="1"/>
      <c r="L1008" s="1"/>
      <c r="M1008" s="1"/>
      <c r="N1008" s="1"/>
      <c r="O1008" s="1"/>
      <c r="P1008" s="1"/>
      <c r="Q1008" s="1"/>
      <c r="R1008" s="1"/>
      <c r="S1008" s="1"/>
      <c r="T1008" s="1"/>
      <c r="U1008" s="1"/>
      <c r="V1008" s="1"/>
      <c r="W1008" s="1"/>
    </row>
    <row r="1009" spans="1:23" ht="20.100000000000001" customHeight="1" x14ac:dyDescent="0.25">
      <c r="A1009" s="18"/>
      <c r="B1009" s="18"/>
      <c r="C1009" s="18"/>
      <c r="D1009" s="7"/>
      <c r="E1009" s="321"/>
      <c r="F1009" s="322"/>
      <c r="G1009" s="323"/>
      <c r="H1009" s="323"/>
      <c r="I1009" s="323"/>
      <c r="J1009" s="323"/>
      <c r="K1009" s="323"/>
      <c r="L1009" s="323"/>
      <c r="M1009" s="323"/>
      <c r="N1009" s="323"/>
      <c r="O1009" s="323"/>
      <c r="P1009" s="323"/>
      <c r="Q1009" s="323"/>
      <c r="R1009" s="323"/>
      <c r="S1009" s="339"/>
      <c r="T1009" s="339"/>
      <c r="U1009" s="340"/>
      <c r="V1009" s="325"/>
      <c r="W1009" s="1"/>
    </row>
    <row r="1010" spans="1:23" ht="45" customHeight="1" x14ac:dyDescent="0.25">
      <c r="A1010" s="18"/>
      <c r="B1010" s="18"/>
      <c r="C1010" s="18"/>
      <c r="D1010" s="7"/>
      <c r="E1010" s="326"/>
      <c r="F1010" s="1494" t="s">
        <v>8614</v>
      </c>
      <c r="G1010" s="1495"/>
      <c r="H1010" s="1495"/>
      <c r="I1010" s="1495"/>
      <c r="J1010" s="1495"/>
      <c r="K1010" s="1495"/>
      <c r="L1010" s="1495"/>
      <c r="M1010" s="1496"/>
      <c r="N1010" s="327" t="str">
        <f ca="1">"Concentração"&amp;" "&amp;'Calculos(2)'!$BJ$3</f>
        <v>Concentração -</v>
      </c>
      <c r="O1010" s="327" t="s">
        <v>6038</v>
      </c>
      <c r="P1010" s="327" t="s">
        <v>8126</v>
      </c>
      <c r="Q1010" s="327" t="s">
        <v>8028</v>
      </c>
      <c r="R1010" s="327" t="s">
        <v>8603</v>
      </c>
      <c r="S1010" s="327" t="s">
        <v>8127</v>
      </c>
      <c r="U1010" s="328" t="s">
        <v>119</v>
      </c>
      <c r="V1010" s="332"/>
      <c r="W1010" s="1"/>
    </row>
    <row r="1011" spans="1:23" ht="20.100000000000001" customHeight="1" x14ac:dyDescent="0.25">
      <c r="A1011" s="18"/>
      <c r="B1011" s="18"/>
      <c r="C1011" s="18"/>
      <c r="D1011" s="7"/>
      <c r="E1011" s="326"/>
      <c r="F1011" s="1482" t="str">
        <f ca="1">'Calculos(2)'!$BJ$6</f>
        <v>-</v>
      </c>
      <c r="G1011" s="1483"/>
      <c r="H1011" s="1483"/>
      <c r="I1011" s="1484"/>
      <c r="J1011" s="1472" t="s">
        <v>7103</v>
      </c>
      <c r="K1011" s="1473"/>
      <c r="L1011" s="1473"/>
      <c r="M1011" s="1474"/>
      <c r="N1011" s="188"/>
      <c r="O1011" s="188"/>
      <c r="P1011" s="330"/>
      <c r="Q1011" s="330"/>
      <c r="R1011" s="187">
        <v>0</v>
      </c>
      <c r="S1011" s="331">
        <f>O1011/2</f>
        <v>0</v>
      </c>
      <c r="U1011" s="331" t="str">
        <f ca="1">'Calculos(2)'!CK$298</f>
        <v>-</v>
      </c>
      <c r="V1011" s="332"/>
      <c r="W1011" s="1"/>
    </row>
    <row r="1012" spans="1:23" ht="20.100000000000001" customHeight="1" x14ac:dyDescent="0.25">
      <c r="A1012" s="18"/>
      <c r="B1012" s="18"/>
      <c r="C1012" s="18"/>
      <c r="D1012" s="7"/>
      <c r="E1012" s="326"/>
      <c r="F1012" s="1485"/>
      <c r="G1012" s="1486"/>
      <c r="H1012" s="1486"/>
      <c r="I1012" s="1487"/>
      <c r="J1012" s="1193" t="s">
        <v>8027</v>
      </c>
      <c r="K1012" s="1194"/>
      <c r="L1012" s="1194"/>
      <c r="M1012" s="1491"/>
      <c r="N1012" s="188"/>
      <c r="O1012" s="188"/>
      <c r="P1012" s="330"/>
      <c r="Q1012" s="330"/>
      <c r="R1012" s="187"/>
      <c r="U1012" s="331" t="str">
        <f ca="1">'Calculos(2)'!CK$299</f>
        <v>-</v>
      </c>
      <c r="V1012" s="332"/>
      <c r="W1012" s="1"/>
    </row>
    <row r="1013" spans="1:23" ht="20.100000000000001" customHeight="1" x14ac:dyDescent="0.25">
      <c r="A1013" s="18"/>
      <c r="B1013" s="18"/>
      <c r="C1013" s="18"/>
      <c r="D1013" s="7"/>
      <c r="E1013" s="326"/>
      <c r="F1013" s="1485"/>
      <c r="G1013" s="1486"/>
      <c r="H1013" s="1486"/>
      <c r="I1013" s="1487"/>
      <c r="J1013" s="1195"/>
      <c r="K1013" s="1084"/>
      <c r="L1013" s="1084"/>
      <c r="M1013" s="1492"/>
      <c r="N1013" s="188"/>
      <c r="O1013" s="188"/>
      <c r="P1013" s="330"/>
      <c r="Q1013" s="330"/>
      <c r="R1013" s="187"/>
      <c r="U1013" s="331" t="str">
        <f ca="1">'Calculos(2)'!CK$300</f>
        <v>-</v>
      </c>
      <c r="V1013" s="332"/>
      <c r="W1013" s="1"/>
    </row>
    <row r="1014" spans="1:23" ht="20.100000000000001" customHeight="1" x14ac:dyDescent="0.25">
      <c r="A1014" s="18"/>
      <c r="B1014" s="18"/>
      <c r="C1014" s="18"/>
      <c r="D1014" s="7"/>
      <c r="E1014" s="326"/>
      <c r="F1014" s="1485"/>
      <c r="G1014" s="1486"/>
      <c r="H1014" s="1486"/>
      <c r="I1014" s="1487"/>
      <c r="J1014" s="1195"/>
      <c r="K1014" s="1084"/>
      <c r="L1014" s="1084"/>
      <c r="M1014" s="1492"/>
      <c r="N1014" s="188"/>
      <c r="O1014" s="188"/>
      <c r="P1014" s="330"/>
      <c r="Q1014" s="330"/>
      <c r="R1014" s="187"/>
      <c r="U1014" s="331" t="str">
        <f ca="1">'Calculos(2)'!CK$301</f>
        <v>-</v>
      </c>
      <c r="V1014" s="332"/>
      <c r="W1014" s="1"/>
    </row>
    <row r="1015" spans="1:23" ht="20.100000000000001" customHeight="1" x14ac:dyDescent="0.25">
      <c r="A1015" s="18"/>
      <c r="B1015" s="18"/>
      <c r="C1015" s="18"/>
      <c r="D1015" s="7"/>
      <c r="E1015" s="326"/>
      <c r="F1015" s="1485"/>
      <c r="G1015" s="1486"/>
      <c r="H1015" s="1486"/>
      <c r="I1015" s="1487"/>
      <c r="J1015" s="1195"/>
      <c r="K1015" s="1084"/>
      <c r="L1015" s="1084"/>
      <c r="M1015" s="1492"/>
      <c r="N1015" s="188"/>
      <c r="O1015" s="188"/>
      <c r="P1015" s="330"/>
      <c r="Q1015" s="330"/>
      <c r="R1015" s="187"/>
      <c r="U1015" s="331" t="str">
        <f ca="1">'Calculos(2)'!CK$302</f>
        <v>-</v>
      </c>
      <c r="V1015" s="332"/>
      <c r="W1015" s="1"/>
    </row>
    <row r="1016" spans="1:23" ht="20.100000000000001" customHeight="1" x14ac:dyDescent="0.25">
      <c r="A1016" s="18"/>
      <c r="B1016" s="18"/>
      <c r="C1016" s="18"/>
      <c r="D1016" s="7"/>
      <c r="E1016" s="326"/>
      <c r="F1016" s="1485"/>
      <c r="G1016" s="1486"/>
      <c r="H1016" s="1486"/>
      <c r="I1016" s="1487"/>
      <c r="J1016" s="1195"/>
      <c r="K1016" s="1084"/>
      <c r="L1016" s="1084"/>
      <c r="M1016" s="1492"/>
      <c r="N1016" s="188"/>
      <c r="O1016" s="188"/>
      <c r="P1016" s="330"/>
      <c r="Q1016" s="330"/>
      <c r="R1016" s="187"/>
      <c r="U1016" s="331" t="str">
        <f ca="1">'Calculos(2)'!CK$303</f>
        <v>-</v>
      </c>
      <c r="V1016" s="332"/>
      <c r="W1016" s="1"/>
    </row>
    <row r="1017" spans="1:23" ht="20.100000000000001" customHeight="1" x14ac:dyDescent="0.25">
      <c r="A1017" s="18"/>
      <c r="B1017" s="18"/>
      <c r="C1017" s="18"/>
      <c r="D1017" s="7"/>
      <c r="E1017" s="326"/>
      <c r="F1017" s="1485"/>
      <c r="G1017" s="1486"/>
      <c r="H1017" s="1486"/>
      <c r="I1017" s="1487"/>
      <c r="J1017" s="1195"/>
      <c r="K1017" s="1084"/>
      <c r="L1017" s="1084"/>
      <c r="M1017" s="1492"/>
      <c r="N1017" s="188"/>
      <c r="O1017" s="188"/>
      <c r="P1017" s="330"/>
      <c r="Q1017" s="330"/>
      <c r="R1017" s="187"/>
      <c r="U1017" s="331" t="str">
        <f ca="1">'Calculos(2)'!CK$304</f>
        <v>-</v>
      </c>
      <c r="V1017" s="332"/>
      <c r="W1017" s="1"/>
    </row>
    <row r="1018" spans="1:23" ht="20.100000000000001" customHeight="1" x14ac:dyDescent="0.25">
      <c r="A1018" s="18"/>
      <c r="B1018" s="18"/>
      <c r="C1018" s="18"/>
      <c r="D1018" s="7"/>
      <c r="E1018" s="326"/>
      <c r="F1018" s="1485"/>
      <c r="G1018" s="1486"/>
      <c r="H1018" s="1486"/>
      <c r="I1018" s="1487"/>
      <c r="J1018" s="1195"/>
      <c r="K1018" s="1084"/>
      <c r="L1018" s="1084"/>
      <c r="M1018" s="1492"/>
      <c r="N1018" s="188"/>
      <c r="O1018" s="188"/>
      <c r="P1018" s="330"/>
      <c r="Q1018" s="330"/>
      <c r="R1018" s="187"/>
      <c r="U1018" s="331" t="str">
        <f ca="1">'Calculos(2)'!CK$305</f>
        <v>-</v>
      </c>
      <c r="V1018" s="332"/>
      <c r="W1018" s="1"/>
    </row>
    <row r="1019" spans="1:23" ht="20.100000000000001" customHeight="1" x14ac:dyDescent="0.25">
      <c r="A1019" s="18"/>
      <c r="B1019" s="18"/>
      <c r="C1019" s="18"/>
      <c r="D1019" s="7"/>
      <c r="E1019" s="326"/>
      <c r="F1019" s="1485"/>
      <c r="G1019" s="1486"/>
      <c r="H1019" s="1486"/>
      <c r="I1019" s="1487"/>
      <c r="J1019" s="1195"/>
      <c r="K1019" s="1084"/>
      <c r="L1019" s="1084"/>
      <c r="M1019" s="1492"/>
      <c r="N1019" s="188"/>
      <c r="O1019" s="188"/>
      <c r="P1019" s="330"/>
      <c r="Q1019" s="330"/>
      <c r="R1019" s="187"/>
      <c r="U1019" s="331" t="str">
        <f ca="1">'Calculos(2)'!CK$306</f>
        <v>-</v>
      </c>
      <c r="V1019" s="332"/>
      <c r="W1019" s="1"/>
    </row>
    <row r="1020" spans="1:23" ht="20.100000000000001" customHeight="1" x14ac:dyDescent="0.25">
      <c r="A1020" s="18"/>
      <c r="B1020" s="18"/>
      <c r="C1020" s="18"/>
      <c r="D1020" s="7"/>
      <c r="E1020" s="326"/>
      <c r="F1020" s="1485"/>
      <c r="G1020" s="1486"/>
      <c r="H1020" s="1486"/>
      <c r="I1020" s="1487"/>
      <c r="J1020" s="1195"/>
      <c r="K1020" s="1084"/>
      <c r="L1020" s="1084"/>
      <c r="M1020" s="1492"/>
      <c r="N1020" s="188"/>
      <c r="O1020" s="188"/>
      <c r="P1020" s="330"/>
      <c r="Q1020" s="330"/>
      <c r="R1020" s="187"/>
      <c r="U1020" s="331" t="str">
        <f ca="1">'Calculos(2)'!CK$307</f>
        <v>-</v>
      </c>
      <c r="V1020" s="332"/>
      <c r="W1020" s="1"/>
    </row>
    <row r="1021" spans="1:23" ht="20.100000000000001" customHeight="1" x14ac:dyDescent="0.25">
      <c r="A1021" s="18"/>
      <c r="B1021" s="18"/>
      <c r="C1021" s="18"/>
      <c r="D1021" s="7"/>
      <c r="E1021" s="326"/>
      <c r="F1021" s="1485"/>
      <c r="G1021" s="1486"/>
      <c r="H1021" s="1486"/>
      <c r="I1021" s="1487"/>
      <c r="J1021" s="1196"/>
      <c r="K1021" s="1121"/>
      <c r="L1021" s="1121"/>
      <c r="M1021" s="1493"/>
      <c r="N1021" s="188"/>
      <c r="O1021" s="188"/>
      <c r="P1021" s="330"/>
      <c r="Q1021" s="330"/>
      <c r="R1021" s="187"/>
      <c r="U1021" s="331" t="str">
        <f ca="1">'Calculos(2)'!CK$308</f>
        <v>-</v>
      </c>
      <c r="V1021" s="332"/>
      <c r="W1021" s="1"/>
    </row>
    <row r="1022" spans="1:23" ht="20.100000000000001" customHeight="1" x14ac:dyDescent="0.25">
      <c r="A1022" s="18"/>
      <c r="B1022" s="18"/>
      <c r="C1022" s="18"/>
      <c r="D1022" s="7"/>
      <c r="E1022" s="326"/>
      <c r="F1022" s="1488"/>
      <c r="G1022" s="1489"/>
      <c r="H1022" s="1489"/>
      <c r="I1022" s="1490"/>
      <c r="J1022" s="1472" t="s">
        <v>80</v>
      </c>
      <c r="K1022" s="1473"/>
      <c r="L1022" s="1473"/>
      <c r="M1022" s="1474"/>
      <c r="N1022" s="188"/>
      <c r="O1022" s="188"/>
      <c r="P1022" s="330"/>
      <c r="Q1022" s="330"/>
      <c r="R1022" s="187" t="s">
        <v>10</v>
      </c>
      <c r="U1022" s="331" t="str">
        <f ca="1">'Calculos(2)'!CK$309</f>
        <v>-</v>
      </c>
      <c r="V1022" s="332"/>
      <c r="W1022" s="1"/>
    </row>
    <row r="1023" spans="1:23" ht="20.100000000000001" customHeight="1" x14ac:dyDescent="0.25">
      <c r="A1023" s="18"/>
      <c r="B1023" s="18"/>
      <c r="C1023" s="18"/>
      <c r="D1023" s="7"/>
      <c r="E1023" s="326"/>
      <c r="V1023" s="332"/>
      <c r="W1023" s="7"/>
    </row>
    <row r="1024" spans="1:23" ht="20.100000000000001" hidden="1" customHeight="1" x14ac:dyDescent="0.25">
      <c r="A1024" s="18"/>
      <c r="B1024" s="18"/>
      <c r="C1024" s="18"/>
      <c r="D1024" s="7"/>
      <c r="E1024" s="326"/>
      <c r="V1024" s="332"/>
      <c r="W1024" s="7"/>
    </row>
    <row r="1025" spans="1:23" ht="20.100000000000001" hidden="1" customHeight="1" x14ac:dyDescent="0.25">
      <c r="A1025" s="18"/>
      <c r="B1025" s="18"/>
      <c r="C1025" s="18"/>
      <c r="D1025" s="7"/>
      <c r="E1025" s="326"/>
      <c r="V1025" s="332"/>
      <c r="W1025" s="1"/>
    </row>
    <row r="1026" spans="1:23" ht="20.100000000000001" customHeight="1" x14ac:dyDescent="0.25">
      <c r="A1026" s="18"/>
      <c r="B1026" s="18"/>
      <c r="C1026" s="18"/>
      <c r="D1026" s="7"/>
      <c r="E1026" s="326"/>
      <c r="V1026" s="332"/>
      <c r="W1026" s="1"/>
    </row>
    <row r="1027" spans="1:23" ht="45" customHeight="1" x14ac:dyDescent="0.25">
      <c r="A1027" s="18"/>
      <c r="B1027" s="18"/>
      <c r="C1027" s="18"/>
      <c r="D1027" s="7"/>
      <c r="E1027" s="326"/>
      <c r="F1027" s="1479" t="s">
        <v>8623</v>
      </c>
      <c r="G1027" s="1480"/>
      <c r="H1027" s="1480"/>
      <c r="I1027" s="1480"/>
      <c r="J1027" s="1480"/>
      <c r="K1027" s="1480"/>
      <c r="L1027" s="1480"/>
      <c r="M1027" s="1481"/>
      <c r="N1027" s="333" t="str">
        <f ca="1">"Concentração"&amp;" "&amp;'Calculos(2)'!$BJ$3</f>
        <v>Concentração -</v>
      </c>
      <c r="O1027" s="333" t="s">
        <v>6038</v>
      </c>
      <c r="P1027" s="333" t="s">
        <v>8126</v>
      </c>
      <c r="Q1027" s="333" t="s">
        <v>8028</v>
      </c>
      <c r="R1027" s="333" t="s">
        <v>8603</v>
      </c>
      <c r="S1027" s="333" t="s">
        <v>8127</v>
      </c>
      <c r="U1027" s="328" t="s">
        <v>119</v>
      </c>
      <c r="V1027" s="332"/>
      <c r="W1027" s="1"/>
    </row>
    <row r="1028" spans="1:23" ht="20.100000000000001" customHeight="1" x14ac:dyDescent="0.25">
      <c r="A1028" s="18"/>
      <c r="B1028" s="18"/>
      <c r="C1028" s="18"/>
      <c r="D1028" s="7"/>
      <c r="E1028" s="326"/>
      <c r="F1028" s="1482" t="str">
        <f ca="1">'Calculos(2)'!$BJ$6</f>
        <v>-</v>
      </c>
      <c r="G1028" s="1483"/>
      <c r="H1028" s="1483"/>
      <c r="I1028" s="1484"/>
      <c r="J1028" s="1472" t="s">
        <v>7103</v>
      </c>
      <c r="K1028" s="1473"/>
      <c r="L1028" s="1473"/>
      <c r="M1028" s="1474"/>
      <c r="N1028" s="334"/>
      <c r="O1028" s="334"/>
      <c r="P1028" s="335"/>
      <c r="Q1028" s="335"/>
      <c r="R1028" s="335">
        <v>0</v>
      </c>
      <c r="S1028" s="331">
        <f>O1028/2</f>
        <v>0</v>
      </c>
      <c r="U1028" s="331" t="str">
        <f ca="1">'Calculos(2)'!CK$314</f>
        <v>-</v>
      </c>
      <c r="V1028" s="332"/>
      <c r="W1028" s="1"/>
    </row>
    <row r="1029" spans="1:23" ht="20.100000000000001" customHeight="1" x14ac:dyDescent="0.25">
      <c r="A1029" s="18"/>
      <c r="B1029" s="18"/>
      <c r="C1029" s="18"/>
      <c r="D1029" s="7"/>
      <c r="E1029" s="326"/>
      <c r="F1029" s="1485"/>
      <c r="G1029" s="1486"/>
      <c r="H1029" s="1486"/>
      <c r="I1029" s="1487"/>
      <c r="J1029" s="1193" t="s">
        <v>8027</v>
      </c>
      <c r="K1029" s="1194"/>
      <c r="L1029" s="1194"/>
      <c r="M1029" s="1491"/>
      <c r="N1029" s="334"/>
      <c r="O1029" s="334"/>
      <c r="P1029" s="335"/>
      <c r="Q1029" s="335"/>
      <c r="R1029" s="335"/>
      <c r="U1029" s="331" t="str">
        <f ca="1">'Calculos(2)'!CK$315</f>
        <v>-</v>
      </c>
      <c r="V1029" s="332"/>
      <c r="W1029" s="1"/>
    </row>
    <row r="1030" spans="1:23" ht="20.100000000000001" customHeight="1" x14ac:dyDescent="0.25">
      <c r="A1030" s="18"/>
      <c r="B1030" s="18"/>
      <c r="C1030" s="18"/>
      <c r="D1030" s="7"/>
      <c r="E1030" s="326"/>
      <c r="F1030" s="1485"/>
      <c r="G1030" s="1486"/>
      <c r="H1030" s="1486"/>
      <c r="I1030" s="1487"/>
      <c r="J1030" s="1195"/>
      <c r="K1030" s="1084"/>
      <c r="L1030" s="1084"/>
      <c r="M1030" s="1492"/>
      <c r="N1030" s="334"/>
      <c r="O1030" s="334"/>
      <c r="P1030" s="335"/>
      <c r="Q1030" s="335"/>
      <c r="R1030" s="335"/>
      <c r="U1030" s="331" t="str">
        <f ca="1">'Calculos(2)'!CK$316</f>
        <v>-</v>
      </c>
      <c r="V1030" s="332"/>
      <c r="W1030" s="1"/>
    </row>
    <row r="1031" spans="1:23" ht="20.100000000000001" customHeight="1" x14ac:dyDescent="0.25">
      <c r="A1031" s="18"/>
      <c r="B1031" s="18"/>
      <c r="C1031" s="18"/>
      <c r="D1031" s="7"/>
      <c r="E1031" s="326"/>
      <c r="F1031" s="1485"/>
      <c r="G1031" s="1486"/>
      <c r="H1031" s="1486"/>
      <c r="I1031" s="1487"/>
      <c r="J1031" s="1195"/>
      <c r="K1031" s="1084"/>
      <c r="L1031" s="1084"/>
      <c r="M1031" s="1492"/>
      <c r="N1031" s="334"/>
      <c r="O1031" s="334"/>
      <c r="P1031" s="335"/>
      <c r="Q1031" s="335"/>
      <c r="R1031" s="335"/>
      <c r="U1031" s="331" t="str">
        <f ca="1">'Calculos(2)'!CK$317</f>
        <v>-</v>
      </c>
      <c r="V1031" s="332"/>
      <c r="W1031" s="1"/>
    </row>
    <row r="1032" spans="1:23" ht="20.100000000000001" customHeight="1" x14ac:dyDescent="0.25">
      <c r="A1032" s="18"/>
      <c r="B1032" s="18"/>
      <c r="C1032" s="18"/>
      <c r="D1032" s="7"/>
      <c r="E1032" s="326"/>
      <c r="F1032" s="1485"/>
      <c r="G1032" s="1486"/>
      <c r="H1032" s="1486"/>
      <c r="I1032" s="1487"/>
      <c r="J1032" s="1195"/>
      <c r="K1032" s="1084"/>
      <c r="L1032" s="1084"/>
      <c r="M1032" s="1492"/>
      <c r="N1032" s="334"/>
      <c r="O1032" s="334"/>
      <c r="P1032" s="335"/>
      <c r="Q1032" s="335"/>
      <c r="R1032" s="335"/>
      <c r="U1032" s="331" t="str">
        <f ca="1">'Calculos(2)'!CK$318</f>
        <v>-</v>
      </c>
      <c r="V1032" s="332"/>
      <c r="W1032" s="1"/>
    </row>
    <row r="1033" spans="1:23" ht="20.100000000000001" customHeight="1" x14ac:dyDescent="0.25">
      <c r="A1033" s="18"/>
      <c r="B1033" s="18"/>
      <c r="C1033" s="18"/>
      <c r="D1033" s="7"/>
      <c r="E1033" s="326"/>
      <c r="F1033" s="1485"/>
      <c r="G1033" s="1486"/>
      <c r="H1033" s="1486"/>
      <c r="I1033" s="1487"/>
      <c r="J1033" s="1195"/>
      <c r="K1033" s="1084"/>
      <c r="L1033" s="1084"/>
      <c r="M1033" s="1492"/>
      <c r="N1033" s="334"/>
      <c r="O1033" s="334"/>
      <c r="P1033" s="335"/>
      <c r="Q1033" s="335"/>
      <c r="R1033" s="335"/>
      <c r="U1033" s="331" t="str">
        <f ca="1">'Calculos(2)'!CK$319</f>
        <v>-</v>
      </c>
      <c r="V1033" s="332"/>
      <c r="W1033" s="1"/>
    </row>
    <row r="1034" spans="1:23" ht="20.100000000000001" customHeight="1" x14ac:dyDescent="0.25">
      <c r="A1034" s="18"/>
      <c r="B1034" s="18"/>
      <c r="C1034" s="18"/>
      <c r="D1034" s="7"/>
      <c r="E1034" s="326"/>
      <c r="F1034" s="1485"/>
      <c r="G1034" s="1486"/>
      <c r="H1034" s="1486"/>
      <c r="I1034" s="1487"/>
      <c r="J1034" s="1195"/>
      <c r="K1034" s="1084"/>
      <c r="L1034" s="1084"/>
      <c r="M1034" s="1492"/>
      <c r="N1034" s="334"/>
      <c r="O1034" s="334"/>
      <c r="P1034" s="335"/>
      <c r="Q1034" s="335"/>
      <c r="R1034" s="335"/>
      <c r="U1034" s="331" t="str">
        <f ca="1">'Calculos(2)'!CK$320</f>
        <v>-</v>
      </c>
      <c r="V1034" s="332"/>
      <c r="W1034" s="1"/>
    </row>
    <row r="1035" spans="1:23" ht="20.100000000000001" customHeight="1" x14ac:dyDescent="0.25">
      <c r="A1035" s="18"/>
      <c r="B1035" s="18"/>
      <c r="C1035" s="18"/>
      <c r="D1035" s="7"/>
      <c r="E1035" s="326"/>
      <c r="F1035" s="1485"/>
      <c r="G1035" s="1486"/>
      <c r="H1035" s="1486"/>
      <c r="I1035" s="1487"/>
      <c r="J1035" s="1195"/>
      <c r="K1035" s="1084"/>
      <c r="L1035" s="1084"/>
      <c r="M1035" s="1492"/>
      <c r="N1035" s="334"/>
      <c r="O1035" s="334"/>
      <c r="P1035" s="335"/>
      <c r="Q1035" s="335"/>
      <c r="R1035" s="335"/>
      <c r="U1035" s="331" t="str">
        <f ca="1">'Calculos(2)'!CK$321</f>
        <v>-</v>
      </c>
      <c r="V1035" s="332"/>
      <c r="W1035" s="1"/>
    </row>
    <row r="1036" spans="1:23" ht="20.100000000000001" customHeight="1" x14ac:dyDescent="0.25">
      <c r="A1036" s="18"/>
      <c r="B1036" s="18"/>
      <c r="C1036" s="18"/>
      <c r="D1036" s="7"/>
      <c r="E1036" s="326"/>
      <c r="F1036" s="1485"/>
      <c r="G1036" s="1486"/>
      <c r="H1036" s="1486"/>
      <c r="I1036" s="1487"/>
      <c r="J1036" s="1195"/>
      <c r="K1036" s="1084"/>
      <c r="L1036" s="1084"/>
      <c r="M1036" s="1492"/>
      <c r="N1036" s="334"/>
      <c r="O1036" s="334"/>
      <c r="P1036" s="335"/>
      <c r="Q1036" s="335"/>
      <c r="R1036" s="335"/>
      <c r="U1036" s="331" t="str">
        <f ca="1">'Calculos(2)'!CK$322</f>
        <v>-</v>
      </c>
      <c r="V1036" s="332"/>
      <c r="W1036" s="1"/>
    </row>
    <row r="1037" spans="1:23" ht="20.100000000000001" customHeight="1" x14ac:dyDescent="0.25">
      <c r="A1037" s="18"/>
      <c r="B1037" s="18"/>
      <c r="C1037" s="18"/>
      <c r="D1037" s="7"/>
      <c r="E1037" s="326"/>
      <c r="F1037" s="1485"/>
      <c r="G1037" s="1486"/>
      <c r="H1037" s="1486"/>
      <c r="I1037" s="1487"/>
      <c r="J1037" s="1195"/>
      <c r="K1037" s="1084"/>
      <c r="L1037" s="1084"/>
      <c r="M1037" s="1492"/>
      <c r="N1037" s="334"/>
      <c r="O1037" s="334"/>
      <c r="P1037" s="335"/>
      <c r="Q1037" s="335"/>
      <c r="R1037" s="335"/>
      <c r="U1037" s="331" t="str">
        <f ca="1">'Calculos(2)'!CK$323</f>
        <v>-</v>
      </c>
      <c r="V1037" s="332"/>
      <c r="W1037" s="1"/>
    </row>
    <row r="1038" spans="1:23" ht="20.100000000000001" customHeight="1" x14ac:dyDescent="0.25">
      <c r="A1038" s="18"/>
      <c r="B1038" s="18"/>
      <c r="C1038" s="18"/>
      <c r="D1038" s="7"/>
      <c r="E1038" s="326"/>
      <c r="F1038" s="1485"/>
      <c r="G1038" s="1486"/>
      <c r="H1038" s="1486"/>
      <c r="I1038" s="1487"/>
      <c r="J1038" s="1196"/>
      <c r="K1038" s="1121"/>
      <c r="L1038" s="1121"/>
      <c r="M1038" s="1493"/>
      <c r="N1038" s="334"/>
      <c r="O1038" s="334"/>
      <c r="P1038" s="335"/>
      <c r="Q1038" s="335"/>
      <c r="R1038" s="335"/>
      <c r="U1038" s="331" t="str">
        <f ca="1">'Calculos(2)'!CK$324</f>
        <v>-</v>
      </c>
      <c r="V1038" s="329"/>
      <c r="W1038" s="1"/>
    </row>
    <row r="1039" spans="1:23" ht="20.100000000000001" customHeight="1" x14ac:dyDescent="0.25">
      <c r="A1039" s="18"/>
      <c r="B1039" s="18"/>
      <c r="C1039" s="18"/>
      <c r="D1039" s="7"/>
      <c r="E1039" s="326"/>
      <c r="F1039" s="1488"/>
      <c r="G1039" s="1489"/>
      <c r="H1039" s="1489"/>
      <c r="I1039" s="1490"/>
      <c r="J1039" s="1472" t="s">
        <v>80</v>
      </c>
      <c r="K1039" s="1473"/>
      <c r="L1039" s="1473"/>
      <c r="M1039" s="1474"/>
      <c r="N1039" s="334"/>
      <c r="O1039" s="334"/>
      <c r="P1039" s="335"/>
      <c r="Q1039" s="335"/>
      <c r="R1039" s="335" t="s">
        <v>10</v>
      </c>
      <c r="U1039" s="331" t="str">
        <f ca="1">'Calculos(2)'!CK$325</f>
        <v>-</v>
      </c>
      <c r="V1039" s="329"/>
      <c r="W1039" s="1"/>
    </row>
    <row r="1040" spans="1:23" ht="20.100000000000001" customHeight="1" x14ac:dyDescent="0.25">
      <c r="A1040" s="18"/>
      <c r="B1040" s="18"/>
      <c r="C1040" s="18"/>
      <c r="D1040" s="7"/>
      <c r="E1040" s="336"/>
      <c r="F1040" s="337"/>
      <c r="G1040" s="337"/>
      <c r="H1040" s="337"/>
      <c r="I1040" s="337"/>
      <c r="J1040" s="337"/>
      <c r="K1040" s="337"/>
      <c r="L1040" s="337"/>
      <c r="M1040" s="337"/>
      <c r="N1040" s="337"/>
      <c r="O1040" s="337"/>
      <c r="P1040" s="337"/>
      <c r="Q1040" s="337"/>
      <c r="R1040" s="337"/>
      <c r="S1040" s="337"/>
      <c r="T1040" s="337"/>
      <c r="U1040" s="337"/>
      <c r="V1040" s="338"/>
      <c r="W1040" s="1"/>
    </row>
    <row r="1041" spans="1:23" ht="20.100000000000001" customHeight="1" x14ac:dyDescent="0.25">
      <c r="A1041" s="18"/>
      <c r="B1041" s="18"/>
      <c r="C1041" s="18"/>
      <c r="D1041" s="7"/>
      <c r="E1041" s="7"/>
      <c r="F1041" s="7"/>
      <c r="G1041" s="7"/>
      <c r="H1041" s="7"/>
      <c r="I1041" s="7"/>
      <c r="J1041" s="7"/>
      <c r="K1041" s="7"/>
      <c r="L1041" s="7"/>
      <c r="M1041" s="7"/>
      <c r="N1041" s="7"/>
      <c r="O1041" s="7"/>
      <c r="P1041" s="7"/>
      <c r="Q1041" s="7"/>
      <c r="R1041" s="7"/>
      <c r="S1041" s="7"/>
      <c r="T1041" s="7"/>
      <c r="U1041" s="7"/>
      <c r="V1041" s="7"/>
      <c r="W1041" s="7"/>
    </row>
    <row r="1042" spans="1:23" ht="20.100000000000001" customHeight="1" x14ac:dyDescent="0.25">
      <c r="A1042" s="18"/>
      <c r="B1042" s="18"/>
      <c r="C1042" s="18"/>
      <c r="D1042" s="7"/>
      <c r="E1042" s="7"/>
      <c r="F1042" s="7"/>
      <c r="G1042" s="7"/>
      <c r="H1042" s="7"/>
      <c r="I1042" s="7"/>
      <c r="J1042" s="7"/>
      <c r="K1042" s="7"/>
      <c r="L1042" s="7"/>
      <c r="M1042" s="7"/>
      <c r="N1042" s="7"/>
      <c r="O1042" s="7"/>
      <c r="P1042" s="7"/>
      <c r="Q1042" s="7"/>
      <c r="R1042" s="7"/>
      <c r="S1042" s="7"/>
      <c r="T1042" s="7"/>
      <c r="U1042" s="7"/>
      <c r="V1042" s="7"/>
      <c r="W1042" s="7"/>
    </row>
    <row r="1043" spans="1:23" ht="20.100000000000001" customHeight="1" x14ac:dyDescent="0.25">
      <c r="A1043" s="18"/>
      <c r="B1043" s="18"/>
      <c r="C1043" s="18"/>
      <c r="D1043" s="7"/>
      <c r="E1043" s="7"/>
      <c r="F1043" s="7"/>
      <c r="G1043" s="7"/>
      <c r="H1043" s="7"/>
      <c r="I1043" s="7"/>
      <c r="J1043" s="7"/>
      <c r="K1043" s="7"/>
      <c r="L1043" s="7"/>
      <c r="M1043" s="7"/>
      <c r="N1043" s="7"/>
      <c r="O1043" s="7"/>
      <c r="P1043" s="7"/>
      <c r="Q1043" s="7"/>
      <c r="R1043" s="7"/>
      <c r="S1043" s="7"/>
      <c r="T1043" s="7"/>
      <c r="U1043" s="7"/>
      <c r="V1043" s="7"/>
      <c r="W1043" s="7"/>
    </row>
    <row r="1044" spans="1:23" ht="20.100000000000001" customHeight="1" x14ac:dyDescent="0.25">
      <c r="A1044" s="18"/>
      <c r="B1044" s="18"/>
      <c r="C1044" s="18"/>
      <c r="D1044" s="7"/>
      <c r="E1044" s="7"/>
      <c r="F1044" s="7"/>
      <c r="G1044" s="7"/>
      <c r="H1044" s="7"/>
      <c r="I1044" s="7"/>
      <c r="J1044" s="7"/>
      <c r="K1044" s="7"/>
      <c r="L1044" s="7"/>
      <c r="M1044" s="7"/>
      <c r="N1044" s="7"/>
      <c r="O1044" s="7"/>
      <c r="P1044" s="7"/>
      <c r="Q1044" s="7"/>
      <c r="R1044" s="7"/>
      <c r="S1044" s="7"/>
      <c r="T1044" s="7"/>
      <c r="U1044" s="7"/>
      <c r="V1044" s="7"/>
      <c r="W1044" s="7"/>
    </row>
  </sheetData>
  <sheetProtection algorithmName="SHA-512" hashValue="GtbUy76Dn2k8o+Fb3OM9zfu+hn4K2G18GR1TnMGrfk5prLu69x+4oQ7BCm5nvXdRSqx34/1T7VUulW8frdAnKg==" saltValue="yukpEIIe/+WvQX3ZkFFr8Q==" spinCount="100000" sheet="1" objects="1" scenarios="1" formatColumns="0" formatRows="0"/>
  <mergeCells count="301">
    <mergeCell ref="F1010:M1010"/>
    <mergeCell ref="F1011:I1022"/>
    <mergeCell ref="J1011:M1011"/>
    <mergeCell ref="J1012:M1021"/>
    <mergeCell ref="J1022:M1022"/>
    <mergeCell ref="F1027:M1027"/>
    <mergeCell ref="F1028:I1039"/>
    <mergeCell ref="J1028:M1028"/>
    <mergeCell ref="J1029:M1038"/>
    <mergeCell ref="J1039:M1039"/>
    <mergeCell ref="F976:M976"/>
    <mergeCell ref="F977:I988"/>
    <mergeCell ref="J977:M977"/>
    <mergeCell ref="J978:M987"/>
    <mergeCell ref="J988:M988"/>
    <mergeCell ref="F993:M993"/>
    <mergeCell ref="F994:I1005"/>
    <mergeCell ref="J994:M994"/>
    <mergeCell ref="J995:M1004"/>
    <mergeCell ref="J1005:M1005"/>
    <mergeCell ref="F942:M942"/>
    <mergeCell ref="F943:I954"/>
    <mergeCell ref="J943:M943"/>
    <mergeCell ref="J944:M953"/>
    <mergeCell ref="J954:M954"/>
    <mergeCell ref="F959:M959"/>
    <mergeCell ref="F960:I971"/>
    <mergeCell ref="J960:M960"/>
    <mergeCell ref="J961:M970"/>
    <mergeCell ref="J971:M971"/>
    <mergeCell ref="F908:M908"/>
    <mergeCell ref="F909:I920"/>
    <mergeCell ref="J909:M909"/>
    <mergeCell ref="J910:M919"/>
    <mergeCell ref="J920:M920"/>
    <mergeCell ref="F925:M925"/>
    <mergeCell ref="F926:I937"/>
    <mergeCell ref="J926:M926"/>
    <mergeCell ref="J927:M936"/>
    <mergeCell ref="J937:M937"/>
    <mergeCell ref="F874:M874"/>
    <mergeCell ref="F875:I886"/>
    <mergeCell ref="J875:M875"/>
    <mergeCell ref="J876:M885"/>
    <mergeCell ref="J886:M886"/>
    <mergeCell ref="F891:M891"/>
    <mergeCell ref="F892:I903"/>
    <mergeCell ref="J892:M892"/>
    <mergeCell ref="J893:M902"/>
    <mergeCell ref="J903:M903"/>
    <mergeCell ref="F840:M840"/>
    <mergeCell ref="F841:I852"/>
    <mergeCell ref="J841:M841"/>
    <mergeCell ref="J842:M851"/>
    <mergeCell ref="J852:M852"/>
    <mergeCell ref="F857:M857"/>
    <mergeCell ref="F858:I869"/>
    <mergeCell ref="J858:M858"/>
    <mergeCell ref="J859:M868"/>
    <mergeCell ref="J869:M869"/>
    <mergeCell ref="F806:M806"/>
    <mergeCell ref="F807:I818"/>
    <mergeCell ref="J807:M807"/>
    <mergeCell ref="J808:M817"/>
    <mergeCell ref="J818:M818"/>
    <mergeCell ref="F823:M823"/>
    <mergeCell ref="F824:I835"/>
    <mergeCell ref="J824:M824"/>
    <mergeCell ref="J825:M834"/>
    <mergeCell ref="J835:M835"/>
    <mergeCell ref="F772:M772"/>
    <mergeCell ref="F773:I784"/>
    <mergeCell ref="J773:M773"/>
    <mergeCell ref="J774:M783"/>
    <mergeCell ref="J784:M784"/>
    <mergeCell ref="F789:M789"/>
    <mergeCell ref="F790:I801"/>
    <mergeCell ref="J790:M790"/>
    <mergeCell ref="J791:M800"/>
    <mergeCell ref="J801:M801"/>
    <mergeCell ref="F738:M738"/>
    <mergeCell ref="F739:I750"/>
    <mergeCell ref="J739:M739"/>
    <mergeCell ref="J740:M749"/>
    <mergeCell ref="J750:M750"/>
    <mergeCell ref="F755:M755"/>
    <mergeCell ref="F756:I767"/>
    <mergeCell ref="J756:M756"/>
    <mergeCell ref="J757:M766"/>
    <mergeCell ref="J767:M767"/>
    <mergeCell ref="F704:M704"/>
    <mergeCell ref="F705:I716"/>
    <mergeCell ref="J705:M705"/>
    <mergeCell ref="J706:M715"/>
    <mergeCell ref="J716:M716"/>
    <mergeCell ref="F721:M721"/>
    <mergeCell ref="F722:I733"/>
    <mergeCell ref="J722:M722"/>
    <mergeCell ref="J723:M732"/>
    <mergeCell ref="J733:M733"/>
    <mergeCell ref="F664:M664"/>
    <mergeCell ref="F665:I676"/>
    <mergeCell ref="J665:M665"/>
    <mergeCell ref="J666:M675"/>
    <mergeCell ref="J676:M676"/>
    <mergeCell ref="F681:M681"/>
    <mergeCell ref="F682:I693"/>
    <mergeCell ref="J682:M682"/>
    <mergeCell ref="J683:M692"/>
    <mergeCell ref="J693:M693"/>
    <mergeCell ref="F630:M630"/>
    <mergeCell ref="F631:I642"/>
    <mergeCell ref="J631:M631"/>
    <mergeCell ref="J632:M641"/>
    <mergeCell ref="J642:M642"/>
    <mergeCell ref="F647:M647"/>
    <mergeCell ref="F648:I659"/>
    <mergeCell ref="J648:M648"/>
    <mergeCell ref="J649:M658"/>
    <mergeCell ref="J659:M659"/>
    <mergeCell ref="F597:I608"/>
    <mergeCell ref="J597:M597"/>
    <mergeCell ref="J598:M607"/>
    <mergeCell ref="J608:M608"/>
    <mergeCell ref="F613:M613"/>
    <mergeCell ref="F614:I625"/>
    <mergeCell ref="J614:M614"/>
    <mergeCell ref="J615:M624"/>
    <mergeCell ref="J625:M625"/>
    <mergeCell ref="F563:I574"/>
    <mergeCell ref="J564:M573"/>
    <mergeCell ref="J574:M574"/>
    <mergeCell ref="F579:M579"/>
    <mergeCell ref="F580:I591"/>
    <mergeCell ref="J580:M580"/>
    <mergeCell ref="J581:M590"/>
    <mergeCell ref="J591:M591"/>
    <mergeCell ref="F596:M596"/>
    <mergeCell ref="J563:M563"/>
    <mergeCell ref="F12:M12"/>
    <mergeCell ref="F13:I24"/>
    <mergeCell ref="J13:M13"/>
    <mergeCell ref="J14:M23"/>
    <mergeCell ref="J24:M24"/>
    <mergeCell ref="F29:M29"/>
    <mergeCell ref="F2:T7"/>
    <mergeCell ref="F30:I41"/>
    <mergeCell ref="J30:M30"/>
    <mergeCell ref="J31:M40"/>
    <mergeCell ref="J41:M41"/>
    <mergeCell ref="F46:M46"/>
    <mergeCell ref="F47:I58"/>
    <mergeCell ref="J47:M47"/>
    <mergeCell ref="J48:M57"/>
    <mergeCell ref="J58:M58"/>
    <mergeCell ref="F63:M63"/>
    <mergeCell ref="F64:I75"/>
    <mergeCell ref="J64:M64"/>
    <mergeCell ref="J65:M74"/>
    <mergeCell ref="J75:M75"/>
    <mergeCell ref="F80:M80"/>
    <mergeCell ref="F81:I92"/>
    <mergeCell ref="J81:M81"/>
    <mergeCell ref="J82:M91"/>
    <mergeCell ref="J92:M92"/>
    <mergeCell ref="F97:M97"/>
    <mergeCell ref="F98:I109"/>
    <mergeCell ref="J98:M98"/>
    <mergeCell ref="J99:M108"/>
    <mergeCell ref="J109:M109"/>
    <mergeCell ref="F114:M114"/>
    <mergeCell ref="F115:I126"/>
    <mergeCell ref="J115:M115"/>
    <mergeCell ref="J116:M125"/>
    <mergeCell ref="J126:M126"/>
    <mergeCell ref="F131:M131"/>
    <mergeCell ref="F132:I143"/>
    <mergeCell ref="J132:M132"/>
    <mergeCell ref="J133:M142"/>
    <mergeCell ref="J143:M143"/>
    <mergeCell ref="F148:M148"/>
    <mergeCell ref="F149:I160"/>
    <mergeCell ref="J149:M149"/>
    <mergeCell ref="J150:M159"/>
    <mergeCell ref="J160:M160"/>
    <mergeCell ref="F165:M165"/>
    <mergeCell ref="F166:I177"/>
    <mergeCell ref="J166:M166"/>
    <mergeCell ref="J167:M176"/>
    <mergeCell ref="J177:M177"/>
    <mergeCell ref="F182:M182"/>
    <mergeCell ref="F183:I194"/>
    <mergeCell ref="J183:M183"/>
    <mergeCell ref="J184:M193"/>
    <mergeCell ref="J217:M217"/>
    <mergeCell ref="F233:M233"/>
    <mergeCell ref="F234:I245"/>
    <mergeCell ref="J235:M244"/>
    <mergeCell ref="J245:M245"/>
    <mergeCell ref="J234:M234"/>
    <mergeCell ref="J194:M194"/>
    <mergeCell ref="F199:M199"/>
    <mergeCell ref="F200:I211"/>
    <mergeCell ref="J200:M200"/>
    <mergeCell ref="J201:M210"/>
    <mergeCell ref="J211:M211"/>
    <mergeCell ref="F216:M216"/>
    <mergeCell ref="F217:I228"/>
    <mergeCell ref="J218:M227"/>
    <mergeCell ref="J228:M228"/>
    <mergeCell ref="F250:M250"/>
    <mergeCell ref="F251:I262"/>
    <mergeCell ref="J252:M261"/>
    <mergeCell ref="J262:M262"/>
    <mergeCell ref="F267:M267"/>
    <mergeCell ref="F268:I279"/>
    <mergeCell ref="J269:M278"/>
    <mergeCell ref="J279:M279"/>
    <mergeCell ref="F284:M284"/>
    <mergeCell ref="J251:M251"/>
    <mergeCell ref="J268:M268"/>
    <mergeCell ref="F285:I296"/>
    <mergeCell ref="J286:M295"/>
    <mergeCell ref="J296:M296"/>
    <mergeCell ref="F301:M301"/>
    <mergeCell ref="F302:I313"/>
    <mergeCell ref="J303:M312"/>
    <mergeCell ref="J313:M313"/>
    <mergeCell ref="F318:M318"/>
    <mergeCell ref="F319:I330"/>
    <mergeCell ref="J320:M329"/>
    <mergeCell ref="J330:M330"/>
    <mergeCell ref="J285:M285"/>
    <mergeCell ref="J302:M302"/>
    <mergeCell ref="J319:M319"/>
    <mergeCell ref="F335:M335"/>
    <mergeCell ref="F336:I347"/>
    <mergeCell ref="J336:M336"/>
    <mergeCell ref="J337:M346"/>
    <mergeCell ref="J347:M347"/>
    <mergeCell ref="F358:M358"/>
    <mergeCell ref="F359:I370"/>
    <mergeCell ref="J359:M359"/>
    <mergeCell ref="J360:M369"/>
    <mergeCell ref="J370:M370"/>
    <mergeCell ref="F375:M375"/>
    <mergeCell ref="F376:I387"/>
    <mergeCell ref="J376:M376"/>
    <mergeCell ref="J377:M386"/>
    <mergeCell ref="J410:M410"/>
    <mergeCell ref="F426:M426"/>
    <mergeCell ref="F427:I438"/>
    <mergeCell ref="J428:M437"/>
    <mergeCell ref="J438:M438"/>
    <mergeCell ref="J427:M427"/>
    <mergeCell ref="J387:M387"/>
    <mergeCell ref="F392:M392"/>
    <mergeCell ref="F393:I404"/>
    <mergeCell ref="J393:M393"/>
    <mergeCell ref="J394:M403"/>
    <mergeCell ref="J404:M404"/>
    <mergeCell ref="F409:M409"/>
    <mergeCell ref="F410:I421"/>
    <mergeCell ref="J411:M420"/>
    <mergeCell ref="J421:M421"/>
    <mergeCell ref="F443:M443"/>
    <mergeCell ref="F444:I455"/>
    <mergeCell ref="J445:M454"/>
    <mergeCell ref="J455:M455"/>
    <mergeCell ref="F460:M460"/>
    <mergeCell ref="F461:I472"/>
    <mergeCell ref="J462:M471"/>
    <mergeCell ref="J472:M472"/>
    <mergeCell ref="F477:M477"/>
    <mergeCell ref="J444:M444"/>
    <mergeCell ref="J461:M461"/>
    <mergeCell ref="F478:I489"/>
    <mergeCell ref="J479:M488"/>
    <mergeCell ref="J489:M489"/>
    <mergeCell ref="F494:M494"/>
    <mergeCell ref="F495:I506"/>
    <mergeCell ref="J496:M505"/>
    <mergeCell ref="J506:M506"/>
    <mergeCell ref="F511:M511"/>
    <mergeCell ref="F512:I523"/>
    <mergeCell ref="J513:M522"/>
    <mergeCell ref="J523:M523"/>
    <mergeCell ref="J478:M478"/>
    <mergeCell ref="J495:M495"/>
    <mergeCell ref="J512:M512"/>
    <mergeCell ref="F528:M528"/>
    <mergeCell ref="F529:I540"/>
    <mergeCell ref="J530:M539"/>
    <mergeCell ref="J540:M540"/>
    <mergeCell ref="F545:M545"/>
    <mergeCell ref="F546:I557"/>
    <mergeCell ref="J547:M556"/>
    <mergeCell ref="J557:M557"/>
    <mergeCell ref="F562:M562"/>
    <mergeCell ref="J529:M529"/>
    <mergeCell ref="J546:M546"/>
  </mergeCells>
  <dataValidations count="8">
    <dataValidation allowBlank="1" showInputMessage="1" showErrorMessage="1" promptTitle="Ajuda" prompt="Caso existam dois controles negativos, devem ser preenchidos os resultados do controle negativo com solvente." sqref="J13:M13 J529:M529 J546:M546 J563:M563 J580:M580 J597:M597 J614:M614 J30:M30 J183:M183 J200:M200 J217:M217 J234:M234 J251:M251 J268:M268 J285:M285 J302:M302 J319:M319 J336:M336 J631:M631 J648:M648 J47:M47 J64:M64 J81:M81 J98:M98 J115:M115 J132:M132 J149:M149 J166:M166 J665:M665 J682:M682 J393:M393 J410:M410 J427:M427 J444:M444 J461:M461 J478:M478 J495:M495 J512:M512 J359:M359 J376:M376 J705:M705 J722:M722 J875:M875 J892:M892 J909:M909 J926:M926 J943:M943 J960:M960 J977:M977 J994:M994 J1011:M1011 J1028:M1028 J739:M739 J756:M756 J773:M773 J790:M790 J807:M807 J824:M824 J841:M841 J858:M858" xr:uid="{BA01129B-332D-423D-80D0-32CA9B5DEE5C}"/>
    <dataValidation allowBlank="1" showInputMessage="1" showErrorMessage="1" prompt="Concentrações que tenham mais de uma triplicata com citotoxicidade maior ou igual a 50% devem ser consideradas como não analisáveis e podem ser representadas por: TOX ou 0 ou -." sqref="O12 O29 O46 O63 O80 O97 O114 O131 O148 O165 O182 O199 O216 O233 O250 O267 O284 O301 O318 O335 O358 O375 O392 O409 O426 O443 O460 O477 O494 O511 O528 O545 O562 O579 O596 O613 O630 O647 O664 O681 O704 O721 O738 O755 O772 O789 O806 O823 O840 O857 O874 O891 O908 O925 O942 O959 O976 O993 O1010 O1027" xr:uid="{1A878A62-40B0-4BD7-B814-FD9EA9B6418C}"/>
    <dataValidation allowBlank="1" showInputMessage="1" showErrorMessage="1" prompt="Preencher com &quot;x&quot; as concentrações em que foi observada alteração do background." sqref="Q318 Q335 Q358 Q375 Q392 Q409 Q426 Q443 Q460 Q477 Q494 Q511 Q528 Q545 Q562 Q579 Q596 Q613 Q630 Q647 Q976 Q993 Q12 Q29 Q46 Q63 Q80 Q97 Q114 Q131 Q148 Q165 Q182 Q199 Q216 Q233 Q250 Q267 Q284 Q301 Q664 Q681 Q704 Q721 Q738 Q755 Q772 Q789 Q806 Q823 Q840 Q857 Q874 Q891 Q908 Q925 Q942 Q959 Q1010 Q1027" xr:uid="{69DE1A07-C817-404E-9B40-1450F2A06E5A}"/>
    <dataValidation allowBlank="1" showInputMessage="1" showErrorMessage="1" prompt="Preencher com &quot;x&quot; as concentrações em que foi observado precipitado e este interferiu na leitura dos resultados." sqref="P318 P335 P358 P375 P392 P409 P426 P443 P460 P477 P494 P511 P528 P545 P562 P579 P596 P613 P630 P647 P976 P993 P12 P29 P46 P63 P80 P97 P114 P131 P148 P165 P182 P199 P216 P233 P250 P267 P284 P301 P664 P681 P704 P721 P738 P755 P772 P789 P806 P823 P840 P857 P874 P891 P908 P925 P942 P959 P1010 P1027" xr:uid="{2188E79C-A35F-448C-81CA-362ABC57E088}"/>
    <dataValidation allowBlank="1" showInputMessage="1" showErrorMessage="1" prompt="Valor de referência mínimo para considerar que houve redução de UFC &gt;= 50%. Logo, qualquer replicata com UFC igual ou menor que esse valor de referência, deverá ser considerada para o preenchimento da coluna ao lado." sqref="S976 S993 S12 S29 S46 S63 S80 S97 S114 S131 S148 S165 S182 S199 S216 S233 S250 S267 S284 S301 S318 S335 S358 S375 S392 S409 S426 S443 S460 S477 S494 S511 S528 S545 S562 S579 S596 S613 S630 S647 S664 S681 S704 S721 S738 S755 S772 S789 S806 S823 S840 S857 S874 S891 S908 S925 S942 S959 S1010 S1027" xr:uid="{DFC5F26E-8FA8-4751-8A25-AFB9925673DB}"/>
    <dataValidation type="list" allowBlank="1" showInputMessage="1" showErrorMessage="1" errorTitle="Valor inválido" error="Preencher apenas com um &quot;x&quot; para indicar que houve alteração na concentração testada." sqref="P13:Q24 P30:Q41 P47:Q58 P64:Q75 P81:Q92 P98:Q109 P115:Q126 P132:Q143 P149:Q160 P166:Q177 P183:Q194 P200:Q211 P217:Q228 P234:Q245 P251:Q262 P268:Q279 P285:Q296 P302:Q313 P319:Q330 P336:Q347 P359:Q370 P376:Q387 P393:Q404 P410:Q421 P427:Q438 P444:Q455 P461:Q472 P478:Q489 P495:Q506 P512:Q523 P529:Q540 P546:Q557 P563:Q574 P580:Q591 P597:Q608 P614:Q625 P631:Q642 P648:Q659 P665:Q676 P682:Q693 P705:Q716 P722:Q733 P739:Q750 P756:Q767 P773:Q784 P790:Q801 P807:Q818 P824:Q835 P841:Q852 P858:Q869 P875:Q886 P892:Q903 P909:Q920 P926:Q937 P943:Q954 P960:Q971 P977:Q988 P994:Q1005 P1011:Q1022 P1028:Q1039" xr:uid="{802EAD17-E37C-4774-86ED-4A5B32C222E3}">
      <formula1>"x"</formula1>
    </dataValidation>
    <dataValidation type="list" allowBlank="1" showInputMessage="1" showErrorMessage="1" errorTitle="Valor inválido" error="Deve ser preenchida a quantidade de placas em que houve redução no número de revertentes maior ou igual a 50%; " sqref="R13:R24 R30:R41 R47:R58 R64:R75 R81:R92 R98:R109 R115:R126 R132:R143 R149:R160 R166:R177 R183:R194 R200:R211 R217:R228 R234:R245 R251:R262 R268:R279 R285:R296 R302:R313 R319:R330 R336:R347 R359:R370 R376:R387 R393:R404 R410:R421 R427:R438 R444:R455 R461:R472 R478:R489 R495:R506 R512:R523 R529:R540 R546:R557 R563:R574 R580:R591 R597:R608 R614:R625 R631:R642 R648:R659 R665:R676 R682:R693 R705:R716 R722:R733 R739:R750 R756:R767 R773:R784 R790:R801 R807:R818 R824:R835 R841:R852 R858:R869 R875:R886 R892:R903 R909:R920 R926:R937 R943:R954 R960:R971 R977:R988 R994:R1005 R1011:R1022 R1028:R1039" xr:uid="{03B49B98-4EB2-412D-A375-978D8AC09D15}">
      <formula1>"0,1,2,3,-"</formula1>
    </dataValidation>
    <dataValidation allowBlank="1" showInputMessage="1" showErrorMessage="1" prompt="Total de replicatas que tiveram redução maior ou igual a 50% no nº de colônias revertentes. _x000a__x000a_* Preencher apenas nas concentrações em que a redução foi observada._x000a_* Resultados como &quot;TOX&quot; ou &quot;-&quot;, indicam que houve redução nas 3 replicatas." sqref="R12 R29 R46 R63 R80 R97 R114 R131 R148 R165 R182 R199 R216 R233 R250 R267 R284 R301 R318 R335 R358 R375 R392 R409 R426 R443 R460 R477 R494 R511 R528 R545 R562 R579 R596 R613 R630 R647 R664 R681 R704 R721 R738 R755 R772 R789 R806 R823 R840 R857 R874 R891 R908 R925 R942 R959 R976 R993 R1010 R1027" xr:uid="{13890ACC-79FB-4B80-B0F6-3592B5472BE1}"/>
  </dataValidation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7BAB9-738C-4F4D-9915-6827FBA9B1D4}">
  <sheetPr codeName="Planilha28">
    <tabColor theme="8" tint="0.59999389629810485"/>
  </sheetPr>
  <dimension ref="A1:CL137"/>
  <sheetViews>
    <sheetView showGridLines="0" topLeftCell="D1" workbookViewId="0">
      <selection activeCell="D1" sqref="D1"/>
    </sheetView>
  </sheetViews>
  <sheetFormatPr defaultColWidth="0" defaultRowHeight="15" zeroHeight="1" x14ac:dyDescent="0.25"/>
  <cols>
    <col min="1" max="3" width="2.7109375" style="20" hidden="1" customWidth="1"/>
    <col min="4" max="5" width="2.7109375" style="20" customWidth="1"/>
    <col min="6" max="13" width="4.7109375" style="20" customWidth="1"/>
    <col min="14" max="14" width="5.7109375" style="20" customWidth="1"/>
    <col min="15" max="30" width="4.7109375" style="20" customWidth="1"/>
    <col min="31" max="31" width="5.5703125" style="20" customWidth="1"/>
    <col min="32" max="41" width="4.7109375" style="20" customWidth="1"/>
    <col min="42" max="42" width="5.42578125" style="20" customWidth="1"/>
    <col min="43" max="43" width="4.7109375" style="20" customWidth="1"/>
    <col min="44" max="44" width="4.5703125" style="20" customWidth="1"/>
    <col min="45" max="90" width="4.5703125" style="20" hidden="1" customWidth="1"/>
    <col min="91" max="16384" width="9.140625" style="20" hidden="1"/>
  </cols>
  <sheetData>
    <row r="1" spans="1:44" x14ac:dyDescent="0.25">
      <c r="A1" s="18"/>
      <c r="B1" s="18"/>
      <c r="C1" s="18"/>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5" customHeight="1" x14ac:dyDescent="0.25">
      <c r="A2" s="18"/>
      <c r="B2" s="18"/>
      <c r="C2" s="18"/>
      <c r="D2" s="1"/>
      <c r="E2" s="158"/>
      <c r="F2" s="1148" t="s">
        <v>8593</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c r="AO2" s="2"/>
      <c r="AP2" s="2"/>
      <c r="AQ2" s="2"/>
      <c r="AR2" s="2"/>
    </row>
    <row r="3" spans="1:44" ht="15" customHeight="1" x14ac:dyDescent="0.25">
      <c r="A3" s="18"/>
      <c r="B3" s="18"/>
      <c r="C3" s="18"/>
      <c r="D3" s="1"/>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c r="AO3" s="2"/>
      <c r="AP3" s="2"/>
      <c r="AQ3" s="2"/>
      <c r="AR3" s="2"/>
    </row>
    <row r="4" spans="1:44" ht="15" customHeight="1" x14ac:dyDescent="0.25">
      <c r="A4" s="18"/>
      <c r="B4" s="18"/>
      <c r="C4" s="18"/>
      <c r="D4" s="1"/>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c r="AO4" s="2"/>
      <c r="AP4" s="2"/>
      <c r="AQ4" s="2"/>
      <c r="AR4" s="2"/>
    </row>
    <row r="5" spans="1:44" ht="15" customHeight="1" x14ac:dyDescent="0.25">
      <c r="A5" s="18"/>
      <c r="B5" s="18"/>
      <c r="C5" s="18"/>
      <c r="D5" s="1"/>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c r="AO5" s="2"/>
      <c r="AP5" s="2"/>
      <c r="AQ5" s="2"/>
      <c r="AR5" s="2"/>
    </row>
    <row r="6" spans="1:44" ht="15" customHeight="1" x14ac:dyDescent="0.25">
      <c r="A6" s="18"/>
      <c r="B6" s="18"/>
      <c r="C6" s="18"/>
      <c r="D6" s="1"/>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c r="AO6" s="2"/>
      <c r="AP6" s="2"/>
      <c r="AQ6" s="2"/>
      <c r="AR6" s="73"/>
    </row>
    <row r="7" spans="1:44" ht="20.100000000000001" customHeight="1" x14ac:dyDescent="0.25">
      <c r="A7" s="18"/>
      <c r="B7" s="18"/>
      <c r="C7" s="18"/>
      <c r="D7" s="1"/>
      <c r="E7" s="158"/>
      <c r="F7" s="1024" t="str">
        <f ca="1">Alertas!R18</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row>
    <row r="8" spans="1:44" ht="15" customHeight="1" x14ac:dyDescent="0.25">
      <c r="A8" s="18"/>
      <c r="B8" s="18"/>
      <c r="C8" s="18"/>
      <c r="D8" s="1"/>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5" customHeight="1" x14ac:dyDescent="0.25">
      <c r="A9" s="18"/>
      <c r="B9" s="18"/>
      <c r="C9" s="18"/>
      <c r="D9" s="1"/>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30" customHeight="1" x14ac:dyDescent="0.25">
      <c r="A10" s="18"/>
      <c r="B10" s="18"/>
      <c r="C10" s="18"/>
      <c r="D10" s="1"/>
      <c r="E10" s="2"/>
      <c r="F10" s="1149" t="s">
        <v>30</v>
      </c>
      <c r="G10" s="1094"/>
      <c r="H10" s="1094"/>
      <c r="I10" s="1094"/>
      <c r="J10" s="1094"/>
      <c r="K10" s="1094"/>
      <c r="L10" s="1104"/>
      <c r="M10" s="148" t="s">
        <v>186</v>
      </c>
      <c r="N10" s="1032"/>
      <c r="O10" s="1033"/>
      <c r="P10" s="1033"/>
      <c r="Q10" s="1033"/>
      <c r="R10" s="1033"/>
      <c r="S10" s="1033"/>
      <c r="T10" s="1033"/>
      <c r="U10" s="1033"/>
      <c r="V10" s="1033"/>
      <c r="W10" s="1033"/>
      <c r="X10" s="1033"/>
      <c r="Y10" s="1033"/>
      <c r="Z10" s="1034"/>
      <c r="AA10" s="1008" t="s">
        <v>294</v>
      </c>
      <c r="AB10" s="1009"/>
      <c r="AC10" s="1009"/>
      <c r="AD10" s="1041"/>
      <c r="AE10" s="148" t="s">
        <v>186</v>
      </c>
      <c r="AF10" s="1140"/>
      <c r="AG10" s="1141"/>
      <c r="AH10" s="1141"/>
      <c r="AI10" s="1141"/>
      <c r="AJ10" s="1142"/>
      <c r="AK10" s="2"/>
      <c r="AL10" s="2"/>
      <c r="AM10" s="2"/>
      <c r="AN10" s="2"/>
      <c r="AO10" s="2"/>
      <c r="AP10" s="184"/>
      <c r="AQ10" s="184"/>
      <c r="AR10" s="184"/>
    </row>
    <row r="11" spans="1:44" ht="60" customHeight="1" x14ac:dyDescent="0.25">
      <c r="A11" s="18"/>
      <c r="B11" s="18"/>
      <c r="C11" s="18"/>
      <c r="D11" s="1"/>
      <c r="E11" s="2"/>
      <c r="F11" s="1008" t="s">
        <v>7300</v>
      </c>
      <c r="G11" s="1009"/>
      <c r="H11" s="1009"/>
      <c r="I11" s="1009"/>
      <c r="J11" s="1009"/>
      <c r="K11" s="1009"/>
      <c r="L11" s="1041"/>
      <c r="M11" s="148" t="s">
        <v>186</v>
      </c>
      <c r="N11" s="1032"/>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4"/>
      <c r="AK11" s="1158" t="s">
        <v>271</v>
      </c>
      <c r="AL11" s="1159"/>
      <c r="AM11" s="1159"/>
      <c r="AN11" s="1159"/>
      <c r="AO11" s="2"/>
      <c r="AP11" s="184"/>
      <c r="AQ11" s="184"/>
      <c r="AR11" s="184"/>
    </row>
    <row r="12" spans="1:44" ht="20.100000000000001" customHeight="1" x14ac:dyDescent="0.25">
      <c r="A12" s="18"/>
      <c r="B12" s="18"/>
      <c r="C12" s="18"/>
      <c r="D12" s="1"/>
      <c r="E12" s="2"/>
      <c r="F12" s="1008" t="s">
        <v>6029</v>
      </c>
      <c r="G12" s="1009"/>
      <c r="H12" s="1009"/>
      <c r="I12" s="1009"/>
      <c r="J12" s="1009"/>
      <c r="K12" s="1009"/>
      <c r="L12" s="1041"/>
      <c r="M12" s="148" t="s">
        <v>186</v>
      </c>
      <c r="N12" s="1147"/>
      <c r="O12" s="1096"/>
      <c r="P12" s="1096"/>
      <c r="Q12" s="1096"/>
      <c r="R12" s="1096"/>
      <c r="S12" s="1097"/>
      <c r="T12" s="160"/>
      <c r="U12" s="160"/>
      <c r="V12" s="160"/>
      <c r="W12" s="160"/>
      <c r="X12" s="160"/>
      <c r="Y12" s="160"/>
      <c r="Z12" s="160"/>
      <c r="AA12" s="263"/>
      <c r="AB12" s="173"/>
      <c r="AC12" s="173"/>
      <c r="AD12" s="173"/>
      <c r="AE12" s="173"/>
      <c r="AF12" s="264"/>
      <c r="AG12" s="160"/>
      <c r="AH12" s="160"/>
      <c r="AI12" s="160"/>
      <c r="AJ12" s="160"/>
      <c r="AK12" s="2"/>
      <c r="AL12" s="2"/>
      <c r="AM12" s="2"/>
      <c r="AN12" s="2"/>
      <c r="AO12" s="2"/>
      <c r="AP12" s="184"/>
      <c r="AQ12" s="184"/>
      <c r="AR12" s="184"/>
    </row>
    <row r="13" spans="1:44" ht="20.100000000000001" customHeight="1" x14ac:dyDescent="0.25">
      <c r="A13" s="18"/>
      <c r="B13" s="18"/>
      <c r="C13" s="18"/>
      <c r="D13" s="1"/>
      <c r="E13" s="2"/>
      <c r="F13" s="1149" t="s">
        <v>218</v>
      </c>
      <c r="G13" s="1094"/>
      <c r="H13" s="1094"/>
      <c r="I13" s="1094"/>
      <c r="J13" s="1094"/>
      <c r="K13" s="1094"/>
      <c r="L13" s="1104"/>
      <c r="M13" s="148" t="s">
        <v>186</v>
      </c>
      <c r="N13" s="1513"/>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5"/>
      <c r="AK13" s="265"/>
      <c r="AL13" s="2"/>
      <c r="AM13" s="2"/>
      <c r="AN13" s="2"/>
      <c r="AO13" s="2"/>
      <c r="AP13" s="184"/>
      <c r="AQ13" s="184"/>
      <c r="AR13" s="184"/>
    </row>
    <row r="14" spans="1:44" ht="20.100000000000001" customHeight="1" x14ac:dyDescent="0.25">
      <c r="A14" s="18"/>
      <c r="B14" s="18"/>
      <c r="C14" s="18"/>
      <c r="D14" s="1"/>
      <c r="E14" s="2"/>
      <c r="F14" s="1149" t="s">
        <v>311</v>
      </c>
      <c r="G14" s="1094"/>
      <c r="H14" s="1094"/>
      <c r="I14" s="1094"/>
      <c r="J14" s="1094"/>
      <c r="K14" s="1094"/>
      <c r="L14" s="1094"/>
      <c r="M14" s="1150"/>
      <c r="N14" s="1513"/>
      <c r="O14" s="1514"/>
      <c r="P14" s="1514"/>
      <c r="Q14" s="1514"/>
      <c r="R14" s="1514"/>
      <c r="S14" s="1514"/>
      <c r="T14" s="1514"/>
      <c r="U14" s="1514"/>
      <c r="V14" s="1514"/>
      <c r="W14" s="1514"/>
      <c r="X14" s="1514"/>
      <c r="Y14" s="1514"/>
      <c r="Z14" s="1514"/>
      <c r="AA14" s="1514"/>
      <c r="AB14" s="1514"/>
      <c r="AC14" s="1514"/>
      <c r="AD14" s="1514"/>
      <c r="AE14" s="1514"/>
      <c r="AF14" s="1514"/>
      <c r="AG14" s="1514"/>
      <c r="AH14" s="1514"/>
      <c r="AI14" s="1514"/>
      <c r="AJ14" s="1515"/>
      <c r="AK14" s="163"/>
      <c r="AL14" s="163"/>
      <c r="AM14" s="163"/>
      <c r="AN14" s="163"/>
      <c r="AO14" s="2"/>
      <c r="AP14" s="184"/>
      <c r="AQ14" s="184"/>
      <c r="AR14" s="184"/>
    </row>
    <row r="15" spans="1:44" ht="20.100000000000001" customHeight="1" x14ac:dyDescent="0.25">
      <c r="A15" s="18"/>
      <c r="B15" s="18"/>
      <c r="C15" s="18"/>
      <c r="D15" s="1"/>
      <c r="E15" s="2"/>
      <c r="F15" s="1008" t="s">
        <v>7301</v>
      </c>
      <c r="G15" s="1009"/>
      <c r="H15" s="1009"/>
      <c r="I15" s="1009"/>
      <c r="J15" s="1009"/>
      <c r="K15" s="1009"/>
      <c r="L15" s="1009"/>
      <c r="M15" s="1010"/>
      <c r="N15" s="1151" t="s">
        <v>6030</v>
      </c>
      <c r="O15" s="1088"/>
      <c r="P15" s="1089"/>
      <c r="Q15" s="148" t="s">
        <v>186</v>
      </c>
      <c r="R15" s="999"/>
      <c r="S15" s="1000"/>
      <c r="T15" s="1000"/>
      <c r="U15" s="1000"/>
      <c r="V15" s="1000"/>
      <c r="W15" s="1000"/>
      <c r="X15" s="1001"/>
      <c r="Y15" s="1073" t="s">
        <v>31</v>
      </c>
      <c r="Z15" s="1074"/>
      <c r="AA15" s="1074"/>
      <c r="AB15" s="1075"/>
      <c r="AC15" s="148" t="s">
        <v>186</v>
      </c>
      <c r="AD15" s="999"/>
      <c r="AE15" s="1000"/>
      <c r="AF15" s="1000"/>
      <c r="AG15" s="1000"/>
      <c r="AH15" s="1000"/>
      <c r="AI15" s="1000"/>
      <c r="AJ15" s="1001"/>
      <c r="AK15" s="164"/>
      <c r="AL15" s="164"/>
      <c r="AM15" s="164"/>
      <c r="AN15" s="164"/>
      <c r="AO15" s="2"/>
      <c r="AP15" s="184"/>
      <c r="AQ15" s="184"/>
      <c r="AR15" s="184"/>
    </row>
    <row r="16" spans="1:44" ht="20.100000000000001" customHeight="1" x14ac:dyDescent="0.25">
      <c r="A16" s="18"/>
      <c r="B16" s="18"/>
      <c r="C16" s="18"/>
      <c r="D16" s="1"/>
      <c r="E16" s="2"/>
      <c r="F16" s="1008" t="s">
        <v>5720</v>
      </c>
      <c r="G16" s="1009"/>
      <c r="H16" s="1009"/>
      <c r="I16" s="1009"/>
      <c r="J16" s="1009"/>
      <c r="K16" s="1009"/>
      <c r="L16" s="1009"/>
      <c r="M16" s="148" t="s">
        <v>186</v>
      </c>
      <c r="N16" s="1445"/>
      <c r="O16" s="1446"/>
      <c r="P16" s="1446"/>
      <c r="Q16" s="1446"/>
      <c r="R16" s="1446"/>
      <c r="S16" s="1447"/>
      <c r="T16" s="2"/>
      <c r="U16" s="2"/>
      <c r="V16" s="2"/>
      <c r="W16" s="2"/>
      <c r="X16" s="2"/>
      <c r="Y16" s="2"/>
      <c r="Z16" s="2"/>
      <c r="AA16" s="2"/>
      <c r="AB16" s="2"/>
      <c r="AC16" s="2"/>
      <c r="AD16" s="2"/>
      <c r="AE16" s="2"/>
      <c r="AF16" s="2"/>
      <c r="AG16" s="2"/>
      <c r="AH16" s="2"/>
      <c r="AI16" s="2"/>
      <c r="AJ16" s="2"/>
      <c r="AK16" s="2"/>
      <c r="AL16" s="2"/>
      <c r="AM16" s="2"/>
      <c r="AN16" s="2"/>
      <c r="AO16" s="2"/>
      <c r="AP16" s="184"/>
      <c r="AQ16" s="184"/>
      <c r="AR16" s="184"/>
    </row>
    <row r="17" spans="1:44" ht="20.100000000000001" customHeight="1" x14ac:dyDescent="0.25">
      <c r="A17" s="18"/>
      <c r="B17" s="18"/>
      <c r="C17" s="18"/>
      <c r="D17" s="1"/>
      <c r="E17" s="2"/>
      <c r="F17" s="1149" t="s">
        <v>85</v>
      </c>
      <c r="G17" s="1094"/>
      <c r="H17" s="1094"/>
      <c r="I17" s="1094"/>
      <c r="J17" s="1094"/>
      <c r="K17" s="1094"/>
      <c r="L17" s="1104"/>
      <c r="M17" s="148" t="s">
        <v>186</v>
      </c>
      <c r="N17" s="1171"/>
      <c r="O17" s="1138"/>
      <c r="P17" s="1138"/>
      <c r="Q17" s="1138"/>
      <c r="R17" s="1138"/>
      <c r="S17" s="1139"/>
      <c r="T17" s="1067" t="s">
        <v>235</v>
      </c>
      <c r="U17" s="1068"/>
      <c r="V17" s="1068"/>
      <c r="W17" s="1068"/>
      <c r="X17" s="1068"/>
      <c r="Y17" s="1068"/>
      <c r="Z17" s="1068"/>
      <c r="AA17" s="148" t="s">
        <v>186</v>
      </c>
      <c r="AB17" s="1130"/>
      <c r="AC17" s="1131"/>
      <c r="AD17" s="1131"/>
      <c r="AE17" s="1131"/>
      <c r="AF17" s="1131"/>
      <c r="AG17" s="1131"/>
      <c r="AH17" s="1131"/>
      <c r="AI17" s="1131"/>
      <c r="AJ17" s="1132"/>
      <c r="AK17" s="49"/>
      <c r="AL17" s="49"/>
      <c r="AM17" s="49"/>
      <c r="AN17" s="49"/>
      <c r="AO17" s="2"/>
      <c r="AP17" s="184"/>
      <c r="AQ17" s="184"/>
      <c r="AR17" s="184"/>
    </row>
    <row r="18" spans="1:44" ht="20.100000000000001" customHeight="1" x14ac:dyDescent="0.25">
      <c r="A18" s="18"/>
      <c r="B18" s="18"/>
      <c r="C18" s="18"/>
      <c r="D18" s="1"/>
      <c r="E18" s="2"/>
      <c r="F18" s="1149" t="s">
        <v>102</v>
      </c>
      <c r="G18" s="1094"/>
      <c r="H18" s="1094"/>
      <c r="I18" s="1094"/>
      <c r="J18" s="1094"/>
      <c r="K18" s="1094"/>
      <c r="L18" s="1104"/>
      <c r="M18" s="148" t="s">
        <v>186</v>
      </c>
      <c r="N18" s="1130"/>
      <c r="O18" s="1131"/>
      <c r="P18" s="1131"/>
      <c r="Q18" s="1131"/>
      <c r="R18" s="1131"/>
      <c r="S18" s="1131"/>
      <c r="T18" s="1012" t="s">
        <v>7676</v>
      </c>
      <c r="U18" s="1012"/>
      <c r="V18" s="1012"/>
      <c r="W18" s="1012"/>
      <c r="X18" s="1012"/>
      <c r="Y18" s="1012"/>
      <c r="Z18" s="1012"/>
      <c r="AA18" s="1012"/>
      <c r="AB18" s="1012"/>
      <c r="AC18" s="1012"/>
      <c r="AD18" s="1012"/>
      <c r="AE18" s="1012"/>
      <c r="AF18" s="1012"/>
      <c r="AG18" s="1012"/>
      <c r="AH18" s="1012"/>
      <c r="AI18" s="1012"/>
      <c r="AJ18" s="1012"/>
      <c r="AK18" s="2"/>
      <c r="AL18" s="2"/>
      <c r="AM18" s="2"/>
      <c r="AN18" s="2"/>
      <c r="AO18" s="2"/>
      <c r="AP18" s="2"/>
      <c r="AQ18" s="2"/>
      <c r="AR18" s="2"/>
    </row>
    <row r="19" spans="1:44" ht="20.100000000000001" customHeight="1" x14ac:dyDescent="0.25">
      <c r="A19" s="18"/>
      <c r="B19" s="18"/>
      <c r="C19" s="18"/>
      <c r="D19" s="1"/>
      <c r="E19" s="2"/>
      <c r="F19" s="1149" t="s">
        <v>103</v>
      </c>
      <c r="G19" s="1094"/>
      <c r="H19" s="1094"/>
      <c r="I19" s="1094"/>
      <c r="J19" s="1094"/>
      <c r="K19" s="1094"/>
      <c r="L19" s="1104"/>
      <c r="M19" s="148" t="s">
        <v>186</v>
      </c>
      <c r="N19" s="1130"/>
      <c r="O19" s="1131"/>
      <c r="P19" s="1131"/>
      <c r="Q19" s="1131"/>
      <c r="R19" s="1131"/>
      <c r="S19" s="1131"/>
      <c r="T19" s="1509"/>
      <c r="U19" s="1509"/>
      <c r="V19" s="1509"/>
      <c r="W19" s="1509"/>
      <c r="X19" s="1509"/>
      <c r="Y19" s="1509"/>
      <c r="Z19" s="1509"/>
      <c r="AA19" s="1509"/>
      <c r="AB19" s="1509"/>
      <c r="AC19" s="1509"/>
      <c r="AD19" s="1509"/>
      <c r="AE19" s="1509"/>
      <c r="AF19" s="1509"/>
      <c r="AG19" s="1509"/>
      <c r="AH19" s="1509"/>
      <c r="AI19" s="1509"/>
      <c r="AJ19" s="1509"/>
      <c r="AK19" s="67" t="s">
        <v>271</v>
      </c>
      <c r="AL19" s="2"/>
      <c r="AM19" s="2"/>
      <c r="AN19" s="2"/>
      <c r="AO19" s="2"/>
      <c r="AP19" s="2"/>
      <c r="AQ19" s="2"/>
      <c r="AR19" s="2"/>
    </row>
    <row r="20" spans="1:44" ht="30" customHeight="1" x14ac:dyDescent="0.25">
      <c r="A20" s="18"/>
      <c r="B20" s="18"/>
      <c r="C20" s="18"/>
      <c r="D20" s="1"/>
      <c r="E20" s="2"/>
      <c r="F20" s="1149" t="s">
        <v>230</v>
      </c>
      <c r="G20" s="1094"/>
      <c r="H20" s="1094"/>
      <c r="I20" s="1094"/>
      <c r="J20" s="1094"/>
      <c r="K20" s="1094"/>
      <c r="L20" s="1104"/>
      <c r="M20" s="148" t="s">
        <v>186</v>
      </c>
      <c r="N20" s="1130"/>
      <c r="O20" s="1131"/>
      <c r="P20" s="1131"/>
      <c r="Q20" s="1131"/>
      <c r="R20" s="1131"/>
      <c r="S20" s="1131"/>
      <c r="T20" s="1509"/>
      <c r="U20" s="1509"/>
      <c r="V20" s="1509"/>
      <c r="W20" s="1509"/>
      <c r="X20" s="1509"/>
      <c r="Y20" s="1509"/>
      <c r="Z20" s="1509"/>
      <c r="AA20" s="1509"/>
      <c r="AB20" s="1509"/>
      <c r="AC20" s="1509"/>
      <c r="AD20" s="1509"/>
      <c r="AE20" s="1509"/>
      <c r="AF20" s="1509"/>
      <c r="AG20" s="1509"/>
      <c r="AH20" s="1509"/>
      <c r="AI20" s="1509"/>
      <c r="AJ20" s="1509"/>
      <c r="AK20" s="2"/>
      <c r="AL20" s="2"/>
      <c r="AM20" s="2"/>
      <c r="AN20" s="2"/>
      <c r="AO20" s="2"/>
      <c r="AP20" s="2"/>
      <c r="AQ20" s="2"/>
      <c r="AR20" s="2"/>
    </row>
    <row r="21" spans="1:44" ht="20.100000000000001" customHeight="1" x14ac:dyDescent="0.25">
      <c r="A21" s="18"/>
      <c r="B21" s="18"/>
      <c r="C21" s="18"/>
      <c r="D21" s="1"/>
      <c r="E21" s="2"/>
      <c r="F21" s="2"/>
      <c r="G21" s="2"/>
      <c r="H21" s="2"/>
      <c r="I21" s="2"/>
      <c r="J21" s="2"/>
      <c r="K21" s="2"/>
      <c r="L21" s="2"/>
      <c r="M21" s="2"/>
      <c r="N21" s="2"/>
      <c r="O21" s="2"/>
      <c r="P21" s="2"/>
      <c r="Q21" s="2"/>
      <c r="R21" s="2"/>
      <c r="S21" s="2"/>
      <c r="T21" s="1509"/>
      <c r="U21" s="1509"/>
      <c r="V21" s="1509"/>
      <c r="W21" s="1509"/>
      <c r="X21" s="1509"/>
      <c r="Y21" s="1509"/>
      <c r="Z21" s="1509"/>
      <c r="AA21" s="1509"/>
      <c r="AB21" s="1509"/>
      <c r="AC21" s="1509"/>
      <c r="AD21" s="1509"/>
      <c r="AE21" s="1509"/>
      <c r="AF21" s="1509"/>
      <c r="AG21" s="1509"/>
      <c r="AH21" s="1509"/>
      <c r="AI21" s="1509"/>
      <c r="AJ21" s="1509"/>
      <c r="AK21" s="2"/>
      <c r="AL21" s="2"/>
      <c r="AM21" s="2"/>
      <c r="AN21" s="2"/>
      <c r="AO21" s="2"/>
      <c r="AP21" s="2"/>
      <c r="AQ21" s="2"/>
      <c r="AR21" s="2"/>
    </row>
    <row r="22" spans="1:44" ht="30" customHeight="1" x14ac:dyDescent="0.25">
      <c r="A22" s="18"/>
      <c r="B22" s="18"/>
      <c r="C22" s="18"/>
      <c r="D22" s="1"/>
      <c r="E22" s="2"/>
      <c r="F22" s="1149" t="s">
        <v>217</v>
      </c>
      <c r="G22" s="1094"/>
      <c r="H22" s="1094"/>
      <c r="I22" s="1094"/>
      <c r="J22" s="1094"/>
      <c r="K22" s="1094"/>
      <c r="L22" s="1104"/>
      <c r="M22" s="148" t="s">
        <v>186</v>
      </c>
      <c r="N22" s="1130"/>
      <c r="O22" s="1131"/>
      <c r="P22" s="1131"/>
      <c r="Q22" s="1131"/>
      <c r="R22" s="1131"/>
      <c r="S22" s="1132"/>
      <c r="T22" s="1196" t="s">
        <v>364</v>
      </c>
      <c r="U22" s="1121"/>
      <c r="V22" s="1121"/>
      <c r="W22" s="1510"/>
      <c r="X22" s="1511"/>
      <c r="Y22" s="1196" t="s">
        <v>365</v>
      </c>
      <c r="Z22" s="1121"/>
      <c r="AA22" s="1121"/>
      <c r="AB22" s="1510"/>
      <c r="AC22" s="1511"/>
      <c r="AD22" s="1149" t="s">
        <v>7271</v>
      </c>
      <c r="AE22" s="1094"/>
      <c r="AF22" s="1094"/>
      <c r="AG22" s="1189"/>
      <c r="AH22" s="1189"/>
      <c r="AI22" s="1189"/>
      <c r="AJ22" s="1189"/>
      <c r="AK22" s="353" t="s">
        <v>186</v>
      </c>
      <c r="AL22" s="2"/>
      <c r="AM22" s="2"/>
      <c r="AN22" s="2"/>
      <c r="AO22" s="2"/>
      <c r="AP22" s="2"/>
      <c r="AR22" s="162"/>
    </row>
    <row r="23" spans="1:44" ht="30" customHeight="1" x14ac:dyDescent="0.25">
      <c r="A23" s="18"/>
      <c r="B23" s="18"/>
      <c r="C23" s="18"/>
      <c r="D23" s="1"/>
      <c r="E23" s="2"/>
      <c r="F23" s="1149" t="s">
        <v>363</v>
      </c>
      <c r="G23" s="1094"/>
      <c r="H23" s="1094"/>
      <c r="I23" s="1094"/>
      <c r="J23" s="1094"/>
      <c r="K23" s="1094"/>
      <c r="L23" s="1104"/>
      <c r="M23" s="148" t="s">
        <v>186</v>
      </c>
      <c r="N23" s="1213"/>
      <c r="O23" s="1214"/>
      <c r="P23" s="1214"/>
      <c r="Q23" s="1214"/>
      <c r="R23" s="1214"/>
      <c r="S23" s="1190"/>
      <c r="T23" s="2"/>
      <c r="U23" s="2"/>
      <c r="V23" s="2"/>
      <c r="W23" s="2"/>
      <c r="X23" s="2"/>
      <c r="Y23" s="2"/>
      <c r="Z23" s="2"/>
      <c r="AA23" s="2"/>
      <c r="AB23" s="2"/>
      <c r="AC23" s="2"/>
      <c r="AD23" s="2"/>
      <c r="AE23" s="2"/>
      <c r="AF23" s="2"/>
      <c r="AG23" s="2"/>
      <c r="AH23" s="2"/>
      <c r="AI23" s="2"/>
      <c r="AJ23" s="2"/>
      <c r="AK23" s="2"/>
      <c r="AL23" s="2"/>
      <c r="AM23" s="2"/>
      <c r="AN23" s="2"/>
      <c r="AO23" s="2"/>
      <c r="AP23" s="2"/>
      <c r="AQ23" s="2"/>
      <c r="AR23" s="162"/>
    </row>
    <row r="24" spans="1:44" ht="20.100000000000001" customHeight="1" x14ac:dyDescent="0.25">
      <c r="A24" s="18"/>
      <c r="B24" s="18"/>
      <c r="C24" s="18"/>
      <c r="D24" s="1"/>
      <c r="E24" s="2"/>
      <c r="F24" s="189"/>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162"/>
    </row>
    <row r="25" spans="1:44" ht="39.950000000000003" customHeight="1" x14ac:dyDescent="0.25">
      <c r="A25" s="18"/>
      <c r="B25" s="18"/>
      <c r="C25" s="18"/>
      <c r="D25" s="1"/>
      <c r="E25" s="2"/>
      <c r="F25" s="1149" t="s">
        <v>241</v>
      </c>
      <c r="G25" s="1094"/>
      <c r="H25" s="1094"/>
      <c r="I25" s="1094"/>
      <c r="J25" s="1094"/>
      <c r="K25" s="1094"/>
      <c r="L25" s="1104"/>
      <c r="M25" s="148" t="s">
        <v>186</v>
      </c>
      <c r="N25" s="1130"/>
      <c r="O25" s="1131"/>
      <c r="P25" s="1131"/>
      <c r="Q25" s="1131"/>
      <c r="R25" s="1131"/>
      <c r="S25" s="1132"/>
      <c r="T25" s="1294" t="s">
        <v>357</v>
      </c>
      <c r="U25" s="1295"/>
      <c r="V25" s="1295"/>
      <c r="W25" s="1295"/>
      <c r="X25" s="1295"/>
      <c r="Y25" s="148" t="s">
        <v>186</v>
      </c>
      <c r="Z25" s="1213"/>
      <c r="AA25" s="1214"/>
      <c r="AB25" s="1214"/>
      <c r="AC25" s="1190"/>
      <c r="AD25" s="2"/>
      <c r="AE25" s="2"/>
      <c r="AF25" s="2"/>
      <c r="AG25" s="2"/>
      <c r="AH25" s="2"/>
      <c r="AI25" s="2"/>
      <c r="AJ25" s="2"/>
      <c r="AK25" s="2"/>
      <c r="AL25" s="2"/>
      <c r="AM25" s="2"/>
      <c r="AN25" s="2"/>
      <c r="AO25" s="2"/>
      <c r="AP25" s="2"/>
      <c r="AQ25" s="2"/>
      <c r="AR25" s="4"/>
    </row>
    <row r="26" spans="1:44" ht="39.950000000000003" customHeight="1" x14ac:dyDescent="0.25">
      <c r="A26" s="18"/>
      <c r="B26" s="18"/>
      <c r="C26" s="18"/>
      <c r="D26" s="1"/>
      <c r="E26" s="2"/>
      <c r="F26" s="1149" t="s">
        <v>240</v>
      </c>
      <c r="G26" s="1094"/>
      <c r="H26" s="1094"/>
      <c r="I26" s="1094"/>
      <c r="J26" s="1094"/>
      <c r="K26" s="1094"/>
      <c r="L26" s="1094"/>
      <c r="M26" s="148" t="s">
        <v>186</v>
      </c>
      <c r="N26" s="1130"/>
      <c r="O26" s="1131"/>
      <c r="P26" s="1131"/>
      <c r="Q26" s="1131"/>
      <c r="R26" s="1131"/>
      <c r="S26" s="1132"/>
      <c r="T26" s="1149" t="s">
        <v>104</v>
      </c>
      <c r="U26" s="1094"/>
      <c r="V26" s="1094"/>
      <c r="W26" s="1094"/>
      <c r="X26" s="1104"/>
      <c r="Y26" s="148" t="s">
        <v>186</v>
      </c>
      <c r="Z26" s="1058"/>
      <c r="AA26" s="1059"/>
      <c r="AB26" s="1059"/>
      <c r="AC26" s="1060"/>
      <c r="AD26" s="2"/>
      <c r="AE26" s="2"/>
      <c r="AF26" s="2"/>
      <c r="AG26" s="2"/>
      <c r="AH26" s="2"/>
      <c r="AI26" s="2"/>
      <c r="AJ26" s="2"/>
      <c r="AK26" s="2"/>
      <c r="AL26" s="2"/>
      <c r="AM26" s="2"/>
      <c r="AN26" s="2"/>
      <c r="AO26" s="2"/>
      <c r="AP26" s="2"/>
      <c r="AQ26" s="2"/>
      <c r="AR26" s="2"/>
    </row>
    <row r="27" spans="1:44" ht="20.100000000000001" customHeight="1" x14ac:dyDescent="0.25">
      <c r="A27" s="18"/>
      <c r="B27" s="18"/>
      <c r="C27" s="18"/>
      <c r="D27" s="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20.100000000000001" customHeight="1" x14ac:dyDescent="0.25">
      <c r="A28" s="18"/>
      <c r="B28" s="18"/>
      <c r="C28" s="18"/>
      <c r="D28" s="1"/>
      <c r="E28" s="2"/>
      <c r="F28" s="1149" t="s">
        <v>255</v>
      </c>
      <c r="G28" s="1094"/>
      <c r="H28" s="1094"/>
      <c r="I28" s="1094"/>
      <c r="J28" s="1094"/>
      <c r="K28" s="1094"/>
      <c r="L28" s="1104"/>
      <c r="M28" s="148" t="s">
        <v>186</v>
      </c>
      <c r="N28" s="981"/>
      <c r="O28" s="982"/>
      <c r="P28" s="982"/>
      <c r="Q28" s="982"/>
      <c r="R28" s="982"/>
      <c r="S28" s="1212"/>
      <c r="T28" s="2"/>
      <c r="U28" s="2"/>
      <c r="V28" s="2"/>
      <c r="W28" s="153"/>
      <c r="X28" s="2"/>
      <c r="Y28" s="2"/>
      <c r="Z28" s="2"/>
      <c r="AA28" s="2"/>
      <c r="AB28" s="2"/>
      <c r="AC28" s="2"/>
      <c r="AD28" s="2"/>
      <c r="AE28" s="2"/>
      <c r="AF28" s="2"/>
      <c r="AG28" s="2"/>
      <c r="AH28" s="2"/>
      <c r="AI28" s="2"/>
      <c r="AJ28" s="2"/>
      <c r="AK28" s="2"/>
      <c r="AL28" s="2"/>
      <c r="AM28" s="2"/>
      <c r="AN28" s="2"/>
      <c r="AO28" s="2"/>
      <c r="AP28" s="2"/>
      <c r="AQ28" s="2"/>
      <c r="AR28" s="2"/>
    </row>
    <row r="29" spans="1:44" ht="20.100000000000001" customHeight="1" x14ac:dyDescent="0.25">
      <c r="A29" s="18"/>
      <c r="B29" s="18"/>
      <c r="C29" s="18"/>
      <c r="D29" s="1"/>
      <c r="E29" s="2"/>
      <c r="F29" s="2"/>
      <c r="G29" s="2"/>
      <c r="H29" s="2"/>
      <c r="I29" s="2"/>
      <c r="J29" s="2"/>
      <c r="K29" s="2"/>
      <c r="L29" s="2"/>
      <c r="M29" s="2"/>
      <c r="N29" s="354"/>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20.100000000000001" customHeight="1" x14ac:dyDescent="0.25">
      <c r="A30" s="18"/>
      <c r="B30" s="18"/>
      <c r="C30" s="18"/>
      <c r="D30" s="1"/>
      <c r="E30" s="7"/>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355"/>
      <c r="AL30" s="355"/>
      <c r="AM30" s="355"/>
      <c r="AN30" s="355"/>
      <c r="AO30" s="355"/>
      <c r="AP30" s="355"/>
      <c r="AQ30" s="355"/>
      <c r="AR30" s="355"/>
    </row>
    <row r="31" spans="1:44" ht="20.100000000000001" customHeight="1" x14ac:dyDescent="0.25">
      <c r="A31" s="18"/>
      <c r="B31" s="18"/>
      <c r="C31" s="18"/>
      <c r="D31" s="1"/>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356"/>
      <c r="AL31" s="356"/>
      <c r="AM31" s="356"/>
      <c r="AN31" s="356"/>
      <c r="AO31" s="356"/>
      <c r="AP31" s="356"/>
      <c r="AQ31" s="356"/>
      <c r="AR31" s="356"/>
    </row>
    <row r="32" spans="1:44" ht="20.100000000000001" customHeight="1" x14ac:dyDescent="0.25">
      <c r="A32" s="18"/>
      <c r="B32" s="18"/>
      <c r="C32" s="18"/>
      <c r="D32" s="1"/>
      <c r="E32" s="2"/>
      <c r="F32" s="2"/>
      <c r="G32" s="314"/>
      <c r="H32" s="1529" t="s">
        <v>172</v>
      </c>
      <c r="I32" s="1529"/>
      <c r="J32" s="1529"/>
      <c r="K32" s="1529" t="s">
        <v>173</v>
      </c>
      <c r="L32" s="1529"/>
      <c r="M32" s="1529"/>
      <c r="N32" s="1529" t="s">
        <v>176</v>
      </c>
      <c r="O32" s="1529"/>
      <c r="P32" s="1529"/>
      <c r="Q32" s="1529"/>
      <c r="R32" s="1529"/>
      <c r="S32" s="1529"/>
      <c r="T32" s="1529"/>
      <c r="U32" s="1529"/>
      <c r="V32" s="1529"/>
      <c r="W32" s="1529" t="s">
        <v>181</v>
      </c>
      <c r="X32" s="1529"/>
      <c r="Y32" s="1529"/>
      <c r="Z32" s="1529"/>
      <c r="AA32" s="1529"/>
      <c r="AB32" s="1529"/>
      <c r="AC32" s="1529"/>
      <c r="AD32" s="1529"/>
      <c r="AE32" s="1529"/>
      <c r="AF32" s="2"/>
      <c r="AG32" s="2"/>
      <c r="AH32" s="2"/>
      <c r="AI32" s="2"/>
      <c r="AJ32" s="2"/>
      <c r="AK32" s="356"/>
      <c r="AL32" s="356"/>
      <c r="AM32" s="356"/>
      <c r="AN32" s="356"/>
      <c r="AO32" s="356"/>
      <c r="AP32" s="356"/>
      <c r="AQ32" s="356"/>
      <c r="AR32" s="356"/>
    </row>
    <row r="33" spans="1:44" ht="20.100000000000001" customHeight="1" x14ac:dyDescent="0.25">
      <c r="A33" s="18"/>
      <c r="B33" s="18"/>
      <c r="C33" s="18"/>
      <c r="D33" s="1"/>
      <c r="E33" s="2"/>
      <c r="F33" s="314" t="s">
        <v>169</v>
      </c>
      <c r="G33" s="314"/>
      <c r="H33" s="1512" t="s">
        <v>170</v>
      </c>
      <c r="I33" s="1512"/>
      <c r="J33" s="1512"/>
      <c r="K33" s="1512" t="s">
        <v>174</v>
      </c>
      <c r="L33" s="1512"/>
      <c r="M33" s="1512"/>
      <c r="N33" s="1512" t="s">
        <v>177</v>
      </c>
      <c r="O33" s="1512"/>
      <c r="P33" s="1512"/>
      <c r="Q33" s="1512"/>
      <c r="R33" s="1512"/>
      <c r="S33" s="1512"/>
      <c r="T33" s="1512"/>
      <c r="U33" s="1512"/>
      <c r="V33" s="1512"/>
      <c r="W33" s="1512" t="s">
        <v>178</v>
      </c>
      <c r="X33" s="1512"/>
      <c r="Y33" s="1512"/>
      <c r="Z33" s="1512"/>
      <c r="AA33" s="1512"/>
      <c r="AB33" s="1512"/>
      <c r="AC33" s="1512"/>
      <c r="AD33" s="1512"/>
      <c r="AE33" s="1512"/>
      <c r="AF33" s="2"/>
      <c r="AG33" s="2"/>
      <c r="AH33" s="2"/>
      <c r="AI33" s="2"/>
      <c r="AJ33" s="2"/>
      <c r="AK33" s="356"/>
      <c r="AL33" s="356"/>
      <c r="AM33" s="356"/>
      <c r="AN33" s="356"/>
      <c r="AO33" s="356"/>
      <c r="AP33" s="356"/>
      <c r="AQ33" s="356"/>
      <c r="AR33" s="356"/>
    </row>
    <row r="34" spans="1:44" ht="20.100000000000001" customHeight="1" x14ac:dyDescent="0.25">
      <c r="A34" s="18"/>
      <c r="B34" s="18"/>
      <c r="C34" s="18"/>
      <c r="D34" s="1"/>
      <c r="E34" s="2"/>
      <c r="F34" s="2"/>
      <c r="G34" s="314"/>
      <c r="H34" s="1512" t="s">
        <v>9</v>
      </c>
      <c r="I34" s="1512"/>
      <c r="J34" s="1512"/>
      <c r="K34" s="1512" t="s">
        <v>175</v>
      </c>
      <c r="L34" s="1512"/>
      <c r="M34" s="1512"/>
      <c r="N34" s="1512" t="s">
        <v>179</v>
      </c>
      <c r="O34" s="1512"/>
      <c r="P34" s="1512"/>
      <c r="Q34" s="1512"/>
      <c r="R34" s="1512"/>
      <c r="S34" s="1512"/>
      <c r="T34" s="1512"/>
      <c r="U34" s="1512"/>
      <c r="V34" s="1512"/>
      <c r="W34" s="1512" t="s">
        <v>180</v>
      </c>
      <c r="X34" s="1512"/>
      <c r="Y34" s="1512"/>
      <c r="Z34" s="1512"/>
      <c r="AA34" s="1512"/>
      <c r="AB34" s="1512"/>
      <c r="AC34" s="1512"/>
      <c r="AD34" s="1512"/>
      <c r="AE34" s="1512"/>
      <c r="AF34" s="2"/>
      <c r="AG34" s="2"/>
      <c r="AH34" s="2"/>
      <c r="AI34" s="2"/>
      <c r="AJ34" s="2"/>
      <c r="AK34" s="356"/>
      <c r="AL34" s="356"/>
      <c r="AM34" s="356"/>
      <c r="AN34" s="356"/>
      <c r="AO34" s="356"/>
      <c r="AP34" s="356"/>
      <c r="AQ34" s="356"/>
      <c r="AR34" s="356"/>
    </row>
    <row r="35" spans="1:44" ht="20.100000000000001" customHeight="1" x14ac:dyDescent="0.25">
      <c r="A35" s="18"/>
      <c r="B35" s="18"/>
      <c r="C35" s="18"/>
      <c r="D35" s="1"/>
      <c r="E35" s="2"/>
      <c r="F35" s="2"/>
      <c r="G35" s="314"/>
      <c r="H35" s="1512" t="s">
        <v>171</v>
      </c>
      <c r="I35" s="1512"/>
      <c r="J35" s="1512"/>
      <c r="K35" s="1512" t="s">
        <v>182</v>
      </c>
      <c r="L35" s="1512"/>
      <c r="M35" s="1512"/>
      <c r="N35" s="1512" t="s">
        <v>183</v>
      </c>
      <c r="O35" s="1512"/>
      <c r="P35" s="1512"/>
      <c r="Q35" s="1512"/>
      <c r="R35" s="1512"/>
      <c r="S35" s="1512"/>
      <c r="T35" s="1512"/>
      <c r="U35" s="1512"/>
      <c r="V35" s="1512"/>
      <c r="W35" s="1512" t="s">
        <v>184</v>
      </c>
      <c r="X35" s="1512"/>
      <c r="Y35" s="1512"/>
      <c r="Z35" s="1512"/>
      <c r="AA35" s="1512"/>
      <c r="AB35" s="1512"/>
      <c r="AC35" s="1512"/>
      <c r="AD35" s="1512"/>
      <c r="AE35" s="1512"/>
      <c r="AF35" s="2"/>
      <c r="AG35" s="2"/>
      <c r="AH35" s="2"/>
      <c r="AI35" s="2"/>
      <c r="AJ35" s="2"/>
      <c r="AK35" s="356"/>
      <c r="AL35" s="356"/>
      <c r="AM35" s="356"/>
      <c r="AN35" s="356"/>
      <c r="AO35" s="356"/>
      <c r="AP35" s="356"/>
      <c r="AQ35" s="356"/>
      <c r="AR35" s="356"/>
    </row>
    <row r="36" spans="1:44" ht="20.100000000000001" customHeight="1" x14ac:dyDescent="0.25">
      <c r="A36" s="18"/>
      <c r="B36" s="18"/>
      <c r="C36" s="18"/>
      <c r="D36" s="1"/>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356"/>
      <c r="AL36" s="356"/>
      <c r="AM36" s="356"/>
      <c r="AN36" s="356"/>
      <c r="AO36" s="356"/>
      <c r="AP36" s="356"/>
      <c r="AQ36" s="356"/>
      <c r="AR36" s="356"/>
    </row>
    <row r="37" spans="1:44" ht="15" hidden="1" customHeight="1" x14ac:dyDescent="0.25">
      <c r="A37" s="18"/>
      <c r="B37" s="18"/>
      <c r="C37" s="18"/>
      <c r="D37" s="1"/>
      <c r="E37" s="7"/>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355"/>
      <c r="AL37" s="355"/>
      <c r="AM37" s="355"/>
      <c r="AN37" s="355"/>
      <c r="AO37" s="355"/>
      <c r="AP37" s="355"/>
      <c r="AQ37" s="355"/>
      <c r="AR37" s="355"/>
    </row>
    <row r="38" spans="1:44" ht="15" hidden="1" customHeight="1" x14ac:dyDescent="0.25">
      <c r="A38" s="18"/>
      <c r="B38" s="18"/>
      <c r="C38" s="18"/>
      <c r="D38" s="1"/>
      <c r="E38" s="7"/>
    </row>
    <row r="39" spans="1:44" ht="15" hidden="1" customHeight="1" x14ac:dyDescent="0.25">
      <c r="A39" s="18"/>
      <c r="B39" s="18"/>
      <c r="C39" s="18"/>
      <c r="D39" s="1"/>
      <c r="E39" s="7"/>
    </row>
    <row r="40" spans="1:44" ht="15" hidden="1" customHeight="1" x14ac:dyDescent="0.25">
      <c r="A40" s="18"/>
      <c r="B40" s="18"/>
      <c r="C40" s="18"/>
      <c r="D40" s="1"/>
      <c r="E40" s="7"/>
    </row>
    <row r="41" spans="1:44" ht="15" hidden="1" customHeight="1" x14ac:dyDescent="0.25">
      <c r="A41" s="18"/>
      <c r="B41" s="18"/>
      <c r="C41" s="18"/>
      <c r="D41" s="1"/>
      <c r="E41" s="7"/>
    </row>
    <row r="42" spans="1:44" ht="15" hidden="1" customHeight="1" x14ac:dyDescent="0.25">
      <c r="A42" s="18"/>
      <c r="B42" s="18"/>
      <c r="C42" s="18"/>
      <c r="D42" s="1"/>
      <c r="E42" s="7"/>
    </row>
    <row r="43" spans="1:44" ht="15" hidden="1" customHeight="1" x14ac:dyDescent="0.25">
      <c r="A43" s="18"/>
      <c r="B43" s="18"/>
      <c r="C43" s="18"/>
      <c r="D43" s="1"/>
      <c r="E43" s="7"/>
    </row>
    <row r="44" spans="1:44" ht="15" hidden="1" customHeight="1" x14ac:dyDescent="0.25">
      <c r="A44" s="18"/>
      <c r="B44" s="18"/>
      <c r="C44" s="18"/>
      <c r="D44" s="1"/>
      <c r="E44" s="7"/>
    </row>
    <row r="45" spans="1:44" ht="15" hidden="1" customHeight="1" x14ac:dyDescent="0.25">
      <c r="A45" s="18"/>
      <c r="B45" s="18"/>
      <c r="C45" s="18"/>
      <c r="D45" s="1"/>
      <c r="E45" s="7"/>
    </row>
    <row r="46" spans="1:44" ht="15" hidden="1" customHeight="1" x14ac:dyDescent="0.25">
      <c r="A46" s="18"/>
      <c r="B46" s="18"/>
      <c r="C46" s="18"/>
      <c r="D46" s="1"/>
      <c r="E46" s="7"/>
    </row>
    <row r="47" spans="1:44" ht="15" hidden="1" customHeight="1" x14ac:dyDescent="0.25">
      <c r="A47" s="18"/>
      <c r="B47" s="18"/>
      <c r="C47" s="18"/>
      <c r="D47" s="1"/>
      <c r="E47" s="7"/>
    </row>
    <row r="48" spans="1:44" ht="15" hidden="1" customHeight="1" x14ac:dyDescent="0.25">
      <c r="A48" s="18"/>
      <c r="B48" s="18"/>
      <c r="C48" s="18"/>
      <c r="D48" s="1"/>
      <c r="E48" s="7"/>
    </row>
    <row r="49" spans="1:44" ht="15" hidden="1" customHeight="1" x14ac:dyDescent="0.25">
      <c r="A49" s="18"/>
      <c r="B49" s="18"/>
      <c r="C49" s="18"/>
      <c r="D49" s="1"/>
      <c r="E49" s="7"/>
    </row>
    <row r="50" spans="1:44" ht="15" hidden="1" customHeight="1" x14ac:dyDescent="0.25">
      <c r="A50" s="18"/>
      <c r="B50" s="18"/>
      <c r="C50" s="18"/>
      <c r="D50" s="1"/>
      <c r="E50" s="7"/>
    </row>
    <row r="51" spans="1:44" ht="15" hidden="1" customHeight="1" x14ac:dyDescent="0.25">
      <c r="A51" s="18"/>
      <c r="B51" s="18"/>
      <c r="C51" s="18"/>
      <c r="D51" s="1"/>
      <c r="E51" s="7"/>
    </row>
    <row r="52" spans="1:44" ht="15" hidden="1" customHeight="1" x14ac:dyDescent="0.25">
      <c r="A52" s="18"/>
      <c r="B52" s="18"/>
      <c r="C52" s="18"/>
      <c r="D52" s="1"/>
      <c r="E52" s="7"/>
    </row>
    <row r="53" spans="1:44" ht="15" hidden="1" customHeight="1" x14ac:dyDescent="0.25">
      <c r="A53" s="18"/>
      <c r="B53" s="18"/>
      <c r="C53" s="18"/>
      <c r="D53" s="1"/>
      <c r="E53" s="7"/>
    </row>
    <row r="54" spans="1:44" ht="15" hidden="1" customHeight="1" x14ac:dyDescent="0.25">
      <c r="A54" s="18"/>
      <c r="B54" s="18"/>
      <c r="C54" s="18"/>
      <c r="D54" s="1"/>
      <c r="E54" s="7"/>
    </row>
    <row r="55" spans="1:44" ht="15" hidden="1" customHeight="1" x14ac:dyDescent="0.25">
      <c r="A55" s="18"/>
      <c r="B55" s="18"/>
      <c r="C55" s="18"/>
      <c r="D55" s="1"/>
      <c r="E55" s="7"/>
    </row>
    <row r="56" spans="1:44" ht="15" hidden="1" customHeight="1" x14ac:dyDescent="0.25">
      <c r="A56" s="18"/>
      <c r="B56" s="18"/>
      <c r="C56" s="18"/>
      <c r="D56" s="1"/>
      <c r="E56" s="7"/>
    </row>
    <row r="57" spans="1:44" ht="15" hidden="1" customHeight="1" x14ac:dyDescent="0.25">
      <c r="A57" s="18"/>
      <c r="B57" s="18"/>
      <c r="C57" s="18"/>
      <c r="D57" s="1"/>
      <c r="E57" s="7"/>
    </row>
    <row r="58" spans="1:44" ht="15" hidden="1" customHeight="1" x14ac:dyDescent="0.25">
      <c r="A58" s="18"/>
      <c r="B58" s="18"/>
      <c r="C58" s="18"/>
      <c r="D58" s="1"/>
      <c r="E58" s="7"/>
    </row>
    <row r="59" spans="1:44" ht="20.100000000000001" customHeight="1" x14ac:dyDescent="0.25">
      <c r="A59" s="18"/>
      <c r="B59" s="18"/>
      <c r="C59" s="18"/>
      <c r="D59" s="1"/>
      <c r="E59" s="7"/>
      <c r="F59" s="357"/>
      <c r="G59" s="1"/>
      <c r="H59" s="1"/>
      <c r="I59" s="1"/>
      <c r="J59" s="1"/>
      <c r="K59" s="1"/>
      <c r="L59" s="1"/>
      <c r="M59" s="1"/>
      <c r="N59" s="1"/>
      <c r="O59" s="1"/>
      <c r="P59" s="1"/>
      <c r="Q59" s="358"/>
      <c r="R59" s="358"/>
      <c r="S59" s="1"/>
      <c r="T59" s="1"/>
      <c r="U59" s="1"/>
      <c r="V59" s="1"/>
      <c r="W59" s="316"/>
      <c r="X59" s="1"/>
      <c r="Y59" s="1"/>
      <c r="Z59" s="1"/>
      <c r="AA59" s="1"/>
      <c r="AB59" s="1"/>
      <c r="AC59" s="1"/>
      <c r="AD59" s="1"/>
      <c r="AE59" s="1"/>
      <c r="AF59" s="1"/>
      <c r="AG59" s="1"/>
      <c r="AH59" s="1"/>
      <c r="AI59" s="1"/>
      <c r="AJ59" s="1"/>
      <c r="AK59" s="1"/>
      <c r="AL59" s="1"/>
      <c r="AM59" s="1"/>
      <c r="AN59" s="1"/>
      <c r="AO59" s="1"/>
      <c r="AP59" s="1"/>
      <c r="AQ59" s="1"/>
      <c r="AR59" s="1"/>
    </row>
    <row r="60" spans="1:44" ht="39.950000000000003" customHeight="1" x14ac:dyDescent="0.25">
      <c r="A60" s="18"/>
      <c r="B60" s="18"/>
      <c r="C60" s="18"/>
      <c r="D60" s="1"/>
      <c r="E60" s="2"/>
      <c r="F60" s="1530" t="s">
        <v>185</v>
      </c>
      <c r="G60" s="1531"/>
      <c r="H60" s="1531"/>
      <c r="I60" s="1531"/>
      <c r="J60" s="1531"/>
      <c r="K60" s="1531"/>
      <c r="L60" s="1531"/>
      <c r="M60" s="1531"/>
      <c r="N60" s="1531"/>
      <c r="O60" s="1531"/>
      <c r="P60" s="1531"/>
      <c r="Q60" s="1531"/>
      <c r="R60" s="1531"/>
      <c r="S60" s="1531"/>
      <c r="T60" s="1531"/>
      <c r="U60" s="1531"/>
      <c r="V60" s="1531"/>
      <c r="W60" s="1531"/>
      <c r="X60" s="1531"/>
      <c r="Y60" s="1531"/>
      <c r="Z60" s="1531"/>
      <c r="AA60" s="1531"/>
      <c r="AB60" s="1531"/>
      <c r="AC60" s="1531"/>
      <c r="AD60" s="1531"/>
      <c r="AE60" s="1531"/>
      <c r="AF60" s="1531"/>
      <c r="AG60" s="1531"/>
      <c r="AH60" s="1531"/>
      <c r="AI60" s="1531"/>
      <c r="AJ60" s="1531"/>
      <c r="AK60" s="1531"/>
      <c r="AL60" s="1531"/>
      <c r="AM60" s="1531"/>
      <c r="AN60" s="1531"/>
      <c r="AO60" s="246"/>
      <c r="AP60" s="246"/>
      <c r="AQ60" s="162"/>
      <c r="AR60" s="162"/>
    </row>
    <row r="61" spans="1:44" ht="20.100000000000001" customHeight="1" x14ac:dyDescent="0.25">
      <c r="A61" s="18"/>
      <c r="B61" s="18"/>
      <c r="C61" s="18"/>
      <c r="D61" s="1"/>
      <c r="E61" s="2"/>
      <c r="F61" s="359"/>
      <c r="G61" s="359"/>
      <c r="H61" s="359"/>
      <c r="I61" s="359"/>
      <c r="J61" s="359"/>
      <c r="K61" s="359"/>
      <c r="L61" s="359"/>
      <c r="M61" s="359"/>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c r="AN61" s="360"/>
      <c r="AO61" s="162"/>
      <c r="AP61" s="162"/>
      <c r="AQ61" s="162"/>
      <c r="AR61" s="162"/>
    </row>
    <row r="62" spans="1:44" ht="30" customHeight="1" x14ac:dyDescent="0.25">
      <c r="A62" s="18"/>
      <c r="B62" s="18"/>
      <c r="C62" s="18"/>
      <c r="D62" s="1"/>
      <c r="E62" s="2"/>
      <c r="F62" s="1149" t="s">
        <v>74</v>
      </c>
      <c r="G62" s="1094"/>
      <c r="H62" s="1094"/>
      <c r="I62" s="1094"/>
      <c r="J62" s="1094"/>
      <c r="K62" s="1094"/>
      <c r="L62" s="1104"/>
      <c r="M62" s="148" t="s">
        <v>186</v>
      </c>
      <c r="N62" s="981"/>
      <c r="O62" s="982"/>
      <c r="P62" s="982"/>
      <c r="Q62" s="982"/>
      <c r="R62" s="982"/>
      <c r="S62" s="121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ht="20.100000000000001" customHeight="1" x14ac:dyDescent="0.25">
      <c r="A63" s="18"/>
      <c r="B63" s="18"/>
      <c r="C63" s="18"/>
      <c r="D63" s="1"/>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ht="35.1" customHeight="1" x14ac:dyDescent="0.25">
      <c r="A64" s="18"/>
      <c r="B64" s="18"/>
      <c r="C64" s="18"/>
      <c r="D64" s="1"/>
      <c r="E64" s="2"/>
      <c r="F64" s="1117" t="s">
        <v>359</v>
      </c>
      <c r="G64" s="1118"/>
      <c r="H64" s="1118"/>
      <c r="I64" s="1120" t="s">
        <v>104</v>
      </c>
      <c r="J64" s="1121"/>
      <c r="K64" s="1121"/>
      <c r="L64" s="1353"/>
      <c r="M64" s="1532" t="s">
        <v>210</v>
      </c>
      <c r="N64" s="1533"/>
      <c r="O64" s="1534"/>
      <c r="P64" s="1120" t="s">
        <v>38</v>
      </c>
      <c r="Q64" s="1121"/>
      <c r="R64" s="1353"/>
      <c r="S64" s="1532" t="s">
        <v>211</v>
      </c>
      <c r="T64" s="1533"/>
      <c r="U64" s="1534"/>
      <c r="V64" s="1120" t="s">
        <v>39</v>
      </c>
      <c r="W64" s="1121"/>
      <c r="X64" s="1353"/>
      <c r="Y64" s="1527" t="s">
        <v>195</v>
      </c>
      <c r="Z64" s="1528"/>
      <c r="AA64" s="1528"/>
      <c r="AB64" s="1528"/>
      <c r="AC64" s="1528"/>
      <c r="AD64" s="1528"/>
      <c r="AE64" s="1528"/>
      <c r="AF64" s="1528"/>
      <c r="AG64" s="1528"/>
      <c r="AH64" s="1528"/>
      <c r="AI64" s="1528"/>
      <c r="AJ64" s="1528"/>
      <c r="AK64" s="1528"/>
      <c r="AL64" s="1528"/>
      <c r="AM64" s="1528"/>
      <c r="AN64" s="2"/>
      <c r="AO64" s="2"/>
      <c r="AP64" s="2"/>
      <c r="AQ64" s="2"/>
      <c r="AR64" s="2"/>
    </row>
    <row r="65" spans="1:44" ht="24.95" customHeight="1" x14ac:dyDescent="0.25">
      <c r="A65" s="18"/>
      <c r="B65" s="18"/>
      <c r="C65" s="18"/>
      <c r="D65" s="1"/>
      <c r="E65" s="361"/>
      <c r="F65" s="1537">
        <v>1</v>
      </c>
      <c r="G65" s="1537"/>
      <c r="H65" s="1537"/>
      <c r="I65" s="1133"/>
      <c r="J65" s="1133"/>
      <c r="K65" s="1133"/>
      <c r="L65" s="1133"/>
      <c r="M65" s="1205"/>
      <c r="N65" s="1205"/>
      <c r="O65" s="1205"/>
      <c r="P65" s="1205"/>
      <c r="Q65" s="1205"/>
      <c r="R65" s="1205"/>
      <c r="S65" s="1205"/>
      <c r="T65" s="1205"/>
      <c r="U65" s="1205"/>
      <c r="V65" s="1205"/>
      <c r="W65" s="1205"/>
      <c r="X65" s="1205"/>
      <c r="Y65" s="1044"/>
      <c r="Z65" s="1297"/>
      <c r="AA65" s="1297"/>
      <c r="AB65" s="1297"/>
      <c r="AC65" s="1297"/>
      <c r="AD65" s="1297"/>
      <c r="AE65" s="1297"/>
      <c r="AF65" s="1297"/>
      <c r="AG65" s="1297"/>
      <c r="AH65" s="1297"/>
      <c r="AI65" s="1297"/>
      <c r="AJ65" s="1297"/>
      <c r="AK65" s="1297"/>
      <c r="AL65" s="1297"/>
      <c r="AM65" s="1297"/>
      <c r="AN65" s="2"/>
      <c r="AO65" s="2"/>
      <c r="AP65" s="2"/>
      <c r="AQ65" s="2"/>
      <c r="AR65" s="2"/>
    </row>
    <row r="66" spans="1:44" ht="24.95" customHeight="1" x14ac:dyDescent="0.25">
      <c r="A66" s="18"/>
      <c r="B66" s="18"/>
      <c r="C66" s="18"/>
      <c r="D66" s="1"/>
      <c r="E66" s="361"/>
      <c r="F66" s="1537">
        <v>2</v>
      </c>
      <c r="G66" s="1537"/>
      <c r="H66" s="1537"/>
      <c r="I66" s="1133"/>
      <c r="J66" s="1133"/>
      <c r="K66" s="1133"/>
      <c r="L66" s="1133"/>
      <c r="M66" s="1205"/>
      <c r="N66" s="1205"/>
      <c r="O66" s="1205"/>
      <c r="P66" s="1205"/>
      <c r="Q66" s="1205"/>
      <c r="R66" s="1205"/>
      <c r="S66" s="1205"/>
      <c r="T66" s="1205"/>
      <c r="U66" s="1205"/>
      <c r="V66" s="1205"/>
      <c r="W66" s="1205"/>
      <c r="X66" s="1205"/>
      <c r="Y66" s="1044"/>
      <c r="Z66" s="1297"/>
      <c r="AA66" s="1297"/>
      <c r="AB66" s="1297"/>
      <c r="AC66" s="1297"/>
      <c r="AD66" s="1297"/>
      <c r="AE66" s="1297"/>
      <c r="AF66" s="1297"/>
      <c r="AG66" s="1297"/>
      <c r="AH66" s="1297"/>
      <c r="AI66" s="1297"/>
      <c r="AJ66" s="1297"/>
      <c r="AK66" s="1297"/>
      <c r="AL66" s="1297"/>
      <c r="AM66" s="1297"/>
      <c r="AN66" s="2"/>
      <c r="AO66" s="2"/>
      <c r="AP66" s="2"/>
      <c r="AQ66" s="2"/>
      <c r="AR66" s="2"/>
    </row>
    <row r="67" spans="1:44" ht="24.95" customHeight="1" x14ac:dyDescent="0.25">
      <c r="A67" s="18"/>
      <c r="B67" s="18"/>
      <c r="C67" s="18"/>
      <c r="D67" s="1"/>
      <c r="E67" s="361"/>
      <c r="F67" s="1537">
        <v>3</v>
      </c>
      <c r="G67" s="1537"/>
      <c r="H67" s="1537"/>
      <c r="I67" s="1133"/>
      <c r="J67" s="1133"/>
      <c r="K67" s="1133"/>
      <c r="L67" s="1133"/>
      <c r="M67" s="1205"/>
      <c r="N67" s="1205"/>
      <c r="O67" s="1205"/>
      <c r="P67" s="1205"/>
      <c r="Q67" s="1205"/>
      <c r="R67" s="1205"/>
      <c r="S67" s="1205"/>
      <c r="T67" s="1205"/>
      <c r="U67" s="1205"/>
      <c r="V67" s="1205"/>
      <c r="W67" s="1205"/>
      <c r="X67" s="1205"/>
      <c r="Y67" s="1044"/>
      <c r="Z67" s="1297"/>
      <c r="AA67" s="1297"/>
      <c r="AB67" s="1297"/>
      <c r="AC67" s="1297"/>
      <c r="AD67" s="1297"/>
      <c r="AE67" s="1297"/>
      <c r="AF67" s="1297"/>
      <c r="AG67" s="1297"/>
      <c r="AH67" s="1297"/>
      <c r="AI67" s="1297"/>
      <c r="AJ67" s="1297"/>
      <c r="AK67" s="1297"/>
      <c r="AL67" s="1297"/>
      <c r="AM67" s="1297"/>
      <c r="AN67" s="2"/>
      <c r="AO67" s="2"/>
      <c r="AP67" s="2"/>
      <c r="AQ67" s="2"/>
      <c r="AR67" s="2"/>
    </row>
    <row r="68" spans="1:44" ht="24.95" customHeight="1" x14ac:dyDescent="0.25">
      <c r="A68" s="18"/>
      <c r="B68" s="18"/>
      <c r="C68" s="18"/>
      <c r="D68" s="1"/>
      <c r="E68" s="361"/>
      <c r="F68" s="1537">
        <v>4</v>
      </c>
      <c r="G68" s="1537"/>
      <c r="H68" s="1537"/>
      <c r="I68" s="1133"/>
      <c r="J68" s="1133"/>
      <c r="K68" s="1133"/>
      <c r="L68" s="1133"/>
      <c r="M68" s="1205"/>
      <c r="N68" s="1205"/>
      <c r="O68" s="1205"/>
      <c r="P68" s="1205"/>
      <c r="Q68" s="1205"/>
      <c r="R68" s="1205"/>
      <c r="S68" s="1205"/>
      <c r="T68" s="1205"/>
      <c r="U68" s="1205"/>
      <c r="V68" s="1205"/>
      <c r="W68" s="1205"/>
      <c r="X68" s="1205"/>
      <c r="Y68" s="1044"/>
      <c r="Z68" s="1297"/>
      <c r="AA68" s="1297"/>
      <c r="AB68" s="1297"/>
      <c r="AC68" s="1297"/>
      <c r="AD68" s="1297"/>
      <c r="AE68" s="1297"/>
      <c r="AF68" s="1297"/>
      <c r="AG68" s="1297"/>
      <c r="AH68" s="1297"/>
      <c r="AI68" s="1297"/>
      <c r="AJ68" s="1297"/>
      <c r="AK68" s="1297"/>
      <c r="AL68" s="1297"/>
      <c r="AM68" s="1297"/>
      <c r="AN68" s="2"/>
      <c r="AO68" s="2"/>
      <c r="AP68" s="2"/>
      <c r="AQ68" s="2"/>
      <c r="AR68" s="2"/>
    </row>
    <row r="69" spans="1:44" ht="24.95" customHeight="1" x14ac:dyDescent="0.25">
      <c r="A69" s="18"/>
      <c r="B69" s="18"/>
      <c r="C69" s="18"/>
      <c r="D69" s="1"/>
      <c r="E69" s="361"/>
      <c r="F69" s="1537">
        <v>5</v>
      </c>
      <c r="G69" s="1537"/>
      <c r="H69" s="1537"/>
      <c r="I69" s="1133"/>
      <c r="J69" s="1133"/>
      <c r="K69" s="1133"/>
      <c r="L69" s="1133"/>
      <c r="M69" s="1205"/>
      <c r="N69" s="1205"/>
      <c r="O69" s="1205"/>
      <c r="P69" s="1205"/>
      <c r="Q69" s="1205"/>
      <c r="R69" s="1205"/>
      <c r="S69" s="1205"/>
      <c r="T69" s="1205"/>
      <c r="U69" s="1205"/>
      <c r="V69" s="1205"/>
      <c r="W69" s="1205"/>
      <c r="X69" s="1205"/>
      <c r="Y69" s="1044"/>
      <c r="Z69" s="1297"/>
      <c r="AA69" s="1297"/>
      <c r="AB69" s="1297"/>
      <c r="AC69" s="1297"/>
      <c r="AD69" s="1297"/>
      <c r="AE69" s="1297"/>
      <c r="AF69" s="1297"/>
      <c r="AG69" s="1297"/>
      <c r="AH69" s="1297"/>
      <c r="AI69" s="1297"/>
      <c r="AJ69" s="1297"/>
      <c r="AK69" s="1297"/>
      <c r="AL69" s="1297"/>
      <c r="AM69" s="1297"/>
      <c r="AN69" s="2"/>
      <c r="AO69" s="2"/>
      <c r="AP69" s="2"/>
      <c r="AQ69" s="2"/>
      <c r="AR69" s="2"/>
    </row>
    <row r="70" spans="1:44" ht="24.95" customHeight="1" x14ac:dyDescent="0.25">
      <c r="A70" s="18"/>
      <c r="B70" s="18"/>
      <c r="C70" s="18"/>
      <c r="D70" s="1"/>
      <c r="E70" s="361"/>
      <c r="F70" s="1537">
        <v>6</v>
      </c>
      <c r="G70" s="1537"/>
      <c r="H70" s="1537"/>
      <c r="I70" s="1133"/>
      <c r="J70" s="1133"/>
      <c r="K70" s="1133"/>
      <c r="L70" s="1133"/>
      <c r="M70" s="1205"/>
      <c r="N70" s="1205"/>
      <c r="O70" s="1205"/>
      <c r="P70" s="1205"/>
      <c r="Q70" s="1205"/>
      <c r="R70" s="1205"/>
      <c r="S70" s="1205"/>
      <c r="T70" s="1205"/>
      <c r="U70" s="1205"/>
      <c r="V70" s="1205"/>
      <c r="W70" s="1205"/>
      <c r="X70" s="1205"/>
      <c r="Y70" s="1044"/>
      <c r="Z70" s="1297"/>
      <c r="AA70" s="1297"/>
      <c r="AB70" s="1297"/>
      <c r="AC70" s="1297"/>
      <c r="AD70" s="1297"/>
      <c r="AE70" s="1297"/>
      <c r="AF70" s="1297"/>
      <c r="AG70" s="1297"/>
      <c r="AH70" s="1297"/>
      <c r="AI70" s="1297"/>
      <c r="AJ70" s="1297"/>
      <c r="AK70" s="1297"/>
      <c r="AL70" s="1297"/>
      <c r="AM70" s="1297"/>
      <c r="AN70" s="2"/>
      <c r="AO70" s="2"/>
      <c r="AP70" s="2"/>
      <c r="AQ70" s="2"/>
      <c r="AR70" s="2"/>
    </row>
    <row r="71" spans="1:44" ht="24.95" customHeight="1" x14ac:dyDescent="0.25">
      <c r="A71" s="18"/>
      <c r="B71" s="18"/>
      <c r="C71" s="18"/>
      <c r="D71" s="1"/>
      <c r="E71" s="361"/>
      <c r="F71" s="1537">
        <v>7</v>
      </c>
      <c r="G71" s="1537"/>
      <c r="H71" s="1537"/>
      <c r="I71" s="1133"/>
      <c r="J71" s="1133"/>
      <c r="K71" s="1133"/>
      <c r="L71" s="1133"/>
      <c r="M71" s="1205"/>
      <c r="N71" s="1205"/>
      <c r="O71" s="1205"/>
      <c r="P71" s="1205"/>
      <c r="Q71" s="1205"/>
      <c r="R71" s="1205"/>
      <c r="S71" s="1205"/>
      <c r="T71" s="1205"/>
      <c r="U71" s="1205"/>
      <c r="V71" s="1205"/>
      <c r="W71" s="1205"/>
      <c r="X71" s="1205"/>
      <c r="Y71" s="1044"/>
      <c r="Z71" s="1297"/>
      <c r="AA71" s="1297"/>
      <c r="AB71" s="1297"/>
      <c r="AC71" s="1297"/>
      <c r="AD71" s="1297"/>
      <c r="AE71" s="1297"/>
      <c r="AF71" s="1297"/>
      <c r="AG71" s="1297"/>
      <c r="AH71" s="1297"/>
      <c r="AI71" s="1297"/>
      <c r="AJ71" s="1297"/>
      <c r="AK71" s="1297"/>
      <c r="AL71" s="1297"/>
      <c r="AM71" s="1297"/>
      <c r="AN71" s="2"/>
      <c r="AO71" s="2"/>
      <c r="AP71" s="2"/>
      <c r="AQ71" s="2"/>
      <c r="AR71" s="2"/>
    </row>
    <row r="72" spans="1:44" ht="24.95" customHeight="1" x14ac:dyDescent="0.25">
      <c r="A72" s="18"/>
      <c r="B72" s="18"/>
      <c r="C72" s="18"/>
      <c r="D72" s="1"/>
      <c r="E72" s="361"/>
      <c r="F72" s="1537">
        <v>8</v>
      </c>
      <c r="G72" s="1537"/>
      <c r="H72" s="1537"/>
      <c r="I72" s="1133"/>
      <c r="J72" s="1133"/>
      <c r="K72" s="1133"/>
      <c r="L72" s="1133"/>
      <c r="M72" s="1205"/>
      <c r="N72" s="1205"/>
      <c r="O72" s="1205"/>
      <c r="P72" s="1205"/>
      <c r="Q72" s="1205"/>
      <c r="R72" s="1205"/>
      <c r="S72" s="1205"/>
      <c r="T72" s="1205"/>
      <c r="U72" s="1205"/>
      <c r="V72" s="1205"/>
      <c r="W72" s="1205"/>
      <c r="X72" s="1205"/>
      <c r="Y72" s="1044"/>
      <c r="Z72" s="1297"/>
      <c r="AA72" s="1297"/>
      <c r="AB72" s="1297"/>
      <c r="AC72" s="1297"/>
      <c r="AD72" s="1297"/>
      <c r="AE72" s="1297"/>
      <c r="AF72" s="1297"/>
      <c r="AG72" s="1297"/>
      <c r="AH72" s="1297"/>
      <c r="AI72" s="1297"/>
      <c r="AJ72" s="1297"/>
      <c r="AK72" s="1297"/>
      <c r="AL72" s="1297"/>
      <c r="AM72" s="1297"/>
      <c r="AN72" s="2"/>
      <c r="AO72" s="2"/>
      <c r="AP72" s="2"/>
      <c r="AQ72" s="2"/>
      <c r="AR72" s="2"/>
    </row>
    <row r="73" spans="1:44" ht="24.95" customHeight="1" x14ac:dyDescent="0.25">
      <c r="A73" s="18"/>
      <c r="B73" s="18"/>
      <c r="C73" s="18"/>
      <c r="D73" s="1"/>
      <c r="E73" s="361"/>
      <c r="F73" s="1537">
        <v>9</v>
      </c>
      <c r="G73" s="1537"/>
      <c r="H73" s="1537"/>
      <c r="I73" s="1133"/>
      <c r="J73" s="1133"/>
      <c r="K73" s="1133"/>
      <c r="L73" s="1133"/>
      <c r="M73" s="1205"/>
      <c r="N73" s="1205"/>
      <c r="O73" s="1205"/>
      <c r="P73" s="1205"/>
      <c r="Q73" s="1205"/>
      <c r="R73" s="1205"/>
      <c r="S73" s="1205"/>
      <c r="T73" s="1205"/>
      <c r="U73" s="1205"/>
      <c r="V73" s="1205"/>
      <c r="W73" s="1205"/>
      <c r="X73" s="1205"/>
      <c r="Y73" s="1044"/>
      <c r="Z73" s="1297"/>
      <c r="AA73" s="1297"/>
      <c r="AB73" s="1297"/>
      <c r="AC73" s="1297"/>
      <c r="AD73" s="1297"/>
      <c r="AE73" s="1297"/>
      <c r="AF73" s="1297"/>
      <c r="AG73" s="1297"/>
      <c r="AH73" s="1297"/>
      <c r="AI73" s="1297"/>
      <c r="AJ73" s="1297"/>
      <c r="AK73" s="1297"/>
      <c r="AL73" s="1297"/>
      <c r="AM73" s="1297"/>
      <c r="AN73" s="2"/>
      <c r="AO73" s="2"/>
      <c r="AP73" s="2"/>
      <c r="AQ73" s="2"/>
      <c r="AR73" s="2"/>
    </row>
    <row r="74" spans="1:44" ht="24.95" customHeight="1" x14ac:dyDescent="0.25">
      <c r="A74" s="18"/>
      <c r="B74" s="18"/>
      <c r="C74" s="18"/>
      <c r="D74" s="1"/>
      <c r="E74" s="361"/>
      <c r="F74" s="1537">
        <v>10</v>
      </c>
      <c r="G74" s="1537"/>
      <c r="H74" s="1537"/>
      <c r="I74" s="1133"/>
      <c r="J74" s="1133"/>
      <c r="K74" s="1133"/>
      <c r="L74" s="1133"/>
      <c r="M74" s="1205"/>
      <c r="N74" s="1205"/>
      <c r="O74" s="1205"/>
      <c r="P74" s="1205"/>
      <c r="Q74" s="1205"/>
      <c r="R74" s="1205"/>
      <c r="S74" s="1205"/>
      <c r="T74" s="1205"/>
      <c r="U74" s="1205"/>
      <c r="V74" s="1205"/>
      <c r="W74" s="1205"/>
      <c r="X74" s="1205"/>
      <c r="Y74" s="1044"/>
      <c r="Z74" s="1297"/>
      <c r="AA74" s="1297"/>
      <c r="AB74" s="1297"/>
      <c r="AC74" s="1297"/>
      <c r="AD74" s="1297"/>
      <c r="AE74" s="1297"/>
      <c r="AF74" s="1297"/>
      <c r="AG74" s="1297"/>
      <c r="AH74" s="1297"/>
      <c r="AI74" s="1297"/>
      <c r="AJ74" s="1297"/>
      <c r="AK74" s="1297"/>
      <c r="AL74" s="1297"/>
      <c r="AM74" s="1297"/>
      <c r="AN74" s="2"/>
      <c r="AO74" s="2"/>
      <c r="AP74" s="2"/>
      <c r="AQ74" s="2"/>
      <c r="AR74" s="2"/>
    </row>
    <row r="75" spans="1:44" ht="20.100000000000001" customHeight="1" x14ac:dyDescent="0.25">
      <c r="A75" s="18"/>
      <c r="B75" s="18"/>
      <c r="C75" s="18"/>
      <c r="D75" s="1"/>
      <c r="E75" s="2"/>
      <c r="F75" s="2"/>
      <c r="G75" s="2"/>
      <c r="H75" s="2"/>
      <c r="I75" s="362"/>
      <c r="J75" s="362"/>
      <c r="K75" s="362"/>
      <c r="L75" s="362"/>
      <c r="M75" s="362"/>
      <c r="N75" s="362"/>
      <c r="O75" s="362"/>
      <c r="P75" s="362"/>
      <c r="Q75" s="362"/>
      <c r="R75" s="362"/>
      <c r="S75" s="362"/>
      <c r="T75" s="36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30" customHeight="1" x14ac:dyDescent="0.25">
      <c r="A76" s="18"/>
      <c r="B76" s="18"/>
      <c r="C76" s="18"/>
      <c r="D76" s="1"/>
      <c r="E76" s="2"/>
      <c r="F76" s="1149" t="s">
        <v>105</v>
      </c>
      <c r="G76" s="1094"/>
      <c r="H76" s="1094"/>
      <c r="I76" s="1094"/>
      <c r="J76" s="1094"/>
      <c r="K76" s="1094"/>
      <c r="L76" s="1104"/>
      <c r="M76" s="148" t="s">
        <v>186</v>
      </c>
      <c r="N76" s="981"/>
      <c r="O76" s="982"/>
      <c r="P76" s="982"/>
      <c r="Q76" s="982"/>
      <c r="R76" s="982"/>
      <c r="S76" s="1212"/>
      <c r="T76" s="2"/>
      <c r="U76" s="49" t="s">
        <v>6005</v>
      </c>
      <c r="V76" s="2"/>
      <c r="W76" s="2"/>
      <c r="X76" s="2"/>
      <c r="Y76" s="2"/>
      <c r="Z76" s="2"/>
      <c r="AA76" s="2"/>
      <c r="AB76" s="2"/>
      <c r="AC76" s="2"/>
      <c r="AD76" s="2"/>
      <c r="AE76" s="2"/>
      <c r="AF76" s="2"/>
      <c r="AG76" s="2"/>
      <c r="AH76" s="2"/>
      <c r="AI76" s="2"/>
      <c r="AJ76" s="2"/>
      <c r="AK76" s="2"/>
      <c r="AL76" s="2"/>
      <c r="AM76" s="2"/>
      <c r="AN76" s="2"/>
      <c r="AO76" s="2"/>
      <c r="AP76" s="2"/>
      <c r="AQ76" s="2"/>
      <c r="AR76" s="2"/>
    </row>
    <row r="77" spans="1:44" ht="30" customHeight="1" x14ac:dyDescent="0.25">
      <c r="A77" s="18"/>
      <c r="B77" s="18"/>
      <c r="C77" s="18"/>
      <c r="D77" s="1"/>
      <c r="E77" s="2"/>
      <c r="F77" s="1149" t="str">
        <f ca="1">Calculos!$AW$45</f>
        <v>Dose Máxima Tolerada - DMT (mg/kg pc)</v>
      </c>
      <c r="G77" s="1094"/>
      <c r="H77" s="1094"/>
      <c r="I77" s="1094"/>
      <c r="J77" s="1094"/>
      <c r="K77" s="1094"/>
      <c r="L77" s="1104"/>
      <c r="M77" s="148" t="s">
        <v>186</v>
      </c>
      <c r="N77" s="1058"/>
      <c r="O77" s="1059"/>
      <c r="P77" s="1059"/>
      <c r="Q77" s="1059"/>
      <c r="R77" s="1059"/>
      <c r="S77" s="1060"/>
      <c r="T77" s="2"/>
      <c r="U77" s="49"/>
      <c r="V77" s="2"/>
      <c r="W77" s="2"/>
      <c r="X77" s="2"/>
      <c r="Y77" s="2"/>
      <c r="Z77" s="2"/>
      <c r="AA77" s="2"/>
      <c r="AB77" s="2"/>
      <c r="AC77" s="2"/>
      <c r="AD77" s="2"/>
      <c r="AE77" s="2"/>
      <c r="AF77" s="2"/>
      <c r="AG77" s="2"/>
      <c r="AH77" s="2"/>
      <c r="AI77" s="2"/>
      <c r="AJ77" s="2"/>
      <c r="AK77" s="2"/>
      <c r="AL77" s="2"/>
      <c r="AM77" s="2"/>
      <c r="AN77" s="2"/>
      <c r="AO77" s="2"/>
      <c r="AP77" s="2"/>
      <c r="AQ77" s="2"/>
      <c r="AR77" s="2"/>
    </row>
    <row r="78" spans="1:44" ht="30" customHeight="1" x14ac:dyDescent="0.25">
      <c r="A78" s="18"/>
      <c r="B78" s="18"/>
      <c r="C78" s="18"/>
      <c r="D78" s="1"/>
      <c r="E78" s="2"/>
      <c r="F78" s="1149" t="str">
        <f ca="1">Calculos!$AW$46</f>
        <v/>
      </c>
      <c r="G78" s="1094"/>
      <c r="H78" s="1094"/>
      <c r="I78" s="1094"/>
      <c r="J78" s="1094"/>
      <c r="K78" s="1094"/>
      <c r="L78" s="1094"/>
      <c r="M78" s="148" t="s">
        <v>186</v>
      </c>
      <c r="N78" s="1058"/>
      <c r="O78" s="1059"/>
      <c r="P78" s="1059"/>
      <c r="Q78" s="1059"/>
      <c r="R78" s="1059"/>
      <c r="S78" s="1060"/>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20.100000000000001" customHeight="1" x14ac:dyDescent="0.25">
      <c r="A79" s="18"/>
      <c r="B79" s="18"/>
      <c r="C79" s="18"/>
      <c r="D79" s="1"/>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84.95" customHeight="1" x14ac:dyDescent="0.25">
      <c r="A80" s="18"/>
      <c r="B80" s="18"/>
      <c r="C80" s="18"/>
      <c r="D80" s="1"/>
      <c r="E80" s="2"/>
      <c r="F80" s="1149" t="s">
        <v>259</v>
      </c>
      <c r="G80" s="1094"/>
      <c r="H80" s="1094"/>
      <c r="I80" s="1094"/>
      <c r="J80" s="1094"/>
      <c r="K80" s="1094"/>
      <c r="L80" s="1094"/>
      <c r="M80" s="148" t="s">
        <v>186</v>
      </c>
      <c r="N80" s="981"/>
      <c r="O80" s="982"/>
      <c r="P80" s="982"/>
      <c r="Q80" s="982"/>
      <c r="R80" s="982"/>
      <c r="S80" s="1212"/>
      <c r="T80" s="1149" t="s">
        <v>216</v>
      </c>
      <c r="U80" s="1094"/>
      <c r="V80" s="1094"/>
      <c r="W80" s="1094"/>
      <c r="X80" s="1094"/>
      <c r="Y80" s="1094"/>
      <c r="Z80" s="148" t="s">
        <v>186</v>
      </c>
      <c r="AA80" s="1032"/>
      <c r="AB80" s="1033"/>
      <c r="AC80" s="1033"/>
      <c r="AD80" s="1033"/>
      <c r="AE80" s="1033"/>
      <c r="AF80" s="1033"/>
      <c r="AG80" s="1033"/>
      <c r="AH80" s="1033"/>
      <c r="AI80" s="1033"/>
      <c r="AJ80" s="1033"/>
      <c r="AK80" s="1033"/>
      <c r="AL80" s="1033"/>
      <c r="AM80" s="1034"/>
      <c r="AN80" s="48"/>
      <c r="AO80" s="48"/>
      <c r="AP80" s="48"/>
      <c r="AQ80" s="48"/>
      <c r="AR80" s="48"/>
    </row>
    <row r="81" spans="1:44" ht="30" customHeight="1" x14ac:dyDescent="0.25">
      <c r="A81" s="18"/>
      <c r="B81" s="18"/>
      <c r="C81" s="18"/>
      <c r="D81" s="1"/>
      <c r="E81" s="363"/>
      <c r="F81" s="1539" t="s">
        <v>242</v>
      </c>
      <c r="G81" s="1539"/>
      <c r="H81" s="1539"/>
      <c r="I81" s="1539"/>
      <c r="J81" s="1539"/>
      <c r="K81" s="1539"/>
      <c r="L81" s="1539"/>
      <c r="M81" s="1539"/>
      <c r="N81" s="1539"/>
      <c r="O81" s="1539"/>
      <c r="P81" s="1539"/>
      <c r="Q81" s="1539"/>
      <c r="R81" s="1539"/>
      <c r="S81" s="1539"/>
      <c r="T81" s="1539"/>
      <c r="U81" s="1539"/>
      <c r="V81" s="1539"/>
      <c r="W81" s="1539"/>
      <c r="X81" s="1539"/>
      <c r="Y81" s="1539"/>
      <c r="Z81" s="1539"/>
      <c r="AA81" s="1539"/>
      <c r="AB81" s="1539"/>
      <c r="AC81" s="170"/>
      <c r="AD81" s="170"/>
      <c r="AE81" s="170"/>
      <c r="AF81" s="170"/>
      <c r="AG81" s="170"/>
      <c r="AH81" s="363"/>
      <c r="AI81" s="363"/>
      <c r="AJ81" s="363"/>
      <c r="AK81" s="363"/>
      <c r="AL81" s="363"/>
      <c r="AM81" s="363"/>
      <c r="AN81" s="363"/>
      <c r="AO81" s="363"/>
      <c r="AP81" s="363"/>
      <c r="AQ81" s="363"/>
      <c r="AR81" s="363"/>
    </row>
    <row r="82" spans="1:44" ht="20.100000000000001" customHeight="1" x14ac:dyDescent="0.25">
      <c r="A82" s="18"/>
      <c r="B82" s="18"/>
      <c r="C82" s="18"/>
      <c r="D82" s="1"/>
      <c r="E82" s="363"/>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363"/>
      <c r="AI82" s="363"/>
      <c r="AJ82" s="363"/>
      <c r="AK82" s="363"/>
      <c r="AL82" s="363"/>
      <c r="AM82" s="363"/>
      <c r="AN82" s="363"/>
      <c r="AO82" s="363"/>
      <c r="AP82" s="363"/>
      <c r="AQ82" s="363"/>
      <c r="AR82" s="363"/>
    </row>
    <row r="83" spans="1:44" ht="50.1" customHeight="1" x14ac:dyDescent="0.25">
      <c r="A83" s="18"/>
      <c r="B83" s="18"/>
      <c r="C83" s="18"/>
      <c r="D83" s="1"/>
      <c r="E83" s="2"/>
      <c r="F83" s="1149" t="s">
        <v>213</v>
      </c>
      <c r="G83" s="1094"/>
      <c r="H83" s="1094"/>
      <c r="I83" s="1094"/>
      <c r="J83" s="1094"/>
      <c r="K83" s="1094"/>
      <c r="L83" s="1094"/>
      <c r="M83" s="148" t="s">
        <v>186</v>
      </c>
      <c r="N83" s="1259"/>
      <c r="O83" s="1260"/>
      <c r="P83" s="1260"/>
      <c r="Q83" s="1261"/>
      <c r="R83" s="1149" t="s">
        <v>214</v>
      </c>
      <c r="S83" s="1094"/>
      <c r="T83" s="1094"/>
      <c r="U83" s="1094"/>
      <c r="V83" s="1094"/>
      <c r="W83" s="148" t="s">
        <v>186</v>
      </c>
      <c r="X83" s="1523"/>
      <c r="Y83" s="1524"/>
      <c r="Z83" s="1524"/>
      <c r="AA83" s="1525"/>
      <c r="AB83" s="2"/>
      <c r="AC83" s="2"/>
      <c r="AD83" s="2"/>
      <c r="AE83" s="2"/>
      <c r="AF83" s="2"/>
      <c r="AG83" s="2"/>
      <c r="AH83" s="2"/>
      <c r="AI83" s="2"/>
      <c r="AJ83" s="2"/>
      <c r="AK83" s="2"/>
      <c r="AL83" s="2"/>
      <c r="AM83" s="2"/>
      <c r="AN83" s="2"/>
      <c r="AO83" s="2"/>
      <c r="AP83" s="2"/>
      <c r="AQ83" s="2"/>
      <c r="AR83" s="2"/>
    </row>
    <row r="84" spans="1:44" ht="30" customHeight="1" x14ac:dyDescent="0.25">
      <c r="A84" s="18"/>
      <c r="B84" s="18"/>
      <c r="C84" s="18"/>
      <c r="D84" s="1"/>
      <c r="E84" s="2"/>
      <c r="F84" s="2"/>
      <c r="G84" s="2"/>
      <c r="H84" s="2"/>
      <c r="I84" s="2"/>
      <c r="J84" s="2"/>
      <c r="K84" s="2"/>
      <c r="L84" s="2"/>
      <c r="M84" s="2"/>
      <c r="N84" s="2"/>
      <c r="O84" s="2"/>
      <c r="P84" s="2"/>
      <c r="Q84" s="2"/>
      <c r="R84" s="2"/>
      <c r="S84" s="2"/>
      <c r="T84" s="2"/>
      <c r="U84" s="2"/>
      <c r="V84" s="2"/>
      <c r="W84" s="2"/>
      <c r="X84" s="2"/>
      <c r="Y84" s="2"/>
      <c r="Z84" s="1083" t="s">
        <v>244</v>
      </c>
      <c r="AA84" s="1386"/>
      <c r="AB84" s="1521"/>
      <c r="AC84" s="1521"/>
      <c r="AD84" s="1522"/>
      <c r="AE84" s="1117" t="s">
        <v>243</v>
      </c>
      <c r="AF84" s="1118"/>
      <c r="AG84" s="1118"/>
      <c r="AH84" s="1118"/>
      <c r="AI84" s="1119"/>
      <c r="AJ84" s="1117" t="s">
        <v>245</v>
      </c>
      <c r="AK84" s="1521"/>
      <c r="AL84" s="1521"/>
      <c r="AM84" s="1521"/>
      <c r="AN84" s="1522"/>
      <c r="AO84" s="2"/>
      <c r="AP84" s="2"/>
      <c r="AQ84" s="2"/>
      <c r="AR84" s="2"/>
    </row>
    <row r="85" spans="1:44" ht="30" customHeight="1" x14ac:dyDescent="0.25">
      <c r="A85" s="18"/>
      <c r="B85" s="18"/>
      <c r="C85" s="18"/>
      <c r="D85" s="1"/>
      <c r="E85" s="2"/>
      <c r="F85" s="1149" t="str">
        <f ca="1">Calculos!AY45</f>
        <v>Qual foi a dose de DL50 encontrada? (mg/kg pc)</v>
      </c>
      <c r="G85" s="1094"/>
      <c r="H85" s="1094"/>
      <c r="I85" s="1094"/>
      <c r="J85" s="1094"/>
      <c r="K85" s="1094"/>
      <c r="L85" s="1094"/>
      <c r="M85" s="148" t="s">
        <v>186</v>
      </c>
      <c r="N85" s="1058"/>
      <c r="O85" s="1059"/>
      <c r="P85" s="1059"/>
      <c r="Q85" s="1060"/>
      <c r="R85" s="1193" t="s">
        <v>215</v>
      </c>
      <c r="S85" s="1194"/>
      <c r="T85" s="1194"/>
      <c r="U85" s="1194"/>
      <c r="V85" s="1194"/>
      <c r="W85" s="1194"/>
      <c r="X85" s="1194"/>
      <c r="Y85" s="148" t="s">
        <v>186</v>
      </c>
      <c r="Z85" s="1544"/>
      <c r="AA85" s="1518"/>
      <c r="AB85" s="1518"/>
      <c r="AC85" s="1518"/>
      <c r="AD85" s="1518"/>
      <c r="AE85" s="1518"/>
      <c r="AF85" s="1518"/>
      <c r="AG85" s="1518"/>
      <c r="AH85" s="1518"/>
      <c r="AI85" s="1518"/>
      <c r="AJ85" s="1518"/>
      <c r="AK85" s="1518"/>
      <c r="AL85" s="1518"/>
      <c r="AM85" s="1518"/>
      <c r="AN85" s="1520"/>
      <c r="AO85" s="2"/>
      <c r="AP85" s="2"/>
      <c r="AQ85" s="2"/>
      <c r="AR85" s="2"/>
    </row>
    <row r="86" spans="1:44" ht="30" customHeight="1" x14ac:dyDescent="0.25">
      <c r="A86" s="18"/>
      <c r="B86" s="18"/>
      <c r="C86" s="18"/>
      <c r="D86" s="1"/>
      <c r="E86" s="2"/>
      <c r="F86" s="1149" t="str">
        <f ca="1">Calculos!AY46</f>
        <v/>
      </c>
      <c r="G86" s="1094"/>
      <c r="H86" s="1094"/>
      <c r="I86" s="1094"/>
      <c r="J86" s="1094"/>
      <c r="K86" s="1094"/>
      <c r="L86" s="1094"/>
      <c r="M86" s="148" t="s">
        <v>186</v>
      </c>
      <c r="N86" s="1058"/>
      <c r="O86" s="1059"/>
      <c r="P86" s="1059"/>
      <c r="Q86" s="1059"/>
      <c r="R86" s="1149" t="s">
        <v>215</v>
      </c>
      <c r="S86" s="1094"/>
      <c r="T86" s="1094"/>
      <c r="U86" s="1094"/>
      <c r="V86" s="1094"/>
      <c r="W86" s="1094"/>
      <c r="X86" s="1094"/>
      <c r="Y86" s="148" t="s">
        <v>186</v>
      </c>
      <c r="Z86" s="1540"/>
      <c r="AA86" s="1519"/>
      <c r="AB86" s="1519"/>
      <c r="AC86" s="1519"/>
      <c r="AD86" s="1519"/>
      <c r="AE86" s="1519"/>
      <c r="AF86" s="1519"/>
      <c r="AG86" s="1519"/>
      <c r="AH86" s="1519"/>
      <c r="AI86" s="1519"/>
      <c r="AJ86" s="1519"/>
      <c r="AK86" s="1519"/>
      <c r="AL86" s="1519"/>
      <c r="AM86" s="1519"/>
      <c r="AN86" s="1519"/>
      <c r="AO86" s="2"/>
      <c r="AP86" s="2"/>
      <c r="AQ86" s="2"/>
      <c r="AR86" s="2"/>
    </row>
    <row r="87" spans="1:44" ht="20.100000000000001" customHeight="1" x14ac:dyDescent="0.25">
      <c r="A87" s="18"/>
      <c r="B87" s="18"/>
      <c r="C87" s="18"/>
      <c r="D87" s="1"/>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20.100000000000001" customHeight="1" x14ac:dyDescent="0.25">
      <c r="A88" s="18"/>
      <c r="B88" s="18"/>
      <c r="C88" s="18"/>
      <c r="D88" s="1"/>
      <c r="E88" s="7"/>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20.100000000000001" customHeight="1" x14ac:dyDescent="0.25">
      <c r="A89" s="18"/>
      <c r="B89" s="18"/>
      <c r="C89" s="18"/>
      <c r="D89" s="1"/>
      <c r="E89" s="2"/>
      <c r="F89" s="1530" t="s">
        <v>77</v>
      </c>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c r="AC89" s="1531"/>
      <c r="AD89" s="1531"/>
      <c r="AE89" s="1531"/>
      <c r="AF89" s="1531"/>
      <c r="AG89" s="1531"/>
      <c r="AH89" s="1531"/>
      <c r="AI89" s="1531"/>
      <c r="AJ89" s="1531"/>
      <c r="AK89" s="1531"/>
      <c r="AL89" s="1531"/>
      <c r="AM89" s="1531"/>
      <c r="AN89" s="1531"/>
      <c r="AO89" s="2"/>
      <c r="AP89" s="2"/>
      <c r="AQ89" s="2"/>
      <c r="AR89" s="2"/>
    </row>
    <row r="90" spans="1:44" ht="20.100000000000001" customHeight="1" x14ac:dyDescent="0.25">
      <c r="A90" s="18"/>
      <c r="B90" s="18"/>
      <c r="C90" s="18"/>
      <c r="D90" s="1"/>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35.1" customHeight="1" x14ac:dyDescent="0.25">
      <c r="A91" s="18"/>
      <c r="B91" s="18"/>
      <c r="C91" s="18"/>
      <c r="D91" s="1"/>
      <c r="E91" s="2"/>
      <c r="F91" s="1149" t="s">
        <v>168</v>
      </c>
      <c r="G91" s="1094"/>
      <c r="H91" s="1094"/>
      <c r="I91" s="1094"/>
      <c r="J91" s="1094"/>
      <c r="K91" s="1094"/>
      <c r="L91" s="1104"/>
      <c r="M91" s="148" t="s">
        <v>186</v>
      </c>
      <c r="N91" s="1259"/>
      <c r="O91" s="1260"/>
      <c r="P91" s="1260"/>
      <c r="Q91" s="1260"/>
      <c r="R91" s="1260"/>
      <c r="S91" s="1261"/>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20.100000000000001" hidden="1" customHeight="1" x14ac:dyDescent="0.25">
      <c r="A92" s="18"/>
      <c r="B92" s="18"/>
      <c r="C92" s="18"/>
      <c r="D92" s="1"/>
      <c r="E92" s="2"/>
      <c r="AP92" s="2"/>
      <c r="AQ92" s="2"/>
      <c r="AR92" s="2"/>
    </row>
    <row r="93" spans="1:44" ht="15" customHeight="1" x14ac:dyDescent="0.25">
      <c r="A93" s="18"/>
      <c r="B93" s="18"/>
      <c r="C93" s="18"/>
      <c r="D93" s="1"/>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39.950000000000003" customHeight="1" x14ac:dyDescent="0.25">
      <c r="A94" s="18"/>
      <c r="B94" s="18"/>
      <c r="C94" s="18"/>
      <c r="D94" s="1"/>
      <c r="E94" s="2"/>
      <c r="F94" s="1538" t="s">
        <v>360</v>
      </c>
      <c r="G94" s="1538"/>
      <c r="H94" s="1538"/>
      <c r="I94" s="1538"/>
      <c r="J94" s="1538"/>
      <c r="K94" s="1538"/>
      <c r="L94" s="1538"/>
      <c r="M94" s="1538"/>
      <c r="N94" s="1541"/>
      <c r="O94" s="1542"/>
      <c r="P94" s="1542"/>
      <c r="Q94" s="1542"/>
      <c r="R94" s="1542"/>
      <c r="S94" s="1543"/>
      <c r="T94" s="2"/>
      <c r="U94" s="2"/>
      <c r="V94" s="2"/>
      <c r="W94" s="2"/>
      <c r="X94" s="2"/>
      <c r="Y94" s="2"/>
      <c r="Z94" s="2"/>
      <c r="AB94" s="2"/>
      <c r="AC94" s="2"/>
      <c r="AD94" s="2"/>
      <c r="AE94" s="2"/>
      <c r="AF94" s="2"/>
      <c r="AG94" s="2"/>
      <c r="AH94" s="2"/>
      <c r="AI94" s="2"/>
      <c r="AJ94" s="2"/>
      <c r="AK94" s="2"/>
      <c r="AP94" s="2"/>
      <c r="AQ94" s="2"/>
      <c r="AR94" s="2"/>
    </row>
    <row r="95" spans="1:44" ht="20.100000000000001" customHeight="1" x14ac:dyDescent="0.25">
      <c r="A95" s="18"/>
      <c r="B95" s="18"/>
      <c r="C95" s="18"/>
      <c r="D95" s="1"/>
      <c r="E95" s="2"/>
      <c r="F95" s="1517" t="s">
        <v>79</v>
      </c>
      <c r="G95" s="1517"/>
      <c r="H95" s="1517"/>
      <c r="I95" s="1517"/>
      <c r="J95" s="1516" t="str">
        <f ca="1">Calculos!DH31</f>
        <v>Pendente</v>
      </c>
      <c r="K95" s="1516"/>
      <c r="L95" s="1516"/>
      <c r="M95" s="1517" t="s">
        <v>162</v>
      </c>
      <c r="N95" s="1517"/>
      <c r="O95" s="1517"/>
      <c r="P95" s="1517"/>
      <c r="Q95" s="1516" t="str">
        <f ca="1">Calculos!DH33</f>
        <v>Pendente</v>
      </c>
      <c r="R95" s="1516"/>
      <c r="S95" s="1516"/>
      <c r="T95" s="1517" t="s">
        <v>164</v>
      </c>
      <c r="U95" s="1517"/>
      <c r="V95" s="1517"/>
      <c r="W95" s="1517"/>
      <c r="X95" s="1516" t="str">
        <f ca="1">Calculos!DH35</f>
        <v>Pendente</v>
      </c>
      <c r="Y95" s="1516"/>
      <c r="Z95" s="1516"/>
      <c r="AA95" s="1517" t="s">
        <v>166</v>
      </c>
      <c r="AB95" s="1517"/>
      <c r="AC95" s="1517"/>
      <c r="AD95" s="1517"/>
      <c r="AE95" s="1516" t="str">
        <f ca="1">Calculos!DH37</f>
        <v>Pendente</v>
      </c>
      <c r="AF95" s="1516"/>
      <c r="AG95" s="1516"/>
      <c r="AH95" s="2"/>
      <c r="AI95" s="2"/>
      <c r="AJ95" s="2"/>
      <c r="AK95" s="2"/>
      <c r="AP95" s="2"/>
      <c r="AQ95" s="2"/>
      <c r="AR95" s="2"/>
    </row>
    <row r="96" spans="1:44" ht="20.100000000000001" customHeight="1" x14ac:dyDescent="0.25">
      <c r="A96" s="18"/>
      <c r="B96" s="18"/>
      <c r="C96" s="18"/>
      <c r="D96" s="1"/>
      <c r="E96" s="2"/>
      <c r="F96" s="1517" t="s">
        <v>80</v>
      </c>
      <c r="G96" s="1517"/>
      <c r="H96" s="1517"/>
      <c r="I96" s="1517"/>
      <c r="J96" s="1516" t="str">
        <f ca="1">Calculos!DH32</f>
        <v>Pendente</v>
      </c>
      <c r="K96" s="1516"/>
      <c r="L96" s="1516"/>
      <c r="M96" s="1517" t="s">
        <v>163</v>
      </c>
      <c r="N96" s="1517"/>
      <c r="O96" s="1517"/>
      <c r="P96" s="1517"/>
      <c r="Q96" s="1516" t="str">
        <f ca="1">Calculos!DH34</f>
        <v>Pendente</v>
      </c>
      <c r="R96" s="1516"/>
      <c r="S96" s="1516"/>
      <c r="T96" s="1517" t="s">
        <v>165</v>
      </c>
      <c r="U96" s="1517"/>
      <c r="V96" s="1517"/>
      <c r="W96" s="1517"/>
      <c r="X96" s="1516" t="str">
        <f ca="1">Calculos!DH36</f>
        <v>Pendente</v>
      </c>
      <c r="Y96" s="1516"/>
      <c r="Z96" s="1516"/>
      <c r="AA96" s="1517" t="s">
        <v>167</v>
      </c>
      <c r="AB96" s="1517"/>
      <c r="AC96" s="1517"/>
      <c r="AD96" s="1517"/>
      <c r="AE96" s="1516" t="str">
        <f ca="1">Calculos!DH38</f>
        <v>Pendente</v>
      </c>
      <c r="AF96" s="1516"/>
      <c r="AG96" s="1516"/>
      <c r="AH96" s="2"/>
      <c r="AI96" s="2"/>
      <c r="AJ96" s="2"/>
      <c r="AK96" s="2"/>
      <c r="AP96" s="2"/>
      <c r="AQ96" s="2"/>
      <c r="AR96" s="2"/>
    </row>
    <row r="97" spans="1:44" ht="20.100000000000001" hidden="1" customHeight="1" x14ac:dyDescent="0.25">
      <c r="A97" s="18"/>
      <c r="B97" s="18"/>
      <c r="C97" s="18"/>
      <c r="D97" s="1"/>
      <c r="E97" s="2"/>
      <c r="F97" s="364"/>
      <c r="G97" s="364"/>
      <c r="H97" s="364"/>
      <c r="I97" s="364"/>
      <c r="J97" s="364"/>
      <c r="K97" s="365"/>
      <c r="L97" s="364"/>
      <c r="M97" s="364"/>
      <c r="N97" s="364"/>
      <c r="O97" s="364"/>
      <c r="P97" s="364"/>
      <c r="Q97" s="364"/>
      <c r="R97" s="364"/>
      <c r="S97" s="364"/>
      <c r="T97" s="364"/>
      <c r="U97" s="364"/>
      <c r="V97" s="364"/>
      <c r="W97" s="364"/>
      <c r="X97" s="364"/>
      <c r="Y97" s="364"/>
      <c r="Z97" s="2"/>
      <c r="AA97" s="2"/>
      <c r="AB97" s="2"/>
      <c r="AC97" s="2"/>
      <c r="AD97" s="2"/>
      <c r="AE97" s="2"/>
      <c r="AF97" s="2"/>
      <c r="AG97" s="2"/>
      <c r="AH97" s="2"/>
      <c r="AI97" s="2"/>
      <c r="AJ97" s="2"/>
      <c r="AK97" s="2"/>
      <c r="AP97" s="2"/>
      <c r="AQ97" s="2"/>
      <c r="AR97" s="2"/>
    </row>
    <row r="98" spans="1:44" ht="20.100000000000001" hidden="1" customHeight="1" x14ac:dyDescent="0.25">
      <c r="A98" s="18"/>
      <c r="B98" s="18"/>
      <c r="C98" s="18"/>
      <c r="D98" s="1"/>
      <c r="E98" s="2"/>
      <c r="AR98" s="2"/>
    </row>
    <row r="99" spans="1:44" ht="20.100000000000001" customHeight="1" x14ac:dyDescent="0.25">
      <c r="A99" s="18"/>
      <c r="B99" s="18"/>
      <c r="C99" s="18"/>
      <c r="D99" s="1"/>
      <c r="E99" s="2"/>
      <c r="F99" s="364"/>
      <c r="G99" s="364"/>
      <c r="H99" s="364"/>
      <c r="I99" s="364"/>
      <c r="J99" s="364"/>
      <c r="K99" s="364"/>
      <c r="L99" s="364"/>
      <c r="M99" s="364"/>
      <c r="N99" s="364"/>
      <c r="O99" s="364"/>
      <c r="P99" s="364"/>
      <c r="Q99" s="364"/>
      <c r="R99" s="364"/>
      <c r="S99" s="364"/>
      <c r="T99" s="364"/>
      <c r="U99" s="364"/>
      <c r="V99" s="364"/>
      <c r="W99" s="364"/>
      <c r="X99" s="364"/>
      <c r="Y99" s="364"/>
      <c r="Z99" s="2"/>
      <c r="AA99" s="2"/>
      <c r="AB99" s="2"/>
      <c r="AC99" s="2"/>
      <c r="AD99" s="2"/>
      <c r="AE99" s="2"/>
      <c r="AF99" s="2"/>
      <c r="AG99" s="2"/>
      <c r="AH99" s="2"/>
      <c r="AI99" s="2"/>
      <c r="AJ99" s="2"/>
      <c r="AP99" s="2"/>
      <c r="AQ99" s="2"/>
      <c r="AR99" s="2"/>
    </row>
    <row r="100" spans="1:44" ht="39.950000000000003" customHeight="1" x14ac:dyDescent="0.25">
      <c r="A100" s="18"/>
      <c r="B100" s="18"/>
      <c r="C100" s="18"/>
      <c r="D100" s="1"/>
      <c r="E100" s="2"/>
      <c r="M100" s="1505" t="s">
        <v>104</v>
      </c>
      <c r="N100" s="1505"/>
      <c r="O100" s="1505"/>
      <c r="P100" s="1505"/>
      <c r="Q100" s="1505" t="s">
        <v>121</v>
      </c>
      <c r="R100" s="1505"/>
      <c r="S100" s="1505"/>
      <c r="T100" s="1505"/>
      <c r="U100" s="1498" t="s">
        <v>253</v>
      </c>
      <c r="V100" s="1526"/>
      <c r="W100" s="1526"/>
      <c r="X100" s="1499"/>
      <c r="Y100" s="1505" t="s">
        <v>123</v>
      </c>
      <c r="Z100" s="1505"/>
      <c r="AA100" s="1505"/>
      <c r="AB100" s="1505"/>
      <c r="AR100" s="2"/>
    </row>
    <row r="101" spans="1:44" ht="20.100000000000001" customHeight="1" x14ac:dyDescent="0.25">
      <c r="A101" s="18"/>
      <c r="B101" s="18"/>
      <c r="C101" s="18"/>
      <c r="D101" s="1"/>
      <c r="E101" s="2"/>
      <c r="M101" s="1505" t="s">
        <v>36</v>
      </c>
      <c r="N101" s="1505"/>
      <c r="O101" s="1505" t="s">
        <v>37</v>
      </c>
      <c r="P101" s="1505"/>
      <c r="Q101" s="1504" t="str">
        <f ca="1">Calculos!$DL$30</f>
        <v>-</v>
      </c>
      <c r="R101" s="1504"/>
      <c r="S101" s="1504" t="str">
        <f ca="1">Calculos!$DM$30</f>
        <v>-</v>
      </c>
      <c r="T101" s="1504"/>
      <c r="U101" s="1498" t="str">
        <f ca="1">Calculos!$DL$30</f>
        <v>-</v>
      </c>
      <c r="V101" s="1499"/>
      <c r="W101" s="1498" t="str">
        <f ca="1">Calculos!$DM$30</f>
        <v>-</v>
      </c>
      <c r="X101" s="1499"/>
      <c r="Y101" s="1504" t="str">
        <f ca="1">Calculos!$DL$30</f>
        <v>-</v>
      </c>
      <c r="Z101" s="1504"/>
      <c r="AA101" s="1504" t="str">
        <f ca="1">Calculos!$DM$30</f>
        <v>-</v>
      </c>
      <c r="AB101" s="1504"/>
      <c r="AR101" s="2"/>
    </row>
    <row r="102" spans="1:44" ht="20.100000000000001" customHeight="1" x14ac:dyDescent="0.25">
      <c r="A102" s="18"/>
      <c r="B102" s="18"/>
      <c r="C102" s="18"/>
      <c r="D102" s="1"/>
      <c r="E102" s="2"/>
      <c r="M102" s="1545" t="s">
        <v>79</v>
      </c>
      <c r="N102" s="1545"/>
      <c r="O102" s="1545"/>
      <c r="P102" s="1546"/>
      <c r="Q102" s="1506" t="str">
        <f ca="1">Calculos!DC18</f>
        <v/>
      </c>
      <c r="R102" s="1507"/>
      <c r="S102" s="1507" t="str">
        <f ca="1">Calculos!DD18</f>
        <v/>
      </c>
      <c r="T102" s="1508"/>
      <c r="U102" s="1500" t="str">
        <f ca="1">Calculos!DE18</f>
        <v/>
      </c>
      <c r="V102" s="1497"/>
      <c r="W102" s="1497" t="str">
        <f ca="1">Calculos!DF18</f>
        <v/>
      </c>
      <c r="X102" s="1497"/>
      <c r="Y102" s="1501" t="str">
        <f ca="1">Calculos!DI18</f>
        <v/>
      </c>
      <c r="Z102" s="1502"/>
      <c r="AA102" s="1502" t="str">
        <f ca="1">Calculos!DJ18</f>
        <v/>
      </c>
      <c r="AB102" s="1503"/>
      <c r="AR102" s="2"/>
    </row>
    <row r="103" spans="1:44" ht="20.100000000000001" customHeight="1" x14ac:dyDescent="0.25">
      <c r="A103" s="18"/>
      <c r="B103" s="18"/>
      <c r="C103" s="18"/>
      <c r="D103" s="1"/>
      <c r="E103" s="2"/>
      <c r="M103" s="1535" t="str">
        <f ca="1">Calculos!DA19</f>
        <v>-</v>
      </c>
      <c r="N103" s="1535"/>
      <c r="O103" s="1535" t="str">
        <f ca="1">Calculos!DB19</f>
        <v>-</v>
      </c>
      <c r="P103" s="1536"/>
      <c r="Q103" s="1506" t="str">
        <f ca="1">Calculos!DC19</f>
        <v/>
      </c>
      <c r="R103" s="1507"/>
      <c r="S103" s="1507" t="str">
        <f ca="1">Calculos!DD19</f>
        <v/>
      </c>
      <c r="T103" s="1508"/>
      <c r="U103" s="1500" t="str">
        <f ca="1">Calculos!DE19</f>
        <v/>
      </c>
      <c r="V103" s="1497"/>
      <c r="W103" s="1497" t="str">
        <f ca="1">Calculos!DF19</f>
        <v/>
      </c>
      <c r="X103" s="1497"/>
      <c r="Y103" s="1501" t="str">
        <f ca="1">Calculos!DI19</f>
        <v/>
      </c>
      <c r="Z103" s="1502"/>
      <c r="AA103" s="1502" t="str">
        <f ca="1">Calculos!DJ19</f>
        <v/>
      </c>
      <c r="AB103" s="1503"/>
      <c r="AR103" s="2"/>
    </row>
    <row r="104" spans="1:44" ht="20.100000000000001" customHeight="1" x14ac:dyDescent="0.25">
      <c r="A104" s="18"/>
      <c r="B104" s="18"/>
      <c r="C104" s="18"/>
      <c r="D104" s="1"/>
      <c r="E104" s="2"/>
      <c r="M104" s="1535" t="str">
        <f ca="1">Calculos!DA20</f>
        <v>-</v>
      </c>
      <c r="N104" s="1535"/>
      <c r="O104" s="1535" t="str">
        <f ca="1">Calculos!DB20</f>
        <v>-</v>
      </c>
      <c r="P104" s="1536"/>
      <c r="Q104" s="1506" t="str">
        <f ca="1">Calculos!DC20</f>
        <v/>
      </c>
      <c r="R104" s="1507"/>
      <c r="S104" s="1507" t="str">
        <f ca="1">Calculos!DD20</f>
        <v/>
      </c>
      <c r="T104" s="1508"/>
      <c r="U104" s="1500" t="str">
        <f ca="1">Calculos!DE20</f>
        <v/>
      </c>
      <c r="V104" s="1497"/>
      <c r="W104" s="1497" t="str">
        <f ca="1">Calculos!DF20</f>
        <v/>
      </c>
      <c r="X104" s="1497"/>
      <c r="Y104" s="1501" t="str">
        <f ca="1">Calculos!DI20</f>
        <v/>
      </c>
      <c r="Z104" s="1502"/>
      <c r="AA104" s="1502" t="str">
        <f ca="1">Calculos!DJ20</f>
        <v/>
      </c>
      <c r="AB104" s="1503"/>
      <c r="AR104" s="2"/>
    </row>
    <row r="105" spans="1:44" ht="20.100000000000001" customHeight="1" x14ac:dyDescent="0.25">
      <c r="A105" s="18"/>
      <c r="B105" s="18"/>
      <c r="C105" s="18"/>
      <c r="D105" s="1"/>
      <c r="E105" s="2"/>
      <c r="M105" s="1535" t="str">
        <f ca="1">Calculos!DA21</f>
        <v>-</v>
      </c>
      <c r="N105" s="1535"/>
      <c r="O105" s="1535" t="str">
        <f ca="1">Calculos!DB21</f>
        <v>-</v>
      </c>
      <c r="P105" s="1536"/>
      <c r="Q105" s="1506" t="str">
        <f ca="1">Calculos!DC21</f>
        <v/>
      </c>
      <c r="R105" s="1507"/>
      <c r="S105" s="1507" t="str">
        <f ca="1">Calculos!DD21</f>
        <v/>
      </c>
      <c r="T105" s="1508"/>
      <c r="U105" s="1500" t="str">
        <f ca="1">Calculos!DE21</f>
        <v/>
      </c>
      <c r="V105" s="1497"/>
      <c r="W105" s="1497" t="str">
        <f ca="1">Calculos!DF21</f>
        <v/>
      </c>
      <c r="X105" s="1497"/>
      <c r="Y105" s="1501" t="str">
        <f ca="1">Calculos!DI21</f>
        <v/>
      </c>
      <c r="Z105" s="1502"/>
      <c r="AA105" s="1502" t="str">
        <f ca="1">Calculos!DJ21</f>
        <v/>
      </c>
      <c r="AB105" s="1503"/>
      <c r="AR105" s="2"/>
    </row>
    <row r="106" spans="1:44" ht="20.100000000000001" customHeight="1" x14ac:dyDescent="0.25">
      <c r="A106" s="18"/>
      <c r="B106" s="18"/>
      <c r="C106" s="18"/>
      <c r="D106" s="1"/>
      <c r="E106" s="2"/>
      <c r="M106" s="1535" t="str">
        <f ca="1">Calculos!DA22</f>
        <v>-</v>
      </c>
      <c r="N106" s="1535"/>
      <c r="O106" s="1535" t="str">
        <f ca="1">Calculos!DB22</f>
        <v>-</v>
      </c>
      <c r="P106" s="1536"/>
      <c r="Q106" s="1506" t="str">
        <f ca="1">Calculos!DC22</f>
        <v/>
      </c>
      <c r="R106" s="1507"/>
      <c r="S106" s="1507" t="str">
        <f ca="1">Calculos!DD22</f>
        <v/>
      </c>
      <c r="T106" s="1508"/>
      <c r="U106" s="1500" t="str">
        <f ca="1">Calculos!DE22</f>
        <v/>
      </c>
      <c r="V106" s="1497"/>
      <c r="W106" s="1497" t="str">
        <f ca="1">Calculos!DF22</f>
        <v/>
      </c>
      <c r="X106" s="1497"/>
      <c r="Y106" s="1501" t="str">
        <f ca="1">Calculos!DI22</f>
        <v/>
      </c>
      <c r="Z106" s="1502"/>
      <c r="AA106" s="1502" t="str">
        <f ca="1">Calculos!DJ22</f>
        <v/>
      </c>
      <c r="AB106" s="1503"/>
      <c r="AR106" s="2"/>
    </row>
    <row r="107" spans="1:44" ht="20.100000000000001" customHeight="1" x14ac:dyDescent="0.25">
      <c r="A107" s="18"/>
      <c r="B107" s="18"/>
      <c r="C107" s="18"/>
      <c r="D107" s="1"/>
      <c r="E107" s="2"/>
      <c r="M107" s="1535" t="str">
        <f ca="1">Calculos!DA23</f>
        <v>-</v>
      </c>
      <c r="N107" s="1535"/>
      <c r="O107" s="1535" t="str">
        <f ca="1">Calculos!DB23</f>
        <v>-</v>
      </c>
      <c r="P107" s="1536"/>
      <c r="Q107" s="1506" t="str">
        <f ca="1">Calculos!DC23</f>
        <v/>
      </c>
      <c r="R107" s="1507"/>
      <c r="S107" s="1507" t="str">
        <f ca="1">Calculos!DD23</f>
        <v/>
      </c>
      <c r="T107" s="1508"/>
      <c r="U107" s="1500" t="str">
        <f ca="1">Calculos!DE23</f>
        <v/>
      </c>
      <c r="V107" s="1497"/>
      <c r="W107" s="1497" t="str">
        <f ca="1">Calculos!DF23</f>
        <v/>
      </c>
      <c r="X107" s="1497"/>
      <c r="Y107" s="1501" t="str">
        <f ca="1">Calculos!DI23</f>
        <v/>
      </c>
      <c r="Z107" s="1502"/>
      <c r="AA107" s="1502" t="str">
        <f ca="1">Calculos!DJ23</f>
        <v/>
      </c>
      <c r="AB107" s="1503"/>
      <c r="AR107" s="2"/>
    </row>
    <row r="108" spans="1:44" ht="20.100000000000001" customHeight="1" x14ac:dyDescent="0.25">
      <c r="A108" s="18"/>
      <c r="B108" s="18"/>
      <c r="C108" s="18"/>
      <c r="D108" s="1"/>
      <c r="E108" s="2"/>
      <c r="M108" s="1535" t="str">
        <f ca="1">Calculos!DA24</f>
        <v>-</v>
      </c>
      <c r="N108" s="1535"/>
      <c r="O108" s="1535" t="str">
        <f ca="1">Calculos!DB24</f>
        <v>-</v>
      </c>
      <c r="P108" s="1536"/>
      <c r="Q108" s="1506" t="str">
        <f ca="1">Calculos!DC24</f>
        <v/>
      </c>
      <c r="R108" s="1507"/>
      <c r="S108" s="1507" t="str">
        <f ca="1">Calculos!DD24</f>
        <v/>
      </c>
      <c r="T108" s="1508"/>
      <c r="U108" s="1500" t="str">
        <f ca="1">Calculos!DE24</f>
        <v/>
      </c>
      <c r="V108" s="1497"/>
      <c r="W108" s="1497" t="str">
        <f ca="1">Calculos!DF24</f>
        <v/>
      </c>
      <c r="X108" s="1497"/>
      <c r="Y108" s="1501" t="str">
        <f ca="1">Calculos!DI24</f>
        <v/>
      </c>
      <c r="Z108" s="1502"/>
      <c r="AA108" s="1502" t="str">
        <f ca="1">Calculos!DJ24</f>
        <v/>
      </c>
      <c r="AB108" s="1503"/>
      <c r="AF108" s="366" t="s">
        <v>8134</v>
      </c>
      <c r="AR108" s="2"/>
    </row>
    <row r="109" spans="1:44" ht="20.100000000000001" customHeight="1" x14ac:dyDescent="0.25">
      <c r="A109" s="18"/>
      <c r="B109" s="18"/>
      <c r="C109" s="18"/>
      <c r="D109" s="1"/>
      <c r="E109" s="2"/>
      <c r="M109" s="1545" t="s">
        <v>80</v>
      </c>
      <c r="N109" s="1545"/>
      <c r="O109" s="1545"/>
      <c r="P109" s="1546"/>
      <c r="Q109" s="1506" t="str">
        <f ca="1">Calculos!DC25</f>
        <v/>
      </c>
      <c r="R109" s="1507"/>
      <c r="S109" s="1507" t="str">
        <f ca="1">Calculos!DD25</f>
        <v/>
      </c>
      <c r="T109" s="1508"/>
      <c r="U109" s="1500" t="str">
        <f ca="1">Calculos!DE25</f>
        <v/>
      </c>
      <c r="V109" s="1497"/>
      <c r="W109" s="1497" t="str">
        <f ca="1">Calculos!DF25</f>
        <v/>
      </c>
      <c r="X109" s="1497"/>
      <c r="Y109" s="1501" t="str">
        <f ca="1">Calculos!DI25</f>
        <v/>
      </c>
      <c r="Z109" s="1502"/>
      <c r="AA109" s="1502" t="str">
        <f ca="1">Calculos!DJ25</f>
        <v/>
      </c>
      <c r="AB109" s="1503"/>
      <c r="AF109" s="367" t="s">
        <v>8135</v>
      </c>
      <c r="AG109" s="367"/>
      <c r="AH109" s="367"/>
      <c r="AI109" s="367"/>
      <c r="AJ109" s="367"/>
      <c r="AK109" s="367"/>
      <c r="AL109" s="367"/>
      <c r="AR109" s="2"/>
    </row>
    <row r="110" spans="1:44" ht="20.100000000000001" customHeight="1" x14ac:dyDescent="0.25">
      <c r="A110" s="18"/>
      <c r="B110" s="18"/>
      <c r="C110" s="18"/>
      <c r="D110" s="1"/>
      <c r="E110" s="2"/>
      <c r="M110" s="249" t="s">
        <v>6036</v>
      </c>
      <c r="N110" s="2"/>
      <c r="O110" s="2"/>
      <c r="P110" s="2"/>
      <c r="R110" s="2"/>
      <c r="S110" s="2"/>
      <c r="T110" s="2"/>
      <c r="U110" s="2"/>
      <c r="V110" s="2"/>
      <c r="W110" s="2"/>
      <c r="X110" s="2"/>
      <c r="Y110" s="2"/>
      <c r="Z110" s="2"/>
      <c r="AE110" s="2"/>
      <c r="AF110" s="2"/>
      <c r="AG110" s="2"/>
      <c r="AH110" s="2"/>
      <c r="AI110" s="2"/>
      <c r="AJ110" s="2"/>
      <c r="AK110" s="2"/>
      <c r="AL110" s="2"/>
      <c r="AM110" s="2"/>
      <c r="AR110" s="2"/>
    </row>
    <row r="111" spans="1:44" ht="20.100000000000001" customHeight="1" x14ac:dyDescent="0.25">
      <c r="A111" s="18"/>
      <c r="B111" s="18"/>
      <c r="C111" s="18"/>
      <c r="D111" s="1"/>
      <c r="E111" s="2"/>
      <c r="M111" s="2"/>
      <c r="N111" s="2"/>
      <c r="O111" s="2"/>
      <c r="P111" s="2"/>
      <c r="Q111" s="2"/>
      <c r="R111" s="2"/>
      <c r="S111" s="2"/>
      <c r="T111" s="2"/>
      <c r="U111" s="2"/>
      <c r="V111" s="2"/>
      <c r="W111" s="2"/>
      <c r="X111" s="2"/>
      <c r="Y111" s="2"/>
      <c r="Z111" s="2"/>
      <c r="AE111" s="2"/>
      <c r="AF111" s="2"/>
      <c r="AG111" s="2"/>
      <c r="AH111" s="2"/>
      <c r="AI111" s="2"/>
      <c r="AJ111" s="2"/>
      <c r="AK111" s="2"/>
      <c r="AL111" s="2"/>
      <c r="AM111" s="2"/>
      <c r="AR111" s="2"/>
    </row>
    <row r="112" spans="1:44" ht="20.100000000000001" customHeight="1" x14ac:dyDescent="0.25">
      <c r="A112" s="18"/>
      <c r="B112" s="18"/>
      <c r="C112" s="18"/>
      <c r="D112" s="1"/>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row>
    <row r="113" spans="1:44" ht="20.100000000000001" customHeight="1" x14ac:dyDescent="0.25">
      <c r="A113" s="18"/>
      <c r="B113" s="18"/>
      <c r="C113" s="18"/>
      <c r="D113" s="1"/>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60" customHeight="1" x14ac:dyDescent="0.25">
      <c r="A114" s="18"/>
      <c r="B114" s="18"/>
      <c r="C114" s="18"/>
      <c r="D114" s="1"/>
      <c r="E114" s="2"/>
      <c r="F114" s="1149" t="s">
        <v>361</v>
      </c>
      <c r="G114" s="1094"/>
      <c r="H114" s="1094"/>
      <c r="I114" s="1094"/>
      <c r="J114" s="1094"/>
      <c r="K114" s="1094"/>
      <c r="L114" s="1104"/>
      <c r="M114" s="148" t="s">
        <v>186</v>
      </c>
      <c r="N114" s="1032"/>
      <c r="O114" s="1033"/>
      <c r="P114" s="1033"/>
      <c r="Q114" s="1033"/>
      <c r="R114" s="1033"/>
      <c r="S114" s="1033"/>
      <c r="T114" s="1033"/>
      <c r="U114" s="1033"/>
      <c r="V114" s="1033"/>
      <c r="W114" s="1033"/>
      <c r="X114" s="1033"/>
      <c r="Y114" s="1033"/>
      <c r="Z114" s="1033"/>
      <c r="AA114" s="1033"/>
      <c r="AB114" s="1033"/>
      <c r="AC114" s="1033"/>
      <c r="AD114" s="1033"/>
      <c r="AE114" s="1033"/>
      <c r="AF114" s="1033"/>
      <c r="AG114" s="1033"/>
      <c r="AH114" s="1033"/>
      <c r="AI114" s="1033"/>
      <c r="AJ114" s="1033"/>
      <c r="AK114" s="1033"/>
      <c r="AL114" s="1033"/>
      <c r="AM114" s="1033"/>
      <c r="AN114" s="1034"/>
      <c r="AO114" s="1547" t="s">
        <v>271</v>
      </c>
      <c r="AP114" s="1548"/>
      <c r="AQ114" s="1548"/>
      <c r="AR114" s="1548"/>
    </row>
    <row r="115" spans="1:44" ht="20.100000000000001" customHeight="1" x14ac:dyDescent="0.25">
      <c r="A115" s="18"/>
      <c r="B115" s="18"/>
      <c r="C115" s="18"/>
      <c r="D115" s="1"/>
      <c r="E115" s="2"/>
      <c r="F115" s="2"/>
      <c r="G115" s="2"/>
      <c r="H115" s="2"/>
      <c r="I115" s="2"/>
      <c r="J115" s="2"/>
      <c r="K115" s="2"/>
      <c r="L115" s="2"/>
      <c r="M115" s="2"/>
      <c r="N115" s="125"/>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99.95" customHeight="1" x14ac:dyDescent="0.25">
      <c r="A116" s="18"/>
      <c r="B116" s="18"/>
      <c r="C116" s="18"/>
      <c r="D116" s="1"/>
      <c r="E116" s="2"/>
      <c r="F116" s="1149" t="s">
        <v>362</v>
      </c>
      <c r="G116" s="1094"/>
      <c r="H116" s="1094"/>
      <c r="I116" s="1094"/>
      <c r="J116" s="1094"/>
      <c r="K116" s="1094"/>
      <c r="L116" s="1104"/>
      <c r="M116" s="148" t="s">
        <v>186</v>
      </c>
      <c r="N116" s="1032"/>
      <c r="O116" s="1033"/>
      <c r="P116" s="1033"/>
      <c r="Q116" s="1033"/>
      <c r="R116" s="1033"/>
      <c r="S116" s="1033"/>
      <c r="T116" s="1033"/>
      <c r="U116" s="1033"/>
      <c r="V116" s="1033"/>
      <c r="W116" s="1033"/>
      <c r="X116" s="1033"/>
      <c r="Y116" s="1033"/>
      <c r="Z116" s="1033"/>
      <c r="AA116" s="1033"/>
      <c r="AB116" s="1033"/>
      <c r="AC116" s="1033"/>
      <c r="AD116" s="1033"/>
      <c r="AE116" s="1033"/>
      <c r="AF116" s="1033"/>
      <c r="AG116" s="1033"/>
      <c r="AH116" s="1033"/>
      <c r="AI116" s="1033"/>
      <c r="AJ116" s="1033"/>
      <c r="AK116" s="1033"/>
      <c r="AL116" s="1033"/>
      <c r="AM116" s="1033"/>
      <c r="AN116" s="1034"/>
      <c r="AO116" s="1547" t="s">
        <v>271</v>
      </c>
      <c r="AP116" s="1548"/>
      <c r="AQ116" s="1548"/>
      <c r="AR116" s="1548"/>
    </row>
    <row r="117" spans="1:44" ht="20.100000000000001" customHeight="1" x14ac:dyDescent="0.25">
      <c r="A117" s="18"/>
      <c r="B117" s="18"/>
      <c r="C117" s="18"/>
      <c r="D117" s="1"/>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4"/>
      <c r="AQ117" s="4"/>
      <c r="AR117" s="4"/>
    </row>
    <row r="118" spans="1:44" ht="20.100000000000001" customHeight="1" x14ac:dyDescent="0.25">
      <c r="A118" s="18"/>
      <c r="B118" s="18"/>
      <c r="C118" s="18"/>
      <c r="D118" s="1"/>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144"/>
      <c r="AQ118" s="144"/>
      <c r="AR118" s="144"/>
    </row>
    <row r="119" spans="1:44" ht="20.100000000000001" customHeight="1" x14ac:dyDescent="0.25">
      <c r="A119" s="18"/>
      <c r="B119" s="18"/>
      <c r="C119" s="18"/>
      <c r="D119" s="1"/>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4"/>
      <c r="AQ119" s="4"/>
      <c r="AR119" s="4"/>
    </row>
    <row r="120" spans="1:44" ht="50.1" customHeight="1" x14ac:dyDescent="0.25">
      <c r="A120" s="18"/>
      <c r="B120" s="18"/>
      <c r="C120" s="18"/>
      <c r="D120" s="1"/>
      <c r="E120" s="2"/>
      <c r="F120" s="1149" t="s">
        <v>8624</v>
      </c>
      <c r="G120" s="1094"/>
      <c r="H120" s="1094"/>
      <c r="I120" s="1094"/>
      <c r="J120" s="1094"/>
      <c r="K120" s="1094"/>
      <c r="L120" s="1104"/>
      <c r="M120" s="148" t="s">
        <v>186</v>
      </c>
      <c r="N120" s="981"/>
      <c r="O120" s="982"/>
      <c r="P120" s="982"/>
      <c r="Q120" s="982"/>
      <c r="R120" s="982"/>
      <c r="S120" s="1212"/>
      <c r="AN120" s="2"/>
      <c r="AO120" s="2"/>
      <c r="AP120" s="2"/>
      <c r="AQ120" s="2"/>
      <c r="AR120" s="2"/>
    </row>
    <row r="121" spans="1:44" ht="50.1" customHeight="1" x14ac:dyDescent="0.25">
      <c r="A121" s="18"/>
      <c r="B121" s="18"/>
      <c r="C121" s="18"/>
      <c r="D121" s="1"/>
      <c r="E121" s="2"/>
      <c r="F121" s="1149" t="s">
        <v>8634</v>
      </c>
      <c r="G121" s="1094"/>
      <c r="H121" s="1094"/>
      <c r="I121" s="1094"/>
      <c r="J121" s="1094"/>
      <c r="K121" s="1094"/>
      <c r="L121" s="1104"/>
      <c r="M121" s="148" t="s">
        <v>186</v>
      </c>
      <c r="N121" s="981"/>
      <c r="O121" s="982"/>
      <c r="P121" s="982"/>
      <c r="Q121" s="982"/>
      <c r="R121" s="982"/>
      <c r="S121" s="1212"/>
      <c r="AN121" s="2"/>
      <c r="AO121" s="2"/>
      <c r="AP121" s="2"/>
      <c r="AQ121" s="2"/>
      <c r="AR121" s="2"/>
    </row>
    <row r="122" spans="1:44" ht="50.1" customHeight="1" x14ac:dyDescent="0.25">
      <c r="A122" s="18"/>
      <c r="B122" s="18"/>
      <c r="C122" s="18"/>
      <c r="D122" s="1"/>
      <c r="E122" s="2"/>
      <c r="F122" s="1149" t="s">
        <v>8114</v>
      </c>
      <c r="G122" s="1094"/>
      <c r="H122" s="1094"/>
      <c r="I122" s="1094"/>
      <c r="J122" s="1094"/>
      <c r="K122" s="1094"/>
      <c r="L122" s="1104"/>
      <c r="M122" s="148" t="s">
        <v>186</v>
      </c>
      <c r="N122" s="981"/>
      <c r="O122" s="982"/>
      <c r="P122" s="982"/>
      <c r="Q122" s="982"/>
      <c r="R122" s="982"/>
      <c r="S122" s="1212"/>
      <c r="T122" s="1149" t="s">
        <v>8113</v>
      </c>
      <c r="U122" s="1094"/>
      <c r="V122" s="1094"/>
      <c r="W122" s="1094"/>
      <c r="X122" s="1094"/>
      <c r="Y122" s="1094"/>
      <c r="Z122" s="148" t="s">
        <v>186</v>
      </c>
      <c r="AA122" s="981"/>
      <c r="AB122" s="982"/>
      <c r="AC122" s="982"/>
      <c r="AD122" s="982"/>
      <c r="AE122" s="982"/>
      <c r="AF122" s="1212"/>
      <c r="AL122" s="2"/>
      <c r="AM122" s="2"/>
      <c r="AN122" s="2"/>
      <c r="AO122" s="2"/>
      <c r="AP122" s="2"/>
      <c r="AQ122" s="2"/>
      <c r="AR122" s="2"/>
    </row>
    <row r="123" spans="1:44" ht="20.100000000000001" customHeight="1" x14ac:dyDescent="0.25">
      <c r="A123" s="18"/>
      <c r="B123" s="18"/>
      <c r="C123" s="18"/>
      <c r="D123" s="1"/>
      <c r="E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99.95" customHeight="1" x14ac:dyDescent="0.25">
      <c r="A124" s="18"/>
      <c r="B124" s="18"/>
      <c r="C124" s="18"/>
      <c r="D124" s="1"/>
      <c r="E124" s="2"/>
      <c r="F124" s="1149" t="s">
        <v>8112</v>
      </c>
      <c r="G124" s="1094"/>
      <c r="H124" s="1094"/>
      <c r="I124" s="1094"/>
      <c r="J124" s="1094"/>
      <c r="K124" s="1094"/>
      <c r="L124" s="1104"/>
      <c r="M124" s="148" t="s">
        <v>186</v>
      </c>
      <c r="N124" s="1032"/>
      <c r="O124" s="1033"/>
      <c r="P124" s="1033"/>
      <c r="Q124" s="1033"/>
      <c r="R124" s="1033"/>
      <c r="S124" s="1033"/>
      <c r="T124" s="1033"/>
      <c r="U124" s="1033"/>
      <c r="V124" s="1033"/>
      <c r="W124" s="1033"/>
      <c r="X124" s="1033"/>
      <c r="Y124" s="1033"/>
      <c r="Z124" s="1033"/>
      <c r="AA124" s="1033"/>
      <c r="AB124" s="1033"/>
      <c r="AC124" s="1033"/>
      <c r="AD124" s="1033"/>
      <c r="AE124" s="1033"/>
      <c r="AF124" s="1033"/>
      <c r="AG124" s="1033"/>
      <c r="AH124" s="1033"/>
      <c r="AI124" s="1033"/>
      <c r="AJ124" s="1033"/>
      <c r="AK124" s="1033"/>
      <c r="AL124" s="1033"/>
      <c r="AM124" s="1034"/>
      <c r="AN124" s="1100" t="s">
        <v>271</v>
      </c>
      <c r="AO124" s="1101"/>
      <c r="AP124" s="1101"/>
      <c r="AQ124" s="1101"/>
      <c r="AR124" s="4"/>
    </row>
    <row r="125" spans="1:44" ht="20.100000000000001" customHeight="1" x14ac:dyDescent="0.25">
      <c r="A125" s="18"/>
      <c r="B125" s="18"/>
      <c r="C125" s="18"/>
      <c r="D125" s="1"/>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20.100000000000001" customHeight="1" x14ac:dyDescent="0.25">
      <c r="A126" s="18"/>
      <c r="B126" s="18"/>
      <c r="C126" s="18"/>
      <c r="D126" s="1"/>
      <c r="E126" s="7"/>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20.100000000000001" customHeight="1" x14ac:dyDescent="0.25">
      <c r="A127" s="18"/>
      <c r="B127" s="18"/>
      <c r="C127" s="18"/>
      <c r="D127" s="1"/>
      <c r="E127" s="2"/>
      <c r="F127" s="230"/>
      <c r="G127" s="230"/>
      <c r="H127" s="230"/>
      <c r="I127" s="230"/>
      <c r="J127" s="230"/>
      <c r="K127" s="230"/>
      <c r="L127" s="230"/>
      <c r="M127" s="230"/>
      <c r="N127" s="230"/>
      <c r="O127" s="230"/>
      <c r="P127" s="230"/>
      <c r="Q127" s="230"/>
      <c r="R127" s="230"/>
      <c r="S127" s="368"/>
      <c r="T127" s="368"/>
      <c r="U127" s="368"/>
      <c r="V127" s="368"/>
      <c r="W127" s="368"/>
      <c r="X127" s="368"/>
      <c r="Y127" s="368"/>
      <c r="Z127" s="368"/>
      <c r="AA127" s="368"/>
      <c r="AB127" s="368"/>
      <c r="AC127" s="368"/>
      <c r="AD127" s="368"/>
      <c r="AE127" s="368"/>
      <c r="AF127" s="368"/>
      <c r="AG127" s="368"/>
      <c r="AH127" s="368"/>
      <c r="AI127" s="368"/>
      <c r="AJ127" s="368"/>
      <c r="AK127" s="368"/>
      <c r="AL127" s="368"/>
      <c r="AM127" s="368"/>
      <c r="AN127" s="230"/>
      <c r="AO127" s="369"/>
      <c r="AP127" s="369"/>
      <c r="AQ127" s="369"/>
      <c r="AR127" s="369"/>
    </row>
    <row r="128" spans="1:44" ht="20.100000000000001" customHeight="1" x14ac:dyDescent="0.25">
      <c r="A128" s="18"/>
      <c r="B128" s="18"/>
      <c r="C128" s="18"/>
      <c r="D128" s="1"/>
      <c r="E128" s="2"/>
      <c r="F128" s="1067" t="s">
        <v>394</v>
      </c>
      <c r="G128" s="1068"/>
      <c r="H128" s="1068"/>
      <c r="I128" s="1068"/>
      <c r="J128" s="1068"/>
      <c r="K128" s="1068"/>
      <c r="L128" s="1069"/>
      <c r="M128" s="1076" t="s">
        <v>186</v>
      </c>
      <c r="N128" s="135"/>
      <c r="O128" s="136"/>
      <c r="P128" s="136"/>
      <c r="Q128" s="136"/>
      <c r="R128" s="137"/>
      <c r="S128" s="1079" t="s">
        <v>293</v>
      </c>
      <c r="T128" s="1064"/>
      <c r="U128" s="1064"/>
      <c r="V128" s="1064"/>
      <c r="W128" s="1064"/>
      <c r="X128" s="1064"/>
      <c r="Y128" s="1064"/>
      <c r="Z128" s="1064" t="s">
        <v>301</v>
      </c>
      <c r="AA128" s="1064"/>
      <c r="AB128" s="1064"/>
      <c r="AC128" s="1064"/>
      <c r="AD128" s="1064"/>
      <c r="AE128" s="1064"/>
      <c r="AF128" s="1064"/>
      <c r="AG128" s="1064"/>
      <c r="AH128" s="1064"/>
      <c r="AI128" s="1064" t="s">
        <v>302</v>
      </c>
      <c r="AJ128" s="1064"/>
      <c r="AK128" s="1064"/>
      <c r="AL128" s="1064"/>
      <c r="AM128" s="1065"/>
      <c r="AN128" s="2"/>
      <c r="AO128" s="2"/>
      <c r="AP128" s="2"/>
      <c r="AQ128" s="2"/>
      <c r="AR128" s="2"/>
    </row>
    <row r="129" spans="1:44" ht="27" customHeight="1" x14ac:dyDescent="0.25">
      <c r="A129" s="18"/>
      <c r="B129" s="18"/>
      <c r="C129" s="18"/>
      <c r="D129" s="1"/>
      <c r="E129" s="2"/>
      <c r="F129" s="1070"/>
      <c r="G129" s="1071"/>
      <c r="H129" s="1071"/>
      <c r="I129" s="1071"/>
      <c r="J129" s="1071"/>
      <c r="K129" s="1071"/>
      <c r="L129" s="1072"/>
      <c r="M129" s="1077"/>
      <c r="N129" s="138"/>
      <c r="O129" s="1045" t="s">
        <v>219</v>
      </c>
      <c r="P129" s="1045"/>
      <c r="Q129" s="1045"/>
      <c r="R129" s="1046"/>
      <c r="S129" s="1042"/>
      <c r="T129" s="1043"/>
      <c r="U129" s="1043"/>
      <c r="V129" s="1043"/>
      <c r="W129" s="1043"/>
      <c r="X129" s="1043"/>
      <c r="Y129" s="1043"/>
      <c r="Z129" s="1044"/>
      <c r="AA129" s="1044"/>
      <c r="AB129" s="1044"/>
      <c r="AC129" s="1044"/>
      <c r="AD129" s="1044"/>
      <c r="AE129" s="1044"/>
      <c r="AF129" s="1044"/>
      <c r="AG129" s="1044"/>
      <c r="AH129" s="1044"/>
      <c r="AI129" s="1066"/>
      <c r="AJ129" s="1066"/>
      <c r="AK129" s="1066"/>
      <c r="AL129" s="1066"/>
      <c r="AM129" s="1066"/>
      <c r="AN129" s="2"/>
      <c r="AO129" s="2"/>
      <c r="AP129" s="2"/>
      <c r="AQ129" s="2"/>
      <c r="AR129" s="2"/>
    </row>
    <row r="130" spans="1:44" ht="27" customHeight="1" x14ac:dyDescent="0.25">
      <c r="A130" s="18"/>
      <c r="B130" s="18"/>
      <c r="C130" s="18"/>
      <c r="D130" s="1"/>
      <c r="E130" s="2"/>
      <c r="F130" s="1070"/>
      <c r="G130" s="1071"/>
      <c r="H130" s="1071"/>
      <c r="I130" s="1071"/>
      <c r="J130" s="1071"/>
      <c r="K130" s="1071"/>
      <c r="L130" s="1072"/>
      <c r="M130" s="1077"/>
      <c r="N130" s="1"/>
      <c r="O130" s="138"/>
      <c r="P130" s="138"/>
      <c r="Q130" s="138"/>
      <c r="R130" s="139"/>
      <c r="S130" s="1042"/>
      <c r="T130" s="1043"/>
      <c r="U130" s="1043"/>
      <c r="V130" s="1043"/>
      <c r="W130" s="1043"/>
      <c r="X130" s="1043"/>
      <c r="Y130" s="1043"/>
      <c r="Z130" s="1044"/>
      <c r="AA130" s="1044"/>
      <c r="AB130" s="1044"/>
      <c r="AC130" s="1044"/>
      <c r="AD130" s="1044"/>
      <c r="AE130" s="1044"/>
      <c r="AF130" s="1044"/>
      <c r="AG130" s="1044"/>
      <c r="AH130" s="1044"/>
      <c r="AI130" s="1066"/>
      <c r="AJ130" s="1066"/>
      <c r="AK130" s="1066"/>
      <c r="AL130" s="1066"/>
      <c r="AM130" s="1066"/>
      <c r="AN130" s="2"/>
      <c r="AO130" s="2"/>
      <c r="AP130" s="2"/>
      <c r="AQ130" s="2"/>
      <c r="AR130" s="2"/>
    </row>
    <row r="131" spans="1:44" ht="27" customHeight="1" x14ac:dyDescent="0.25">
      <c r="A131" s="18"/>
      <c r="B131" s="18"/>
      <c r="C131" s="18"/>
      <c r="D131" s="1"/>
      <c r="E131" s="2"/>
      <c r="F131" s="1070"/>
      <c r="G131" s="1071"/>
      <c r="H131" s="1071"/>
      <c r="I131" s="1071"/>
      <c r="J131" s="1071"/>
      <c r="K131" s="1071"/>
      <c r="L131" s="1072"/>
      <c r="M131" s="1077"/>
      <c r="N131" s="138"/>
      <c r="O131" s="1047" t="s">
        <v>280</v>
      </c>
      <c r="P131" s="1047"/>
      <c r="Q131" s="1047"/>
      <c r="R131" s="1048"/>
      <c r="S131" s="1042"/>
      <c r="T131" s="1043"/>
      <c r="U131" s="1043"/>
      <c r="V131" s="1043"/>
      <c r="W131" s="1043"/>
      <c r="X131" s="1043"/>
      <c r="Y131" s="1043"/>
      <c r="Z131" s="1044"/>
      <c r="AA131" s="1044"/>
      <c r="AB131" s="1044"/>
      <c r="AC131" s="1044"/>
      <c r="AD131" s="1044"/>
      <c r="AE131" s="1044"/>
      <c r="AF131" s="1044"/>
      <c r="AG131" s="1044"/>
      <c r="AH131" s="1044"/>
      <c r="AI131" s="1066"/>
      <c r="AJ131" s="1066"/>
      <c r="AK131" s="1066"/>
      <c r="AL131" s="1066"/>
      <c r="AM131" s="1066"/>
      <c r="AN131" s="2"/>
      <c r="AO131" s="2"/>
      <c r="AP131" s="2"/>
      <c r="AQ131" s="2"/>
      <c r="AR131" s="2"/>
    </row>
    <row r="132" spans="1:44" ht="27" customHeight="1" x14ac:dyDescent="0.25">
      <c r="A132" s="18"/>
      <c r="B132" s="18"/>
      <c r="C132" s="18"/>
      <c r="D132" s="1"/>
      <c r="E132" s="2"/>
      <c r="F132" s="1073"/>
      <c r="G132" s="1074"/>
      <c r="H132" s="1074"/>
      <c r="I132" s="1074"/>
      <c r="J132" s="1074"/>
      <c r="K132" s="1074"/>
      <c r="L132" s="1075"/>
      <c r="M132" s="1078"/>
      <c r="N132" s="140"/>
      <c r="O132" s="140"/>
      <c r="P132" s="140"/>
      <c r="Q132" s="140"/>
      <c r="R132" s="141"/>
      <c r="S132" s="1042"/>
      <c r="T132" s="1043"/>
      <c r="U132" s="1043"/>
      <c r="V132" s="1043"/>
      <c r="W132" s="1043"/>
      <c r="X132" s="1043"/>
      <c r="Y132" s="1043"/>
      <c r="Z132" s="1044"/>
      <c r="AA132" s="1044"/>
      <c r="AB132" s="1044"/>
      <c r="AC132" s="1044"/>
      <c r="AD132" s="1044"/>
      <c r="AE132" s="1044"/>
      <c r="AF132" s="1044"/>
      <c r="AG132" s="1044"/>
      <c r="AH132" s="1044"/>
      <c r="AI132" s="1066"/>
      <c r="AJ132" s="1066"/>
      <c r="AK132" s="1066"/>
      <c r="AL132" s="1066"/>
      <c r="AM132" s="1066"/>
      <c r="AN132" s="2"/>
      <c r="AO132" s="2"/>
      <c r="AP132" s="2"/>
      <c r="AQ132" s="2"/>
      <c r="AR132" s="2"/>
    </row>
    <row r="133" spans="1:44" ht="20.100000000000001" customHeight="1" x14ac:dyDescent="0.25">
      <c r="A133" s="18"/>
      <c r="B133" s="18"/>
      <c r="C133" s="18"/>
      <c r="D133" s="1"/>
      <c r="E133" s="2"/>
      <c r="AO133" s="2"/>
      <c r="AP133" s="2"/>
      <c r="AQ133" s="2"/>
      <c r="AR133" s="2"/>
    </row>
    <row r="134" spans="1:44" ht="60" customHeight="1" x14ac:dyDescent="0.25">
      <c r="A134" s="18"/>
      <c r="B134" s="18"/>
      <c r="C134" s="18"/>
      <c r="D134" s="1"/>
      <c r="E134" s="2"/>
      <c r="F134" s="1008" t="s">
        <v>143</v>
      </c>
      <c r="G134" s="1009"/>
      <c r="H134" s="1009"/>
      <c r="I134" s="1009"/>
      <c r="J134" s="1009"/>
      <c r="K134" s="1009"/>
      <c r="L134" s="1009"/>
      <c r="M134" s="1010"/>
      <c r="N134" s="1140"/>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2"/>
      <c r="AN134" s="4"/>
      <c r="AO134" s="4"/>
      <c r="AP134" s="4"/>
      <c r="AQ134" s="4"/>
      <c r="AR134" s="4"/>
    </row>
    <row r="135" spans="1:44" x14ac:dyDescent="0.25">
      <c r="A135" s="18"/>
      <c r="B135" s="18"/>
      <c r="C135" s="18"/>
      <c r="D135" s="1"/>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99.95" customHeight="1" x14ac:dyDescent="0.25">
      <c r="A136" s="18"/>
      <c r="B136" s="18"/>
      <c r="C136" s="18"/>
      <c r="D136" s="1"/>
      <c r="E136" s="2"/>
      <c r="F136" s="1008" t="s">
        <v>392</v>
      </c>
      <c r="G136" s="1009"/>
      <c r="H136" s="1009"/>
      <c r="I136" s="1009"/>
      <c r="J136" s="1009"/>
      <c r="K136" s="1009"/>
      <c r="L136" s="1041"/>
      <c r="M136" s="148" t="s">
        <v>186</v>
      </c>
      <c r="N136" s="1140"/>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2"/>
      <c r="AN136" s="250"/>
      <c r="AO136" s="250"/>
      <c r="AP136" s="250"/>
      <c r="AQ136" s="250"/>
      <c r="AR136" s="250"/>
    </row>
    <row r="137" spans="1:44" x14ac:dyDescent="0.25">
      <c r="A137" s="18"/>
      <c r="B137" s="18"/>
      <c r="C137" s="18"/>
      <c r="D137" s="1"/>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sheetData>
  <sheetProtection algorithmName="SHA-512" hashValue="2AMszN+1XEwN3ZICugdk/F21CBkVbO0BUt5dkKL3frPZ2/Mt9Wpx2+QPWiQqY1v/ozQZctaSQKPsWPokXQ9x5A==" saltValue="jrkIq9aGWMHlrz0yUVrKtQ==" spinCount="100000" sheet="1" objects="1" scenarios="1" formatColumns="0" formatRows="0"/>
  <dataConsolidate/>
  <mergeCells count="316">
    <mergeCell ref="AO114:AR114"/>
    <mergeCell ref="AO116:AR116"/>
    <mergeCell ref="AN124:AQ124"/>
    <mergeCell ref="O105:P105"/>
    <mergeCell ref="Y100:AB100"/>
    <mergeCell ref="Y108:Z108"/>
    <mergeCell ref="AA107:AB107"/>
    <mergeCell ref="Q109:R109"/>
    <mergeCell ref="S109:T109"/>
    <mergeCell ref="N121:S121"/>
    <mergeCell ref="Q108:R108"/>
    <mergeCell ref="S108:T108"/>
    <mergeCell ref="N124:AM124"/>
    <mergeCell ref="N122:S122"/>
    <mergeCell ref="S103:T103"/>
    <mergeCell ref="S101:T101"/>
    <mergeCell ref="Y104:Z104"/>
    <mergeCell ref="AA105:AB105"/>
    <mergeCell ref="AA104:AB104"/>
    <mergeCell ref="Y105:Z105"/>
    <mergeCell ref="S105:T105"/>
    <mergeCell ref="M109:P109"/>
    <mergeCell ref="M106:N106"/>
    <mergeCell ref="O106:P106"/>
    <mergeCell ref="F78:L78"/>
    <mergeCell ref="F120:L120"/>
    <mergeCell ref="N120:S120"/>
    <mergeCell ref="AA122:AF122"/>
    <mergeCell ref="T122:Y122"/>
    <mergeCell ref="P66:R66"/>
    <mergeCell ref="F67:H67"/>
    <mergeCell ref="I66:L66"/>
    <mergeCell ref="F66:H66"/>
    <mergeCell ref="T80:Y80"/>
    <mergeCell ref="AA80:AM80"/>
    <mergeCell ref="R83:V83"/>
    <mergeCell ref="M70:O70"/>
    <mergeCell ref="M71:O71"/>
    <mergeCell ref="M72:O72"/>
    <mergeCell ref="F68:H68"/>
    <mergeCell ref="S73:U73"/>
    <mergeCell ref="V73:X73"/>
    <mergeCell ref="M74:O74"/>
    <mergeCell ref="N78:S78"/>
    <mergeCell ref="P72:R72"/>
    <mergeCell ref="V67:X67"/>
    <mergeCell ref="F69:H69"/>
    <mergeCell ref="W35:AE35"/>
    <mergeCell ref="I65:L65"/>
    <mergeCell ref="S65:U65"/>
    <mergeCell ref="V65:X65"/>
    <mergeCell ref="S66:U66"/>
    <mergeCell ref="V66:X66"/>
    <mergeCell ref="I67:L67"/>
    <mergeCell ref="P64:R64"/>
    <mergeCell ref="Z132:AH132"/>
    <mergeCell ref="I68:L68"/>
    <mergeCell ref="I69:L69"/>
    <mergeCell ref="F128:L132"/>
    <mergeCell ref="M128:M132"/>
    <mergeCell ref="S128:Y128"/>
    <mergeCell ref="Z128:AH128"/>
    <mergeCell ref="O129:R129"/>
    <mergeCell ref="S129:Y129"/>
    <mergeCell ref="Z129:AH129"/>
    <mergeCell ref="Y68:AM68"/>
    <mergeCell ref="P68:R68"/>
    <mergeCell ref="N91:S91"/>
    <mergeCell ref="R86:X86"/>
    <mergeCell ref="I73:L73"/>
    <mergeCell ref="I74:L74"/>
    <mergeCell ref="AI132:AM132"/>
    <mergeCell ref="F77:L77"/>
    <mergeCell ref="V70:X70"/>
    <mergeCell ref="S71:U71"/>
    <mergeCell ref="V71:X71"/>
    <mergeCell ref="P74:R74"/>
    <mergeCell ref="AJ86:AN86"/>
    <mergeCell ref="Z85:AD85"/>
    <mergeCell ref="F83:L83"/>
    <mergeCell ref="N80:S80"/>
    <mergeCell ref="F122:L122"/>
    <mergeCell ref="F121:L121"/>
    <mergeCell ref="Y70:AM70"/>
    <mergeCell ref="Y71:AM71"/>
    <mergeCell ref="F70:H70"/>
    <mergeCell ref="F71:H71"/>
    <mergeCell ref="I71:L71"/>
    <mergeCell ref="M102:P102"/>
    <mergeCell ref="Y72:AM72"/>
    <mergeCell ref="F72:H72"/>
    <mergeCell ref="F73:H73"/>
    <mergeCell ref="I72:L72"/>
    <mergeCell ref="M73:O73"/>
    <mergeCell ref="AI129:AM129"/>
    <mergeCell ref="S130:Y130"/>
    <mergeCell ref="Z130:AH130"/>
    <mergeCell ref="AI130:AM130"/>
    <mergeCell ref="O131:R131"/>
    <mergeCell ref="S131:Y131"/>
    <mergeCell ref="Z131:AH131"/>
    <mergeCell ref="AI131:AM131"/>
    <mergeCell ref="S132:Y132"/>
    <mergeCell ref="P71:R71"/>
    <mergeCell ref="P73:R73"/>
    <mergeCell ref="Q104:R104"/>
    <mergeCell ref="F81:AB81"/>
    <mergeCell ref="Z86:AD86"/>
    <mergeCell ref="S104:T104"/>
    <mergeCell ref="Q103:R103"/>
    <mergeCell ref="N85:Q85"/>
    <mergeCell ref="F89:AN89"/>
    <mergeCell ref="F91:L91"/>
    <mergeCell ref="F95:I95"/>
    <mergeCell ref="F96:I96"/>
    <mergeCell ref="M101:N101"/>
    <mergeCell ref="Q96:S96"/>
    <mergeCell ref="Q101:R101"/>
    <mergeCell ref="N94:S94"/>
    <mergeCell ref="N77:S77"/>
    <mergeCell ref="V68:X68"/>
    <mergeCell ref="S69:U69"/>
    <mergeCell ref="V69:X69"/>
    <mergeCell ref="S72:U72"/>
    <mergeCell ref="V72:X72"/>
    <mergeCell ref="Y69:AM69"/>
    <mergeCell ref="P70:R70"/>
    <mergeCell ref="S68:U68"/>
    <mergeCell ref="M68:O68"/>
    <mergeCell ref="M69:O69"/>
    <mergeCell ref="P69:R69"/>
    <mergeCell ref="Y73:AM73"/>
    <mergeCell ref="F64:H64"/>
    <mergeCell ref="P65:R65"/>
    <mergeCell ref="S67:U67"/>
    <mergeCell ref="M65:O65"/>
    <mergeCell ref="K33:M33"/>
    <mergeCell ref="F65:H65"/>
    <mergeCell ref="K35:M35"/>
    <mergeCell ref="F76:L76"/>
    <mergeCell ref="S70:U70"/>
    <mergeCell ref="I70:L70"/>
    <mergeCell ref="Y66:AM66"/>
    <mergeCell ref="F60:AN60"/>
    <mergeCell ref="Y67:AM67"/>
    <mergeCell ref="P67:R67"/>
    <mergeCell ref="M66:O66"/>
    <mergeCell ref="M67:O67"/>
    <mergeCell ref="M64:O64"/>
    <mergeCell ref="M108:N108"/>
    <mergeCell ref="O108:P108"/>
    <mergeCell ref="M103:N103"/>
    <mergeCell ref="O103:P103"/>
    <mergeCell ref="M104:N104"/>
    <mergeCell ref="O104:P104"/>
    <mergeCell ref="M105:N105"/>
    <mergeCell ref="F74:H74"/>
    <mergeCell ref="M107:N107"/>
    <mergeCell ref="O107:P107"/>
    <mergeCell ref="O101:P101"/>
    <mergeCell ref="M95:P95"/>
    <mergeCell ref="F94:M94"/>
    <mergeCell ref="F80:L80"/>
    <mergeCell ref="F86:L86"/>
    <mergeCell ref="N83:Q83"/>
    <mergeCell ref="N86:Q86"/>
    <mergeCell ref="Y64:AM64"/>
    <mergeCell ref="N34:V34"/>
    <mergeCell ref="F23:L23"/>
    <mergeCell ref="N62:S62"/>
    <mergeCell ref="I64:L64"/>
    <mergeCell ref="F62:L62"/>
    <mergeCell ref="N26:S26"/>
    <mergeCell ref="V64:X64"/>
    <mergeCell ref="K32:M32"/>
    <mergeCell ref="N28:S28"/>
    <mergeCell ref="T25:X25"/>
    <mergeCell ref="T26:X26"/>
    <mergeCell ref="W32:AE32"/>
    <mergeCell ref="W33:AE33"/>
    <mergeCell ref="H32:J32"/>
    <mergeCell ref="W34:AE34"/>
    <mergeCell ref="K34:M34"/>
    <mergeCell ref="F28:L28"/>
    <mergeCell ref="N32:V32"/>
    <mergeCell ref="H34:J34"/>
    <mergeCell ref="H35:J35"/>
    <mergeCell ref="H33:J33"/>
    <mergeCell ref="N35:V35"/>
    <mergeCell ref="S64:U64"/>
    <mergeCell ref="T95:W95"/>
    <mergeCell ref="T96:W96"/>
    <mergeCell ref="M100:P100"/>
    <mergeCell ref="U101:V101"/>
    <mergeCell ref="AA96:AD96"/>
    <mergeCell ref="X96:Z96"/>
    <mergeCell ref="AA95:AD95"/>
    <mergeCell ref="S102:T102"/>
    <mergeCell ref="U100:X100"/>
    <mergeCell ref="Q102:R102"/>
    <mergeCell ref="J95:L95"/>
    <mergeCell ref="J96:L96"/>
    <mergeCell ref="M96:P96"/>
    <mergeCell ref="F85:L85"/>
    <mergeCell ref="N11:AJ11"/>
    <mergeCell ref="Y74:AM74"/>
    <mergeCell ref="S74:U74"/>
    <mergeCell ref="V74:X74"/>
    <mergeCell ref="Q95:S95"/>
    <mergeCell ref="X95:Z95"/>
    <mergeCell ref="AE96:AG96"/>
    <mergeCell ref="AE85:AI85"/>
    <mergeCell ref="R85:X85"/>
    <mergeCell ref="AE86:AI86"/>
    <mergeCell ref="AJ85:AN85"/>
    <mergeCell ref="AJ84:AN84"/>
    <mergeCell ref="AE84:AI84"/>
    <mergeCell ref="Z84:AD84"/>
    <mergeCell ref="AE95:AG95"/>
    <mergeCell ref="X83:AA83"/>
    <mergeCell ref="N76:S76"/>
    <mergeCell ref="T17:Z17"/>
    <mergeCell ref="Y65:AM65"/>
    <mergeCell ref="N18:S18"/>
    <mergeCell ref="N17:S17"/>
    <mergeCell ref="N33:V33"/>
    <mergeCell ref="F2:AG6"/>
    <mergeCell ref="F7:J7"/>
    <mergeCell ref="AB17:AJ17"/>
    <mergeCell ref="F17:L17"/>
    <mergeCell ref="F16:L16"/>
    <mergeCell ref="AI2:AN7"/>
    <mergeCell ref="N10:Z10"/>
    <mergeCell ref="AF10:AJ10"/>
    <mergeCell ref="N13:AJ13"/>
    <mergeCell ref="N14:AJ14"/>
    <mergeCell ref="R15:X15"/>
    <mergeCell ref="AD15:AJ15"/>
    <mergeCell ref="N16:S16"/>
    <mergeCell ref="N12:S12"/>
    <mergeCell ref="N15:P15"/>
    <mergeCell ref="Y15:AB15"/>
    <mergeCell ref="AK11:AN11"/>
    <mergeCell ref="F15:M15"/>
    <mergeCell ref="F10:L10"/>
    <mergeCell ref="F11:L11"/>
    <mergeCell ref="F12:L12"/>
    <mergeCell ref="F14:M14"/>
    <mergeCell ref="F13:L13"/>
    <mergeCell ref="AA10:AD10"/>
    <mergeCell ref="T18:AJ18"/>
    <mergeCell ref="T19:AJ21"/>
    <mergeCell ref="AD22:AF22"/>
    <mergeCell ref="AG22:AJ22"/>
    <mergeCell ref="F25:L25"/>
    <mergeCell ref="F26:L26"/>
    <mergeCell ref="N25:S25"/>
    <mergeCell ref="Z26:AC26"/>
    <mergeCell ref="Z25:AC25"/>
    <mergeCell ref="N19:S19"/>
    <mergeCell ref="F19:L19"/>
    <mergeCell ref="F20:L20"/>
    <mergeCell ref="N20:S20"/>
    <mergeCell ref="F18:L18"/>
    <mergeCell ref="AB22:AC22"/>
    <mergeCell ref="Y22:AA22"/>
    <mergeCell ref="F22:L22"/>
    <mergeCell ref="N22:S22"/>
    <mergeCell ref="W22:X22"/>
    <mergeCell ref="N23:S23"/>
    <mergeCell ref="T22:V22"/>
    <mergeCell ref="N134:AM134"/>
    <mergeCell ref="F136:L136"/>
    <mergeCell ref="N136:AM136"/>
    <mergeCell ref="F134:M134"/>
    <mergeCell ref="AI128:AM128"/>
    <mergeCell ref="F114:L114"/>
    <mergeCell ref="Q100:T100"/>
    <mergeCell ref="N114:AN114"/>
    <mergeCell ref="F116:L116"/>
    <mergeCell ref="Y106:Z106"/>
    <mergeCell ref="Q107:R107"/>
    <mergeCell ref="N116:AN116"/>
    <mergeCell ref="Q106:R106"/>
    <mergeCell ref="S106:T106"/>
    <mergeCell ref="Y107:Z107"/>
    <mergeCell ref="Q105:R105"/>
    <mergeCell ref="AA108:AB108"/>
    <mergeCell ref="Y109:Z109"/>
    <mergeCell ref="AA109:AB109"/>
    <mergeCell ref="F124:L124"/>
    <mergeCell ref="S107:T107"/>
    <mergeCell ref="AA106:AB106"/>
    <mergeCell ref="AA103:AB103"/>
    <mergeCell ref="Y101:Z101"/>
    <mergeCell ref="W109:X109"/>
    <mergeCell ref="W101:X101"/>
    <mergeCell ref="U105:V105"/>
    <mergeCell ref="U106:V106"/>
    <mergeCell ref="U107:V107"/>
    <mergeCell ref="U108:V108"/>
    <mergeCell ref="U109:V109"/>
    <mergeCell ref="Y103:Z103"/>
    <mergeCell ref="AA102:AB102"/>
    <mergeCell ref="Y102:Z102"/>
    <mergeCell ref="AA101:AB101"/>
    <mergeCell ref="W102:X102"/>
    <mergeCell ref="W103:X103"/>
    <mergeCell ref="W104:X104"/>
    <mergeCell ref="W105:X105"/>
    <mergeCell ref="W106:X106"/>
    <mergeCell ref="W107:X107"/>
    <mergeCell ref="W108:X108"/>
    <mergeCell ref="U104:V104"/>
    <mergeCell ref="U103:V103"/>
    <mergeCell ref="U102:V102"/>
  </mergeCells>
  <conditionalFormatting sqref="F7">
    <cfRule type="notContainsBlanks" dxfId="119" priority="1">
      <formula>LEN(TRIM(F7))&gt;0</formula>
    </cfRule>
  </conditionalFormatting>
  <conditionalFormatting sqref="F78:S78 F86:AN86">
    <cfRule type="expression" dxfId="115" priority="70">
      <formula>$N$76&lt;&gt;"sim"</formula>
    </cfRule>
  </conditionalFormatting>
  <conditionalFormatting sqref="F122:S122">
    <cfRule type="expression" dxfId="113" priority="7">
      <formula>$N$121&lt;&gt;"Não"</formula>
    </cfRule>
  </conditionalFormatting>
  <conditionalFormatting sqref="F83:AO87">
    <cfRule type="expression" dxfId="110" priority="66">
      <formula>$N$80&lt;&gt;"Sim"</formula>
    </cfRule>
  </conditionalFormatting>
  <conditionalFormatting sqref="F64:AR87">
    <cfRule type="expression" dxfId="108" priority="81">
      <formula>$N$62&lt;&gt;"Sim"</formula>
    </cfRule>
  </conditionalFormatting>
  <conditionalFormatting sqref="M16:M20">
    <cfRule type="expression" dxfId="107" priority="98">
      <formula>N16&lt;&gt;""</formula>
    </cfRule>
  </conditionalFormatting>
  <conditionalFormatting sqref="M22:M23">
    <cfRule type="expression" dxfId="106" priority="96">
      <formula>N22&lt;&gt;""</formula>
    </cfRule>
  </conditionalFormatting>
  <conditionalFormatting sqref="M25:M26">
    <cfRule type="expression" dxfId="105" priority="90">
      <formula>N25&lt;&gt;""</formula>
    </cfRule>
  </conditionalFormatting>
  <conditionalFormatting sqref="M28">
    <cfRule type="expression" dxfId="104" priority="89">
      <formula>N28&lt;&gt;""</formula>
    </cfRule>
  </conditionalFormatting>
  <conditionalFormatting sqref="M62">
    <cfRule type="expression" dxfId="103" priority="82">
      <formula>N62&lt;&gt;""</formula>
    </cfRule>
  </conditionalFormatting>
  <conditionalFormatting sqref="M76:M78">
    <cfRule type="expression" dxfId="102" priority="80">
      <formula>N76&lt;&gt;""</formula>
    </cfRule>
  </conditionalFormatting>
  <conditionalFormatting sqref="M80">
    <cfRule type="expression" dxfId="101" priority="79">
      <formula>N80&lt;&gt;""</formula>
    </cfRule>
  </conditionalFormatting>
  <conditionalFormatting sqref="M83">
    <cfRule type="expression" dxfId="100" priority="78">
      <formula>N83&lt;&gt;""</formula>
    </cfRule>
  </conditionalFormatting>
  <conditionalFormatting sqref="M85:M86">
    <cfRule type="expression" dxfId="99" priority="74">
      <formula>N85&lt;&gt;""</formula>
    </cfRule>
  </conditionalFormatting>
  <conditionalFormatting sqref="M91">
    <cfRule type="expression" dxfId="98" priority="65">
      <formula>N91&lt;&gt;""</formula>
    </cfRule>
  </conditionalFormatting>
  <conditionalFormatting sqref="M114">
    <cfRule type="expression" dxfId="97" priority="64">
      <formula>N114&lt;&gt;""</formula>
    </cfRule>
  </conditionalFormatting>
  <conditionalFormatting sqref="M116">
    <cfRule type="expression" dxfId="96" priority="58">
      <formula>N116&lt;&gt;""</formula>
    </cfRule>
  </conditionalFormatting>
  <conditionalFormatting sqref="M120:M122 M10:M13">
    <cfRule type="expression" dxfId="95" priority="105">
      <formula>N10&lt;&gt;""</formula>
    </cfRule>
  </conditionalFormatting>
  <conditionalFormatting sqref="M124">
    <cfRule type="expression" dxfId="94" priority="55">
      <formula>N124&lt;&gt;""</formula>
    </cfRule>
  </conditionalFormatting>
  <conditionalFormatting sqref="M136">
    <cfRule type="expression" dxfId="92" priority="53">
      <formula>N136&lt;&gt;""</formula>
    </cfRule>
  </conditionalFormatting>
  <conditionalFormatting sqref="Q15">
    <cfRule type="expression" dxfId="91" priority="104">
      <formula>R15&lt;&gt;""</formula>
    </cfRule>
  </conditionalFormatting>
  <conditionalFormatting sqref="T122:Y122 AA122:AF122">
    <cfRule type="expression" dxfId="88" priority="6">
      <formula>$N$122&lt;&gt;"Sim"</formula>
    </cfRule>
  </conditionalFormatting>
  <conditionalFormatting sqref="T80:AM80">
    <cfRule type="expression" dxfId="83" priority="67">
      <formula>$N$80&lt;&gt;"Não"</formula>
    </cfRule>
  </conditionalFormatting>
  <conditionalFormatting sqref="W83">
    <cfRule type="expression" dxfId="82" priority="76">
      <formula>X83&lt;&gt;""</formula>
    </cfRule>
  </conditionalFormatting>
  <conditionalFormatting sqref="Y25:Y26">
    <cfRule type="expression" dxfId="81" priority="91">
      <formula>Z25&lt;&gt;""</formula>
    </cfRule>
  </conditionalFormatting>
  <conditionalFormatting sqref="Y85:Y86">
    <cfRule type="expression" dxfId="80" priority="72">
      <formula>Z85&lt;&gt;""</formula>
    </cfRule>
  </conditionalFormatting>
  <conditionalFormatting sqref="Z80">
    <cfRule type="expression" dxfId="78" priority="77">
      <formula>AA80&lt;&gt;""</formula>
    </cfRule>
  </conditionalFormatting>
  <conditionalFormatting sqref="Z122">
    <cfRule type="expression" dxfId="77" priority="4">
      <formula>$N$121&lt;&gt;"Não"</formula>
    </cfRule>
    <cfRule type="expression" dxfId="76" priority="5">
      <formula>AA122&lt;&gt;""</formula>
    </cfRule>
  </conditionalFormatting>
  <conditionalFormatting sqref="AA17">
    <cfRule type="expression" dxfId="75" priority="48">
      <formula>AB17&lt;&gt;""</formula>
    </cfRule>
  </conditionalFormatting>
  <conditionalFormatting sqref="AC15">
    <cfRule type="expression" dxfId="73" priority="103">
      <formula>AD15&lt;&gt;""</formula>
    </cfRule>
  </conditionalFormatting>
  <conditionalFormatting sqref="AE10">
    <cfRule type="expression" dxfId="71" priority="108">
      <formula>AF10&lt;&gt;""</formula>
    </cfRule>
  </conditionalFormatting>
  <conditionalFormatting sqref="AK22">
    <cfRule type="expression" dxfId="70" priority="12">
      <formula>NOT((ISBLANK(AG22)))</formula>
    </cfRule>
  </conditionalFormatting>
  <dataValidations count="24">
    <dataValidation type="custom" allowBlank="1" showInputMessage="1" showErrorMessage="1" errorTitle="Data inválida" error="A data de conclusão não pode ser anterior a data de início." sqref="AD15:AJ15" xr:uid="{EC493CE8-895C-4BEF-B9AC-0C25F91D393A}">
      <formula1>R15&lt;=AD15</formula1>
    </dataValidation>
    <dataValidation type="list" allowBlank="1" showInputMessage="1" showErrorMessage="1" errorTitle="Código inválido" error="Preencher os dados do certificado na guia &quot;Certificados&quot; antes de atribuí-lo a algum estudo" sqref="N16:S16" xr:uid="{ADC88765-CC2E-4697-B1E3-FE8580206724}">
      <formula1>src_certificados</formula1>
    </dataValidation>
    <dataValidation type="whole" operator="greaterThanOrEqual" allowBlank="1" showInputMessage="1" showErrorMessage="1" errorTitle="Valor inválido" error="Q quantidade de administrações deve ser um número inteiro" sqref="N20:S20" xr:uid="{EC78EFF0-8A25-415D-9A10-3F493DE99321}">
      <formula1>0</formula1>
    </dataValidation>
    <dataValidation type="whole" operator="greaterThanOrEqual" allowBlank="1" showInputMessage="1" showErrorMessage="1" errorTitle="Valor inválido" error="O tempo em horas deve ser um número inteiro" sqref="W22:X22 AB22:AC22 N23:S23" xr:uid="{F8F06C95-3A05-4D06-A345-72C07645D57D}">
      <formula1>0</formula1>
    </dataValidation>
    <dataValidation type="decimal" operator="greaterThanOrEqual" allowBlank="1" showInputMessage="1" showErrorMessage="1" errorTitle="Valor inválido" error="A dose deve ser um número decimal. " sqref="Z26:AC26" xr:uid="{D8BB3B11-A5C6-486F-A140-3B523BB4DC70}">
      <formula1>0</formula1>
    </dataValidation>
    <dataValidation type="decimal" operator="greaterThanOrEqual" allowBlank="1" showInputMessage="1" showErrorMessage="1" errorTitle="Valor inválido" error="A dose deve ser um número decimal" sqref="I65:L74 N77:S78 Z85:AN86" xr:uid="{51F12CD7-6BA9-46AB-8E1B-30328A86580E}">
      <formula1>0</formula1>
    </dataValidation>
    <dataValidation type="whole" operator="greaterThanOrEqual" allowBlank="1" showInputMessage="1" showErrorMessage="1" errorTitle="Valor inválido" error="O total de animais deve ser um número inteiro" sqref="M65:X74" xr:uid="{28D811CE-7FD8-4253-924F-8196DEB74BA1}">
      <formula1>0</formula1>
    </dataValidation>
    <dataValidation type="decimal" operator="greaterThanOrEqual" allowBlank="1" showInputMessage="1" showErrorMessage="1" errorTitle="Valor inválido" error="A dose de DL50 deve ser informada como um número decimal" sqref="N85:Q86" xr:uid="{4BF72914-5218-4BA9-8A9C-3A87FE906106}">
      <formula1>0</formula1>
    </dataValidation>
    <dataValidation allowBlank="1" showInputMessage="1" showErrorMessage="1" promptTitle="Ajuda" prompt="Código gerado pelo laboratório executor" sqref="AA10:AD10" xr:uid="{458F99BA-371D-4441-AD8B-69D5966AFC0A}"/>
    <dataValidation allowBlank="1" showInputMessage="1" showErrorMessage="1" promptTitle="Ajuda" prompt="Informar nome e estado/país do laboratório executor" sqref="F11:L11" xr:uid="{0ECC1FB1-B35C-4E1C-8C5D-DE68E6159620}"/>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3A3F8242-D137-473C-82EC-3F30437A00E4}"/>
    <dataValidation allowBlank="1" showInputMessage="1" showErrorMessage="1" promptTitle="Ajuda" prompt="Data de início da exposição dos animais à substância teste" sqref="N15:P15" xr:uid="{BB805295-F45D-475C-8974-D3B49B9395B9}"/>
    <dataValidation allowBlank="1" showInputMessage="1" showErrorMessage="1" promptTitle="Ajuda" prompt="Essa situação normalmente ocorre quando o estudo é reconduzido para complementação de alguma dose. _x000a__x000a_Nesse caso deve-se preencher os resultados do grupo controle negativo relativo ao primeiro teste definito" sqref="T25:X25" xr:uid="{75DA5B0B-5C0E-41AF-92CA-DB6318881114}"/>
    <dataValidation allowBlank="1" showInputMessage="1" showErrorMessage="1" promptTitle="Ajuda" prompt="O valor de DL50 informado deve corresponder ao valor da DL50 do produto que está pleiteando o registro._x000a__x000a_Não deve ser utilizado o valor referente apenas ao ingrediente ativo." sqref="F85:L86" xr:uid="{357F6828-58FA-4897-AD1C-B8B0ACAFF72E}"/>
    <dataValidation allowBlank="1" showInputMessage="1" showErrorMessage="1" promptTitle="Ajuda" prompt="Caso tenha sido realizada complementação ou recondução de algum das doses devem ser preenchidos somente os resultados do estudo principal." sqref="F94:M94" xr:uid="{6C7C1A36-2C5C-4514-85D8-AA47BFB3527D}"/>
    <dataValidation allowBlank="1" showInputMessage="1" showErrorMessage="1" promptTitle="Ajuda" prompt="Referência: Parágrafos 34, 40, letra &quot;d&quot; do parágrafo 48 e parágrafo 52 dos protocolos OECD nº 474 de 2016; OECD nº 474 de 2014" sqref="F114:L114" xr:uid="{0FF168D2-2500-4EE4-925F-34E3F20F9CCF}"/>
    <dataValidation allowBlank="1" showInputMessage="1" showErrorMessage="1" promptTitle="Ajuda" prompt="Informar o método estatístico e os resultados da análise estatística. " sqref="F116:L116" xr:uid="{C3FD00E4-ED70-472C-A292-A413E129EE93}"/>
    <dataValidation allowBlank="1" showInputMessage="1" showErrorMessage="1" promptTitle="Ajuda" prompt="Conforme parágrafo 52 do protocolo OECD n. 474 de 2016_x000a_" sqref="F124:L124" xr:uid="{30E8836B-F7DE-459E-B779-36AB0FB8AAA3}"/>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128:L132" xr:uid="{EAC397BF-3110-41B4-8C9F-1761149E43B2}"/>
    <dataValidation allowBlank="1" showInputMessage="1" showErrorMessage="1" promptTitle="Ajuda" prompt="Descrição sucinta do desvio ocorrido._x000a__x000a_Caso tenha ocorrido mais do que quatro desvios, os demais deverão estar descritos na última linha e separados por ponto e vírgula" sqref="S128:Y128" xr:uid="{195CDBEE-2770-4D21-BD3A-175EBA314317}"/>
    <dataValidation allowBlank="1" showInputMessage="1" showErrorMessage="1" promptTitle="Ajuda" prompt="Incluir a justificativa do porquê ocorreu desvio e qual é interpretação dos seus impactos frente aos resultados do estudos." sqref="Z128:AH128" xr:uid="{32E04005-8387-4170-9C37-5A26556EC48E}"/>
    <dataValidation allowBlank="1" showInputMessage="1" showErrorMessage="1" promptTitle="Ajuda" prompt="Informar apenas se o(s) desvio(s) afetam de algum modo a interpretação dos resultados" sqref="AI128:AM128" xr:uid="{7812B4DF-F8AA-49A8-BC1C-F60513B7A8BB}"/>
    <dataValidation allowBlank="1" showInputMessage="1" showErrorMessage="1" promptTitle="Ajuda" prompt="A conclusão deverá ser conforme está escrito no relatório do estudo._x000a_" sqref="F136:L136" xr:uid="{84F8AC64-AED3-4AF6-ABD6-A9859330C28D}"/>
    <dataValidation allowBlank="1" showInputMessage="1" showErrorMessage="1" promptTitle="Ajuda" prompt="Os resultados devem ser comparados com os dados de controle negativo dos dados históricos do laboratório. _x000a__x000a_Parágrafo 47 do protocolo OECD n. 474 de 2016" sqref="F120:L121" xr:uid="{4F361C2B-6984-4E4D-87EA-3AD791579A0B}"/>
  </dataValidations>
  <hyperlinks>
    <hyperlink ref="F7" location="Alertas!G2" display="Alertas!G2" xr:uid="{529B0775-9036-4D3A-AC2A-13C44191804B}"/>
  </hyperlinks>
  <pageMargins left="0.511811024" right="0.511811024" top="0.78740157499999996" bottom="0.78740157499999996" header="0.31496062000000002" footer="0.31496062000000002"/>
  <pageSetup paperSize="9" orientation="portrait" r:id="rId1"/>
  <ignoredErrors>
    <ignoredError sqref="W101 S10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6125" r:id="rId4" name="optn_desvios_micro1">
              <controlPr defaultSize="0" autoFill="0" autoLine="0" autoPict="0">
                <anchor moveWithCells="1">
                  <from>
                    <xdr:col>13</xdr:col>
                    <xdr:colOff>19050</xdr:colOff>
                    <xdr:row>127</xdr:row>
                    <xdr:rowOff>228600</xdr:rowOff>
                  </from>
                  <to>
                    <xdr:col>17</xdr:col>
                    <xdr:colOff>247650</xdr:colOff>
                    <xdr:row>129</xdr:row>
                    <xdr:rowOff>38100</xdr:rowOff>
                  </to>
                </anchor>
              </controlPr>
            </control>
          </mc:Choice>
        </mc:AlternateContent>
        <mc:AlternateContent xmlns:mc="http://schemas.openxmlformats.org/markup-compatibility/2006">
          <mc:Choice Requires="x14">
            <control shapeId="46126" r:id="rId5" name="optn_desvios_micro2">
              <controlPr defaultSize="0" autoFill="0" autoLine="0" autoPict="0">
                <anchor moveWithCells="1">
                  <from>
                    <xdr:col>13</xdr:col>
                    <xdr:colOff>19050</xdr:colOff>
                    <xdr:row>129</xdr:row>
                    <xdr:rowOff>314325</xdr:rowOff>
                  </from>
                  <to>
                    <xdr:col>17</xdr:col>
                    <xdr:colOff>247650</xdr:colOff>
                    <xdr:row>131</xdr:row>
                    <xdr:rowOff>28575</xdr:rowOff>
                  </to>
                </anchor>
              </controlPr>
            </control>
          </mc:Choice>
        </mc:AlternateContent>
        <mc:AlternateContent xmlns:mc="http://schemas.openxmlformats.org/markup-compatibility/2006">
          <mc:Choice Requires="x14">
            <control shapeId="46202" r:id="rId6" name="check_semDMT">
              <controlPr defaultSize="0" autoFill="0" autoLine="0" autoPict="0">
                <anchor moveWithCells="1">
                  <from>
                    <xdr:col>19</xdr:col>
                    <xdr:colOff>123825</xdr:colOff>
                    <xdr:row>75</xdr:row>
                    <xdr:rowOff>28575</xdr:rowOff>
                  </from>
                  <to>
                    <xdr:col>30</xdr:col>
                    <xdr:colOff>66675</xdr:colOff>
                    <xdr:row>76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 id="{BA154E0B-1232-462F-B3A0-A0846D23D369}">
            <xm:f>Calculos!$AW$49&gt;0</xm:f>
            <x14:dxf>
              <font>
                <color theme="0"/>
              </font>
              <fill>
                <patternFill>
                  <bgColor theme="0"/>
                </patternFill>
              </fill>
              <border>
                <left/>
                <right/>
                <bottom/>
                <vertical/>
                <horizontal/>
              </border>
            </x14:dxf>
          </x14:cfRule>
          <xm:sqref>F17:S17</xm:sqref>
        </x14:conditionalFormatting>
        <x14:conditionalFormatting xmlns:xm="http://schemas.microsoft.com/office/excel/2006/main">
          <x14:cfRule type="expression" priority="94" id="{6471FDE9-CC93-460E-8323-3A405B662EED}">
            <xm:f>$N$22&lt;&gt;Tabelas_fonte!$AQ$25</xm:f>
            <x14:dxf>
              <font>
                <color theme="0"/>
              </font>
              <fill>
                <patternFill>
                  <bgColor theme="0"/>
                </patternFill>
              </fill>
              <border>
                <left/>
                <right/>
                <bottom/>
              </border>
            </x14:dxf>
          </x14:cfRule>
          <xm:sqref>F23:S23</xm:sqref>
        </x14:conditionalFormatting>
        <x14:conditionalFormatting xmlns:xm="http://schemas.microsoft.com/office/excel/2006/main">
          <x14:cfRule type="expression" priority="69" id="{FD7150DB-25BB-497E-A149-2B487EDB7625}">
            <xm:f>Respostas_usuario!$S$18=TRUE</xm:f>
            <x14:dxf>
              <font>
                <color theme="0"/>
              </font>
              <fill>
                <patternFill>
                  <bgColor theme="0"/>
                </patternFill>
              </fill>
              <border>
                <left/>
                <right/>
                <bottom/>
                <vertical/>
                <horizontal/>
              </border>
            </x14:dxf>
          </x14:cfRule>
          <xm:sqref>F77:S78</xm:sqref>
        </x14:conditionalFormatting>
        <x14:conditionalFormatting xmlns:xm="http://schemas.microsoft.com/office/excel/2006/main">
          <x14:cfRule type="expression" priority="68" id="{143CD8B4-4675-4A61-8A81-F851FA7A598D}">
            <xm:f>Respostas_usuario!$S$18&lt;&gt;TRUE</xm:f>
            <x14:dxf>
              <font>
                <color theme="0"/>
              </font>
              <fill>
                <patternFill>
                  <bgColor theme="0"/>
                </patternFill>
              </fill>
              <border>
                <left/>
                <right/>
                <top/>
                <bottom/>
                <vertical/>
                <horizontal/>
              </border>
            </x14:dxf>
          </x14:cfRule>
          <xm:sqref>F80:S80 F81:AB81</xm:sqref>
        </x14:conditionalFormatting>
        <x14:conditionalFormatting xmlns:xm="http://schemas.microsoft.com/office/excel/2006/main">
          <x14:cfRule type="expression" priority="62" id="{91941D8D-1ACC-4544-9A13-FDBC643FE838}">
            <xm:f>$N$19=Tabelas_fonte!$AQ$16</xm:f>
            <x14:dxf>
              <font>
                <color theme="0"/>
              </font>
              <fill>
                <patternFill>
                  <bgColor theme="0"/>
                </patternFill>
              </fill>
              <border>
                <left/>
                <right/>
                <top/>
                <bottom/>
                <vertical/>
                <horizontal/>
              </border>
            </x14:dxf>
          </x14:cfRule>
          <x14:cfRule type="expression" priority="63" id="{0DB9A2D0-C55C-479C-839D-29207C6060D8}">
            <xm:f>$N$13=Tabelas_fonte!$AQ$2</xm:f>
            <x14:dxf>
              <font>
                <color theme="0"/>
              </font>
              <fill>
                <patternFill>
                  <bgColor theme="0"/>
                </patternFill>
              </fill>
              <border>
                <left/>
                <right/>
                <top/>
                <bottom/>
                <vertical/>
                <horizontal/>
              </border>
            </x14:dxf>
          </x14:cfRule>
          <xm:sqref>F114:AN114</xm:sqref>
        </x14:conditionalFormatting>
        <x14:conditionalFormatting xmlns:xm="http://schemas.microsoft.com/office/excel/2006/main">
          <x14:cfRule type="expression" priority="16" id="{EE517613-B9E2-4944-8955-ED1EE1CE0C9E}">
            <xm:f>Calculos!$AW$49&gt;0</xm:f>
            <x14:dxf>
              <font>
                <color theme="0"/>
              </font>
              <fill>
                <patternFill>
                  <bgColor theme="0"/>
                </patternFill>
              </fill>
              <border>
                <left/>
                <top/>
                <bottom/>
                <vertical/>
                <horizontal/>
              </border>
            </x14:dxf>
          </x14:cfRule>
          <xm:sqref>F23:AR137 F18:S22 N22:AC22</xm:sqref>
        </x14:conditionalFormatting>
        <x14:conditionalFormatting xmlns:xm="http://schemas.microsoft.com/office/excel/2006/main">
          <x14:cfRule type="expression" priority="49" id="{966934FE-2B3D-4EE1-A288-7471B0A48CAD}">
            <xm:f>Respostas_usuario!$K$20&lt;&gt;0</xm:f>
            <x14:dxf>
              <font>
                <b/>
                <i val="0"/>
                <color rgb="FF00B050"/>
              </font>
              <fill>
                <patternFill patternType="none">
                  <bgColor auto="1"/>
                </patternFill>
              </fill>
            </x14:dxf>
          </x14:cfRule>
          <xm:sqref>M128:M132</xm:sqref>
        </x14:conditionalFormatting>
        <x14:conditionalFormatting xmlns:xm="http://schemas.microsoft.com/office/excel/2006/main">
          <x14:cfRule type="expression" priority="19" id="{568BA40D-A3CB-4E0F-B529-096FC214390C}">
            <xm:f>Calculos!$AW$49=0</xm:f>
            <x14:dxf>
              <border>
                <right/>
                <vertical/>
                <horizontal/>
              </border>
            </x14:dxf>
          </x14:cfRule>
          <xm:sqref>S21</xm:sqref>
        </x14:conditionalFormatting>
        <x14:conditionalFormatting xmlns:xm="http://schemas.microsoft.com/office/excel/2006/main">
          <x14:cfRule type="expression" priority="50" id="{0AD35850-27B6-4D5D-B376-396467EDFB95}">
            <xm:f>Respostas_usuario!$K$20&lt;&gt;2</xm:f>
            <x14:dxf>
              <font>
                <color theme="0"/>
              </font>
              <fill>
                <patternFill>
                  <bgColor theme="0"/>
                </patternFill>
              </fill>
              <border>
                <right/>
                <top/>
                <bottom/>
                <vertical/>
                <horizontal/>
              </border>
            </x14:dxf>
          </x14:cfRule>
          <xm:sqref>S128:AM132</xm:sqref>
        </x14:conditionalFormatting>
        <x14:conditionalFormatting xmlns:xm="http://schemas.microsoft.com/office/excel/2006/main">
          <x14:cfRule type="expression" priority="95" id="{F744F519-3961-4262-B2EA-2B26439DB617}">
            <xm:f>$N$22&lt;&gt;Tabelas_fonte!$AQ$26</xm:f>
            <x14:dxf>
              <font>
                <color theme="0"/>
              </font>
              <fill>
                <patternFill>
                  <bgColor theme="0"/>
                </patternFill>
              </fill>
              <border>
                <right/>
                <top/>
                <bottom/>
              </border>
            </x14:dxf>
          </x14:cfRule>
          <xm:sqref>T22:AC22</xm:sqref>
        </x14:conditionalFormatting>
        <x14:conditionalFormatting xmlns:xm="http://schemas.microsoft.com/office/excel/2006/main">
          <x14:cfRule type="expression" priority="18" id="{5D6335DD-ADB7-4919-B624-735B06E6D1DF}">
            <xm:f>Calculos!$AW$49&gt;0</xm:f>
            <x14:dxf>
              <font>
                <color theme="0"/>
              </font>
              <fill>
                <patternFill>
                  <bgColor theme="0"/>
                </patternFill>
              </fill>
              <border>
                <right/>
                <top/>
                <vertical/>
                <horizontal/>
              </border>
            </x14:dxf>
          </x14:cfRule>
          <xm:sqref>T17:AJ17</xm:sqref>
        </x14:conditionalFormatting>
        <x14:conditionalFormatting xmlns:xm="http://schemas.microsoft.com/office/excel/2006/main">
          <x14:cfRule type="expression" priority="22" id="{B2698BEC-7C23-44FD-86EB-3520F022EA54}">
            <xm:f>Calculos!$AW$49=0</xm:f>
            <x14:dxf>
              <font>
                <color theme="0"/>
              </font>
              <fill>
                <patternFill>
                  <bgColor theme="0"/>
                </patternFill>
              </fill>
              <border>
                <right/>
                <bottom/>
                <vertical/>
                <horizontal/>
              </border>
            </x14:dxf>
          </x14:cfRule>
          <xm:sqref>T18:AJ18</xm:sqref>
        </x14:conditionalFormatting>
        <x14:conditionalFormatting xmlns:xm="http://schemas.microsoft.com/office/excel/2006/main">
          <x14:cfRule type="expression" priority="21" id="{7010B661-204D-4444-BA84-A959970CC562}">
            <xm:f>Calculos!$AW$49=0</xm:f>
            <x14:dxf>
              <font>
                <color theme="0"/>
              </font>
              <fill>
                <patternFill>
                  <bgColor theme="0"/>
                </patternFill>
              </fill>
              <border>
                <right/>
                <top/>
                <vertical/>
                <horizontal/>
              </border>
            </x14:dxf>
          </x14:cfRule>
          <xm:sqref>T19:AL21</xm:sqref>
        </x14:conditionalFormatting>
        <x14:conditionalFormatting xmlns:xm="http://schemas.microsoft.com/office/excel/2006/main">
          <x14:cfRule type="expression" priority="9470" id="{175A96E2-CBEE-4294-99FD-1E8B7EB08A42}">
            <xm:f>Calculos!DM18=1</xm:f>
            <x14:dxf>
              <fill>
                <patternFill>
                  <bgColor theme="5" tint="0.59996337778862885"/>
                </patternFill>
              </fill>
            </x14:dxf>
          </x14:cfRule>
          <xm:sqref>Y102:Y108</xm:sqref>
        </x14:conditionalFormatting>
        <x14:conditionalFormatting xmlns:xm="http://schemas.microsoft.com/office/excel/2006/main">
          <x14:cfRule type="expression" priority="9471" id="{F9BAFDFD-513B-4948-9A39-674D0BCB2179}">
            <xm:f>Calculos!DN18=1</xm:f>
            <x14:dxf>
              <fill>
                <patternFill>
                  <bgColor theme="5" tint="0.59996337778862885"/>
                </patternFill>
              </fill>
            </x14:dxf>
          </x14:cfRule>
          <xm:sqref>AA102:AA108</xm:sqref>
        </x14:conditionalFormatting>
        <x14:conditionalFormatting xmlns:xm="http://schemas.microsoft.com/office/excel/2006/main">
          <x14:cfRule type="expression" priority="20" id="{8FD046D7-454D-42F7-A6DE-8D49AA01B47C}">
            <xm:f>Calculos!$AW$49=0</xm:f>
            <x14:dxf>
              <font>
                <color theme="0"/>
              </font>
              <fill>
                <patternFill>
                  <bgColor theme="0"/>
                </patternFill>
              </fill>
              <border>
                <right/>
                <top/>
                <bottom/>
                <vertical/>
                <horizontal/>
              </border>
            </x14:dxf>
          </x14:cfRule>
          <xm:sqref>AD22:AK22</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errorTitle="Resposta inválida" error="A resposta de ser Sim ou Não." xr:uid="{F6FD378F-1CA9-47C2-BE6F-A5EC9E84AE41}">
          <x14:formula1>
            <xm:f>Tabelas_fonte!$Y$2:$Y$3</xm:f>
          </x14:formula1>
          <xm:sqref>N12:S12</xm:sqref>
        </x14:dataValidation>
        <x14:dataValidation type="list" allowBlank="1" showInputMessage="1" xr:uid="{7F24E57C-CD00-49EC-A8BC-C479EB8A46A2}">
          <x14:formula1>
            <xm:f>Tabelas_fonte!$AQ$2:$AQ$6</xm:f>
          </x14:formula1>
          <xm:sqref>N13:AJ13</xm:sqref>
        </x14:dataValidation>
        <x14:dataValidation type="list" allowBlank="1" showInputMessage="1" showErrorMessage="1" errorTitle="Resposta invalida" error="Escolha uma das opções disponíveis" xr:uid="{7EE80E12-F4A2-4AF9-A4EC-C32CA6EF973E}">
          <x14:formula1>
            <xm:f>Tabelas_fonte!$AQ$10:$AQ$11</xm:f>
          </x14:formula1>
          <xm:sqref>N18:S18</xm:sqref>
        </x14:dataValidation>
        <x14:dataValidation type="list" allowBlank="1" showInputMessage="1" showErrorMessage="1" errorTitle="Resposta inválida" error="Escolha uma das opções disponíveis" xr:uid="{A45BE6D2-198D-4611-A138-F4F69C6B963E}">
          <x14:formula1>
            <xm:f>Tabelas_fonte!$AQ$15:$AQ$18</xm:f>
          </x14:formula1>
          <xm:sqref>N19:S19</xm:sqref>
        </x14:dataValidation>
        <x14:dataValidation type="list" allowBlank="1" showInputMessage="1" showErrorMessage="1" errorTitle="Resposta inválida" error="Escolha uma das opções disponíveis" xr:uid="{5419D45A-385D-419E-9CC8-471799E4A7A1}">
          <x14:formula1>
            <xm:f>Tabelas_fonte!$AQ$25:$AQ$26</xm:f>
          </x14:formula1>
          <xm:sqref>N22:S22</xm:sqref>
        </x14:dataValidation>
        <x14:dataValidation type="list" allowBlank="1" showInputMessage="1" showErrorMessage="1" errorTitle="Resposta inválida" error="A resposta deve ser Sim ou Não" xr:uid="{15F65038-469A-459A-982D-C02BDFF1DF16}">
          <x14:formula1>
            <xm:f>Tabelas_fonte!$Y$2:$Y$3</xm:f>
          </x14:formula1>
          <xm:sqref>Z25:AC25 N62:S62 N76:S76 N80:S80 N120:S122 AA122:AF122</xm:sqref>
        </x14:dataValidation>
        <x14:dataValidation type="list" allowBlank="1" showInputMessage="1" showErrorMessage="1" errorTitle="Resposta inválida" error="Escolha uma das opções disponíveis" xr:uid="{9F55B3A1-3E7B-4E55-A547-443BD29EC46C}">
          <x14:formula1>
            <xm:f>Tabelas_fonte!$AQ$30:$AQ$31</xm:f>
          </x14:formula1>
          <xm:sqref>N28:S28</xm:sqref>
        </x14:dataValidation>
        <x14:dataValidation type="list" allowBlank="1" showInputMessage="1" showErrorMessage="1" errorTitle="Resposta inválida" error="Escolha uma das opções disponíveis" xr:uid="{BC5F620D-5DCB-4899-BAC2-53B9DE7EF014}">
          <x14:formula1>
            <xm:f>Tabelas_fonte!$W$12:$W$14</xm:f>
          </x14:formula1>
          <xm:sqref>X83:AA83 N91:S91</xm:sqref>
        </x14:dataValidation>
        <x14:dataValidation type="list" allowBlank="1" showInputMessage="1" showErrorMessage="1" errorTitle="Valor inválido" error="A resposta deve ser Sim ou Não" xr:uid="{AB60B678-042C-470F-AF7F-5A6696BD3EF2}">
          <x14:formula1>
            <xm:f>Tabelas_fonte!$Y$2:$Y$3</xm:f>
          </x14:formula1>
          <xm:sqref>AI129:AM132</xm:sqref>
        </x14:dataValidation>
        <x14:dataValidation type="list" allowBlank="1" showInputMessage="1" showErrorMessage="1" xr:uid="{84788C32-0BC6-4DD5-B433-ECCAA6595E19}">
          <x14:formula1>
            <xm:f>Tabelas_fonte!$Y$2:$Y$3</xm:f>
          </x14:formula1>
          <xm:sqref>N83:Q83</xm:sqref>
        </x14:dataValidation>
        <x14:dataValidation type="list" allowBlank="1" showInputMessage="1" showErrorMessage="1" errorTitle="Preenchimento incorreto" error="A conclusão deve ser selecionada na lista disponível para o campo. (positivo ou negativo)" xr:uid="{42D1DB2C-8C46-4F37-A40F-330005B5386C}">
          <x14:formula1>
            <xm:f>Tabelas_fonte!$AQ$35:$AQ$37</xm:f>
          </x14:formula1>
          <xm:sqref>AG22:AJ22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2F105-2EF7-43DF-8C17-D68A6246AEEA}">
  <sheetPr codeName="Planilha33">
    <tabColor theme="8" tint="0.59999389629810485"/>
  </sheetPr>
  <dimension ref="A1:AD145"/>
  <sheetViews>
    <sheetView showGridLines="0" topLeftCell="D1" workbookViewId="0">
      <selection activeCell="D1" sqref="D1"/>
    </sheetView>
  </sheetViews>
  <sheetFormatPr defaultColWidth="0" defaultRowHeight="15" zeroHeight="1" x14ac:dyDescent="0.25"/>
  <cols>
    <col min="1" max="3" width="2.5703125" style="20" hidden="1" customWidth="1"/>
    <col min="4" max="5" width="2.5703125" style="20" customWidth="1"/>
    <col min="6" max="12" width="4.7109375" style="20" customWidth="1"/>
    <col min="13" max="30" width="5.7109375" style="20" customWidth="1"/>
    <col min="31" max="16384" width="9.140625" style="20" hidden="1"/>
  </cols>
  <sheetData>
    <row r="1" spans="1:30" x14ac:dyDescent="0.25">
      <c r="A1" s="18"/>
      <c r="B1" s="18"/>
      <c r="C1" s="18"/>
      <c r="D1" s="1"/>
      <c r="E1" s="1"/>
      <c r="F1" s="1"/>
      <c r="G1" s="1"/>
      <c r="H1" s="1"/>
      <c r="I1" s="1"/>
      <c r="J1" s="1"/>
      <c r="K1" s="1"/>
      <c r="L1" s="1"/>
      <c r="M1" s="1"/>
      <c r="N1" s="1"/>
      <c r="O1" s="1"/>
      <c r="P1" s="1"/>
      <c r="Q1" s="1"/>
      <c r="R1" s="1"/>
      <c r="S1" s="1"/>
      <c r="T1" s="1"/>
      <c r="U1" s="1"/>
      <c r="V1" s="1"/>
      <c r="W1" s="1"/>
      <c r="X1" s="1"/>
      <c r="Y1" s="1"/>
      <c r="Z1" s="1"/>
      <c r="AA1" s="1"/>
      <c r="AB1" s="1"/>
      <c r="AC1" s="1"/>
      <c r="AD1" s="1"/>
    </row>
    <row r="2" spans="1:30" ht="15" customHeight="1" x14ac:dyDescent="0.25">
      <c r="A2" s="18"/>
      <c r="B2" s="18"/>
      <c r="C2" s="18"/>
      <c r="D2" s="1"/>
      <c r="E2" s="2"/>
      <c r="F2" s="1148" t="s">
        <v>367</v>
      </c>
      <c r="G2" s="1148"/>
      <c r="H2" s="1148"/>
      <c r="I2" s="1148"/>
      <c r="J2" s="1148"/>
      <c r="K2" s="1148"/>
      <c r="L2" s="1148"/>
      <c r="M2" s="1148"/>
      <c r="N2" s="1148"/>
      <c r="O2" s="1148"/>
      <c r="P2" s="1148"/>
      <c r="Q2" s="1148"/>
      <c r="R2" s="1148"/>
      <c r="S2" s="1148"/>
      <c r="T2" s="1148"/>
      <c r="U2" s="1148"/>
      <c r="V2" s="1148"/>
      <c r="W2" s="1148"/>
      <c r="X2" s="1148"/>
      <c r="Y2" s="1148"/>
      <c r="Z2" s="1148"/>
      <c r="AA2" s="1148"/>
      <c r="AB2" s="158"/>
      <c r="AC2" s="158"/>
      <c r="AD2" s="158"/>
    </row>
    <row r="3" spans="1:30" ht="15" customHeight="1" x14ac:dyDescent="0.25">
      <c r="A3" s="18"/>
      <c r="B3" s="18"/>
      <c r="C3" s="18"/>
      <c r="D3" s="1"/>
      <c r="E3" s="2"/>
      <c r="F3" s="1148"/>
      <c r="G3" s="1148"/>
      <c r="H3" s="1148"/>
      <c r="I3" s="1148"/>
      <c r="J3" s="1148"/>
      <c r="K3" s="1148"/>
      <c r="L3" s="1148"/>
      <c r="M3" s="1148"/>
      <c r="N3" s="1148"/>
      <c r="O3" s="1148"/>
      <c r="P3" s="1148"/>
      <c r="Q3" s="1148"/>
      <c r="R3" s="1148"/>
      <c r="S3" s="1148"/>
      <c r="T3" s="1148"/>
      <c r="U3" s="1148"/>
      <c r="V3" s="1148"/>
      <c r="W3" s="1148"/>
      <c r="X3" s="1148"/>
      <c r="Y3" s="1148"/>
      <c r="Z3" s="1148"/>
      <c r="AA3" s="1148"/>
      <c r="AB3" s="158"/>
      <c r="AC3" s="158"/>
      <c r="AD3" s="158"/>
    </row>
    <row r="4" spans="1:30" ht="15" customHeight="1" x14ac:dyDescent="0.25">
      <c r="A4" s="18"/>
      <c r="B4" s="18"/>
      <c r="C4" s="18"/>
      <c r="D4" s="1"/>
      <c r="E4" s="2"/>
      <c r="F4" s="1148"/>
      <c r="G4" s="1148"/>
      <c r="H4" s="1148"/>
      <c r="I4" s="1148"/>
      <c r="J4" s="1148"/>
      <c r="K4" s="1148"/>
      <c r="L4" s="1148"/>
      <c r="M4" s="1148"/>
      <c r="N4" s="1148"/>
      <c r="O4" s="1148"/>
      <c r="P4" s="1148"/>
      <c r="Q4" s="1148"/>
      <c r="R4" s="1148"/>
      <c r="S4" s="1148"/>
      <c r="T4" s="1148"/>
      <c r="U4" s="1148"/>
      <c r="V4" s="1148"/>
      <c r="W4" s="1148"/>
      <c r="X4" s="1148"/>
      <c r="Y4" s="1148"/>
      <c r="Z4" s="1148"/>
      <c r="AA4" s="1148"/>
      <c r="AB4" s="158"/>
      <c r="AC4" s="158"/>
      <c r="AD4" s="158"/>
    </row>
    <row r="5" spans="1:30" ht="15" customHeight="1" x14ac:dyDescent="0.25">
      <c r="A5" s="18"/>
      <c r="B5" s="18"/>
      <c r="C5" s="18"/>
      <c r="D5" s="1"/>
      <c r="E5" s="2"/>
      <c r="F5" s="1148"/>
      <c r="G5" s="1148"/>
      <c r="H5" s="1148"/>
      <c r="I5" s="1148"/>
      <c r="J5" s="1148"/>
      <c r="K5" s="1148"/>
      <c r="L5" s="1148"/>
      <c r="M5" s="1148"/>
      <c r="N5" s="1148"/>
      <c r="O5" s="1148"/>
      <c r="P5" s="1148"/>
      <c r="Q5" s="1148"/>
      <c r="R5" s="1148"/>
      <c r="S5" s="1148"/>
      <c r="T5" s="1148"/>
      <c r="U5" s="1148"/>
      <c r="V5" s="1148"/>
      <c r="W5" s="1148"/>
      <c r="X5" s="1148"/>
      <c r="Y5" s="1148"/>
      <c r="Z5" s="1148"/>
      <c r="AA5" s="1148"/>
      <c r="AB5" s="158"/>
      <c r="AC5" s="158"/>
      <c r="AD5" s="158"/>
    </row>
    <row r="6" spans="1:30" ht="15" customHeight="1" x14ac:dyDescent="0.25">
      <c r="A6" s="18"/>
      <c r="B6" s="18"/>
      <c r="C6" s="18"/>
      <c r="D6" s="1"/>
      <c r="E6" s="2"/>
      <c r="F6" s="1148"/>
      <c r="G6" s="1148"/>
      <c r="H6" s="1148"/>
      <c r="I6" s="1148"/>
      <c r="J6" s="1148"/>
      <c r="K6" s="1148"/>
      <c r="L6" s="1148"/>
      <c r="M6" s="1148"/>
      <c r="N6" s="1148"/>
      <c r="O6" s="1148"/>
      <c r="P6" s="1148"/>
      <c r="Q6" s="1148"/>
      <c r="R6" s="1148"/>
      <c r="S6" s="1148"/>
      <c r="T6" s="1148"/>
      <c r="U6" s="1148"/>
      <c r="V6" s="1148"/>
      <c r="W6" s="1148"/>
      <c r="X6" s="1148"/>
      <c r="Y6" s="1148"/>
      <c r="Z6" s="1148"/>
      <c r="AA6" s="1148"/>
      <c r="AB6" s="158"/>
      <c r="AC6" s="158"/>
      <c r="AD6" s="158"/>
    </row>
    <row r="7" spans="1:30" ht="15" customHeight="1" x14ac:dyDescent="0.25">
      <c r="A7" s="18"/>
      <c r="B7" s="18"/>
      <c r="C7" s="18"/>
      <c r="D7" s="1"/>
      <c r="E7" s="2"/>
      <c r="F7" s="1148"/>
      <c r="G7" s="1148"/>
      <c r="H7" s="1148"/>
      <c r="I7" s="1148"/>
      <c r="J7" s="1148"/>
      <c r="K7" s="1148"/>
      <c r="L7" s="1148"/>
      <c r="M7" s="1148"/>
      <c r="N7" s="1148"/>
      <c r="O7" s="1148"/>
      <c r="P7" s="1148"/>
      <c r="Q7" s="1148"/>
      <c r="R7" s="1148"/>
      <c r="S7" s="1148"/>
      <c r="T7" s="1148"/>
      <c r="U7" s="1148"/>
      <c r="V7" s="1148"/>
      <c r="W7" s="1148"/>
      <c r="X7" s="1148"/>
      <c r="Y7" s="1148"/>
      <c r="Z7" s="1148"/>
      <c r="AA7" s="1148"/>
      <c r="AB7" s="158"/>
      <c r="AC7" s="158"/>
      <c r="AD7" s="158"/>
    </row>
    <row r="8" spans="1:30" ht="15" hidden="1" customHeight="1" x14ac:dyDescent="0.25">
      <c r="A8" s="18"/>
      <c r="B8" s="18"/>
      <c r="C8" s="18"/>
      <c r="D8" s="1"/>
      <c r="E8" s="1"/>
      <c r="F8" s="1"/>
      <c r="G8" s="1"/>
      <c r="H8" s="1"/>
      <c r="I8" s="1"/>
      <c r="J8" s="1"/>
      <c r="K8" s="1"/>
      <c r="L8" s="1"/>
      <c r="M8" s="1"/>
      <c r="N8" s="1"/>
      <c r="O8" s="1"/>
      <c r="P8" s="1"/>
      <c r="Q8" s="1"/>
      <c r="R8" s="1"/>
      <c r="S8" s="1"/>
      <c r="T8" s="1"/>
      <c r="U8" s="1"/>
      <c r="V8" s="1"/>
      <c r="W8" s="1"/>
      <c r="X8" s="1"/>
      <c r="Y8" s="1"/>
      <c r="Z8" s="1"/>
      <c r="AA8" s="1"/>
      <c r="AB8" s="1"/>
      <c r="AC8" s="1"/>
      <c r="AD8" s="1"/>
    </row>
    <row r="9" spans="1:30" ht="15" hidden="1" customHeight="1" x14ac:dyDescent="0.25">
      <c r="A9" s="18"/>
      <c r="B9" s="18"/>
      <c r="C9" s="18"/>
      <c r="D9" s="1"/>
      <c r="E9" s="1"/>
      <c r="F9" s="370"/>
      <c r="G9" s="370"/>
      <c r="H9" s="1"/>
      <c r="I9" s="1"/>
      <c r="J9" s="1"/>
      <c r="K9" s="1"/>
      <c r="L9" s="1"/>
      <c r="M9" s="1"/>
      <c r="N9" s="1"/>
      <c r="O9" s="1"/>
      <c r="P9" s="1"/>
      <c r="Q9" s="1"/>
      <c r="R9" s="1"/>
      <c r="S9" s="1"/>
      <c r="T9" s="1"/>
      <c r="U9" s="1"/>
      <c r="V9" s="1"/>
      <c r="W9" s="1"/>
      <c r="X9" s="1"/>
      <c r="Y9" s="1"/>
      <c r="Z9" s="1"/>
      <c r="AA9" s="1"/>
      <c r="AB9" s="1"/>
      <c r="AC9" s="1"/>
      <c r="AD9" s="1"/>
    </row>
    <row r="10" spans="1:30" ht="15" hidden="1" customHeight="1" x14ac:dyDescent="0.25">
      <c r="A10" s="18"/>
      <c r="B10" s="18"/>
      <c r="C10" s="18"/>
      <c r="D10" s="1"/>
      <c r="E10" s="1"/>
      <c r="F10" s="370"/>
      <c r="G10" s="370"/>
      <c r="H10" s="1"/>
      <c r="I10" s="1"/>
      <c r="J10" s="1"/>
      <c r="K10" s="1"/>
      <c r="L10" s="1"/>
      <c r="M10" s="1"/>
      <c r="N10" s="1"/>
      <c r="O10" s="1"/>
      <c r="P10" s="1"/>
      <c r="Q10" s="1"/>
      <c r="R10" s="1"/>
      <c r="S10" s="1"/>
      <c r="T10" s="1"/>
      <c r="U10" s="1"/>
      <c r="V10" s="1"/>
      <c r="W10" s="1"/>
      <c r="X10" s="1"/>
      <c r="Y10" s="1"/>
      <c r="Z10" s="1"/>
      <c r="AA10" s="1"/>
      <c r="AB10" s="1"/>
      <c r="AC10" s="1"/>
      <c r="AD10" s="1"/>
    </row>
    <row r="11" spans="1:30" ht="15" customHeight="1" x14ac:dyDescent="0.25">
      <c r="A11" s="18"/>
      <c r="B11" s="18"/>
      <c r="C11" s="18"/>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ht="20.100000000000001" customHeight="1" x14ac:dyDescent="0.25">
      <c r="A12" s="18"/>
      <c r="B12" s="18"/>
      <c r="C12" s="18"/>
      <c r="D12" s="1"/>
      <c r="E12" s="2"/>
      <c r="F12" s="2"/>
      <c r="G12" s="2"/>
      <c r="H12" s="2"/>
      <c r="I12" s="2"/>
      <c r="J12" s="2"/>
      <c r="K12" s="2"/>
      <c r="L12" s="2"/>
      <c r="M12" s="2"/>
      <c r="N12" s="2"/>
      <c r="O12" s="2"/>
      <c r="P12" s="2"/>
      <c r="Q12" s="2"/>
      <c r="R12" s="2"/>
      <c r="S12" s="2"/>
      <c r="T12" s="2"/>
      <c r="U12" s="2"/>
      <c r="V12" s="2"/>
      <c r="W12" s="2"/>
      <c r="X12" s="2"/>
      <c r="Y12" s="2"/>
      <c r="Z12" s="3"/>
      <c r="AA12" s="2"/>
      <c r="AB12" s="2"/>
    </row>
    <row r="13" spans="1:30" ht="20.100000000000001" customHeight="1" x14ac:dyDescent="0.25">
      <c r="A13" s="18"/>
      <c r="B13" s="18"/>
      <c r="C13" s="18"/>
      <c r="D13" s="1"/>
      <c r="E13" s="2"/>
      <c r="F13" s="1560" t="s">
        <v>8115</v>
      </c>
      <c r="G13" s="1560"/>
      <c r="H13" s="1560"/>
      <c r="I13" s="1012" t="s">
        <v>225</v>
      </c>
      <c r="J13" s="1012"/>
      <c r="K13" s="1012"/>
      <c r="L13" s="1012"/>
      <c r="M13" s="1567"/>
      <c r="N13" s="1567"/>
      <c r="O13" s="1567"/>
      <c r="P13" s="1568"/>
      <c r="Q13" s="984" t="s">
        <v>5761</v>
      </c>
      <c r="R13" s="985"/>
      <c r="S13" s="985"/>
      <c r="T13" s="986"/>
      <c r="U13" s="1580"/>
      <c r="V13" s="1580"/>
    </row>
    <row r="14" spans="1:30" s="372" customFormat="1" ht="39.950000000000003" customHeight="1" x14ac:dyDescent="0.25">
      <c r="A14" s="371"/>
      <c r="B14" s="371"/>
      <c r="C14" s="371"/>
      <c r="D14" s="1"/>
      <c r="E14" s="104"/>
      <c r="F14" s="1560"/>
      <c r="G14" s="1560"/>
      <c r="H14" s="1560"/>
      <c r="I14" s="1012" t="s">
        <v>6009</v>
      </c>
      <c r="J14" s="1012"/>
      <c r="K14" s="1012"/>
      <c r="L14" s="1012"/>
      <c r="M14" s="1554" t="s">
        <v>263</v>
      </c>
      <c r="N14" s="1554"/>
      <c r="O14" s="1554"/>
      <c r="P14" s="1554"/>
      <c r="Q14" s="1555" t="s">
        <v>8116</v>
      </c>
      <c r="R14" s="1555"/>
      <c r="S14" s="1555"/>
      <c r="T14" s="1555"/>
      <c r="U14" s="1550" t="s">
        <v>122</v>
      </c>
      <c r="V14" s="1550"/>
      <c r="W14" s="1550"/>
      <c r="X14" s="1550"/>
      <c r="Y14" s="1550" t="s">
        <v>194</v>
      </c>
      <c r="Z14" s="1550"/>
      <c r="AA14" s="1550"/>
      <c r="AB14" s="1550"/>
    </row>
    <row r="15" spans="1:30" ht="20.100000000000001" customHeight="1" x14ac:dyDescent="0.25">
      <c r="A15" s="18"/>
      <c r="B15" s="18"/>
      <c r="C15" s="18"/>
      <c r="D15" s="1"/>
      <c r="E15" s="2"/>
      <c r="F15" s="1560"/>
      <c r="G15" s="1560"/>
      <c r="H15" s="1560"/>
      <c r="I15" s="1012"/>
      <c r="J15" s="1012"/>
      <c r="K15" s="1012"/>
      <c r="L15" s="1012"/>
      <c r="M15" s="1551" t="str">
        <f ca="1">Calculos!$DL$30</f>
        <v>-</v>
      </c>
      <c r="N15" s="1551"/>
      <c r="O15" s="1551" t="str">
        <f ca="1">Calculos!$DM$30</f>
        <v>-</v>
      </c>
      <c r="P15" s="1551"/>
      <c r="Q15" s="1551" t="str">
        <f ca="1">Calculos!$DL$30</f>
        <v>-</v>
      </c>
      <c r="R15" s="1551"/>
      <c r="S15" s="1551" t="str">
        <f ca="1">Calculos!$DM$30</f>
        <v>-</v>
      </c>
      <c r="T15" s="1551"/>
      <c r="U15" s="1551" t="str">
        <f ca="1">Calculos!$DL$30</f>
        <v>-</v>
      </c>
      <c r="V15" s="1551"/>
      <c r="W15" s="1551" t="str">
        <f ca="1">Calculos!$DM$30</f>
        <v>-</v>
      </c>
      <c r="X15" s="1551"/>
      <c r="Y15" s="1551" t="str">
        <f ca="1">Calculos!$DL$30</f>
        <v>-</v>
      </c>
      <c r="Z15" s="1551"/>
      <c r="AA15" s="1551" t="str">
        <f ca="1">Calculos!$DM$30</f>
        <v>-</v>
      </c>
      <c r="AB15" s="1551"/>
    </row>
    <row r="16" spans="1:30" ht="20.100000000000001" customHeight="1" x14ac:dyDescent="0.25">
      <c r="A16" s="18"/>
      <c r="B16" s="18"/>
      <c r="C16" s="18"/>
      <c r="D16" s="1"/>
      <c r="E16" s="2"/>
      <c r="F16" s="1560"/>
      <c r="G16" s="1560"/>
      <c r="H16" s="1560"/>
      <c r="I16" s="1569" t="s">
        <v>152</v>
      </c>
      <c r="J16" s="1569"/>
      <c r="K16" s="1569"/>
      <c r="L16" s="1569"/>
      <c r="M16" s="1556"/>
      <c r="N16" s="1556"/>
      <c r="O16" s="1556"/>
      <c r="P16" s="1556"/>
      <c r="Q16" s="1552"/>
      <c r="R16" s="1553"/>
      <c r="S16" s="1552"/>
      <c r="T16" s="1553"/>
      <c r="U16" s="1559"/>
      <c r="V16" s="1559"/>
      <c r="W16" s="1559"/>
      <c r="X16" s="1559"/>
      <c r="Y16" s="1549" t="str">
        <f ca="1">Calculos!DD31</f>
        <v/>
      </c>
      <c r="Z16" s="1549"/>
      <c r="AA16" s="1549" t="str">
        <f ca="1">Calculos!DE31</f>
        <v/>
      </c>
      <c r="AB16" s="1549"/>
    </row>
    <row r="17" spans="1:30" ht="20.100000000000001" customHeight="1" x14ac:dyDescent="0.25">
      <c r="A17" s="18"/>
      <c r="B17" s="18"/>
      <c r="C17" s="18"/>
      <c r="D17" s="1"/>
      <c r="E17" s="2"/>
      <c r="F17" s="1560"/>
      <c r="G17" s="1560"/>
      <c r="H17" s="1560"/>
      <c r="I17" s="1569" t="s">
        <v>153</v>
      </c>
      <c r="J17" s="1569"/>
      <c r="K17" s="1569"/>
      <c r="L17" s="1569"/>
      <c r="M17" s="1556"/>
      <c r="N17" s="1556"/>
      <c r="O17" s="1556"/>
      <c r="P17" s="1556"/>
      <c r="Q17" s="1552"/>
      <c r="R17" s="1553"/>
      <c r="S17" s="1552"/>
      <c r="T17" s="1553"/>
      <c r="U17" s="1559"/>
      <c r="V17" s="1559"/>
      <c r="W17" s="1559"/>
      <c r="X17" s="1559"/>
      <c r="Y17" s="1549" t="str">
        <f ca="1">Calculos!DD32</f>
        <v/>
      </c>
      <c r="Z17" s="1549"/>
      <c r="AA17" s="1549" t="str">
        <f ca="1">Calculos!DE32</f>
        <v/>
      </c>
      <c r="AB17" s="1549"/>
    </row>
    <row r="18" spans="1:30" ht="20.100000000000001" customHeight="1" x14ac:dyDescent="0.25">
      <c r="A18" s="18"/>
      <c r="B18" s="18"/>
      <c r="C18" s="18"/>
      <c r="D18" s="1"/>
      <c r="E18" s="2"/>
      <c r="F18" s="1560"/>
      <c r="G18" s="1560"/>
      <c r="H18" s="1560"/>
      <c r="I18" s="1569" t="s">
        <v>154</v>
      </c>
      <c r="J18" s="1569"/>
      <c r="K18" s="1569"/>
      <c r="L18" s="1569"/>
      <c r="M18" s="1556"/>
      <c r="N18" s="1556"/>
      <c r="O18" s="1556"/>
      <c r="P18" s="1556"/>
      <c r="Q18" s="1552"/>
      <c r="R18" s="1553"/>
      <c r="S18" s="1552"/>
      <c r="T18" s="1553"/>
      <c r="U18" s="1559"/>
      <c r="V18" s="1559"/>
      <c r="W18" s="1559"/>
      <c r="X18" s="1559"/>
      <c r="Y18" s="1549" t="str">
        <f ca="1">Calculos!DD33</f>
        <v/>
      </c>
      <c r="Z18" s="1549"/>
      <c r="AA18" s="1549" t="str">
        <f ca="1">Calculos!DE33</f>
        <v/>
      </c>
      <c r="AB18" s="1549"/>
    </row>
    <row r="19" spans="1:30" ht="20.100000000000001" customHeight="1" x14ac:dyDescent="0.25">
      <c r="A19" s="18"/>
      <c r="B19" s="18"/>
      <c r="C19" s="18"/>
      <c r="D19" s="1"/>
      <c r="E19" s="2"/>
      <c r="F19" s="1560"/>
      <c r="G19" s="1560"/>
      <c r="H19" s="1560"/>
      <c r="I19" s="1569" t="s">
        <v>155</v>
      </c>
      <c r="J19" s="1569"/>
      <c r="K19" s="1569"/>
      <c r="L19" s="1569"/>
      <c r="M19" s="1556"/>
      <c r="N19" s="1556"/>
      <c r="O19" s="1556"/>
      <c r="P19" s="1556"/>
      <c r="Q19" s="1552"/>
      <c r="R19" s="1553"/>
      <c r="S19" s="1552"/>
      <c r="T19" s="1553"/>
      <c r="U19" s="1559"/>
      <c r="V19" s="1559"/>
      <c r="W19" s="1559"/>
      <c r="X19" s="1559"/>
      <c r="Y19" s="1549" t="str">
        <f ca="1">Calculos!DD34</f>
        <v/>
      </c>
      <c r="Z19" s="1549"/>
      <c r="AA19" s="1549" t="str">
        <f ca="1">Calculos!DE34</f>
        <v/>
      </c>
      <c r="AB19" s="1549"/>
    </row>
    <row r="20" spans="1:30" ht="20.100000000000001" customHeight="1" x14ac:dyDescent="0.25">
      <c r="A20" s="18"/>
      <c r="B20" s="18"/>
      <c r="C20" s="18"/>
      <c r="D20" s="1"/>
      <c r="E20" s="2"/>
      <c r="F20" s="1560"/>
      <c r="G20" s="1560"/>
      <c r="H20" s="1560"/>
      <c r="I20" s="1569" t="s">
        <v>156</v>
      </c>
      <c r="J20" s="1569"/>
      <c r="K20" s="1569"/>
      <c r="L20" s="1569"/>
      <c r="M20" s="1556"/>
      <c r="N20" s="1556"/>
      <c r="O20" s="1556"/>
      <c r="P20" s="1556"/>
      <c r="Q20" s="1552"/>
      <c r="R20" s="1553"/>
      <c r="S20" s="1552"/>
      <c r="T20" s="1553"/>
      <c r="U20" s="1559"/>
      <c r="V20" s="1559"/>
      <c r="W20" s="1559"/>
      <c r="X20" s="1559"/>
      <c r="Y20" s="1549" t="str">
        <f ca="1">Calculos!DD35</f>
        <v/>
      </c>
      <c r="Z20" s="1549"/>
      <c r="AA20" s="1549" t="str">
        <f ca="1">Calculos!DE35</f>
        <v/>
      </c>
      <c r="AB20" s="1549"/>
    </row>
    <row r="21" spans="1:30" ht="20.100000000000001" customHeight="1" x14ac:dyDescent="0.25">
      <c r="A21" s="18"/>
      <c r="B21" s="18"/>
      <c r="C21" s="18"/>
      <c r="D21" s="1"/>
      <c r="E21" s="2"/>
      <c r="F21" s="1560"/>
      <c r="G21" s="1560"/>
      <c r="H21" s="1560"/>
      <c r="I21" s="1569" t="s">
        <v>157</v>
      </c>
      <c r="J21" s="1569"/>
      <c r="K21" s="1569"/>
      <c r="L21" s="1569"/>
      <c r="M21" s="1556"/>
      <c r="N21" s="1556"/>
      <c r="O21" s="1556"/>
      <c r="P21" s="1556"/>
      <c r="Q21" s="1552"/>
      <c r="R21" s="1553"/>
      <c r="S21" s="1552"/>
      <c r="T21" s="1553"/>
      <c r="U21" s="1559"/>
      <c r="V21" s="1559"/>
      <c r="W21" s="1559"/>
      <c r="X21" s="1559"/>
      <c r="Y21" s="1549" t="str">
        <f ca="1">Calculos!DD36</f>
        <v/>
      </c>
      <c r="Z21" s="1549"/>
      <c r="AA21" s="1549" t="str">
        <f ca="1">Calculos!DE36</f>
        <v/>
      </c>
      <c r="AB21" s="1549"/>
    </row>
    <row r="22" spans="1:30" ht="20.100000000000001" customHeight="1" x14ac:dyDescent="0.25">
      <c r="A22" s="18"/>
      <c r="B22" s="18"/>
      <c r="C22" s="18"/>
      <c r="D22" s="1"/>
      <c r="E22" s="2"/>
      <c r="F22" s="1560"/>
      <c r="G22" s="1560"/>
      <c r="H22" s="1560"/>
      <c r="I22" s="1569" t="s">
        <v>158</v>
      </c>
      <c r="J22" s="1569"/>
      <c r="K22" s="1569"/>
      <c r="L22" s="1569"/>
      <c r="M22" s="1556"/>
      <c r="N22" s="1556"/>
      <c r="O22" s="1556"/>
      <c r="P22" s="1556"/>
      <c r="Q22" s="1552"/>
      <c r="R22" s="1553"/>
      <c r="S22" s="1552"/>
      <c r="T22" s="1553"/>
      <c r="U22" s="1559"/>
      <c r="V22" s="1559"/>
      <c r="W22" s="1559"/>
      <c r="X22" s="1559"/>
      <c r="Y22" s="1549" t="str">
        <f ca="1">Calculos!DD37</f>
        <v/>
      </c>
      <c r="Z22" s="1549"/>
      <c r="AA22" s="1549" t="str">
        <f ca="1">Calculos!DE37</f>
        <v/>
      </c>
      <c r="AB22" s="1549"/>
    </row>
    <row r="23" spans="1:30" ht="20.100000000000001" customHeight="1" x14ac:dyDescent="0.25">
      <c r="A23" s="18"/>
      <c r="B23" s="18"/>
      <c r="C23" s="18"/>
      <c r="D23" s="1"/>
      <c r="E23" s="2"/>
      <c r="F23" s="1560"/>
      <c r="G23" s="1560"/>
      <c r="H23" s="1560"/>
      <c r="I23" s="1569" t="s">
        <v>159</v>
      </c>
      <c r="J23" s="1569"/>
      <c r="K23" s="1569"/>
      <c r="L23" s="1569"/>
      <c r="M23" s="1556"/>
      <c r="N23" s="1556"/>
      <c r="O23" s="1556"/>
      <c r="P23" s="1556"/>
      <c r="Q23" s="1552"/>
      <c r="R23" s="1553"/>
      <c r="S23" s="1552"/>
      <c r="T23" s="1553"/>
      <c r="U23" s="1559"/>
      <c r="V23" s="1559"/>
      <c r="W23" s="1559"/>
      <c r="X23" s="1559"/>
      <c r="Y23" s="1549" t="str">
        <f ca="1">Calculos!DD38</f>
        <v/>
      </c>
      <c r="Z23" s="1549"/>
      <c r="AA23" s="1549" t="str">
        <f ca="1">Calculos!DE38</f>
        <v/>
      </c>
      <c r="AB23" s="1549"/>
    </row>
    <row r="24" spans="1:30" ht="20.100000000000001" customHeight="1" x14ac:dyDescent="0.25">
      <c r="A24" s="18"/>
      <c r="B24" s="18"/>
      <c r="C24" s="18"/>
      <c r="D24" s="1"/>
      <c r="E24" s="2"/>
      <c r="F24" s="1560"/>
      <c r="G24" s="1560"/>
      <c r="H24" s="1560"/>
      <c r="I24" s="1569" t="s">
        <v>160</v>
      </c>
      <c r="J24" s="1569"/>
      <c r="K24" s="1569"/>
      <c r="L24" s="1569"/>
      <c r="M24" s="1556"/>
      <c r="N24" s="1556"/>
      <c r="O24" s="1556"/>
      <c r="P24" s="1556"/>
      <c r="Q24" s="1552"/>
      <c r="R24" s="1553"/>
      <c r="S24" s="1552"/>
      <c r="T24" s="1553"/>
      <c r="U24" s="1559"/>
      <c r="V24" s="1559"/>
      <c r="W24" s="1559"/>
      <c r="X24" s="1559"/>
      <c r="Y24" s="1549" t="str">
        <f ca="1">Calculos!DD39</f>
        <v/>
      </c>
      <c r="Z24" s="1549"/>
      <c r="AA24" s="1549" t="str">
        <f ca="1">Calculos!DE39</f>
        <v/>
      </c>
      <c r="AB24" s="1549"/>
    </row>
    <row r="25" spans="1:30" ht="20.100000000000001" customHeight="1" x14ac:dyDescent="0.25">
      <c r="A25" s="18"/>
      <c r="B25" s="18"/>
      <c r="C25" s="18"/>
      <c r="D25" s="1"/>
      <c r="E25" s="2"/>
      <c r="F25" s="1560"/>
      <c r="G25" s="1560"/>
      <c r="H25" s="1560"/>
      <c r="I25" s="1569" t="s">
        <v>161</v>
      </c>
      <c r="J25" s="1569"/>
      <c r="K25" s="1569"/>
      <c r="L25" s="1569"/>
      <c r="M25" s="1556"/>
      <c r="N25" s="1556"/>
      <c r="O25" s="1556"/>
      <c r="P25" s="1556"/>
      <c r="Q25" s="1552"/>
      <c r="R25" s="1553"/>
      <c r="S25" s="1552"/>
      <c r="T25" s="1553"/>
      <c r="U25" s="1559"/>
      <c r="V25" s="1559"/>
      <c r="W25" s="1559"/>
      <c r="X25" s="1559"/>
      <c r="Y25" s="1549" t="str">
        <f ca="1">Calculos!DD40</f>
        <v/>
      </c>
      <c r="Z25" s="1549"/>
      <c r="AA25" s="1549" t="str">
        <f ca="1">Calculos!DE40</f>
        <v/>
      </c>
      <c r="AB25" s="1549"/>
    </row>
    <row r="26" spans="1:30" ht="20.100000000000001" customHeight="1" x14ac:dyDescent="0.25">
      <c r="A26" s="18"/>
      <c r="B26" s="18"/>
      <c r="C26" s="18"/>
      <c r="D26" s="1"/>
      <c r="E26" s="2"/>
      <c r="F26" s="2"/>
      <c r="G26" s="2"/>
      <c r="H26" s="2"/>
      <c r="I26" s="2"/>
      <c r="J26" s="2"/>
      <c r="K26" s="2"/>
      <c r="L26" s="2"/>
      <c r="M26" s="2"/>
      <c r="N26" s="2"/>
      <c r="O26" s="2"/>
      <c r="P26" s="2"/>
      <c r="Q26" s="2"/>
      <c r="R26" s="2"/>
      <c r="S26" s="2"/>
      <c r="T26" s="2"/>
      <c r="U26" s="2"/>
      <c r="V26" s="2"/>
      <c r="W26" s="2"/>
      <c r="X26" s="2"/>
      <c r="Y26" s="2"/>
      <c r="Z26" s="2"/>
      <c r="AA26" s="2"/>
      <c r="AB26" s="2"/>
    </row>
    <row r="27" spans="1:30" ht="20.100000000000001" customHeight="1" x14ac:dyDescent="0.25">
      <c r="A27" s="18"/>
      <c r="B27" s="18"/>
      <c r="C27" s="18"/>
      <c r="D27" s="1"/>
      <c r="E27" s="2"/>
      <c r="F27" s="58"/>
      <c r="G27" s="58"/>
      <c r="H27" s="58"/>
      <c r="I27" s="373"/>
      <c r="J27" s="373"/>
      <c r="K27" s="373"/>
      <c r="L27" s="373"/>
      <c r="M27" s="374"/>
      <c r="N27" s="374"/>
      <c r="O27" s="374"/>
      <c r="P27" s="374"/>
      <c r="Q27" s="374"/>
      <c r="R27" s="374"/>
      <c r="S27" s="374"/>
      <c r="T27" s="374"/>
      <c r="U27" s="373"/>
      <c r="V27" s="373"/>
      <c r="W27" s="373"/>
      <c r="X27" s="373"/>
      <c r="Y27" s="374"/>
      <c r="Z27" s="374"/>
      <c r="AA27" s="374"/>
      <c r="AB27" s="374"/>
    </row>
    <row r="28" spans="1:30" ht="20.100000000000001" customHeight="1" x14ac:dyDescent="0.25">
      <c r="A28" s="18"/>
      <c r="B28" s="18"/>
      <c r="C28" s="18"/>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20.100000000000001" customHeight="1" x14ac:dyDescent="0.25">
      <c r="A29" s="18"/>
      <c r="B29" s="18"/>
      <c r="C29" s="18"/>
      <c r="D29" s="1"/>
      <c r="E29" s="314"/>
      <c r="F29" s="314"/>
      <c r="G29" s="314"/>
      <c r="H29" s="314"/>
      <c r="I29" s="314"/>
      <c r="J29" s="314"/>
      <c r="K29" s="314"/>
      <c r="L29" s="314"/>
      <c r="M29" s="314"/>
      <c r="N29" s="314"/>
      <c r="O29" s="314"/>
      <c r="P29" s="314"/>
      <c r="Q29" s="314"/>
      <c r="R29" s="314"/>
      <c r="S29" s="314"/>
      <c r="T29" s="314"/>
      <c r="U29" s="314"/>
      <c r="V29" s="314"/>
      <c r="W29" s="314"/>
      <c r="X29" s="314"/>
      <c r="Y29" s="314"/>
      <c r="Z29" s="2"/>
      <c r="AA29" s="2"/>
      <c r="AB29" s="2"/>
      <c r="AC29" s="2"/>
      <c r="AD29" s="2"/>
    </row>
    <row r="30" spans="1:30" ht="20.100000000000001" customHeight="1" x14ac:dyDescent="0.25">
      <c r="A30" s="18"/>
      <c r="B30" s="18"/>
      <c r="C30" s="18"/>
      <c r="D30" s="1"/>
      <c r="E30" s="314"/>
      <c r="F30" s="1558" t="s">
        <v>368</v>
      </c>
      <c r="G30" s="1558"/>
      <c r="H30" s="1558"/>
      <c r="I30" s="1538" t="s">
        <v>225</v>
      </c>
      <c r="J30" s="1538"/>
      <c r="K30" s="1538"/>
      <c r="L30" s="1538"/>
      <c r="M30" s="1571" cm="1">
        <f t="array" aca="1" ref="M30" ca="1">INDIRECT("'Micronucleo(1)'!Z26",1)</f>
        <v>0</v>
      </c>
      <c r="N30" s="1571"/>
      <c r="O30" s="1571"/>
      <c r="P30" s="1571"/>
      <c r="Y30" s="314"/>
      <c r="Z30" s="2"/>
      <c r="AA30" s="2"/>
      <c r="AB30" s="2"/>
      <c r="AC30" s="2"/>
      <c r="AD30" s="2"/>
    </row>
    <row r="31" spans="1:30" s="372" customFormat="1" ht="39.950000000000003" customHeight="1" x14ac:dyDescent="0.25">
      <c r="A31" s="371"/>
      <c r="B31" s="371"/>
      <c r="C31" s="371"/>
      <c r="D31" s="1"/>
      <c r="E31" s="315"/>
      <c r="F31" s="1558"/>
      <c r="G31" s="1558"/>
      <c r="H31" s="1558"/>
      <c r="I31" s="1012" t="s">
        <v>6009</v>
      </c>
      <c r="J31" s="1012"/>
      <c r="K31" s="1012"/>
      <c r="L31" s="1012"/>
      <c r="M31" s="1561" t="s">
        <v>263</v>
      </c>
      <c r="N31" s="1562"/>
      <c r="O31" s="1562"/>
      <c r="P31" s="1563"/>
      <c r="Q31" s="1564" t="s">
        <v>8116</v>
      </c>
      <c r="R31" s="1565"/>
      <c r="S31" s="1565"/>
      <c r="T31" s="1566"/>
      <c r="U31" s="1550" t="s">
        <v>122</v>
      </c>
      <c r="V31" s="1550"/>
      <c r="W31" s="1550"/>
      <c r="X31" s="1550"/>
      <c r="Y31" s="1550" t="s">
        <v>194</v>
      </c>
      <c r="Z31" s="1550"/>
      <c r="AA31" s="1550"/>
      <c r="AB31" s="1550"/>
    </row>
    <row r="32" spans="1:30" ht="20.100000000000001" customHeight="1" x14ac:dyDescent="0.25">
      <c r="A32" s="18"/>
      <c r="B32" s="18"/>
      <c r="C32" s="18"/>
      <c r="D32" s="1"/>
      <c r="E32" s="314"/>
      <c r="F32" s="1558"/>
      <c r="G32" s="1558"/>
      <c r="H32" s="1558"/>
      <c r="I32" s="1012"/>
      <c r="J32" s="1012"/>
      <c r="K32" s="1012"/>
      <c r="L32" s="1012"/>
      <c r="M32" s="1551" t="str">
        <f ca="1">Calculos!$DL$30</f>
        <v>-</v>
      </c>
      <c r="N32" s="1551"/>
      <c r="O32" s="1551" t="str">
        <f ca="1">Calculos!$DM$30</f>
        <v>-</v>
      </c>
      <c r="P32" s="1551"/>
      <c r="Q32" s="1551" t="str">
        <f ca="1">Calculos!$DL$30</f>
        <v>-</v>
      </c>
      <c r="R32" s="1551"/>
      <c r="S32" s="1551" t="str">
        <f ca="1">Calculos!$DM$30</f>
        <v>-</v>
      </c>
      <c r="T32" s="1551"/>
      <c r="U32" s="1551" t="str">
        <f ca="1">Calculos!$DL$30</f>
        <v>-</v>
      </c>
      <c r="V32" s="1551"/>
      <c r="W32" s="1551" t="str">
        <f ca="1">Calculos!$DM$30</f>
        <v>-</v>
      </c>
      <c r="X32" s="1551"/>
      <c r="Y32" s="1551" t="str">
        <f ca="1">Calculos!$DL$30</f>
        <v>-</v>
      </c>
      <c r="Z32" s="1551"/>
      <c r="AA32" s="1551" t="str">
        <f ca="1">Calculos!$DM$30</f>
        <v>-</v>
      </c>
      <c r="AB32" s="1551"/>
    </row>
    <row r="33" spans="1:30" ht="20.100000000000001" customHeight="1" x14ac:dyDescent="0.25">
      <c r="A33" s="18"/>
      <c r="B33" s="18"/>
      <c r="C33" s="18"/>
      <c r="D33" s="1"/>
      <c r="E33" s="314"/>
      <c r="F33" s="1558"/>
      <c r="G33" s="1558"/>
      <c r="H33" s="1558"/>
      <c r="I33" s="1570" t="s">
        <v>152</v>
      </c>
      <c r="J33" s="1570"/>
      <c r="K33" s="1570"/>
      <c r="L33" s="1570"/>
      <c r="M33" s="1556"/>
      <c r="N33" s="1556"/>
      <c r="O33" s="1556"/>
      <c r="P33" s="1556"/>
      <c r="Q33" s="1552"/>
      <c r="R33" s="1553"/>
      <c r="S33" s="1552"/>
      <c r="T33" s="1553"/>
      <c r="U33" s="1559"/>
      <c r="V33" s="1559"/>
      <c r="W33" s="1559"/>
      <c r="X33" s="1559"/>
      <c r="Y33" s="1549" t="str">
        <f ca="1">Calculos!DD41</f>
        <v/>
      </c>
      <c r="Z33" s="1549"/>
      <c r="AA33" s="1549" t="str">
        <f ca="1">Calculos!DE41</f>
        <v/>
      </c>
      <c r="AB33" s="1549"/>
    </row>
    <row r="34" spans="1:30" ht="20.100000000000001" customHeight="1" x14ac:dyDescent="0.25">
      <c r="A34" s="18"/>
      <c r="B34" s="18"/>
      <c r="C34" s="18"/>
      <c r="D34" s="1"/>
      <c r="E34" s="314"/>
      <c r="F34" s="1558"/>
      <c r="G34" s="1558"/>
      <c r="H34" s="1558"/>
      <c r="I34" s="1570" t="s">
        <v>153</v>
      </c>
      <c r="J34" s="1570"/>
      <c r="K34" s="1570"/>
      <c r="L34" s="1570"/>
      <c r="M34" s="1556"/>
      <c r="N34" s="1556"/>
      <c r="O34" s="1556"/>
      <c r="P34" s="1556"/>
      <c r="Q34" s="1552"/>
      <c r="R34" s="1553"/>
      <c r="S34" s="1552"/>
      <c r="T34" s="1553"/>
      <c r="U34" s="1559"/>
      <c r="V34" s="1559"/>
      <c r="W34" s="1559"/>
      <c r="X34" s="1559"/>
      <c r="Y34" s="1549" t="str">
        <f ca="1">Calculos!DD42</f>
        <v/>
      </c>
      <c r="Z34" s="1549"/>
      <c r="AA34" s="1549" t="str">
        <f ca="1">Calculos!DE42</f>
        <v/>
      </c>
      <c r="AB34" s="1549"/>
    </row>
    <row r="35" spans="1:30" ht="20.100000000000001" customHeight="1" x14ac:dyDescent="0.25">
      <c r="A35" s="18"/>
      <c r="B35" s="18"/>
      <c r="C35" s="18"/>
      <c r="D35" s="1"/>
      <c r="E35" s="314"/>
      <c r="F35" s="1558"/>
      <c r="G35" s="1558"/>
      <c r="H35" s="1558"/>
      <c r="I35" s="1570" t="s">
        <v>154</v>
      </c>
      <c r="J35" s="1570"/>
      <c r="K35" s="1570"/>
      <c r="L35" s="1570"/>
      <c r="M35" s="1556"/>
      <c r="N35" s="1556"/>
      <c r="O35" s="1556"/>
      <c r="P35" s="1556"/>
      <c r="Q35" s="1552"/>
      <c r="R35" s="1553"/>
      <c r="S35" s="1552"/>
      <c r="T35" s="1553"/>
      <c r="U35" s="1559"/>
      <c r="V35" s="1559"/>
      <c r="W35" s="1559"/>
      <c r="X35" s="1559"/>
      <c r="Y35" s="1549" t="str">
        <f ca="1">Calculos!DD43</f>
        <v/>
      </c>
      <c r="Z35" s="1549"/>
      <c r="AA35" s="1549" t="str">
        <f ca="1">Calculos!DE43</f>
        <v/>
      </c>
      <c r="AB35" s="1549"/>
    </row>
    <row r="36" spans="1:30" ht="20.100000000000001" customHeight="1" x14ac:dyDescent="0.25">
      <c r="A36" s="18"/>
      <c r="B36" s="18"/>
      <c r="C36" s="18"/>
      <c r="D36" s="1"/>
      <c r="E36" s="314"/>
      <c r="F36" s="1558"/>
      <c r="G36" s="1558"/>
      <c r="H36" s="1558"/>
      <c r="I36" s="1570" t="s">
        <v>155</v>
      </c>
      <c r="J36" s="1570"/>
      <c r="K36" s="1570"/>
      <c r="L36" s="1570"/>
      <c r="M36" s="1556"/>
      <c r="N36" s="1556"/>
      <c r="O36" s="1556"/>
      <c r="P36" s="1556"/>
      <c r="Q36" s="1552"/>
      <c r="R36" s="1553"/>
      <c r="S36" s="1552"/>
      <c r="T36" s="1553"/>
      <c r="U36" s="1559"/>
      <c r="V36" s="1559"/>
      <c r="W36" s="1559"/>
      <c r="X36" s="1559"/>
      <c r="Y36" s="1549" t="str">
        <f ca="1">Calculos!DD44</f>
        <v/>
      </c>
      <c r="Z36" s="1549"/>
      <c r="AA36" s="1549" t="str">
        <f ca="1">Calculos!DE44</f>
        <v/>
      </c>
      <c r="AB36" s="1549"/>
    </row>
    <row r="37" spans="1:30" ht="20.100000000000001" customHeight="1" x14ac:dyDescent="0.25">
      <c r="A37" s="18"/>
      <c r="B37" s="18"/>
      <c r="C37" s="18"/>
      <c r="D37" s="1"/>
      <c r="E37" s="314"/>
      <c r="F37" s="1558"/>
      <c r="G37" s="1558"/>
      <c r="H37" s="1558"/>
      <c r="I37" s="1570" t="s">
        <v>156</v>
      </c>
      <c r="J37" s="1570"/>
      <c r="K37" s="1570"/>
      <c r="L37" s="1570"/>
      <c r="M37" s="1556"/>
      <c r="N37" s="1556"/>
      <c r="O37" s="1556"/>
      <c r="P37" s="1556"/>
      <c r="Q37" s="1552"/>
      <c r="R37" s="1553"/>
      <c r="S37" s="1552"/>
      <c r="T37" s="1553"/>
      <c r="U37" s="1559"/>
      <c r="V37" s="1559"/>
      <c r="W37" s="1559"/>
      <c r="X37" s="1559"/>
      <c r="Y37" s="1549" t="str">
        <f ca="1">Calculos!DD45</f>
        <v/>
      </c>
      <c r="Z37" s="1549"/>
      <c r="AA37" s="1549" t="str">
        <f ca="1">Calculos!DE45</f>
        <v/>
      </c>
      <c r="AB37" s="1549"/>
    </row>
    <row r="38" spans="1:30" ht="20.100000000000001" customHeight="1" x14ac:dyDescent="0.25">
      <c r="A38" s="18"/>
      <c r="B38" s="18"/>
      <c r="C38" s="18"/>
      <c r="D38" s="1"/>
      <c r="E38" s="314"/>
      <c r="F38" s="1558"/>
      <c r="G38" s="1558"/>
      <c r="H38" s="1558"/>
      <c r="I38" s="1570" t="s">
        <v>157</v>
      </c>
      <c r="J38" s="1570"/>
      <c r="K38" s="1570"/>
      <c r="L38" s="1570"/>
      <c r="M38" s="1556"/>
      <c r="N38" s="1556"/>
      <c r="O38" s="1556"/>
      <c r="P38" s="1556"/>
      <c r="Q38" s="1552"/>
      <c r="R38" s="1553"/>
      <c r="S38" s="1552"/>
      <c r="T38" s="1553"/>
      <c r="U38" s="1559"/>
      <c r="V38" s="1559"/>
      <c r="W38" s="1559"/>
      <c r="X38" s="1559"/>
      <c r="Y38" s="1549" t="str">
        <f ca="1">Calculos!DD46</f>
        <v/>
      </c>
      <c r="Z38" s="1549"/>
      <c r="AA38" s="1549" t="str">
        <f ca="1">Calculos!DE46</f>
        <v/>
      </c>
      <c r="AB38" s="1549"/>
    </row>
    <row r="39" spans="1:30" ht="20.100000000000001" customHeight="1" x14ac:dyDescent="0.25">
      <c r="A39" s="18"/>
      <c r="B39" s="18"/>
      <c r="C39" s="18"/>
      <c r="D39" s="1"/>
      <c r="E39" s="314"/>
      <c r="F39" s="1558"/>
      <c r="G39" s="1558"/>
      <c r="H39" s="1558"/>
      <c r="I39" s="1570" t="s">
        <v>158</v>
      </c>
      <c r="J39" s="1570"/>
      <c r="K39" s="1570"/>
      <c r="L39" s="1570"/>
      <c r="M39" s="1556"/>
      <c r="N39" s="1556"/>
      <c r="O39" s="1556"/>
      <c r="P39" s="1556"/>
      <c r="Q39" s="1552"/>
      <c r="R39" s="1553"/>
      <c r="S39" s="1552"/>
      <c r="T39" s="1553"/>
      <c r="U39" s="1559"/>
      <c r="V39" s="1559"/>
      <c r="W39" s="1559"/>
      <c r="X39" s="1559"/>
      <c r="Y39" s="1549" t="str">
        <f ca="1">Calculos!DD47</f>
        <v/>
      </c>
      <c r="Z39" s="1549"/>
      <c r="AA39" s="1549" t="str">
        <f ca="1">Calculos!DE47</f>
        <v/>
      </c>
      <c r="AB39" s="1549"/>
    </row>
    <row r="40" spans="1:30" ht="20.100000000000001" customHeight="1" x14ac:dyDescent="0.25">
      <c r="A40" s="18"/>
      <c r="B40" s="18"/>
      <c r="C40" s="18"/>
      <c r="D40" s="1"/>
      <c r="E40" s="314"/>
      <c r="F40" s="1558"/>
      <c r="G40" s="1558"/>
      <c r="H40" s="1558"/>
      <c r="I40" s="1570" t="s">
        <v>159</v>
      </c>
      <c r="J40" s="1570"/>
      <c r="K40" s="1570"/>
      <c r="L40" s="1570"/>
      <c r="M40" s="1556"/>
      <c r="N40" s="1556"/>
      <c r="O40" s="1556"/>
      <c r="P40" s="1556"/>
      <c r="Q40" s="1552"/>
      <c r="R40" s="1553"/>
      <c r="S40" s="1552"/>
      <c r="T40" s="1553"/>
      <c r="U40" s="1559"/>
      <c r="V40" s="1559"/>
      <c r="W40" s="1559"/>
      <c r="X40" s="1559"/>
      <c r="Y40" s="1549" t="str">
        <f ca="1">Calculos!DD48</f>
        <v/>
      </c>
      <c r="Z40" s="1549"/>
      <c r="AA40" s="1549" t="str">
        <f ca="1">Calculos!DE48</f>
        <v/>
      </c>
      <c r="AB40" s="1549"/>
    </row>
    <row r="41" spans="1:30" ht="20.100000000000001" customHeight="1" x14ac:dyDescent="0.25">
      <c r="A41" s="18"/>
      <c r="B41" s="18"/>
      <c r="C41" s="18"/>
      <c r="D41" s="1"/>
      <c r="E41" s="314"/>
      <c r="F41" s="1558"/>
      <c r="G41" s="1558"/>
      <c r="H41" s="1558"/>
      <c r="I41" s="1570" t="s">
        <v>160</v>
      </c>
      <c r="J41" s="1570"/>
      <c r="K41" s="1570"/>
      <c r="L41" s="1570"/>
      <c r="M41" s="1556"/>
      <c r="N41" s="1556"/>
      <c r="O41" s="1556"/>
      <c r="P41" s="1556"/>
      <c r="Q41" s="1552"/>
      <c r="R41" s="1553"/>
      <c r="S41" s="1552"/>
      <c r="T41" s="1553"/>
      <c r="U41" s="1559"/>
      <c r="V41" s="1559"/>
      <c r="W41" s="1559"/>
      <c r="X41" s="1559"/>
      <c r="Y41" s="1549" t="str">
        <f ca="1">Calculos!DD49</f>
        <v/>
      </c>
      <c r="Z41" s="1549"/>
      <c r="AA41" s="1549" t="str">
        <f ca="1">Calculos!DE49</f>
        <v/>
      </c>
      <c r="AB41" s="1549"/>
    </row>
    <row r="42" spans="1:30" ht="20.100000000000001" customHeight="1" x14ac:dyDescent="0.25">
      <c r="A42" s="18"/>
      <c r="B42" s="18"/>
      <c r="C42" s="18"/>
      <c r="D42" s="1"/>
      <c r="E42" s="314"/>
      <c r="F42" s="1558"/>
      <c r="G42" s="1558"/>
      <c r="H42" s="1558"/>
      <c r="I42" s="1570" t="s">
        <v>161</v>
      </c>
      <c r="J42" s="1570"/>
      <c r="K42" s="1570"/>
      <c r="L42" s="1570"/>
      <c r="M42" s="1556"/>
      <c r="N42" s="1556"/>
      <c r="O42" s="1556"/>
      <c r="P42" s="1556"/>
      <c r="Q42" s="1552"/>
      <c r="R42" s="1553"/>
      <c r="S42" s="1552"/>
      <c r="T42" s="1553"/>
      <c r="U42" s="1559"/>
      <c r="V42" s="1559"/>
      <c r="W42" s="1559"/>
      <c r="X42" s="1559"/>
      <c r="Y42" s="1549" t="str">
        <f ca="1">Calculos!DD50</f>
        <v/>
      </c>
      <c r="Z42" s="1549"/>
      <c r="AA42" s="1549" t="str">
        <f ca="1">Calculos!DE50</f>
        <v/>
      </c>
      <c r="AB42" s="1549"/>
    </row>
    <row r="43" spans="1:30" ht="20.100000000000001" customHeight="1" x14ac:dyDescent="0.25">
      <c r="A43" s="18"/>
      <c r="B43" s="18"/>
      <c r="C43" s="18"/>
      <c r="D43" s="1"/>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1:30" ht="20.100000000000001" customHeight="1" x14ac:dyDescent="0.25">
      <c r="A44" s="18"/>
      <c r="B44" s="18"/>
      <c r="C44" s="18"/>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20.100000000000001" customHeight="1" x14ac:dyDescent="0.25">
      <c r="A45" s="18"/>
      <c r="B45" s="18"/>
      <c r="C45" s="18"/>
      <c r="D45" s="1"/>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20.100000000000001" customHeight="1" x14ac:dyDescent="0.25">
      <c r="A46" s="18"/>
      <c r="B46" s="18"/>
      <c r="C46" s="18"/>
      <c r="D46" s="1"/>
      <c r="E46" s="314"/>
      <c r="F46" s="1572" t="s">
        <v>6011</v>
      </c>
      <c r="G46" s="1573"/>
      <c r="H46" s="1574"/>
      <c r="I46" s="1538" t="s">
        <v>225</v>
      </c>
      <c r="J46" s="1538"/>
      <c r="K46" s="1538"/>
      <c r="L46" s="1538"/>
      <c r="M46" s="1512" t="s">
        <v>36</v>
      </c>
      <c r="N46" s="1512"/>
      <c r="O46" s="1557"/>
      <c r="P46" s="1557"/>
      <c r="Q46" s="1557"/>
      <c r="R46" s="1557"/>
      <c r="S46" s="1286" t="s">
        <v>5761</v>
      </c>
      <c r="T46" s="1286"/>
      <c r="U46" s="1580"/>
      <c r="V46" s="1580"/>
      <c r="W46" s="314"/>
      <c r="X46" s="314"/>
      <c r="Y46" s="314"/>
      <c r="Z46" s="2"/>
      <c r="AA46" s="2"/>
      <c r="AB46" s="2"/>
      <c r="AC46" s="2"/>
      <c r="AD46" s="2"/>
    </row>
    <row r="47" spans="1:30" ht="20.100000000000001" customHeight="1" x14ac:dyDescent="0.25">
      <c r="A47" s="18"/>
      <c r="B47" s="18"/>
      <c r="C47" s="18"/>
      <c r="D47" s="1"/>
      <c r="E47" s="314"/>
      <c r="F47" s="1575"/>
      <c r="G47" s="1383"/>
      <c r="H47" s="1576"/>
      <c r="I47" s="1538"/>
      <c r="J47" s="1538"/>
      <c r="K47" s="1538"/>
      <c r="L47" s="1538"/>
      <c r="M47" s="1512" t="s">
        <v>37</v>
      </c>
      <c r="N47" s="1512"/>
      <c r="O47" s="1557"/>
      <c r="P47" s="1557"/>
      <c r="Q47" s="1557"/>
      <c r="R47" s="1557"/>
      <c r="S47" s="1286"/>
      <c r="T47" s="1286"/>
      <c r="U47" s="1580"/>
      <c r="V47" s="1580"/>
      <c r="W47" s="314"/>
      <c r="X47" s="314"/>
      <c r="Y47" s="314"/>
      <c r="Z47" s="2"/>
      <c r="AA47" s="2"/>
      <c r="AB47" s="2"/>
      <c r="AC47" s="2"/>
      <c r="AD47" s="2"/>
    </row>
    <row r="48" spans="1:30" s="372" customFormat="1" ht="39.950000000000003" customHeight="1" x14ac:dyDescent="0.25">
      <c r="A48" s="371"/>
      <c r="B48" s="371"/>
      <c r="C48" s="371"/>
      <c r="D48" s="1"/>
      <c r="E48" s="315"/>
      <c r="F48" s="1575"/>
      <c r="G48" s="1383"/>
      <c r="H48" s="1576"/>
      <c r="I48" s="1012" t="s">
        <v>6009</v>
      </c>
      <c r="J48" s="1012"/>
      <c r="K48" s="1012"/>
      <c r="L48" s="1012"/>
      <c r="M48" s="1554" t="s">
        <v>263</v>
      </c>
      <c r="N48" s="1554"/>
      <c r="O48" s="1554"/>
      <c r="P48" s="1554"/>
      <c r="Q48" s="1555" t="s">
        <v>8116</v>
      </c>
      <c r="R48" s="1555"/>
      <c r="S48" s="1555"/>
      <c r="T48" s="1555"/>
      <c r="U48" s="1550" t="s">
        <v>122</v>
      </c>
      <c r="V48" s="1550"/>
      <c r="W48" s="1550"/>
      <c r="X48" s="1550"/>
      <c r="Y48" s="1550" t="s">
        <v>194</v>
      </c>
      <c r="Z48" s="1550"/>
      <c r="AA48" s="1550"/>
      <c r="AB48" s="1550"/>
    </row>
    <row r="49" spans="1:30" ht="20.100000000000001" customHeight="1" x14ac:dyDescent="0.25">
      <c r="A49" s="18"/>
      <c r="B49" s="18"/>
      <c r="C49" s="18"/>
      <c r="D49" s="1"/>
      <c r="E49" s="314"/>
      <c r="F49" s="1575"/>
      <c r="G49" s="1383"/>
      <c r="H49" s="1576"/>
      <c r="I49" s="1012"/>
      <c r="J49" s="1012"/>
      <c r="K49" s="1012"/>
      <c r="L49" s="1012"/>
      <c r="M49" s="1551" t="str">
        <f ca="1">Calculos!$DL$30</f>
        <v>-</v>
      </c>
      <c r="N49" s="1551"/>
      <c r="O49" s="1551" t="str">
        <f ca="1">Calculos!$DM$30</f>
        <v>-</v>
      </c>
      <c r="P49" s="1551"/>
      <c r="Q49" s="1551" t="str">
        <f ca="1">Calculos!$DL$30</f>
        <v>-</v>
      </c>
      <c r="R49" s="1551"/>
      <c r="S49" s="1551" t="str">
        <f ca="1">Calculos!$DM$30</f>
        <v>-</v>
      </c>
      <c r="T49" s="1551"/>
      <c r="U49" s="1551" t="str">
        <f ca="1">Calculos!$DL$30</f>
        <v>-</v>
      </c>
      <c r="V49" s="1551"/>
      <c r="W49" s="1551" t="str">
        <f ca="1">Calculos!$DM$30</f>
        <v>-</v>
      </c>
      <c r="X49" s="1551"/>
      <c r="Y49" s="1551" t="str">
        <f ca="1">Calculos!$DL$30</f>
        <v>-</v>
      </c>
      <c r="Z49" s="1551"/>
      <c r="AA49" s="1551" t="str">
        <f ca="1">Calculos!$DM$30</f>
        <v>-</v>
      </c>
      <c r="AB49" s="1551"/>
    </row>
    <row r="50" spans="1:30" ht="20.100000000000001" customHeight="1" x14ac:dyDescent="0.25">
      <c r="A50" s="18"/>
      <c r="B50" s="18"/>
      <c r="C50" s="18"/>
      <c r="D50" s="1"/>
      <c r="E50" s="314"/>
      <c r="F50" s="1575"/>
      <c r="G50" s="1383"/>
      <c r="H50" s="1576"/>
      <c r="I50" s="1569" t="s">
        <v>152</v>
      </c>
      <c r="J50" s="1569"/>
      <c r="K50" s="1569"/>
      <c r="L50" s="1569"/>
      <c r="M50" s="1556"/>
      <c r="N50" s="1556"/>
      <c r="O50" s="1556"/>
      <c r="P50" s="1556"/>
      <c r="Q50" s="1552"/>
      <c r="R50" s="1553"/>
      <c r="S50" s="1552"/>
      <c r="T50" s="1553"/>
      <c r="U50" s="1559"/>
      <c r="V50" s="1559"/>
      <c r="W50" s="1559"/>
      <c r="X50" s="1559"/>
      <c r="Y50" s="1549" t="str">
        <f ca="1">Calculos!DD51</f>
        <v/>
      </c>
      <c r="Z50" s="1549"/>
      <c r="AA50" s="1549" t="str">
        <f ca="1">Calculos!DE51</f>
        <v/>
      </c>
      <c r="AB50" s="1549"/>
    </row>
    <row r="51" spans="1:30" ht="20.100000000000001" customHeight="1" x14ac:dyDescent="0.25">
      <c r="A51" s="18"/>
      <c r="B51" s="18"/>
      <c r="C51" s="18"/>
      <c r="D51" s="1"/>
      <c r="E51" s="314"/>
      <c r="F51" s="1575"/>
      <c r="G51" s="1383"/>
      <c r="H51" s="1576"/>
      <c r="I51" s="1569" t="s">
        <v>153</v>
      </c>
      <c r="J51" s="1569"/>
      <c r="K51" s="1569"/>
      <c r="L51" s="1569"/>
      <c r="M51" s="1556"/>
      <c r="N51" s="1556"/>
      <c r="O51" s="1556"/>
      <c r="P51" s="1556"/>
      <c r="Q51" s="1552"/>
      <c r="R51" s="1553"/>
      <c r="S51" s="1552"/>
      <c r="T51" s="1553"/>
      <c r="U51" s="1559"/>
      <c r="V51" s="1559"/>
      <c r="W51" s="1559"/>
      <c r="X51" s="1559"/>
      <c r="Y51" s="1549" t="str">
        <f ca="1">Calculos!DD52</f>
        <v/>
      </c>
      <c r="Z51" s="1549"/>
      <c r="AA51" s="1549" t="str">
        <f ca="1">Calculos!DE52</f>
        <v/>
      </c>
      <c r="AB51" s="1549"/>
    </row>
    <row r="52" spans="1:30" ht="20.100000000000001" customHeight="1" x14ac:dyDescent="0.25">
      <c r="A52" s="18"/>
      <c r="B52" s="18"/>
      <c r="C52" s="18"/>
      <c r="D52" s="1"/>
      <c r="E52" s="314"/>
      <c r="F52" s="1575"/>
      <c r="G52" s="1383"/>
      <c r="H52" s="1576"/>
      <c r="I52" s="1569" t="s">
        <v>154</v>
      </c>
      <c r="J52" s="1569"/>
      <c r="K52" s="1569"/>
      <c r="L52" s="1569"/>
      <c r="M52" s="1556"/>
      <c r="N52" s="1556"/>
      <c r="O52" s="1556"/>
      <c r="P52" s="1556"/>
      <c r="Q52" s="1552"/>
      <c r="R52" s="1553"/>
      <c r="S52" s="1552"/>
      <c r="T52" s="1553"/>
      <c r="U52" s="1559"/>
      <c r="V52" s="1559"/>
      <c r="W52" s="1559"/>
      <c r="X52" s="1559"/>
      <c r="Y52" s="1549" t="str">
        <f ca="1">Calculos!DD53</f>
        <v/>
      </c>
      <c r="Z52" s="1549"/>
      <c r="AA52" s="1549" t="str">
        <f ca="1">Calculos!DE53</f>
        <v/>
      </c>
      <c r="AB52" s="1549"/>
    </row>
    <row r="53" spans="1:30" ht="20.100000000000001" customHeight="1" x14ac:dyDescent="0.25">
      <c r="A53" s="18"/>
      <c r="B53" s="18"/>
      <c r="C53" s="18"/>
      <c r="D53" s="1"/>
      <c r="E53" s="314"/>
      <c r="F53" s="1575"/>
      <c r="G53" s="1383"/>
      <c r="H53" s="1576"/>
      <c r="I53" s="1569" t="s">
        <v>155</v>
      </c>
      <c r="J53" s="1569"/>
      <c r="K53" s="1569"/>
      <c r="L53" s="1569"/>
      <c r="M53" s="1556"/>
      <c r="N53" s="1556"/>
      <c r="O53" s="1556"/>
      <c r="P53" s="1556"/>
      <c r="Q53" s="1552"/>
      <c r="R53" s="1553"/>
      <c r="S53" s="1552"/>
      <c r="T53" s="1553"/>
      <c r="U53" s="1559"/>
      <c r="V53" s="1559"/>
      <c r="W53" s="1559"/>
      <c r="X53" s="1559"/>
      <c r="Y53" s="1549" t="str">
        <f ca="1">Calculos!DD54</f>
        <v/>
      </c>
      <c r="Z53" s="1549"/>
      <c r="AA53" s="1549" t="str">
        <f ca="1">Calculos!DE54</f>
        <v/>
      </c>
      <c r="AB53" s="1549"/>
    </row>
    <row r="54" spans="1:30" ht="20.100000000000001" customHeight="1" x14ac:dyDescent="0.25">
      <c r="A54" s="18"/>
      <c r="B54" s="18"/>
      <c r="C54" s="18"/>
      <c r="D54" s="1"/>
      <c r="E54" s="314"/>
      <c r="F54" s="1575"/>
      <c r="G54" s="1383"/>
      <c r="H54" s="1576"/>
      <c r="I54" s="1569" t="s">
        <v>156</v>
      </c>
      <c r="J54" s="1569"/>
      <c r="K54" s="1569"/>
      <c r="L54" s="1569"/>
      <c r="M54" s="1556"/>
      <c r="N54" s="1556"/>
      <c r="O54" s="1556"/>
      <c r="P54" s="1556"/>
      <c r="Q54" s="1552"/>
      <c r="R54" s="1553"/>
      <c r="S54" s="1552"/>
      <c r="T54" s="1553"/>
      <c r="U54" s="1559"/>
      <c r="V54" s="1559"/>
      <c r="W54" s="1559"/>
      <c r="X54" s="1559"/>
      <c r="Y54" s="1549" t="str">
        <f ca="1">Calculos!DD55</f>
        <v/>
      </c>
      <c r="Z54" s="1549"/>
      <c r="AA54" s="1549" t="str">
        <f ca="1">Calculos!DE55</f>
        <v/>
      </c>
      <c r="AB54" s="1549"/>
    </row>
    <row r="55" spans="1:30" ht="20.100000000000001" customHeight="1" x14ac:dyDescent="0.25">
      <c r="A55" s="18"/>
      <c r="B55" s="18"/>
      <c r="C55" s="18"/>
      <c r="D55" s="1"/>
      <c r="E55" s="314"/>
      <c r="F55" s="1575"/>
      <c r="G55" s="1383"/>
      <c r="H55" s="1576"/>
      <c r="I55" s="1569" t="s">
        <v>157</v>
      </c>
      <c r="J55" s="1569"/>
      <c r="K55" s="1569"/>
      <c r="L55" s="1569"/>
      <c r="M55" s="1556"/>
      <c r="N55" s="1556"/>
      <c r="O55" s="1556"/>
      <c r="P55" s="1556"/>
      <c r="Q55" s="1552"/>
      <c r="R55" s="1553"/>
      <c r="S55" s="1552"/>
      <c r="T55" s="1553"/>
      <c r="U55" s="1559"/>
      <c r="V55" s="1559"/>
      <c r="W55" s="1559"/>
      <c r="X55" s="1559"/>
      <c r="Y55" s="1549" t="str">
        <f ca="1">Calculos!DD56</f>
        <v/>
      </c>
      <c r="Z55" s="1549"/>
      <c r="AA55" s="1549" t="str">
        <f ca="1">Calculos!DE56</f>
        <v/>
      </c>
      <c r="AB55" s="1549"/>
    </row>
    <row r="56" spans="1:30" ht="20.100000000000001" customHeight="1" x14ac:dyDescent="0.25">
      <c r="A56" s="18"/>
      <c r="B56" s="18"/>
      <c r="C56" s="18"/>
      <c r="D56" s="1"/>
      <c r="E56" s="314"/>
      <c r="F56" s="1575"/>
      <c r="G56" s="1383"/>
      <c r="H56" s="1576"/>
      <c r="I56" s="1569" t="s">
        <v>158</v>
      </c>
      <c r="J56" s="1569"/>
      <c r="K56" s="1569"/>
      <c r="L56" s="1569"/>
      <c r="M56" s="1556"/>
      <c r="N56" s="1556"/>
      <c r="O56" s="1556"/>
      <c r="P56" s="1556"/>
      <c r="Q56" s="1552"/>
      <c r="R56" s="1553"/>
      <c r="S56" s="1552"/>
      <c r="T56" s="1553"/>
      <c r="U56" s="1559"/>
      <c r="V56" s="1559"/>
      <c r="W56" s="1559"/>
      <c r="X56" s="1559"/>
      <c r="Y56" s="1549" t="str">
        <f ca="1">Calculos!DD57</f>
        <v/>
      </c>
      <c r="Z56" s="1549"/>
      <c r="AA56" s="1549" t="str">
        <f ca="1">Calculos!DE57</f>
        <v/>
      </c>
      <c r="AB56" s="1549"/>
    </row>
    <row r="57" spans="1:30" ht="20.100000000000001" customHeight="1" x14ac:dyDescent="0.25">
      <c r="A57" s="18"/>
      <c r="B57" s="18"/>
      <c r="C57" s="18"/>
      <c r="D57" s="1"/>
      <c r="E57" s="314"/>
      <c r="F57" s="1575"/>
      <c r="G57" s="1383"/>
      <c r="H57" s="1576"/>
      <c r="I57" s="1569" t="s">
        <v>159</v>
      </c>
      <c r="J57" s="1569"/>
      <c r="K57" s="1569"/>
      <c r="L57" s="1569"/>
      <c r="M57" s="1556"/>
      <c r="N57" s="1556"/>
      <c r="O57" s="1556"/>
      <c r="P57" s="1556"/>
      <c r="Q57" s="1552"/>
      <c r="R57" s="1553"/>
      <c r="S57" s="1552"/>
      <c r="T57" s="1553"/>
      <c r="U57" s="1559"/>
      <c r="V57" s="1559"/>
      <c r="W57" s="1559"/>
      <c r="X57" s="1559"/>
      <c r="Y57" s="1549" t="str">
        <f ca="1">Calculos!DD58</f>
        <v/>
      </c>
      <c r="Z57" s="1549"/>
      <c r="AA57" s="1549" t="str">
        <f ca="1">Calculos!DE58</f>
        <v/>
      </c>
      <c r="AB57" s="1549"/>
    </row>
    <row r="58" spans="1:30" ht="20.100000000000001" customHeight="1" x14ac:dyDescent="0.25">
      <c r="A58" s="18"/>
      <c r="B58" s="18"/>
      <c r="C58" s="18"/>
      <c r="D58" s="1"/>
      <c r="E58" s="314"/>
      <c r="F58" s="1575"/>
      <c r="G58" s="1383"/>
      <c r="H58" s="1576"/>
      <c r="I58" s="1569" t="s">
        <v>160</v>
      </c>
      <c r="J58" s="1569"/>
      <c r="K58" s="1569"/>
      <c r="L58" s="1569"/>
      <c r="M58" s="1556"/>
      <c r="N58" s="1556"/>
      <c r="O58" s="1556"/>
      <c r="P58" s="1556"/>
      <c r="Q58" s="1552"/>
      <c r="R58" s="1553"/>
      <c r="S58" s="1552"/>
      <c r="T58" s="1553"/>
      <c r="U58" s="1559"/>
      <c r="V58" s="1559"/>
      <c r="W58" s="1559"/>
      <c r="X58" s="1559"/>
      <c r="Y58" s="1549" t="str">
        <f ca="1">Calculos!DD59</f>
        <v/>
      </c>
      <c r="Z58" s="1549"/>
      <c r="AA58" s="1549" t="str">
        <f ca="1">Calculos!DE59</f>
        <v/>
      </c>
      <c r="AB58" s="1549"/>
    </row>
    <row r="59" spans="1:30" ht="20.100000000000001" customHeight="1" x14ac:dyDescent="0.25">
      <c r="A59" s="18"/>
      <c r="B59" s="18"/>
      <c r="C59" s="18"/>
      <c r="D59" s="1"/>
      <c r="E59" s="314"/>
      <c r="F59" s="1577"/>
      <c r="G59" s="1578"/>
      <c r="H59" s="1579"/>
      <c r="I59" s="1569" t="s">
        <v>161</v>
      </c>
      <c r="J59" s="1569"/>
      <c r="K59" s="1569"/>
      <c r="L59" s="1569"/>
      <c r="M59" s="1556"/>
      <c r="N59" s="1556"/>
      <c r="O59" s="1556"/>
      <c r="P59" s="1556"/>
      <c r="Q59" s="1552"/>
      <c r="R59" s="1553"/>
      <c r="S59" s="1552"/>
      <c r="T59" s="1553"/>
      <c r="U59" s="1559"/>
      <c r="V59" s="1559"/>
      <c r="W59" s="1559"/>
      <c r="X59" s="1559"/>
      <c r="Y59" s="1549" t="str">
        <f ca="1">Calculos!DD60</f>
        <v/>
      </c>
      <c r="Z59" s="1549"/>
      <c r="AA59" s="1549" t="str">
        <f ca="1">Calculos!DE60</f>
        <v/>
      </c>
      <c r="AB59" s="1549"/>
    </row>
    <row r="60" spans="1:30" ht="20.100000000000001" customHeight="1" x14ac:dyDescent="0.25">
      <c r="A60" s="18"/>
      <c r="B60" s="18"/>
      <c r="C60" s="18"/>
      <c r="D60" s="1"/>
      <c r="E60" s="314"/>
      <c r="F60" s="306"/>
      <c r="G60" s="306"/>
      <c r="H60" s="306"/>
      <c r="I60" s="373"/>
      <c r="J60" s="373"/>
      <c r="K60" s="373"/>
      <c r="L60" s="373"/>
      <c r="M60" s="374"/>
      <c r="N60" s="374"/>
      <c r="O60" s="374"/>
      <c r="P60" s="374"/>
      <c r="Q60" s="374"/>
      <c r="R60" s="374"/>
      <c r="S60" s="374"/>
      <c r="T60" s="374"/>
      <c r="U60" s="373"/>
      <c r="V60" s="373"/>
      <c r="W60" s="373"/>
      <c r="X60" s="373"/>
      <c r="Y60" s="374"/>
      <c r="Z60" s="374"/>
      <c r="AA60" s="374"/>
      <c r="AB60" s="374"/>
      <c r="AC60" s="268"/>
      <c r="AD60" s="268"/>
    </row>
    <row r="61" spans="1:30" ht="20.100000000000001" customHeight="1" x14ac:dyDescent="0.25">
      <c r="A61" s="18"/>
      <c r="B61" s="18"/>
      <c r="C61" s="18"/>
      <c r="D61" s="1"/>
      <c r="E61" s="375"/>
      <c r="F61" s="376"/>
      <c r="G61" s="376"/>
      <c r="H61" s="376"/>
      <c r="I61" s="377"/>
      <c r="J61" s="377"/>
      <c r="K61" s="377"/>
      <c r="L61" s="377"/>
      <c r="M61" s="378"/>
      <c r="N61" s="378"/>
      <c r="O61" s="378"/>
      <c r="P61" s="378"/>
      <c r="Q61" s="378"/>
      <c r="R61" s="378"/>
      <c r="S61" s="378"/>
      <c r="T61" s="378"/>
      <c r="U61" s="377"/>
      <c r="V61" s="377"/>
      <c r="W61" s="377"/>
      <c r="X61" s="377"/>
      <c r="Y61" s="378"/>
      <c r="Z61" s="378"/>
      <c r="AA61" s="378"/>
      <c r="AB61" s="378"/>
      <c r="AC61" s="271"/>
      <c r="AD61" s="271"/>
    </row>
    <row r="62" spans="1:30" ht="20.100000000000001" customHeight="1" x14ac:dyDescent="0.25">
      <c r="A62" s="18"/>
      <c r="B62" s="18"/>
      <c r="C62" s="18"/>
      <c r="D62" s="1"/>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20.100000000000001" customHeight="1" x14ac:dyDescent="0.25">
      <c r="A63" s="18"/>
      <c r="B63" s="18"/>
      <c r="C63" s="18"/>
      <c r="D63" s="1"/>
      <c r="E63" s="314"/>
      <c r="F63" s="1572" t="s">
        <v>6012</v>
      </c>
      <c r="G63" s="1573"/>
      <c r="H63" s="1574"/>
      <c r="I63" s="1538" t="s">
        <v>225</v>
      </c>
      <c r="J63" s="1538"/>
      <c r="K63" s="1538"/>
      <c r="L63" s="1538"/>
      <c r="M63" s="1512" t="s">
        <v>36</v>
      </c>
      <c r="N63" s="1512"/>
      <c r="O63" s="1557"/>
      <c r="P63" s="1557"/>
      <c r="Q63" s="1557"/>
      <c r="R63" s="1557"/>
      <c r="S63" s="1286" t="s">
        <v>5761</v>
      </c>
      <c r="T63" s="1286"/>
      <c r="U63" s="1580"/>
      <c r="V63" s="1580"/>
      <c r="W63" s="314"/>
      <c r="X63" s="314"/>
      <c r="Y63" s="314"/>
      <c r="Z63" s="2"/>
      <c r="AA63" s="2"/>
      <c r="AB63" s="2"/>
      <c r="AC63" s="2"/>
      <c r="AD63" s="2"/>
    </row>
    <row r="64" spans="1:30" ht="20.100000000000001" customHeight="1" x14ac:dyDescent="0.25">
      <c r="A64" s="18"/>
      <c r="B64" s="18"/>
      <c r="C64" s="18"/>
      <c r="D64" s="1"/>
      <c r="E64" s="314"/>
      <c r="F64" s="1575"/>
      <c r="G64" s="1383"/>
      <c r="H64" s="1576"/>
      <c r="I64" s="1538"/>
      <c r="J64" s="1538"/>
      <c r="K64" s="1538"/>
      <c r="L64" s="1538"/>
      <c r="M64" s="1512" t="s">
        <v>37</v>
      </c>
      <c r="N64" s="1512"/>
      <c r="O64" s="1557"/>
      <c r="P64" s="1557"/>
      <c r="Q64" s="1557"/>
      <c r="R64" s="1557"/>
      <c r="S64" s="1286"/>
      <c r="T64" s="1286"/>
      <c r="U64" s="1580"/>
      <c r="V64" s="1580"/>
      <c r="W64" s="314"/>
      <c r="X64" s="314"/>
      <c r="Y64" s="314"/>
      <c r="Z64" s="2"/>
      <c r="AA64" s="2"/>
      <c r="AB64" s="2"/>
      <c r="AC64" s="2"/>
      <c r="AD64" s="2"/>
    </row>
    <row r="65" spans="1:30" s="372" customFormat="1" ht="39.950000000000003" customHeight="1" x14ac:dyDescent="0.25">
      <c r="A65" s="371"/>
      <c r="B65" s="371"/>
      <c r="C65" s="371"/>
      <c r="D65" s="1"/>
      <c r="E65" s="315"/>
      <c r="F65" s="1575"/>
      <c r="G65" s="1383"/>
      <c r="H65" s="1576"/>
      <c r="I65" s="1012" t="s">
        <v>6009</v>
      </c>
      <c r="J65" s="1012"/>
      <c r="K65" s="1012"/>
      <c r="L65" s="1012"/>
      <c r="M65" s="1554" t="s">
        <v>263</v>
      </c>
      <c r="N65" s="1554"/>
      <c r="O65" s="1554"/>
      <c r="P65" s="1554"/>
      <c r="Q65" s="1555" t="s">
        <v>8116</v>
      </c>
      <c r="R65" s="1555"/>
      <c r="S65" s="1555"/>
      <c r="T65" s="1555"/>
      <c r="U65" s="1550" t="s">
        <v>122</v>
      </c>
      <c r="V65" s="1550"/>
      <c r="W65" s="1550"/>
      <c r="X65" s="1550"/>
      <c r="Y65" s="1550" t="s">
        <v>194</v>
      </c>
      <c r="Z65" s="1550"/>
      <c r="AA65" s="1550"/>
      <c r="AB65" s="1550"/>
    </row>
    <row r="66" spans="1:30" ht="20.100000000000001" customHeight="1" x14ac:dyDescent="0.25">
      <c r="A66" s="18"/>
      <c r="B66" s="18"/>
      <c r="C66" s="18"/>
      <c r="D66" s="1"/>
      <c r="E66" s="314"/>
      <c r="F66" s="1575"/>
      <c r="G66" s="1383"/>
      <c r="H66" s="1576"/>
      <c r="I66" s="1012"/>
      <c r="J66" s="1012"/>
      <c r="K66" s="1012"/>
      <c r="L66" s="1012"/>
      <c r="M66" s="1551" t="str">
        <f ca="1">Calculos!$DL$30</f>
        <v>-</v>
      </c>
      <c r="N66" s="1551"/>
      <c r="O66" s="1551" t="str">
        <f ca="1">Calculos!$DM$30</f>
        <v>-</v>
      </c>
      <c r="P66" s="1551"/>
      <c r="Q66" s="1551" t="str">
        <f ca="1">Calculos!$DL$30</f>
        <v>-</v>
      </c>
      <c r="R66" s="1551"/>
      <c r="S66" s="1551" t="str">
        <f ca="1">Calculos!$DM$30</f>
        <v>-</v>
      </c>
      <c r="T66" s="1551"/>
      <c r="U66" s="1551" t="str">
        <f ca="1">Calculos!$DL$30</f>
        <v>-</v>
      </c>
      <c r="V66" s="1551"/>
      <c r="W66" s="1551" t="str">
        <f ca="1">Calculos!$DM$30</f>
        <v>-</v>
      </c>
      <c r="X66" s="1551"/>
      <c r="Y66" s="1551" t="str">
        <f ca="1">Calculos!$DL$30</f>
        <v>-</v>
      </c>
      <c r="Z66" s="1551"/>
      <c r="AA66" s="1551" t="str">
        <f ca="1">Calculos!$DM$30</f>
        <v>-</v>
      </c>
      <c r="AB66" s="1551"/>
    </row>
    <row r="67" spans="1:30" ht="20.100000000000001" customHeight="1" x14ac:dyDescent="0.25">
      <c r="A67" s="18"/>
      <c r="B67" s="18"/>
      <c r="C67" s="18"/>
      <c r="D67" s="1"/>
      <c r="E67" s="314"/>
      <c r="F67" s="1575"/>
      <c r="G67" s="1383"/>
      <c r="H67" s="1576"/>
      <c r="I67" s="1569" t="s">
        <v>152</v>
      </c>
      <c r="J67" s="1569"/>
      <c r="K67" s="1569"/>
      <c r="L67" s="1569"/>
      <c r="M67" s="1556"/>
      <c r="N67" s="1556"/>
      <c r="O67" s="1556"/>
      <c r="P67" s="1556"/>
      <c r="Q67" s="1552"/>
      <c r="R67" s="1553"/>
      <c r="S67" s="1552"/>
      <c r="T67" s="1553"/>
      <c r="U67" s="1559"/>
      <c r="V67" s="1559"/>
      <c r="W67" s="1559"/>
      <c r="X67" s="1559"/>
      <c r="Y67" s="1549" t="str">
        <f ca="1">Calculos!DD61</f>
        <v/>
      </c>
      <c r="Z67" s="1549"/>
      <c r="AA67" s="1549" t="str">
        <f ca="1">Calculos!DE61</f>
        <v/>
      </c>
      <c r="AB67" s="1549"/>
    </row>
    <row r="68" spans="1:30" ht="20.100000000000001" customHeight="1" x14ac:dyDescent="0.25">
      <c r="A68" s="18"/>
      <c r="B68" s="18"/>
      <c r="C68" s="18"/>
      <c r="D68" s="1"/>
      <c r="E68" s="314"/>
      <c r="F68" s="1575"/>
      <c r="G68" s="1383"/>
      <c r="H68" s="1576"/>
      <c r="I68" s="1569" t="s">
        <v>153</v>
      </c>
      <c r="J68" s="1569"/>
      <c r="K68" s="1569"/>
      <c r="L68" s="1569"/>
      <c r="M68" s="1556"/>
      <c r="N68" s="1556"/>
      <c r="O68" s="1556"/>
      <c r="P68" s="1556"/>
      <c r="Q68" s="1552"/>
      <c r="R68" s="1553"/>
      <c r="S68" s="1552"/>
      <c r="T68" s="1553"/>
      <c r="U68" s="1559"/>
      <c r="V68" s="1559"/>
      <c r="W68" s="1559"/>
      <c r="X68" s="1559"/>
      <c r="Y68" s="1549" t="str">
        <f ca="1">Calculos!DD62</f>
        <v/>
      </c>
      <c r="Z68" s="1549"/>
      <c r="AA68" s="1549" t="str">
        <f ca="1">Calculos!DE62</f>
        <v/>
      </c>
      <c r="AB68" s="1549"/>
    </row>
    <row r="69" spans="1:30" ht="20.100000000000001" customHeight="1" x14ac:dyDescent="0.25">
      <c r="A69" s="18"/>
      <c r="B69" s="18"/>
      <c r="C69" s="18"/>
      <c r="D69" s="1"/>
      <c r="E69" s="314"/>
      <c r="F69" s="1575"/>
      <c r="G69" s="1383"/>
      <c r="H69" s="1576"/>
      <c r="I69" s="1569" t="s">
        <v>154</v>
      </c>
      <c r="J69" s="1569"/>
      <c r="K69" s="1569"/>
      <c r="L69" s="1569"/>
      <c r="M69" s="1556"/>
      <c r="N69" s="1556"/>
      <c r="O69" s="1556"/>
      <c r="P69" s="1556"/>
      <c r="Q69" s="1552"/>
      <c r="R69" s="1553"/>
      <c r="S69" s="1552"/>
      <c r="T69" s="1553"/>
      <c r="U69" s="1559"/>
      <c r="V69" s="1559"/>
      <c r="W69" s="1559"/>
      <c r="X69" s="1559"/>
      <c r="Y69" s="1549" t="str">
        <f ca="1">Calculos!DD63</f>
        <v/>
      </c>
      <c r="Z69" s="1549"/>
      <c r="AA69" s="1549" t="str">
        <f ca="1">Calculos!DE63</f>
        <v/>
      </c>
      <c r="AB69" s="1549"/>
    </row>
    <row r="70" spans="1:30" ht="20.100000000000001" customHeight="1" x14ac:dyDescent="0.25">
      <c r="A70" s="18"/>
      <c r="B70" s="18"/>
      <c r="C70" s="18"/>
      <c r="D70" s="1"/>
      <c r="E70" s="314"/>
      <c r="F70" s="1575"/>
      <c r="G70" s="1383"/>
      <c r="H70" s="1576"/>
      <c r="I70" s="1569" t="s">
        <v>155</v>
      </c>
      <c r="J70" s="1569"/>
      <c r="K70" s="1569"/>
      <c r="L70" s="1569"/>
      <c r="M70" s="1556"/>
      <c r="N70" s="1556"/>
      <c r="O70" s="1556"/>
      <c r="P70" s="1556"/>
      <c r="Q70" s="1552"/>
      <c r="R70" s="1553"/>
      <c r="S70" s="1552"/>
      <c r="T70" s="1553"/>
      <c r="U70" s="1559"/>
      <c r="V70" s="1559"/>
      <c r="W70" s="1559"/>
      <c r="X70" s="1559"/>
      <c r="Y70" s="1549" t="str">
        <f ca="1">Calculos!DD64</f>
        <v/>
      </c>
      <c r="Z70" s="1549"/>
      <c r="AA70" s="1549" t="str">
        <f ca="1">Calculos!DE64</f>
        <v/>
      </c>
      <c r="AB70" s="1549"/>
    </row>
    <row r="71" spans="1:30" ht="20.100000000000001" customHeight="1" x14ac:dyDescent="0.25">
      <c r="A71" s="18"/>
      <c r="B71" s="18"/>
      <c r="C71" s="18"/>
      <c r="D71" s="1"/>
      <c r="E71" s="314"/>
      <c r="F71" s="1575"/>
      <c r="G71" s="1383"/>
      <c r="H71" s="1576"/>
      <c r="I71" s="1569" t="s">
        <v>156</v>
      </c>
      <c r="J71" s="1569"/>
      <c r="K71" s="1569"/>
      <c r="L71" s="1569"/>
      <c r="M71" s="1556"/>
      <c r="N71" s="1556"/>
      <c r="O71" s="1556"/>
      <c r="P71" s="1556"/>
      <c r="Q71" s="1552"/>
      <c r="R71" s="1553"/>
      <c r="S71" s="1552"/>
      <c r="T71" s="1553"/>
      <c r="U71" s="1559"/>
      <c r="V71" s="1559"/>
      <c r="W71" s="1559"/>
      <c r="X71" s="1559"/>
      <c r="Y71" s="1549" t="str">
        <f ca="1">Calculos!DD65</f>
        <v/>
      </c>
      <c r="Z71" s="1549"/>
      <c r="AA71" s="1549" t="str">
        <f ca="1">Calculos!DE65</f>
        <v/>
      </c>
      <c r="AB71" s="1549"/>
    </row>
    <row r="72" spans="1:30" ht="20.100000000000001" customHeight="1" x14ac:dyDescent="0.25">
      <c r="A72" s="18"/>
      <c r="B72" s="18"/>
      <c r="C72" s="18"/>
      <c r="D72" s="1"/>
      <c r="E72" s="314"/>
      <c r="F72" s="1575"/>
      <c r="G72" s="1383"/>
      <c r="H72" s="1576"/>
      <c r="I72" s="1569" t="s">
        <v>157</v>
      </c>
      <c r="J72" s="1569"/>
      <c r="K72" s="1569"/>
      <c r="L72" s="1569"/>
      <c r="M72" s="1556"/>
      <c r="N72" s="1556"/>
      <c r="O72" s="1556"/>
      <c r="P72" s="1556"/>
      <c r="Q72" s="1552"/>
      <c r="R72" s="1553"/>
      <c r="S72" s="1552"/>
      <c r="T72" s="1553"/>
      <c r="U72" s="1559"/>
      <c r="V72" s="1559"/>
      <c r="W72" s="1559"/>
      <c r="X72" s="1559"/>
      <c r="Y72" s="1549" t="str">
        <f ca="1">Calculos!DD66</f>
        <v/>
      </c>
      <c r="Z72" s="1549"/>
      <c r="AA72" s="1549" t="str">
        <f ca="1">Calculos!DE66</f>
        <v/>
      </c>
      <c r="AB72" s="1549"/>
    </row>
    <row r="73" spans="1:30" ht="20.100000000000001" customHeight="1" x14ac:dyDescent="0.25">
      <c r="A73" s="18"/>
      <c r="B73" s="18"/>
      <c r="C73" s="18"/>
      <c r="D73" s="1"/>
      <c r="E73" s="314"/>
      <c r="F73" s="1575"/>
      <c r="G73" s="1383"/>
      <c r="H73" s="1576"/>
      <c r="I73" s="1569" t="s">
        <v>158</v>
      </c>
      <c r="J73" s="1569"/>
      <c r="K73" s="1569"/>
      <c r="L73" s="1569"/>
      <c r="M73" s="1556"/>
      <c r="N73" s="1556"/>
      <c r="O73" s="1556"/>
      <c r="P73" s="1556"/>
      <c r="Q73" s="1552"/>
      <c r="R73" s="1553"/>
      <c r="S73" s="1552"/>
      <c r="T73" s="1553"/>
      <c r="U73" s="1559"/>
      <c r="V73" s="1559"/>
      <c r="W73" s="1559"/>
      <c r="X73" s="1559"/>
      <c r="Y73" s="1549" t="str">
        <f ca="1">Calculos!DD67</f>
        <v/>
      </c>
      <c r="Z73" s="1549"/>
      <c r="AA73" s="1549" t="str">
        <f ca="1">Calculos!DE67</f>
        <v/>
      </c>
      <c r="AB73" s="1549"/>
    </row>
    <row r="74" spans="1:30" ht="20.100000000000001" customHeight="1" x14ac:dyDescent="0.25">
      <c r="A74" s="18"/>
      <c r="B74" s="18"/>
      <c r="C74" s="18"/>
      <c r="D74" s="1"/>
      <c r="E74" s="314"/>
      <c r="F74" s="1575"/>
      <c r="G74" s="1383"/>
      <c r="H74" s="1576"/>
      <c r="I74" s="1569" t="s">
        <v>159</v>
      </c>
      <c r="J74" s="1569"/>
      <c r="K74" s="1569"/>
      <c r="L74" s="1569"/>
      <c r="M74" s="1556"/>
      <c r="N74" s="1556"/>
      <c r="O74" s="1556"/>
      <c r="P74" s="1556"/>
      <c r="Q74" s="1552"/>
      <c r="R74" s="1553"/>
      <c r="S74" s="1552"/>
      <c r="T74" s="1553"/>
      <c r="U74" s="1559"/>
      <c r="V74" s="1559"/>
      <c r="W74" s="1559"/>
      <c r="X74" s="1559"/>
      <c r="Y74" s="1549" t="str">
        <f ca="1">Calculos!DD68</f>
        <v/>
      </c>
      <c r="Z74" s="1549"/>
      <c r="AA74" s="1549" t="str">
        <f ca="1">Calculos!DE68</f>
        <v/>
      </c>
      <c r="AB74" s="1549"/>
    </row>
    <row r="75" spans="1:30" ht="20.100000000000001" customHeight="1" x14ac:dyDescent="0.25">
      <c r="A75" s="18"/>
      <c r="B75" s="18"/>
      <c r="C75" s="18"/>
      <c r="D75" s="1"/>
      <c r="E75" s="314"/>
      <c r="F75" s="1575"/>
      <c r="G75" s="1383"/>
      <c r="H75" s="1576"/>
      <c r="I75" s="1569" t="s">
        <v>160</v>
      </c>
      <c r="J75" s="1569"/>
      <c r="K75" s="1569"/>
      <c r="L75" s="1569"/>
      <c r="M75" s="1556"/>
      <c r="N75" s="1556"/>
      <c r="O75" s="1556"/>
      <c r="P75" s="1556"/>
      <c r="Q75" s="1552"/>
      <c r="R75" s="1553"/>
      <c r="S75" s="1552"/>
      <c r="T75" s="1553"/>
      <c r="U75" s="1559"/>
      <c r="V75" s="1559"/>
      <c r="W75" s="1559"/>
      <c r="X75" s="1559"/>
      <c r="Y75" s="1549" t="str">
        <f ca="1">Calculos!DD69</f>
        <v/>
      </c>
      <c r="Z75" s="1549"/>
      <c r="AA75" s="1549" t="str">
        <f ca="1">Calculos!DE69</f>
        <v/>
      </c>
      <c r="AB75" s="1549"/>
    </row>
    <row r="76" spans="1:30" ht="20.100000000000001" customHeight="1" x14ac:dyDescent="0.25">
      <c r="A76" s="18"/>
      <c r="B76" s="18"/>
      <c r="C76" s="18"/>
      <c r="D76" s="1"/>
      <c r="E76" s="314"/>
      <c r="F76" s="1577"/>
      <c r="G76" s="1578"/>
      <c r="H76" s="1579"/>
      <c r="I76" s="1569" t="s">
        <v>161</v>
      </c>
      <c r="J76" s="1569"/>
      <c r="K76" s="1569"/>
      <c r="L76" s="1569"/>
      <c r="M76" s="1556"/>
      <c r="N76" s="1556"/>
      <c r="O76" s="1556"/>
      <c r="P76" s="1556"/>
      <c r="Q76" s="1552"/>
      <c r="R76" s="1553"/>
      <c r="S76" s="1552"/>
      <c r="T76" s="1553"/>
      <c r="U76" s="1559"/>
      <c r="V76" s="1559"/>
      <c r="W76" s="1559"/>
      <c r="X76" s="1559"/>
      <c r="Y76" s="1549" t="str">
        <f ca="1">Calculos!DD70</f>
        <v/>
      </c>
      <c r="Z76" s="1549"/>
      <c r="AA76" s="1549" t="str">
        <f ca="1">Calculos!DE70</f>
        <v/>
      </c>
      <c r="AB76" s="1549"/>
    </row>
    <row r="77" spans="1:30" ht="20.100000000000001" customHeight="1" x14ac:dyDescent="0.25">
      <c r="A77" s="18"/>
      <c r="B77" s="18"/>
      <c r="C77" s="18"/>
      <c r="D77" s="1"/>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20.100000000000001" customHeight="1" x14ac:dyDescent="0.25">
      <c r="A78" s="18"/>
      <c r="B78" s="18"/>
      <c r="C78" s="18"/>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20.100000000000001" customHeight="1" x14ac:dyDescent="0.25">
      <c r="A79" s="18"/>
      <c r="B79" s="18"/>
      <c r="C79" s="18"/>
      <c r="D79" s="1"/>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20.100000000000001" customHeight="1" x14ac:dyDescent="0.25">
      <c r="A80" s="18"/>
      <c r="B80" s="18"/>
      <c r="C80" s="18"/>
      <c r="D80" s="1"/>
      <c r="E80" s="314"/>
      <c r="F80" s="1572" t="s">
        <v>6013</v>
      </c>
      <c r="G80" s="1573"/>
      <c r="H80" s="1574"/>
      <c r="I80" s="1538" t="s">
        <v>225</v>
      </c>
      <c r="J80" s="1538"/>
      <c r="K80" s="1538"/>
      <c r="L80" s="1538"/>
      <c r="M80" s="1512" t="s">
        <v>36</v>
      </c>
      <c r="N80" s="1512"/>
      <c r="O80" s="1557"/>
      <c r="P80" s="1557"/>
      <c r="Q80" s="1557"/>
      <c r="R80" s="1557"/>
      <c r="S80" s="1286" t="s">
        <v>5761</v>
      </c>
      <c r="T80" s="1286"/>
      <c r="U80" s="1580"/>
      <c r="V80" s="1580"/>
      <c r="W80" s="314"/>
      <c r="X80" s="314"/>
      <c r="Y80" s="314"/>
      <c r="Z80" s="2"/>
      <c r="AA80" s="2"/>
      <c r="AB80" s="2"/>
      <c r="AC80" s="2"/>
      <c r="AD80" s="2"/>
    </row>
    <row r="81" spans="1:30" ht="20.100000000000001" customHeight="1" x14ac:dyDescent="0.25">
      <c r="A81" s="18"/>
      <c r="B81" s="18"/>
      <c r="C81" s="18"/>
      <c r="D81" s="1"/>
      <c r="E81" s="314"/>
      <c r="F81" s="1575"/>
      <c r="G81" s="1383"/>
      <c r="H81" s="1576"/>
      <c r="I81" s="1538"/>
      <c r="J81" s="1538"/>
      <c r="K81" s="1538"/>
      <c r="L81" s="1538"/>
      <c r="M81" s="1512" t="s">
        <v>37</v>
      </c>
      <c r="N81" s="1512"/>
      <c r="O81" s="1557"/>
      <c r="P81" s="1557"/>
      <c r="Q81" s="1557"/>
      <c r="R81" s="1557"/>
      <c r="S81" s="1286"/>
      <c r="T81" s="1286"/>
      <c r="U81" s="1580"/>
      <c r="V81" s="1580"/>
      <c r="W81" s="314"/>
      <c r="X81" s="314"/>
      <c r="Y81" s="314"/>
      <c r="Z81" s="2"/>
      <c r="AA81" s="2"/>
      <c r="AB81" s="2"/>
      <c r="AC81" s="2"/>
      <c r="AD81" s="2"/>
    </row>
    <row r="82" spans="1:30" s="372" customFormat="1" ht="39.950000000000003" customHeight="1" x14ac:dyDescent="0.25">
      <c r="A82" s="371"/>
      <c r="B82" s="371"/>
      <c r="C82" s="371"/>
      <c r="D82" s="1"/>
      <c r="E82" s="315"/>
      <c r="F82" s="1575"/>
      <c r="G82" s="1383"/>
      <c r="H82" s="1576"/>
      <c r="I82" s="1012" t="s">
        <v>6009</v>
      </c>
      <c r="J82" s="1012"/>
      <c r="K82" s="1012"/>
      <c r="L82" s="1012"/>
      <c r="M82" s="1554" t="s">
        <v>263</v>
      </c>
      <c r="N82" s="1554"/>
      <c r="O82" s="1554"/>
      <c r="P82" s="1554"/>
      <c r="Q82" s="1555" t="s">
        <v>8116</v>
      </c>
      <c r="R82" s="1555"/>
      <c r="S82" s="1555"/>
      <c r="T82" s="1555"/>
      <c r="U82" s="1550" t="s">
        <v>122</v>
      </c>
      <c r="V82" s="1550"/>
      <c r="W82" s="1550"/>
      <c r="X82" s="1550"/>
      <c r="Y82" s="1550" t="s">
        <v>194</v>
      </c>
      <c r="Z82" s="1550"/>
      <c r="AA82" s="1550"/>
      <c r="AB82" s="1550"/>
    </row>
    <row r="83" spans="1:30" ht="20.100000000000001" customHeight="1" x14ac:dyDescent="0.25">
      <c r="A83" s="18"/>
      <c r="B83" s="18"/>
      <c r="C83" s="18"/>
      <c r="D83" s="1"/>
      <c r="E83" s="314"/>
      <c r="F83" s="1575"/>
      <c r="G83" s="1383"/>
      <c r="H83" s="1576"/>
      <c r="I83" s="1012"/>
      <c r="J83" s="1012"/>
      <c r="K83" s="1012"/>
      <c r="L83" s="1012"/>
      <c r="M83" s="1551" t="str">
        <f ca="1">Calculos!$DL$30</f>
        <v>-</v>
      </c>
      <c r="N83" s="1551"/>
      <c r="O83" s="1551" t="str">
        <f ca="1">Calculos!$DM$30</f>
        <v>-</v>
      </c>
      <c r="P83" s="1551"/>
      <c r="Q83" s="1551" t="str">
        <f ca="1">Calculos!$DL$30</f>
        <v>-</v>
      </c>
      <c r="R83" s="1551"/>
      <c r="S83" s="1551" t="str">
        <f ca="1">Calculos!$DM$30</f>
        <v>-</v>
      </c>
      <c r="T83" s="1551"/>
      <c r="U83" s="1551" t="str">
        <f ca="1">Calculos!$DL$30</f>
        <v>-</v>
      </c>
      <c r="V83" s="1551"/>
      <c r="W83" s="1551" t="str">
        <f ca="1">Calculos!$DM$30</f>
        <v>-</v>
      </c>
      <c r="X83" s="1551"/>
      <c r="Y83" s="1551" t="str">
        <f ca="1">Calculos!$DL$30</f>
        <v>-</v>
      </c>
      <c r="Z83" s="1551"/>
      <c r="AA83" s="1551" t="str">
        <f ca="1">Calculos!$DM$30</f>
        <v>-</v>
      </c>
      <c r="AB83" s="1551"/>
    </row>
    <row r="84" spans="1:30" ht="20.100000000000001" customHeight="1" x14ac:dyDescent="0.25">
      <c r="A84" s="18"/>
      <c r="B84" s="18"/>
      <c r="C84" s="18"/>
      <c r="D84" s="1"/>
      <c r="E84" s="314"/>
      <c r="F84" s="1575"/>
      <c r="G84" s="1383"/>
      <c r="H84" s="1576"/>
      <c r="I84" s="1569" t="s">
        <v>152</v>
      </c>
      <c r="J84" s="1569"/>
      <c r="K84" s="1569"/>
      <c r="L84" s="1569"/>
      <c r="M84" s="1556"/>
      <c r="N84" s="1556"/>
      <c r="O84" s="1556"/>
      <c r="P84" s="1556"/>
      <c r="Q84" s="1552"/>
      <c r="R84" s="1553"/>
      <c r="S84" s="1552"/>
      <c r="T84" s="1553"/>
      <c r="U84" s="1559"/>
      <c r="V84" s="1559"/>
      <c r="W84" s="1559"/>
      <c r="X84" s="1559"/>
      <c r="Y84" s="1549" t="str">
        <f ca="1">Calculos!DD71</f>
        <v/>
      </c>
      <c r="Z84" s="1549"/>
      <c r="AA84" s="1549" t="str">
        <f ca="1">Calculos!DE71</f>
        <v/>
      </c>
      <c r="AB84" s="1549"/>
    </row>
    <row r="85" spans="1:30" ht="20.100000000000001" customHeight="1" x14ac:dyDescent="0.25">
      <c r="A85" s="18"/>
      <c r="B85" s="18"/>
      <c r="C85" s="18"/>
      <c r="D85" s="1"/>
      <c r="E85" s="314"/>
      <c r="F85" s="1575"/>
      <c r="G85" s="1383"/>
      <c r="H85" s="1576"/>
      <c r="I85" s="1569" t="s">
        <v>153</v>
      </c>
      <c r="J85" s="1569"/>
      <c r="K85" s="1569"/>
      <c r="L85" s="1569"/>
      <c r="M85" s="1556"/>
      <c r="N85" s="1556"/>
      <c r="O85" s="1556"/>
      <c r="P85" s="1556"/>
      <c r="Q85" s="1552"/>
      <c r="R85" s="1553"/>
      <c r="S85" s="1552"/>
      <c r="T85" s="1553"/>
      <c r="U85" s="1559"/>
      <c r="V85" s="1559"/>
      <c r="W85" s="1559"/>
      <c r="X85" s="1559"/>
      <c r="Y85" s="1549" t="str">
        <f ca="1">Calculos!DD72</f>
        <v/>
      </c>
      <c r="Z85" s="1549"/>
      <c r="AA85" s="1549" t="str">
        <f ca="1">Calculos!DE72</f>
        <v/>
      </c>
      <c r="AB85" s="1549"/>
    </row>
    <row r="86" spans="1:30" ht="20.100000000000001" customHeight="1" x14ac:dyDescent="0.25">
      <c r="A86" s="18"/>
      <c r="B86" s="18"/>
      <c r="C86" s="18"/>
      <c r="D86" s="1"/>
      <c r="E86" s="314"/>
      <c r="F86" s="1575"/>
      <c r="G86" s="1383"/>
      <c r="H86" s="1576"/>
      <c r="I86" s="1569" t="s">
        <v>154</v>
      </c>
      <c r="J86" s="1569"/>
      <c r="K86" s="1569"/>
      <c r="L86" s="1569"/>
      <c r="M86" s="1556"/>
      <c r="N86" s="1556"/>
      <c r="O86" s="1556"/>
      <c r="P86" s="1556"/>
      <c r="Q86" s="1552"/>
      <c r="R86" s="1553"/>
      <c r="S86" s="1552"/>
      <c r="T86" s="1553"/>
      <c r="U86" s="1559"/>
      <c r="V86" s="1559"/>
      <c r="W86" s="1559"/>
      <c r="X86" s="1559"/>
      <c r="Y86" s="1549" t="str">
        <f ca="1">Calculos!DD73</f>
        <v/>
      </c>
      <c r="Z86" s="1549"/>
      <c r="AA86" s="1549" t="str">
        <f ca="1">Calculos!DE73</f>
        <v/>
      </c>
      <c r="AB86" s="1549"/>
    </row>
    <row r="87" spans="1:30" ht="20.100000000000001" customHeight="1" x14ac:dyDescent="0.25">
      <c r="A87" s="18"/>
      <c r="B87" s="18"/>
      <c r="C87" s="18"/>
      <c r="D87" s="1"/>
      <c r="E87" s="314"/>
      <c r="F87" s="1575"/>
      <c r="G87" s="1383"/>
      <c r="H87" s="1576"/>
      <c r="I87" s="1569" t="s">
        <v>155</v>
      </c>
      <c r="J87" s="1569"/>
      <c r="K87" s="1569"/>
      <c r="L87" s="1569"/>
      <c r="M87" s="1556"/>
      <c r="N87" s="1556"/>
      <c r="O87" s="1556"/>
      <c r="P87" s="1556"/>
      <c r="Q87" s="1552"/>
      <c r="R87" s="1553"/>
      <c r="S87" s="1552"/>
      <c r="T87" s="1553"/>
      <c r="U87" s="1559"/>
      <c r="V87" s="1559"/>
      <c r="W87" s="1559"/>
      <c r="X87" s="1559"/>
      <c r="Y87" s="1549" t="str">
        <f ca="1">Calculos!DD74</f>
        <v/>
      </c>
      <c r="Z87" s="1549"/>
      <c r="AA87" s="1549" t="str">
        <f ca="1">Calculos!DE74</f>
        <v/>
      </c>
      <c r="AB87" s="1549"/>
    </row>
    <row r="88" spans="1:30" ht="20.100000000000001" customHeight="1" x14ac:dyDescent="0.25">
      <c r="A88" s="18"/>
      <c r="B88" s="18"/>
      <c r="C88" s="18"/>
      <c r="D88" s="1"/>
      <c r="E88" s="314"/>
      <c r="F88" s="1575"/>
      <c r="G88" s="1383"/>
      <c r="H88" s="1576"/>
      <c r="I88" s="1569" t="s">
        <v>156</v>
      </c>
      <c r="J88" s="1569"/>
      <c r="K88" s="1569"/>
      <c r="L88" s="1569"/>
      <c r="M88" s="1556"/>
      <c r="N88" s="1556"/>
      <c r="O88" s="1556"/>
      <c r="P88" s="1556"/>
      <c r="Q88" s="1552"/>
      <c r="R88" s="1553"/>
      <c r="S88" s="1552"/>
      <c r="T88" s="1553"/>
      <c r="U88" s="1559"/>
      <c r="V88" s="1559"/>
      <c r="W88" s="1559"/>
      <c r="X88" s="1559"/>
      <c r="Y88" s="1549" t="str">
        <f ca="1">Calculos!DD75</f>
        <v/>
      </c>
      <c r="Z88" s="1549"/>
      <c r="AA88" s="1549" t="str">
        <f ca="1">Calculos!DE75</f>
        <v/>
      </c>
      <c r="AB88" s="1549"/>
    </row>
    <row r="89" spans="1:30" ht="20.100000000000001" customHeight="1" x14ac:dyDescent="0.25">
      <c r="A89" s="18"/>
      <c r="B89" s="18"/>
      <c r="C89" s="18"/>
      <c r="D89" s="1"/>
      <c r="E89" s="314"/>
      <c r="F89" s="1575"/>
      <c r="G89" s="1383"/>
      <c r="H89" s="1576"/>
      <c r="I89" s="1569" t="s">
        <v>157</v>
      </c>
      <c r="J89" s="1569"/>
      <c r="K89" s="1569"/>
      <c r="L89" s="1569"/>
      <c r="M89" s="1556"/>
      <c r="N89" s="1556"/>
      <c r="O89" s="1556"/>
      <c r="P89" s="1556"/>
      <c r="Q89" s="1552"/>
      <c r="R89" s="1553"/>
      <c r="S89" s="1552"/>
      <c r="T89" s="1553"/>
      <c r="U89" s="1559"/>
      <c r="V89" s="1559"/>
      <c r="W89" s="1559"/>
      <c r="X89" s="1559"/>
      <c r="Y89" s="1549" t="str">
        <f ca="1">Calculos!DD76</f>
        <v/>
      </c>
      <c r="Z89" s="1549"/>
      <c r="AA89" s="1549" t="str">
        <f ca="1">Calculos!DE76</f>
        <v/>
      </c>
      <c r="AB89" s="1549"/>
    </row>
    <row r="90" spans="1:30" ht="20.100000000000001" customHeight="1" x14ac:dyDescent="0.25">
      <c r="A90" s="18"/>
      <c r="B90" s="18"/>
      <c r="C90" s="18"/>
      <c r="D90" s="1"/>
      <c r="E90" s="314"/>
      <c r="F90" s="1575"/>
      <c r="G90" s="1383"/>
      <c r="H90" s="1576"/>
      <c r="I90" s="1569" t="s">
        <v>158</v>
      </c>
      <c r="J90" s="1569"/>
      <c r="K90" s="1569"/>
      <c r="L90" s="1569"/>
      <c r="M90" s="1556"/>
      <c r="N90" s="1556"/>
      <c r="O90" s="1556"/>
      <c r="P90" s="1556"/>
      <c r="Q90" s="1552"/>
      <c r="R90" s="1553"/>
      <c r="S90" s="1552"/>
      <c r="T90" s="1553"/>
      <c r="U90" s="1559"/>
      <c r="V90" s="1559"/>
      <c r="W90" s="1559"/>
      <c r="X90" s="1559"/>
      <c r="Y90" s="1549" t="str">
        <f ca="1">Calculos!DD77</f>
        <v/>
      </c>
      <c r="Z90" s="1549"/>
      <c r="AA90" s="1549" t="str">
        <f ca="1">Calculos!DE77</f>
        <v/>
      </c>
      <c r="AB90" s="1549"/>
    </row>
    <row r="91" spans="1:30" ht="20.100000000000001" customHeight="1" x14ac:dyDescent="0.25">
      <c r="A91" s="18"/>
      <c r="B91" s="18"/>
      <c r="C91" s="18"/>
      <c r="D91" s="1"/>
      <c r="E91" s="314"/>
      <c r="F91" s="1575"/>
      <c r="G91" s="1383"/>
      <c r="H91" s="1576"/>
      <c r="I91" s="1569" t="s">
        <v>159</v>
      </c>
      <c r="J91" s="1569"/>
      <c r="K91" s="1569"/>
      <c r="L91" s="1569"/>
      <c r="M91" s="1556"/>
      <c r="N91" s="1556"/>
      <c r="O91" s="1556"/>
      <c r="P91" s="1556"/>
      <c r="Q91" s="1552"/>
      <c r="R91" s="1553"/>
      <c r="S91" s="1552"/>
      <c r="T91" s="1553"/>
      <c r="U91" s="1559"/>
      <c r="V91" s="1559"/>
      <c r="W91" s="1559"/>
      <c r="X91" s="1559"/>
      <c r="Y91" s="1549" t="str">
        <f ca="1">Calculos!DD78</f>
        <v/>
      </c>
      <c r="Z91" s="1549"/>
      <c r="AA91" s="1549" t="str">
        <f ca="1">Calculos!DE78</f>
        <v/>
      </c>
      <c r="AB91" s="1549"/>
    </row>
    <row r="92" spans="1:30" ht="20.100000000000001" customHeight="1" x14ac:dyDescent="0.25">
      <c r="A92" s="18"/>
      <c r="B92" s="18"/>
      <c r="C92" s="18"/>
      <c r="D92" s="1"/>
      <c r="E92" s="314"/>
      <c r="F92" s="1575"/>
      <c r="G92" s="1383"/>
      <c r="H92" s="1576"/>
      <c r="I92" s="1569" t="s">
        <v>160</v>
      </c>
      <c r="J92" s="1569"/>
      <c r="K92" s="1569"/>
      <c r="L92" s="1569"/>
      <c r="M92" s="1556"/>
      <c r="N92" s="1556"/>
      <c r="O92" s="1556"/>
      <c r="P92" s="1556"/>
      <c r="Q92" s="1552"/>
      <c r="R92" s="1553"/>
      <c r="S92" s="1552"/>
      <c r="T92" s="1553"/>
      <c r="U92" s="1559"/>
      <c r="V92" s="1559"/>
      <c r="W92" s="1559"/>
      <c r="X92" s="1559"/>
      <c r="Y92" s="1549" t="str">
        <f ca="1">Calculos!DD79</f>
        <v/>
      </c>
      <c r="Z92" s="1549"/>
      <c r="AA92" s="1549" t="str">
        <f ca="1">Calculos!DE79</f>
        <v/>
      </c>
      <c r="AB92" s="1549"/>
    </row>
    <row r="93" spans="1:30" ht="20.100000000000001" customHeight="1" x14ac:dyDescent="0.25">
      <c r="A93" s="18"/>
      <c r="B93" s="18"/>
      <c r="C93" s="18"/>
      <c r="D93" s="1"/>
      <c r="E93" s="314"/>
      <c r="F93" s="1577"/>
      <c r="G93" s="1578"/>
      <c r="H93" s="1579"/>
      <c r="I93" s="1569" t="s">
        <v>161</v>
      </c>
      <c r="J93" s="1569"/>
      <c r="K93" s="1569"/>
      <c r="L93" s="1569"/>
      <c r="M93" s="1556"/>
      <c r="N93" s="1556"/>
      <c r="O93" s="1556"/>
      <c r="P93" s="1556"/>
      <c r="Q93" s="1552"/>
      <c r="R93" s="1553"/>
      <c r="S93" s="1552"/>
      <c r="T93" s="1553"/>
      <c r="U93" s="1559"/>
      <c r="V93" s="1559"/>
      <c r="W93" s="1559"/>
      <c r="X93" s="1559"/>
      <c r="Y93" s="1549" t="str">
        <f ca="1">Calculos!DD80</f>
        <v/>
      </c>
      <c r="Z93" s="1549"/>
      <c r="AA93" s="1549" t="str">
        <f ca="1">Calculos!DE80</f>
        <v/>
      </c>
      <c r="AB93" s="1549"/>
    </row>
    <row r="94" spans="1:30" ht="20.100000000000001" customHeight="1" x14ac:dyDescent="0.25">
      <c r="A94" s="18"/>
      <c r="B94" s="18"/>
      <c r="C94" s="18"/>
      <c r="D94" s="1"/>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20.100000000000001" customHeight="1" x14ac:dyDescent="0.25">
      <c r="A95" s="18"/>
      <c r="B95" s="18"/>
      <c r="C95" s="18"/>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20.100000000000001" customHeight="1" x14ac:dyDescent="0.25">
      <c r="A96" s="18"/>
      <c r="B96" s="18"/>
      <c r="C96" s="18"/>
      <c r="D96" s="1"/>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20.100000000000001" customHeight="1" x14ac:dyDescent="0.25">
      <c r="A97" s="18"/>
      <c r="B97" s="18"/>
      <c r="C97" s="18"/>
      <c r="D97" s="1"/>
      <c r="E97" s="314"/>
      <c r="F97" s="1572" t="s">
        <v>6014</v>
      </c>
      <c r="G97" s="1573"/>
      <c r="H97" s="1574"/>
      <c r="I97" s="1538" t="s">
        <v>225</v>
      </c>
      <c r="J97" s="1538"/>
      <c r="K97" s="1538"/>
      <c r="L97" s="1538"/>
      <c r="M97" s="1512" t="s">
        <v>36</v>
      </c>
      <c r="N97" s="1512"/>
      <c r="O97" s="1557"/>
      <c r="P97" s="1557"/>
      <c r="Q97" s="1557"/>
      <c r="R97" s="1557"/>
      <c r="S97" s="1286" t="s">
        <v>5761</v>
      </c>
      <c r="T97" s="1286"/>
      <c r="U97" s="1580"/>
      <c r="V97" s="1580"/>
      <c r="W97" s="314"/>
      <c r="X97" s="314"/>
      <c r="Y97" s="314"/>
      <c r="Z97" s="2"/>
      <c r="AA97" s="2"/>
      <c r="AB97" s="2"/>
      <c r="AC97" s="2"/>
      <c r="AD97" s="2"/>
    </row>
    <row r="98" spans="1:30" ht="20.100000000000001" customHeight="1" x14ac:dyDescent="0.25">
      <c r="A98" s="18"/>
      <c r="B98" s="18"/>
      <c r="C98" s="18"/>
      <c r="D98" s="1"/>
      <c r="E98" s="314"/>
      <c r="F98" s="1575"/>
      <c r="G98" s="1383"/>
      <c r="H98" s="1576"/>
      <c r="I98" s="1538"/>
      <c r="J98" s="1538"/>
      <c r="K98" s="1538"/>
      <c r="L98" s="1538"/>
      <c r="M98" s="1512" t="s">
        <v>37</v>
      </c>
      <c r="N98" s="1512"/>
      <c r="O98" s="1557"/>
      <c r="P98" s="1557"/>
      <c r="Q98" s="1557"/>
      <c r="R98" s="1557"/>
      <c r="S98" s="1286"/>
      <c r="T98" s="1286"/>
      <c r="U98" s="1580"/>
      <c r="V98" s="1580"/>
      <c r="W98" s="314"/>
      <c r="X98" s="314"/>
      <c r="Y98" s="314"/>
      <c r="Z98" s="2"/>
      <c r="AA98" s="2"/>
      <c r="AB98" s="2"/>
      <c r="AC98" s="2"/>
      <c r="AD98" s="2"/>
    </row>
    <row r="99" spans="1:30" s="372" customFormat="1" ht="39.950000000000003" customHeight="1" x14ac:dyDescent="0.25">
      <c r="A99" s="371"/>
      <c r="B99" s="371"/>
      <c r="C99" s="371"/>
      <c r="D99" s="1"/>
      <c r="E99" s="315"/>
      <c r="F99" s="1575"/>
      <c r="G99" s="1383"/>
      <c r="H99" s="1576"/>
      <c r="I99" s="1012" t="s">
        <v>6009</v>
      </c>
      <c r="J99" s="1012"/>
      <c r="K99" s="1012"/>
      <c r="L99" s="1012"/>
      <c r="M99" s="1554" t="s">
        <v>263</v>
      </c>
      <c r="N99" s="1554"/>
      <c r="O99" s="1554"/>
      <c r="P99" s="1554"/>
      <c r="Q99" s="1555" t="s">
        <v>8116</v>
      </c>
      <c r="R99" s="1555"/>
      <c r="S99" s="1555"/>
      <c r="T99" s="1555"/>
      <c r="U99" s="1550" t="s">
        <v>122</v>
      </c>
      <c r="V99" s="1550"/>
      <c r="W99" s="1550"/>
      <c r="X99" s="1550"/>
      <c r="Y99" s="1550" t="s">
        <v>194</v>
      </c>
      <c r="Z99" s="1550"/>
      <c r="AA99" s="1550"/>
      <c r="AB99" s="1550"/>
    </row>
    <row r="100" spans="1:30" ht="20.100000000000001" customHeight="1" x14ac:dyDescent="0.25">
      <c r="A100" s="18"/>
      <c r="B100" s="18"/>
      <c r="C100" s="18"/>
      <c r="D100" s="1"/>
      <c r="E100" s="314"/>
      <c r="F100" s="1575"/>
      <c r="G100" s="1383"/>
      <c r="H100" s="1576"/>
      <c r="I100" s="1012"/>
      <c r="J100" s="1012"/>
      <c r="K100" s="1012"/>
      <c r="L100" s="1012"/>
      <c r="M100" s="1551" t="str">
        <f ca="1">Calculos!$DL$30</f>
        <v>-</v>
      </c>
      <c r="N100" s="1551"/>
      <c r="O100" s="1551" t="str">
        <f ca="1">Calculos!$DM$30</f>
        <v>-</v>
      </c>
      <c r="P100" s="1551"/>
      <c r="Q100" s="1551" t="str">
        <f ca="1">Calculos!$DL$30</f>
        <v>-</v>
      </c>
      <c r="R100" s="1551"/>
      <c r="S100" s="1551" t="str">
        <f ca="1">Calculos!$DM$30</f>
        <v>-</v>
      </c>
      <c r="T100" s="1551"/>
      <c r="U100" s="1551" t="str">
        <f ca="1">Calculos!$DL$30</f>
        <v>-</v>
      </c>
      <c r="V100" s="1551"/>
      <c r="W100" s="1551" t="str">
        <f ca="1">Calculos!$DM$30</f>
        <v>-</v>
      </c>
      <c r="X100" s="1551"/>
      <c r="Y100" s="1551" t="str">
        <f ca="1">Calculos!$DL$30</f>
        <v>-</v>
      </c>
      <c r="Z100" s="1551"/>
      <c r="AA100" s="1551" t="str">
        <f ca="1">Calculos!$DM$30</f>
        <v>-</v>
      </c>
      <c r="AB100" s="1551"/>
    </row>
    <row r="101" spans="1:30" ht="20.100000000000001" customHeight="1" x14ac:dyDescent="0.25">
      <c r="A101" s="18"/>
      <c r="B101" s="18"/>
      <c r="C101" s="18"/>
      <c r="D101" s="1"/>
      <c r="E101" s="314"/>
      <c r="F101" s="1575"/>
      <c r="G101" s="1383"/>
      <c r="H101" s="1576"/>
      <c r="I101" s="1569" t="s">
        <v>152</v>
      </c>
      <c r="J101" s="1569"/>
      <c r="K101" s="1569"/>
      <c r="L101" s="1569"/>
      <c r="M101" s="1556"/>
      <c r="N101" s="1556"/>
      <c r="O101" s="1556"/>
      <c r="P101" s="1556"/>
      <c r="Q101" s="1552"/>
      <c r="R101" s="1553"/>
      <c r="S101" s="1552"/>
      <c r="T101" s="1553"/>
      <c r="U101" s="1559"/>
      <c r="V101" s="1559"/>
      <c r="W101" s="1559"/>
      <c r="X101" s="1559"/>
      <c r="Y101" s="1549" t="str">
        <f ca="1">Calculos!DD81</f>
        <v/>
      </c>
      <c r="Z101" s="1549"/>
      <c r="AA101" s="1549" t="str">
        <f ca="1">Calculos!DE81</f>
        <v/>
      </c>
      <c r="AB101" s="1549"/>
    </row>
    <row r="102" spans="1:30" ht="20.100000000000001" customHeight="1" x14ac:dyDescent="0.25">
      <c r="A102" s="18"/>
      <c r="B102" s="18"/>
      <c r="C102" s="18"/>
      <c r="D102" s="1"/>
      <c r="E102" s="314"/>
      <c r="F102" s="1575"/>
      <c r="G102" s="1383"/>
      <c r="H102" s="1576"/>
      <c r="I102" s="1569" t="s">
        <v>153</v>
      </c>
      <c r="J102" s="1569"/>
      <c r="K102" s="1569"/>
      <c r="L102" s="1569"/>
      <c r="M102" s="1556"/>
      <c r="N102" s="1556"/>
      <c r="O102" s="1556"/>
      <c r="P102" s="1556"/>
      <c r="Q102" s="1552"/>
      <c r="R102" s="1553"/>
      <c r="S102" s="1552"/>
      <c r="T102" s="1553"/>
      <c r="U102" s="1559"/>
      <c r="V102" s="1559"/>
      <c r="W102" s="1559"/>
      <c r="X102" s="1559"/>
      <c r="Y102" s="1549" t="str">
        <f ca="1">Calculos!DD82</f>
        <v/>
      </c>
      <c r="Z102" s="1549"/>
      <c r="AA102" s="1549" t="str">
        <f ca="1">Calculos!DE82</f>
        <v/>
      </c>
      <c r="AB102" s="1549"/>
    </row>
    <row r="103" spans="1:30" ht="20.100000000000001" customHeight="1" x14ac:dyDescent="0.25">
      <c r="A103" s="18"/>
      <c r="B103" s="18"/>
      <c r="C103" s="18"/>
      <c r="D103" s="1"/>
      <c r="E103" s="314"/>
      <c r="F103" s="1575"/>
      <c r="G103" s="1383"/>
      <c r="H103" s="1576"/>
      <c r="I103" s="1569" t="s">
        <v>154</v>
      </c>
      <c r="J103" s="1569"/>
      <c r="K103" s="1569"/>
      <c r="L103" s="1569"/>
      <c r="M103" s="1556"/>
      <c r="N103" s="1556"/>
      <c r="O103" s="1556"/>
      <c r="P103" s="1556"/>
      <c r="Q103" s="1552"/>
      <c r="R103" s="1553"/>
      <c r="S103" s="1552"/>
      <c r="T103" s="1553"/>
      <c r="U103" s="1559"/>
      <c r="V103" s="1559"/>
      <c r="W103" s="1559"/>
      <c r="X103" s="1559"/>
      <c r="Y103" s="1549" t="str">
        <f ca="1">Calculos!DD83</f>
        <v/>
      </c>
      <c r="Z103" s="1549"/>
      <c r="AA103" s="1549" t="str">
        <f ca="1">Calculos!DE83</f>
        <v/>
      </c>
      <c r="AB103" s="1549"/>
    </row>
    <row r="104" spans="1:30" ht="20.100000000000001" customHeight="1" x14ac:dyDescent="0.25">
      <c r="A104" s="18"/>
      <c r="B104" s="18"/>
      <c r="C104" s="18"/>
      <c r="D104" s="1"/>
      <c r="E104" s="314"/>
      <c r="F104" s="1575"/>
      <c r="G104" s="1383"/>
      <c r="H104" s="1576"/>
      <c r="I104" s="1569" t="s">
        <v>155</v>
      </c>
      <c r="J104" s="1569"/>
      <c r="K104" s="1569"/>
      <c r="L104" s="1569"/>
      <c r="M104" s="1556"/>
      <c r="N104" s="1556"/>
      <c r="O104" s="1556"/>
      <c r="P104" s="1556"/>
      <c r="Q104" s="1552"/>
      <c r="R104" s="1553"/>
      <c r="S104" s="1552"/>
      <c r="T104" s="1553"/>
      <c r="U104" s="1559"/>
      <c r="V104" s="1559"/>
      <c r="W104" s="1559"/>
      <c r="X104" s="1559"/>
      <c r="Y104" s="1549" t="str">
        <f ca="1">Calculos!DD84</f>
        <v/>
      </c>
      <c r="Z104" s="1549"/>
      <c r="AA104" s="1549" t="str">
        <f ca="1">Calculos!DE84</f>
        <v/>
      </c>
      <c r="AB104" s="1549"/>
    </row>
    <row r="105" spans="1:30" ht="20.100000000000001" customHeight="1" x14ac:dyDescent="0.25">
      <c r="A105" s="18"/>
      <c r="B105" s="18"/>
      <c r="C105" s="18"/>
      <c r="D105" s="1"/>
      <c r="E105" s="314"/>
      <c r="F105" s="1575"/>
      <c r="G105" s="1383"/>
      <c r="H105" s="1576"/>
      <c r="I105" s="1569" t="s">
        <v>156</v>
      </c>
      <c r="J105" s="1569"/>
      <c r="K105" s="1569"/>
      <c r="L105" s="1569"/>
      <c r="M105" s="1556"/>
      <c r="N105" s="1556"/>
      <c r="O105" s="1556"/>
      <c r="P105" s="1556"/>
      <c r="Q105" s="1552"/>
      <c r="R105" s="1553"/>
      <c r="S105" s="1552"/>
      <c r="T105" s="1553"/>
      <c r="U105" s="1559"/>
      <c r="V105" s="1559"/>
      <c r="W105" s="1559"/>
      <c r="X105" s="1559"/>
      <c r="Y105" s="1549" t="str">
        <f ca="1">Calculos!DD85</f>
        <v/>
      </c>
      <c r="Z105" s="1549"/>
      <c r="AA105" s="1549" t="str">
        <f ca="1">Calculos!DE85</f>
        <v/>
      </c>
      <c r="AB105" s="1549"/>
    </row>
    <row r="106" spans="1:30" ht="20.100000000000001" customHeight="1" x14ac:dyDescent="0.25">
      <c r="A106" s="18"/>
      <c r="B106" s="18"/>
      <c r="C106" s="18"/>
      <c r="D106" s="1"/>
      <c r="E106" s="314"/>
      <c r="F106" s="1575"/>
      <c r="G106" s="1383"/>
      <c r="H106" s="1576"/>
      <c r="I106" s="1569" t="s">
        <v>157</v>
      </c>
      <c r="J106" s="1569"/>
      <c r="K106" s="1569"/>
      <c r="L106" s="1569"/>
      <c r="M106" s="1556"/>
      <c r="N106" s="1556"/>
      <c r="O106" s="1556"/>
      <c r="P106" s="1556"/>
      <c r="Q106" s="1552"/>
      <c r="R106" s="1553"/>
      <c r="S106" s="1552"/>
      <c r="T106" s="1553"/>
      <c r="U106" s="1559"/>
      <c r="V106" s="1559"/>
      <c r="W106" s="1559"/>
      <c r="X106" s="1559"/>
      <c r="Y106" s="1549" t="str">
        <f ca="1">Calculos!DD86</f>
        <v/>
      </c>
      <c r="Z106" s="1549"/>
      <c r="AA106" s="1549" t="str">
        <f ca="1">Calculos!DE86</f>
        <v/>
      </c>
      <c r="AB106" s="1549"/>
    </row>
    <row r="107" spans="1:30" ht="20.100000000000001" customHeight="1" x14ac:dyDescent="0.25">
      <c r="A107" s="18"/>
      <c r="B107" s="18"/>
      <c r="C107" s="18"/>
      <c r="D107" s="1"/>
      <c r="E107" s="314"/>
      <c r="F107" s="1575"/>
      <c r="G107" s="1383"/>
      <c r="H107" s="1576"/>
      <c r="I107" s="1569" t="s">
        <v>158</v>
      </c>
      <c r="J107" s="1569"/>
      <c r="K107" s="1569"/>
      <c r="L107" s="1569"/>
      <c r="M107" s="1556"/>
      <c r="N107" s="1556"/>
      <c r="O107" s="1556"/>
      <c r="P107" s="1556"/>
      <c r="Q107" s="1552"/>
      <c r="R107" s="1553"/>
      <c r="S107" s="1552"/>
      <c r="T107" s="1553"/>
      <c r="U107" s="1559"/>
      <c r="V107" s="1559"/>
      <c r="W107" s="1559"/>
      <c r="X107" s="1559"/>
      <c r="Y107" s="1549" t="str">
        <f ca="1">Calculos!DD87</f>
        <v/>
      </c>
      <c r="Z107" s="1549"/>
      <c r="AA107" s="1549" t="str">
        <f ca="1">Calculos!DE87</f>
        <v/>
      </c>
      <c r="AB107" s="1549"/>
    </row>
    <row r="108" spans="1:30" ht="20.100000000000001" customHeight="1" x14ac:dyDescent="0.25">
      <c r="A108" s="18"/>
      <c r="B108" s="18"/>
      <c r="C108" s="18"/>
      <c r="D108" s="1"/>
      <c r="E108" s="314"/>
      <c r="F108" s="1575"/>
      <c r="G108" s="1383"/>
      <c r="H108" s="1576"/>
      <c r="I108" s="1569" t="s">
        <v>159</v>
      </c>
      <c r="J108" s="1569"/>
      <c r="K108" s="1569"/>
      <c r="L108" s="1569"/>
      <c r="M108" s="1556"/>
      <c r="N108" s="1556"/>
      <c r="O108" s="1556"/>
      <c r="P108" s="1556"/>
      <c r="Q108" s="1552"/>
      <c r="R108" s="1553"/>
      <c r="S108" s="1552"/>
      <c r="T108" s="1553"/>
      <c r="U108" s="1559"/>
      <c r="V108" s="1559"/>
      <c r="W108" s="1559"/>
      <c r="X108" s="1559"/>
      <c r="Y108" s="1549" t="str">
        <f ca="1">Calculos!DD88</f>
        <v/>
      </c>
      <c r="Z108" s="1549"/>
      <c r="AA108" s="1549" t="str">
        <f ca="1">Calculos!DE88</f>
        <v/>
      </c>
      <c r="AB108" s="1549"/>
    </row>
    <row r="109" spans="1:30" ht="20.100000000000001" customHeight="1" x14ac:dyDescent="0.25">
      <c r="A109" s="18"/>
      <c r="B109" s="18"/>
      <c r="C109" s="18"/>
      <c r="D109" s="1"/>
      <c r="E109" s="314"/>
      <c r="F109" s="1575"/>
      <c r="G109" s="1383"/>
      <c r="H109" s="1576"/>
      <c r="I109" s="1569" t="s">
        <v>160</v>
      </c>
      <c r="J109" s="1569"/>
      <c r="K109" s="1569"/>
      <c r="L109" s="1569"/>
      <c r="M109" s="1556"/>
      <c r="N109" s="1556"/>
      <c r="O109" s="1556"/>
      <c r="P109" s="1556"/>
      <c r="Q109" s="1552"/>
      <c r="R109" s="1553"/>
      <c r="S109" s="1552"/>
      <c r="T109" s="1553"/>
      <c r="U109" s="1559"/>
      <c r="V109" s="1559"/>
      <c r="W109" s="1559"/>
      <c r="X109" s="1559"/>
      <c r="Y109" s="1549" t="str">
        <f ca="1">Calculos!DD89</f>
        <v/>
      </c>
      <c r="Z109" s="1549"/>
      <c r="AA109" s="1549" t="str">
        <f ca="1">Calculos!DE89</f>
        <v/>
      </c>
      <c r="AB109" s="1549"/>
    </row>
    <row r="110" spans="1:30" ht="20.100000000000001" customHeight="1" x14ac:dyDescent="0.25">
      <c r="A110" s="18"/>
      <c r="B110" s="18"/>
      <c r="C110" s="18"/>
      <c r="D110" s="1"/>
      <c r="E110" s="314"/>
      <c r="F110" s="1577"/>
      <c r="G110" s="1578"/>
      <c r="H110" s="1579"/>
      <c r="I110" s="1569" t="s">
        <v>161</v>
      </c>
      <c r="J110" s="1569"/>
      <c r="K110" s="1569"/>
      <c r="L110" s="1569"/>
      <c r="M110" s="1556"/>
      <c r="N110" s="1556"/>
      <c r="O110" s="1556"/>
      <c r="P110" s="1556"/>
      <c r="Q110" s="1552"/>
      <c r="R110" s="1553"/>
      <c r="S110" s="1552"/>
      <c r="T110" s="1553"/>
      <c r="U110" s="1559"/>
      <c r="V110" s="1559"/>
      <c r="W110" s="1559"/>
      <c r="X110" s="1559"/>
      <c r="Y110" s="1549" t="str">
        <f ca="1">Calculos!DD90</f>
        <v/>
      </c>
      <c r="Z110" s="1549"/>
      <c r="AA110" s="1549" t="str">
        <f ca="1">Calculos!DE90</f>
        <v/>
      </c>
      <c r="AB110" s="1549"/>
    </row>
    <row r="111" spans="1:30" ht="20.100000000000001" customHeight="1" x14ac:dyDescent="0.25">
      <c r="A111" s="18"/>
      <c r="B111" s="18"/>
      <c r="C111" s="18"/>
      <c r="D111" s="1"/>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20.100000000000001" customHeight="1" x14ac:dyDescent="0.25">
      <c r="A112" s="18"/>
      <c r="B112" s="18"/>
      <c r="C112" s="18"/>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20.100000000000001" customHeight="1" x14ac:dyDescent="0.25">
      <c r="A113" s="18"/>
      <c r="B113" s="18"/>
      <c r="C113" s="18"/>
      <c r="D113" s="1"/>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20.100000000000001" customHeight="1" x14ac:dyDescent="0.25">
      <c r="A114" s="18"/>
      <c r="B114" s="18"/>
      <c r="C114" s="18"/>
      <c r="D114" s="1"/>
      <c r="E114" s="314"/>
      <c r="F114" s="1572" t="s">
        <v>6015</v>
      </c>
      <c r="G114" s="1573"/>
      <c r="H114" s="1574"/>
      <c r="I114" s="1538" t="s">
        <v>225</v>
      </c>
      <c r="J114" s="1538"/>
      <c r="K114" s="1538"/>
      <c r="L114" s="1538"/>
      <c r="M114" s="1512" t="s">
        <v>36</v>
      </c>
      <c r="N114" s="1512"/>
      <c r="O114" s="1557"/>
      <c r="P114" s="1557"/>
      <c r="Q114" s="1557"/>
      <c r="R114" s="1557"/>
      <c r="S114" s="1512" t="s">
        <v>7949</v>
      </c>
      <c r="T114" s="1512"/>
      <c r="U114" s="1580"/>
      <c r="V114" s="1580"/>
      <c r="W114" s="314"/>
      <c r="X114" s="314"/>
      <c r="Y114" s="314"/>
      <c r="Z114" s="2"/>
      <c r="AA114" s="2"/>
      <c r="AB114" s="2"/>
      <c r="AC114" s="2"/>
      <c r="AD114" s="2"/>
    </row>
    <row r="115" spans="1:30" ht="20.100000000000001" customHeight="1" x14ac:dyDescent="0.25">
      <c r="A115" s="18"/>
      <c r="B115" s="18"/>
      <c r="C115" s="18"/>
      <c r="D115" s="1"/>
      <c r="E115" s="314"/>
      <c r="F115" s="1575"/>
      <c r="G115" s="1383"/>
      <c r="H115" s="1576"/>
      <c r="I115" s="1538"/>
      <c r="J115" s="1538"/>
      <c r="K115" s="1538"/>
      <c r="L115" s="1538"/>
      <c r="M115" s="984" t="s">
        <v>37</v>
      </c>
      <c r="N115" s="986"/>
      <c r="O115" s="1581"/>
      <c r="P115" s="1582"/>
      <c r="Q115" s="1582"/>
      <c r="R115" s="1583"/>
      <c r="S115" s="1512"/>
      <c r="T115" s="1512"/>
      <c r="U115" s="1580"/>
      <c r="V115" s="1580"/>
      <c r="W115" s="314"/>
      <c r="X115" s="314"/>
      <c r="Y115" s="314"/>
      <c r="Z115" s="2"/>
      <c r="AA115" s="2"/>
      <c r="AB115" s="2"/>
      <c r="AC115" s="2"/>
      <c r="AD115" s="2"/>
    </row>
    <row r="116" spans="1:30" s="372" customFormat="1" ht="39.950000000000003" customHeight="1" x14ac:dyDescent="0.25">
      <c r="A116" s="371"/>
      <c r="B116" s="371"/>
      <c r="C116" s="371"/>
      <c r="D116" s="1"/>
      <c r="E116" s="315"/>
      <c r="F116" s="1575"/>
      <c r="G116" s="1383"/>
      <c r="H116" s="1576"/>
      <c r="I116" s="1012" t="s">
        <v>6009</v>
      </c>
      <c r="J116" s="1012"/>
      <c r="K116" s="1012"/>
      <c r="L116" s="1012"/>
      <c r="M116" s="1554" t="s">
        <v>263</v>
      </c>
      <c r="N116" s="1554"/>
      <c r="O116" s="1554"/>
      <c r="P116" s="1554"/>
      <c r="Q116" s="1555" t="s">
        <v>8116</v>
      </c>
      <c r="R116" s="1555"/>
      <c r="S116" s="1555"/>
      <c r="T116" s="1555"/>
      <c r="U116" s="1550" t="s">
        <v>122</v>
      </c>
      <c r="V116" s="1550"/>
      <c r="W116" s="1550"/>
      <c r="X116" s="1550"/>
      <c r="Y116" s="1550" t="s">
        <v>194</v>
      </c>
      <c r="Z116" s="1550"/>
      <c r="AA116" s="1550"/>
      <c r="AB116" s="1550"/>
    </row>
    <row r="117" spans="1:30" ht="20.100000000000001" customHeight="1" x14ac:dyDescent="0.25">
      <c r="A117" s="18"/>
      <c r="B117" s="18"/>
      <c r="C117" s="18"/>
      <c r="D117" s="1"/>
      <c r="E117" s="314"/>
      <c r="F117" s="1575"/>
      <c r="G117" s="1383"/>
      <c r="H117" s="1576"/>
      <c r="I117" s="1012"/>
      <c r="J117" s="1012"/>
      <c r="K117" s="1012"/>
      <c r="L117" s="1012"/>
      <c r="M117" s="1551" t="str">
        <f ca="1">Calculos!$DL$30</f>
        <v>-</v>
      </c>
      <c r="N117" s="1551"/>
      <c r="O117" s="1551" t="str">
        <f ca="1">Calculos!$DM$30</f>
        <v>-</v>
      </c>
      <c r="P117" s="1551"/>
      <c r="Q117" s="1551" t="str">
        <f ca="1">Calculos!$DL$30</f>
        <v>-</v>
      </c>
      <c r="R117" s="1551"/>
      <c r="S117" s="1551" t="str">
        <f ca="1">Calculos!$DM$30</f>
        <v>-</v>
      </c>
      <c r="T117" s="1551"/>
      <c r="U117" s="1551" t="str">
        <f ca="1">Calculos!$DL$30</f>
        <v>-</v>
      </c>
      <c r="V117" s="1551"/>
      <c r="W117" s="1551" t="str">
        <f ca="1">Calculos!$DM$30</f>
        <v>-</v>
      </c>
      <c r="X117" s="1551"/>
      <c r="Y117" s="1551" t="str">
        <f ca="1">Calculos!$DL$30</f>
        <v>-</v>
      </c>
      <c r="Z117" s="1551"/>
      <c r="AA117" s="1551" t="str">
        <f ca="1">Calculos!$DM$30</f>
        <v>-</v>
      </c>
      <c r="AB117" s="1551"/>
    </row>
    <row r="118" spans="1:30" ht="20.100000000000001" customHeight="1" x14ac:dyDescent="0.25">
      <c r="A118" s="18"/>
      <c r="B118" s="18"/>
      <c r="C118" s="18"/>
      <c r="D118" s="1"/>
      <c r="E118" s="314"/>
      <c r="F118" s="1575"/>
      <c r="G118" s="1383"/>
      <c r="H118" s="1576"/>
      <c r="I118" s="1569" t="s">
        <v>152</v>
      </c>
      <c r="J118" s="1569"/>
      <c r="K118" s="1569"/>
      <c r="L118" s="1569"/>
      <c r="M118" s="1556"/>
      <c r="N118" s="1556"/>
      <c r="O118" s="1556"/>
      <c r="P118" s="1556"/>
      <c r="Q118" s="1552"/>
      <c r="R118" s="1553"/>
      <c r="S118" s="1552"/>
      <c r="T118" s="1553"/>
      <c r="U118" s="1559"/>
      <c r="V118" s="1559"/>
      <c r="W118" s="1559"/>
      <c r="X118" s="1559"/>
      <c r="Y118" s="1549" t="str">
        <f ca="1">Calculos!DD91</f>
        <v/>
      </c>
      <c r="Z118" s="1549"/>
      <c r="AA118" s="1549" t="str">
        <f ca="1">Calculos!DE91</f>
        <v/>
      </c>
      <c r="AB118" s="1549"/>
    </row>
    <row r="119" spans="1:30" ht="20.100000000000001" customHeight="1" x14ac:dyDescent="0.25">
      <c r="A119" s="18"/>
      <c r="B119" s="18"/>
      <c r="C119" s="18"/>
      <c r="D119" s="1"/>
      <c r="E119" s="314"/>
      <c r="F119" s="1575"/>
      <c r="G119" s="1383"/>
      <c r="H119" s="1576"/>
      <c r="I119" s="1569" t="s">
        <v>153</v>
      </c>
      <c r="J119" s="1569"/>
      <c r="K119" s="1569"/>
      <c r="L119" s="1569"/>
      <c r="M119" s="1556"/>
      <c r="N119" s="1556"/>
      <c r="O119" s="1556"/>
      <c r="P119" s="1556"/>
      <c r="Q119" s="1552"/>
      <c r="R119" s="1553"/>
      <c r="S119" s="1552"/>
      <c r="T119" s="1553"/>
      <c r="U119" s="1559"/>
      <c r="V119" s="1559"/>
      <c r="W119" s="1559"/>
      <c r="X119" s="1559"/>
      <c r="Y119" s="1549" t="str">
        <f ca="1">Calculos!DD92</f>
        <v/>
      </c>
      <c r="Z119" s="1549"/>
      <c r="AA119" s="1549" t="str">
        <f ca="1">Calculos!DE92</f>
        <v/>
      </c>
      <c r="AB119" s="1549"/>
    </row>
    <row r="120" spans="1:30" ht="20.100000000000001" customHeight="1" x14ac:dyDescent="0.25">
      <c r="A120" s="18"/>
      <c r="B120" s="18"/>
      <c r="C120" s="18"/>
      <c r="D120" s="1"/>
      <c r="E120" s="314"/>
      <c r="F120" s="1575"/>
      <c r="G120" s="1383"/>
      <c r="H120" s="1576"/>
      <c r="I120" s="1569" t="s">
        <v>154</v>
      </c>
      <c r="J120" s="1569"/>
      <c r="K120" s="1569"/>
      <c r="L120" s="1569"/>
      <c r="M120" s="1556"/>
      <c r="N120" s="1556"/>
      <c r="O120" s="1556"/>
      <c r="P120" s="1556"/>
      <c r="Q120" s="1552"/>
      <c r="R120" s="1553"/>
      <c r="S120" s="1552"/>
      <c r="T120" s="1553"/>
      <c r="U120" s="1559"/>
      <c r="V120" s="1559"/>
      <c r="W120" s="1559"/>
      <c r="X120" s="1559"/>
      <c r="Y120" s="1549" t="str">
        <f ca="1">Calculos!DD93</f>
        <v/>
      </c>
      <c r="Z120" s="1549"/>
      <c r="AA120" s="1549" t="str">
        <f ca="1">Calculos!DE93</f>
        <v/>
      </c>
      <c r="AB120" s="1549"/>
    </row>
    <row r="121" spans="1:30" ht="20.100000000000001" customHeight="1" x14ac:dyDescent="0.25">
      <c r="A121" s="18"/>
      <c r="B121" s="18"/>
      <c r="C121" s="18"/>
      <c r="D121" s="1"/>
      <c r="E121" s="314"/>
      <c r="F121" s="1575"/>
      <c r="G121" s="1383"/>
      <c r="H121" s="1576"/>
      <c r="I121" s="1569" t="s">
        <v>155</v>
      </c>
      <c r="J121" s="1569"/>
      <c r="K121" s="1569"/>
      <c r="L121" s="1569"/>
      <c r="M121" s="1556"/>
      <c r="N121" s="1556"/>
      <c r="O121" s="1556"/>
      <c r="P121" s="1556"/>
      <c r="Q121" s="1552"/>
      <c r="R121" s="1553"/>
      <c r="S121" s="1552"/>
      <c r="T121" s="1553"/>
      <c r="U121" s="1559"/>
      <c r="V121" s="1559"/>
      <c r="W121" s="1559"/>
      <c r="X121" s="1559"/>
      <c r="Y121" s="1549" t="str">
        <f ca="1">Calculos!DD94</f>
        <v/>
      </c>
      <c r="Z121" s="1549"/>
      <c r="AA121" s="1549" t="str">
        <f ca="1">Calculos!DE94</f>
        <v/>
      </c>
      <c r="AB121" s="1549"/>
    </row>
    <row r="122" spans="1:30" ht="20.100000000000001" customHeight="1" x14ac:dyDescent="0.25">
      <c r="A122" s="18"/>
      <c r="B122" s="18"/>
      <c r="C122" s="18"/>
      <c r="D122" s="1"/>
      <c r="E122" s="314"/>
      <c r="F122" s="1575"/>
      <c r="G122" s="1383"/>
      <c r="H122" s="1576"/>
      <c r="I122" s="1569" t="s">
        <v>156</v>
      </c>
      <c r="J122" s="1569"/>
      <c r="K122" s="1569"/>
      <c r="L122" s="1569"/>
      <c r="M122" s="1556"/>
      <c r="N122" s="1556"/>
      <c r="O122" s="1556"/>
      <c r="P122" s="1556"/>
      <c r="Q122" s="1552"/>
      <c r="R122" s="1553"/>
      <c r="S122" s="1552"/>
      <c r="T122" s="1553"/>
      <c r="U122" s="1559"/>
      <c r="V122" s="1559"/>
      <c r="W122" s="1559"/>
      <c r="X122" s="1559"/>
      <c r="Y122" s="1549" t="str">
        <f ca="1">Calculos!DD95</f>
        <v/>
      </c>
      <c r="Z122" s="1549"/>
      <c r="AA122" s="1549" t="str">
        <f ca="1">Calculos!DE95</f>
        <v/>
      </c>
      <c r="AB122" s="1549"/>
    </row>
    <row r="123" spans="1:30" ht="20.100000000000001" customHeight="1" x14ac:dyDescent="0.25">
      <c r="A123" s="18"/>
      <c r="B123" s="18"/>
      <c r="C123" s="18"/>
      <c r="D123" s="1"/>
      <c r="E123" s="314"/>
      <c r="F123" s="1575"/>
      <c r="G123" s="1383"/>
      <c r="H123" s="1576"/>
      <c r="I123" s="1569" t="s">
        <v>157</v>
      </c>
      <c r="J123" s="1569"/>
      <c r="K123" s="1569"/>
      <c r="L123" s="1569"/>
      <c r="M123" s="1556"/>
      <c r="N123" s="1556"/>
      <c r="O123" s="1556"/>
      <c r="P123" s="1556"/>
      <c r="Q123" s="1552"/>
      <c r="R123" s="1553"/>
      <c r="S123" s="1552"/>
      <c r="T123" s="1553"/>
      <c r="U123" s="1559"/>
      <c r="V123" s="1559"/>
      <c r="W123" s="1559"/>
      <c r="X123" s="1559"/>
      <c r="Y123" s="1549" t="str">
        <f ca="1">Calculos!DD96</f>
        <v/>
      </c>
      <c r="Z123" s="1549"/>
      <c r="AA123" s="1549" t="str">
        <f ca="1">Calculos!DE96</f>
        <v/>
      </c>
      <c r="AB123" s="1549"/>
    </row>
    <row r="124" spans="1:30" ht="20.100000000000001" customHeight="1" x14ac:dyDescent="0.25">
      <c r="A124" s="18"/>
      <c r="B124" s="18"/>
      <c r="C124" s="18"/>
      <c r="D124" s="1"/>
      <c r="E124" s="314"/>
      <c r="F124" s="1575"/>
      <c r="G124" s="1383"/>
      <c r="H124" s="1576"/>
      <c r="I124" s="1569" t="s">
        <v>158</v>
      </c>
      <c r="J124" s="1569"/>
      <c r="K124" s="1569"/>
      <c r="L124" s="1569"/>
      <c r="M124" s="1556"/>
      <c r="N124" s="1556"/>
      <c r="O124" s="1556"/>
      <c r="P124" s="1556"/>
      <c r="Q124" s="1552"/>
      <c r="R124" s="1553"/>
      <c r="S124" s="1552"/>
      <c r="T124" s="1553"/>
      <c r="U124" s="1559"/>
      <c r="V124" s="1559"/>
      <c r="W124" s="1559"/>
      <c r="X124" s="1559"/>
      <c r="Y124" s="1549" t="str">
        <f ca="1">Calculos!DD97</f>
        <v/>
      </c>
      <c r="Z124" s="1549"/>
      <c r="AA124" s="1549" t="str">
        <f ca="1">Calculos!DE97</f>
        <v/>
      </c>
      <c r="AB124" s="1549"/>
    </row>
    <row r="125" spans="1:30" ht="20.100000000000001" customHeight="1" x14ac:dyDescent="0.25">
      <c r="A125" s="18"/>
      <c r="B125" s="18"/>
      <c r="C125" s="18"/>
      <c r="D125" s="1"/>
      <c r="E125" s="314"/>
      <c r="F125" s="1575"/>
      <c r="G125" s="1383"/>
      <c r="H125" s="1576"/>
      <c r="I125" s="1569" t="s">
        <v>159</v>
      </c>
      <c r="J125" s="1569"/>
      <c r="K125" s="1569"/>
      <c r="L125" s="1569"/>
      <c r="M125" s="1556"/>
      <c r="N125" s="1556"/>
      <c r="O125" s="1556"/>
      <c r="P125" s="1556"/>
      <c r="Q125" s="1552"/>
      <c r="R125" s="1553"/>
      <c r="S125" s="1552"/>
      <c r="T125" s="1553"/>
      <c r="U125" s="1559"/>
      <c r="V125" s="1559"/>
      <c r="W125" s="1559"/>
      <c r="X125" s="1559"/>
      <c r="Y125" s="1549" t="str">
        <f ca="1">Calculos!DD98</f>
        <v/>
      </c>
      <c r="Z125" s="1549"/>
      <c r="AA125" s="1549" t="str">
        <f ca="1">Calculos!DE98</f>
        <v/>
      </c>
      <c r="AB125" s="1549"/>
    </row>
    <row r="126" spans="1:30" ht="20.100000000000001" customHeight="1" x14ac:dyDescent="0.25">
      <c r="A126" s="18"/>
      <c r="B126" s="18"/>
      <c r="C126" s="18"/>
      <c r="D126" s="1"/>
      <c r="E126" s="314"/>
      <c r="F126" s="1575"/>
      <c r="G126" s="1383"/>
      <c r="H126" s="1576"/>
      <c r="I126" s="1569" t="s">
        <v>160</v>
      </c>
      <c r="J126" s="1569"/>
      <c r="K126" s="1569"/>
      <c r="L126" s="1569"/>
      <c r="M126" s="1556"/>
      <c r="N126" s="1556"/>
      <c r="O126" s="1556"/>
      <c r="P126" s="1556"/>
      <c r="Q126" s="1552"/>
      <c r="R126" s="1553"/>
      <c r="S126" s="1552"/>
      <c r="T126" s="1553"/>
      <c r="U126" s="1559"/>
      <c r="V126" s="1559"/>
      <c r="W126" s="1559"/>
      <c r="X126" s="1559"/>
      <c r="Y126" s="1549" t="str">
        <f ca="1">Calculos!DD99</f>
        <v/>
      </c>
      <c r="Z126" s="1549"/>
      <c r="AA126" s="1549" t="str">
        <f ca="1">Calculos!DE99</f>
        <v/>
      </c>
      <c r="AB126" s="1549"/>
    </row>
    <row r="127" spans="1:30" ht="20.100000000000001" customHeight="1" x14ac:dyDescent="0.25">
      <c r="A127" s="18"/>
      <c r="B127" s="18"/>
      <c r="C127" s="18"/>
      <c r="D127" s="1"/>
      <c r="E127" s="314"/>
      <c r="F127" s="1577"/>
      <c r="G127" s="1578"/>
      <c r="H127" s="1579"/>
      <c r="I127" s="1569" t="s">
        <v>161</v>
      </c>
      <c r="J127" s="1569"/>
      <c r="K127" s="1569"/>
      <c r="L127" s="1569"/>
      <c r="M127" s="1556"/>
      <c r="N127" s="1556"/>
      <c r="O127" s="1556"/>
      <c r="P127" s="1556"/>
      <c r="Q127" s="1552"/>
      <c r="R127" s="1553"/>
      <c r="S127" s="1552"/>
      <c r="T127" s="1553"/>
      <c r="U127" s="1559"/>
      <c r="V127" s="1559"/>
      <c r="W127" s="1559"/>
      <c r="X127" s="1559"/>
      <c r="Y127" s="1549" t="str">
        <f ca="1">Calculos!DD100</f>
        <v/>
      </c>
      <c r="Z127" s="1549"/>
      <c r="AA127" s="1549" t="str">
        <f ca="1">Calculos!DE100</f>
        <v/>
      </c>
      <c r="AB127" s="1549"/>
    </row>
    <row r="128" spans="1:30" ht="20.100000000000001" customHeight="1" x14ac:dyDescent="0.25">
      <c r="A128" s="18"/>
      <c r="B128" s="18"/>
      <c r="C128" s="18"/>
      <c r="D128" s="1"/>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20.100000000000001" customHeight="1" x14ac:dyDescent="0.25">
      <c r="A129" s="18"/>
      <c r="B129" s="18"/>
      <c r="C129" s="18"/>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20.100000000000001" customHeight="1" x14ac:dyDescent="0.25">
      <c r="A130" s="18"/>
      <c r="B130" s="18"/>
      <c r="C130" s="18"/>
      <c r="D130" s="1"/>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20.100000000000001" customHeight="1" x14ac:dyDescent="0.25">
      <c r="A131" s="18"/>
      <c r="B131" s="18"/>
      <c r="C131" s="18"/>
      <c r="D131" s="1"/>
      <c r="E131" s="314"/>
      <c r="F131" s="1572" t="s">
        <v>6010</v>
      </c>
      <c r="G131" s="1573"/>
      <c r="H131" s="1574"/>
      <c r="I131" s="1538" t="s">
        <v>225</v>
      </c>
      <c r="J131" s="1538"/>
      <c r="K131" s="1538"/>
      <c r="L131" s="1538"/>
      <c r="M131" s="1512" t="s">
        <v>36</v>
      </c>
      <c r="N131" s="1512"/>
      <c r="O131" s="1557"/>
      <c r="P131" s="1557"/>
      <c r="Q131" s="1557"/>
      <c r="R131" s="1557"/>
      <c r="S131" s="1512" t="s">
        <v>7949</v>
      </c>
      <c r="T131" s="1512"/>
      <c r="U131" s="1580"/>
      <c r="V131" s="1580"/>
      <c r="W131" s="314"/>
      <c r="X131" s="314"/>
      <c r="Y131" s="314"/>
      <c r="Z131" s="2"/>
      <c r="AA131" s="2"/>
      <c r="AB131" s="2"/>
      <c r="AC131" s="2"/>
      <c r="AD131" s="2"/>
    </row>
    <row r="132" spans="1:30" ht="20.100000000000001" customHeight="1" x14ac:dyDescent="0.25">
      <c r="A132" s="18"/>
      <c r="B132" s="18"/>
      <c r="C132" s="18"/>
      <c r="D132" s="1"/>
      <c r="E132" s="314"/>
      <c r="F132" s="1575"/>
      <c r="G132" s="1383"/>
      <c r="H132" s="1576"/>
      <c r="I132" s="1538"/>
      <c r="J132" s="1538"/>
      <c r="K132" s="1538"/>
      <c r="L132" s="1538"/>
      <c r="M132" s="1512" t="s">
        <v>37</v>
      </c>
      <c r="N132" s="1512"/>
      <c r="O132" s="1557"/>
      <c r="P132" s="1557"/>
      <c r="Q132" s="1557"/>
      <c r="R132" s="1557"/>
      <c r="S132" s="1512"/>
      <c r="T132" s="1512"/>
      <c r="U132" s="1580"/>
      <c r="V132" s="1580"/>
      <c r="W132" s="314"/>
      <c r="X132" s="314"/>
      <c r="Y132" s="314"/>
      <c r="Z132" s="2"/>
      <c r="AA132" s="2"/>
      <c r="AB132" s="2"/>
      <c r="AC132" s="2"/>
      <c r="AD132" s="2"/>
    </row>
    <row r="133" spans="1:30" s="372" customFormat="1" ht="39.950000000000003" customHeight="1" x14ac:dyDescent="0.25">
      <c r="A133" s="371"/>
      <c r="B133" s="371"/>
      <c r="C133" s="371"/>
      <c r="D133" s="1"/>
      <c r="E133" s="315"/>
      <c r="F133" s="1575"/>
      <c r="G133" s="1383"/>
      <c r="H133" s="1576"/>
      <c r="I133" s="1012" t="s">
        <v>6009</v>
      </c>
      <c r="J133" s="1012"/>
      <c r="K133" s="1012"/>
      <c r="L133" s="1012"/>
      <c r="M133" s="1554" t="s">
        <v>263</v>
      </c>
      <c r="N133" s="1554"/>
      <c r="O133" s="1554"/>
      <c r="P133" s="1554"/>
      <c r="Q133" s="1555" t="s">
        <v>8116</v>
      </c>
      <c r="R133" s="1555"/>
      <c r="S133" s="1555"/>
      <c r="T133" s="1555"/>
      <c r="U133" s="1550" t="s">
        <v>122</v>
      </c>
      <c r="V133" s="1550"/>
      <c r="W133" s="1550"/>
      <c r="X133" s="1550"/>
      <c r="Y133" s="1550" t="s">
        <v>194</v>
      </c>
      <c r="Z133" s="1550"/>
      <c r="AA133" s="1550"/>
      <c r="AB133" s="1550"/>
    </row>
    <row r="134" spans="1:30" ht="20.100000000000001" customHeight="1" x14ac:dyDescent="0.25">
      <c r="A134" s="18"/>
      <c r="B134" s="18"/>
      <c r="C134" s="18"/>
      <c r="D134" s="1"/>
      <c r="E134" s="314"/>
      <c r="F134" s="1575"/>
      <c r="G134" s="1383"/>
      <c r="H134" s="1576"/>
      <c r="I134" s="1012"/>
      <c r="J134" s="1012"/>
      <c r="K134" s="1012"/>
      <c r="L134" s="1012"/>
      <c r="M134" s="1551" t="str">
        <f ca="1">Calculos!$DL$30</f>
        <v>-</v>
      </c>
      <c r="N134" s="1551"/>
      <c r="O134" s="1551" t="str">
        <f ca="1">Calculos!$DM$30</f>
        <v>-</v>
      </c>
      <c r="P134" s="1551"/>
      <c r="Q134" s="1551" t="str">
        <f ca="1">Calculos!$DL$30</f>
        <v>-</v>
      </c>
      <c r="R134" s="1551"/>
      <c r="S134" s="1551" t="str">
        <f ca="1">Calculos!$DM$30</f>
        <v>-</v>
      </c>
      <c r="T134" s="1551"/>
      <c r="U134" s="1551" t="str">
        <f ca="1">Calculos!$DL$30</f>
        <v>-</v>
      </c>
      <c r="V134" s="1551"/>
      <c r="W134" s="1551" t="str">
        <f ca="1">Calculos!$DM$30</f>
        <v>-</v>
      </c>
      <c r="X134" s="1551"/>
      <c r="Y134" s="1551" t="str">
        <f ca="1">Calculos!$DL$30</f>
        <v>-</v>
      </c>
      <c r="Z134" s="1551"/>
      <c r="AA134" s="1551" t="str">
        <f ca="1">Calculos!$DM$30</f>
        <v>-</v>
      </c>
      <c r="AB134" s="1551"/>
    </row>
    <row r="135" spans="1:30" ht="20.100000000000001" customHeight="1" x14ac:dyDescent="0.25">
      <c r="A135" s="18"/>
      <c r="B135" s="18"/>
      <c r="C135" s="18"/>
      <c r="D135" s="1"/>
      <c r="E135" s="314"/>
      <c r="F135" s="1575"/>
      <c r="G135" s="1383"/>
      <c r="H135" s="1576"/>
      <c r="I135" s="1569" t="s">
        <v>152</v>
      </c>
      <c r="J135" s="1569"/>
      <c r="K135" s="1569"/>
      <c r="L135" s="1569"/>
      <c r="M135" s="1556"/>
      <c r="N135" s="1556"/>
      <c r="O135" s="1556"/>
      <c r="P135" s="1556"/>
      <c r="Q135" s="1552"/>
      <c r="R135" s="1553"/>
      <c r="S135" s="1552"/>
      <c r="T135" s="1553"/>
      <c r="U135" s="1559"/>
      <c r="V135" s="1559"/>
      <c r="W135" s="1559"/>
      <c r="X135" s="1559"/>
      <c r="Y135" s="1549" t="str">
        <f ca="1">Calculos!DD101</f>
        <v/>
      </c>
      <c r="Z135" s="1549"/>
      <c r="AA135" s="1549" t="str">
        <f ca="1">Calculos!DE101</f>
        <v/>
      </c>
      <c r="AB135" s="1549"/>
    </row>
    <row r="136" spans="1:30" ht="20.100000000000001" customHeight="1" x14ac:dyDescent="0.25">
      <c r="A136" s="18"/>
      <c r="B136" s="18"/>
      <c r="C136" s="18"/>
      <c r="D136" s="1"/>
      <c r="E136" s="314"/>
      <c r="F136" s="1575"/>
      <c r="G136" s="1383"/>
      <c r="H136" s="1576"/>
      <c r="I136" s="1569" t="s">
        <v>153</v>
      </c>
      <c r="J136" s="1569"/>
      <c r="K136" s="1569"/>
      <c r="L136" s="1569"/>
      <c r="M136" s="1556"/>
      <c r="N136" s="1556"/>
      <c r="O136" s="1556"/>
      <c r="P136" s="1556"/>
      <c r="Q136" s="1552"/>
      <c r="R136" s="1553"/>
      <c r="S136" s="1552"/>
      <c r="T136" s="1553"/>
      <c r="U136" s="1559"/>
      <c r="V136" s="1559"/>
      <c r="W136" s="1559"/>
      <c r="X136" s="1559"/>
      <c r="Y136" s="1549" t="str">
        <f ca="1">Calculos!DD102</f>
        <v/>
      </c>
      <c r="Z136" s="1549"/>
      <c r="AA136" s="1549" t="str">
        <f ca="1">Calculos!DE102</f>
        <v/>
      </c>
      <c r="AB136" s="1549"/>
    </row>
    <row r="137" spans="1:30" ht="20.100000000000001" customHeight="1" x14ac:dyDescent="0.25">
      <c r="A137" s="18"/>
      <c r="B137" s="18"/>
      <c r="C137" s="18"/>
      <c r="D137" s="1"/>
      <c r="E137" s="314"/>
      <c r="F137" s="1575"/>
      <c r="G137" s="1383"/>
      <c r="H137" s="1576"/>
      <c r="I137" s="1569" t="s">
        <v>154</v>
      </c>
      <c r="J137" s="1569"/>
      <c r="K137" s="1569"/>
      <c r="L137" s="1569"/>
      <c r="M137" s="1556"/>
      <c r="N137" s="1556"/>
      <c r="O137" s="1556"/>
      <c r="P137" s="1556"/>
      <c r="Q137" s="1552"/>
      <c r="R137" s="1553"/>
      <c r="S137" s="1552"/>
      <c r="T137" s="1553"/>
      <c r="U137" s="1559"/>
      <c r="V137" s="1559"/>
      <c r="W137" s="1559"/>
      <c r="X137" s="1559"/>
      <c r="Y137" s="1549" t="str">
        <f ca="1">Calculos!DD103</f>
        <v/>
      </c>
      <c r="Z137" s="1549"/>
      <c r="AA137" s="1549" t="str">
        <f ca="1">Calculos!DE103</f>
        <v/>
      </c>
      <c r="AB137" s="1549"/>
    </row>
    <row r="138" spans="1:30" ht="20.100000000000001" customHeight="1" x14ac:dyDescent="0.25">
      <c r="A138" s="18"/>
      <c r="B138" s="18"/>
      <c r="C138" s="18"/>
      <c r="D138" s="1"/>
      <c r="E138" s="314"/>
      <c r="F138" s="1575"/>
      <c r="G138" s="1383"/>
      <c r="H138" s="1576"/>
      <c r="I138" s="1569" t="s">
        <v>155</v>
      </c>
      <c r="J138" s="1569"/>
      <c r="K138" s="1569"/>
      <c r="L138" s="1569"/>
      <c r="M138" s="1556"/>
      <c r="N138" s="1556"/>
      <c r="O138" s="1556"/>
      <c r="P138" s="1556"/>
      <c r="Q138" s="1552"/>
      <c r="R138" s="1553"/>
      <c r="S138" s="1552"/>
      <c r="T138" s="1553"/>
      <c r="U138" s="1559"/>
      <c r="V138" s="1559"/>
      <c r="W138" s="1559"/>
      <c r="X138" s="1559"/>
      <c r="Y138" s="1549" t="str">
        <f ca="1">Calculos!DD104</f>
        <v/>
      </c>
      <c r="Z138" s="1549"/>
      <c r="AA138" s="1549" t="str">
        <f ca="1">Calculos!DE104</f>
        <v/>
      </c>
      <c r="AB138" s="1549"/>
    </row>
    <row r="139" spans="1:30" ht="20.100000000000001" customHeight="1" x14ac:dyDescent="0.25">
      <c r="A139" s="18"/>
      <c r="B139" s="18"/>
      <c r="C139" s="18"/>
      <c r="D139" s="1"/>
      <c r="E139" s="314"/>
      <c r="F139" s="1575"/>
      <c r="G139" s="1383"/>
      <c r="H139" s="1576"/>
      <c r="I139" s="1569" t="s">
        <v>156</v>
      </c>
      <c r="J139" s="1569"/>
      <c r="K139" s="1569"/>
      <c r="L139" s="1569"/>
      <c r="M139" s="1556"/>
      <c r="N139" s="1556"/>
      <c r="O139" s="1556"/>
      <c r="P139" s="1556"/>
      <c r="Q139" s="1552"/>
      <c r="R139" s="1553"/>
      <c r="S139" s="1552"/>
      <c r="T139" s="1553"/>
      <c r="U139" s="1559"/>
      <c r="V139" s="1559"/>
      <c r="W139" s="1559"/>
      <c r="X139" s="1559"/>
      <c r="Y139" s="1549" t="str">
        <f ca="1">Calculos!DD105</f>
        <v/>
      </c>
      <c r="Z139" s="1549"/>
      <c r="AA139" s="1549" t="str">
        <f ca="1">Calculos!DE105</f>
        <v/>
      </c>
      <c r="AB139" s="1549"/>
    </row>
    <row r="140" spans="1:30" ht="20.100000000000001" customHeight="1" x14ac:dyDescent="0.25">
      <c r="A140" s="18"/>
      <c r="B140" s="18"/>
      <c r="C140" s="18"/>
      <c r="D140" s="1"/>
      <c r="E140" s="314"/>
      <c r="F140" s="1575"/>
      <c r="G140" s="1383"/>
      <c r="H140" s="1576"/>
      <c r="I140" s="1569" t="s">
        <v>157</v>
      </c>
      <c r="J140" s="1569"/>
      <c r="K140" s="1569"/>
      <c r="L140" s="1569"/>
      <c r="M140" s="1556"/>
      <c r="N140" s="1556"/>
      <c r="O140" s="1556"/>
      <c r="P140" s="1556"/>
      <c r="Q140" s="1552"/>
      <c r="R140" s="1553"/>
      <c r="S140" s="1552"/>
      <c r="T140" s="1553"/>
      <c r="U140" s="1559"/>
      <c r="V140" s="1559"/>
      <c r="W140" s="1559"/>
      <c r="X140" s="1559"/>
      <c r="Y140" s="1549" t="str">
        <f ca="1">Calculos!DD106</f>
        <v/>
      </c>
      <c r="Z140" s="1549"/>
      <c r="AA140" s="1549" t="str">
        <f ca="1">Calculos!DE106</f>
        <v/>
      </c>
      <c r="AB140" s="1549"/>
    </row>
    <row r="141" spans="1:30" ht="20.100000000000001" customHeight="1" x14ac:dyDescent="0.25">
      <c r="A141" s="18"/>
      <c r="B141" s="18"/>
      <c r="C141" s="18"/>
      <c r="D141" s="1"/>
      <c r="E141" s="314"/>
      <c r="F141" s="1575"/>
      <c r="G141" s="1383"/>
      <c r="H141" s="1576"/>
      <c r="I141" s="1569" t="s">
        <v>158</v>
      </c>
      <c r="J141" s="1569"/>
      <c r="K141" s="1569"/>
      <c r="L141" s="1569"/>
      <c r="M141" s="1556"/>
      <c r="N141" s="1556"/>
      <c r="O141" s="1556"/>
      <c r="P141" s="1556"/>
      <c r="Q141" s="1552"/>
      <c r="R141" s="1553"/>
      <c r="S141" s="1552"/>
      <c r="T141" s="1553"/>
      <c r="U141" s="1559"/>
      <c r="V141" s="1559"/>
      <c r="W141" s="1559"/>
      <c r="X141" s="1559"/>
      <c r="Y141" s="1549" t="str">
        <f ca="1">Calculos!DD107</f>
        <v/>
      </c>
      <c r="Z141" s="1549"/>
      <c r="AA141" s="1549" t="str">
        <f ca="1">Calculos!DE107</f>
        <v/>
      </c>
      <c r="AB141" s="1549"/>
    </row>
    <row r="142" spans="1:30" ht="20.100000000000001" customHeight="1" x14ac:dyDescent="0.25">
      <c r="A142" s="18"/>
      <c r="B142" s="18"/>
      <c r="C142" s="18"/>
      <c r="D142" s="1"/>
      <c r="E142" s="314"/>
      <c r="F142" s="1575"/>
      <c r="G142" s="1383"/>
      <c r="H142" s="1576"/>
      <c r="I142" s="1569" t="s">
        <v>159</v>
      </c>
      <c r="J142" s="1569"/>
      <c r="K142" s="1569"/>
      <c r="L142" s="1569"/>
      <c r="M142" s="1556"/>
      <c r="N142" s="1556"/>
      <c r="O142" s="1556"/>
      <c r="P142" s="1556"/>
      <c r="Q142" s="1552"/>
      <c r="R142" s="1553"/>
      <c r="S142" s="1552"/>
      <c r="T142" s="1553"/>
      <c r="U142" s="1559"/>
      <c r="V142" s="1559"/>
      <c r="W142" s="1559"/>
      <c r="X142" s="1559"/>
      <c r="Y142" s="1549" t="str">
        <f ca="1">Calculos!DD108</f>
        <v/>
      </c>
      <c r="Z142" s="1549"/>
      <c r="AA142" s="1549" t="str">
        <f ca="1">Calculos!DE108</f>
        <v/>
      </c>
      <c r="AB142" s="1549"/>
    </row>
    <row r="143" spans="1:30" ht="20.100000000000001" customHeight="1" x14ac:dyDescent="0.25">
      <c r="A143" s="18"/>
      <c r="B143" s="18"/>
      <c r="C143" s="18"/>
      <c r="D143" s="1"/>
      <c r="E143" s="314"/>
      <c r="F143" s="1575"/>
      <c r="G143" s="1383"/>
      <c r="H143" s="1576"/>
      <c r="I143" s="1569" t="s">
        <v>160</v>
      </c>
      <c r="J143" s="1569"/>
      <c r="K143" s="1569"/>
      <c r="L143" s="1569"/>
      <c r="M143" s="1556"/>
      <c r="N143" s="1556"/>
      <c r="O143" s="1556"/>
      <c r="P143" s="1556"/>
      <c r="Q143" s="1552"/>
      <c r="R143" s="1553"/>
      <c r="S143" s="1552"/>
      <c r="T143" s="1553"/>
      <c r="U143" s="1559"/>
      <c r="V143" s="1559"/>
      <c r="W143" s="1559"/>
      <c r="X143" s="1559"/>
      <c r="Y143" s="1549" t="str">
        <f ca="1">Calculos!DD109</f>
        <v/>
      </c>
      <c r="Z143" s="1549"/>
      <c r="AA143" s="1549" t="str">
        <f ca="1">Calculos!DE109</f>
        <v/>
      </c>
      <c r="AB143" s="1549"/>
    </row>
    <row r="144" spans="1:30" ht="20.100000000000001" customHeight="1" x14ac:dyDescent="0.25">
      <c r="A144" s="18"/>
      <c r="B144" s="18"/>
      <c r="C144" s="18"/>
      <c r="D144" s="1"/>
      <c r="E144" s="314"/>
      <c r="F144" s="1577"/>
      <c r="G144" s="1578"/>
      <c r="H144" s="1579"/>
      <c r="I144" s="1569" t="s">
        <v>161</v>
      </c>
      <c r="J144" s="1569"/>
      <c r="K144" s="1569"/>
      <c r="L144" s="1569"/>
      <c r="M144" s="1556"/>
      <c r="N144" s="1556"/>
      <c r="O144" s="1556"/>
      <c r="P144" s="1556"/>
      <c r="Q144" s="1552"/>
      <c r="R144" s="1553"/>
      <c r="S144" s="1552"/>
      <c r="T144" s="1553"/>
      <c r="U144" s="1559"/>
      <c r="V144" s="1559"/>
      <c r="W144" s="1559"/>
      <c r="X144" s="1559"/>
      <c r="Y144" s="1549" t="str">
        <f ca="1">Calculos!DD110</f>
        <v/>
      </c>
      <c r="Z144" s="1549"/>
      <c r="AA144" s="1549" t="str">
        <f ca="1">Calculos!DE110</f>
        <v/>
      </c>
      <c r="AB144" s="1549"/>
    </row>
    <row r="145" spans="1:30" ht="20.100000000000001" customHeight="1" x14ac:dyDescent="0.25">
      <c r="A145" s="18"/>
      <c r="B145" s="18"/>
      <c r="C145" s="18"/>
      <c r="D145" s="1"/>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sheetData>
  <sheetProtection algorithmName="SHA-512" hashValue="GhFfC3Ph8VERR1csjmxjGvFqHm3gQ+n6QtEfzITb1BCvotyO4zUjO/FasO3naUMVx3Y8cLVuA+B8+qVk5Yi3dw==" saltValue="h0+nZuaNlhUfp96TMnHjZg==" spinCount="100000" sheet="1" objects="1" scenarios="1" formatColumns="0" formatRows="0"/>
  <mergeCells count="881">
    <mergeCell ref="Q13:T13"/>
    <mergeCell ref="F2:AA7"/>
    <mergeCell ref="U13:V13"/>
    <mergeCell ref="S46:T47"/>
    <mergeCell ref="U46:V47"/>
    <mergeCell ref="S63:T64"/>
    <mergeCell ref="U63:V64"/>
    <mergeCell ref="S80:T81"/>
    <mergeCell ref="U80:V81"/>
    <mergeCell ref="F80:H93"/>
    <mergeCell ref="W41:X41"/>
    <mergeCell ref="I42:L42"/>
    <mergeCell ref="M42:N42"/>
    <mergeCell ref="O42:P42"/>
    <mergeCell ref="Q42:R42"/>
    <mergeCell ref="S42:T42"/>
    <mergeCell ref="U42:V42"/>
    <mergeCell ref="W42:X42"/>
    <mergeCell ref="W90:X90"/>
    <mergeCell ref="I91:L91"/>
    <mergeCell ref="O52:P52"/>
    <mergeCell ref="I52:L52"/>
    <mergeCell ref="M91:N91"/>
    <mergeCell ref="O91:P91"/>
    <mergeCell ref="F131:H144"/>
    <mergeCell ref="F114:H127"/>
    <mergeCell ref="F97:H110"/>
    <mergeCell ref="I97:L98"/>
    <mergeCell ref="M97:N97"/>
    <mergeCell ref="O97:R97"/>
    <mergeCell ref="M98:N98"/>
    <mergeCell ref="O98:R98"/>
    <mergeCell ref="I114:L115"/>
    <mergeCell ref="M114:N114"/>
    <mergeCell ref="O114:R114"/>
    <mergeCell ref="M115:N115"/>
    <mergeCell ref="O115:R115"/>
    <mergeCell ref="I135:L135"/>
    <mergeCell ref="M135:N135"/>
    <mergeCell ref="I144:L144"/>
    <mergeCell ref="M144:N144"/>
    <mergeCell ref="O144:P144"/>
    <mergeCell ref="I140:L140"/>
    <mergeCell ref="I139:L139"/>
    <mergeCell ref="M139:N139"/>
    <mergeCell ref="O139:P139"/>
    <mergeCell ref="M131:N131"/>
    <mergeCell ref="O131:R131"/>
    <mergeCell ref="U139:V139"/>
    <mergeCell ref="I138:L138"/>
    <mergeCell ref="M138:N138"/>
    <mergeCell ref="O138:P138"/>
    <mergeCell ref="U97:V98"/>
    <mergeCell ref="S114:T115"/>
    <mergeCell ref="U114:V115"/>
    <mergeCell ref="S131:T132"/>
    <mergeCell ref="U131:V132"/>
    <mergeCell ref="I137:L137"/>
    <mergeCell ref="I125:L125"/>
    <mergeCell ref="M125:N125"/>
    <mergeCell ref="O125:P125"/>
    <mergeCell ref="M126:N126"/>
    <mergeCell ref="O126:P126"/>
    <mergeCell ref="Q126:R126"/>
    <mergeCell ref="S126:T126"/>
    <mergeCell ref="M127:N127"/>
    <mergeCell ref="O127:P127"/>
    <mergeCell ref="Q127:R127"/>
    <mergeCell ref="S127:T127"/>
    <mergeCell ref="O135:P135"/>
    <mergeCell ref="Q134:R134"/>
    <mergeCell ref="I131:L132"/>
    <mergeCell ref="W139:X139"/>
    <mergeCell ref="W137:X137"/>
    <mergeCell ref="U134:V134"/>
    <mergeCell ref="W134:X134"/>
    <mergeCell ref="W126:X126"/>
    <mergeCell ref="Q140:R140"/>
    <mergeCell ref="S140:T140"/>
    <mergeCell ref="M136:N136"/>
    <mergeCell ref="O136:P136"/>
    <mergeCell ref="Q136:R136"/>
    <mergeCell ref="U136:V136"/>
    <mergeCell ref="S136:T136"/>
    <mergeCell ref="Q137:R137"/>
    <mergeCell ref="S137:T137"/>
    <mergeCell ref="W140:X140"/>
    <mergeCell ref="W138:X138"/>
    <mergeCell ref="M137:N137"/>
    <mergeCell ref="O137:P137"/>
    <mergeCell ref="U137:V137"/>
    <mergeCell ref="U140:V140"/>
    <mergeCell ref="U138:V138"/>
    <mergeCell ref="Q138:R138"/>
    <mergeCell ref="S138:T138"/>
    <mergeCell ref="U126:V126"/>
    <mergeCell ref="U144:V144"/>
    <mergeCell ref="W144:X144"/>
    <mergeCell ref="I143:L143"/>
    <mergeCell ref="M143:N143"/>
    <mergeCell ref="O143:P143"/>
    <mergeCell ref="U143:V143"/>
    <mergeCell ref="W143:X143"/>
    <mergeCell ref="W141:X141"/>
    <mergeCell ref="O142:P142"/>
    <mergeCell ref="U142:V142"/>
    <mergeCell ref="W142:X142"/>
    <mergeCell ref="I141:L141"/>
    <mergeCell ref="M141:N141"/>
    <mergeCell ref="O141:P141"/>
    <mergeCell ref="U141:V141"/>
    <mergeCell ref="M142:N142"/>
    <mergeCell ref="Q141:R141"/>
    <mergeCell ref="S141:T141"/>
    <mergeCell ref="Q142:R142"/>
    <mergeCell ref="I142:L142"/>
    <mergeCell ref="S142:T142"/>
    <mergeCell ref="Q143:R143"/>
    <mergeCell ref="S143:T143"/>
    <mergeCell ref="Q144:R144"/>
    <mergeCell ref="F46:H59"/>
    <mergeCell ref="I63:L64"/>
    <mergeCell ref="M63:N63"/>
    <mergeCell ref="O63:R63"/>
    <mergeCell ref="M64:N64"/>
    <mergeCell ref="O64:R64"/>
    <mergeCell ref="F63:H76"/>
    <mergeCell ref="O76:P76"/>
    <mergeCell ref="I65:L66"/>
    <mergeCell ref="O67:P67"/>
    <mergeCell ref="Q66:R66"/>
    <mergeCell ref="I51:L51"/>
    <mergeCell ref="M51:N51"/>
    <mergeCell ref="O51:P51"/>
    <mergeCell ref="I59:L59"/>
    <mergeCell ref="I55:L55"/>
    <mergeCell ref="M59:N59"/>
    <mergeCell ref="I46:L47"/>
    <mergeCell ref="O47:R47"/>
    <mergeCell ref="M46:N46"/>
    <mergeCell ref="M47:N47"/>
    <mergeCell ref="O46:R46"/>
    <mergeCell ref="M67:N67"/>
    <mergeCell ref="O66:P66"/>
    <mergeCell ref="I127:L127"/>
    <mergeCell ref="U127:V127"/>
    <mergeCell ref="I133:L134"/>
    <mergeCell ref="W136:X136"/>
    <mergeCell ref="S134:T134"/>
    <mergeCell ref="U135:V135"/>
    <mergeCell ref="W135:X135"/>
    <mergeCell ref="I136:L136"/>
    <mergeCell ref="U133:X133"/>
    <mergeCell ref="M133:P133"/>
    <mergeCell ref="Q133:T133"/>
    <mergeCell ref="M134:N134"/>
    <mergeCell ref="O134:P134"/>
    <mergeCell ref="Q135:R135"/>
    <mergeCell ref="S135:T135"/>
    <mergeCell ref="W127:X127"/>
    <mergeCell ref="I126:L126"/>
    <mergeCell ref="W122:X122"/>
    <mergeCell ref="I123:L123"/>
    <mergeCell ref="M123:N123"/>
    <mergeCell ref="O123:P123"/>
    <mergeCell ref="U123:V123"/>
    <mergeCell ref="W123:X123"/>
    <mergeCell ref="I122:L122"/>
    <mergeCell ref="M122:N122"/>
    <mergeCell ref="O122:P122"/>
    <mergeCell ref="U122:V122"/>
    <mergeCell ref="Q122:R122"/>
    <mergeCell ref="S122:T122"/>
    <mergeCell ref="Q123:R123"/>
    <mergeCell ref="S123:T123"/>
    <mergeCell ref="U125:V125"/>
    <mergeCell ref="W125:X125"/>
    <mergeCell ref="I124:L124"/>
    <mergeCell ref="M124:N124"/>
    <mergeCell ref="O124:P124"/>
    <mergeCell ref="U124:V124"/>
    <mergeCell ref="Q124:R124"/>
    <mergeCell ref="S124:T124"/>
    <mergeCell ref="W124:X124"/>
    <mergeCell ref="I121:L121"/>
    <mergeCell ref="M121:N121"/>
    <mergeCell ref="O121:P121"/>
    <mergeCell ref="U121:V121"/>
    <mergeCell ref="W121:X121"/>
    <mergeCell ref="I120:L120"/>
    <mergeCell ref="M120:N120"/>
    <mergeCell ref="O120:P120"/>
    <mergeCell ref="U120:V120"/>
    <mergeCell ref="Q120:R120"/>
    <mergeCell ref="S120:T120"/>
    <mergeCell ref="Q121:R121"/>
    <mergeCell ref="S121:T121"/>
    <mergeCell ref="W120:X120"/>
    <mergeCell ref="U117:V117"/>
    <mergeCell ref="W117:X117"/>
    <mergeCell ref="I116:L117"/>
    <mergeCell ref="M116:P116"/>
    <mergeCell ref="Q116:T116"/>
    <mergeCell ref="M117:N117"/>
    <mergeCell ref="O117:P117"/>
    <mergeCell ref="Q117:R117"/>
    <mergeCell ref="S117:T117"/>
    <mergeCell ref="U116:X116"/>
    <mergeCell ref="U118:V118"/>
    <mergeCell ref="W118:X118"/>
    <mergeCell ref="I119:L119"/>
    <mergeCell ref="M119:N119"/>
    <mergeCell ref="O119:P119"/>
    <mergeCell ref="U119:V119"/>
    <mergeCell ref="W119:X119"/>
    <mergeCell ref="I118:L118"/>
    <mergeCell ref="S118:T118"/>
    <mergeCell ref="Q119:R119"/>
    <mergeCell ref="S119:T119"/>
    <mergeCell ref="U110:V110"/>
    <mergeCell ref="W110:X110"/>
    <mergeCell ref="I109:L109"/>
    <mergeCell ref="M109:N109"/>
    <mergeCell ref="O109:P109"/>
    <mergeCell ref="U109:V109"/>
    <mergeCell ref="Q109:R109"/>
    <mergeCell ref="S109:T109"/>
    <mergeCell ref="M110:N110"/>
    <mergeCell ref="O110:P110"/>
    <mergeCell ref="Q110:R110"/>
    <mergeCell ref="S110:T110"/>
    <mergeCell ref="W109:X109"/>
    <mergeCell ref="I110:L110"/>
    <mergeCell ref="W107:X107"/>
    <mergeCell ref="I108:L108"/>
    <mergeCell ref="M108:N108"/>
    <mergeCell ref="O108:P108"/>
    <mergeCell ref="U108:V108"/>
    <mergeCell ref="W108:X108"/>
    <mergeCell ref="I107:L107"/>
    <mergeCell ref="M107:N107"/>
    <mergeCell ref="O107:P107"/>
    <mergeCell ref="U107:V107"/>
    <mergeCell ref="Q107:R107"/>
    <mergeCell ref="S107:T107"/>
    <mergeCell ref="Q108:R108"/>
    <mergeCell ref="S108:T108"/>
    <mergeCell ref="W105:X105"/>
    <mergeCell ref="I106:L106"/>
    <mergeCell ref="M106:N106"/>
    <mergeCell ref="O106:P106"/>
    <mergeCell ref="U106:V106"/>
    <mergeCell ref="W106:X106"/>
    <mergeCell ref="I105:L105"/>
    <mergeCell ref="M105:N105"/>
    <mergeCell ref="O105:P105"/>
    <mergeCell ref="U105:V105"/>
    <mergeCell ref="Q105:R105"/>
    <mergeCell ref="S105:T105"/>
    <mergeCell ref="Q106:R106"/>
    <mergeCell ref="S106:T106"/>
    <mergeCell ref="U104:V104"/>
    <mergeCell ref="W104:X104"/>
    <mergeCell ref="W102:X102"/>
    <mergeCell ref="I103:L103"/>
    <mergeCell ref="M103:N103"/>
    <mergeCell ref="O103:P103"/>
    <mergeCell ref="U103:V103"/>
    <mergeCell ref="W103:X103"/>
    <mergeCell ref="I104:L104"/>
    <mergeCell ref="Q103:R103"/>
    <mergeCell ref="S103:T103"/>
    <mergeCell ref="Q104:R104"/>
    <mergeCell ref="S104:T104"/>
    <mergeCell ref="I102:L102"/>
    <mergeCell ref="M102:N102"/>
    <mergeCell ref="O102:P102"/>
    <mergeCell ref="U102:V102"/>
    <mergeCell ref="U99:X99"/>
    <mergeCell ref="U100:V100"/>
    <mergeCell ref="W100:X100"/>
    <mergeCell ref="I99:L100"/>
    <mergeCell ref="Q100:R100"/>
    <mergeCell ref="S100:T100"/>
    <mergeCell ref="U101:V101"/>
    <mergeCell ref="W101:X101"/>
    <mergeCell ref="W92:X92"/>
    <mergeCell ref="I93:L93"/>
    <mergeCell ref="M93:N93"/>
    <mergeCell ref="O93:P93"/>
    <mergeCell ref="U93:V93"/>
    <mergeCell ref="W93:X93"/>
    <mergeCell ref="I92:L92"/>
    <mergeCell ref="M92:N92"/>
    <mergeCell ref="O92:P92"/>
    <mergeCell ref="U92:V92"/>
    <mergeCell ref="I101:L101"/>
    <mergeCell ref="M101:N101"/>
    <mergeCell ref="O101:P101"/>
    <mergeCell ref="M100:N100"/>
    <mergeCell ref="O100:P100"/>
    <mergeCell ref="Q101:R101"/>
    <mergeCell ref="U39:V39"/>
    <mergeCell ref="O41:P41"/>
    <mergeCell ref="Q41:R41"/>
    <mergeCell ref="M39:N39"/>
    <mergeCell ref="M40:N40"/>
    <mergeCell ref="O40:P40"/>
    <mergeCell ref="Q40:R40"/>
    <mergeCell ref="S40:T40"/>
    <mergeCell ref="I39:L39"/>
    <mergeCell ref="U91:V91"/>
    <mergeCell ref="W91:X91"/>
    <mergeCell ref="I90:L90"/>
    <mergeCell ref="M90:N90"/>
    <mergeCell ref="O90:P90"/>
    <mergeCell ref="U90:V90"/>
    <mergeCell ref="Q90:R90"/>
    <mergeCell ref="S90:T90"/>
    <mergeCell ref="Q91:R91"/>
    <mergeCell ref="S91:T91"/>
    <mergeCell ref="W88:X88"/>
    <mergeCell ref="I89:L89"/>
    <mergeCell ref="M89:N89"/>
    <mergeCell ref="O89:P89"/>
    <mergeCell ref="U89:V89"/>
    <mergeCell ref="W89:X89"/>
    <mergeCell ref="I88:L88"/>
    <mergeCell ref="M88:N88"/>
    <mergeCell ref="O88:P88"/>
    <mergeCell ref="U88:V88"/>
    <mergeCell ref="Q88:R88"/>
    <mergeCell ref="S88:T88"/>
    <mergeCell ref="Q89:R89"/>
    <mergeCell ref="S89:T89"/>
    <mergeCell ref="W86:X86"/>
    <mergeCell ref="I87:L87"/>
    <mergeCell ref="M87:N87"/>
    <mergeCell ref="O87:P87"/>
    <mergeCell ref="U87:V87"/>
    <mergeCell ref="W87:X87"/>
    <mergeCell ref="I86:L86"/>
    <mergeCell ref="M86:N86"/>
    <mergeCell ref="O86:P86"/>
    <mergeCell ref="U86:V86"/>
    <mergeCell ref="Q87:R87"/>
    <mergeCell ref="S87:T87"/>
    <mergeCell ref="Q86:R86"/>
    <mergeCell ref="S86:T86"/>
    <mergeCell ref="W84:X84"/>
    <mergeCell ref="I85:L85"/>
    <mergeCell ref="M85:N85"/>
    <mergeCell ref="O85:P85"/>
    <mergeCell ref="I82:L83"/>
    <mergeCell ref="U85:V85"/>
    <mergeCell ref="W85:X85"/>
    <mergeCell ref="I84:L84"/>
    <mergeCell ref="M84:N84"/>
    <mergeCell ref="O84:P84"/>
    <mergeCell ref="Q83:R83"/>
    <mergeCell ref="S83:T83"/>
    <mergeCell ref="U84:V84"/>
    <mergeCell ref="U83:V83"/>
    <mergeCell ref="W83:X83"/>
    <mergeCell ref="M83:N83"/>
    <mergeCell ref="O83:P83"/>
    <mergeCell ref="Q84:R84"/>
    <mergeCell ref="S84:T84"/>
    <mergeCell ref="Q85:R85"/>
    <mergeCell ref="S85:T85"/>
    <mergeCell ref="W76:X76"/>
    <mergeCell ref="U74:V74"/>
    <mergeCell ref="W74:X74"/>
    <mergeCell ref="I76:L76"/>
    <mergeCell ref="M76:N76"/>
    <mergeCell ref="I74:L74"/>
    <mergeCell ref="M74:N74"/>
    <mergeCell ref="U82:X82"/>
    <mergeCell ref="I80:L81"/>
    <mergeCell ref="M80:N80"/>
    <mergeCell ref="O80:R80"/>
    <mergeCell ref="M81:N81"/>
    <mergeCell ref="O81:R81"/>
    <mergeCell ref="U76:V76"/>
    <mergeCell ref="O75:P75"/>
    <mergeCell ref="U75:V75"/>
    <mergeCell ref="I75:L75"/>
    <mergeCell ref="M75:N75"/>
    <mergeCell ref="Q76:R76"/>
    <mergeCell ref="S76:T76"/>
    <mergeCell ref="M82:P82"/>
    <mergeCell ref="Q82:T82"/>
    <mergeCell ref="O74:P74"/>
    <mergeCell ref="W75:X75"/>
    <mergeCell ref="U59:V59"/>
    <mergeCell ref="W59:X59"/>
    <mergeCell ref="M55:N55"/>
    <mergeCell ref="O69:P69"/>
    <mergeCell ref="U69:V69"/>
    <mergeCell ref="W69:X69"/>
    <mergeCell ref="U72:V72"/>
    <mergeCell ref="I73:L73"/>
    <mergeCell ref="M73:N73"/>
    <mergeCell ref="O73:P73"/>
    <mergeCell ref="I68:L68"/>
    <mergeCell ref="M68:N68"/>
    <mergeCell ref="O68:P68"/>
    <mergeCell ref="S66:T66"/>
    <mergeCell ref="U67:V67"/>
    <mergeCell ref="U73:V73"/>
    <mergeCell ref="W55:X55"/>
    <mergeCell ref="I56:L56"/>
    <mergeCell ref="M56:N56"/>
    <mergeCell ref="W73:X73"/>
    <mergeCell ref="W68:X68"/>
    <mergeCell ref="I69:L69"/>
    <mergeCell ref="M69:N69"/>
    <mergeCell ref="W67:X67"/>
    <mergeCell ref="U48:X48"/>
    <mergeCell ref="I25:L25"/>
    <mergeCell ref="U25:V25"/>
    <mergeCell ref="M24:N24"/>
    <mergeCell ref="O24:P24"/>
    <mergeCell ref="M25:N25"/>
    <mergeCell ref="O25:P25"/>
    <mergeCell ref="W39:X39"/>
    <mergeCell ref="I40:L40"/>
    <mergeCell ref="S38:T38"/>
    <mergeCell ref="I48:L49"/>
    <mergeCell ref="W49:X49"/>
    <mergeCell ref="O34:P34"/>
    <mergeCell ref="Q34:R34"/>
    <mergeCell ref="S34:T34"/>
    <mergeCell ref="U34:V34"/>
    <mergeCell ref="I34:L34"/>
    <mergeCell ref="U40:V40"/>
    <mergeCell ref="W40:X40"/>
    <mergeCell ref="U41:V41"/>
    <mergeCell ref="I41:L41"/>
    <mergeCell ref="M41:N41"/>
    <mergeCell ref="O39:P39"/>
    <mergeCell ref="Q39:R39"/>
    <mergeCell ref="S19:T19"/>
    <mergeCell ref="Q20:R20"/>
    <mergeCell ref="S20:T20"/>
    <mergeCell ref="Q21:R21"/>
    <mergeCell ref="S21:T21"/>
    <mergeCell ref="W36:X36"/>
    <mergeCell ref="I37:L37"/>
    <mergeCell ref="M37:N37"/>
    <mergeCell ref="O37:P37"/>
    <mergeCell ref="Q37:R37"/>
    <mergeCell ref="S37:T37"/>
    <mergeCell ref="U37:V37"/>
    <mergeCell ref="W37:X37"/>
    <mergeCell ref="W34:X34"/>
    <mergeCell ref="I30:L30"/>
    <mergeCell ref="M35:N35"/>
    <mergeCell ref="O35:P35"/>
    <mergeCell ref="Q35:R35"/>
    <mergeCell ref="S35:T35"/>
    <mergeCell ref="Q36:R36"/>
    <mergeCell ref="S36:T36"/>
    <mergeCell ref="W24:X24"/>
    <mergeCell ref="U24:V24"/>
    <mergeCell ref="W35:X35"/>
    <mergeCell ref="U14:X14"/>
    <mergeCell ref="U15:V15"/>
    <mergeCell ref="W15:X15"/>
    <mergeCell ref="U65:X65"/>
    <mergeCell ref="U51:V51"/>
    <mergeCell ref="W51:X51"/>
    <mergeCell ref="M20:N20"/>
    <mergeCell ref="O20:P20"/>
    <mergeCell ref="W53:X53"/>
    <mergeCell ref="M54:N54"/>
    <mergeCell ref="O36:P36"/>
    <mergeCell ref="U23:V23"/>
    <mergeCell ref="W23:X23"/>
    <mergeCell ref="W19:X19"/>
    <mergeCell ref="U38:V38"/>
    <mergeCell ref="O59:P59"/>
    <mergeCell ref="U49:V49"/>
    <mergeCell ref="M19:N19"/>
    <mergeCell ref="O54:P54"/>
    <mergeCell ref="M53:N53"/>
    <mergeCell ref="O53:P53"/>
    <mergeCell ref="U53:V53"/>
    <mergeCell ref="M52:N52"/>
    <mergeCell ref="U17:V17"/>
    <mergeCell ref="W17:X17"/>
    <mergeCell ref="U18:V18"/>
    <mergeCell ref="W18:X18"/>
    <mergeCell ref="W20:X20"/>
    <mergeCell ref="U20:V20"/>
    <mergeCell ref="I54:L54"/>
    <mergeCell ref="U66:V66"/>
    <mergeCell ref="W54:X54"/>
    <mergeCell ref="I33:L33"/>
    <mergeCell ref="I53:L53"/>
    <mergeCell ref="U52:V52"/>
    <mergeCell ref="U54:V54"/>
    <mergeCell ref="M50:N50"/>
    <mergeCell ref="O50:P50"/>
    <mergeCell ref="Q50:R50"/>
    <mergeCell ref="I36:L36"/>
    <mergeCell ref="M36:N36"/>
    <mergeCell ref="O38:P38"/>
    <mergeCell ref="I38:L38"/>
    <mergeCell ref="M38:N38"/>
    <mergeCell ref="U22:V22"/>
    <mergeCell ref="W22:X22"/>
    <mergeCell ref="S18:T18"/>
    <mergeCell ref="Q38:R38"/>
    <mergeCell ref="I14:L15"/>
    <mergeCell ref="M16:N16"/>
    <mergeCell ref="O16:P16"/>
    <mergeCell ref="M23:N23"/>
    <mergeCell ref="O23:P23"/>
    <mergeCell ref="I16:L16"/>
    <mergeCell ref="I20:L20"/>
    <mergeCell ref="I22:L22"/>
    <mergeCell ref="Q15:R15"/>
    <mergeCell ref="I23:L23"/>
    <mergeCell ref="M18:N18"/>
    <mergeCell ref="O18:P18"/>
    <mergeCell ref="O21:P21"/>
    <mergeCell ref="I19:L19"/>
    <mergeCell ref="I18:L18"/>
    <mergeCell ref="M22:N22"/>
    <mergeCell ref="O22:P22"/>
    <mergeCell ref="O19:P19"/>
    <mergeCell ref="Q19:R19"/>
    <mergeCell ref="Q18:R18"/>
    <mergeCell ref="M21:N21"/>
    <mergeCell ref="Q22:R22"/>
    <mergeCell ref="S15:T15"/>
    <mergeCell ref="Q16:R16"/>
    <mergeCell ref="S16:T16"/>
    <mergeCell ref="Q17:R17"/>
    <mergeCell ref="S17:T17"/>
    <mergeCell ref="M14:P14"/>
    <mergeCell ref="M15:N15"/>
    <mergeCell ref="O15:P15"/>
    <mergeCell ref="M17:N17"/>
    <mergeCell ref="O17:P17"/>
    <mergeCell ref="Q14:T14"/>
    <mergeCell ref="Q67:R67"/>
    <mergeCell ref="S67:T67"/>
    <mergeCell ref="Q68:R68"/>
    <mergeCell ref="S68:T68"/>
    <mergeCell ref="Q69:R69"/>
    <mergeCell ref="S69:T69"/>
    <mergeCell ref="W66:X66"/>
    <mergeCell ref="I67:L67"/>
    <mergeCell ref="M66:N66"/>
    <mergeCell ref="U68:V68"/>
    <mergeCell ref="I72:L72"/>
    <mergeCell ref="M72:N72"/>
    <mergeCell ref="O72:P72"/>
    <mergeCell ref="I70:L70"/>
    <mergeCell ref="M70:N70"/>
    <mergeCell ref="O70:P70"/>
    <mergeCell ref="U70:V70"/>
    <mergeCell ref="W70:X70"/>
    <mergeCell ref="I71:L71"/>
    <mergeCell ref="M71:N71"/>
    <mergeCell ref="O71:P71"/>
    <mergeCell ref="U71:V71"/>
    <mergeCell ref="W71:X71"/>
    <mergeCell ref="W72:X72"/>
    <mergeCell ref="I58:L58"/>
    <mergeCell ref="M58:N58"/>
    <mergeCell ref="O58:P58"/>
    <mergeCell ref="U57:V57"/>
    <mergeCell ref="W57:X57"/>
    <mergeCell ref="U58:V58"/>
    <mergeCell ref="W58:X58"/>
    <mergeCell ref="I57:L57"/>
    <mergeCell ref="M57:N57"/>
    <mergeCell ref="O57:P57"/>
    <mergeCell ref="Q58:R58"/>
    <mergeCell ref="W52:X52"/>
    <mergeCell ref="M30:P30"/>
    <mergeCell ref="I31:L32"/>
    <mergeCell ref="O32:P32"/>
    <mergeCell ref="Q32:R32"/>
    <mergeCell ref="O56:P56"/>
    <mergeCell ref="U56:V56"/>
    <mergeCell ref="W56:X56"/>
    <mergeCell ref="U55:V55"/>
    <mergeCell ref="O55:P55"/>
    <mergeCell ref="I50:L50"/>
    <mergeCell ref="M49:N49"/>
    <mergeCell ref="O49:P49"/>
    <mergeCell ref="Q49:R49"/>
    <mergeCell ref="S49:T49"/>
    <mergeCell ref="U50:V50"/>
    <mergeCell ref="W50:X50"/>
    <mergeCell ref="M32:N32"/>
    <mergeCell ref="S32:T32"/>
    <mergeCell ref="M33:N33"/>
    <mergeCell ref="O33:P33"/>
    <mergeCell ref="Q33:R33"/>
    <mergeCell ref="S33:T33"/>
    <mergeCell ref="M34:N34"/>
    <mergeCell ref="F30:H42"/>
    <mergeCell ref="U19:V19"/>
    <mergeCell ref="F13:H25"/>
    <mergeCell ref="U31:X31"/>
    <mergeCell ref="W32:X32"/>
    <mergeCell ref="W33:X33"/>
    <mergeCell ref="W38:X38"/>
    <mergeCell ref="U16:V16"/>
    <mergeCell ref="W16:X16"/>
    <mergeCell ref="M31:P31"/>
    <mergeCell ref="Q31:T31"/>
    <mergeCell ref="I13:L13"/>
    <mergeCell ref="M13:P13"/>
    <mergeCell ref="I21:L21"/>
    <mergeCell ref="W25:X25"/>
    <mergeCell ref="I24:L24"/>
    <mergeCell ref="U32:V32"/>
    <mergeCell ref="I17:L17"/>
    <mergeCell ref="I35:L35"/>
    <mergeCell ref="U36:V36"/>
    <mergeCell ref="U33:V33"/>
    <mergeCell ref="U21:V21"/>
    <mergeCell ref="W21:X21"/>
    <mergeCell ref="U35:V35"/>
    <mergeCell ref="S22:T22"/>
    <mergeCell ref="Q23:R23"/>
    <mergeCell ref="S23:T23"/>
    <mergeCell ref="Q24:R24"/>
    <mergeCell ref="S24:T24"/>
    <mergeCell ref="Q25:R25"/>
    <mergeCell ref="S25:T25"/>
    <mergeCell ref="S52:T52"/>
    <mergeCell ref="Q53:R53"/>
    <mergeCell ref="S53:T53"/>
    <mergeCell ref="S41:T41"/>
    <mergeCell ref="S39:T39"/>
    <mergeCell ref="Q54:R54"/>
    <mergeCell ref="S54:T54"/>
    <mergeCell ref="M48:P48"/>
    <mergeCell ref="Q48:T48"/>
    <mergeCell ref="S50:T50"/>
    <mergeCell ref="Q51:R51"/>
    <mergeCell ref="S51:T51"/>
    <mergeCell ref="Q52:R52"/>
    <mergeCell ref="Q59:R59"/>
    <mergeCell ref="S59:T59"/>
    <mergeCell ref="M65:P65"/>
    <mergeCell ref="Q65:T65"/>
    <mergeCell ref="Q55:R55"/>
    <mergeCell ref="S55:T55"/>
    <mergeCell ref="Q56:R56"/>
    <mergeCell ref="S56:T56"/>
    <mergeCell ref="Q57:R57"/>
    <mergeCell ref="S57:T57"/>
    <mergeCell ref="S58:T58"/>
    <mergeCell ref="Q73:R73"/>
    <mergeCell ref="S73:T73"/>
    <mergeCell ref="Q74:R74"/>
    <mergeCell ref="S74:T74"/>
    <mergeCell ref="Q75:R75"/>
    <mergeCell ref="S75:T75"/>
    <mergeCell ref="Q70:R70"/>
    <mergeCell ref="S70:T70"/>
    <mergeCell ref="Q71:R71"/>
    <mergeCell ref="S71:T71"/>
    <mergeCell ref="Q72:R72"/>
    <mergeCell ref="S72:T72"/>
    <mergeCell ref="S144:T144"/>
    <mergeCell ref="Q92:R92"/>
    <mergeCell ref="S92:T92"/>
    <mergeCell ref="Q93:R93"/>
    <mergeCell ref="S93:T93"/>
    <mergeCell ref="M99:P99"/>
    <mergeCell ref="Q99:T99"/>
    <mergeCell ref="Q139:R139"/>
    <mergeCell ref="S139:T139"/>
    <mergeCell ref="Q118:R118"/>
    <mergeCell ref="S101:T101"/>
    <mergeCell ref="Q102:R102"/>
    <mergeCell ref="S102:T102"/>
    <mergeCell ref="M104:N104"/>
    <mergeCell ref="O104:P104"/>
    <mergeCell ref="M118:N118"/>
    <mergeCell ref="O118:P118"/>
    <mergeCell ref="Q125:R125"/>
    <mergeCell ref="S125:T125"/>
    <mergeCell ref="S97:T98"/>
    <mergeCell ref="M140:N140"/>
    <mergeCell ref="O140:P140"/>
    <mergeCell ref="M132:N132"/>
    <mergeCell ref="O132:R132"/>
    <mergeCell ref="Y14:AB14"/>
    <mergeCell ref="Y15:Z15"/>
    <mergeCell ref="AA15:AB15"/>
    <mergeCell ref="Y16:Z16"/>
    <mergeCell ref="AA16:AB16"/>
    <mergeCell ref="Y17:Z17"/>
    <mergeCell ref="AA17:AB17"/>
    <mergeCell ref="Y18:Z18"/>
    <mergeCell ref="AA18:AB18"/>
    <mergeCell ref="Y19:Z19"/>
    <mergeCell ref="AA19:AB19"/>
    <mergeCell ref="Y20:Z20"/>
    <mergeCell ref="AA20:AB20"/>
    <mergeCell ref="Y21:Z21"/>
    <mergeCell ref="AA21:AB21"/>
    <mergeCell ref="Y22:Z22"/>
    <mergeCell ref="AA22:AB22"/>
    <mergeCell ref="Y23:Z23"/>
    <mergeCell ref="AA23:AB23"/>
    <mergeCell ref="Y24:Z24"/>
    <mergeCell ref="AA24:AB24"/>
    <mergeCell ref="Y25:Z25"/>
    <mergeCell ref="AA25:AB25"/>
    <mergeCell ref="Y31:AB31"/>
    <mergeCell ref="Y32:Z32"/>
    <mergeCell ref="AA32:AB32"/>
    <mergeCell ref="Y33:Z33"/>
    <mergeCell ref="AA33:AB33"/>
    <mergeCell ref="Y34:Z34"/>
    <mergeCell ref="AA34:AB34"/>
    <mergeCell ref="Y35:Z35"/>
    <mergeCell ref="AA35:AB35"/>
    <mergeCell ref="Y36:Z36"/>
    <mergeCell ref="AA36:AB36"/>
    <mergeCell ref="Y37:Z37"/>
    <mergeCell ref="AA37:AB37"/>
    <mergeCell ref="Y38:Z38"/>
    <mergeCell ref="AA38:AB38"/>
    <mergeCell ref="Y39:Z39"/>
    <mergeCell ref="AA39:AB39"/>
    <mergeCell ref="Y40:Z40"/>
    <mergeCell ref="AA40:AB40"/>
    <mergeCell ref="Y41:Z41"/>
    <mergeCell ref="AA41:AB41"/>
    <mergeCell ref="Y42:Z42"/>
    <mergeCell ref="AA42:AB42"/>
    <mergeCell ref="Y48:AB48"/>
    <mergeCell ref="Y49:Z49"/>
    <mergeCell ref="AA49:AB49"/>
    <mergeCell ref="Y50:Z50"/>
    <mergeCell ref="AA50:AB50"/>
    <mergeCell ref="Y51:Z51"/>
    <mergeCell ref="AA51:AB51"/>
    <mergeCell ref="Y52:Z52"/>
    <mergeCell ref="AA52:AB52"/>
    <mergeCell ref="Y53:Z53"/>
    <mergeCell ref="AA53:AB53"/>
    <mergeCell ref="Y54:Z54"/>
    <mergeCell ref="AA54:AB54"/>
    <mergeCell ref="Y55:Z55"/>
    <mergeCell ref="AA55:AB55"/>
    <mergeCell ref="Y56:Z56"/>
    <mergeCell ref="AA56:AB56"/>
    <mergeCell ref="Y57:Z57"/>
    <mergeCell ref="AA57:AB57"/>
    <mergeCell ref="Y58:Z58"/>
    <mergeCell ref="AA58:AB58"/>
    <mergeCell ref="Y59:Z59"/>
    <mergeCell ref="AA59:AB59"/>
    <mergeCell ref="Y65:AB65"/>
    <mergeCell ref="Y66:Z66"/>
    <mergeCell ref="AA66:AB66"/>
    <mergeCell ref="Y67:Z67"/>
    <mergeCell ref="AA67:AB67"/>
    <mergeCell ref="Y68:Z68"/>
    <mergeCell ref="AA68:AB68"/>
    <mergeCell ref="Y69:Z69"/>
    <mergeCell ref="AA69:AB69"/>
    <mergeCell ref="Y70:Z70"/>
    <mergeCell ref="AA70:AB70"/>
    <mergeCell ref="Y71:Z71"/>
    <mergeCell ref="AA71:AB71"/>
    <mergeCell ref="Y72:Z72"/>
    <mergeCell ref="AA72:AB72"/>
    <mergeCell ref="Y73:Z73"/>
    <mergeCell ref="AA73:AB73"/>
    <mergeCell ref="Y74:Z74"/>
    <mergeCell ref="AA74:AB74"/>
    <mergeCell ref="Y75:Z75"/>
    <mergeCell ref="AA75:AB75"/>
    <mergeCell ref="Y76:Z76"/>
    <mergeCell ref="AA76:AB76"/>
    <mergeCell ref="Y82:AB82"/>
    <mergeCell ref="Y83:Z83"/>
    <mergeCell ref="AA83:AB83"/>
    <mergeCell ref="Y84:Z84"/>
    <mergeCell ref="AA84:AB84"/>
    <mergeCell ref="Y85:Z85"/>
    <mergeCell ref="AA85:AB85"/>
    <mergeCell ref="Y86:Z86"/>
    <mergeCell ref="AA86:AB86"/>
    <mergeCell ref="Y87:Z87"/>
    <mergeCell ref="AA87:AB87"/>
    <mergeCell ref="Y88:Z88"/>
    <mergeCell ref="AA88:AB88"/>
    <mergeCell ref="Y89:Z89"/>
    <mergeCell ref="AA89:AB89"/>
    <mergeCell ref="Y90:Z90"/>
    <mergeCell ref="AA90:AB90"/>
    <mergeCell ref="Y91:Z91"/>
    <mergeCell ref="AA91:AB91"/>
    <mergeCell ref="Y92:Z92"/>
    <mergeCell ref="AA92:AB92"/>
    <mergeCell ref="Y93:Z93"/>
    <mergeCell ref="AA93:AB93"/>
    <mergeCell ref="Y99:AB99"/>
    <mergeCell ref="Y100:Z100"/>
    <mergeCell ref="AA100:AB100"/>
    <mergeCell ref="Y101:Z101"/>
    <mergeCell ref="AA101:AB101"/>
    <mergeCell ref="Y102:Z102"/>
    <mergeCell ref="AA102:AB102"/>
    <mergeCell ref="Y103:Z103"/>
    <mergeCell ref="AA103:AB103"/>
    <mergeCell ref="Y104:Z104"/>
    <mergeCell ref="AA104:AB104"/>
    <mergeCell ref="Y105:Z105"/>
    <mergeCell ref="AA105:AB105"/>
    <mergeCell ref="Y106:Z106"/>
    <mergeCell ref="AA106:AB106"/>
    <mergeCell ref="Y107:Z107"/>
    <mergeCell ref="AA107:AB107"/>
    <mergeCell ref="Y108:Z108"/>
    <mergeCell ref="AA108:AB108"/>
    <mergeCell ref="Y109:Z109"/>
    <mergeCell ref="AA109:AB109"/>
    <mergeCell ref="Y110:Z110"/>
    <mergeCell ref="AA110:AB110"/>
    <mergeCell ref="Y116:AB116"/>
    <mergeCell ref="Y117:Z117"/>
    <mergeCell ref="AA117:AB117"/>
    <mergeCell ref="Y118:Z118"/>
    <mergeCell ref="AA118:AB118"/>
    <mergeCell ref="Y119:Z119"/>
    <mergeCell ref="AA119:AB119"/>
    <mergeCell ref="Y120:Z120"/>
    <mergeCell ref="AA120:AB120"/>
    <mergeCell ref="Y121:Z121"/>
    <mergeCell ref="AA121:AB121"/>
    <mergeCell ref="Y122:Z122"/>
    <mergeCell ref="AA122:AB122"/>
    <mergeCell ref="Y123:Z123"/>
    <mergeCell ref="AA123:AB123"/>
    <mergeCell ref="Y124:Z124"/>
    <mergeCell ref="AA124:AB124"/>
    <mergeCell ref="Y139:Z139"/>
    <mergeCell ref="AA139:AB139"/>
    <mergeCell ref="Y140:Z140"/>
    <mergeCell ref="AA140:AB140"/>
    <mergeCell ref="Y141:Z141"/>
    <mergeCell ref="AA141:AB141"/>
    <mergeCell ref="Y142:Z142"/>
    <mergeCell ref="AA142:AB142"/>
    <mergeCell ref="Y143:Z143"/>
    <mergeCell ref="AA143:AB143"/>
    <mergeCell ref="Y144:Z144"/>
    <mergeCell ref="AA144:AB144"/>
    <mergeCell ref="Y125:Z125"/>
    <mergeCell ref="AA125:AB125"/>
    <mergeCell ref="Y126:Z126"/>
    <mergeCell ref="AA126:AB126"/>
    <mergeCell ref="Y127:Z127"/>
    <mergeCell ref="AA127:AB127"/>
    <mergeCell ref="Y133:AB133"/>
    <mergeCell ref="Y134:Z134"/>
    <mergeCell ref="AA134:AB134"/>
    <mergeCell ref="Y135:Z135"/>
    <mergeCell ref="AA135:AB135"/>
    <mergeCell ref="Y136:Z136"/>
    <mergeCell ref="AA136:AB136"/>
    <mergeCell ref="Y137:Z137"/>
    <mergeCell ref="AA137:AB137"/>
    <mergeCell ref="Y138:Z138"/>
    <mergeCell ref="AA138:AB138"/>
  </mergeCells>
  <dataValidations xWindow="877" yWindow="641" count="5">
    <dataValidation type="whole" operator="greaterThanOrEqual" allowBlank="1" showInputMessage="1" showErrorMessage="1" errorTitle="Valor inválido" error="O valor informada deve ser um número inteiro" sqref="U16:X25 U33:X42 U50:X59 U67:X76 U84:X93 U101:X110 U118:X127 U135:X144" xr:uid="{B96BEA23-AFFF-4159-9BA2-8FFCD011D6C2}">
      <formula1>0</formula1>
    </dataValidation>
    <dataValidation allowBlank="1" showInputMessage="1" showErrorMessage="1" promptTitle="Ajuda" prompt="Começar o preenchimento na 1ª linha tanto para machos quanto para fêmeas. _x000a__x000a_Para estudos conduzidos com machos e fêmeas o resultado de ambos deverá ser preenchido a partir da 1ª linha de resultado." sqref="I14:L15 I31:L32 I48:L49 I65:L66 I82:L83 I99:L100 I116:L117 I133:L134" xr:uid="{04B4FDB2-C42E-4EEC-A4F7-93DFEBA2FC17}"/>
    <dataValidation allowBlank="1" showInputMessage="1" showErrorMessage="1" promptTitle="Ajuda" prompt="Quando os dados forem apresentados tanto para 24h quanto para 48h, devem-ser preenchidos os resultados referentes a 24h." sqref="F131:H144 F30:H42 F46:H59 F63:H76 F80:H93 F97:H110 F114:H127 F13:H25" xr:uid="{C14B6170-186B-4C39-87BC-B47B44E79F9E}"/>
    <dataValidation allowBlank="1" showInputMessage="1" showErrorMessage="1" promptTitle="Ajuda" prompt="Quantidade de eritrócitos policromáticos (EP) analisados para determinação da incidência de eritrócitos policromáticos micronucleados (%EPMN)." sqref="Q14:T14 Q31:T31 Q48:T48 Q65:T65 Q82:T82 Q99:T99 Q116:T116 Q133:T133" xr:uid="{907CA5B8-9709-41F9-AD9A-31977216F04C}"/>
    <dataValidation type="decimal" operator="greaterThanOrEqual" allowBlank="1" showInputMessage="1" showErrorMessage="1" errorTitle="Valor inválido" error="O valor informada deve ser um número válido" sqref="M16:T25 M33:T42 M50:T59 M67:T76 M84:T93 M101:T110 M118:T127 M135:T144" xr:uid="{305D3E0E-B2E3-4BD9-BC8F-BA43F0E80356}">
      <formula1>0</formula1>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xWindow="877" yWindow="641" count="1">
        <x14:dataValidation type="list" allowBlank="1" showInputMessage="1" showErrorMessage="1" xr:uid="{E3353A05-7369-4B69-B43A-A8738AD15406}">
          <x14:formula1>
            <xm:f>Tabelas_fonte!$AQ$41:$AQ$42</xm:f>
          </x14:formula1>
          <xm:sqref>U13:V13 U46 U63 U80 U97 U114 U131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69D7E-606F-4853-B53A-64C8592A6761}">
  <sheetPr codeName="Planilha34">
    <tabColor theme="8" tint="0.59999389629810485"/>
  </sheetPr>
  <dimension ref="A1:CL137"/>
  <sheetViews>
    <sheetView showGridLines="0" topLeftCell="D1" zoomScaleNormal="100" workbookViewId="0">
      <selection activeCell="D1" sqref="D1"/>
    </sheetView>
  </sheetViews>
  <sheetFormatPr defaultColWidth="0" defaultRowHeight="15" customHeight="1" zeroHeight="1" x14ac:dyDescent="0.25"/>
  <cols>
    <col min="1" max="3" width="2.7109375" style="20" hidden="1" customWidth="1"/>
    <col min="4" max="5" width="2.7109375" style="20" customWidth="1"/>
    <col min="6" max="13" width="4.7109375" style="20" customWidth="1"/>
    <col min="14" max="14" width="5.7109375" style="20" customWidth="1"/>
    <col min="15" max="30" width="4.7109375" style="20" customWidth="1"/>
    <col min="31" max="31" width="5.5703125" style="20" customWidth="1"/>
    <col min="32" max="41" width="4.7109375" style="20" customWidth="1"/>
    <col min="42" max="42" width="5.42578125" style="20" customWidth="1"/>
    <col min="43" max="43" width="4.7109375" style="20" customWidth="1"/>
    <col min="44" max="44" width="4.5703125" style="20" customWidth="1"/>
    <col min="45" max="90" width="4.5703125" style="20" hidden="1" customWidth="1"/>
    <col min="91" max="16384" width="9.140625" style="20" hidden="1"/>
  </cols>
  <sheetData>
    <row r="1" spans="1:44" x14ac:dyDescent="0.25">
      <c r="A1" s="18"/>
      <c r="B1" s="18"/>
      <c r="C1" s="18"/>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5" customHeight="1" x14ac:dyDescent="0.25">
      <c r="A2" s="18"/>
      <c r="B2" s="18"/>
      <c r="C2" s="18"/>
      <c r="D2" s="1"/>
      <c r="E2" s="158"/>
      <c r="F2" s="1148" t="s">
        <v>8594</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c r="AO2" s="2"/>
      <c r="AP2" s="2"/>
      <c r="AQ2" s="2"/>
      <c r="AR2" s="2"/>
    </row>
    <row r="3" spans="1:44" ht="15" customHeight="1" x14ac:dyDescent="0.25">
      <c r="A3" s="18"/>
      <c r="B3" s="18"/>
      <c r="C3" s="18"/>
      <c r="D3" s="1"/>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c r="AO3" s="2"/>
      <c r="AP3" s="2"/>
      <c r="AQ3" s="2"/>
      <c r="AR3" s="2"/>
    </row>
    <row r="4" spans="1:44" ht="15" customHeight="1" x14ac:dyDescent="0.25">
      <c r="A4" s="18"/>
      <c r="B4" s="18"/>
      <c r="C4" s="18"/>
      <c r="D4" s="1"/>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c r="AO4" s="2"/>
      <c r="AP4" s="2"/>
      <c r="AQ4" s="2"/>
      <c r="AR4" s="2"/>
    </row>
    <row r="5" spans="1:44" ht="15" customHeight="1" x14ac:dyDescent="0.25">
      <c r="A5" s="18"/>
      <c r="B5" s="18"/>
      <c r="C5" s="18"/>
      <c r="D5" s="1"/>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c r="AO5" s="2"/>
      <c r="AP5" s="2"/>
      <c r="AQ5" s="2"/>
      <c r="AR5" s="2"/>
    </row>
    <row r="6" spans="1:44" ht="15" customHeight="1" x14ac:dyDescent="0.25">
      <c r="A6" s="18"/>
      <c r="B6" s="18"/>
      <c r="C6" s="18"/>
      <c r="D6" s="1"/>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c r="AO6" s="2"/>
      <c r="AP6" s="2"/>
      <c r="AQ6" s="2"/>
      <c r="AR6" s="73"/>
    </row>
    <row r="7" spans="1:44" ht="20.100000000000001" customHeight="1" x14ac:dyDescent="0.25">
      <c r="A7" s="18"/>
      <c r="B7" s="18"/>
      <c r="C7" s="18"/>
      <c r="D7" s="1"/>
      <c r="E7" s="158"/>
      <c r="F7" s="1024" t="str">
        <f ca="1">Alertas!S18</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c r="AO7" s="2"/>
      <c r="AP7" s="2"/>
      <c r="AQ7" s="2"/>
      <c r="AR7" s="73"/>
    </row>
    <row r="8" spans="1:44" ht="15" customHeight="1" x14ac:dyDescent="0.25">
      <c r="A8" s="18"/>
      <c r="B8" s="18"/>
      <c r="C8" s="18"/>
      <c r="D8" s="1"/>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5" customHeight="1" x14ac:dyDescent="0.25">
      <c r="A9" s="18"/>
      <c r="B9" s="18"/>
      <c r="C9" s="18"/>
      <c r="D9" s="1"/>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30" customHeight="1" x14ac:dyDescent="0.25">
      <c r="A10" s="18"/>
      <c r="B10" s="18"/>
      <c r="C10" s="18"/>
      <c r="D10" s="1"/>
      <c r="E10" s="2"/>
      <c r="F10" s="1149" t="s">
        <v>30</v>
      </c>
      <c r="G10" s="1094"/>
      <c r="H10" s="1094"/>
      <c r="I10" s="1094"/>
      <c r="J10" s="1094"/>
      <c r="K10" s="1094"/>
      <c r="L10" s="1104"/>
      <c r="M10" s="148" t="s">
        <v>186</v>
      </c>
      <c r="N10" s="1032"/>
      <c r="O10" s="1033"/>
      <c r="P10" s="1033"/>
      <c r="Q10" s="1033"/>
      <c r="R10" s="1033"/>
      <c r="S10" s="1033"/>
      <c r="T10" s="1033"/>
      <c r="U10" s="1033"/>
      <c r="V10" s="1033"/>
      <c r="W10" s="1033"/>
      <c r="X10" s="1033"/>
      <c r="Y10" s="1033"/>
      <c r="Z10" s="1034"/>
      <c r="AA10" s="1008" t="s">
        <v>294</v>
      </c>
      <c r="AB10" s="1009"/>
      <c r="AC10" s="1009"/>
      <c r="AD10" s="1041"/>
      <c r="AE10" s="148" t="s">
        <v>186</v>
      </c>
      <c r="AF10" s="1140"/>
      <c r="AG10" s="1141"/>
      <c r="AH10" s="1141"/>
      <c r="AI10" s="1141"/>
      <c r="AJ10" s="1142"/>
      <c r="AK10" s="2"/>
      <c r="AL10" s="2"/>
      <c r="AM10" s="2"/>
      <c r="AN10" s="2"/>
      <c r="AO10" s="2"/>
      <c r="AP10" s="184"/>
      <c r="AQ10" s="184"/>
      <c r="AR10" s="184"/>
    </row>
    <row r="11" spans="1:44" ht="60" customHeight="1" x14ac:dyDescent="0.25">
      <c r="A11" s="18"/>
      <c r="B11" s="18"/>
      <c r="C11" s="18"/>
      <c r="D11" s="1"/>
      <c r="E11" s="2"/>
      <c r="F11" s="1008" t="s">
        <v>7300</v>
      </c>
      <c r="G11" s="1009"/>
      <c r="H11" s="1009"/>
      <c r="I11" s="1009"/>
      <c r="J11" s="1009"/>
      <c r="K11" s="1009"/>
      <c r="L11" s="1041"/>
      <c r="M11" s="148" t="s">
        <v>186</v>
      </c>
      <c r="N11" s="1032"/>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4"/>
      <c r="AK11" s="1158" t="s">
        <v>271</v>
      </c>
      <c r="AL11" s="1159"/>
      <c r="AM11" s="1159"/>
      <c r="AN11" s="1159"/>
      <c r="AO11" s="2"/>
      <c r="AP11" s="184"/>
      <c r="AQ11" s="184"/>
      <c r="AR11" s="184"/>
    </row>
    <row r="12" spans="1:44" ht="20.100000000000001" customHeight="1" x14ac:dyDescent="0.25">
      <c r="A12" s="18"/>
      <c r="B12" s="18"/>
      <c r="C12" s="18"/>
      <c r="D12" s="1"/>
      <c r="E12" s="2"/>
      <c r="F12" s="1008" t="s">
        <v>6029</v>
      </c>
      <c r="G12" s="1009"/>
      <c r="H12" s="1009"/>
      <c r="I12" s="1009"/>
      <c r="J12" s="1009"/>
      <c r="K12" s="1009"/>
      <c r="L12" s="1041"/>
      <c r="M12" s="148" t="s">
        <v>186</v>
      </c>
      <c r="N12" s="1147"/>
      <c r="O12" s="1096"/>
      <c r="P12" s="1096"/>
      <c r="Q12" s="1096"/>
      <c r="R12" s="1096"/>
      <c r="S12" s="1097"/>
      <c r="T12" s="160"/>
      <c r="U12" s="160"/>
      <c r="V12" s="160"/>
      <c r="W12" s="160"/>
      <c r="X12" s="160"/>
      <c r="Y12" s="160"/>
      <c r="Z12" s="160"/>
      <c r="AA12" s="263"/>
      <c r="AB12" s="173"/>
      <c r="AC12" s="173"/>
      <c r="AD12" s="173"/>
      <c r="AE12" s="173"/>
      <c r="AF12" s="264"/>
      <c r="AG12" s="160"/>
      <c r="AH12" s="160"/>
      <c r="AI12" s="160"/>
      <c r="AJ12" s="160"/>
      <c r="AK12" s="2"/>
      <c r="AL12" s="2"/>
      <c r="AM12" s="2"/>
      <c r="AN12" s="2"/>
      <c r="AO12" s="2"/>
      <c r="AP12" s="184"/>
      <c r="AQ12" s="184"/>
      <c r="AR12" s="184"/>
    </row>
    <row r="13" spans="1:44" ht="20.100000000000001" customHeight="1" x14ac:dyDescent="0.25">
      <c r="A13" s="18"/>
      <c r="B13" s="18"/>
      <c r="C13" s="18"/>
      <c r="D13" s="1"/>
      <c r="E13" s="2"/>
      <c r="F13" s="1149" t="s">
        <v>218</v>
      </c>
      <c r="G13" s="1094"/>
      <c r="H13" s="1094"/>
      <c r="I13" s="1094"/>
      <c r="J13" s="1094"/>
      <c r="K13" s="1094"/>
      <c r="L13" s="1104"/>
      <c r="M13" s="148" t="s">
        <v>186</v>
      </c>
      <c r="N13" s="1513"/>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5"/>
      <c r="AK13" s="265"/>
      <c r="AL13" s="2"/>
      <c r="AM13" s="2"/>
      <c r="AN13" s="2"/>
      <c r="AO13" s="2"/>
      <c r="AP13" s="184"/>
      <c r="AQ13" s="184"/>
      <c r="AR13" s="184"/>
    </row>
    <row r="14" spans="1:44" ht="20.100000000000001" customHeight="1" x14ac:dyDescent="0.25">
      <c r="A14" s="18"/>
      <c r="B14" s="18"/>
      <c r="C14" s="18"/>
      <c r="D14" s="1"/>
      <c r="E14" s="2"/>
      <c r="F14" s="1149" t="s">
        <v>311</v>
      </c>
      <c r="G14" s="1094"/>
      <c r="H14" s="1094"/>
      <c r="I14" s="1094"/>
      <c r="J14" s="1094"/>
      <c r="K14" s="1094"/>
      <c r="L14" s="1094"/>
      <c r="M14" s="1150"/>
      <c r="N14" s="1513"/>
      <c r="O14" s="1514"/>
      <c r="P14" s="1514"/>
      <c r="Q14" s="1514"/>
      <c r="R14" s="1514"/>
      <c r="S14" s="1514"/>
      <c r="T14" s="1514"/>
      <c r="U14" s="1514"/>
      <c r="V14" s="1514"/>
      <c r="W14" s="1514"/>
      <c r="X14" s="1514"/>
      <c r="Y14" s="1514"/>
      <c r="Z14" s="1514"/>
      <c r="AA14" s="1514"/>
      <c r="AB14" s="1514"/>
      <c r="AC14" s="1514"/>
      <c r="AD14" s="1514"/>
      <c r="AE14" s="1514"/>
      <c r="AF14" s="1514"/>
      <c r="AG14" s="1514"/>
      <c r="AH14" s="1514"/>
      <c r="AI14" s="1514"/>
      <c r="AJ14" s="1515"/>
      <c r="AK14" s="163"/>
      <c r="AL14" s="163"/>
      <c r="AM14" s="163"/>
      <c r="AN14" s="163"/>
      <c r="AO14" s="2"/>
      <c r="AP14" s="184"/>
      <c r="AQ14" s="184"/>
      <c r="AR14" s="184"/>
    </row>
    <row r="15" spans="1:44" ht="20.100000000000001" customHeight="1" x14ac:dyDescent="0.25">
      <c r="A15" s="18"/>
      <c r="B15" s="18"/>
      <c r="C15" s="18"/>
      <c r="D15" s="1"/>
      <c r="E15" s="2"/>
      <c r="F15" s="1008" t="s">
        <v>7301</v>
      </c>
      <c r="G15" s="1009"/>
      <c r="H15" s="1009"/>
      <c r="I15" s="1009"/>
      <c r="J15" s="1009"/>
      <c r="K15" s="1009"/>
      <c r="L15" s="1009"/>
      <c r="M15" s="1010"/>
      <c r="N15" s="1151" t="s">
        <v>6030</v>
      </c>
      <c r="O15" s="1088"/>
      <c r="P15" s="1089"/>
      <c r="Q15" s="148" t="s">
        <v>186</v>
      </c>
      <c r="R15" s="999"/>
      <c r="S15" s="1000"/>
      <c r="T15" s="1000"/>
      <c r="U15" s="1000"/>
      <c r="V15" s="1000"/>
      <c r="W15" s="1000"/>
      <c r="X15" s="1001"/>
      <c r="Y15" s="1073" t="s">
        <v>31</v>
      </c>
      <c r="Z15" s="1074"/>
      <c r="AA15" s="1074"/>
      <c r="AB15" s="1075"/>
      <c r="AC15" s="148" t="s">
        <v>186</v>
      </c>
      <c r="AD15" s="999"/>
      <c r="AE15" s="1000"/>
      <c r="AF15" s="1000"/>
      <c r="AG15" s="1000"/>
      <c r="AH15" s="1000"/>
      <c r="AI15" s="1000"/>
      <c r="AJ15" s="1001"/>
      <c r="AK15" s="164"/>
      <c r="AL15" s="164"/>
      <c r="AM15" s="164"/>
      <c r="AN15" s="164"/>
      <c r="AO15" s="2"/>
      <c r="AP15" s="184"/>
      <c r="AQ15" s="184"/>
      <c r="AR15" s="184"/>
    </row>
    <row r="16" spans="1:44" ht="20.100000000000001" customHeight="1" x14ac:dyDescent="0.25">
      <c r="A16" s="18"/>
      <c r="B16" s="18"/>
      <c r="C16" s="18"/>
      <c r="D16" s="1"/>
      <c r="E16" s="2"/>
      <c r="F16" s="1008" t="s">
        <v>5720</v>
      </c>
      <c r="G16" s="1009"/>
      <c r="H16" s="1009"/>
      <c r="I16" s="1009"/>
      <c r="J16" s="1009"/>
      <c r="K16" s="1009"/>
      <c r="L16" s="1009"/>
      <c r="M16" s="148" t="s">
        <v>186</v>
      </c>
      <c r="N16" s="1445"/>
      <c r="O16" s="1446"/>
      <c r="P16" s="1446"/>
      <c r="Q16" s="1446"/>
      <c r="R16" s="1446"/>
      <c r="S16" s="1447"/>
      <c r="T16" s="2"/>
      <c r="U16" s="2"/>
      <c r="V16" s="2"/>
      <c r="W16" s="2"/>
      <c r="X16" s="2"/>
      <c r="Y16" s="2"/>
      <c r="Z16" s="2"/>
      <c r="AA16" s="2"/>
      <c r="AB16" s="2"/>
      <c r="AC16" s="2"/>
      <c r="AD16" s="2"/>
      <c r="AE16" s="2"/>
      <c r="AF16" s="2"/>
      <c r="AG16" s="2"/>
      <c r="AH16" s="2"/>
      <c r="AI16" s="2"/>
      <c r="AJ16" s="2"/>
      <c r="AK16" s="2"/>
      <c r="AL16" s="2"/>
      <c r="AM16" s="2"/>
      <c r="AN16" s="2"/>
      <c r="AO16" s="2"/>
      <c r="AP16" s="184"/>
      <c r="AQ16" s="184"/>
      <c r="AR16" s="184"/>
    </row>
    <row r="17" spans="1:44" ht="20.100000000000001" customHeight="1" x14ac:dyDescent="0.25">
      <c r="A17" s="18"/>
      <c r="B17" s="18"/>
      <c r="C17" s="18"/>
      <c r="D17" s="1"/>
      <c r="E17" s="2"/>
      <c r="F17" s="1149" t="s">
        <v>85</v>
      </c>
      <c r="G17" s="1094"/>
      <c r="H17" s="1094"/>
      <c r="I17" s="1094"/>
      <c r="J17" s="1094"/>
      <c r="K17" s="1094"/>
      <c r="L17" s="1104"/>
      <c r="M17" s="148" t="s">
        <v>186</v>
      </c>
      <c r="N17" s="1171"/>
      <c r="O17" s="1138"/>
      <c r="P17" s="1138"/>
      <c r="Q17" s="1138"/>
      <c r="R17" s="1138"/>
      <c r="S17" s="1139"/>
      <c r="T17" s="1008" t="s">
        <v>235</v>
      </c>
      <c r="U17" s="1009"/>
      <c r="V17" s="1009"/>
      <c r="W17" s="1009"/>
      <c r="X17" s="1009"/>
      <c r="Y17" s="1009"/>
      <c r="Z17" s="1009"/>
      <c r="AA17" s="148" t="s">
        <v>186</v>
      </c>
      <c r="AB17" s="1130"/>
      <c r="AC17" s="1131"/>
      <c r="AD17" s="1131"/>
      <c r="AE17" s="1131"/>
      <c r="AF17" s="1131"/>
      <c r="AG17" s="1131"/>
      <c r="AH17" s="1131"/>
      <c r="AI17" s="1131"/>
      <c r="AJ17" s="1132"/>
      <c r="AK17" s="49"/>
      <c r="AL17" s="49"/>
      <c r="AM17" s="49"/>
      <c r="AN17" s="49"/>
      <c r="AO17" s="2"/>
      <c r="AP17" s="184"/>
      <c r="AQ17" s="184"/>
      <c r="AR17" s="184"/>
    </row>
    <row r="18" spans="1:44" ht="20.100000000000001" customHeight="1" x14ac:dyDescent="0.25">
      <c r="A18" s="18"/>
      <c r="B18" s="18"/>
      <c r="C18" s="18"/>
      <c r="D18" s="1"/>
      <c r="E18" s="2"/>
      <c r="F18" s="1149" t="s">
        <v>102</v>
      </c>
      <c r="G18" s="1094"/>
      <c r="H18" s="1094"/>
      <c r="I18" s="1094"/>
      <c r="J18" s="1094"/>
      <c r="K18" s="1094"/>
      <c r="L18" s="1104"/>
      <c r="M18" s="148" t="s">
        <v>186</v>
      </c>
      <c r="N18" s="1130"/>
      <c r="O18" s="1131"/>
      <c r="P18" s="1131"/>
      <c r="Q18" s="1131"/>
      <c r="R18" s="1131"/>
      <c r="S18" s="1132"/>
      <c r="T18" s="1012" t="s">
        <v>7797</v>
      </c>
      <c r="U18" s="1012"/>
      <c r="V18" s="1012"/>
      <c r="W18" s="1012"/>
      <c r="X18" s="1012"/>
      <c r="Y18" s="1012"/>
      <c r="Z18" s="1012"/>
      <c r="AA18" s="1012"/>
      <c r="AB18" s="1012"/>
      <c r="AC18" s="1012"/>
      <c r="AD18" s="1012"/>
      <c r="AE18" s="1012"/>
      <c r="AF18" s="1012"/>
      <c r="AG18" s="1012"/>
      <c r="AH18" s="1012"/>
      <c r="AI18" s="1012"/>
      <c r="AJ18" s="1012"/>
      <c r="AK18" s="2"/>
      <c r="AL18" s="2"/>
      <c r="AM18" s="2"/>
      <c r="AN18" s="2"/>
      <c r="AO18" s="2"/>
      <c r="AP18" s="2"/>
      <c r="AQ18" s="2"/>
      <c r="AR18" s="2"/>
    </row>
    <row r="19" spans="1:44" ht="20.100000000000001" customHeight="1" x14ac:dyDescent="0.25">
      <c r="A19" s="18"/>
      <c r="B19" s="18"/>
      <c r="C19" s="18"/>
      <c r="D19" s="1"/>
      <c r="E19" s="2"/>
      <c r="F19" s="1149" t="s">
        <v>103</v>
      </c>
      <c r="G19" s="1094"/>
      <c r="H19" s="1094"/>
      <c r="I19" s="1094"/>
      <c r="J19" s="1094"/>
      <c r="K19" s="1094"/>
      <c r="L19" s="1104"/>
      <c r="M19" s="148" t="s">
        <v>186</v>
      </c>
      <c r="N19" s="1130"/>
      <c r="O19" s="1131"/>
      <c r="P19" s="1131"/>
      <c r="Q19" s="1131"/>
      <c r="R19" s="1131"/>
      <c r="S19" s="1132"/>
      <c r="T19" s="1509"/>
      <c r="U19" s="1509"/>
      <c r="V19" s="1509"/>
      <c r="W19" s="1509"/>
      <c r="X19" s="1509"/>
      <c r="Y19" s="1509"/>
      <c r="Z19" s="1509"/>
      <c r="AA19" s="1509"/>
      <c r="AB19" s="1509"/>
      <c r="AC19" s="1509"/>
      <c r="AD19" s="1509"/>
      <c r="AE19" s="1509"/>
      <c r="AF19" s="1509"/>
      <c r="AG19" s="1509"/>
      <c r="AH19" s="1509"/>
      <c r="AI19" s="1509"/>
      <c r="AJ19" s="1509"/>
      <c r="AK19" s="67" t="s">
        <v>271</v>
      </c>
      <c r="AL19" s="2"/>
      <c r="AM19" s="2"/>
      <c r="AN19" s="2"/>
      <c r="AO19" s="2"/>
      <c r="AP19" s="2"/>
      <c r="AQ19" s="2"/>
      <c r="AR19" s="2"/>
    </row>
    <row r="20" spans="1:44" ht="30" customHeight="1" x14ac:dyDescent="0.25">
      <c r="A20" s="18"/>
      <c r="B20" s="18"/>
      <c r="C20" s="18"/>
      <c r="D20" s="1"/>
      <c r="E20" s="2"/>
      <c r="F20" s="1149" t="s">
        <v>230</v>
      </c>
      <c r="G20" s="1094"/>
      <c r="H20" s="1094"/>
      <c r="I20" s="1094"/>
      <c r="J20" s="1094"/>
      <c r="K20" s="1094"/>
      <c r="L20" s="1104"/>
      <c r="M20" s="148" t="s">
        <v>186</v>
      </c>
      <c r="N20" s="1130"/>
      <c r="O20" s="1131"/>
      <c r="P20" s="1131"/>
      <c r="Q20" s="1131"/>
      <c r="R20" s="1131"/>
      <c r="S20" s="1132"/>
      <c r="T20" s="1509"/>
      <c r="U20" s="1509"/>
      <c r="V20" s="1509"/>
      <c r="W20" s="1509"/>
      <c r="X20" s="1509"/>
      <c r="Y20" s="1509"/>
      <c r="Z20" s="1509"/>
      <c r="AA20" s="1509"/>
      <c r="AB20" s="1509"/>
      <c r="AC20" s="1509"/>
      <c r="AD20" s="1509"/>
      <c r="AE20" s="1509"/>
      <c r="AF20" s="1509"/>
      <c r="AG20" s="1509"/>
      <c r="AH20" s="1509"/>
      <c r="AI20" s="1509"/>
      <c r="AJ20" s="1509"/>
      <c r="AK20" s="2"/>
      <c r="AL20" s="2"/>
      <c r="AM20" s="2"/>
      <c r="AN20" s="2"/>
      <c r="AO20" s="2"/>
      <c r="AP20" s="2"/>
      <c r="AQ20" s="2"/>
      <c r="AR20" s="2"/>
    </row>
    <row r="21" spans="1:44" ht="20.100000000000001" customHeight="1" x14ac:dyDescent="0.25">
      <c r="A21" s="18"/>
      <c r="B21" s="18"/>
      <c r="C21" s="18"/>
      <c r="D21" s="1"/>
      <c r="E21" s="2"/>
      <c r="F21" s="2"/>
      <c r="G21" s="2"/>
      <c r="H21" s="2"/>
      <c r="I21" s="2"/>
      <c r="J21" s="2"/>
      <c r="K21" s="2"/>
      <c r="L21" s="2"/>
      <c r="M21" s="2"/>
      <c r="N21" s="2"/>
      <c r="O21" s="2"/>
      <c r="P21" s="2"/>
      <c r="Q21" s="2"/>
      <c r="R21" s="2"/>
      <c r="S21" s="2"/>
      <c r="T21" s="1509"/>
      <c r="U21" s="1509"/>
      <c r="V21" s="1509"/>
      <c r="W21" s="1509"/>
      <c r="X21" s="1509"/>
      <c r="Y21" s="1509"/>
      <c r="Z21" s="1509"/>
      <c r="AA21" s="1509"/>
      <c r="AB21" s="1509"/>
      <c r="AC21" s="1509"/>
      <c r="AD21" s="1509"/>
      <c r="AE21" s="1509"/>
      <c r="AF21" s="1509"/>
      <c r="AG21" s="1509"/>
      <c r="AH21" s="1509"/>
      <c r="AI21" s="1509"/>
      <c r="AJ21" s="1509"/>
      <c r="AK21" s="2"/>
      <c r="AL21" s="2"/>
      <c r="AM21" s="2"/>
      <c r="AN21" s="2"/>
      <c r="AO21" s="2"/>
      <c r="AP21" s="2"/>
      <c r="AQ21" s="2"/>
      <c r="AR21" s="2"/>
    </row>
    <row r="22" spans="1:44" ht="30" customHeight="1" x14ac:dyDescent="0.25">
      <c r="A22" s="18"/>
      <c r="B22" s="18"/>
      <c r="C22" s="18"/>
      <c r="D22" s="1"/>
      <c r="E22" s="2"/>
      <c r="F22" s="1149" t="s">
        <v>217</v>
      </c>
      <c r="G22" s="1094"/>
      <c r="H22" s="1094"/>
      <c r="I22" s="1094"/>
      <c r="J22" s="1094"/>
      <c r="K22" s="1094"/>
      <c r="L22" s="1104"/>
      <c r="M22" s="148" t="s">
        <v>186</v>
      </c>
      <c r="N22" s="1130"/>
      <c r="O22" s="1131"/>
      <c r="P22" s="1131"/>
      <c r="Q22" s="1131"/>
      <c r="R22" s="1131"/>
      <c r="S22" s="1132"/>
      <c r="T22" s="1149" t="s">
        <v>364</v>
      </c>
      <c r="U22" s="1094"/>
      <c r="V22" s="1094"/>
      <c r="W22" s="1584"/>
      <c r="X22" s="1585"/>
      <c r="Y22" s="1149" t="s">
        <v>365</v>
      </c>
      <c r="Z22" s="1094"/>
      <c r="AA22" s="1094"/>
      <c r="AB22" s="1510"/>
      <c r="AC22" s="1511"/>
      <c r="AD22" s="1149" t="s">
        <v>7271</v>
      </c>
      <c r="AE22" s="1094"/>
      <c r="AF22" s="1094"/>
      <c r="AG22" s="1189"/>
      <c r="AH22" s="1189"/>
      <c r="AI22" s="1189"/>
      <c r="AJ22" s="1189"/>
      <c r="AK22" s="379" t="s">
        <v>186</v>
      </c>
      <c r="AL22" s="2"/>
      <c r="AM22" s="2"/>
      <c r="AN22" s="2"/>
      <c r="AO22" s="2"/>
      <c r="AP22" s="2"/>
      <c r="AQ22" s="2"/>
      <c r="AR22" s="162"/>
    </row>
    <row r="23" spans="1:44" ht="30" customHeight="1" x14ac:dyDescent="0.25">
      <c r="A23" s="18"/>
      <c r="B23" s="18"/>
      <c r="C23" s="18"/>
      <c r="D23" s="1"/>
      <c r="E23" s="2"/>
      <c r="F23" s="1193" t="s">
        <v>363</v>
      </c>
      <c r="G23" s="1094"/>
      <c r="H23" s="1094"/>
      <c r="I23" s="1094"/>
      <c r="J23" s="1094"/>
      <c r="K23" s="1094"/>
      <c r="L23" s="1104"/>
      <c r="M23" s="148" t="s">
        <v>186</v>
      </c>
      <c r="N23" s="1213"/>
      <c r="O23" s="1214"/>
      <c r="P23" s="1214"/>
      <c r="Q23" s="1214"/>
      <c r="R23" s="1214"/>
      <c r="S23" s="1190"/>
      <c r="T23" s="2"/>
      <c r="U23" s="2"/>
      <c r="V23" s="2"/>
      <c r="W23" s="2"/>
      <c r="X23" s="2"/>
      <c r="Y23" s="2"/>
      <c r="Z23" s="2"/>
      <c r="AA23" s="2"/>
      <c r="AB23" s="2"/>
      <c r="AC23" s="2"/>
      <c r="AD23" s="2"/>
      <c r="AE23" s="2"/>
      <c r="AF23" s="2"/>
      <c r="AG23" s="2"/>
      <c r="AH23" s="2"/>
      <c r="AI23" s="2"/>
      <c r="AJ23" s="2"/>
      <c r="AK23" s="2"/>
      <c r="AL23" s="2"/>
      <c r="AM23" s="2"/>
      <c r="AN23" s="2"/>
      <c r="AO23" s="2"/>
      <c r="AP23" s="2"/>
      <c r="AQ23" s="2"/>
      <c r="AR23" s="162"/>
    </row>
    <row r="24" spans="1:44" ht="20.100000000000001" customHeight="1" x14ac:dyDescent="0.25">
      <c r="A24" s="18"/>
      <c r="B24" s="18"/>
      <c r="C24" s="18"/>
      <c r="D24" s="1"/>
      <c r="E24" s="2"/>
      <c r="F24" s="117"/>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162"/>
    </row>
    <row r="25" spans="1:44" ht="39.950000000000003" customHeight="1" x14ac:dyDescent="0.25">
      <c r="A25" s="18"/>
      <c r="B25" s="18"/>
      <c r="C25" s="18"/>
      <c r="D25" s="1"/>
      <c r="E25" s="2"/>
      <c r="F25" s="1149" t="s">
        <v>241</v>
      </c>
      <c r="G25" s="1094"/>
      <c r="H25" s="1094"/>
      <c r="I25" s="1094"/>
      <c r="J25" s="1094"/>
      <c r="K25" s="1094"/>
      <c r="L25" s="1094"/>
      <c r="M25" s="148" t="s">
        <v>186</v>
      </c>
      <c r="N25" s="1130"/>
      <c r="O25" s="1131"/>
      <c r="P25" s="1131"/>
      <c r="Q25" s="1131"/>
      <c r="R25" s="1131"/>
      <c r="S25" s="1132"/>
      <c r="T25" s="1294" t="s">
        <v>357</v>
      </c>
      <c r="U25" s="1295"/>
      <c r="V25" s="1295"/>
      <c r="W25" s="1295"/>
      <c r="X25" s="1295"/>
      <c r="Y25" s="148" t="s">
        <v>186</v>
      </c>
      <c r="Z25" s="1213"/>
      <c r="AA25" s="1214"/>
      <c r="AB25" s="1214"/>
      <c r="AC25" s="1190"/>
      <c r="AD25" s="2"/>
      <c r="AE25" s="2"/>
      <c r="AF25" s="2"/>
      <c r="AG25" s="2"/>
      <c r="AH25" s="2"/>
      <c r="AI25" s="2"/>
      <c r="AJ25" s="2"/>
      <c r="AK25" s="2"/>
      <c r="AL25" s="2"/>
      <c r="AM25" s="2"/>
      <c r="AN25" s="2"/>
      <c r="AO25" s="2"/>
      <c r="AP25" s="2"/>
      <c r="AQ25" s="2"/>
      <c r="AR25" s="4"/>
    </row>
    <row r="26" spans="1:44" ht="39.950000000000003" customHeight="1" x14ac:dyDescent="0.25">
      <c r="A26" s="18"/>
      <c r="B26" s="18"/>
      <c r="C26" s="18"/>
      <c r="D26" s="1"/>
      <c r="E26" s="2"/>
      <c r="F26" s="1149" t="s">
        <v>240</v>
      </c>
      <c r="G26" s="1094"/>
      <c r="H26" s="1094"/>
      <c r="I26" s="1094"/>
      <c r="J26" s="1094"/>
      <c r="K26" s="1094"/>
      <c r="L26" s="1094"/>
      <c r="M26" s="148" t="s">
        <v>186</v>
      </c>
      <c r="N26" s="1130"/>
      <c r="O26" s="1131"/>
      <c r="P26" s="1131"/>
      <c r="Q26" s="1131"/>
      <c r="R26" s="1131"/>
      <c r="S26" s="1132"/>
      <c r="T26" s="1149" t="s">
        <v>104</v>
      </c>
      <c r="U26" s="1094"/>
      <c r="V26" s="1094"/>
      <c r="W26" s="1094"/>
      <c r="X26" s="1104"/>
      <c r="Y26" s="148" t="s">
        <v>186</v>
      </c>
      <c r="Z26" s="1058"/>
      <c r="AA26" s="1059"/>
      <c r="AB26" s="1059"/>
      <c r="AC26" s="1060"/>
      <c r="AD26" s="2"/>
      <c r="AE26" s="2"/>
      <c r="AF26" s="2"/>
      <c r="AG26" s="2"/>
      <c r="AH26" s="2"/>
      <c r="AI26" s="2"/>
      <c r="AJ26" s="2"/>
      <c r="AK26" s="2"/>
      <c r="AL26" s="2"/>
      <c r="AM26" s="2"/>
      <c r="AN26" s="2"/>
      <c r="AO26" s="2"/>
      <c r="AP26" s="2"/>
      <c r="AQ26" s="2"/>
      <c r="AR26" s="2"/>
    </row>
    <row r="27" spans="1:44" ht="20.100000000000001" customHeight="1" x14ac:dyDescent="0.25">
      <c r="A27" s="18"/>
      <c r="B27" s="18"/>
      <c r="C27" s="18"/>
      <c r="D27" s="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20.100000000000001" customHeight="1" x14ac:dyDescent="0.25">
      <c r="A28" s="18"/>
      <c r="B28" s="18"/>
      <c r="C28" s="18"/>
      <c r="D28" s="1"/>
      <c r="E28" s="2"/>
      <c r="F28" s="1149" t="s">
        <v>255</v>
      </c>
      <c r="G28" s="1094"/>
      <c r="H28" s="1094"/>
      <c r="I28" s="1094"/>
      <c r="J28" s="1094"/>
      <c r="K28" s="1094"/>
      <c r="L28" s="1104"/>
      <c r="M28" s="148" t="s">
        <v>186</v>
      </c>
      <c r="N28" s="981"/>
      <c r="O28" s="982"/>
      <c r="P28" s="982"/>
      <c r="Q28" s="982"/>
      <c r="R28" s="982"/>
      <c r="S28" s="1212"/>
      <c r="T28" s="2"/>
      <c r="U28" s="2"/>
      <c r="V28" s="2"/>
      <c r="W28" s="153"/>
      <c r="X28" s="2"/>
      <c r="Y28" s="2"/>
      <c r="Z28" s="2"/>
      <c r="AA28" s="2"/>
      <c r="AB28" s="2"/>
      <c r="AC28" s="2"/>
      <c r="AD28" s="2"/>
      <c r="AE28" s="2"/>
      <c r="AF28" s="2"/>
      <c r="AG28" s="2"/>
      <c r="AH28" s="2"/>
      <c r="AI28" s="2"/>
      <c r="AJ28" s="2"/>
      <c r="AK28" s="2"/>
      <c r="AL28" s="2"/>
      <c r="AM28" s="2"/>
      <c r="AN28" s="2"/>
      <c r="AO28" s="2"/>
      <c r="AP28" s="2"/>
      <c r="AQ28" s="2"/>
      <c r="AR28" s="2"/>
    </row>
    <row r="29" spans="1:44" ht="20.100000000000001" customHeight="1" x14ac:dyDescent="0.25">
      <c r="A29" s="18"/>
      <c r="B29" s="18"/>
      <c r="C29" s="18"/>
      <c r="D29" s="1"/>
      <c r="E29" s="2"/>
      <c r="F29" s="2"/>
      <c r="G29" s="2"/>
      <c r="H29" s="2"/>
      <c r="I29" s="2"/>
      <c r="J29" s="2"/>
      <c r="K29" s="2"/>
      <c r="L29" s="2"/>
      <c r="M29" s="2"/>
      <c r="N29" s="354"/>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20.100000000000001" customHeight="1" x14ac:dyDescent="0.25">
      <c r="A30" s="18"/>
      <c r="B30" s="18"/>
      <c r="C30" s="18"/>
      <c r="D30" s="1"/>
      <c r="E30" s="7"/>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355"/>
      <c r="AL30" s="355"/>
      <c r="AM30" s="355"/>
      <c r="AN30" s="355"/>
      <c r="AO30" s="355"/>
      <c r="AP30" s="355"/>
      <c r="AQ30" s="355"/>
      <c r="AR30" s="355"/>
    </row>
    <row r="31" spans="1:44" ht="20.100000000000001" customHeight="1" x14ac:dyDescent="0.25">
      <c r="A31" s="18"/>
      <c r="B31" s="18"/>
      <c r="C31" s="18"/>
      <c r="D31" s="1"/>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356"/>
      <c r="AL31" s="356"/>
      <c r="AM31" s="356"/>
      <c r="AN31" s="356"/>
      <c r="AO31" s="356"/>
      <c r="AP31" s="356"/>
      <c r="AQ31" s="356"/>
      <c r="AR31" s="356"/>
    </row>
    <row r="32" spans="1:44" ht="20.100000000000001" customHeight="1" x14ac:dyDescent="0.25">
      <c r="A32" s="18"/>
      <c r="B32" s="18"/>
      <c r="C32" s="18"/>
      <c r="D32" s="1"/>
      <c r="E32" s="2"/>
      <c r="F32" s="2"/>
      <c r="G32" s="314"/>
      <c r="H32" s="1529" t="s">
        <v>172</v>
      </c>
      <c r="I32" s="1529"/>
      <c r="J32" s="1529"/>
      <c r="K32" s="1529" t="s">
        <v>173</v>
      </c>
      <c r="L32" s="1529"/>
      <c r="M32" s="1529"/>
      <c r="N32" s="1529" t="s">
        <v>176</v>
      </c>
      <c r="O32" s="1529"/>
      <c r="P32" s="1529"/>
      <c r="Q32" s="1529"/>
      <c r="R32" s="1529"/>
      <c r="S32" s="1529"/>
      <c r="T32" s="1529"/>
      <c r="U32" s="1529"/>
      <c r="V32" s="1529"/>
      <c r="W32" s="1529" t="s">
        <v>181</v>
      </c>
      <c r="X32" s="1529"/>
      <c r="Y32" s="1529"/>
      <c r="Z32" s="1529"/>
      <c r="AA32" s="1529"/>
      <c r="AB32" s="1529"/>
      <c r="AC32" s="1529"/>
      <c r="AD32" s="1529"/>
      <c r="AE32" s="1529"/>
      <c r="AF32" s="2"/>
      <c r="AG32" s="2"/>
      <c r="AH32" s="2"/>
      <c r="AI32" s="2"/>
      <c r="AJ32" s="2"/>
      <c r="AK32" s="356"/>
      <c r="AL32" s="356"/>
      <c r="AM32" s="356"/>
      <c r="AN32" s="356"/>
      <c r="AO32" s="356"/>
      <c r="AP32" s="356"/>
      <c r="AQ32" s="356"/>
      <c r="AR32" s="356"/>
    </row>
    <row r="33" spans="1:44" ht="20.100000000000001" customHeight="1" x14ac:dyDescent="0.25">
      <c r="A33" s="18"/>
      <c r="B33" s="18"/>
      <c r="C33" s="18"/>
      <c r="D33" s="1"/>
      <c r="E33" s="2"/>
      <c r="F33" s="314" t="s">
        <v>169</v>
      </c>
      <c r="G33" s="314"/>
      <c r="H33" s="1512" t="s">
        <v>170</v>
      </c>
      <c r="I33" s="1512"/>
      <c r="J33" s="1512"/>
      <c r="K33" s="1512" t="s">
        <v>174</v>
      </c>
      <c r="L33" s="1512"/>
      <c r="M33" s="1512"/>
      <c r="N33" s="1512" t="s">
        <v>177</v>
      </c>
      <c r="O33" s="1512"/>
      <c r="P33" s="1512"/>
      <c r="Q33" s="1512"/>
      <c r="R33" s="1512"/>
      <c r="S33" s="1512"/>
      <c r="T33" s="1512"/>
      <c r="U33" s="1512"/>
      <c r="V33" s="1512"/>
      <c r="W33" s="1512" t="s">
        <v>178</v>
      </c>
      <c r="X33" s="1512"/>
      <c r="Y33" s="1512"/>
      <c r="Z33" s="1512"/>
      <c r="AA33" s="1512"/>
      <c r="AB33" s="1512"/>
      <c r="AC33" s="1512"/>
      <c r="AD33" s="1512"/>
      <c r="AE33" s="1512"/>
      <c r="AF33" s="2"/>
      <c r="AG33" s="2"/>
      <c r="AH33" s="2"/>
      <c r="AI33" s="2"/>
      <c r="AJ33" s="2"/>
      <c r="AK33" s="356"/>
      <c r="AL33" s="356"/>
      <c r="AM33" s="356"/>
      <c r="AN33" s="356"/>
      <c r="AO33" s="356"/>
      <c r="AP33" s="356"/>
      <c r="AQ33" s="356"/>
      <c r="AR33" s="356"/>
    </row>
    <row r="34" spans="1:44" ht="20.100000000000001" customHeight="1" x14ac:dyDescent="0.25">
      <c r="A34" s="18"/>
      <c r="B34" s="18"/>
      <c r="C34" s="18"/>
      <c r="D34" s="1"/>
      <c r="E34" s="2"/>
      <c r="F34" s="2"/>
      <c r="G34" s="314"/>
      <c r="H34" s="1512" t="s">
        <v>9</v>
      </c>
      <c r="I34" s="1512"/>
      <c r="J34" s="1512"/>
      <c r="K34" s="1512" t="s">
        <v>175</v>
      </c>
      <c r="L34" s="1512"/>
      <c r="M34" s="1512"/>
      <c r="N34" s="1512" t="s">
        <v>179</v>
      </c>
      <c r="O34" s="1512"/>
      <c r="P34" s="1512"/>
      <c r="Q34" s="1512"/>
      <c r="R34" s="1512"/>
      <c r="S34" s="1512"/>
      <c r="T34" s="1512"/>
      <c r="U34" s="1512"/>
      <c r="V34" s="1512"/>
      <c r="W34" s="1512" t="s">
        <v>180</v>
      </c>
      <c r="X34" s="1512"/>
      <c r="Y34" s="1512"/>
      <c r="Z34" s="1512"/>
      <c r="AA34" s="1512"/>
      <c r="AB34" s="1512"/>
      <c r="AC34" s="1512"/>
      <c r="AD34" s="1512"/>
      <c r="AE34" s="1512"/>
      <c r="AF34" s="2"/>
      <c r="AG34" s="2"/>
      <c r="AH34" s="2"/>
      <c r="AI34" s="2"/>
      <c r="AJ34" s="2"/>
      <c r="AK34" s="356"/>
      <c r="AL34" s="356"/>
      <c r="AM34" s="356"/>
      <c r="AN34" s="356"/>
      <c r="AO34" s="356"/>
      <c r="AP34" s="356"/>
      <c r="AQ34" s="356"/>
      <c r="AR34" s="356"/>
    </row>
    <row r="35" spans="1:44" ht="20.100000000000001" customHeight="1" x14ac:dyDescent="0.25">
      <c r="A35" s="18"/>
      <c r="B35" s="18"/>
      <c r="C35" s="18"/>
      <c r="D35" s="1"/>
      <c r="E35" s="2"/>
      <c r="F35" s="2"/>
      <c r="G35" s="314"/>
      <c r="H35" s="1512" t="s">
        <v>171</v>
      </c>
      <c r="I35" s="1512"/>
      <c r="J35" s="1512"/>
      <c r="K35" s="1512" t="s">
        <v>182</v>
      </c>
      <c r="L35" s="1512"/>
      <c r="M35" s="1512"/>
      <c r="N35" s="1512" t="s">
        <v>183</v>
      </c>
      <c r="O35" s="1512"/>
      <c r="P35" s="1512"/>
      <c r="Q35" s="1512"/>
      <c r="R35" s="1512"/>
      <c r="S35" s="1512"/>
      <c r="T35" s="1512"/>
      <c r="U35" s="1512"/>
      <c r="V35" s="1512"/>
      <c r="W35" s="1512" t="s">
        <v>184</v>
      </c>
      <c r="X35" s="1512"/>
      <c r="Y35" s="1512"/>
      <c r="Z35" s="1512"/>
      <c r="AA35" s="1512"/>
      <c r="AB35" s="1512"/>
      <c r="AC35" s="1512"/>
      <c r="AD35" s="1512"/>
      <c r="AE35" s="1512"/>
      <c r="AF35" s="2"/>
      <c r="AG35" s="2"/>
      <c r="AH35" s="2"/>
      <c r="AI35" s="2"/>
      <c r="AJ35" s="2"/>
      <c r="AK35" s="356"/>
      <c r="AL35" s="356"/>
      <c r="AM35" s="356"/>
      <c r="AN35" s="356"/>
      <c r="AO35" s="356"/>
      <c r="AP35" s="356"/>
      <c r="AQ35" s="356"/>
      <c r="AR35" s="356"/>
    </row>
    <row r="36" spans="1:44" ht="20.100000000000001" customHeight="1" x14ac:dyDescent="0.25">
      <c r="A36" s="18"/>
      <c r="B36" s="18"/>
      <c r="C36" s="18"/>
      <c r="D36" s="1"/>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356"/>
      <c r="AL36" s="356"/>
      <c r="AM36" s="356"/>
      <c r="AN36" s="356"/>
      <c r="AO36" s="356"/>
      <c r="AP36" s="356"/>
      <c r="AQ36" s="356"/>
      <c r="AR36" s="356"/>
    </row>
    <row r="37" spans="1:44" ht="20.100000000000001" hidden="1" customHeight="1" x14ac:dyDescent="0.25">
      <c r="A37" s="18"/>
      <c r="B37" s="18"/>
      <c r="C37" s="18"/>
      <c r="D37" s="1"/>
      <c r="E37" s="7"/>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355"/>
      <c r="AL37" s="355"/>
      <c r="AM37" s="355"/>
      <c r="AN37" s="355"/>
      <c r="AO37" s="355"/>
      <c r="AP37" s="355"/>
      <c r="AQ37" s="355"/>
      <c r="AR37" s="355"/>
    </row>
    <row r="38" spans="1:44" ht="30" hidden="1" customHeight="1" x14ac:dyDescent="0.25">
      <c r="A38" s="18"/>
      <c r="B38" s="18"/>
      <c r="C38" s="18"/>
      <c r="D38" s="1"/>
      <c r="E38" s="7"/>
    </row>
    <row r="39" spans="1:44" ht="20.100000000000001" hidden="1" customHeight="1" x14ac:dyDescent="0.25">
      <c r="A39" s="18"/>
      <c r="B39" s="18"/>
      <c r="C39" s="18"/>
      <c r="D39" s="1"/>
      <c r="E39" s="7"/>
    </row>
    <row r="40" spans="1:44" ht="24.95" hidden="1" customHeight="1" x14ac:dyDescent="0.25">
      <c r="A40" s="18"/>
      <c r="B40" s="18"/>
      <c r="C40" s="18"/>
      <c r="D40" s="1"/>
      <c r="E40" s="7"/>
    </row>
    <row r="41" spans="1:44" ht="20.100000000000001" hidden="1" customHeight="1" x14ac:dyDescent="0.25">
      <c r="A41" s="18"/>
      <c r="B41" s="18"/>
      <c r="C41" s="18"/>
      <c r="D41" s="1"/>
      <c r="E41" s="7"/>
    </row>
    <row r="42" spans="1:44" ht="15" hidden="1" customHeight="1" x14ac:dyDescent="0.25">
      <c r="A42" s="18"/>
      <c r="B42" s="18"/>
      <c r="C42" s="18"/>
      <c r="D42" s="1"/>
      <c r="E42" s="7"/>
    </row>
    <row r="43" spans="1:44" ht="15" hidden="1" customHeight="1" x14ac:dyDescent="0.25">
      <c r="A43" s="18"/>
      <c r="B43" s="18"/>
      <c r="C43" s="18"/>
      <c r="D43" s="1"/>
      <c r="E43" s="7"/>
    </row>
    <row r="44" spans="1:44" ht="20.100000000000001" hidden="1" customHeight="1" x14ac:dyDescent="0.25">
      <c r="A44" s="18"/>
      <c r="B44" s="18"/>
      <c r="C44" s="18"/>
      <c r="D44" s="1"/>
      <c r="E44" s="7"/>
    </row>
    <row r="45" spans="1:44" ht="20.100000000000001" hidden="1" customHeight="1" x14ac:dyDescent="0.25">
      <c r="A45" s="18"/>
      <c r="B45" s="18"/>
      <c r="C45" s="18"/>
      <c r="D45" s="1"/>
      <c r="E45" s="7"/>
    </row>
    <row r="46" spans="1:44" ht="20.100000000000001" hidden="1" customHeight="1" x14ac:dyDescent="0.25">
      <c r="A46" s="18"/>
      <c r="B46" s="18"/>
      <c r="C46" s="18"/>
      <c r="D46" s="1"/>
      <c r="E46" s="7"/>
    </row>
    <row r="47" spans="1:44" ht="20.100000000000001" hidden="1" customHeight="1" x14ac:dyDescent="0.25">
      <c r="A47" s="18"/>
      <c r="B47" s="18"/>
      <c r="C47" s="18"/>
      <c r="D47" s="1"/>
      <c r="E47" s="7"/>
    </row>
    <row r="48" spans="1:44" ht="20.100000000000001" hidden="1" customHeight="1" x14ac:dyDescent="0.25">
      <c r="A48" s="18"/>
      <c r="B48" s="18"/>
      <c r="C48" s="18"/>
      <c r="D48" s="1"/>
      <c r="E48" s="7"/>
    </row>
    <row r="49" spans="1:44" ht="20.100000000000001" hidden="1" customHeight="1" x14ac:dyDescent="0.25">
      <c r="A49" s="18"/>
      <c r="B49" s="18"/>
      <c r="C49" s="18"/>
      <c r="D49" s="1"/>
      <c r="E49" s="7"/>
    </row>
    <row r="50" spans="1:44" ht="20.100000000000001" hidden="1" customHeight="1" x14ac:dyDescent="0.25">
      <c r="A50" s="18"/>
      <c r="B50" s="18"/>
      <c r="C50" s="18"/>
      <c r="D50" s="1"/>
      <c r="E50" s="7"/>
    </row>
    <row r="51" spans="1:44" ht="20.100000000000001" hidden="1" customHeight="1" x14ac:dyDescent="0.25">
      <c r="A51" s="18"/>
      <c r="B51" s="18"/>
      <c r="C51" s="18"/>
      <c r="D51" s="1"/>
      <c r="E51" s="7"/>
    </row>
    <row r="52" spans="1:44" ht="20.100000000000001" hidden="1" customHeight="1" x14ac:dyDescent="0.25">
      <c r="A52" s="18"/>
      <c r="B52" s="18"/>
      <c r="C52" s="18"/>
      <c r="D52" s="1"/>
      <c r="E52" s="7"/>
    </row>
    <row r="53" spans="1:44" ht="20.100000000000001" hidden="1" customHeight="1" x14ac:dyDescent="0.25">
      <c r="A53" s="18"/>
      <c r="B53" s="18"/>
      <c r="C53" s="18"/>
      <c r="D53" s="1"/>
      <c r="E53" s="7"/>
    </row>
    <row r="54" spans="1:44" ht="20.100000000000001" hidden="1" customHeight="1" x14ac:dyDescent="0.25">
      <c r="A54" s="18"/>
      <c r="B54" s="18"/>
      <c r="C54" s="18"/>
      <c r="D54" s="1"/>
      <c r="E54" s="7"/>
    </row>
    <row r="55" spans="1:44" ht="20.100000000000001" hidden="1" customHeight="1" x14ac:dyDescent="0.25">
      <c r="A55" s="18"/>
      <c r="B55" s="18"/>
      <c r="C55" s="18"/>
      <c r="D55" s="1"/>
      <c r="E55" s="7"/>
    </row>
    <row r="56" spans="1:44" ht="15" hidden="1" customHeight="1" x14ac:dyDescent="0.25">
      <c r="A56" s="18"/>
      <c r="B56" s="18"/>
      <c r="C56" s="18"/>
      <c r="D56" s="1"/>
      <c r="E56" s="7"/>
    </row>
    <row r="57" spans="1:44" ht="30" hidden="1" customHeight="1" x14ac:dyDescent="0.25">
      <c r="A57" s="18"/>
      <c r="B57" s="18"/>
      <c r="C57" s="18"/>
      <c r="D57" s="1"/>
      <c r="E57" s="7"/>
    </row>
    <row r="58" spans="1:44" ht="20.100000000000001" hidden="1" customHeight="1" x14ac:dyDescent="0.25">
      <c r="A58" s="18"/>
      <c r="B58" s="18"/>
      <c r="C58" s="18"/>
      <c r="D58" s="1"/>
      <c r="E58" s="7"/>
    </row>
    <row r="59" spans="1:44" ht="20.100000000000001" customHeight="1" x14ac:dyDescent="0.25">
      <c r="A59" s="18"/>
      <c r="B59" s="18"/>
      <c r="C59" s="18"/>
      <c r="D59" s="1"/>
      <c r="E59" s="7"/>
      <c r="F59" s="357"/>
      <c r="G59" s="1"/>
      <c r="H59" s="1"/>
      <c r="I59" s="1"/>
      <c r="J59" s="1"/>
      <c r="K59" s="1"/>
      <c r="L59" s="1"/>
      <c r="M59" s="1"/>
      <c r="N59" s="1"/>
      <c r="O59" s="1"/>
      <c r="P59" s="1"/>
      <c r="Q59" s="358"/>
      <c r="R59" s="358"/>
      <c r="S59" s="1"/>
      <c r="T59" s="1"/>
      <c r="U59" s="1"/>
      <c r="V59" s="1"/>
      <c r="W59" s="316"/>
      <c r="X59" s="1"/>
      <c r="Y59" s="1"/>
      <c r="Z59" s="1"/>
      <c r="AA59" s="1"/>
      <c r="AB59" s="1"/>
      <c r="AC59" s="1"/>
      <c r="AD59" s="1"/>
      <c r="AE59" s="1"/>
      <c r="AF59" s="1"/>
      <c r="AG59" s="1"/>
      <c r="AH59" s="1"/>
      <c r="AI59" s="1"/>
      <c r="AJ59" s="1"/>
      <c r="AK59" s="1"/>
      <c r="AL59" s="1"/>
      <c r="AM59" s="1"/>
      <c r="AN59" s="1"/>
      <c r="AO59" s="1"/>
      <c r="AP59" s="1"/>
      <c r="AQ59" s="1"/>
      <c r="AR59" s="1"/>
    </row>
    <row r="60" spans="1:44" ht="20.100000000000001" customHeight="1" x14ac:dyDescent="0.25">
      <c r="A60" s="18"/>
      <c r="B60" s="18"/>
      <c r="C60" s="18"/>
      <c r="D60" s="1"/>
      <c r="E60" s="2"/>
      <c r="F60" s="1530" t="s">
        <v>185</v>
      </c>
      <c r="G60" s="1531"/>
      <c r="H60" s="1531"/>
      <c r="I60" s="1531"/>
      <c r="J60" s="1531"/>
      <c r="K60" s="1531"/>
      <c r="L60" s="1531"/>
      <c r="M60" s="1531"/>
      <c r="N60" s="1531"/>
      <c r="O60" s="1531"/>
      <c r="P60" s="1531"/>
      <c r="Q60" s="1531"/>
      <c r="R60" s="1531"/>
      <c r="S60" s="1531"/>
      <c r="T60" s="1531"/>
      <c r="U60" s="1531"/>
      <c r="V60" s="1531"/>
      <c r="W60" s="1531"/>
      <c r="X60" s="1531"/>
      <c r="Y60" s="1531"/>
      <c r="Z60" s="1531"/>
      <c r="AA60" s="1531"/>
      <c r="AB60" s="1531"/>
      <c r="AC60" s="1531"/>
      <c r="AD60" s="1531"/>
      <c r="AE60" s="1531"/>
      <c r="AF60" s="1531"/>
      <c r="AG60" s="1531"/>
      <c r="AH60" s="1531"/>
      <c r="AI60" s="1531"/>
      <c r="AJ60" s="1531"/>
      <c r="AK60" s="1531"/>
      <c r="AL60" s="1531"/>
      <c r="AM60" s="1531"/>
      <c r="AN60" s="1531"/>
      <c r="AO60" s="246"/>
      <c r="AP60" s="246"/>
      <c r="AQ60" s="162"/>
      <c r="AR60" s="162"/>
    </row>
    <row r="61" spans="1:44" ht="20.100000000000001" customHeight="1" x14ac:dyDescent="0.25">
      <c r="A61" s="18"/>
      <c r="B61" s="18"/>
      <c r="C61" s="18"/>
      <c r="D61" s="1"/>
      <c r="E61" s="2"/>
      <c r="F61" s="359"/>
      <c r="G61" s="359"/>
      <c r="H61" s="359"/>
      <c r="I61" s="359"/>
      <c r="J61" s="359"/>
      <c r="K61" s="359"/>
      <c r="L61" s="359"/>
      <c r="M61" s="359"/>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c r="AN61" s="360"/>
      <c r="AO61" s="162"/>
      <c r="AP61" s="162"/>
      <c r="AQ61" s="162"/>
      <c r="AR61" s="162"/>
    </row>
    <row r="62" spans="1:44" ht="30" customHeight="1" x14ac:dyDescent="0.25">
      <c r="A62" s="18"/>
      <c r="B62" s="18"/>
      <c r="C62" s="18"/>
      <c r="D62" s="1"/>
      <c r="E62" s="2"/>
      <c r="F62" s="1149" t="s">
        <v>74</v>
      </c>
      <c r="G62" s="1094"/>
      <c r="H62" s="1094"/>
      <c r="I62" s="1094"/>
      <c r="J62" s="1094"/>
      <c r="K62" s="1094"/>
      <c r="L62" s="1104"/>
      <c r="M62" s="148" t="s">
        <v>186</v>
      </c>
      <c r="N62" s="981"/>
      <c r="O62" s="982"/>
      <c r="P62" s="982"/>
      <c r="Q62" s="982"/>
      <c r="R62" s="982"/>
      <c r="S62" s="121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ht="20.100000000000001" customHeight="1" x14ac:dyDescent="0.25">
      <c r="A63" s="18"/>
      <c r="B63" s="18"/>
      <c r="C63" s="18"/>
      <c r="D63" s="1"/>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ht="35.1" customHeight="1" x14ac:dyDescent="0.25">
      <c r="A64" s="18"/>
      <c r="B64" s="18"/>
      <c r="C64" s="18"/>
      <c r="D64" s="1"/>
      <c r="E64" s="2"/>
      <c r="F64" s="1117" t="s">
        <v>359</v>
      </c>
      <c r="G64" s="1118"/>
      <c r="H64" s="1118"/>
      <c r="I64" s="1120" t="s">
        <v>104</v>
      </c>
      <c r="J64" s="1121"/>
      <c r="K64" s="1121"/>
      <c r="L64" s="1353"/>
      <c r="M64" s="1532" t="s">
        <v>210</v>
      </c>
      <c r="N64" s="1533"/>
      <c r="O64" s="1534"/>
      <c r="P64" s="1120" t="s">
        <v>38</v>
      </c>
      <c r="Q64" s="1121"/>
      <c r="R64" s="1353"/>
      <c r="S64" s="1532" t="s">
        <v>211</v>
      </c>
      <c r="T64" s="1533"/>
      <c r="U64" s="1534"/>
      <c r="V64" s="1120" t="s">
        <v>39</v>
      </c>
      <c r="W64" s="1121"/>
      <c r="X64" s="1353"/>
      <c r="Y64" s="1527" t="s">
        <v>195</v>
      </c>
      <c r="Z64" s="1528"/>
      <c r="AA64" s="1528"/>
      <c r="AB64" s="1528"/>
      <c r="AC64" s="1528"/>
      <c r="AD64" s="1528"/>
      <c r="AE64" s="1528"/>
      <c r="AF64" s="1528"/>
      <c r="AG64" s="1528"/>
      <c r="AH64" s="1528"/>
      <c r="AI64" s="1528"/>
      <c r="AJ64" s="1528"/>
      <c r="AK64" s="1528"/>
      <c r="AL64" s="1528"/>
      <c r="AM64" s="1528"/>
      <c r="AN64" s="2"/>
      <c r="AO64" s="2"/>
      <c r="AP64" s="2"/>
      <c r="AQ64" s="2"/>
      <c r="AR64" s="2"/>
    </row>
    <row r="65" spans="1:44" ht="24.95" customHeight="1" x14ac:dyDescent="0.25">
      <c r="A65" s="18"/>
      <c r="B65" s="18"/>
      <c r="C65" s="18"/>
      <c r="D65" s="1"/>
      <c r="E65" s="361"/>
      <c r="F65" s="1537">
        <v>1</v>
      </c>
      <c r="G65" s="1537"/>
      <c r="H65" s="1537"/>
      <c r="I65" s="1133"/>
      <c r="J65" s="1133"/>
      <c r="K65" s="1133"/>
      <c r="L65" s="1133"/>
      <c r="M65" s="1205"/>
      <c r="N65" s="1205"/>
      <c r="O65" s="1205"/>
      <c r="P65" s="1205"/>
      <c r="Q65" s="1205"/>
      <c r="R65" s="1205"/>
      <c r="S65" s="1205"/>
      <c r="T65" s="1205"/>
      <c r="U65" s="1205"/>
      <c r="V65" s="1205"/>
      <c r="W65" s="1205"/>
      <c r="X65" s="1205"/>
      <c r="Y65" s="1044"/>
      <c r="Z65" s="1297"/>
      <c r="AA65" s="1297"/>
      <c r="AB65" s="1297"/>
      <c r="AC65" s="1297"/>
      <c r="AD65" s="1297"/>
      <c r="AE65" s="1297"/>
      <c r="AF65" s="1297"/>
      <c r="AG65" s="1297"/>
      <c r="AH65" s="1297"/>
      <c r="AI65" s="1297"/>
      <c r="AJ65" s="1297"/>
      <c r="AK65" s="1297"/>
      <c r="AL65" s="1297"/>
      <c r="AM65" s="1297"/>
      <c r="AN65" s="2"/>
      <c r="AO65" s="2"/>
      <c r="AP65" s="2"/>
      <c r="AQ65" s="2"/>
      <c r="AR65" s="2"/>
    </row>
    <row r="66" spans="1:44" ht="24.95" customHeight="1" x14ac:dyDescent="0.25">
      <c r="A66" s="18"/>
      <c r="B66" s="18"/>
      <c r="C66" s="18"/>
      <c r="D66" s="1"/>
      <c r="E66" s="361"/>
      <c r="F66" s="1537">
        <v>2</v>
      </c>
      <c r="G66" s="1537"/>
      <c r="H66" s="1537"/>
      <c r="I66" s="1133"/>
      <c r="J66" s="1133"/>
      <c r="K66" s="1133"/>
      <c r="L66" s="1133"/>
      <c r="M66" s="1205"/>
      <c r="N66" s="1205"/>
      <c r="O66" s="1205"/>
      <c r="P66" s="1205"/>
      <c r="Q66" s="1205"/>
      <c r="R66" s="1205"/>
      <c r="S66" s="1205"/>
      <c r="T66" s="1205"/>
      <c r="U66" s="1205"/>
      <c r="V66" s="1205"/>
      <c r="W66" s="1205"/>
      <c r="X66" s="1205"/>
      <c r="Y66" s="1044"/>
      <c r="Z66" s="1297"/>
      <c r="AA66" s="1297"/>
      <c r="AB66" s="1297"/>
      <c r="AC66" s="1297"/>
      <c r="AD66" s="1297"/>
      <c r="AE66" s="1297"/>
      <c r="AF66" s="1297"/>
      <c r="AG66" s="1297"/>
      <c r="AH66" s="1297"/>
      <c r="AI66" s="1297"/>
      <c r="AJ66" s="1297"/>
      <c r="AK66" s="1297"/>
      <c r="AL66" s="1297"/>
      <c r="AM66" s="1297"/>
      <c r="AN66" s="2"/>
      <c r="AO66" s="2"/>
      <c r="AP66" s="2"/>
      <c r="AQ66" s="2"/>
      <c r="AR66" s="2"/>
    </row>
    <row r="67" spans="1:44" ht="24.95" customHeight="1" x14ac:dyDescent="0.25">
      <c r="A67" s="18"/>
      <c r="B67" s="18"/>
      <c r="C67" s="18"/>
      <c r="D67" s="1"/>
      <c r="E67" s="361"/>
      <c r="F67" s="1537">
        <v>3</v>
      </c>
      <c r="G67" s="1537"/>
      <c r="H67" s="1537"/>
      <c r="I67" s="1133"/>
      <c r="J67" s="1133"/>
      <c r="K67" s="1133"/>
      <c r="L67" s="1133"/>
      <c r="M67" s="1205"/>
      <c r="N67" s="1205"/>
      <c r="O67" s="1205"/>
      <c r="P67" s="1205"/>
      <c r="Q67" s="1205"/>
      <c r="R67" s="1205"/>
      <c r="S67" s="1205"/>
      <c r="T67" s="1205"/>
      <c r="U67" s="1205"/>
      <c r="V67" s="1205"/>
      <c r="W67" s="1205"/>
      <c r="X67" s="1205"/>
      <c r="Y67" s="1044"/>
      <c r="Z67" s="1297"/>
      <c r="AA67" s="1297"/>
      <c r="AB67" s="1297"/>
      <c r="AC67" s="1297"/>
      <c r="AD67" s="1297"/>
      <c r="AE67" s="1297"/>
      <c r="AF67" s="1297"/>
      <c r="AG67" s="1297"/>
      <c r="AH67" s="1297"/>
      <c r="AI67" s="1297"/>
      <c r="AJ67" s="1297"/>
      <c r="AK67" s="1297"/>
      <c r="AL67" s="1297"/>
      <c r="AM67" s="1297"/>
      <c r="AN67" s="2"/>
      <c r="AO67" s="2"/>
      <c r="AP67" s="2"/>
      <c r="AQ67" s="2"/>
      <c r="AR67" s="2"/>
    </row>
    <row r="68" spans="1:44" ht="24.95" customHeight="1" x14ac:dyDescent="0.25">
      <c r="A68" s="18"/>
      <c r="B68" s="18"/>
      <c r="C68" s="18"/>
      <c r="D68" s="1"/>
      <c r="E68" s="361"/>
      <c r="F68" s="1537">
        <v>4</v>
      </c>
      <c r="G68" s="1537"/>
      <c r="H68" s="1537"/>
      <c r="I68" s="1133"/>
      <c r="J68" s="1133"/>
      <c r="K68" s="1133"/>
      <c r="L68" s="1133"/>
      <c r="M68" s="1205"/>
      <c r="N68" s="1205"/>
      <c r="O68" s="1205"/>
      <c r="P68" s="1205"/>
      <c r="Q68" s="1205"/>
      <c r="R68" s="1205"/>
      <c r="S68" s="1205"/>
      <c r="T68" s="1205"/>
      <c r="U68" s="1205"/>
      <c r="V68" s="1205"/>
      <c r="W68" s="1205"/>
      <c r="X68" s="1205"/>
      <c r="Y68" s="1044"/>
      <c r="Z68" s="1297"/>
      <c r="AA68" s="1297"/>
      <c r="AB68" s="1297"/>
      <c r="AC68" s="1297"/>
      <c r="AD68" s="1297"/>
      <c r="AE68" s="1297"/>
      <c r="AF68" s="1297"/>
      <c r="AG68" s="1297"/>
      <c r="AH68" s="1297"/>
      <c r="AI68" s="1297"/>
      <c r="AJ68" s="1297"/>
      <c r="AK68" s="1297"/>
      <c r="AL68" s="1297"/>
      <c r="AM68" s="1297"/>
      <c r="AN68" s="2"/>
      <c r="AO68" s="2"/>
      <c r="AP68" s="2"/>
      <c r="AQ68" s="2"/>
      <c r="AR68" s="2"/>
    </row>
    <row r="69" spans="1:44" ht="24.95" customHeight="1" x14ac:dyDescent="0.25">
      <c r="A69" s="18"/>
      <c r="B69" s="18"/>
      <c r="C69" s="18"/>
      <c r="D69" s="1"/>
      <c r="E69" s="361"/>
      <c r="F69" s="1537">
        <v>5</v>
      </c>
      <c r="G69" s="1537"/>
      <c r="H69" s="1537"/>
      <c r="I69" s="1133"/>
      <c r="J69" s="1133"/>
      <c r="K69" s="1133"/>
      <c r="L69" s="1133"/>
      <c r="M69" s="1205"/>
      <c r="N69" s="1205"/>
      <c r="O69" s="1205"/>
      <c r="P69" s="1205"/>
      <c r="Q69" s="1205"/>
      <c r="R69" s="1205"/>
      <c r="S69" s="1205"/>
      <c r="T69" s="1205"/>
      <c r="U69" s="1205"/>
      <c r="V69" s="1205"/>
      <c r="W69" s="1205"/>
      <c r="X69" s="1205"/>
      <c r="Y69" s="1044"/>
      <c r="Z69" s="1297"/>
      <c r="AA69" s="1297"/>
      <c r="AB69" s="1297"/>
      <c r="AC69" s="1297"/>
      <c r="AD69" s="1297"/>
      <c r="AE69" s="1297"/>
      <c r="AF69" s="1297"/>
      <c r="AG69" s="1297"/>
      <c r="AH69" s="1297"/>
      <c r="AI69" s="1297"/>
      <c r="AJ69" s="1297"/>
      <c r="AK69" s="1297"/>
      <c r="AL69" s="1297"/>
      <c r="AM69" s="1297"/>
      <c r="AN69" s="2"/>
      <c r="AO69" s="2"/>
      <c r="AP69" s="2"/>
      <c r="AQ69" s="2"/>
      <c r="AR69" s="2"/>
    </row>
    <row r="70" spans="1:44" ht="24.95" customHeight="1" x14ac:dyDescent="0.25">
      <c r="A70" s="18"/>
      <c r="B70" s="18"/>
      <c r="C70" s="18"/>
      <c r="D70" s="1"/>
      <c r="E70" s="361"/>
      <c r="F70" s="1537">
        <v>6</v>
      </c>
      <c r="G70" s="1537"/>
      <c r="H70" s="1537"/>
      <c r="I70" s="1133"/>
      <c r="J70" s="1133"/>
      <c r="K70" s="1133"/>
      <c r="L70" s="1133"/>
      <c r="M70" s="1205"/>
      <c r="N70" s="1205"/>
      <c r="O70" s="1205"/>
      <c r="P70" s="1205"/>
      <c r="Q70" s="1205"/>
      <c r="R70" s="1205"/>
      <c r="S70" s="1205"/>
      <c r="T70" s="1205"/>
      <c r="U70" s="1205"/>
      <c r="V70" s="1205"/>
      <c r="W70" s="1205"/>
      <c r="X70" s="1205"/>
      <c r="Y70" s="1044"/>
      <c r="Z70" s="1297"/>
      <c r="AA70" s="1297"/>
      <c r="AB70" s="1297"/>
      <c r="AC70" s="1297"/>
      <c r="AD70" s="1297"/>
      <c r="AE70" s="1297"/>
      <c r="AF70" s="1297"/>
      <c r="AG70" s="1297"/>
      <c r="AH70" s="1297"/>
      <c r="AI70" s="1297"/>
      <c r="AJ70" s="1297"/>
      <c r="AK70" s="1297"/>
      <c r="AL70" s="1297"/>
      <c r="AM70" s="1297"/>
      <c r="AN70" s="2"/>
      <c r="AO70" s="2"/>
      <c r="AP70" s="2"/>
      <c r="AQ70" s="2"/>
      <c r="AR70" s="2"/>
    </row>
    <row r="71" spans="1:44" ht="24.95" customHeight="1" x14ac:dyDescent="0.25">
      <c r="A71" s="18"/>
      <c r="B71" s="18"/>
      <c r="C71" s="18"/>
      <c r="D71" s="1"/>
      <c r="E71" s="361"/>
      <c r="F71" s="1537">
        <v>7</v>
      </c>
      <c r="G71" s="1537"/>
      <c r="H71" s="1537"/>
      <c r="I71" s="1133"/>
      <c r="J71" s="1133"/>
      <c r="K71" s="1133"/>
      <c r="L71" s="1133"/>
      <c r="M71" s="1205"/>
      <c r="N71" s="1205"/>
      <c r="O71" s="1205"/>
      <c r="P71" s="1205"/>
      <c r="Q71" s="1205"/>
      <c r="R71" s="1205"/>
      <c r="S71" s="1205"/>
      <c r="T71" s="1205"/>
      <c r="U71" s="1205"/>
      <c r="V71" s="1205"/>
      <c r="W71" s="1205"/>
      <c r="X71" s="1205"/>
      <c r="Y71" s="1044"/>
      <c r="Z71" s="1297"/>
      <c r="AA71" s="1297"/>
      <c r="AB71" s="1297"/>
      <c r="AC71" s="1297"/>
      <c r="AD71" s="1297"/>
      <c r="AE71" s="1297"/>
      <c r="AF71" s="1297"/>
      <c r="AG71" s="1297"/>
      <c r="AH71" s="1297"/>
      <c r="AI71" s="1297"/>
      <c r="AJ71" s="1297"/>
      <c r="AK71" s="1297"/>
      <c r="AL71" s="1297"/>
      <c r="AM71" s="1297"/>
      <c r="AN71" s="2"/>
      <c r="AO71" s="2"/>
      <c r="AP71" s="2"/>
      <c r="AQ71" s="2"/>
      <c r="AR71" s="2"/>
    </row>
    <row r="72" spans="1:44" ht="24.95" customHeight="1" x14ac:dyDescent="0.25">
      <c r="A72" s="18"/>
      <c r="B72" s="18"/>
      <c r="C72" s="18"/>
      <c r="D72" s="1"/>
      <c r="E72" s="361"/>
      <c r="F72" s="1537">
        <v>8</v>
      </c>
      <c r="G72" s="1537"/>
      <c r="H72" s="1537"/>
      <c r="I72" s="1133"/>
      <c r="J72" s="1133"/>
      <c r="K72" s="1133"/>
      <c r="L72" s="1133"/>
      <c r="M72" s="1205"/>
      <c r="N72" s="1205"/>
      <c r="O72" s="1205"/>
      <c r="P72" s="1205"/>
      <c r="Q72" s="1205"/>
      <c r="R72" s="1205"/>
      <c r="S72" s="1205"/>
      <c r="T72" s="1205"/>
      <c r="U72" s="1205"/>
      <c r="V72" s="1205"/>
      <c r="W72" s="1205"/>
      <c r="X72" s="1205"/>
      <c r="Y72" s="1044"/>
      <c r="Z72" s="1297"/>
      <c r="AA72" s="1297"/>
      <c r="AB72" s="1297"/>
      <c r="AC72" s="1297"/>
      <c r="AD72" s="1297"/>
      <c r="AE72" s="1297"/>
      <c r="AF72" s="1297"/>
      <c r="AG72" s="1297"/>
      <c r="AH72" s="1297"/>
      <c r="AI72" s="1297"/>
      <c r="AJ72" s="1297"/>
      <c r="AK72" s="1297"/>
      <c r="AL72" s="1297"/>
      <c r="AM72" s="1297"/>
      <c r="AN72" s="2"/>
      <c r="AO72" s="2"/>
      <c r="AP72" s="2"/>
      <c r="AQ72" s="2"/>
      <c r="AR72" s="2"/>
    </row>
    <row r="73" spans="1:44" ht="24.95" customHeight="1" x14ac:dyDescent="0.25">
      <c r="A73" s="18"/>
      <c r="B73" s="18"/>
      <c r="C73" s="18"/>
      <c r="D73" s="1"/>
      <c r="E73" s="361"/>
      <c r="F73" s="1537">
        <v>9</v>
      </c>
      <c r="G73" s="1537"/>
      <c r="H73" s="1537"/>
      <c r="I73" s="1133"/>
      <c r="J73" s="1133"/>
      <c r="K73" s="1133"/>
      <c r="L73" s="1133"/>
      <c r="M73" s="1205"/>
      <c r="N73" s="1205"/>
      <c r="O73" s="1205"/>
      <c r="P73" s="1205"/>
      <c r="Q73" s="1205"/>
      <c r="R73" s="1205"/>
      <c r="S73" s="1205"/>
      <c r="T73" s="1205"/>
      <c r="U73" s="1205"/>
      <c r="V73" s="1205"/>
      <c r="W73" s="1205"/>
      <c r="X73" s="1205"/>
      <c r="Y73" s="1044"/>
      <c r="Z73" s="1297"/>
      <c r="AA73" s="1297"/>
      <c r="AB73" s="1297"/>
      <c r="AC73" s="1297"/>
      <c r="AD73" s="1297"/>
      <c r="AE73" s="1297"/>
      <c r="AF73" s="1297"/>
      <c r="AG73" s="1297"/>
      <c r="AH73" s="1297"/>
      <c r="AI73" s="1297"/>
      <c r="AJ73" s="1297"/>
      <c r="AK73" s="1297"/>
      <c r="AL73" s="1297"/>
      <c r="AM73" s="1297"/>
      <c r="AN73" s="2"/>
      <c r="AO73" s="2"/>
      <c r="AP73" s="2"/>
      <c r="AQ73" s="2"/>
      <c r="AR73" s="2"/>
    </row>
    <row r="74" spans="1:44" ht="24.95" customHeight="1" x14ac:dyDescent="0.25">
      <c r="A74" s="18"/>
      <c r="B74" s="18"/>
      <c r="C74" s="18"/>
      <c r="D74" s="1"/>
      <c r="E74" s="361"/>
      <c r="F74" s="1537">
        <v>10</v>
      </c>
      <c r="G74" s="1537"/>
      <c r="H74" s="1537"/>
      <c r="I74" s="1133"/>
      <c r="J74" s="1133"/>
      <c r="K74" s="1133"/>
      <c r="L74" s="1133"/>
      <c r="M74" s="1205"/>
      <c r="N74" s="1205"/>
      <c r="O74" s="1205"/>
      <c r="P74" s="1205"/>
      <c r="Q74" s="1205"/>
      <c r="R74" s="1205"/>
      <c r="S74" s="1205"/>
      <c r="T74" s="1205"/>
      <c r="U74" s="1205"/>
      <c r="V74" s="1205"/>
      <c r="W74" s="1205"/>
      <c r="X74" s="1205"/>
      <c r="Y74" s="1044"/>
      <c r="Z74" s="1297"/>
      <c r="AA74" s="1297"/>
      <c r="AB74" s="1297"/>
      <c r="AC74" s="1297"/>
      <c r="AD74" s="1297"/>
      <c r="AE74" s="1297"/>
      <c r="AF74" s="1297"/>
      <c r="AG74" s="1297"/>
      <c r="AH74" s="1297"/>
      <c r="AI74" s="1297"/>
      <c r="AJ74" s="1297"/>
      <c r="AK74" s="1297"/>
      <c r="AL74" s="1297"/>
      <c r="AM74" s="1297"/>
      <c r="AN74" s="2"/>
      <c r="AO74" s="2"/>
      <c r="AP74" s="2"/>
      <c r="AQ74" s="2"/>
      <c r="AR74" s="2"/>
    </row>
    <row r="75" spans="1:44" ht="20.100000000000001" customHeight="1" x14ac:dyDescent="0.25">
      <c r="A75" s="18"/>
      <c r="B75" s="18"/>
      <c r="C75" s="18"/>
      <c r="D75" s="1"/>
      <c r="E75" s="2"/>
      <c r="F75" s="2"/>
      <c r="G75" s="2"/>
      <c r="H75" s="2"/>
      <c r="I75" s="362"/>
      <c r="J75" s="362"/>
      <c r="K75" s="362"/>
      <c r="L75" s="362"/>
      <c r="M75" s="362"/>
      <c r="N75" s="362"/>
      <c r="O75" s="362"/>
      <c r="P75" s="362"/>
      <c r="Q75" s="362"/>
      <c r="R75" s="362"/>
      <c r="S75" s="362"/>
      <c r="T75" s="36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30" customHeight="1" x14ac:dyDescent="0.25">
      <c r="A76" s="18"/>
      <c r="B76" s="18"/>
      <c r="C76" s="18"/>
      <c r="D76" s="1"/>
      <c r="E76" s="2"/>
      <c r="F76" s="1149" t="s">
        <v>105</v>
      </c>
      <c r="G76" s="1094"/>
      <c r="H76" s="1094"/>
      <c r="I76" s="1094"/>
      <c r="J76" s="1094"/>
      <c r="K76" s="1094"/>
      <c r="L76" s="1104"/>
      <c r="M76" s="148" t="s">
        <v>186</v>
      </c>
      <c r="N76" s="981"/>
      <c r="O76" s="982"/>
      <c r="P76" s="982"/>
      <c r="Q76" s="982"/>
      <c r="R76" s="982"/>
      <c r="S76" s="1212"/>
      <c r="T76" s="2"/>
      <c r="U76" s="49" t="s">
        <v>6005</v>
      </c>
      <c r="V76" s="2"/>
      <c r="W76" s="2"/>
      <c r="X76" s="2"/>
      <c r="Y76" s="2"/>
      <c r="Z76" s="2"/>
      <c r="AA76" s="2"/>
      <c r="AB76" s="2"/>
      <c r="AC76" s="2"/>
      <c r="AD76" s="2"/>
      <c r="AE76" s="2"/>
      <c r="AF76" s="2"/>
      <c r="AG76" s="2"/>
      <c r="AH76" s="2"/>
      <c r="AI76" s="2"/>
      <c r="AJ76" s="2"/>
      <c r="AK76" s="2"/>
      <c r="AL76" s="2"/>
      <c r="AM76" s="2"/>
      <c r="AN76" s="2"/>
      <c r="AO76" s="2"/>
      <c r="AP76" s="2"/>
      <c r="AQ76" s="2"/>
      <c r="AR76" s="2"/>
    </row>
    <row r="77" spans="1:44" ht="30" customHeight="1" x14ac:dyDescent="0.25">
      <c r="A77" s="18"/>
      <c r="B77" s="18"/>
      <c r="C77" s="18"/>
      <c r="D77" s="1"/>
      <c r="E77" s="2"/>
      <c r="F77" s="1149" t="str">
        <f ca="1">'Calculos(2)'!$AW$45</f>
        <v>Dose Máxima Tolerada - DMT (mg/kg pc)</v>
      </c>
      <c r="G77" s="1094"/>
      <c r="H77" s="1094"/>
      <c r="I77" s="1094"/>
      <c r="J77" s="1094"/>
      <c r="K77" s="1094"/>
      <c r="L77" s="1104"/>
      <c r="M77" s="148" t="s">
        <v>186</v>
      </c>
      <c r="N77" s="1058"/>
      <c r="O77" s="1059"/>
      <c r="P77" s="1059"/>
      <c r="Q77" s="1059"/>
      <c r="R77" s="1059"/>
      <c r="S77" s="1060"/>
      <c r="T77" s="2"/>
      <c r="U77" s="49"/>
      <c r="V77" s="2"/>
      <c r="W77" s="2"/>
      <c r="X77" s="2"/>
      <c r="Y77" s="2"/>
      <c r="Z77" s="2"/>
      <c r="AA77" s="2"/>
      <c r="AB77" s="2"/>
      <c r="AC77" s="2"/>
      <c r="AD77" s="2"/>
      <c r="AE77" s="2"/>
      <c r="AF77" s="2"/>
      <c r="AG77" s="2"/>
      <c r="AH77" s="2"/>
      <c r="AI77" s="2"/>
      <c r="AJ77" s="2"/>
      <c r="AK77" s="2"/>
      <c r="AL77" s="2"/>
      <c r="AM77" s="2"/>
      <c r="AN77" s="2"/>
      <c r="AO77" s="2"/>
      <c r="AP77" s="2"/>
      <c r="AQ77" s="2"/>
      <c r="AR77" s="2"/>
    </row>
    <row r="78" spans="1:44" ht="30" customHeight="1" x14ac:dyDescent="0.25">
      <c r="A78" s="18"/>
      <c r="B78" s="18"/>
      <c r="C78" s="18"/>
      <c r="D78" s="1"/>
      <c r="E78" s="2"/>
      <c r="F78" s="1149" t="str">
        <f ca="1">'Calculos(2)'!$AW$46</f>
        <v/>
      </c>
      <c r="G78" s="1094"/>
      <c r="H78" s="1094"/>
      <c r="I78" s="1094"/>
      <c r="J78" s="1094"/>
      <c r="K78" s="1094"/>
      <c r="L78" s="1094"/>
      <c r="M78" s="148" t="s">
        <v>186</v>
      </c>
      <c r="N78" s="1058"/>
      <c r="O78" s="1059"/>
      <c r="P78" s="1059"/>
      <c r="Q78" s="1059"/>
      <c r="R78" s="1059"/>
      <c r="S78" s="1060"/>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20.100000000000001" customHeight="1" x14ac:dyDescent="0.25">
      <c r="A79" s="18"/>
      <c r="B79" s="18"/>
      <c r="C79" s="18"/>
      <c r="D79" s="1"/>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84.95" customHeight="1" x14ac:dyDescent="0.25">
      <c r="A80" s="18"/>
      <c r="B80" s="18"/>
      <c r="C80" s="18"/>
      <c r="D80" s="1"/>
      <c r="E80" s="2"/>
      <c r="F80" s="1149" t="s">
        <v>259</v>
      </c>
      <c r="G80" s="1094"/>
      <c r="H80" s="1094"/>
      <c r="I80" s="1094"/>
      <c r="J80" s="1094"/>
      <c r="K80" s="1094"/>
      <c r="L80" s="1094"/>
      <c r="M80" s="148" t="s">
        <v>186</v>
      </c>
      <c r="N80" s="981"/>
      <c r="O80" s="982"/>
      <c r="P80" s="982"/>
      <c r="Q80" s="982"/>
      <c r="R80" s="982"/>
      <c r="S80" s="1212"/>
      <c r="T80" s="1149" t="s">
        <v>216</v>
      </c>
      <c r="U80" s="1094"/>
      <c r="V80" s="1094"/>
      <c r="W80" s="1094"/>
      <c r="X80" s="1094"/>
      <c r="Y80" s="1094"/>
      <c r="Z80" s="148" t="s">
        <v>186</v>
      </c>
      <c r="AA80" s="1032"/>
      <c r="AB80" s="1033"/>
      <c r="AC80" s="1033"/>
      <c r="AD80" s="1033"/>
      <c r="AE80" s="1033"/>
      <c r="AF80" s="1033"/>
      <c r="AG80" s="1033"/>
      <c r="AH80" s="1033"/>
      <c r="AI80" s="1033"/>
      <c r="AJ80" s="1033"/>
      <c r="AK80" s="1033"/>
      <c r="AL80" s="1033"/>
      <c r="AM80" s="1034"/>
      <c r="AN80" s="48"/>
      <c r="AO80" s="48"/>
      <c r="AP80" s="48"/>
      <c r="AQ80" s="48"/>
      <c r="AR80" s="48"/>
    </row>
    <row r="81" spans="1:44" ht="30" customHeight="1" x14ac:dyDescent="0.25">
      <c r="A81" s="18"/>
      <c r="B81" s="18"/>
      <c r="C81" s="18"/>
      <c r="D81" s="1"/>
      <c r="E81" s="363"/>
      <c r="F81" s="1539" t="s">
        <v>242</v>
      </c>
      <c r="G81" s="1539"/>
      <c r="H81" s="1539"/>
      <c r="I81" s="1539"/>
      <c r="J81" s="1539"/>
      <c r="K81" s="1539"/>
      <c r="L81" s="1539"/>
      <c r="M81" s="1539"/>
      <c r="N81" s="1539"/>
      <c r="O81" s="1539"/>
      <c r="P81" s="1539"/>
      <c r="Q81" s="1539"/>
      <c r="R81" s="1539"/>
      <c r="S81" s="1539"/>
      <c r="T81" s="1539"/>
      <c r="U81" s="1539"/>
      <c r="V81" s="1539"/>
      <c r="W81" s="1539"/>
      <c r="X81" s="1539"/>
      <c r="Y81" s="1539"/>
      <c r="Z81" s="1539"/>
      <c r="AA81" s="1539"/>
      <c r="AB81" s="1539"/>
      <c r="AC81" s="170"/>
      <c r="AD81" s="170"/>
      <c r="AE81" s="170"/>
      <c r="AF81" s="170"/>
      <c r="AG81" s="170"/>
      <c r="AH81" s="363"/>
      <c r="AI81" s="363"/>
      <c r="AJ81" s="363"/>
      <c r="AK81" s="363"/>
      <c r="AL81" s="363"/>
      <c r="AM81" s="363"/>
      <c r="AN81" s="363"/>
      <c r="AO81" s="363"/>
      <c r="AP81" s="363"/>
      <c r="AQ81" s="363"/>
      <c r="AR81" s="363"/>
    </row>
    <row r="82" spans="1:44" ht="20.100000000000001" customHeight="1" x14ac:dyDescent="0.25">
      <c r="A82" s="18"/>
      <c r="B82" s="18"/>
      <c r="C82" s="18"/>
      <c r="D82" s="1"/>
      <c r="E82" s="363"/>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363"/>
      <c r="AI82" s="363"/>
      <c r="AJ82" s="363"/>
      <c r="AK82" s="363"/>
      <c r="AL82" s="363"/>
      <c r="AM82" s="363"/>
      <c r="AN82" s="363"/>
      <c r="AO82" s="363"/>
      <c r="AP82" s="363"/>
      <c r="AQ82" s="363"/>
      <c r="AR82" s="363"/>
    </row>
    <row r="83" spans="1:44" ht="50.1" customHeight="1" x14ac:dyDescent="0.25">
      <c r="A83" s="18"/>
      <c r="B83" s="18"/>
      <c r="C83" s="18"/>
      <c r="D83" s="1"/>
      <c r="E83" s="2"/>
      <c r="F83" s="1149" t="s">
        <v>213</v>
      </c>
      <c r="G83" s="1094"/>
      <c r="H83" s="1094"/>
      <c r="I83" s="1094"/>
      <c r="J83" s="1094"/>
      <c r="K83" s="1094"/>
      <c r="L83" s="1094"/>
      <c r="M83" s="148" t="s">
        <v>186</v>
      </c>
      <c r="N83" s="1523"/>
      <c r="O83" s="1524"/>
      <c r="P83" s="1524"/>
      <c r="Q83" s="1525"/>
      <c r="R83" s="1149" t="s">
        <v>214</v>
      </c>
      <c r="S83" s="1094"/>
      <c r="T83" s="1094"/>
      <c r="U83" s="1094"/>
      <c r="V83" s="1094"/>
      <c r="W83" s="148" t="s">
        <v>186</v>
      </c>
      <c r="X83" s="1523"/>
      <c r="Y83" s="1524"/>
      <c r="Z83" s="1524"/>
      <c r="AA83" s="1525"/>
      <c r="AB83" s="2"/>
      <c r="AC83" s="2"/>
      <c r="AD83" s="2"/>
      <c r="AE83" s="2"/>
      <c r="AF83" s="2"/>
      <c r="AG83" s="2"/>
      <c r="AH83" s="2"/>
      <c r="AI83" s="2"/>
      <c r="AJ83" s="2"/>
      <c r="AK83" s="2"/>
      <c r="AL83" s="2"/>
      <c r="AM83" s="2"/>
      <c r="AN83" s="2"/>
      <c r="AO83" s="2"/>
      <c r="AP83" s="2"/>
      <c r="AQ83" s="2"/>
      <c r="AR83" s="2"/>
    </row>
    <row r="84" spans="1:44" ht="30" customHeight="1" x14ac:dyDescent="0.25">
      <c r="A84" s="18"/>
      <c r="B84" s="18"/>
      <c r="C84" s="18"/>
      <c r="D84" s="1"/>
      <c r="E84" s="2"/>
      <c r="F84" s="2"/>
      <c r="G84" s="2"/>
      <c r="H84" s="2"/>
      <c r="I84" s="2"/>
      <c r="J84" s="2"/>
      <c r="K84" s="2"/>
      <c r="L84" s="2"/>
      <c r="M84" s="2"/>
      <c r="N84" s="2"/>
      <c r="O84" s="2"/>
      <c r="P84" s="2"/>
      <c r="Q84" s="2"/>
      <c r="R84" s="2"/>
      <c r="S84" s="2"/>
      <c r="T84" s="2"/>
      <c r="U84" s="2"/>
      <c r="V84" s="2"/>
      <c r="W84" s="2"/>
      <c r="X84" s="2"/>
      <c r="Y84" s="2"/>
      <c r="Z84" s="1083" t="s">
        <v>244</v>
      </c>
      <c r="AA84" s="1386"/>
      <c r="AB84" s="1521"/>
      <c r="AC84" s="1521"/>
      <c r="AD84" s="1522"/>
      <c r="AE84" s="1117" t="s">
        <v>243</v>
      </c>
      <c r="AF84" s="1118"/>
      <c r="AG84" s="1118"/>
      <c r="AH84" s="1118"/>
      <c r="AI84" s="1119"/>
      <c r="AJ84" s="1117" t="s">
        <v>245</v>
      </c>
      <c r="AK84" s="1521"/>
      <c r="AL84" s="1521"/>
      <c r="AM84" s="1521"/>
      <c r="AN84" s="1522"/>
      <c r="AO84" s="2"/>
      <c r="AP84" s="2"/>
      <c r="AQ84" s="2"/>
      <c r="AR84" s="2"/>
    </row>
    <row r="85" spans="1:44" ht="30" customHeight="1" x14ac:dyDescent="0.25">
      <c r="A85" s="18"/>
      <c r="B85" s="18"/>
      <c r="C85" s="18"/>
      <c r="D85" s="1"/>
      <c r="E85" s="2"/>
      <c r="F85" s="1149" t="str">
        <f ca="1">'Calculos(2)'!AY45</f>
        <v>Qual foi a dose de DL50 encontrada? (mg/kg pc)</v>
      </c>
      <c r="G85" s="1094"/>
      <c r="H85" s="1094"/>
      <c r="I85" s="1094"/>
      <c r="J85" s="1094"/>
      <c r="K85" s="1094"/>
      <c r="L85" s="1094"/>
      <c r="M85" s="148" t="s">
        <v>186</v>
      </c>
      <c r="N85" s="1058"/>
      <c r="O85" s="1059"/>
      <c r="P85" s="1059"/>
      <c r="Q85" s="1060"/>
      <c r="R85" s="1193" t="s">
        <v>215</v>
      </c>
      <c r="S85" s="1194"/>
      <c r="T85" s="1194"/>
      <c r="U85" s="1194"/>
      <c r="V85" s="1194"/>
      <c r="W85" s="1194"/>
      <c r="X85" s="1194"/>
      <c r="Y85" s="148" t="s">
        <v>186</v>
      </c>
      <c r="Z85" s="1544"/>
      <c r="AA85" s="1518"/>
      <c r="AB85" s="1518"/>
      <c r="AC85" s="1518"/>
      <c r="AD85" s="1518"/>
      <c r="AE85" s="1518"/>
      <c r="AF85" s="1518"/>
      <c r="AG85" s="1518"/>
      <c r="AH85" s="1518"/>
      <c r="AI85" s="1518"/>
      <c r="AJ85" s="1518"/>
      <c r="AK85" s="1518"/>
      <c r="AL85" s="1518"/>
      <c r="AM85" s="1518"/>
      <c r="AN85" s="1520"/>
      <c r="AO85" s="2"/>
      <c r="AP85" s="2"/>
      <c r="AQ85" s="2"/>
      <c r="AR85" s="2"/>
    </row>
    <row r="86" spans="1:44" ht="30" customHeight="1" x14ac:dyDescent="0.25">
      <c r="A86" s="18"/>
      <c r="B86" s="18"/>
      <c r="C86" s="18"/>
      <c r="D86" s="1"/>
      <c r="E86" s="2"/>
      <c r="F86" s="1149" t="str">
        <f ca="1">'Calculos(2)'!AY46</f>
        <v/>
      </c>
      <c r="G86" s="1094"/>
      <c r="H86" s="1094"/>
      <c r="I86" s="1094"/>
      <c r="J86" s="1094"/>
      <c r="K86" s="1094"/>
      <c r="L86" s="1094"/>
      <c r="M86" s="148" t="s">
        <v>186</v>
      </c>
      <c r="N86" s="1058"/>
      <c r="O86" s="1059"/>
      <c r="P86" s="1059"/>
      <c r="Q86" s="1059"/>
      <c r="R86" s="1149" t="s">
        <v>215</v>
      </c>
      <c r="S86" s="1094"/>
      <c r="T86" s="1094"/>
      <c r="U86" s="1094"/>
      <c r="V86" s="1094"/>
      <c r="W86" s="1094"/>
      <c r="X86" s="1094"/>
      <c r="Y86" s="148" t="s">
        <v>186</v>
      </c>
      <c r="Z86" s="1540"/>
      <c r="AA86" s="1519"/>
      <c r="AB86" s="1519"/>
      <c r="AC86" s="1519"/>
      <c r="AD86" s="1519"/>
      <c r="AE86" s="1519"/>
      <c r="AF86" s="1519"/>
      <c r="AG86" s="1519"/>
      <c r="AH86" s="1519"/>
      <c r="AI86" s="1519"/>
      <c r="AJ86" s="1519"/>
      <c r="AK86" s="1519"/>
      <c r="AL86" s="1519"/>
      <c r="AM86" s="1519"/>
      <c r="AN86" s="1519"/>
      <c r="AO86" s="2"/>
      <c r="AP86" s="2"/>
      <c r="AQ86" s="2"/>
      <c r="AR86" s="2"/>
    </row>
    <row r="87" spans="1:44" ht="20.100000000000001" customHeight="1" x14ac:dyDescent="0.25">
      <c r="A87" s="18"/>
      <c r="B87" s="18"/>
      <c r="C87" s="18"/>
      <c r="D87" s="1"/>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20.100000000000001" customHeight="1" x14ac:dyDescent="0.25">
      <c r="A88" s="18"/>
      <c r="B88" s="18"/>
      <c r="C88" s="18"/>
      <c r="D88" s="1"/>
      <c r="E88" s="7"/>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20.100000000000001" customHeight="1" x14ac:dyDescent="0.25">
      <c r="A89" s="18"/>
      <c r="B89" s="18"/>
      <c r="C89" s="18"/>
      <c r="D89" s="1"/>
      <c r="E89" s="2"/>
      <c r="F89" s="1530" t="s">
        <v>77</v>
      </c>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c r="AC89" s="1531"/>
      <c r="AD89" s="1531"/>
      <c r="AE89" s="1531"/>
      <c r="AF89" s="1531"/>
      <c r="AG89" s="1531"/>
      <c r="AH89" s="1531"/>
      <c r="AI89" s="1531"/>
      <c r="AJ89" s="1531"/>
      <c r="AK89" s="1531"/>
      <c r="AL89" s="1531"/>
      <c r="AM89" s="1531"/>
      <c r="AN89" s="1531"/>
      <c r="AO89" s="2"/>
      <c r="AP89" s="2"/>
      <c r="AQ89" s="2"/>
      <c r="AR89" s="2"/>
    </row>
    <row r="90" spans="1:44" ht="20.100000000000001" customHeight="1" x14ac:dyDescent="0.25">
      <c r="A90" s="18"/>
      <c r="B90" s="18"/>
      <c r="C90" s="18"/>
      <c r="D90" s="1"/>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35.1" customHeight="1" x14ac:dyDescent="0.25">
      <c r="A91" s="18"/>
      <c r="B91" s="18"/>
      <c r="C91" s="18"/>
      <c r="D91" s="1"/>
      <c r="E91" s="2"/>
      <c r="F91" s="1149" t="s">
        <v>168</v>
      </c>
      <c r="G91" s="1094"/>
      <c r="H91" s="1094"/>
      <c r="I91" s="1094"/>
      <c r="J91" s="1094"/>
      <c r="K91" s="1094"/>
      <c r="L91" s="1104"/>
      <c r="M91" s="148" t="s">
        <v>186</v>
      </c>
      <c r="N91" s="1259"/>
      <c r="O91" s="1260"/>
      <c r="P91" s="1260"/>
      <c r="Q91" s="1260"/>
      <c r="R91" s="1260"/>
      <c r="S91" s="1261"/>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20.100000000000001" customHeight="1" x14ac:dyDescent="0.25">
      <c r="A92" s="18"/>
      <c r="B92" s="18"/>
      <c r="C92" s="18"/>
      <c r="D92" s="1"/>
      <c r="E92" s="2"/>
      <c r="AJ92" s="2"/>
      <c r="AK92" s="2"/>
      <c r="AL92" s="2"/>
      <c r="AM92" s="2"/>
      <c r="AN92" s="2"/>
      <c r="AO92" s="2"/>
      <c r="AP92" s="2"/>
      <c r="AQ92" s="2"/>
      <c r="AR92" s="2"/>
    </row>
    <row r="93" spans="1:44" ht="15" customHeight="1" x14ac:dyDescent="0.25">
      <c r="A93" s="18"/>
      <c r="B93" s="18"/>
      <c r="C93" s="18"/>
      <c r="D93" s="1"/>
      <c r="E93" s="2"/>
      <c r="F93" s="2"/>
      <c r="G93" s="2"/>
      <c r="H93" s="2"/>
      <c r="I93" s="2"/>
      <c r="J93" s="2"/>
      <c r="K93" s="2"/>
      <c r="L93" s="2"/>
      <c r="M93" s="2"/>
      <c r="N93" s="2"/>
      <c r="O93" s="2"/>
      <c r="P93" s="2"/>
      <c r="Q93" s="2"/>
      <c r="R93" s="2"/>
      <c r="S93" s="2"/>
      <c r="T93" s="2"/>
      <c r="U93" s="2"/>
      <c r="V93" s="2"/>
      <c r="W93" s="2"/>
      <c r="X93" s="2"/>
      <c r="Y93" s="2"/>
      <c r="Z93" s="2"/>
      <c r="AB93" s="2"/>
      <c r="AC93" s="2"/>
      <c r="AD93" s="2"/>
      <c r="AE93" s="2"/>
      <c r="AF93" s="2"/>
      <c r="AG93" s="2"/>
      <c r="AH93" s="2"/>
      <c r="AI93" s="2"/>
      <c r="AJ93" s="2"/>
      <c r="AK93" s="2"/>
      <c r="AL93" s="2"/>
      <c r="AM93" s="2"/>
      <c r="AN93" s="2"/>
      <c r="AO93" s="2"/>
      <c r="AP93" s="2"/>
      <c r="AQ93" s="2"/>
      <c r="AR93" s="2"/>
    </row>
    <row r="94" spans="1:44" ht="39.950000000000003" customHeight="1" x14ac:dyDescent="0.25">
      <c r="A94" s="18"/>
      <c r="B94" s="18"/>
      <c r="C94" s="18"/>
      <c r="D94" s="1"/>
      <c r="E94" s="2"/>
      <c r="F94" s="1538" t="s">
        <v>360</v>
      </c>
      <c r="G94" s="1538"/>
      <c r="H94" s="1538"/>
      <c r="I94" s="1538"/>
      <c r="J94" s="1538"/>
      <c r="K94" s="1538"/>
      <c r="L94" s="1538"/>
      <c r="M94" s="1538"/>
      <c r="N94" s="1541"/>
      <c r="O94" s="1542"/>
      <c r="P94" s="1542"/>
      <c r="Q94" s="1542"/>
      <c r="R94" s="1542"/>
      <c r="S94" s="1543"/>
      <c r="T94" s="2"/>
      <c r="U94" s="2"/>
      <c r="V94" s="2"/>
      <c r="W94" s="2"/>
      <c r="X94" s="2"/>
      <c r="Y94" s="2"/>
      <c r="Z94" s="2"/>
      <c r="AB94" s="2"/>
      <c r="AC94" s="2"/>
      <c r="AD94" s="2"/>
      <c r="AE94" s="2"/>
      <c r="AF94" s="2"/>
      <c r="AG94" s="2"/>
      <c r="AH94" s="2"/>
      <c r="AI94" s="2"/>
      <c r="AJ94" s="2"/>
      <c r="AK94" s="2"/>
      <c r="AL94" s="2"/>
      <c r="AM94" s="2"/>
      <c r="AN94" s="2"/>
      <c r="AO94" s="2"/>
      <c r="AP94" s="2"/>
      <c r="AQ94" s="2"/>
      <c r="AR94" s="2"/>
    </row>
    <row r="95" spans="1:44" ht="20.100000000000001" customHeight="1" x14ac:dyDescent="0.25">
      <c r="A95" s="18"/>
      <c r="B95" s="18"/>
      <c r="C95" s="18"/>
      <c r="D95" s="1"/>
      <c r="E95" s="2"/>
      <c r="F95" s="1517" t="s">
        <v>79</v>
      </c>
      <c r="G95" s="1517"/>
      <c r="H95" s="1517"/>
      <c r="I95" s="1517"/>
      <c r="J95" s="1516" t="str">
        <f ca="1">'Calculos(2)'!DH31</f>
        <v>Pendente</v>
      </c>
      <c r="K95" s="1516"/>
      <c r="L95" s="1516"/>
      <c r="M95" s="1517" t="s">
        <v>162</v>
      </c>
      <c r="N95" s="1517"/>
      <c r="O95" s="1517"/>
      <c r="P95" s="1517"/>
      <c r="Q95" s="1516" t="str">
        <f ca="1">'Calculos(2)'!DH33</f>
        <v>Pendente</v>
      </c>
      <c r="R95" s="1516"/>
      <c r="S95" s="1516"/>
      <c r="T95" s="1517" t="s">
        <v>164</v>
      </c>
      <c r="U95" s="1517"/>
      <c r="V95" s="1517"/>
      <c r="W95" s="1517"/>
      <c r="X95" s="1516" t="str">
        <f ca="1">'Calculos(2)'!DH35</f>
        <v>Pendente</v>
      </c>
      <c r="Y95" s="1516"/>
      <c r="Z95" s="1516"/>
      <c r="AA95" s="1517" t="s">
        <v>166</v>
      </c>
      <c r="AB95" s="1517"/>
      <c r="AC95" s="1517"/>
      <c r="AD95" s="1517"/>
      <c r="AE95" s="1516" t="str">
        <f ca="1">'Calculos(2)'!DH37</f>
        <v>Pendente</v>
      </c>
      <c r="AF95" s="1516"/>
      <c r="AG95" s="1516"/>
      <c r="AM95" s="2"/>
      <c r="AN95" s="2"/>
      <c r="AO95" s="2"/>
      <c r="AP95" s="2"/>
      <c r="AQ95" s="2"/>
      <c r="AR95" s="2"/>
    </row>
    <row r="96" spans="1:44" ht="20.100000000000001" customHeight="1" x14ac:dyDescent="0.25">
      <c r="A96" s="18"/>
      <c r="B96" s="18"/>
      <c r="C96" s="18"/>
      <c r="D96" s="1"/>
      <c r="E96" s="2"/>
      <c r="F96" s="1517" t="s">
        <v>80</v>
      </c>
      <c r="G96" s="1517"/>
      <c r="H96" s="1517"/>
      <c r="I96" s="1517"/>
      <c r="J96" s="1516" t="str">
        <f ca="1">'Calculos(2)'!DH32</f>
        <v>Pendente</v>
      </c>
      <c r="K96" s="1516"/>
      <c r="L96" s="1516"/>
      <c r="M96" s="1517" t="s">
        <v>163</v>
      </c>
      <c r="N96" s="1517"/>
      <c r="O96" s="1517"/>
      <c r="P96" s="1517"/>
      <c r="Q96" s="1516" t="str">
        <f ca="1">'Calculos(2)'!DH34</f>
        <v>Pendente</v>
      </c>
      <c r="R96" s="1516"/>
      <c r="S96" s="1516"/>
      <c r="T96" s="1517" t="s">
        <v>165</v>
      </c>
      <c r="U96" s="1517"/>
      <c r="V96" s="1517"/>
      <c r="W96" s="1517"/>
      <c r="X96" s="1516" t="str">
        <f ca="1">'Calculos(2)'!DH36</f>
        <v>Pendente</v>
      </c>
      <c r="Y96" s="1516"/>
      <c r="Z96" s="1516"/>
      <c r="AA96" s="1517" t="s">
        <v>167</v>
      </c>
      <c r="AB96" s="1517"/>
      <c r="AC96" s="1517"/>
      <c r="AD96" s="1517"/>
      <c r="AE96" s="1516" t="str">
        <f ca="1">'Calculos(2)'!DH38</f>
        <v>Pendente</v>
      </c>
      <c r="AF96" s="1516"/>
      <c r="AG96" s="1516"/>
      <c r="AM96" s="2"/>
      <c r="AN96" s="2"/>
      <c r="AO96" s="2"/>
      <c r="AP96" s="2"/>
      <c r="AQ96" s="2"/>
      <c r="AR96" s="2"/>
    </row>
    <row r="97" spans="1:44" ht="20.100000000000001" hidden="1" customHeight="1" x14ac:dyDescent="0.25">
      <c r="A97" s="18"/>
      <c r="B97" s="18"/>
      <c r="C97" s="18"/>
      <c r="D97" s="1"/>
      <c r="E97" s="2"/>
    </row>
    <row r="98" spans="1:44" ht="20.100000000000001" hidden="1" customHeight="1" x14ac:dyDescent="0.25">
      <c r="A98" s="18"/>
      <c r="B98" s="18"/>
      <c r="C98" s="18"/>
      <c r="D98" s="1"/>
      <c r="E98" s="2"/>
    </row>
    <row r="99" spans="1:44" ht="20.100000000000001" customHeight="1" x14ac:dyDescent="0.25">
      <c r="A99" s="18"/>
      <c r="B99" s="18"/>
      <c r="C99" s="18"/>
      <c r="D99" s="1"/>
      <c r="E99" s="2"/>
    </row>
    <row r="100" spans="1:44" ht="39.950000000000003" customHeight="1" x14ac:dyDescent="0.25">
      <c r="A100" s="18"/>
      <c r="B100" s="18"/>
      <c r="C100" s="18"/>
      <c r="D100" s="1"/>
      <c r="E100" s="2"/>
      <c r="M100" s="1505" t="s">
        <v>104</v>
      </c>
      <c r="N100" s="1505"/>
      <c r="O100" s="1505"/>
      <c r="P100" s="1505"/>
      <c r="Q100" s="1505" t="s">
        <v>121</v>
      </c>
      <c r="R100" s="1505"/>
      <c r="S100" s="1505"/>
      <c r="T100" s="1505"/>
      <c r="U100" s="1498" t="s">
        <v>253</v>
      </c>
      <c r="V100" s="1526"/>
      <c r="W100" s="1526"/>
      <c r="X100" s="1499"/>
      <c r="Y100" s="1505" t="s">
        <v>123</v>
      </c>
      <c r="Z100" s="1505"/>
      <c r="AA100" s="1505"/>
      <c r="AB100" s="1505"/>
      <c r="AR100" s="2"/>
    </row>
    <row r="101" spans="1:44" ht="20.100000000000001" customHeight="1" x14ac:dyDescent="0.25">
      <c r="A101" s="18"/>
      <c r="B101" s="18"/>
      <c r="C101" s="18"/>
      <c r="D101" s="1"/>
      <c r="E101" s="2"/>
      <c r="M101" s="1505" t="s">
        <v>36</v>
      </c>
      <c r="N101" s="1505"/>
      <c r="O101" s="1505" t="s">
        <v>37</v>
      </c>
      <c r="P101" s="1505"/>
      <c r="Q101" s="1504" t="str">
        <f ca="1">'Calculos(2)'!$DL$30</f>
        <v>-</v>
      </c>
      <c r="R101" s="1504"/>
      <c r="S101" s="1504" t="str">
        <f ca="1">'Calculos(2)'!$DM$30</f>
        <v>-</v>
      </c>
      <c r="T101" s="1504"/>
      <c r="U101" s="1498" t="str">
        <f ca="1">'Calculos(2)'!$DL$30</f>
        <v>-</v>
      </c>
      <c r="V101" s="1499"/>
      <c r="W101" s="1498" t="str">
        <f ca="1">'Calculos(2)'!$DM$30</f>
        <v>-</v>
      </c>
      <c r="X101" s="1499"/>
      <c r="Y101" s="1504" t="str">
        <f ca="1">'Calculos(2)'!$DL$30</f>
        <v>-</v>
      </c>
      <c r="Z101" s="1504"/>
      <c r="AA101" s="1504" t="str">
        <f ca="1">'Calculos(2)'!$DM$30</f>
        <v>-</v>
      </c>
      <c r="AB101" s="1504"/>
      <c r="AR101" s="2"/>
    </row>
    <row r="102" spans="1:44" ht="20.100000000000001" customHeight="1" x14ac:dyDescent="0.25">
      <c r="A102" s="18"/>
      <c r="B102" s="18"/>
      <c r="C102" s="18"/>
      <c r="D102" s="1"/>
      <c r="E102" s="2"/>
      <c r="M102" s="1545" t="s">
        <v>79</v>
      </c>
      <c r="N102" s="1545"/>
      <c r="O102" s="1545"/>
      <c r="P102" s="1546"/>
      <c r="Q102" s="1506" t="str">
        <f ca="1">'Calculos(2)'!DC18</f>
        <v/>
      </c>
      <c r="R102" s="1507"/>
      <c r="S102" s="1507" t="str">
        <f ca="1">'Calculos(2)'!DD18</f>
        <v/>
      </c>
      <c r="T102" s="1508"/>
      <c r="U102" s="1500" t="str">
        <f ca="1">'Calculos(2)'!DE18</f>
        <v/>
      </c>
      <c r="V102" s="1497"/>
      <c r="W102" s="1497" t="str">
        <f ca="1">'Calculos(2)'!DF18</f>
        <v/>
      </c>
      <c r="X102" s="1497"/>
      <c r="Y102" s="1501" t="str">
        <f ca="1">'Calculos(2)'!DI18</f>
        <v/>
      </c>
      <c r="Z102" s="1502"/>
      <c r="AA102" s="1502" t="str">
        <f ca="1">'Calculos(2)'!DJ18</f>
        <v/>
      </c>
      <c r="AB102" s="1503"/>
      <c r="AR102" s="2"/>
    </row>
    <row r="103" spans="1:44" ht="20.100000000000001" customHeight="1" x14ac:dyDescent="0.25">
      <c r="A103" s="18"/>
      <c r="B103" s="18"/>
      <c r="C103" s="18"/>
      <c r="D103" s="1"/>
      <c r="E103" s="2"/>
      <c r="M103" s="1535" t="str">
        <f ca="1">'Calculos(2)'!DA19</f>
        <v>-</v>
      </c>
      <c r="N103" s="1535"/>
      <c r="O103" s="1535" t="str">
        <f ca="1">'Calculos(2)'!DB19</f>
        <v>-</v>
      </c>
      <c r="P103" s="1536"/>
      <c r="Q103" s="1506" t="str">
        <f ca="1">'Calculos(2)'!DC19</f>
        <v/>
      </c>
      <c r="R103" s="1507"/>
      <c r="S103" s="1507" t="str">
        <f ca="1">'Calculos(2)'!DD19</f>
        <v/>
      </c>
      <c r="T103" s="1508"/>
      <c r="U103" s="1500" t="str">
        <f ca="1">'Calculos(2)'!DE19</f>
        <v/>
      </c>
      <c r="V103" s="1497"/>
      <c r="W103" s="1497" t="str">
        <f ca="1">'Calculos(2)'!DF19</f>
        <v/>
      </c>
      <c r="X103" s="1497"/>
      <c r="Y103" s="1501" t="str">
        <f ca="1">'Calculos(2)'!DI19</f>
        <v/>
      </c>
      <c r="Z103" s="1502"/>
      <c r="AA103" s="1502" t="str">
        <f ca="1">'Calculos(2)'!DJ19</f>
        <v/>
      </c>
      <c r="AB103" s="1503"/>
      <c r="AR103" s="2"/>
    </row>
    <row r="104" spans="1:44" ht="20.100000000000001" customHeight="1" x14ac:dyDescent="0.25">
      <c r="A104" s="18"/>
      <c r="B104" s="18"/>
      <c r="C104" s="18"/>
      <c r="D104" s="1"/>
      <c r="E104" s="2"/>
      <c r="M104" s="1535" t="str">
        <f ca="1">'Calculos(2)'!DA20</f>
        <v>-</v>
      </c>
      <c r="N104" s="1535"/>
      <c r="O104" s="1535" t="str">
        <f ca="1">'Calculos(2)'!DB20</f>
        <v>-</v>
      </c>
      <c r="P104" s="1536"/>
      <c r="Q104" s="1506" t="str">
        <f ca="1">'Calculos(2)'!DC20</f>
        <v/>
      </c>
      <c r="R104" s="1507"/>
      <c r="S104" s="1507" t="str">
        <f ca="1">'Calculos(2)'!DD20</f>
        <v/>
      </c>
      <c r="T104" s="1508"/>
      <c r="U104" s="1500" t="str">
        <f ca="1">'Calculos(2)'!DE20</f>
        <v/>
      </c>
      <c r="V104" s="1497"/>
      <c r="W104" s="1497" t="str">
        <f ca="1">'Calculos(2)'!DF20</f>
        <v/>
      </c>
      <c r="X104" s="1497"/>
      <c r="Y104" s="1501" t="str">
        <f ca="1">'Calculos(2)'!DI20</f>
        <v/>
      </c>
      <c r="Z104" s="1502"/>
      <c r="AA104" s="1502" t="str">
        <f ca="1">'Calculos(2)'!DJ20</f>
        <v/>
      </c>
      <c r="AB104" s="1503"/>
      <c r="AR104" s="2"/>
    </row>
    <row r="105" spans="1:44" ht="20.100000000000001" customHeight="1" x14ac:dyDescent="0.25">
      <c r="A105" s="18"/>
      <c r="B105" s="18"/>
      <c r="C105" s="18"/>
      <c r="D105" s="1"/>
      <c r="E105" s="2"/>
      <c r="M105" s="1535" t="str">
        <f ca="1">'Calculos(2)'!DA21</f>
        <v>-</v>
      </c>
      <c r="N105" s="1535"/>
      <c r="O105" s="1535" t="str">
        <f ca="1">'Calculos(2)'!DB21</f>
        <v>-</v>
      </c>
      <c r="P105" s="1536"/>
      <c r="Q105" s="1506" t="str">
        <f ca="1">'Calculos(2)'!DC21</f>
        <v/>
      </c>
      <c r="R105" s="1507"/>
      <c r="S105" s="1507" t="str">
        <f ca="1">'Calculos(2)'!DD21</f>
        <v/>
      </c>
      <c r="T105" s="1508"/>
      <c r="U105" s="1500" t="str">
        <f ca="1">'Calculos(2)'!DE21</f>
        <v/>
      </c>
      <c r="V105" s="1497"/>
      <c r="W105" s="1497" t="str">
        <f ca="1">'Calculos(2)'!DF21</f>
        <v/>
      </c>
      <c r="X105" s="1497"/>
      <c r="Y105" s="1501" t="str">
        <f ca="1">'Calculos(2)'!DI21</f>
        <v/>
      </c>
      <c r="Z105" s="1502"/>
      <c r="AA105" s="1502" t="str">
        <f ca="1">'Calculos(2)'!DJ21</f>
        <v/>
      </c>
      <c r="AB105" s="1503"/>
      <c r="AR105" s="2"/>
    </row>
    <row r="106" spans="1:44" ht="20.100000000000001" customHeight="1" x14ac:dyDescent="0.25">
      <c r="A106" s="18"/>
      <c r="B106" s="18"/>
      <c r="C106" s="18"/>
      <c r="D106" s="1"/>
      <c r="E106" s="2"/>
      <c r="M106" s="1535" t="str">
        <f ca="1">'Calculos(2)'!DA22</f>
        <v>-</v>
      </c>
      <c r="N106" s="1535"/>
      <c r="O106" s="1535" t="str">
        <f ca="1">'Calculos(2)'!DB22</f>
        <v>-</v>
      </c>
      <c r="P106" s="1536"/>
      <c r="Q106" s="1506" t="str">
        <f ca="1">'Calculos(2)'!DC22</f>
        <v/>
      </c>
      <c r="R106" s="1507"/>
      <c r="S106" s="1507" t="str">
        <f ca="1">'Calculos(2)'!DD22</f>
        <v/>
      </c>
      <c r="T106" s="1508"/>
      <c r="U106" s="1500" t="str">
        <f ca="1">'Calculos(2)'!DE22</f>
        <v/>
      </c>
      <c r="V106" s="1497"/>
      <c r="W106" s="1497" t="str">
        <f ca="1">'Calculos(2)'!DF22</f>
        <v/>
      </c>
      <c r="X106" s="1497"/>
      <c r="Y106" s="1501" t="str">
        <f ca="1">'Calculos(2)'!DI22</f>
        <v/>
      </c>
      <c r="Z106" s="1502"/>
      <c r="AA106" s="1502" t="str">
        <f ca="1">'Calculos(2)'!DJ22</f>
        <v/>
      </c>
      <c r="AB106" s="1503"/>
      <c r="AR106" s="2"/>
    </row>
    <row r="107" spans="1:44" ht="20.100000000000001" customHeight="1" x14ac:dyDescent="0.25">
      <c r="A107" s="18"/>
      <c r="B107" s="18"/>
      <c r="C107" s="18"/>
      <c r="D107" s="1"/>
      <c r="E107" s="2"/>
      <c r="M107" s="1535" t="str">
        <f ca="1">'Calculos(2)'!DA23</f>
        <v>-</v>
      </c>
      <c r="N107" s="1535"/>
      <c r="O107" s="1535" t="str">
        <f ca="1">'Calculos(2)'!DB23</f>
        <v>-</v>
      </c>
      <c r="P107" s="1536"/>
      <c r="Q107" s="1506" t="str">
        <f ca="1">'Calculos(2)'!DC23</f>
        <v/>
      </c>
      <c r="R107" s="1507"/>
      <c r="S107" s="1507" t="str">
        <f ca="1">'Calculos(2)'!DD23</f>
        <v/>
      </c>
      <c r="T107" s="1508"/>
      <c r="U107" s="1500" t="str">
        <f ca="1">'Calculos(2)'!DE23</f>
        <v/>
      </c>
      <c r="V107" s="1497"/>
      <c r="W107" s="1497" t="str">
        <f ca="1">'Calculos(2)'!DF23</f>
        <v/>
      </c>
      <c r="X107" s="1497"/>
      <c r="Y107" s="1501" t="str">
        <f ca="1">'Calculos(2)'!DI23</f>
        <v/>
      </c>
      <c r="Z107" s="1502"/>
      <c r="AA107" s="1502" t="str">
        <f ca="1">'Calculos(2)'!DJ23</f>
        <v/>
      </c>
      <c r="AB107" s="1503"/>
      <c r="AR107" s="2"/>
    </row>
    <row r="108" spans="1:44" ht="20.100000000000001" customHeight="1" x14ac:dyDescent="0.25">
      <c r="A108" s="18"/>
      <c r="B108" s="18"/>
      <c r="C108" s="18"/>
      <c r="D108" s="1"/>
      <c r="E108" s="2"/>
      <c r="M108" s="1535" t="str">
        <f ca="1">'Calculos(2)'!DA24</f>
        <v>-</v>
      </c>
      <c r="N108" s="1535"/>
      <c r="O108" s="1535" t="str">
        <f ca="1">'Calculos(2)'!DB24</f>
        <v>-</v>
      </c>
      <c r="P108" s="1536"/>
      <c r="Q108" s="1506" t="str">
        <f ca="1">'Calculos(2)'!DC24</f>
        <v/>
      </c>
      <c r="R108" s="1507"/>
      <c r="S108" s="1507" t="str">
        <f ca="1">'Calculos(2)'!DD24</f>
        <v/>
      </c>
      <c r="T108" s="1508"/>
      <c r="U108" s="1500" t="str">
        <f ca="1">'Calculos(2)'!DE24</f>
        <v/>
      </c>
      <c r="V108" s="1497"/>
      <c r="W108" s="1497" t="str">
        <f ca="1">'Calculos(2)'!DF24</f>
        <v/>
      </c>
      <c r="X108" s="1497"/>
      <c r="Y108" s="1501" t="str">
        <f ca="1">'Calculos(2)'!DI24</f>
        <v/>
      </c>
      <c r="Z108" s="1502"/>
      <c r="AA108" s="1502" t="str">
        <f ca="1">'Calculos(2)'!DJ24</f>
        <v/>
      </c>
      <c r="AB108" s="1503"/>
      <c r="AD108" s="366" t="s">
        <v>8134</v>
      </c>
      <c r="AR108" s="2"/>
    </row>
    <row r="109" spans="1:44" ht="20.100000000000001" customHeight="1" x14ac:dyDescent="0.25">
      <c r="A109" s="18"/>
      <c r="B109" s="18"/>
      <c r="C109" s="18"/>
      <c r="D109" s="1"/>
      <c r="E109" s="2"/>
      <c r="M109" s="1545" t="s">
        <v>80</v>
      </c>
      <c r="N109" s="1545"/>
      <c r="O109" s="1545"/>
      <c r="P109" s="1546"/>
      <c r="Q109" s="1506" t="str">
        <f ca="1">'Calculos(2)'!DC25</f>
        <v/>
      </c>
      <c r="R109" s="1507"/>
      <c r="S109" s="1507" t="str">
        <f ca="1">'Calculos(2)'!DD25</f>
        <v/>
      </c>
      <c r="T109" s="1508"/>
      <c r="U109" s="1500" t="str">
        <f ca="1">'Calculos(2)'!DE25</f>
        <v/>
      </c>
      <c r="V109" s="1497"/>
      <c r="W109" s="1497" t="str">
        <f ca="1">'Calculos(2)'!DF25</f>
        <v/>
      </c>
      <c r="X109" s="1497"/>
      <c r="Y109" s="1501" t="str">
        <f ca="1">'Calculos(2)'!DI25</f>
        <v/>
      </c>
      <c r="Z109" s="1502"/>
      <c r="AA109" s="1502" t="str">
        <f ca="1">'Calculos(2)'!DJ25</f>
        <v/>
      </c>
      <c r="AB109" s="1503"/>
      <c r="AD109" s="367" t="s">
        <v>8135</v>
      </c>
      <c r="AE109" s="367"/>
      <c r="AF109" s="367"/>
      <c r="AG109" s="367"/>
      <c r="AH109" s="367"/>
      <c r="AI109" s="367"/>
      <c r="AJ109" s="367"/>
      <c r="AR109" s="2"/>
    </row>
    <row r="110" spans="1:44" ht="20.100000000000001" customHeight="1" x14ac:dyDescent="0.25">
      <c r="A110" s="18"/>
      <c r="B110" s="18"/>
      <c r="C110" s="18"/>
      <c r="D110" s="1"/>
      <c r="E110" s="2"/>
      <c r="M110" s="249" t="s">
        <v>6036</v>
      </c>
      <c r="N110" s="2"/>
      <c r="O110" s="2"/>
      <c r="P110" s="2"/>
      <c r="R110" s="2"/>
      <c r="S110" s="2"/>
      <c r="T110" s="2"/>
      <c r="U110" s="2"/>
      <c r="V110" s="2"/>
      <c r="W110" s="2"/>
      <c r="X110" s="2"/>
      <c r="Y110" s="2"/>
      <c r="Z110" s="2"/>
      <c r="AE110" s="2"/>
      <c r="AF110" s="2"/>
      <c r="AG110" s="2"/>
      <c r="AH110" s="2"/>
      <c r="AI110" s="2"/>
      <c r="AJ110" s="2"/>
      <c r="AK110" s="2"/>
      <c r="AL110" s="2"/>
      <c r="AM110" s="2"/>
      <c r="AR110" s="2"/>
    </row>
    <row r="111" spans="1:44" ht="20.100000000000001" customHeight="1" x14ac:dyDescent="0.25">
      <c r="A111" s="18"/>
      <c r="B111" s="18"/>
      <c r="C111" s="18"/>
      <c r="D111" s="1"/>
      <c r="E111" s="2"/>
      <c r="M111" s="2"/>
      <c r="N111" s="2"/>
      <c r="O111" s="2"/>
      <c r="P111" s="2"/>
      <c r="Q111" s="2"/>
      <c r="R111" s="2"/>
      <c r="S111" s="2"/>
      <c r="T111" s="2"/>
      <c r="U111" s="2"/>
      <c r="V111" s="2"/>
      <c r="W111" s="2"/>
      <c r="X111" s="2"/>
      <c r="Y111" s="2"/>
      <c r="Z111" s="2"/>
      <c r="AE111" s="2"/>
      <c r="AF111" s="2"/>
      <c r="AG111" s="2"/>
      <c r="AH111" s="2"/>
      <c r="AI111" s="2"/>
      <c r="AJ111" s="2"/>
      <c r="AK111" s="2"/>
      <c r="AL111" s="2"/>
      <c r="AM111" s="2"/>
      <c r="AR111" s="2"/>
    </row>
    <row r="112" spans="1:44" ht="20.100000000000001" customHeight="1" x14ac:dyDescent="0.25">
      <c r="A112" s="18"/>
      <c r="B112" s="18"/>
      <c r="C112" s="18"/>
      <c r="D112" s="1"/>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row>
    <row r="113" spans="1:44" ht="20.100000000000001" customHeight="1" x14ac:dyDescent="0.25">
      <c r="A113" s="18"/>
      <c r="B113" s="18"/>
      <c r="C113" s="18"/>
      <c r="D113" s="1"/>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60" customHeight="1" x14ac:dyDescent="0.25">
      <c r="A114" s="18"/>
      <c r="B114" s="18"/>
      <c r="C114" s="18"/>
      <c r="D114" s="1"/>
      <c r="E114" s="2"/>
      <c r="F114" s="1149" t="s">
        <v>361</v>
      </c>
      <c r="G114" s="1094"/>
      <c r="H114" s="1094"/>
      <c r="I114" s="1094"/>
      <c r="J114" s="1094"/>
      <c r="K114" s="1094"/>
      <c r="L114" s="1104"/>
      <c r="M114" s="148" t="s">
        <v>186</v>
      </c>
      <c r="N114" s="1032"/>
      <c r="O114" s="1033"/>
      <c r="P114" s="1033"/>
      <c r="Q114" s="1033"/>
      <c r="R114" s="1033"/>
      <c r="S114" s="1033"/>
      <c r="T114" s="1033"/>
      <c r="U114" s="1033"/>
      <c r="V114" s="1033"/>
      <c r="W114" s="1033"/>
      <c r="X114" s="1033"/>
      <c r="Y114" s="1033"/>
      <c r="Z114" s="1033"/>
      <c r="AA114" s="1033"/>
      <c r="AB114" s="1033"/>
      <c r="AC114" s="1033"/>
      <c r="AD114" s="1033"/>
      <c r="AE114" s="1033"/>
      <c r="AF114" s="1033"/>
      <c r="AG114" s="1033"/>
      <c r="AH114" s="1033"/>
      <c r="AI114" s="1033"/>
      <c r="AJ114" s="1033"/>
      <c r="AK114" s="1033"/>
      <c r="AL114" s="1033"/>
      <c r="AM114" s="1033"/>
      <c r="AN114" s="1034"/>
      <c r="AO114" s="1547" t="s">
        <v>271</v>
      </c>
      <c r="AP114" s="1548"/>
      <c r="AQ114" s="1548"/>
      <c r="AR114" s="1548"/>
    </row>
    <row r="115" spans="1:44" ht="20.100000000000001" customHeight="1" x14ac:dyDescent="0.25">
      <c r="A115" s="18"/>
      <c r="B115" s="18"/>
      <c r="C115" s="18"/>
      <c r="D115" s="1"/>
      <c r="E115" s="2"/>
      <c r="F115" s="2"/>
      <c r="G115" s="2"/>
      <c r="H115" s="2"/>
      <c r="I115" s="2"/>
      <c r="J115" s="2"/>
      <c r="K115" s="2"/>
      <c r="L115" s="2"/>
      <c r="M115" s="2"/>
      <c r="N115" s="125"/>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99.95" customHeight="1" x14ac:dyDescent="0.25">
      <c r="A116" s="18"/>
      <c r="B116" s="18"/>
      <c r="C116" s="18"/>
      <c r="D116" s="1"/>
      <c r="E116" s="2"/>
      <c r="F116" s="1149" t="s">
        <v>362</v>
      </c>
      <c r="G116" s="1094"/>
      <c r="H116" s="1094"/>
      <c r="I116" s="1094"/>
      <c r="J116" s="1094"/>
      <c r="K116" s="1094"/>
      <c r="L116" s="1104"/>
      <c r="M116" s="148" t="s">
        <v>186</v>
      </c>
      <c r="N116" s="1032"/>
      <c r="O116" s="1033"/>
      <c r="P116" s="1033"/>
      <c r="Q116" s="1033"/>
      <c r="R116" s="1033"/>
      <c r="S116" s="1033"/>
      <c r="T116" s="1033"/>
      <c r="U116" s="1033"/>
      <c r="V116" s="1033"/>
      <c r="W116" s="1033"/>
      <c r="X116" s="1033"/>
      <c r="Y116" s="1033"/>
      <c r="Z116" s="1033"/>
      <c r="AA116" s="1033"/>
      <c r="AB116" s="1033"/>
      <c r="AC116" s="1033"/>
      <c r="AD116" s="1033"/>
      <c r="AE116" s="1033"/>
      <c r="AF116" s="1033"/>
      <c r="AG116" s="1033"/>
      <c r="AH116" s="1033"/>
      <c r="AI116" s="1033"/>
      <c r="AJ116" s="1033"/>
      <c r="AK116" s="1033"/>
      <c r="AL116" s="1033"/>
      <c r="AM116" s="1033"/>
      <c r="AN116" s="1034"/>
      <c r="AO116" s="1547" t="s">
        <v>271</v>
      </c>
      <c r="AP116" s="1548"/>
      <c r="AQ116" s="1548"/>
      <c r="AR116" s="1548"/>
    </row>
    <row r="117" spans="1:44" ht="20.100000000000001" customHeight="1" x14ac:dyDescent="0.25">
      <c r="A117" s="18"/>
      <c r="B117" s="18"/>
      <c r="C117" s="18"/>
      <c r="D117" s="1"/>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4"/>
      <c r="AQ117" s="4"/>
      <c r="AR117" s="4"/>
    </row>
    <row r="118" spans="1:44" ht="20.100000000000001" customHeight="1" x14ac:dyDescent="0.25">
      <c r="A118" s="18"/>
      <c r="B118" s="18"/>
      <c r="C118" s="18"/>
      <c r="D118" s="1"/>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144"/>
      <c r="AQ118" s="144"/>
      <c r="AR118" s="144"/>
    </row>
    <row r="119" spans="1:44" ht="20.100000000000001" customHeight="1" x14ac:dyDescent="0.25">
      <c r="A119" s="18"/>
      <c r="B119" s="18"/>
      <c r="C119" s="18"/>
      <c r="D119" s="1"/>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4"/>
      <c r="AQ119" s="4"/>
      <c r="AR119" s="4"/>
    </row>
    <row r="120" spans="1:44" ht="50.1" customHeight="1" x14ac:dyDescent="0.25">
      <c r="A120" s="18"/>
      <c r="B120" s="18"/>
      <c r="C120" s="18"/>
      <c r="D120" s="1"/>
      <c r="E120" s="2"/>
      <c r="F120" s="1149" t="s">
        <v>8626</v>
      </c>
      <c r="G120" s="1094"/>
      <c r="H120" s="1094"/>
      <c r="I120" s="1094"/>
      <c r="J120" s="1094"/>
      <c r="K120" s="1094"/>
      <c r="L120" s="1104"/>
      <c r="M120" s="148" t="s">
        <v>186</v>
      </c>
      <c r="N120" s="981"/>
      <c r="O120" s="982"/>
      <c r="P120" s="982"/>
      <c r="Q120" s="982"/>
      <c r="R120" s="982"/>
      <c r="S120" s="1212"/>
      <c r="AP120" s="2"/>
      <c r="AQ120" s="2"/>
      <c r="AR120" s="2"/>
    </row>
    <row r="121" spans="1:44" ht="50.1" customHeight="1" x14ac:dyDescent="0.25">
      <c r="A121" s="18"/>
      <c r="B121" s="18"/>
      <c r="C121" s="18"/>
      <c r="D121" s="1"/>
      <c r="E121" s="2"/>
      <c r="F121" s="1149" t="s">
        <v>8632</v>
      </c>
      <c r="G121" s="1094"/>
      <c r="H121" s="1094"/>
      <c r="I121" s="1094"/>
      <c r="J121" s="1094"/>
      <c r="K121" s="1094"/>
      <c r="L121" s="1104"/>
      <c r="M121" s="148" t="s">
        <v>186</v>
      </c>
      <c r="N121" s="981"/>
      <c r="O121" s="982"/>
      <c r="P121" s="982"/>
      <c r="Q121" s="982"/>
      <c r="R121" s="982"/>
      <c r="S121" s="1212"/>
      <c r="AP121" s="2"/>
      <c r="AQ121" s="2"/>
      <c r="AR121" s="2"/>
    </row>
    <row r="122" spans="1:44" ht="50.1" customHeight="1" x14ac:dyDescent="0.25">
      <c r="A122" s="18"/>
      <c r="B122" s="18"/>
      <c r="C122" s="18"/>
      <c r="D122" s="1"/>
      <c r="E122" s="2"/>
      <c r="F122" s="1149" t="s">
        <v>8114</v>
      </c>
      <c r="G122" s="1094"/>
      <c r="H122" s="1094"/>
      <c r="I122" s="1094"/>
      <c r="J122" s="1094"/>
      <c r="K122" s="1094"/>
      <c r="L122" s="1104"/>
      <c r="M122" s="148" t="s">
        <v>186</v>
      </c>
      <c r="N122" s="981"/>
      <c r="O122" s="982"/>
      <c r="P122" s="982"/>
      <c r="Q122" s="982"/>
      <c r="R122" s="982"/>
      <c r="S122" s="1212"/>
      <c r="T122" s="1149" t="s">
        <v>8113</v>
      </c>
      <c r="U122" s="1094"/>
      <c r="V122" s="1094"/>
      <c r="W122" s="1094"/>
      <c r="X122" s="1094"/>
      <c r="Y122" s="1094"/>
      <c r="Z122" s="148" t="s">
        <v>186</v>
      </c>
      <c r="AA122" s="981"/>
      <c r="AB122" s="982"/>
      <c r="AC122" s="982"/>
      <c r="AD122" s="982"/>
      <c r="AE122" s="982"/>
      <c r="AF122" s="1212"/>
      <c r="AP122" s="2"/>
      <c r="AQ122" s="2"/>
      <c r="AR122" s="2"/>
    </row>
    <row r="123" spans="1:44" ht="20.100000000000001" customHeight="1" x14ac:dyDescent="0.25">
      <c r="A123" s="18"/>
      <c r="B123" s="18"/>
      <c r="C123" s="18"/>
      <c r="D123" s="1"/>
      <c r="E123" s="2"/>
      <c r="AP123" s="2"/>
      <c r="AQ123" s="2"/>
      <c r="AR123" s="2"/>
    </row>
    <row r="124" spans="1:44" ht="99.95" customHeight="1" x14ac:dyDescent="0.25">
      <c r="A124" s="18"/>
      <c r="B124" s="18"/>
      <c r="C124" s="18"/>
      <c r="D124" s="1"/>
      <c r="E124" s="2"/>
      <c r="F124" s="1149" t="s">
        <v>8112</v>
      </c>
      <c r="G124" s="1094"/>
      <c r="H124" s="1094"/>
      <c r="I124" s="1094"/>
      <c r="J124" s="1094"/>
      <c r="K124" s="1094"/>
      <c r="L124" s="1104"/>
      <c r="M124" s="148" t="s">
        <v>186</v>
      </c>
      <c r="N124" s="1032"/>
      <c r="O124" s="1033"/>
      <c r="P124" s="1033"/>
      <c r="Q124" s="1033"/>
      <c r="R124" s="1033"/>
      <c r="S124" s="1033"/>
      <c r="T124" s="1033"/>
      <c r="U124" s="1033"/>
      <c r="V124" s="1033"/>
      <c r="W124" s="1033"/>
      <c r="X124" s="1033"/>
      <c r="Y124" s="1033"/>
      <c r="Z124" s="1033"/>
      <c r="AA124" s="1033"/>
      <c r="AB124" s="1033"/>
      <c r="AC124" s="1033"/>
      <c r="AD124" s="1033"/>
      <c r="AE124" s="1033"/>
      <c r="AF124" s="1033"/>
      <c r="AG124" s="1033"/>
      <c r="AH124" s="1033"/>
      <c r="AI124" s="1033"/>
      <c r="AJ124" s="1033"/>
      <c r="AK124" s="1033"/>
      <c r="AL124" s="1033"/>
      <c r="AM124" s="1034"/>
      <c r="AN124" s="1100" t="s">
        <v>271</v>
      </c>
      <c r="AO124" s="1101"/>
      <c r="AP124" s="1101"/>
      <c r="AQ124" s="1101"/>
      <c r="AR124" s="4"/>
    </row>
    <row r="125" spans="1:44" ht="20.100000000000001" customHeight="1" x14ac:dyDescent="0.25">
      <c r="A125" s="18"/>
      <c r="B125" s="18"/>
      <c r="C125" s="18"/>
      <c r="D125" s="1"/>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20.100000000000001" customHeight="1" x14ac:dyDescent="0.25">
      <c r="A126" s="18"/>
      <c r="B126" s="18"/>
      <c r="C126" s="18"/>
      <c r="D126" s="1"/>
      <c r="E126" s="7"/>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20.100000000000001" customHeight="1" x14ac:dyDescent="0.25">
      <c r="A127" s="18"/>
      <c r="B127" s="18"/>
      <c r="C127" s="18"/>
      <c r="D127" s="1"/>
      <c r="E127" s="2"/>
      <c r="F127" s="230"/>
      <c r="G127" s="230"/>
      <c r="H127" s="230"/>
      <c r="I127" s="230"/>
      <c r="J127" s="230"/>
      <c r="K127" s="230"/>
      <c r="L127" s="230"/>
      <c r="M127" s="230"/>
      <c r="N127" s="230"/>
      <c r="O127" s="230"/>
      <c r="P127" s="230"/>
      <c r="Q127" s="230"/>
      <c r="R127" s="230"/>
      <c r="S127" s="368"/>
      <c r="T127" s="368"/>
      <c r="U127" s="368"/>
      <c r="V127" s="368"/>
      <c r="W127" s="368"/>
      <c r="X127" s="368"/>
      <c r="Y127" s="368"/>
      <c r="Z127" s="368"/>
      <c r="AA127" s="368"/>
      <c r="AB127" s="368"/>
      <c r="AC127" s="368"/>
      <c r="AD127" s="368"/>
      <c r="AE127" s="368"/>
      <c r="AF127" s="368"/>
      <c r="AG127" s="368"/>
      <c r="AH127" s="368"/>
      <c r="AI127" s="368"/>
      <c r="AJ127" s="368"/>
      <c r="AK127" s="368"/>
      <c r="AL127" s="368"/>
      <c r="AM127" s="368"/>
      <c r="AN127" s="230"/>
      <c r="AO127" s="369"/>
      <c r="AP127" s="369"/>
      <c r="AQ127" s="369"/>
      <c r="AR127" s="369"/>
    </row>
    <row r="128" spans="1:44" ht="20.100000000000001" customHeight="1" x14ac:dyDescent="0.25">
      <c r="A128" s="18"/>
      <c r="B128" s="18"/>
      <c r="C128" s="18"/>
      <c r="D128" s="1"/>
      <c r="E128" s="2"/>
      <c r="F128" s="1067" t="s">
        <v>394</v>
      </c>
      <c r="G128" s="1068"/>
      <c r="H128" s="1068"/>
      <c r="I128" s="1068"/>
      <c r="J128" s="1068"/>
      <c r="K128" s="1068"/>
      <c r="L128" s="1069"/>
      <c r="M128" s="1076" t="s">
        <v>186</v>
      </c>
      <c r="N128" s="135"/>
      <c r="O128" s="136"/>
      <c r="P128" s="136"/>
      <c r="Q128" s="136"/>
      <c r="R128" s="137"/>
      <c r="S128" s="1079" t="s">
        <v>293</v>
      </c>
      <c r="T128" s="1064"/>
      <c r="U128" s="1064"/>
      <c r="V128" s="1064"/>
      <c r="W128" s="1064"/>
      <c r="X128" s="1064"/>
      <c r="Y128" s="1064"/>
      <c r="Z128" s="1064" t="s">
        <v>301</v>
      </c>
      <c r="AA128" s="1064"/>
      <c r="AB128" s="1064"/>
      <c r="AC128" s="1064"/>
      <c r="AD128" s="1064"/>
      <c r="AE128" s="1064"/>
      <c r="AF128" s="1064"/>
      <c r="AG128" s="1064"/>
      <c r="AH128" s="1064"/>
      <c r="AI128" s="1064" t="s">
        <v>302</v>
      </c>
      <c r="AJ128" s="1064"/>
      <c r="AK128" s="1064"/>
      <c r="AL128" s="1064"/>
      <c r="AM128" s="1065"/>
      <c r="AN128" s="2"/>
      <c r="AO128" s="2"/>
      <c r="AP128" s="2"/>
      <c r="AQ128" s="2"/>
      <c r="AR128" s="2"/>
    </row>
    <row r="129" spans="1:44" ht="27" customHeight="1" x14ac:dyDescent="0.25">
      <c r="A129" s="18"/>
      <c r="B129" s="18"/>
      <c r="C129" s="18"/>
      <c r="D129" s="1"/>
      <c r="E129" s="2"/>
      <c r="F129" s="1070"/>
      <c r="G129" s="1071"/>
      <c r="H129" s="1071"/>
      <c r="I129" s="1071"/>
      <c r="J129" s="1071"/>
      <c r="K129" s="1071"/>
      <c r="L129" s="1072"/>
      <c r="M129" s="1077"/>
      <c r="N129" s="138"/>
      <c r="O129" s="1045" t="s">
        <v>219</v>
      </c>
      <c r="P129" s="1045"/>
      <c r="Q129" s="1045"/>
      <c r="R129" s="1046"/>
      <c r="S129" s="1042"/>
      <c r="T129" s="1043"/>
      <c r="U129" s="1043"/>
      <c r="V129" s="1043"/>
      <c r="W129" s="1043"/>
      <c r="X129" s="1043"/>
      <c r="Y129" s="1043"/>
      <c r="Z129" s="1044"/>
      <c r="AA129" s="1044"/>
      <c r="AB129" s="1044"/>
      <c r="AC129" s="1044"/>
      <c r="AD129" s="1044"/>
      <c r="AE129" s="1044"/>
      <c r="AF129" s="1044"/>
      <c r="AG129" s="1044"/>
      <c r="AH129" s="1044"/>
      <c r="AI129" s="1066"/>
      <c r="AJ129" s="1066"/>
      <c r="AK129" s="1066"/>
      <c r="AL129" s="1066"/>
      <c r="AM129" s="1066"/>
      <c r="AN129" s="2"/>
      <c r="AO129" s="2"/>
      <c r="AP129" s="2"/>
      <c r="AQ129" s="2"/>
      <c r="AR129" s="2"/>
    </row>
    <row r="130" spans="1:44" ht="27" customHeight="1" x14ac:dyDescent="0.25">
      <c r="A130" s="18"/>
      <c r="B130" s="18"/>
      <c r="C130" s="18"/>
      <c r="D130" s="1"/>
      <c r="E130" s="2"/>
      <c r="F130" s="1070"/>
      <c r="G130" s="1071"/>
      <c r="H130" s="1071"/>
      <c r="I130" s="1071"/>
      <c r="J130" s="1071"/>
      <c r="K130" s="1071"/>
      <c r="L130" s="1072"/>
      <c r="M130" s="1077"/>
      <c r="N130" s="1"/>
      <c r="O130" s="138"/>
      <c r="P130" s="138"/>
      <c r="Q130" s="138"/>
      <c r="R130" s="139"/>
      <c r="S130" s="1042"/>
      <c r="T130" s="1043"/>
      <c r="U130" s="1043"/>
      <c r="V130" s="1043"/>
      <c r="W130" s="1043"/>
      <c r="X130" s="1043"/>
      <c r="Y130" s="1043"/>
      <c r="Z130" s="1044"/>
      <c r="AA130" s="1044"/>
      <c r="AB130" s="1044"/>
      <c r="AC130" s="1044"/>
      <c r="AD130" s="1044"/>
      <c r="AE130" s="1044"/>
      <c r="AF130" s="1044"/>
      <c r="AG130" s="1044"/>
      <c r="AH130" s="1044"/>
      <c r="AI130" s="1066"/>
      <c r="AJ130" s="1066"/>
      <c r="AK130" s="1066"/>
      <c r="AL130" s="1066"/>
      <c r="AM130" s="1066"/>
      <c r="AN130" s="2"/>
      <c r="AO130" s="2"/>
      <c r="AP130" s="2"/>
      <c r="AQ130" s="2"/>
      <c r="AR130" s="2"/>
    </row>
    <row r="131" spans="1:44" ht="27" customHeight="1" x14ac:dyDescent="0.25">
      <c r="A131" s="18"/>
      <c r="B131" s="18"/>
      <c r="C131" s="18"/>
      <c r="D131" s="1"/>
      <c r="E131" s="2"/>
      <c r="F131" s="1070"/>
      <c r="G131" s="1071"/>
      <c r="H131" s="1071"/>
      <c r="I131" s="1071"/>
      <c r="J131" s="1071"/>
      <c r="K131" s="1071"/>
      <c r="L131" s="1072"/>
      <c r="M131" s="1077"/>
      <c r="N131" s="138"/>
      <c r="O131" s="1047" t="s">
        <v>280</v>
      </c>
      <c r="P131" s="1047"/>
      <c r="Q131" s="1047"/>
      <c r="R131" s="1048"/>
      <c r="S131" s="1042"/>
      <c r="T131" s="1043"/>
      <c r="U131" s="1043"/>
      <c r="V131" s="1043"/>
      <c r="W131" s="1043"/>
      <c r="X131" s="1043"/>
      <c r="Y131" s="1043"/>
      <c r="Z131" s="1044"/>
      <c r="AA131" s="1044"/>
      <c r="AB131" s="1044"/>
      <c r="AC131" s="1044"/>
      <c r="AD131" s="1044"/>
      <c r="AE131" s="1044"/>
      <c r="AF131" s="1044"/>
      <c r="AG131" s="1044"/>
      <c r="AH131" s="1044"/>
      <c r="AI131" s="1066"/>
      <c r="AJ131" s="1066"/>
      <c r="AK131" s="1066"/>
      <c r="AL131" s="1066"/>
      <c r="AM131" s="1066"/>
      <c r="AN131" s="2"/>
      <c r="AO131" s="2"/>
      <c r="AP131" s="2"/>
      <c r="AQ131" s="2"/>
      <c r="AR131" s="2"/>
    </row>
    <row r="132" spans="1:44" ht="27" customHeight="1" x14ac:dyDescent="0.25">
      <c r="A132" s="18"/>
      <c r="B132" s="18"/>
      <c r="C132" s="18"/>
      <c r="D132" s="1"/>
      <c r="E132" s="2"/>
      <c r="F132" s="1073"/>
      <c r="G132" s="1074"/>
      <c r="H132" s="1074"/>
      <c r="I132" s="1074"/>
      <c r="J132" s="1074"/>
      <c r="K132" s="1074"/>
      <c r="L132" s="1075"/>
      <c r="M132" s="1078"/>
      <c r="N132" s="140"/>
      <c r="O132" s="140"/>
      <c r="P132" s="140"/>
      <c r="Q132" s="140"/>
      <c r="R132" s="141"/>
      <c r="S132" s="1042"/>
      <c r="T132" s="1043"/>
      <c r="U132" s="1043"/>
      <c r="V132" s="1043"/>
      <c r="W132" s="1043"/>
      <c r="X132" s="1043"/>
      <c r="Y132" s="1043"/>
      <c r="Z132" s="1044"/>
      <c r="AA132" s="1044"/>
      <c r="AB132" s="1044"/>
      <c r="AC132" s="1044"/>
      <c r="AD132" s="1044"/>
      <c r="AE132" s="1044"/>
      <c r="AF132" s="1044"/>
      <c r="AG132" s="1044"/>
      <c r="AH132" s="1044"/>
      <c r="AI132" s="1066"/>
      <c r="AJ132" s="1066"/>
      <c r="AK132" s="1066"/>
      <c r="AL132" s="1066"/>
      <c r="AM132" s="1066"/>
      <c r="AN132" s="2"/>
      <c r="AO132" s="2"/>
      <c r="AP132" s="2"/>
      <c r="AQ132" s="2"/>
      <c r="AR132" s="2"/>
    </row>
    <row r="133" spans="1:44" ht="20.100000000000001" customHeight="1" x14ac:dyDescent="0.25">
      <c r="A133" s="18"/>
      <c r="B133" s="18"/>
      <c r="C133" s="18"/>
      <c r="D133" s="1"/>
      <c r="E133" s="2"/>
      <c r="AN133" s="2"/>
      <c r="AO133" s="2"/>
      <c r="AP133" s="2"/>
      <c r="AQ133" s="2"/>
      <c r="AR133" s="2"/>
    </row>
    <row r="134" spans="1:44" ht="60" customHeight="1" x14ac:dyDescent="0.25">
      <c r="A134" s="18"/>
      <c r="B134" s="18"/>
      <c r="C134" s="18"/>
      <c r="D134" s="1"/>
      <c r="E134" s="2"/>
      <c r="F134" s="1008" t="s">
        <v>143</v>
      </c>
      <c r="G134" s="1009"/>
      <c r="H134" s="1009"/>
      <c r="I134" s="1009"/>
      <c r="J134" s="1009"/>
      <c r="K134" s="1009"/>
      <c r="L134" s="1009"/>
      <c r="M134" s="1010"/>
      <c r="N134" s="1140"/>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2"/>
      <c r="AN134" s="4"/>
      <c r="AO134" s="4"/>
      <c r="AP134" s="4"/>
      <c r="AQ134" s="4"/>
      <c r="AR134" s="4"/>
    </row>
    <row r="135" spans="1:44" x14ac:dyDescent="0.25">
      <c r="A135" s="18"/>
      <c r="B135" s="18"/>
      <c r="C135" s="18"/>
      <c r="D135" s="1"/>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99.95" customHeight="1" x14ac:dyDescent="0.25">
      <c r="A136" s="18"/>
      <c r="B136" s="18"/>
      <c r="C136" s="18"/>
      <c r="D136" s="1"/>
      <c r="E136" s="2"/>
      <c r="F136" s="1008" t="s">
        <v>392</v>
      </c>
      <c r="G136" s="1009"/>
      <c r="H136" s="1009"/>
      <c r="I136" s="1009"/>
      <c r="J136" s="1009"/>
      <c r="K136" s="1009"/>
      <c r="L136" s="1041"/>
      <c r="M136" s="148" t="s">
        <v>186</v>
      </c>
      <c r="N136" s="1140"/>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2"/>
      <c r="AN136" s="250"/>
      <c r="AO136" s="250"/>
      <c r="AP136" s="250"/>
      <c r="AQ136" s="250"/>
      <c r="AR136" s="250"/>
    </row>
    <row r="137" spans="1:44" x14ac:dyDescent="0.25">
      <c r="A137" s="18"/>
      <c r="B137" s="18"/>
      <c r="C137" s="18"/>
      <c r="D137" s="1"/>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sheetData>
  <sheetProtection algorithmName="SHA-512" hashValue="yZ5AIXiMrVrYkqT8BWBAiMo4tl9l8tGoX3FxuGAlZc7gs1iO2x5YV/THWr50dkIhn/+MosvHHPyfJA6Kj8NgTA==" saltValue="Q09P6+Xgso7TIygdXz37bw==" spinCount="100000" sheet="1" objects="1" scenarios="1" formatColumns="0" formatRows="0"/>
  <dataConsolidate/>
  <mergeCells count="316">
    <mergeCell ref="T122:Y122"/>
    <mergeCell ref="AA122:AF122"/>
    <mergeCell ref="F11:L11"/>
    <mergeCell ref="N11:AJ11"/>
    <mergeCell ref="F12:L12"/>
    <mergeCell ref="N12:S12"/>
    <mergeCell ref="F13:L13"/>
    <mergeCell ref="N13:AJ13"/>
    <mergeCell ref="F22:L22"/>
    <mergeCell ref="N22:S22"/>
    <mergeCell ref="T22:V22"/>
    <mergeCell ref="W22:X22"/>
    <mergeCell ref="Y22:AA22"/>
    <mergeCell ref="AB22:AC22"/>
    <mergeCell ref="F18:L18"/>
    <mergeCell ref="N18:S18"/>
    <mergeCell ref="F19:L19"/>
    <mergeCell ref="N19:S19"/>
    <mergeCell ref="F20:L20"/>
    <mergeCell ref="N20:S20"/>
    <mergeCell ref="T18:AJ18"/>
    <mergeCell ref="T19:AJ21"/>
    <mergeCell ref="AD22:AF22"/>
    <mergeCell ref="AG22:AJ22"/>
    <mergeCell ref="AI2:AN7"/>
    <mergeCell ref="F10:L10"/>
    <mergeCell ref="N10:Z10"/>
    <mergeCell ref="AA10:AD10"/>
    <mergeCell ref="AF10:AJ10"/>
    <mergeCell ref="F16:L16"/>
    <mergeCell ref="N16:S16"/>
    <mergeCell ref="F17:L17"/>
    <mergeCell ref="N17:S17"/>
    <mergeCell ref="T17:Z17"/>
    <mergeCell ref="AB17:AJ17"/>
    <mergeCell ref="F14:M14"/>
    <mergeCell ref="N14:AJ14"/>
    <mergeCell ref="F15:M15"/>
    <mergeCell ref="N15:P15"/>
    <mergeCell ref="R15:X15"/>
    <mergeCell ref="Y15:AB15"/>
    <mergeCell ref="AD15:AJ15"/>
    <mergeCell ref="F2:AG6"/>
    <mergeCell ref="F7:J7"/>
    <mergeCell ref="AK11:AN11"/>
    <mergeCell ref="F26:L26"/>
    <mergeCell ref="N26:S26"/>
    <mergeCell ref="T26:X26"/>
    <mergeCell ref="Z26:AC26"/>
    <mergeCell ref="F28:L28"/>
    <mergeCell ref="N28:S28"/>
    <mergeCell ref="F23:L23"/>
    <mergeCell ref="N23:S23"/>
    <mergeCell ref="F25:L25"/>
    <mergeCell ref="N25:S25"/>
    <mergeCell ref="T25:X25"/>
    <mergeCell ref="Z25:AC25"/>
    <mergeCell ref="H34:J34"/>
    <mergeCell ref="K34:M34"/>
    <mergeCell ref="N34:V34"/>
    <mergeCell ref="W34:AE34"/>
    <mergeCell ref="H35:J35"/>
    <mergeCell ref="K35:M35"/>
    <mergeCell ref="N35:V35"/>
    <mergeCell ref="W35:AE35"/>
    <mergeCell ref="H32:J32"/>
    <mergeCell ref="K32:M32"/>
    <mergeCell ref="N32:V32"/>
    <mergeCell ref="W32:AE32"/>
    <mergeCell ref="H33:J33"/>
    <mergeCell ref="K33:M33"/>
    <mergeCell ref="N33:V33"/>
    <mergeCell ref="W33:AE33"/>
    <mergeCell ref="F60:AN60"/>
    <mergeCell ref="F62:L62"/>
    <mergeCell ref="N62:S62"/>
    <mergeCell ref="Y64:AM64"/>
    <mergeCell ref="F65:H65"/>
    <mergeCell ref="I65:L65"/>
    <mergeCell ref="M65:O65"/>
    <mergeCell ref="P65:R65"/>
    <mergeCell ref="S65:U65"/>
    <mergeCell ref="V65:X65"/>
    <mergeCell ref="Y65:AM65"/>
    <mergeCell ref="F64:H64"/>
    <mergeCell ref="I64:L64"/>
    <mergeCell ref="M64:O64"/>
    <mergeCell ref="P64:R64"/>
    <mergeCell ref="S64:U64"/>
    <mergeCell ref="V64:X64"/>
    <mergeCell ref="Y66:AM66"/>
    <mergeCell ref="F67:H67"/>
    <mergeCell ref="I67:L67"/>
    <mergeCell ref="M67:O67"/>
    <mergeCell ref="P67:R67"/>
    <mergeCell ref="S67:U67"/>
    <mergeCell ref="V67:X67"/>
    <mergeCell ref="Y67:AM67"/>
    <mergeCell ref="F66:H66"/>
    <mergeCell ref="I66:L66"/>
    <mergeCell ref="M66:O66"/>
    <mergeCell ref="P66:R66"/>
    <mergeCell ref="S66:U66"/>
    <mergeCell ref="V66:X66"/>
    <mergeCell ref="Y68:AM68"/>
    <mergeCell ref="F69:H69"/>
    <mergeCell ref="I69:L69"/>
    <mergeCell ref="M69:O69"/>
    <mergeCell ref="P69:R69"/>
    <mergeCell ref="S69:U69"/>
    <mergeCell ref="V69:X69"/>
    <mergeCell ref="Y69:AM69"/>
    <mergeCell ref="F68:H68"/>
    <mergeCell ref="I68:L68"/>
    <mergeCell ref="M68:O68"/>
    <mergeCell ref="P68:R68"/>
    <mergeCell ref="S68:U68"/>
    <mergeCell ref="V68:X68"/>
    <mergeCell ref="Y70:AM70"/>
    <mergeCell ref="F71:H71"/>
    <mergeCell ref="I71:L71"/>
    <mergeCell ref="M71:O71"/>
    <mergeCell ref="P71:R71"/>
    <mergeCell ref="S71:U71"/>
    <mergeCell ref="V71:X71"/>
    <mergeCell ref="Y71:AM71"/>
    <mergeCell ref="F70:H70"/>
    <mergeCell ref="I70:L70"/>
    <mergeCell ref="M70:O70"/>
    <mergeCell ref="P70:R70"/>
    <mergeCell ref="S70:U70"/>
    <mergeCell ref="V70:X70"/>
    <mergeCell ref="Y72:AM72"/>
    <mergeCell ref="F73:H73"/>
    <mergeCell ref="I73:L73"/>
    <mergeCell ref="M73:O73"/>
    <mergeCell ref="P73:R73"/>
    <mergeCell ref="S73:U73"/>
    <mergeCell ref="V73:X73"/>
    <mergeCell ref="Y73:AM73"/>
    <mergeCell ref="F72:H72"/>
    <mergeCell ref="I72:L72"/>
    <mergeCell ref="M72:O72"/>
    <mergeCell ref="P72:R72"/>
    <mergeCell ref="S72:U72"/>
    <mergeCell ref="V72:X72"/>
    <mergeCell ref="Y74:AM74"/>
    <mergeCell ref="F76:L76"/>
    <mergeCell ref="N76:S76"/>
    <mergeCell ref="F77:L77"/>
    <mergeCell ref="N77:S77"/>
    <mergeCell ref="F78:L78"/>
    <mergeCell ref="N78:S78"/>
    <mergeCell ref="F74:H74"/>
    <mergeCell ref="I74:L74"/>
    <mergeCell ref="M74:O74"/>
    <mergeCell ref="P74:R74"/>
    <mergeCell ref="S74:U74"/>
    <mergeCell ref="V74:X74"/>
    <mergeCell ref="F80:L80"/>
    <mergeCell ref="N80:S80"/>
    <mergeCell ref="T80:Y80"/>
    <mergeCell ref="AA80:AM80"/>
    <mergeCell ref="F81:AB81"/>
    <mergeCell ref="F83:L83"/>
    <mergeCell ref="N83:Q83"/>
    <mergeCell ref="R83:V83"/>
    <mergeCell ref="X83:AA83"/>
    <mergeCell ref="Z84:AD84"/>
    <mergeCell ref="AE84:AI84"/>
    <mergeCell ref="AJ84:AN84"/>
    <mergeCell ref="F85:L85"/>
    <mergeCell ref="N85:Q85"/>
    <mergeCell ref="R85:X85"/>
    <mergeCell ref="Z85:AD85"/>
    <mergeCell ref="AE85:AI85"/>
    <mergeCell ref="AJ85:AN85"/>
    <mergeCell ref="F89:AN89"/>
    <mergeCell ref="F91:L91"/>
    <mergeCell ref="N91:S91"/>
    <mergeCell ref="F94:M94"/>
    <mergeCell ref="N94:S94"/>
    <mergeCell ref="F86:L86"/>
    <mergeCell ref="N86:Q86"/>
    <mergeCell ref="R86:X86"/>
    <mergeCell ref="Z86:AD86"/>
    <mergeCell ref="AE86:AI86"/>
    <mergeCell ref="AJ86:AN86"/>
    <mergeCell ref="AA95:AD95"/>
    <mergeCell ref="AE95:AG95"/>
    <mergeCell ref="F96:I96"/>
    <mergeCell ref="J96:L96"/>
    <mergeCell ref="M96:P96"/>
    <mergeCell ref="Q96:S96"/>
    <mergeCell ref="T96:W96"/>
    <mergeCell ref="X96:Z96"/>
    <mergeCell ref="AA96:AD96"/>
    <mergeCell ref="AE96:AG96"/>
    <mergeCell ref="F95:I95"/>
    <mergeCell ref="J95:L95"/>
    <mergeCell ref="M95:P95"/>
    <mergeCell ref="Q95:S95"/>
    <mergeCell ref="T95:W95"/>
    <mergeCell ref="X95:Z95"/>
    <mergeCell ref="Y101:Z101"/>
    <mergeCell ref="AA101:AB101"/>
    <mergeCell ref="Y100:AB100"/>
    <mergeCell ref="M101:N101"/>
    <mergeCell ref="O101:P101"/>
    <mergeCell ref="Q101:R101"/>
    <mergeCell ref="S101:T101"/>
    <mergeCell ref="M100:P100"/>
    <mergeCell ref="Q100:T100"/>
    <mergeCell ref="U101:V101"/>
    <mergeCell ref="W101:X101"/>
    <mergeCell ref="U100:X100"/>
    <mergeCell ref="Y102:Z102"/>
    <mergeCell ref="AA102:AB102"/>
    <mergeCell ref="M103:N103"/>
    <mergeCell ref="O103:P103"/>
    <mergeCell ref="Q102:R102"/>
    <mergeCell ref="S102:T102"/>
    <mergeCell ref="M102:P102"/>
    <mergeCell ref="Y103:Z103"/>
    <mergeCell ref="AA103:AB103"/>
    <mergeCell ref="U102:V102"/>
    <mergeCell ref="W102:X102"/>
    <mergeCell ref="M104:N104"/>
    <mergeCell ref="O104:P104"/>
    <mergeCell ref="Q103:R103"/>
    <mergeCell ref="S103:T103"/>
    <mergeCell ref="Y104:Z104"/>
    <mergeCell ref="AA104:AB104"/>
    <mergeCell ref="Q104:R104"/>
    <mergeCell ref="S104:T104"/>
    <mergeCell ref="U103:V103"/>
    <mergeCell ref="U104:V104"/>
    <mergeCell ref="W103:X103"/>
    <mergeCell ref="W104:X104"/>
    <mergeCell ref="Y105:Z105"/>
    <mergeCell ref="AA105:AB105"/>
    <mergeCell ref="M106:N106"/>
    <mergeCell ref="O106:P106"/>
    <mergeCell ref="Q105:R105"/>
    <mergeCell ref="S105:T105"/>
    <mergeCell ref="M105:N105"/>
    <mergeCell ref="O105:P105"/>
    <mergeCell ref="Y106:Z106"/>
    <mergeCell ref="AA106:AB106"/>
    <mergeCell ref="Q106:R106"/>
    <mergeCell ref="S106:T106"/>
    <mergeCell ref="U105:V105"/>
    <mergeCell ref="U106:V106"/>
    <mergeCell ref="W105:X105"/>
    <mergeCell ref="W106:X106"/>
    <mergeCell ref="Y107:Z107"/>
    <mergeCell ref="AA107:AB107"/>
    <mergeCell ref="M108:N108"/>
    <mergeCell ref="O108:P108"/>
    <mergeCell ref="Q107:R107"/>
    <mergeCell ref="S107:T107"/>
    <mergeCell ref="M107:N107"/>
    <mergeCell ref="O107:P107"/>
    <mergeCell ref="Y108:Z108"/>
    <mergeCell ref="AA108:AB108"/>
    <mergeCell ref="Q108:R108"/>
    <mergeCell ref="S108:T108"/>
    <mergeCell ref="U107:V107"/>
    <mergeCell ref="U108:V108"/>
    <mergeCell ref="W107:X107"/>
    <mergeCell ref="W108:X108"/>
    <mergeCell ref="Y109:Z109"/>
    <mergeCell ref="AA109:AB109"/>
    <mergeCell ref="F114:L114"/>
    <mergeCell ref="N114:AN114"/>
    <mergeCell ref="AO114:AR114"/>
    <mergeCell ref="Q109:R109"/>
    <mergeCell ref="S109:T109"/>
    <mergeCell ref="M109:P109"/>
    <mergeCell ref="U109:V109"/>
    <mergeCell ref="W109:X109"/>
    <mergeCell ref="AN124:AQ124"/>
    <mergeCell ref="F128:L132"/>
    <mergeCell ref="M128:M132"/>
    <mergeCell ref="S128:Y128"/>
    <mergeCell ref="Z128:AH128"/>
    <mergeCell ref="AI128:AM128"/>
    <mergeCell ref="F116:L116"/>
    <mergeCell ref="N116:AN116"/>
    <mergeCell ref="AO116:AR116"/>
    <mergeCell ref="F120:L120"/>
    <mergeCell ref="N120:S120"/>
    <mergeCell ref="O129:R129"/>
    <mergeCell ref="S129:Y129"/>
    <mergeCell ref="Z129:AH129"/>
    <mergeCell ref="AI129:AM129"/>
    <mergeCell ref="S130:Y130"/>
    <mergeCell ref="Z130:AH130"/>
    <mergeCell ref="AI130:AM130"/>
    <mergeCell ref="F122:L122"/>
    <mergeCell ref="N122:S122"/>
    <mergeCell ref="F124:L124"/>
    <mergeCell ref="N124:AM124"/>
    <mergeCell ref="F121:L121"/>
    <mergeCell ref="N121:S121"/>
    <mergeCell ref="F134:M134"/>
    <mergeCell ref="N134:AM134"/>
    <mergeCell ref="F136:L136"/>
    <mergeCell ref="N136:AM136"/>
    <mergeCell ref="O131:R131"/>
    <mergeCell ref="S131:Y131"/>
    <mergeCell ref="Z131:AH131"/>
    <mergeCell ref="AI131:AM131"/>
    <mergeCell ref="S132:Y132"/>
    <mergeCell ref="Z132:AH132"/>
    <mergeCell ref="AI132:AM132"/>
  </mergeCells>
  <conditionalFormatting sqref="F7">
    <cfRule type="notContainsBlanks" dxfId="69" priority="1">
      <formula>LEN(TRIM(F7))&gt;0</formula>
    </cfRule>
  </conditionalFormatting>
  <conditionalFormatting sqref="F78:S78 F86:AN86">
    <cfRule type="expression" dxfId="64" priority="56">
      <formula>$N$76&lt;&gt;"sim"</formula>
    </cfRule>
  </conditionalFormatting>
  <conditionalFormatting sqref="F122:S122">
    <cfRule type="expression" dxfId="62" priority="8">
      <formula>$N$121&lt;&gt;"Não"</formula>
    </cfRule>
  </conditionalFormatting>
  <conditionalFormatting sqref="F83:AO87">
    <cfRule type="expression" dxfId="59" priority="52">
      <formula>$N$80&lt;&gt;"Sim"</formula>
    </cfRule>
  </conditionalFormatting>
  <conditionalFormatting sqref="F64:AR87">
    <cfRule type="expression" dxfId="56" priority="67">
      <formula>$N$62&lt;&gt;"Sim"</formula>
    </cfRule>
  </conditionalFormatting>
  <conditionalFormatting sqref="M10:M13">
    <cfRule type="expression" dxfId="55" priority="88">
      <formula>N10&lt;&gt;""</formula>
    </cfRule>
  </conditionalFormatting>
  <conditionalFormatting sqref="M16:M20">
    <cfRule type="expression" dxfId="54" priority="81">
      <formula>N16&lt;&gt;""</formula>
    </cfRule>
  </conditionalFormatting>
  <conditionalFormatting sqref="M22:M23">
    <cfRule type="expression" dxfId="53" priority="79">
      <formula>N22&lt;&gt;""</formula>
    </cfRule>
  </conditionalFormatting>
  <conditionalFormatting sqref="M25:M26">
    <cfRule type="expression" dxfId="52" priority="73">
      <formula>N25&lt;&gt;""</formula>
    </cfRule>
  </conditionalFormatting>
  <conditionalFormatting sqref="M28">
    <cfRule type="expression" dxfId="51" priority="72">
      <formula>N28&lt;&gt;""</formula>
    </cfRule>
  </conditionalFormatting>
  <conditionalFormatting sqref="M62">
    <cfRule type="expression" dxfId="50" priority="68">
      <formula>N62&lt;&gt;""</formula>
    </cfRule>
  </conditionalFormatting>
  <conditionalFormatting sqref="M76:M78">
    <cfRule type="expression" dxfId="49" priority="66">
      <formula>N76&lt;&gt;""</formula>
    </cfRule>
  </conditionalFormatting>
  <conditionalFormatting sqref="M80">
    <cfRule type="expression" dxfId="48" priority="65">
      <formula>N80&lt;&gt;""</formula>
    </cfRule>
  </conditionalFormatting>
  <conditionalFormatting sqref="M83">
    <cfRule type="expression" dxfId="47" priority="64">
      <formula>N83&lt;&gt;""</formula>
    </cfRule>
  </conditionalFormatting>
  <conditionalFormatting sqref="M85:M86">
    <cfRule type="expression" dxfId="46" priority="60">
      <formula>N85&lt;&gt;""</formula>
    </cfRule>
  </conditionalFormatting>
  <conditionalFormatting sqref="M91">
    <cfRule type="expression" dxfId="45" priority="51">
      <formula>N91&lt;&gt;""</formula>
    </cfRule>
  </conditionalFormatting>
  <conditionalFormatting sqref="M114">
    <cfRule type="expression" dxfId="44" priority="50">
      <formula>N114&lt;&gt;""</formula>
    </cfRule>
  </conditionalFormatting>
  <conditionalFormatting sqref="M116">
    <cfRule type="expression" dxfId="43" priority="47">
      <formula>N116&lt;&gt;""</formula>
    </cfRule>
  </conditionalFormatting>
  <conditionalFormatting sqref="M120:M122">
    <cfRule type="expression" dxfId="42" priority="9">
      <formula>N120&lt;&gt;""</formula>
    </cfRule>
  </conditionalFormatting>
  <conditionalFormatting sqref="M124">
    <cfRule type="expression" dxfId="41" priority="46">
      <formula>N124&lt;&gt;""</formula>
    </cfRule>
  </conditionalFormatting>
  <conditionalFormatting sqref="M136">
    <cfRule type="expression" dxfId="39" priority="44">
      <formula>N136&lt;&gt;""</formula>
    </cfRule>
  </conditionalFormatting>
  <conditionalFormatting sqref="Q15">
    <cfRule type="expression" dxfId="38" priority="87">
      <formula>R15&lt;&gt;""</formula>
    </cfRule>
  </conditionalFormatting>
  <conditionalFormatting sqref="T122:Y122 AA122:AF122">
    <cfRule type="expression" dxfId="35" priority="7">
      <formula>$N$122&lt;&gt;"Sim"</formula>
    </cfRule>
  </conditionalFormatting>
  <conditionalFormatting sqref="T80:AM80">
    <cfRule type="expression" dxfId="30" priority="53">
      <formula>$N$80&lt;&gt;"Não"</formula>
    </cfRule>
  </conditionalFormatting>
  <conditionalFormatting sqref="W83">
    <cfRule type="expression" dxfId="29" priority="62">
      <formula>X83&lt;&gt;""</formula>
    </cfRule>
  </conditionalFormatting>
  <conditionalFormatting sqref="Y25:Y26">
    <cfRule type="expression" dxfId="28" priority="74">
      <formula>Z25&lt;&gt;""</formula>
    </cfRule>
  </conditionalFormatting>
  <conditionalFormatting sqref="Y85:Y86">
    <cfRule type="expression" dxfId="27" priority="58">
      <formula>Z85&lt;&gt;""</formula>
    </cfRule>
  </conditionalFormatting>
  <conditionalFormatting sqref="Z80">
    <cfRule type="expression" dxfId="25" priority="63">
      <formula>AA80&lt;&gt;""</formula>
    </cfRule>
  </conditionalFormatting>
  <conditionalFormatting sqref="Z122">
    <cfRule type="expression" dxfId="24" priority="6">
      <formula>AA122&lt;&gt;""</formula>
    </cfRule>
    <cfRule type="expression" dxfId="23" priority="5">
      <formula>$N$121&lt;&gt;"Não"</formula>
    </cfRule>
  </conditionalFormatting>
  <conditionalFormatting sqref="AA17">
    <cfRule type="expression" dxfId="22" priority="39">
      <formula>AB17&lt;&gt;""</formula>
    </cfRule>
  </conditionalFormatting>
  <conditionalFormatting sqref="AC15">
    <cfRule type="expression" dxfId="20" priority="86">
      <formula>AD15&lt;&gt;""</formula>
    </cfRule>
  </conditionalFormatting>
  <conditionalFormatting sqref="AE10">
    <cfRule type="expression" dxfId="18" priority="91">
      <formula>AF10&lt;&gt;""</formula>
    </cfRule>
  </conditionalFormatting>
  <conditionalFormatting sqref="AK22">
    <cfRule type="expression" dxfId="17" priority="15">
      <formula>NOT((ISBLANK(AG22)))</formula>
    </cfRule>
  </conditionalFormatting>
  <dataValidations count="24">
    <dataValidation allowBlank="1" showInputMessage="1" showErrorMessage="1" promptTitle="Ajuda" prompt="A conclusão deverá ser conforme está escrito no relatório do estudo._x000a_" sqref="F136:L136" xr:uid="{3790CB11-36AE-4477-8F86-E2731033829A}"/>
    <dataValidation allowBlank="1" showInputMessage="1" showErrorMessage="1" promptTitle="Ajuda" prompt="Informar apenas se o(s) desvio(s) afetam de algum modo a interpretação dos resultados" sqref="AI128:AM128" xr:uid="{DC0B7B23-73CB-405F-B834-52B3F8665214}"/>
    <dataValidation allowBlank="1" showInputMessage="1" showErrorMessage="1" promptTitle="Ajuda" prompt="Incluir a justificativa do porquê ocorreu desvio e qual é interpretação dos seus impactos frente aos resultados do estudos." sqref="Z128:AH128" xr:uid="{167152D7-C6A2-459D-8D74-2B6CC99380E7}"/>
    <dataValidation allowBlank="1" showInputMessage="1" showErrorMessage="1" promptTitle="Ajuda" prompt="Descrição sucinta do desvio ocorrido._x000a__x000a_Caso tenha ocorrido mais do que quatro desvios, os demais deverão estar descritos na última linha e separados por ponto e vírgula" sqref="S128:Y128" xr:uid="{C5D9E055-7178-4937-97C2-4467965BBB1F}"/>
    <dataValidation allowBlank="1" showInputMessage="1" showErrorMessage="1" promptTitle="Ajuda" prompt="São considerados desvios procedimentos que tenham sido conduzidos em desacordo com o protocolo. _x000a__x000a_Alterações no corpor técnico, retificações no texto do relatório ou similiares não são considerados desvios ao protocolo." sqref="F128:L132" xr:uid="{75AC6FE0-CA6D-4DDF-A3EA-562143C4A09B}"/>
    <dataValidation allowBlank="1" showInputMessage="1" showErrorMessage="1" promptTitle="Ajuda" prompt="Conforme parágrafo 52 do protocolo OECD n. 474 de 2016_x000a_" sqref="F124:L124" xr:uid="{6C71B372-2065-4724-B60B-83452289BB6B}"/>
    <dataValidation allowBlank="1" showInputMessage="1" showErrorMessage="1" promptTitle="Ajuda" prompt="Os resultados devem ser comparados com os dados de controle negativo dos dados históricos do laboratório. _x000a__x000a_Parágrafo 47 do protocolo OECD n. 474 de 2016" sqref="F120:L121" xr:uid="{203B9A9E-DDCF-4FFA-9566-9CF1AFD1E7C9}"/>
    <dataValidation allowBlank="1" showInputMessage="1" showErrorMessage="1" promptTitle="Ajuda" prompt="Informar o método estatístico e os resultados da análise estatística. " sqref="F116:L116" xr:uid="{E46F33BA-AD9A-40F1-8F22-F8703A825BDE}"/>
    <dataValidation allowBlank="1" showInputMessage="1" showErrorMessage="1" promptTitle="Ajuda" prompt="Referência: Parágrafos 34, 40, letra &quot;d&quot; do parágrafo 48 e parágrafo 52 dos protocolos OECD nº 474 de 2016; OECD nº 474 de 2014" sqref="F114:L114" xr:uid="{2B8F3076-DD25-408F-930F-584EE486BDE5}"/>
    <dataValidation allowBlank="1" showInputMessage="1" showErrorMessage="1" promptTitle="Ajuda" prompt="Caso tenha sido realizada complementação ou recondução de algum das doses devem ser preenchidos somente os resultados do estudo principal." sqref="F94:M94" xr:uid="{CFA14DB2-5EC9-4A5D-ACFD-47E1D862F71E}"/>
    <dataValidation allowBlank="1" showInputMessage="1" showErrorMessage="1" promptTitle="Ajuda" prompt="O valor de DL50 informado deve corresponder ao valor da DL50 do produto que está pleiteando o registro._x000a__x000a_Não deve ser utilizado o valor referente apenas ao ingrediente ativo." sqref="F85:L86" xr:uid="{CC87B270-4D7E-45F4-AE0E-C65CA9DCFBD2}"/>
    <dataValidation allowBlank="1" showInputMessage="1" showErrorMessage="1" promptTitle="Ajuda" prompt="Essa situação normalmente ocorre quando o estudo é reconduzido para complementação de alguma dose. _x000a__x000a_Nesse caso deve-se preencher os resultados do grupo controle negativo relativo ao primeiro teste definito" sqref="T25:X25" xr:uid="{EB43077B-84B2-4944-BA12-AA5C47547A11}"/>
    <dataValidation allowBlank="1" showInputMessage="1" showErrorMessage="1" promptTitle="Ajuda" prompt="Data de início da exposição dos animais à substância teste" sqref="N15:P15" xr:uid="{BA8EBB24-6025-45F2-869D-296D85B4DADE}"/>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F1E57DBB-31CF-430B-8DE8-6A80276DAD9C}"/>
    <dataValidation allowBlank="1" showInputMessage="1" showErrorMessage="1" promptTitle="Ajuda" prompt="Informar nome e estado/país do laboratório executor" sqref="F11:L11" xr:uid="{121CBE5C-729A-4F7A-B5C2-99477FD37BCD}"/>
    <dataValidation allowBlank="1" showInputMessage="1" showErrorMessage="1" promptTitle="Ajuda" prompt="Código gerado pelo laboratório executor" sqref="AA10:AD10" xr:uid="{DF799145-0756-4292-A4EB-BCB81B1383AA}"/>
    <dataValidation type="decimal" operator="greaterThanOrEqual" allowBlank="1" showInputMessage="1" showErrorMessage="1" errorTitle="Valor inválido" error="A dose de DL50 deve ser informada como um número decimal" sqref="N85:Q86" xr:uid="{C6C4D79B-649D-4C9F-A620-40E87382D50B}">
      <formula1>0</formula1>
    </dataValidation>
    <dataValidation type="whole" operator="greaterThanOrEqual" allowBlank="1" showInputMessage="1" showErrorMessage="1" errorTitle="Valor inválido" error="O total de animais deve ser um número inteiro" sqref="M65:X74" xr:uid="{FA4A08BE-5389-41D2-948F-69EC861A8A35}">
      <formula1>0</formula1>
    </dataValidation>
    <dataValidation type="decimal" operator="greaterThanOrEqual" allowBlank="1" showInputMessage="1" showErrorMessage="1" errorTitle="Valor inválido" error="A dose deve ser um número decimal" sqref="I65:L74 N77:S78 Z85:AN86" xr:uid="{A8430B34-CF23-43E6-A20A-A48D06DF490D}">
      <formula1>0</formula1>
    </dataValidation>
    <dataValidation type="decimal" operator="greaterThanOrEqual" allowBlank="1" showInputMessage="1" showErrorMessage="1" errorTitle="Valor inválido" error="A dose deve ser um número decimal. " sqref="Z26:AC26" xr:uid="{E013817E-64AC-4143-879B-A7508CCF2B65}">
      <formula1>0</formula1>
    </dataValidation>
    <dataValidation type="whole" operator="greaterThanOrEqual" allowBlank="1" showInputMessage="1" showErrorMessage="1" errorTitle="Valor inválido" error="O tempo em horas deve ser um número inteiro" sqref="W22:X22 N23:S23 AB22:AC22" xr:uid="{E09240CA-B041-4185-B5B6-125764EBA069}">
      <formula1>0</formula1>
    </dataValidation>
    <dataValidation type="whole" operator="greaterThanOrEqual" allowBlank="1" showInputMessage="1" showErrorMessage="1" errorTitle="Valor inválido" error="Q quantidade de administrações deve ser um número inteiro" sqref="N20:S20" xr:uid="{0A49CCCF-6BD3-4711-A7F2-0509CE7D382C}">
      <formula1>0</formula1>
    </dataValidation>
    <dataValidation type="list" allowBlank="1" showInputMessage="1" showErrorMessage="1" errorTitle="Código inválido" error="Preencher os dados do certificado na guia &quot;Certificados&quot; antes de atribuí-lo a algum estudo" sqref="N16:S16" xr:uid="{2BD72678-F3F9-46ED-B5E5-4DCEEB813C64}">
      <formula1>src_certificados</formula1>
    </dataValidation>
    <dataValidation type="custom" allowBlank="1" showInputMessage="1" showErrorMessage="1" errorTitle="Data inválida" error="A data de conclusão não pode ser anterior a data de início." sqref="AD15:AJ15" xr:uid="{D602FA99-0801-4A61-BE11-38C1638FF9B0}">
      <formula1>R15&lt;=AD15</formula1>
    </dataValidation>
  </dataValidations>
  <hyperlinks>
    <hyperlink ref="F7" location="Alertas!G2" display="Alertas!G2" xr:uid="{5D3D6EEB-7DCD-4C50-A176-1A6480894339}"/>
  </hyperlinks>
  <pageMargins left="0.511811024" right="0.511811024" top="0.78740157499999996" bottom="0.78740157499999996" header="0.31496062000000002" footer="0.31496062000000002"/>
  <pageSetup paperSize="9" orientation="portrait" r:id="rId1"/>
  <ignoredErrors>
    <ignoredError sqref="S101 W10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6561" r:id="rId4" name="optn_desvios_micro1">
              <controlPr defaultSize="0" autoFill="0" autoLine="0" autoPict="0">
                <anchor moveWithCells="1">
                  <from>
                    <xdr:col>13</xdr:col>
                    <xdr:colOff>19050</xdr:colOff>
                    <xdr:row>127</xdr:row>
                    <xdr:rowOff>228600</xdr:rowOff>
                  </from>
                  <to>
                    <xdr:col>17</xdr:col>
                    <xdr:colOff>247650</xdr:colOff>
                    <xdr:row>129</xdr:row>
                    <xdr:rowOff>38100</xdr:rowOff>
                  </to>
                </anchor>
              </controlPr>
            </control>
          </mc:Choice>
        </mc:AlternateContent>
        <mc:AlternateContent xmlns:mc="http://schemas.openxmlformats.org/markup-compatibility/2006">
          <mc:Choice Requires="x14">
            <control shapeId="66562" r:id="rId5" name="optn_desvios_micro2">
              <controlPr defaultSize="0" autoFill="0" autoLine="0" autoPict="0">
                <anchor moveWithCells="1">
                  <from>
                    <xdr:col>13</xdr:col>
                    <xdr:colOff>19050</xdr:colOff>
                    <xdr:row>129</xdr:row>
                    <xdr:rowOff>314325</xdr:rowOff>
                  </from>
                  <to>
                    <xdr:col>17</xdr:col>
                    <xdr:colOff>247650</xdr:colOff>
                    <xdr:row>131</xdr:row>
                    <xdr:rowOff>28575</xdr:rowOff>
                  </to>
                </anchor>
              </controlPr>
            </control>
          </mc:Choice>
        </mc:AlternateContent>
        <mc:AlternateContent xmlns:mc="http://schemas.openxmlformats.org/markup-compatibility/2006">
          <mc:Choice Requires="x14">
            <control shapeId="66563" r:id="rId6" name="check_semDMT">
              <controlPr defaultSize="0" autoFill="0" autoLine="0" autoPict="0">
                <anchor moveWithCells="1">
                  <from>
                    <xdr:col>19</xdr:col>
                    <xdr:colOff>123825</xdr:colOff>
                    <xdr:row>75</xdr:row>
                    <xdr:rowOff>28575</xdr:rowOff>
                  </from>
                  <to>
                    <xdr:col>30</xdr:col>
                    <xdr:colOff>66675</xdr:colOff>
                    <xdr:row>76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EB7C5051-D027-47FB-9CCD-F12CEE91EA48}">
            <xm:f>'Calculos(2)'!$AW$49&gt;0</xm:f>
            <x14:dxf>
              <font>
                <color theme="0"/>
              </font>
              <fill>
                <patternFill>
                  <bgColor theme="0"/>
                </patternFill>
              </fill>
              <border>
                <left/>
                <right/>
                <bottom/>
                <vertical/>
                <horizontal/>
              </border>
            </x14:dxf>
          </x14:cfRule>
          <xm:sqref>F17:S17</xm:sqref>
        </x14:conditionalFormatting>
        <x14:conditionalFormatting xmlns:xm="http://schemas.microsoft.com/office/excel/2006/main">
          <x14:cfRule type="expression" priority="17" id="{BC987E8D-8787-4564-BDE8-F44498036915}">
            <xm:f>'Calculos(2)'!$AW$49&gt;0</xm:f>
            <x14:dxf>
              <font>
                <color theme="0"/>
              </font>
              <fill>
                <patternFill>
                  <bgColor theme="0"/>
                </patternFill>
              </fill>
              <border>
                <left/>
                <right/>
                <top/>
                <bottom/>
                <vertical/>
                <horizontal/>
              </border>
            </x14:dxf>
          </x14:cfRule>
          <xm:sqref>F22:S22</xm:sqref>
        </x14:conditionalFormatting>
        <x14:conditionalFormatting xmlns:xm="http://schemas.microsoft.com/office/excel/2006/main">
          <x14:cfRule type="expression" priority="77" id="{CFBA685C-83FB-4E6D-B16F-BADB1783D312}">
            <xm:f>$N$22&lt;&gt;Tabelas_fonte!$AQ$25</xm:f>
            <x14:dxf>
              <font>
                <color theme="0"/>
              </font>
              <fill>
                <patternFill>
                  <bgColor theme="0"/>
                </patternFill>
              </fill>
              <border>
                <left/>
                <right/>
                <bottom/>
              </border>
            </x14:dxf>
          </x14:cfRule>
          <xm:sqref>F23:S23</xm:sqref>
        </x14:conditionalFormatting>
        <x14:conditionalFormatting xmlns:xm="http://schemas.microsoft.com/office/excel/2006/main">
          <x14:cfRule type="expression" priority="55" id="{053E81C9-71D3-49DB-B91C-3A82D61B6D64}">
            <xm:f>Respostas_usuario!$T$18=TRUE</xm:f>
            <x14:dxf>
              <font>
                <color theme="0"/>
              </font>
              <fill>
                <patternFill>
                  <bgColor theme="0"/>
                </patternFill>
              </fill>
              <border>
                <left/>
                <right/>
                <bottom/>
                <vertical/>
                <horizontal/>
              </border>
            </x14:dxf>
          </x14:cfRule>
          <xm:sqref>F77:S78</xm:sqref>
        </x14:conditionalFormatting>
        <x14:conditionalFormatting xmlns:xm="http://schemas.microsoft.com/office/excel/2006/main">
          <x14:cfRule type="expression" priority="54" id="{F7C2FC73-217B-4394-973A-B0A3B9B82FA9}">
            <xm:f>Respostas_usuario!$T$18&lt;&gt;TRUE</xm:f>
            <x14:dxf>
              <font>
                <color theme="0"/>
              </font>
              <fill>
                <patternFill>
                  <bgColor theme="0"/>
                </patternFill>
              </fill>
              <border>
                <left/>
                <right/>
                <top/>
                <bottom/>
                <vertical/>
                <horizontal/>
              </border>
            </x14:dxf>
          </x14:cfRule>
          <xm:sqref>F80:S80 F81:AB81</xm:sqref>
        </x14:conditionalFormatting>
        <x14:conditionalFormatting xmlns:xm="http://schemas.microsoft.com/office/excel/2006/main">
          <x14:cfRule type="expression" priority="49" id="{B18286C4-F3EC-41B8-B23D-7F6BB8B48B9A}">
            <xm:f>$N$13=Tabelas_fonte!$AQ$2</xm:f>
            <x14:dxf>
              <font>
                <color theme="0"/>
              </font>
              <fill>
                <patternFill>
                  <bgColor theme="0"/>
                </patternFill>
              </fill>
              <border>
                <left/>
                <right/>
                <top/>
                <bottom/>
                <vertical/>
                <horizontal/>
              </border>
            </x14:dxf>
          </x14:cfRule>
          <x14:cfRule type="expression" priority="48" id="{ECA1C755-DC78-4C4A-8972-82962B9CBA99}">
            <xm:f>$N$19=Tabelas_fonte!$AQ$16</xm:f>
            <x14:dxf>
              <font>
                <color theme="0"/>
              </font>
              <fill>
                <patternFill>
                  <bgColor theme="0"/>
                </patternFill>
              </fill>
              <border>
                <left/>
                <right/>
                <top/>
                <bottom/>
                <vertical/>
                <horizontal/>
              </border>
            </x14:dxf>
          </x14:cfRule>
          <xm:sqref>F114:AN114</xm:sqref>
        </x14:conditionalFormatting>
        <x14:conditionalFormatting xmlns:xm="http://schemas.microsoft.com/office/excel/2006/main">
          <x14:cfRule type="expression" priority="16" id="{39BF7A2E-8A06-46E4-9F57-89772307AE68}">
            <xm:f>'Calculos(2)'!$AW$49&gt;0</xm:f>
            <x14:dxf>
              <font>
                <color theme="0"/>
              </font>
              <fill>
                <patternFill>
                  <bgColor theme="0"/>
                </patternFill>
              </fill>
              <border>
                <left/>
                <right/>
                <top/>
                <bottom/>
                <vertical/>
                <horizontal/>
              </border>
            </x14:dxf>
          </x14:cfRule>
          <xm:sqref>F23:AR37 F59:AR91 AJ92:AR92 F93:AR94 AH95:AR96 F112:AR119 AP120:AR123 F124:AR132 AN133:AR133 F134:AR137</xm:sqref>
        </x14:conditionalFormatting>
        <x14:conditionalFormatting xmlns:xm="http://schemas.microsoft.com/office/excel/2006/main">
          <x14:cfRule type="expression" priority="18" id="{9AC88C49-B260-4D92-B695-66AD5C87A0A1}">
            <xm:f>'Calculos(2)'!$AW$49&gt;0</xm:f>
            <x14:dxf>
              <font>
                <color theme="0"/>
              </font>
              <fill>
                <patternFill>
                  <bgColor theme="0"/>
                </patternFill>
              </fill>
              <border>
                <left/>
                <top/>
                <bottom/>
                <vertical/>
                <horizontal/>
              </border>
            </x14:dxf>
          </x14:cfRule>
          <xm:sqref>F28:AR136 F18:S23 T22:AC23 F24:XFD27</xm:sqref>
        </x14:conditionalFormatting>
        <x14:conditionalFormatting xmlns:xm="http://schemas.microsoft.com/office/excel/2006/main">
          <x14:cfRule type="expression" priority="40" id="{E0E05EA3-1700-45F5-BD4B-E0D1774F0BFB}">
            <xm:f>Respostas_usuario!$K$21&lt;&gt;0</xm:f>
            <x14:dxf>
              <font>
                <b/>
                <i val="0"/>
                <color rgb="FF00B050"/>
              </font>
              <fill>
                <patternFill patternType="none">
                  <bgColor auto="1"/>
                </patternFill>
              </fill>
            </x14:dxf>
          </x14:cfRule>
          <xm:sqref>M128:M132</xm:sqref>
        </x14:conditionalFormatting>
        <x14:conditionalFormatting xmlns:xm="http://schemas.microsoft.com/office/excel/2006/main">
          <x14:cfRule type="expression" priority="21" id="{5C4F08FE-E464-4EFC-8C29-FB4780CDB93B}">
            <xm:f>'Calculos(2)'!$AW$49=0</xm:f>
            <x14:dxf>
              <border>
                <right/>
                <vertical/>
                <horizontal/>
              </border>
            </x14:dxf>
          </x14:cfRule>
          <xm:sqref>S21</xm:sqref>
        </x14:conditionalFormatting>
        <x14:conditionalFormatting xmlns:xm="http://schemas.microsoft.com/office/excel/2006/main">
          <x14:cfRule type="expression" priority="41" id="{1C48EA0C-44B3-49CB-9D10-A45D242F7C14}">
            <xm:f>Respostas_usuario!$K$21&lt;&gt;2</xm:f>
            <x14:dxf>
              <font>
                <color theme="0"/>
              </font>
              <fill>
                <patternFill>
                  <bgColor theme="0"/>
                </patternFill>
              </fill>
              <border>
                <right/>
                <top/>
                <bottom/>
                <vertical/>
                <horizontal/>
              </border>
            </x14:dxf>
          </x14:cfRule>
          <xm:sqref>S128:AM132</xm:sqref>
        </x14:conditionalFormatting>
        <x14:conditionalFormatting xmlns:xm="http://schemas.microsoft.com/office/excel/2006/main">
          <x14:cfRule type="expression" priority="32" id="{B46EACC7-12EA-4086-92DB-C2B10B528F08}">
            <xm:f>$N$22&lt;&gt;Tabelas_fonte!$AQ$26</xm:f>
            <x14:dxf>
              <font>
                <color theme="0"/>
              </font>
              <fill>
                <patternFill>
                  <bgColor theme="0"/>
                </patternFill>
              </fill>
              <border>
                <right/>
                <top/>
                <bottom/>
              </border>
            </x14:dxf>
          </x14:cfRule>
          <xm:sqref>T22:AC22</xm:sqref>
        </x14:conditionalFormatting>
        <x14:conditionalFormatting xmlns:xm="http://schemas.microsoft.com/office/excel/2006/main">
          <x14:cfRule type="expression" priority="20" id="{93F96D91-10A7-430D-BB7F-E7690A93C6C7}">
            <xm:f>'Calculos(2)'!$AW$49&gt;0</xm:f>
            <x14:dxf>
              <font>
                <color theme="0"/>
              </font>
              <fill>
                <patternFill>
                  <bgColor theme="0"/>
                </patternFill>
              </fill>
              <border>
                <right/>
                <top/>
                <vertical/>
                <horizontal/>
              </border>
            </x14:dxf>
          </x14:cfRule>
          <xm:sqref>T17:AJ17</xm:sqref>
        </x14:conditionalFormatting>
        <x14:conditionalFormatting xmlns:xm="http://schemas.microsoft.com/office/excel/2006/main">
          <x14:cfRule type="expression" priority="23" id="{765D654A-C1EB-4EFA-8F76-CDB4734F4C60}">
            <xm:f>'Calculos(2)'!$AW$49=0</xm:f>
            <x14:dxf>
              <font>
                <color theme="0"/>
              </font>
              <fill>
                <patternFill>
                  <bgColor theme="0"/>
                </patternFill>
              </fill>
              <border>
                <right/>
                <bottom/>
                <vertical/>
                <horizontal/>
              </border>
            </x14:dxf>
          </x14:cfRule>
          <xm:sqref>T18:AJ18</xm:sqref>
        </x14:conditionalFormatting>
        <x14:conditionalFormatting xmlns:xm="http://schemas.microsoft.com/office/excel/2006/main">
          <x14:cfRule type="expression" priority="22" id="{5A3C2CDD-D263-44EA-960E-10ADAF24A1FA}">
            <xm:f>'Calculos(2)'!$AW$49=0</xm:f>
            <x14:dxf>
              <font>
                <color theme="0"/>
              </font>
              <fill>
                <patternFill>
                  <bgColor theme="0"/>
                </patternFill>
              </fill>
              <border>
                <right/>
                <top/>
                <vertical/>
                <horizontal/>
              </border>
            </x14:dxf>
          </x14:cfRule>
          <xm:sqref>T19:AK21</xm:sqref>
        </x14:conditionalFormatting>
        <x14:conditionalFormatting xmlns:xm="http://schemas.microsoft.com/office/excel/2006/main">
          <x14:cfRule type="expression" priority="3" id="{360464F3-E20A-4EB6-AB4A-7F8C02234AAC}">
            <xm:f>'Calculos(2)'!DM18=1</xm:f>
            <x14:dxf>
              <fill>
                <patternFill>
                  <bgColor theme="5" tint="0.59996337778862885"/>
                </patternFill>
              </fill>
            </x14:dxf>
          </x14:cfRule>
          <xm:sqref>Y102:Y108</xm:sqref>
        </x14:conditionalFormatting>
        <x14:conditionalFormatting xmlns:xm="http://schemas.microsoft.com/office/excel/2006/main">
          <x14:cfRule type="expression" priority="4" id="{D914B90A-3AE0-4F85-B9CC-8EA1F511035A}">
            <xm:f>'Calculos(2)'!$DN$18=1</xm:f>
            <x14:dxf>
              <fill>
                <patternFill>
                  <bgColor theme="5" tint="0.59996337778862885"/>
                </patternFill>
              </fill>
            </x14:dxf>
          </x14:cfRule>
          <xm:sqref>AA102:AA108</xm:sqref>
        </x14:conditionalFormatting>
        <x14:conditionalFormatting xmlns:xm="http://schemas.microsoft.com/office/excel/2006/main">
          <x14:cfRule type="expression" priority="24" id="{EB8FC647-D793-4AFF-B30F-0C24AE4EB2E5}">
            <xm:f>'Calculos(2)'!$AW$49=0</xm:f>
            <x14:dxf>
              <font>
                <color theme="0"/>
              </font>
              <fill>
                <patternFill>
                  <bgColor theme="0"/>
                </patternFill>
              </fill>
              <border>
                <right/>
                <top/>
                <bottom/>
                <vertical/>
                <horizontal/>
              </border>
            </x14:dxf>
          </x14:cfRule>
          <xm:sqref>AD22:AK22</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errorTitle="Valor inválido" error="A resposta deve ser Sim ou Não" xr:uid="{E01EC15E-19F5-4679-A4A6-D3866EC04FAC}">
          <x14:formula1>
            <xm:f>Tabelas_fonte!$Y$2:$Y$3</xm:f>
          </x14:formula1>
          <xm:sqref>AI129:AM132</xm:sqref>
        </x14:dataValidation>
        <x14:dataValidation type="list" allowBlank="1" showInputMessage="1" showErrorMessage="1" errorTitle="Resposta inválida" error="Escolha uma das opções disponíveis" xr:uid="{4D6D907A-556D-447A-AA63-F5F86E1E6A77}">
          <x14:formula1>
            <xm:f>Tabelas_fonte!$W$12:$W$14</xm:f>
          </x14:formula1>
          <xm:sqref>X83:AA83 N91:S91</xm:sqref>
        </x14:dataValidation>
        <x14:dataValidation type="list" allowBlank="1" showInputMessage="1" showErrorMessage="1" errorTitle="Resposta inválida" error="Escolha uma das opções disponíveis" xr:uid="{97B7B8DA-2304-47CB-BC2D-2D63FC9AB21E}">
          <x14:formula1>
            <xm:f>Tabelas_fonte!$AQ$30:$AQ$31</xm:f>
          </x14:formula1>
          <xm:sqref>N28:S28</xm:sqref>
        </x14:dataValidation>
        <x14:dataValidation type="list" allowBlank="1" showInputMessage="1" showErrorMessage="1" errorTitle="Resposta inválida" error="A resposta deve ser Sim ou Não" xr:uid="{0EAFA62C-F609-4C98-B2F8-0EE5A37F5838}">
          <x14:formula1>
            <xm:f>Tabelas_fonte!$Y$2:$Y$3</xm:f>
          </x14:formula1>
          <xm:sqref>Z25:AC25 N62:S62 N76:S76 N80:S80 N120:S122 AA122:AF122</xm:sqref>
        </x14:dataValidation>
        <x14:dataValidation type="list" allowBlank="1" showInputMessage="1" showErrorMessage="1" errorTitle="Resposta inválida" error="Escolha uma das opções disponíveis" xr:uid="{2C26E8FF-CDDC-45EF-8037-36824D535D65}">
          <x14:formula1>
            <xm:f>Tabelas_fonte!$AQ$25:$AQ$26</xm:f>
          </x14:formula1>
          <xm:sqref>N22:S22</xm:sqref>
        </x14:dataValidation>
        <x14:dataValidation type="list" allowBlank="1" showInputMessage="1" showErrorMessage="1" errorTitle="Resposta inválida" error="Escolha uma das opções disponíveis" xr:uid="{51DA9390-F731-46CA-B6E0-2066B9F12959}">
          <x14:formula1>
            <xm:f>Tabelas_fonte!$AQ$15:$AQ$18</xm:f>
          </x14:formula1>
          <xm:sqref>N19:S19</xm:sqref>
        </x14:dataValidation>
        <x14:dataValidation type="list" allowBlank="1" showInputMessage="1" showErrorMessage="1" errorTitle="Resposta invalida" error="Escolha uma das opções disponíveis" xr:uid="{B650BE5C-8C99-4FDA-A9EC-17F13A228D6D}">
          <x14:formula1>
            <xm:f>Tabelas_fonte!$AQ$10:$AQ$11</xm:f>
          </x14:formula1>
          <xm:sqref>N18:S18</xm:sqref>
        </x14:dataValidation>
        <x14:dataValidation type="list" allowBlank="1" showInputMessage="1" xr:uid="{6A009C2A-81B9-4C53-AC17-F92AD0B8C6D9}">
          <x14:formula1>
            <xm:f>Tabelas_fonte!$AQ$2:$AQ$6</xm:f>
          </x14:formula1>
          <xm:sqref>N13:AJ13</xm:sqref>
        </x14:dataValidation>
        <x14:dataValidation type="list" allowBlank="1" showInputMessage="1" showErrorMessage="1" errorTitle="Resposta inválida" error="A resposta de ser Sim ou Não." xr:uid="{92943EA2-4C89-425B-BB2F-442E8DA4CEF4}">
          <x14:formula1>
            <xm:f>Tabelas_fonte!$Y$2:$Y$3</xm:f>
          </x14:formula1>
          <xm:sqref>N12:S12</xm:sqref>
        </x14:dataValidation>
        <x14:dataValidation type="list" allowBlank="1" showInputMessage="1" showErrorMessage="1" xr:uid="{A845403B-962C-4693-BCBE-A51A29F5A165}">
          <x14:formula1>
            <xm:f>Tabelas_fonte!$Y$2:$Y$3</xm:f>
          </x14:formula1>
          <xm:sqref>N83:Q83</xm:sqref>
        </x14:dataValidation>
        <x14:dataValidation type="list" allowBlank="1" showInputMessage="1" showErrorMessage="1" errorTitle="Preenchimento incorreto" error="A categoria deve ser selecionada na lista disponível para o campo. (Categoria 1 ou Não classificado)" xr:uid="{4109FF8E-75B3-4A71-A665-9D5E37AD64AC}">
          <x14:formula1>
            <xm:f>Tabelas_fonte!$AQ$35:$AQ$37</xm:f>
          </x14:formula1>
          <xm:sqref>AG22:AJ22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DD26-830A-4C21-8F39-99525CEC81E4}">
  <sheetPr codeName="Planilha37">
    <tabColor theme="8" tint="0.59999389629810485"/>
  </sheetPr>
  <dimension ref="A1:AP145"/>
  <sheetViews>
    <sheetView showGridLines="0" topLeftCell="D1" workbookViewId="0">
      <selection activeCell="D1" sqref="D1"/>
    </sheetView>
  </sheetViews>
  <sheetFormatPr defaultColWidth="0" defaultRowHeight="15" customHeight="1" zeroHeight="1" x14ac:dyDescent="0.25"/>
  <cols>
    <col min="1" max="3" width="2.7109375" style="20" hidden="1" customWidth="1"/>
    <col min="4" max="5" width="2.7109375" style="20" customWidth="1"/>
    <col min="6" max="11" width="4.7109375" style="20" customWidth="1"/>
    <col min="12" max="30" width="5.7109375" style="20" customWidth="1"/>
    <col min="31" max="42" width="0" style="20" hidden="1" customWidth="1"/>
    <col min="43" max="16384" width="9.140625" style="20" hidden="1"/>
  </cols>
  <sheetData>
    <row r="1" spans="1:30" x14ac:dyDescent="0.25">
      <c r="A1" s="18"/>
      <c r="B1" s="18"/>
      <c r="C1" s="18"/>
      <c r="D1" s="1"/>
      <c r="E1" s="1"/>
      <c r="F1" s="1"/>
      <c r="G1" s="1"/>
      <c r="H1" s="1"/>
      <c r="I1" s="1"/>
      <c r="J1" s="1"/>
      <c r="K1" s="1"/>
      <c r="L1" s="1"/>
      <c r="M1" s="1"/>
      <c r="N1" s="1"/>
      <c r="O1" s="1"/>
      <c r="P1" s="1"/>
      <c r="Q1" s="1"/>
      <c r="R1" s="1"/>
      <c r="S1" s="1"/>
      <c r="T1" s="1"/>
      <c r="U1" s="1"/>
      <c r="V1" s="1"/>
      <c r="W1" s="1"/>
      <c r="X1" s="1"/>
      <c r="Y1" s="1"/>
      <c r="Z1" s="1"/>
      <c r="AA1" s="1"/>
      <c r="AB1" s="1"/>
      <c r="AC1" s="1"/>
      <c r="AD1" s="1"/>
    </row>
    <row r="2" spans="1:30" ht="15" customHeight="1" x14ac:dyDescent="0.25">
      <c r="A2" s="18"/>
      <c r="B2" s="18"/>
      <c r="C2" s="18"/>
      <c r="D2" s="1"/>
      <c r="E2" s="2"/>
      <c r="F2" s="1148" t="s">
        <v>6057</v>
      </c>
      <c r="G2" s="1148"/>
      <c r="H2" s="1148"/>
      <c r="I2" s="1148"/>
      <c r="J2" s="1148"/>
      <c r="K2" s="1148"/>
      <c r="L2" s="1148"/>
      <c r="M2" s="1148"/>
      <c r="N2" s="1148"/>
      <c r="O2" s="1148"/>
      <c r="P2" s="1148"/>
      <c r="Q2" s="1148"/>
      <c r="R2" s="1148"/>
      <c r="S2" s="1148"/>
      <c r="T2" s="1148"/>
      <c r="U2" s="1148"/>
      <c r="V2" s="1148"/>
      <c r="W2" s="1148"/>
      <c r="X2" s="1148"/>
      <c r="Y2" s="1148"/>
      <c r="Z2" s="1148"/>
      <c r="AA2" s="1148"/>
      <c r="AB2" s="158"/>
      <c r="AC2" s="158"/>
      <c r="AD2" s="158"/>
    </row>
    <row r="3" spans="1:30" ht="15" customHeight="1" x14ac:dyDescent="0.25">
      <c r="A3" s="18"/>
      <c r="B3" s="18"/>
      <c r="C3" s="18"/>
      <c r="D3" s="1"/>
      <c r="E3" s="2"/>
      <c r="F3" s="1148"/>
      <c r="G3" s="1148"/>
      <c r="H3" s="1148"/>
      <c r="I3" s="1148"/>
      <c r="J3" s="1148"/>
      <c r="K3" s="1148"/>
      <c r="L3" s="1148"/>
      <c r="M3" s="1148"/>
      <c r="N3" s="1148"/>
      <c r="O3" s="1148"/>
      <c r="P3" s="1148"/>
      <c r="Q3" s="1148"/>
      <c r="R3" s="1148"/>
      <c r="S3" s="1148"/>
      <c r="T3" s="1148"/>
      <c r="U3" s="1148"/>
      <c r="V3" s="1148"/>
      <c r="W3" s="1148"/>
      <c r="X3" s="1148"/>
      <c r="Y3" s="1148"/>
      <c r="Z3" s="1148"/>
      <c r="AA3" s="1148"/>
      <c r="AB3" s="158"/>
      <c r="AC3" s="158"/>
      <c r="AD3" s="158"/>
    </row>
    <row r="4" spans="1:30" ht="15" customHeight="1" x14ac:dyDescent="0.25">
      <c r="A4" s="18"/>
      <c r="B4" s="18"/>
      <c r="C4" s="18"/>
      <c r="D4" s="1"/>
      <c r="E4" s="2"/>
      <c r="F4" s="1148"/>
      <c r="G4" s="1148"/>
      <c r="H4" s="1148"/>
      <c r="I4" s="1148"/>
      <c r="J4" s="1148"/>
      <c r="K4" s="1148"/>
      <c r="L4" s="1148"/>
      <c r="M4" s="1148"/>
      <c r="N4" s="1148"/>
      <c r="O4" s="1148"/>
      <c r="P4" s="1148"/>
      <c r="Q4" s="1148"/>
      <c r="R4" s="1148"/>
      <c r="S4" s="1148"/>
      <c r="T4" s="1148"/>
      <c r="U4" s="1148"/>
      <c r="V4" s="1148"/>
      <c r="W4" s="1148"/>
      <c r="X4" s="1148"/>
      <c r="Y4" s="1148"/>
      <c r="Z4" s="1148"/>
      <c r="AA4" s="1148"/>
      <c r="AB4" s="158"/>
      <c r="AC4" s="158"/>
      <c r="AD4" s="158"/>
    </row>
    <row r="5" spans="1:30" ht="15" customHeight="1" x14ac:dyDescent="0.25">
      <c r="A5" s="18"/>
      <c r="B5" s="18"/>
      <c r="C5" s="18"/>
      <c r="D5" s="1"/>
      <c r="E5" s="2"/>
      <c r="F5" s="1148"/>
      <c r="G5" s="1148"/>
      <c r="H5" s="1148"/>
      <c r="I5" s="1148"/>
      <c r="J5" s="1148"/>
      <c r="K5" s="1148"/>
      <c r="L5" s="1148"/>
      <c r="M5" s="1148"/>
      <c r="N5" s="1148"/>
      <c r="O5" s="1148"/>
      <c r="P5" s="1148"/>
      <c r="Q5" s="1148"/>
      <c r="R5" s="1148"/>
      <c r="S5" s="1148"/>
      <c r="T5" s="1148"/>
      <c r="U5" s="1148"/>
      <c r="V5" s="1148"/>
      <c r="W5" s="1148"/>
      <c r="X5" s="1148"/>
      <c r="Y5" s="1148"/>
      <c r="Z5" s="1148"/>
      <c r="AA5" s="1148"/>
      <c r="AB5" s="158"/>
      <c r="AC5" s="158"/>
      <c r="AD5" s="158"/>
    </row>
    <row r="6" spans="1:30" ht="15" customHeight="1" x14ac:dyDescent="0.25">
      <c r="A6" s="18"/>
      <c r="B6" s="18"/>
      <c r="C6" s="18"/>
      <c r="D6" s="1"/>
      <c r="E6" s="2"/>
      <c r="F6" s="1148"/>
      <c r="G6" s="1148"/>
      <c r="H6" s="1148"/>
      <c r="I6" s="1148"/>
      <c r="J6" s="1148"/>
      <c r="K6" s="1148"/>
      <c r="L6" s="1148"/>
      <c r="M6" s="1148"/>
      <c r="N6" s="1148"/>
      <c r="O6" s="1148"/>
      <c r="P6" s="1148"/>
      <c r="Q6" s="1148"/>
      <c r="R6" s="1148"/>
      <c r="S6" s="1148"/>
      <c r="T6" s="1148"/>
      <c r="U6" s="1148"/>
      <c r="V6" s="1148"/>
      <c r="W6" s="1148"/>
      <c r="X6" s="1148"/>
      <c r="Y6" s="1148"/>
      <c r="Z6" s="1148"/>
      <c r="AA6" s="1148"/>
      <c r="AB6" s="158"/>
      <c r="AC6" s="158"/>
      <c r="AD6" s="158"/>
    </row>
    <row r="7" spans="1:30" ht="15" customHeight="1" x14ac:dyDescent="0.25">
      <c r="A7" s="18"/>
      <c r="B7" s="18"/>
      <c r="C7" s="18"/>
      <c r="D7" s="1"/>
      <c r="E7" s="2"/>
      <c r="F7" s="1148"/>
      <c r="G7" s="1148"/>
      <c r="H7" s="1148"/>
      <c r="I7" s="1148"/>
      <c r="J7" s="1148"/>
      <c r="K7" s="1148"/>
      <c r="L7" s="1148"/>
      <c r="M7" s="1148"/>
      <c r="N7" s="1148"/>
      <c r="O7" s="1148"/>
      <c r="P7" s="1148"/>
      <c r="Q7" s="1148"/>
      <c r="R7" s="1148"/>
      <c r="S7" s="1148"/>
      <c r="T7" s="1148"/>
      <c r="U7" s="1148"/>
      <c r="V7" s="1148"/>
      <c r="W7" s="1148"/>
      <c r="X7" s="1148"/>
      <c r="Y7" s="1148"/>
      <c r="Z7" s="1148"/>
      <c r="AA7" s="1148"/>
      <c r="AB7" s="158"/>
      <c r="AC7" s="158"/>
      <c r="AD7" s="158"/>
    </row>
    <row r="8" spans="1:30" ht="15" hidden="1" customHeight="1" x14ac:dyDescent="0.25">
      <c r="A8" s="18"/>
      <c r="B8" s="18"/>
      <c r="C8" s="18"/>
      <c r="D8" s="1"/>
      <c r="E8" s="1"/>
      <c r="F8" s="1"/>
      <c r="G8" s="1"/>
      <c r="H8" s="1"/>
      <c r="I8" s="1"/>
      <c r="J8" s="1"/>
      <c r="K8" s="1"/>
      <c r="L8" s="1"/>
      <c r="M8" s="1"/>
      <c r="N8" s="1"/>
      <c r="O8" s="1"/>
      <c r="P8" s="1"/>
      <c r="Q8" s="1"/>
      <c r="R8" s="1"/>
      <c r="S8" s="1"/>
      <c r="T8" s="1"/>
      <c r="U8" s="1"/>
      <c r="V8" s="1"/>
      <c r="W8" s="1"/>
      <c r="X8" s="1"/>
      <c r="Y8" s="1"/>
      <c r="Z8" s="1"/>
      <c r="AA8" s="1"/>
      <c r="AB8" s="1"/>
      <c r="AC8" s="1"/>
      <c r="AD8" s="1"/>
    </row>
    <row r="9" spans="1:30" ht="15" hidden="1" customHeight="1" x14ac:dyDescent="0.25">
      <c r="A9" s="18"/>
      <c r="B9" s="18"/>
      <c r="C9" s="18"/>
      <c r="D9" s="1"/>
      <c r="E9" s="1"/>
      <c r="F9" s="370"/>
      <c r="G9" s="370"/>
      <c r="H9" s="1"/>
      <c r="I9" s="1"/>
      <c r="J9" s="1"/>
      <c r="K9" s="1"/>
      <c r="L9" s="1"/>
      <c r="M9" s="1"/>
      <c r="N9" s="1"/>
      <c r="O9" s="1"/>
      <c r="P9" s="1"/>
      <c r="Q9" s="1"/>
      <c r="R9" s="1"/>
      <c r="S9" s="1"/>
      <c r="T9" s="1"/>
      <c r="U9" s="1"/>
      <c r="V9" s="1"/>
      <c r="W9" s="1"/>
      <c r="X9" s="1"/>
      <c r="Y9" s="1"/>
      <c r="Z9" s="1"/>
      <c r="AA9" s="1"/>
      <c r="AB9" s="1"/>
      <c r="AC9" s="1"/>
      <c r="AD9" s="1"/>
    </row>
    <row r="10" spans="1:30" ht="15" hidden="1" customHeight="1" x14ac:dyDescent="0.25">
      <c r="A10" s="18"/>
      <c r="B10" s="18"/>
      <c r="C10" s="18"/>
      <c r="D10" s="1"/>
      <c r="E10" s="1"/>
      <c r="F10" s="370"/>
      <c r="G10" s="370"/>
      <c r="H10" s="1"/>
      <c r="I10" s="1"/>
      <c r="J10" s="1"/>
      <c r="K10" s="1"/>
      <c r="L10" s="1"/>
      <c r="M10" s="1"/>
      <c r="N10" s="1"/>
      <c r="O10" s="1"/>
      <c r="P10" s="1"/>
      <c r="Q10" s="1"/>
      <c r="R10" s="1"/>
      <c r="S10" s="1"/>
      <c r="T10" s="1"/>
      <c r="U10" s="1"/>
      <c r="V10" s="1"/>
      <c r="W10" s="1"/>
      <c r="X10" s="1"/>
      <c r="Y10" s="1"/>
      <c r="Z10" s="1"/>
      <c r="AA10" s="1"/>
      <c r="AB10" s="1"/>
      <c r="AC10" s="1"/>
      <c r="AD10" s="1"/>
    </row>
    <row r="11" spans="1:30" ht="15" customHeight="1" x14ac:dyDescent="0.25">
      <c r="A11" s="18"/>
      <c r="B11" s="18"/>
      <c r="C11" s="18"/>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ht="20.100000000000001" customHeight="1" x14ac:dyDescent="0.25">
      <c r="A12" s="18"/>
      <c r="B12" s="18"/>
      <c r="C12" s="18"/>
      <c r="D12" s="1"/>
      <c r="E12" s="2"/>
      <c r="F12" s="2"/>
      <c r="G12" s="2"/>
      <c r="H12" s="2"/>
      <c r="I12" s="2"/>
      <c r="J12" s="2"/>
      <c r="K12" s="2"/>
      <c r="L12" s="2"/>
      <c r="M12" s="2"/>
      <c r="N12" s="2"/>
      <c r="O12" s="2"/>
      <c r="P12" s="2"/>
      <c r="Q12" s="2"/>
      <c r="R12" s="2"/>
      <c r="S12" s="2"/>
      <c r="T12" s="2"/>
      <c r="U12" s="2"/>
      <c r="V12" s="2"/>
      <c r="W12" s="2"/>
      <c r="X12" s="2"/>
      <c r="Y12" s="2"/>
      <c r="Z12" s="3"/>
      <c r="AA12" s="2"/>
      <c r="AB12" s="2"/>
    </row>
    <row r="13" spans="1:30" ht="20.100000000000001" customHeight="1" x14ac:dyDescent="0.25">
      <c r="A13" s="18"/>
      <c r="B13" s="18"/>
      <c r="C13" s="18"/>
      <c r="D13" s="1"/>
      <c r="E13" s="2"/>
      <c r="F13" s="1560" t="s">
        <v>8115</v>
      </c>
      <c r="G13" s="1560"/>
      <c r="H13" s="1560"/>
      <c r="I13" s="1012" t="s">
        <v>225</v>
      </c>
      <c r="J13" s="1012"/>
      <c r="K13" s="1012"/>
      <c r="L13" s="1012"/>
      <c r="M13" s="1567"/>
      <c r="N13" s="1567"/>
      <c r="O13" s="1567"/>
      <c r="P13" s="1568"/>
      <c r="Q13" s="984" t="s">
        <v>5761</v>
      </c>
      <c r="R13" s="985"/>
      <c r="S13" s="985"/>
      <c r="T13" s="986"/>
      <c r="U13" s="1580"/>
      <c r="V13" s="1580"/>
    </row>
    <row r="14" spans="1:30" s="372" customFormat="1" ht="39.950000000000003" customHeight="1" x14ac:dyDescent="0.25">
      <c r="A14" s="371"/>
      <c r="B14" s="371"/>
      <c r="C14" s="371"/>
      <c r="D14" s="1"/>
      <c r="E14" s="104"/>
      <c r="F14" s="1560"/>
      <c r="G14" s="1560"/>
      <c r="H14" s="1560"/>
      <c r="I14" s="1012" t="s">
        <v>6009</v>
      </c>
      <c r="J14" s="1012"/>
      <c r="K14" s="1012"/>
      <c r="L14" s="1012"/>
      <c r="M14" s="1554" t="s">
        <v>263</v>
      </c>
      <c r="N14" s="1554"/>
      <c r="O14" s="1554"/>
      <c r="P14" s="1554"/>
      <c r="Q14" s="1555" t="s">
        <v>8116</v>
      </c>
      <c r="R14" s="1555"/>
      <c r="S14" s="1555"/>
      <c r="T14" s="1555"/>
      <c r="U14" s="1550" t="s">
        <v>122</v>
      </c>
      <c r="V14" s="1550"/>
      <c r="W14" s="1550"/>
      <c r="X14" s="1550"/>
      <c r="Y14" s="1550" t="s">
        <v>194</v>
      </c>
      <c r="Z14" s="1550"/>
      <c r="AA14" s="1550"/>
      <c r="AB14" s="1550"/>
    </row>
    <row r="15" spans="1:30" ht="20.100000000000001" customHeight="1" x14ac:dyDescent="0.25">
      <c r="A15" s="18"/>
      <c r="B15" s="18"/>
      <c r="C15" s="18"/>
      <c r="D15" s="1"/>
      <c r="E15" s="2"/>
      <c r="F15" s="1560"/>
      <c r="G15" s="1560"/>
      <c r="H15" s="1560"/>
      <c r="I15" s="1012"/>
      <c r="J15" s="1012"/>
      <c r="K15" s="1012"/>
      <c r="L15" s="1012"/>
      <c r="M15" s="1551" t="str">
        <f ca="1">'Calculos(2)'!$DL$30</f>
        <v>-</v>
      </c>
      <c r="N15" s="1551"/>
      <c r="O15" s="1551" t="str">
        <f ca="1">'Calculos(2)'!$DM$30</f>
        <v>-</v>
      </c>
      <c r="P15" s="1551"/>
      <c r="Q15" s="1551" t="str">
        <f ca="1">'Calculos(2)'!$DL$30</f>
        <v>-</v>
      </c>
      <c r="R15" s="1551"/>
      <c r="S15" s="1551" t="str">
        <f ca="1">'Calculos(2)'!$DM$30</f>
        <v>-</v>
      </c>
      <c r="T15" s="1551"/>
      <c r="U15" s="1551" t="str">
        <f ca="1">'Calculos(2)'!$DL$30</f>
        <v>-</v>
      </c>
      <c r="V15" s="1551"/>
      <c r="W15" s="1551" t="str">
        <f ca="1">'Calculos(2)'!$DM$30</f>
        <v>-</v>
      </c>
      <c r="X15" s="1551"/>
      <c r="Y15" s="1551" t="str">
        <f ca="1">'Calculos(2)'!$DL$30</f>
        <v>-</v>
      </c>
      <c r="Z15" s="1551"/>
      <c r="AA15" s="1551" t="str">
        <f ca="1">'Calculos(2)'!$DM$30</f>
        <v>-</v>
      </c>
      <c r="AB15" s="1551"/>
    </row>
    <row r="16" spans="1:30" ht="20.100000000000001" customHeight="1" x14ac:dyDescent="0.25">
      <c r="A16" s="18"/>
      <c r="B16" s="18"/>
      <c r="C16" s="18"/>
      <c r="D16" s="1"/>
      <c r="E16" s="2"/>
      <c r="F16" s="1560"/>
      <c r="G16" s="1560"/>
      <c r="H16" s="1560"/>
      <c r="I16" s="1569" t="s">
        <v>152</v>
      </c>
      <c r="J16" s="1569"/>
      <c r="K16" s="1569"/>
      <c r="L16" s="1569"/>
      <c r="M16" s="1556"/>
      <c r="N16" s="1556"/>
      <c r="O16" s="1556"/>
      <c r="P16" s="1556"/>
      <c r="Q16" s="1552"/>
      <c r="R16" s="1553"/>
      <c r="S16" s="1552"/>
      <c r="T16" s="1553"/>
      <c r="U16" s="1559"/>
      <c r="V16" s="1559"/>
      <c r="W16" s="1559"/>
      <c r="X16" s="1559"/>
      <c r="Y16" s="1549" t="str">
        <f ca="1">'Calculos(2)'!DD31</f>
        <v/>
      </c>
      <c r="Z16" s="1549"/>
      <c r="AA16" s="1549" t="str">
        <f ca="1">'Calculos(2)'!DE31</f>
        <v/>
      </c>
      <c r="AB16" s="1549"/>
    </row>
    <row r="17" spans="1:30" ht="20.100000000000001" customHeight="1" x14ac:dyDescent="0.25">
      <c r="A17" s="18"/>
      <c r="B17" s="18"/>
      <c r="C17" s="18"/>
      <c r="D17" s="1"/>
      <c r="E17" s="2"/>
      <c r="F17" s="1560"/>
      <c r="G17" s="1560"/>
      <c r="H17" s="1560"/>
      <c r="I17" s="1569" t="s">
        <v>153</v>
      </c>
      <c r="J17" s="1569"/>
      <c r="K17" s="1569"/>
      <c r="L17" s="1569"/>
      <c r="M17" s="1556"/>
      <c r="N17" s="1556"/>
      <c r="O17" s="1556"/>
      <c r="P17" s="1556"/>
      <c r="Q17" s="1552"/>
      <c r="R17" s="1553"/>
      <c r="S17" s="1552"/>
      <c r="T17" s="1553"/>
      <c r="U17" s="1559"/>
      <c r="V17" s="1559"/>
      <c r="W17" s="1559"/>
      <c r="X17" s="1559"/>
      <c r="Y17" s="1549" t="str">
        <f ca="1">'Calculos(2)'!DD32</f>
        <v/>
      </c>
      <c r="Z17" s="1549"/>
      <c r="AA17" s="1549" t="str">
        <f ca="1">'Calculos(2)'!DE32</f>
        <v/>
      </c>
      <c r="AB17" s="1549"/>
    </row>
    <row r="18" spans="1:30" ht="20.100000000000001" customHeight="1" x14ac:dyDescent="0.25">
      <c r="A18" s="18"/>
      <c r="B18" s="18"/>
      <c r="C18" s="18"/>
      <c r="D18" s="1"/>
      <c r="E18" s="2"/>
      <c r="F18" s="1560"/>
      <c r="G18" s="1560"/>
      <c r="H18" s="1560"/>
      <c r="I18" s="1569" t="s">
        <v>154</v>
      </c>
      <c r="J18" s="1569"/>
      <c r="K18" s="1569"/>
      <c r="L18" s="1569"/>
      <c r="M18" s="1556"/>
      <c r="N18" s="1556"/>
      <c r="O18" s="1556"/>
      <c r="P18" s="1556"/>
      <c r="Q18" s="1552"/>
      <c r="R18" s="1553"/>
      <c r="S18" s="1552"/>
      <c r="T18" s="1553"/>
      <c r="U18" s="1559"/>
      <c r="V18" s="1559"/>
      <c r="W18" s="1559"/>
      <c r="X18" s="1559"/>
      <c r="Y18" s="1549" t="str">
        <f ca="1">'Calculos(2)'!DD33</f>
        <v/>
      </c>
      <c r="Z18" s="1549"/>
      <c r="AA18" s="1549" t="str">
        <f ca="1">'Calculos(2)'!DE33</f>
        <v/>
      </c>
      <c r="AB18" s="1549"/>
    </row>
    <row r="19" spans="1:30" ht="20.100000000000001" customHeight="1" x14ac:dyDescent="0.25">
      <c r="A19" s="18"/>
      <c r="B19" s="18"/>
      <c r="C19" s="18"/>
      <c r="D19" s="1"/>
      <c r="E19" s="2"/>
      <c r="F19" s="1560"/>
      <c r="G19" s="1560"/>
      <c r="H19" s="1560"/>
      <c r="I19" s="1569" t="s">
        <v>155</v>
      </c>
      <c r="J19" s="1569"/>
      <c r="K19" s="1569"/>
      <c r="L19" s="1569"/>
      <c r="M19" s="1556"/>
      <c r="N19" s="1556"/>
      <c r="O19" s="1556"/>
      <c r="P19" s="1556"/>
      <c r="Q19" s="1552"/>
      <c r="R19" s="1553"/>
      <c r="S19" s="1552"/>
      <c r="T19" s="1553"/>
      <c r="U19" s="1559"/>
      <c r="V19" s="1559"/>
      <c r="W19" s="1559"/>
      <c r="X19" s="1559"/>
      <c r="Y19" s="1549" t="str">
        <f ca="1">'Calculos(2)'!DD34</f>
        <v/>
      </c>
      <c r="Z19" s="1549"/>
      <c r="AA19" s="1549" t="str">
        <f ca="1">'Calculos(2)'!DE34</f>
        <v/>
      </c>
      <c r="AB19" s="1549"/>
    </row>
    <row r="20" spans="1:30" ht="20.100000000000001" customHeight="1" x14ac:dyDescent="0.25">
      <c r="A20" s="18"/>
      <c r="B20" s="18"/>
      <c r="C20" s="18"/>
      <c r="D20" s="1"/>
      <c r="E20" s="2"/>
      <c r="F20" s="1560"/>
      <c r="G20" s="1560"/>
      <c r="H20" s="1560"/>
      <c r="I20" s="1569" t="s">
        <v>156</v>
      </c>
      <c r="J20" s="1569"/>
      <c r="K20" s="1569"/>
      <c r="L20" s="1569"/>
      <c r="M20" s="1556"/>
      <c r="N20" s="1556"/>
      <c r="O20" s="1556"/>
      <c r="P20" s="1556"/>
      <c r="Q20" s="1552"/>
      <c r="R20" s="1553"/>
      <c r="S20" s="1552"/>
      <c r="T20" s="1553"/>
      <c r="U20" s="1559"/>
      <c r="V20" s="1559"/>
      <c r="W20" s="1559"/>
      <c r="X20" s="1559"/>
      <c r="Y20" s="1549" t="str">
        <f ca="1">'Calculos(2)'!DD35</f>
        <v/>
      </c>
      <c r="Z20" s="1549"/>
      <c r="AA20" s="1549" t="str">
        <f ca="1">'Calculos(2)'!DE35</f>
        <v/>
      </c>
      <c r="AB20" s="1549"/>
    </row>
    <row r="21" spans="1:30" ht="20.100000000000001" customHeight="1" x14ac:dyDescent="0.25">
      <c r="A21" s="18"/>
      <c r="B21" s="18"/>
      <c r="C21" s="18"/>
      <c r="D21" s="1"/>
      <c r="E21" s="2"/>
      <c r="F21" s="1560"/>
      <c r="G21" s="1560"/>
      <c r="H21" s="1560"/>
      <c r="I21" s="1569" t="s">
        <v>157</v>
      </c>
      <c r="J21" s="1569"/>
      <c r="K21" s="1569"/>
      <c r="L21" s="1569"/>
      <c r="M21" s="1556"/>
      <c r="N21" s="1556"/>
      <c r="O21" s="1556"/>
      <c r="P21" s="1556"/>
      <c r="Q21" s="1552"/>
      <c r="R21" s="1553"/>
      <c r="S21" s="1552"/>
      <c r="T21" s="1553"/>
      <c r="U21" s="1559"/>
      <c r="V21" s="1559"/>
      <c r="W21" s="1559"/>
      <c r="X21" s="1559"/>
      <c r="Y21" s="1549" t="str">
        <f ca="1">'Calculos(2)'!DD36</f>
        <v/>
      </c>
      <c r="Z21" s="1549"/>
      <c r="AA21" s="1549" t="str">
        <f ca="1">'Calculos(2)'!DE36</f>
        <v/>
      </c>
      <c r="AB21" s="1549"/>
    </row>
    <row r="22" spans="1:30" ht="20.100000000000001" customHeight="1" x14ac:dyDescent="0.25">
      <c r="A22" s="18"/>
      <c r="B22" s="18"/>
      <c r="C22" s="18"/>
      <c r="D22" s="1"/>
      <c r="E22" s="2"/>
      <c r="F22" s="1560"/>
      <c r="G22" s="1560"/>
      <c r="H22" s="1560"/>
      <c r="I22" s="1569" t="s">
        <v>158</v>
      </c>
      <c r="J22" s="1569"/>
      <c r="K22" s="1569"/>
      <c r="L22" s="1569"/>
      <c r="M22" s="1556"/>
      <c r="N22" s="1556"/>
      <c r="O22" s="1556"/>
      <c r="P22" s="1556"/>
      <c r="Q22" s="1552"/>
      <c r="R22" s="1553"/>
      <c r="S22" s="1552"/>
      <c r="T22" s="1553"/>
      <c r="U22" s="1559"/>
      <c r="V22" s="1559"/>
      <c r="W22" s="1559"/>
      <c r="X22" s="1559"/>
      <c r="Y22" s="1549" t="str">
        <f ca="1">'Calculos(2)'!DD37</f>
        <v/>
      </c>
      <c r="Z22" s="1549"/>
      <c r="AA22" s="1549" t="str">
        <f ca="1">'Calculos(2)'!DE37</f>
        <v/>
      </c>
      <c r="AB22" s="1549"/>
    </row>
    <row r="23" spans="1:30" ht="20.100000000000001" customHeight="1" x14ac:dyDescent="0.25">
      <c r="A23" s="18"/>
      <c r="B23" s="18"/>
      <c r="C23" s="18"/>
      <c r="D23" s="1"/>
      <c r="E23" s="2"/>
      <c r="F23" s="1560"/>
      <c r="G23" s="1560"/>
      <c r="H23" s="1560"/>
      <c r="I23" s="1569" t="s">
        <v>159</v>
      </c>
      <c r="J23" s="1569"/>
      <c r="K23" s="1569"/>
      <c r="L23" s="1569"/>
      <c r="M23" s="1556"/>
      <c r="N23" s="1556"/>
      <c r="O23" s="1556"/>
      <c r="P23" s="1556"/>
      <c r="Q23" s="1552"/>
      <c r="R23" s="1553"/>
      <c r="S23" s="1552"/>
      <c r="T23" s="1553"/>
      <c r="U23" s="1559"/>
      <c r="V23" s="1559"/>
      <c r="W23" s="1559"/>
      <c r="X23" s="1559"/>
      <c r="Y23" s="1549" t="str">
        <f ca="1">'Calculos(2)'!DD38</f>
        <v/>
      </c>
      <c r="Z23" s="1549"/>
      <c r="AA23" s="1549" t="str">
        <f ca="1">'Calculos(2)'!DE38</f>
        <v/>
      </c>
      <c r="AB23" s="1549"/>
    </row>
    <row r="24" spans="1:30" ht="20.100000000000001" customHeight="1" x14ac:dyDescent="0.25">
      <c r="A24" s="18"/>
      <c r="B24" s="18"/>
      <c r="C24" s="18"/>
      <c r="D24" s="1"/>
      <c r="E24" s="2"/>
      <c r="F24" s="1560"/>
      <c r="G24" s="1560"/>
      <c r="H24" s="1560"/>
      <c r="I24" s="1569" t="s">
        <v>160</v>
      </c>
      <c r="J24" s="1569"/>
      <c r="K24" s="1569"/>
      <c r="L24" s="1569"/>
      <c r="M24" s="1556"/>
      <c r="N24" s="1556"/>
      <c r="O24" s="1556"/>
      <c r="P24" s="1556"/>
      <c r="Q24" s="1552"/>
      <c r="R24" s="1553"/>
      <c r="S24" s="1552"/>
      <c r="T24" s="1553"/>
      <c r="U24" s="1559"/>
      <c r="V24" s="1559"/>
      <c r="W24" s="1559"/>
      <c r="X24" s="1559"/>
      <c r="Y24" s="1549" t="str">
        <f ca="1">'Calculos(2)'!DD39</f>
        <v/>
      </c>
      <c r="Z24" s="1549"/>
      <c r="AA24" s="1549" t="str">
        <f ca="1">'Calculos(2)'!DE39</f>
        <v/>
      </c>
      <c r="AB24" s="1549"/>
    </row>
    <row r="25" spans="1:30" ht="20.100000000000001" customHeight="1" x14ac:dyDescent="0.25">
      <c r="A25" s="18"/>
      <c r="B25" s="18"/>
      <c r="C25" s="18"/>
      <c r="D25" s="1"/>
      <c r="E25" s="2"/>
      <c r="F25" s="1560"/>
      <c r="G25" s="1560"/>
      <c r="H25" s="1560"/>
      <c r="I25" s="1569" t="s">
        <v>161</v>
      </c>
      <c r="J25" s="1569"/>
      <c r="K25" s="1569"/>
      <c r="L25" s="1569"/>
      <c r="M25" s="1556"/>
      <c r="N25" s="1556"/>
      <c r="O25" s="1556"/>
      <c r="P25" s="1556"/>
      <c r="Q25" s="1552"/>
      <c r="R25" s="1553"/>
      <c r="S25" s="1552"/>
      <c r="T25" s="1553"/>
      <c r="U25" s="1559"/>
      <c r="V25" s="1559"/>
      <c r="W25" s="1559"/>
      <c r="X25" s="1559"/>
      <c r="Y25" s="1549" t="str">
        <f ca="1">'Calculos(2)'!DD40</f>
        <v/>
      </c>
      <c r="Z25" s="1549"/>
      <c r="AA25" s="1549" t="str">
        <f ca="1">'Calculos(2)'!DE40</f>
        <v/>
      </c>
      <c r="AB25" s="1549"/>
    </row>
    <row r="26" spans="1:30" ht="20.100000000000001" customHeight="1" x14ac:dyDescent="0.25">
      <c r="A26" s="18"/>
      <c r="B26" s="18"/>
      <c r="C26" s="18"/>
      <c r="D26" s="1"/>
      <c r="E26" s="2"/>
      <c r="F26" s="2"/>
      <c r="G26" s="2"/>
      <c r="H26" s="2"/>
      <c r="I26" s="2"/>
      <c r="J26" s="2"/>
      <c r="K26" s="2"/>
      <c r="L26" s="2"/>
      <c r="M26" s="2"/>
      <c r="N26" s="2"/>
      <c r="O26" s="2"/>
      <c r="P26" s="2"/>
      <c r="Q26" s="2"/>
      <c r="R26" s="2"/>
      <c r="S26" s="2"/>
      <c r="T26" s="2"/>
      <c r="U26" s="2"/>
      <c r="V26" s="2"/>
      <c r="W26" s="2"/>
      <c r="X26" s="2"/>
      <c r="Y26" s="2"/>
      <c r="Z26" s="2"/>
      <c r="AA26" s="2"/>
      <c r="AB26" s="2"/>
      <c r="AC26" s="2"/>
      <c r="AD26" s="2"/>
    </row>
    <row r="27" spans="1:30" ht="20.100000000000001" customHeight="1" x14ac:dyDescent="0.25">
      <c r="A27" s="18"/>
      <c r="B27" s="18"/>
      <c r="C27" s="18"/>
      <c r="D27" s="1"/>
      <c r="E27" s="2"/>
      <c r="F27" s="58"/>
      <c r="G27" s="58"/>
      <c r="H27" s="58"/>
      <c r="I27" s="373"/>
      <c r="J27" s="373"/>
      <c r="K27" s="373"/>
      <c r="L27" s="373"/>
      <c r="M27" s="374"/>
      <c r="N27" s="374"/>
      <c r="O27" s="374"/>
      <c r="P27" s="374"/>
      <c r="Q27" s="374"/>
      <c r="R27" s="374"/>
      <c r="S27" s="374"/>
      <c r="T27" s="374"/>
      <c r="U27" s="373"/>
      <c r="V27" s="373"/>
      <c r="W27" s="373"/>
      <c r="X27" s="373"/>
      <c r="Y27" s="374"/>
      <c r="Z27" s="374"/>
      <c r="AA27" s="374"/>
      <c r="AB27" s="374"/>
    </row>
    <row r="28" spans="1:30" ht="20.100000000000001" customHeight="1" x14ac:dyDescent="0.25">
      <c r="A28" s="18"/>
      <c r="B28" s="18"/>
      <c r="C28" s="18"/>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20.100000000000001" customHeight="1" x14ac:dyDescent="0.25">
      <c r="A29" s="18"/>
      <c r="B29" s="18"/>
      <c r="C29" s="18"/>
      <c r="D29" s="1"/>
      <c r="E29" s="314"/>
      <c r="F29" s="314"/>
      <c r="G29" s="314"/>
      <c r="H29" s="314"/>
      <c r="I29" s="314"/>
      <c r="J29" s="314"/>
      <c r="K29" s="314"/>
      <c r="L29" s="314"/>
      <c r="M29" s="314"/>
      <c r="N29" s="314"/>
      <c r="O29" s="314"/>
      <c r="P29" s="314"/>
      <c r="Q29" s="314"/>
      <c r="R29" s="314"/>
      <c r="S29" s="314"/>
      <c r="T29" s="314"/>
      <c r="U29" s="314"/>
      <c r="V29" s="314"/>
      <c r="W29" s="314"/>
      <c r="X29" s="314"/>
      <c r="Y29" s="314"/>
      <c r="Z29" s="2"/>
      <c r="AA29" s="2"/>
      <c r="AB29" s="2"/>
      <c r="AC29" s="2"/>
      <c r="AD29" s="2"/>
    </row>
    <row r="30" spans="1:30" s="2" customFormat="1" ht="20.100000000000001" customHeight="1" x14ac:dyDescent="0.25">
      <c r="A30" s="18"/>
      <c r="B30" s="18"/>
      <c r="C30" s="18"/>
      <c r="D30" s="1"/>
      <c r="E30" s="314"/>
      <c r="F30" s="1558" t="s">
        <v>368</v>
      </c>
      <c r="G30" s="1558"/>
      <c r="H30" s="1558"/>
      <c r="I30" s="1538" t="s">
        <v>225</v>
      </c>
      <c r="J30" s="1538"/>
      <c r="K30" s="1538"/>
      <c r="L30" s="1538"/>
      <c r="M30" s="1571" cm="1">
        <f t="array" aca="1" ref="M30" ca="1">INDIRECT("'Micronucleo(2)'!Z26",1)</f>
        <v>0</v>
      </c>
      <c r="N30" s="1571"/>
      <c r="O30" s="1571"/>
      <c r="P30" s="1571"/>
      <c r="Q30" s="20"/>
      <c r="R30" s="20"/>
      <c r="S30" s="20"/>
      <c r="T30" s="20"/>
      <c r="U30" s="20"/>
      <c r="V30" s="20"/>
      <c r="W30" s="20"/>
      <c r="X30" s="20"/>
      <c r="Y30" s="314"/>
    </row>
    <row r="31" spans="1:30" s="2" customFormat="1" ht="39.950000000000003" customHeight="1" x14ac:dyDescent="0.25">
      <c r="A31" s="18"/>
      <c r="B31" s="18"/>
      <c r="C31" s="18"/>
      <c r="D31" s="1"/>
      <c r="E31" s="314"/>
      <c r="F31" s="1558"/>
      <c r="G31" s="1558"/>
      <c r="H31" s="1558"/>
      <c r="I31" s="1012" t="s">
        <v>6009</v>
      </c>
      <c r="J31" s="1012"/>
      <c r="K31" s="1012"/>
      <c r="L31" s="1012"/>
      <c r="M31" s="1561" t="s">
        <v>263</v>
      </c>
      <c r="N31" s="1562"/>
      <c r="O31" s="1562"/>
      <c r="P31" s="1563"/>
      <c r="Q31" s="1586" t="s">
        <v>8116</v>
      </c>
      <c r="R31" s="1587"/>
      <c r="S31" s="1587"/>
      <c r="T31" s="1588"/>
      <c r="U31" s="1550" t="s">
        <v>122</v>
      </c>
      <c r="V31" s="1550"/>
      <c r="W31" s="1550"/>
      <c r="X31" s="1550"/>
      <c r="Y31" s="1550" t="s">
        <v>194</v>
      </c>
      <c r="Z31" s="1550"/>
      <c r="AA31" s="1550"/>
      <c r="AB31" s="1550"/>
      <c r="AC31" s="20"/>
      <c r="AD31" s="20"/>
    </row>
    <row r="32" spans="1:30" s="104" customFormat="1" ht="39.950000000000003" customHeight="1" x14ac:dyDescent="0.25">
      <c r="A32" s="371"/>
      <c r="B32" s="371"/>
      <c r="C32" s="371"/>
      <c r="D32" s="1"/>
      <c r="E32" s="315"/>
      <c r="F32" s="1558"/>
      <c r="G32" s="1558"/>
      <c r="H32" s="1558"/>
      <c r="I32" s="1012"/>
      <c r="J32" s="1012"/>
      <c r="K32" s="1012"/>
      <c r="L32" s="1012"/>
      <c r="M32" s="1551" t="str">
        <f ca="1">'Calculos(2)'!$DL$30</f>
        <v>-</v>
      </c>
      <c r="N32" s="1551"/>
      <c r="O32" s="1551" t="str">
        <f ca="1">'Calculos(2)'!$DM$30</f>
        <v>-</v>
      </c>
      <c r="P32" s="1551"/>
      <c r="Q32" s="1551" t="str">
        <f ca="1">'Calculos(2)'!$DL$30</f>
        <v>-</v>
      </c>
      <c r="R32" s="1551"/>
      <c r="S32" s="1551" t="str">
        <f ca="1">'Calculos(2)'!$DM$30</f>
        <v>-</v>
      </c>
      <c r="T32" s="1551"/>
      <c r="U32" s="1551" t="str">
        <f ca="1">'Calculos(2)'!$DL$30</f>
        <v>-</v>
      </c>
      <c r="V32" s="1551"/>
      <c r="W32" s="1551" t="str">
        <f ca="1">'Calculos(2)'!$DM$30</f>
        <v>-</v>
      </c>
      <c r="X32" s="1551"/>
      <c r="Y32" s="1551" t="str">
        <f ca="1">'Calculos(2)'!$DL$30</f>
        <v>-</v>
      </c>
      <c r="Z32" s="1551"/>
      <c r="AA32" s="1551" t="str">
        <f ca="1">'Calculos(2)'!$DM$30</f>
        <v>-</v>
      </c>
      <c r="AB32" s="1551"/>
      <c r="AC32" s="372"/>
      <c r="AD32" s="372"/>
    </row>
    <row r="33" spans="1:30" s="2" customFormat="1" ht="20.100000000000001" customHeight="1" x14ac:dyDescent="0.25">
      <c r="A33" s="18"/>
      <c r="B33" s="18"/>
      <c r="C33" s="18"/>
      <c r="D33" s="1"/>
      <c r="E33" s="314"/>
      <c r="F33" s="1558"/>
      <c r="G33" s="1558"/>
      <c r="H33" s="1558"/>
      <c r="I33" s="1570" t="s">
        <v>152</v>
      </c>
      <c r="J33" s="1570"/>
      <c r="K33" s="1570"/>
      <c r="L33" s="1570"/>
      <c r="M33" s="1556"/>
      <c r="N33" s="1556"/>
      <c r="O33" s="1556"/>
      <c r="P33" s="1556"/>
      <c r="Q33" s="1552"/>
      <c r="R33" s="1553"/>
      <c r="S33" s="1552"/>
      <c r="T33" s="1553"/>
      <c r="U33" s="1559"/>
      <c r="V33" s="1559"/>
      <c r="W33" s="1559"/>
      <c r="X33" s="1559"/>
      <c r="Y33" s="1549" t="str">
        <f ca="1">'Calculos(2)'!DD41</f>
        <v/>
      </c>
      <c r="Z33" s="1549"/>
      <c r="AA33" s="1549" t="str">
        <f ca="1">'Calculos(2)'!DE41</f>
        <v/>
      </c>
      <c r="AB33" s="1549"/>
      <c r="AC33" s="20"/>
      <c r="AD33" s="20"/>
    </row>
    <row r="34" spans="1:30" s="2" customFormat="1" ht="20.100000000000001" customHeight="1" x14ac:dyDescent="0.25">
      <c r="A34" s="18"/>
      <c r="B34" s="18"/>
      <c r="C34" s="18"/>
      <c r="D34" s="1"/>
      <c r="E34" s="314"/>
      <c r="F34" s="1558"/>
      <c r="G34" s="1558"/>
      <c r="H34" s="1558"/>
      <c r="I34" s="1570" t="s">
        <v>153</v>
      </c>
      <c r="J34" s="1570"/>
      <c r="K34" s="1570"/>
      <c r="L34" s="1570"/>
      <c r="M34" s="1556"/>
      <c r="N34" s="1556"/>
      <c r="O34" s="1556"/>
      <c r="P34" s="1556"/>
      <c r="Q34" s="1552"/>
      <c r="R34" s="1553"/>
      <c r="S34" s="1552"/>
      <c r="T34" s="1553"/>
      <c r="U34" s="1559"/>
      <c r="V34" s="1559"/>
      <c r="W34" s="1559"/>
      <c r="X34" s="1559"/>
      <c r="Y34" s="1549" t="str">
        <f ca="1">'Calculos(2)'!DD42</f>
        <v/>
      </c>
      <c r="Z34" s="1549"/>
      <c r="AA34" s="1549" t="str">
        <f ca="1">'Calculos(2)'!DE42</f>
        <v/>
      </c>
      <c r="AB34" s="1549"/>
      <c r="AC34" s="20"/>
      <c r="AD34" s="20"/>
    </row>
    <row r="35" spans="1:30" s="2" customFormat="1" ht="20.100000000000001" customHeight="1" x14ac:dyDescent="0.25">
      <c r="A35" s="18"/>
      <c r="B35" s="18"/>
      <c r="C35" s="18"/>
      <c r="D35" s="1"/>
      <c r="E35" s="314"/>
      <c r="F35" s="1558"/>
      <c r="G35" s="1558"/>
      <c r="H35" s="1558"/>
      <c r="I35" s="1570" t="s">
        <v>154</v>
      </c>
      <c r="J35" s="1570"/>
      <c r="K35" s="1570"/>
      <c r="L35" s="1570"/>
      <c r="M35" s="1556"/>
      <c r="N35" s="1556"/>
      <c r="O35" s="1556"/>
      <c r="P35" s="1556"/>
      <c r="Q35" s="1552"/>
      <c r="R35" s="1553"/>
      <c r="S35" s="1552"/>
      <c r="T35" s="1553"/>
      <c r="U35" s="1559"/>
      <c r="V35" s="1559"/>
      <c r="W35" s="1559"/>
      <c r="X35" s="1559"/>
      <c r="Y35" s="1549" t="str">
        <f ca="1">'Calculos(2)'!DD43</f>
        <v/>
      </c>
      <c r="Z35" s="1549"/>
      <c r="AA35" s="1549" t="str">
        <f ca="1">'Calculos(2)'!DE43</f>
        <v/>
      </c>
      <c r="AB35" s="1549"/>
      <c r="AC35" s="20"/>
      <c r="AD35" s="20"/>
    </row>
    <row r="36" spans="1:30" s="2" customFormat="1" ht="20.100000000000001" customHeight="1" x14ac:dyDescent="0.25">
      <c r="A36" s="18"/>
      <c r="B36" s="18"/>
      <c r="C36" s="18"/>
      <c r="D36" s="1"/>
      <c r="E36" s="314"/>
      <c r="F36" s="1558"/>
      <c r="G36" s="1558"/>
      <c r="H36" s="1558"/>
      <c r="I36" s="1570" t="s">
        <v>155</v>
      </c>
      <c r="J36" s="1570"/>
      <c r="K36" s="1570"/>
      <c r="L36" s="1570"/>
      <c r="M36" s="1556"/>
      <c r="N36" s="1556"/>
      <c r="O36" s="1556"/>
      <c r="P36" s="1556"/>
      <c r="Q36" s="1552"/>
      <c r="R36" s="1553"/>
      <c r="S36" s="1552"/>
      <c r="T36" s="1553"/>
      <c r="U36" s="1559"/>
      <c r="V36" s="1559"/>
      <c r="W36" s="1559"/>
      <c r="X36" s="1559"/>
      <c r="Y36" s="1549" t="str">
        <f ca="1">'Calculos(2)'!DD44</f>
        <v/>
      </c>
      <c r="Z36" s="1549"/>
      <c r="AA36" s="1549" t="str">
        <f ca="1">'Calculos(2)'!DE44</f>
        <v/>
      </c>
      <c r="AB36" s="1549"/>
      <c r="AC36" s="20"/>
      <c r="AD36" s="20"/>
    </row>
    <row r="37" spans="1:30" s="2" customFormat="1" ht="20.100000000000001" customHeight="1" x14ac:dyDescent="0.25">
      <c r="A37" s="18"/>
      <c r="B37" s="18"/>
      <c r="C37" s="18"/>
      <c r="D37" s="1"/>
      <c r="E37" s="314"/>
      <c r="F37" s="1558"/>
      <c r="G37" s="1558"/>
      <c r="H37" s="1558"/>
      <c r="I37" s="1570" t="s">
        <v>156</v>
      </c>
      <c r="J37" s="1570"/>
      <c r="K37" s="1570"/>
      <c r="L37" s="1570"/>
      <c r="M37" s="1556"/>
      <c r="N37" s="1556"/>
      <c r="O37" s="1556"/>
      <c r="P37" s="1556"/>
      <c r="Q37" s="1552"/>
      <c r="R37" s="1553"/>
      <c r="S37" s="1552"/>
      <c r="T37" s="1553"/>
      <c r="U37" s="1559"/>
      <c r="V37" s="1559"/>
      <c r="W37" s="1559"/>
      <c r="X37" s="1559"/>
      <c r="Y37" s="1549" t="str">
        <f ca="1">'Calculos(2)'!DD45</f>
        <v/>
      </c>
      <c r="Z37" s="1549"/>
      <c r="AA37" s="1549" t="str">
        <f ca="1">'Calculos(2)'!DE45</f>
        <v/>
      </c>
      <c r="AB37" s="1549"/>
      <c r="AC37" s="20"/>
      <c r="AD37" s="20"/>
    </row>
    <row r="38" spans="1:30" s="2" customFormat="1" ht="20.100000000000001" customHeight="1" x14ac:dyDescent="0.25">
      <c r="A38" s="18"/>
      <c r="B38" s="18"/>
      <c r="C38" s="18"/>
      <c r="D38" s="1"/>
      <c r="E38" s="314"/>
      <c r="F38" s="1558"/>
      <c r="G38" s="1558"/>
      <c r="H38" s="1558"/>
      <c r="I38" s="1570" t="s">
        <v>157</v>
      </c>
      <c r="J38" s="1570"/>
      <c r="K38" s="1570"/>
      <c r="L38" s="1570"/>
      <c r="M38" s="1556"/>
      <c r="N38" s="1556"/>
      <c r="O38" s="1556"/>
      <c r="P38" s="1556"/>
      <c r="Q38" s="1552"/>
      <c r="R38" s="1553"/>
      <c r="S38" s="1552"/>
      <c r="T38" s="1553"/>
      <c r="U38" s="1559"/>
      <c r="V38" s="1559"/>
      <c r="W38" s="1559"/>
      <c r="X38" s="1559"/>
      <c r="Y38" s="1549" t="str">
        <f ca="1">'Calculos(2)'!DD46</f>
        <v/>
      </c>
      <c r="Z38" s="1549"/>
      <c r="AA38" s="1549" t="str">
        <f ca="1">'Calculos(2)'!DE46</f>
        <v/>
      </c>
      <c r="AB38" s="1549"/>
      <c r="AC38" s="20"/>
      <c r="AD38" s="20"/>
    </row>
    <row r="39" spans="1:30" s="2" customFormat="1" ht="20.100000000000001" customHeight="1" x14ac:dyDescent="0.25">
      <c r="A39" s="18"/>
      <c r="B39" s="18"/>
      <c r="C39" s="18"/>
      <c r="D39" s="1"/>
      <c r="E39" s="314"/>
      <c r="F39" s="1558"/>
      <c r="G39" s="1558"/>
      <c r="H39" s="1558"/>
      <c r="I39" s="1570" t="s">
        <v>158</v>
      </c>
      <c r="J39" s="1570"/>
      <c r="K39" s="1570"/>
      <c r="L39" s="1570"/>
      <c r="M39" s="1556"/>
      <c r="N39" s="1556"/>
      <c r="O39" s="1556"/>
      <c r="P39" s="1556"/>
      <c r="Q39" s="1552"/>
      <c r="R39" s="1553"/>
      <c r="S39" s="1552"/>
      <c r="T39" s="1553"/>
      <c r="U39" s="1559"/>
      <c r="V39" s="1559"/>
      <c r="W39" s="1559"/>
      <c r="X39" s="1559"/>
      <c r="Y39" s="1549" t="str">
        <f ca="1">'Calculos(2)'!DD47</f>
        <v/>
      </c>
      <c r="Z39" s="1549"/>
      <c r="AA39" s="1549" t="str">
        <f ca="1">'Calculos(2)'!DE47</f>
        <v/>
      </c>
      <c r="AB39" s="1549"/>
      <c r="AC39" s="20"/>
      <c r="AD39" s="20"/>
    </row>
    <row r="40" spans="1:30" s="2" customFormat="1" ht="20.100000000000001" customHeight="1" x14ac:dyDescent="0.25">
      <c r="A40" s="18"/>
      <c r="B40" s="18"/>
      <c r="C40" s="18"/>
      <c r="D40" s="1"/>
      <c r="E40" s="314"/>
      <c r="F40" s="1558"/>
      <c r="G40" s="1558"/>
      <c r="H40" s="1558"/>
      <c r="I40" s="1570" t="s">
        <v>159</v>
      </c>
      <c r="J40" s="1570"/>
      <c r="K40" s="1570"/>
      <c r="L40" s="1570"/>
      <c r="M40" s="1556"/>
      <c r="N40" s="1556"/>
      <c r="O40" s="1556"/>
      <c r="P40" s="1556"/>
      <c r="Q40" s="1552"/>
      <c r="R40" s="1553"/>
      <c r="S40" s="1552"/>
      <c r="T40" s="1553"/>
      <c r="U40" s="1559"/>
      <c r="V40" s="1559"/>
      <c r="W40" s="1559"/>
      <c r="X40" s="1559"/>
      <c r="Y40" s="1549" t="str">
        <f ca="1">'Calculos(2)'!DD48</f>
        <v/>
      </c>
      <c r="Z40" s="1549"/>
      <c r="AA40" s="1549" t="str">
        <f ca="1">'Calculos(2)'!DE48</f>
        <v/>
      </c>
      <c r="AB40" s="1549"/>
      <c r="AC40" s="20"/>
      <c r="AD40" s="20"/>
    </row>
    <row r="41" spans="1:30" s="2" customFormat="1" ht="20.100000000000001" customHeight="1" x14ac:dyDescent="0.25">
      <c r="A41" s="18"/>
      <c r="B41" s="18"/>
      <c r="C41" s="18"/>
      <c r="D41" s="1"/>
      <c r="E41" s="314"/>
      <c r="F41" s="1558"/>
      <c r="G41" s="1558"/>
      <c r="H41" s="1558"/>
      <c r="I41" s="1570" t="s">
        <v>160</v>
      </c>
      <c r="J41" s="1570"/>
      <c r="K41" s="1570"/>
      <c r="L41" s="1570"/>
      <c r="M41" s="1556"/>
      <c r="N41" s="1556"/>
      <c r="O41" s="1556"/>
      <c r="P41" s="1556"/>
      <c r="Q41" s="1552"/>
      <c r="R41" s="1553"/>
      <c r="S41" s="1552"/>
      <c r="T41" s="1553"/>
      <c r="U41" s="1559"/>
      <c r="V41" s="1559"/>
      <c r="W41" s="1559"/>
      <c r="X41" s="1559"/>
      <c r="Y41" s="1549" t="str">
        <f ca="1">'Calculos(2)'!DD49</f>
        <v/>
      </c>
      <c r="Z41" s="1549"/>
      <c r="AA41" s="1549" t="str">
        <f ca="1">'Calculos(2)'!DE49</f>
        <v/>
      </c>
      <c r="AB41" s="1549"/>
      <c r="AC41" s="20"/>
      <c r="AD41" s="20"/>
    </row>
    <row r="42" spans="1:30" ht="20.100000000000001" customHeight="1" x14ac:dyDescent="0.25">
      <c r="A42" s="18"/>
      <c r="B42" s="18"/>
      <c r="C42" s="18"/>
      <c r="D42" s="1"/>
      <c r="E42" s="314"/>
      <c r="F42" s="1558"/>
      <c r="G42" s="1558"/>
      <c r="H42" s="1558"/>
      <c r="I42" s="1570" t="s">
        <v>161</v>
      </c>
      <c r="J42" s="1570"/>
      <c r="K42" s="1570"/>
      <c r="L42" s="1570"/>
      <c r="M42" s="1556"/>
      <c r="N42" s="1556"/>
      <c r="O42" s="1556"/>
      <c r="P42" s="1556"/>
      <c r="Q42" s="1552"/>
      <c r="R42" s="1553"/>
      <c r="S42" s="1552"/>
      <c r="T42" s="1553"/>
      <c r="U42" s="1559"/>
      <c r="V42" s="1559"/>
      <c r="W42" s="1559"/>
      <c r="X42" s="1559"/>
      <c r="Y42" s="1549" t="str">
        <f ca="1">'Calculos(2)'!DD50</f>
        <v/>
      </c>
      <c r="Z42" s="1549"/>
      <c r="AA42" s="1549" t="str">
        <f ca="1">'Calculos(2)'!DE50</f>
        <v/>
      </c>
      <c r="AB42" s="1549"/>
    </row>
    <row r="43" spans="1:30" ht="20.100000000000001" customHeight="1" x14ac:dyDescent="0.25">
      <c r="A43" s="18"/>
      <c r="B43" s="18"/>
      <c r="C43" s="18"/>
      <c r="D43" s="1"/>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1:30" ht="20.100000000000001" customHeight="1" x14ac:dyDescent="0.25">
      <c r="A44" s="18"/>
      <c r="B44" s="18"/>
      <c r="C44" s="18"/>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20.100000000000001" customHeight="1" x14ac:dyDescent="0.25">
      <c r="A45" s="18"/>
      <c r="B45" s="18"/>
      <c r="C45" s="18"/>
      <c r="D45" s="1"/>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20.100000000000001" customHeight="1" x14ac:dyDescent="0.25">
      <c r="A46" s="18"/>
      <c r="B46" s="18"/>
      <c r="C46" s="18"/>
      <c r="D46" s="1"/>
      <c r="E46" s="314"/>
      <c r="F46" s="1572" t="s">
        <v>6011</v>
      </c>
      <c r="G46" s="1573"/>
      <c r="H46" s="1574"/>
      <c r="I46" s="1538" t="s">
        <v>225</v>
      </c>
      <c r="J46" s="1538"/>
      <c r="K46" s="1538"/>
      <c r="L46" s="1538"/>
      <c r="M46" s="1512" t="s">
        <v>36</v>
      </c>
      <c r="N46" s="1512"/>
      <c r="O46" s="1557"/>
      <c r="P46" s="1557"/>
      <c r="Q46" s="1557"/>
      <c r="R46" s="1557"/>
      <c r="S46" s="1286" t="s">
        <v>5761</v>
      </c>
      <c r="T46" s="1286"/>
      <c r="U46" s="1580"/>
      <c r="V46" s="1580"/>
      <c r="W46" s="314"/>
      <c r="X46" s="314"/>
      <c r="Y46" s="314"/>
      <c r="Z46" s="2"/>
      <c r="AA46" s="2"/>
      <c r="AB46" s="2"/>
      <c r="AC46" s="2"/>
      <c r="AD46" s="2"/>
    </row>
    <row r="47" spans="1:30" ht="20.100000000000001" customHeight="1" x14ac:dyDescent="0.25">
      <c r="A47" s="18"/>
      <c r="B47" s="18"/>
      <c r="C47" s="18"/>
      <c r="D47" s="1"/>
      <c r="E47" s="314"/>
      <c r="F47" s="1575"/>
      <c r="G47" s="1383"/>
      <c r="H47" s="1576"/>
      <c r="I47" s="1538"/>
      <c r="J47" s="1538"/>
      <c r="K47" s="1538"/>
      <c r="L47" s="1538"/>
      <c r="M47" s="1512" t="s">
        <v>37</v>
      </c>
      <c r="N47" s="1512"/>
      <c r="O47" s="1557"/>
      <c r="P47" s="1557"/>
      <c r="Q47" s="1557"/>
      <c r="R47" s="1557"/>
      <c r="S47" s="1286"/>
      <c r="T47" s="1286"/>
      <c r="U47" s="1580"/>
      <c r="V47" s="1580"/>
      <c r="W47" s="314"/>
      <c r="X47" s="314"/>
      <c r="Y47" s="314"/>
      <c r="Z47" s="2"/>
      <c r="AA47" s="2"/>
      <c r="AB47" s="2"/>
      <c r="AC47" s="2"/>
      <c r="AD47" s="2"/>
    </row>
    <row r="48" spans="1:30" s="372" customFormat="1" ht="39.950000000000003" customHeight="1" x14ac:dyDescent="0.25">
      <c r="A48" s="371"/>
      <c r="B48" s="371"/>
      <c r="C48" s="371"/>
      <c r="D48" s="1"/>
      <c r="E48" s="315"/>
      <c r="F48" s="1575"/>
      <c r="G48" s="1383"/>
      <c r="H48" s="1576"/>
      <c r="I48" s="1012" t="s">
        <v>6009</v>
      </c>
      <c r="J48" s="1012"/>
      <c r="K48" s="1012"/>
      <c r="L48" s="1012"/>
      <c r="M48" s="1554" t="s">
        <v>263</v>
      </c>
      <c r="N48" s="1554"/>
      <c r="O48" s="1554"/>
      <c r="P48" s="1554"/>
      <c r="Q48" s="1555" t="s">
        <v>8116</v>
      </c>
      <c r="R48" s="1555"/>
      <c r="S48" s="1555"/>
      <c r="T48" s="1555"/>
      <c r="U48" s="1550" t="s">
        <v>122</v>
      </c>
      <c r="V48" s="1550"/>
      <c r="W48" s="1550"/>
      <c r="X48" s="1550"/>
      <c r="Y48" s="1550" t="s">
        <v>194</v>
      </c>
      <c r="Z48" s="1550"/>
      <c r="AA48" s="1550"/>
      <c r="AB48" s="1550"/>
    </row>
    <row r="49" spans="1:30" ht="20.100000000000001" customHeight="1" x14ac:dyDescent="0.25">
      <c r="A49" s="18"/>
      <c r="B49" s="18"/>
      <c r="C49" s="18"/>
      <c r="D49" s="1"/>
      <c r="E49" s="314"/>
      <c r="F49" s="1575"/>
      <c r="G49" s="1383"/>
      <c r="H49" s="1576"/>
      <c r="I49" s="1012"/>
      <c r="J49" s="1012"/>
      <c r="K49" s="1012"/>
      <c r="L49" s="1012"/>
      <c r="M49" s="1551" t="str">
        <f ca="1">'Calculos(2)'!$DL$30</f>
        <v>-</v>
      </c>
      <c r="N49" s="1551"/>
      <c r="O49" s="1551" t="str">
        <f ca="1">'Calculos(2)'!$DM$30</f>
        <v>-</v>
      </c>
      <c r="P49" s="1551"/>
      <c r="Q49" s="1551" t="str">
        <f ca="1">'Calculos(2)'!$DL$30</f>
        <v>-</v>
      </c>
      <c r="R49" s="1551"/>
      <c r="S49" s="1551" t="str">
        <f ca="1">'Calculos(2)'!$DM$30</f>
        <v>-</v>
      </c>
      <c r="T49" s="1551"/>
      <c r="U49" s="1551" t="str">
        <f ca="1">'Calculos(2)'!$DL$30</f>
        <v>-</v>
      </c>
      <c r="V49" s="1551"/>
      <c r="W49" s="1551" t="str">
        <f ca="1">'Calculos(2)'!$DM$30</f>
        <v>-</v>
      </c>
      <c r="X49" s="1551"/>
      <c r="Y49" s="1551" t="str">
        <f ca="1">'Calculos(2)'!$DL$30</f>
        <v>-</v>
      </c>
      <c r="Z49" s="1551"/>
      <c r="AA49" s="1551" t="str">
        <f ca="1">'Calculos(2)'!$DM$30</f>
        <v>-</v>
      </c>
      <c r="AB49" s="1551"/>
    </row>
    <row r="50" spans="1:30" ht="20.100000000000001" customHeight="1" x14ac:dyDescent="0.25">
      <c r="A50" s="18"/>
      <c r="B50" s="18"/>
      <c r="C50" s="18"/>
      <c r="D50" s="1"/>
      <c r="E50" s="314"/>
      <c r="F50" s="1575"/>
      <c r="G50" s="1383"/>
      <c r="H50" s="1576"/>
      <c r="I50" s="1569" t="s">
        <v>152</v>
      </c>
      <c r="J50" s="1569"/>
      <c r="K50" s="1569"/>
      <c r="L50" s="1569"/>
      <c r="M50" s="1556"/>
      <c r="N50" s="1556"/>
      <c r="O50" s="1556"/>
      <c r="P50" s="1556"/>
      <c r="Q50" s="1552"/>
      <c r="R50" s="1553"/>
      <c r="S50" s="1552"/>
      <c r="T50" s="1553"/>
      <c r="U50" s="1559"/>
      <c r="V50" s="1559"/>
      <c r="W50" s="1559"/>
      <c r="X50" s="1559"/>
      <c r="Y50" s="1549" t="str">
        <f ca="1">'Calculos(2)'!DD51</f>
        <v/>
      </c>
      <c r="Z50" s="1549"/>
      <c r="AA50" s="1549" t="str">
        <f ca="1">'Calculos(2)'!DE51</f>
        <v/>
      </c>
      <c r="AB50" s="1549"/>
    </row>
    <row r="51" spans="1:30" ht="20.100000000000001" customHeight="1" x14ac:dyDescent="0.25">
      <c r="A51" s="18"/>
      <c r="B51" s="18"/>
      <c r="C51" s="18"/>
      <c r="D51" s="1"/>
      <c r="E51" s="314"/>
      <c r="F51" s="1575"/>
      <c r="G51" s="1383"/>
      <c r="H51" s="1576"/>
      <c r="I51" s="1569" t="s">
        <v>153</v>
      </c>
      <c r="J51" s="1569"/>
      <c r="K51" s="1569"/>
      <c r="L51" s="1569"/>
      <c r="M51" s="1556"/>
      <c r="N51" s="1556"/>
      <c r="O51" s="1556"/>
      <c r="P51" s="1556"/>
      <c r="Q51" s="1552"/>
      <c r="R51" s="1553"/>
      <c r="S51" s="1552"/>
      <c r="T51" s="1553"/>
      <c r="U51" s="1559"/>
      <c r="V51" s="1559"/>
      <c r="W51" s="1559"/>
      <c r="X51" s="1559"/>
      <c r="Y51" s="1549" t="str">
        <f ca="1">'Calculos(2)'!DD52</f>
        <v/>
      </c>
      <c r="Z51" s="1549"/>
      <c r="AA51" s="1549" t="str">
        <f ca="1">'Calculos(2)'!DE52</f>
        <v/>
      </c>
      <c r="AB51" s="1549"/>
    </row>
    <row r="52" spans="1:30" ht="20.100000000000001" customHeight="1" x14ac:dyDescent="0.25">
      <c r="A52" s="18"/>
      <c r="B52" s="18"/>
      <c r="C52" s="18"/>
      <c r="D52" s="1"/>
      <c r="E52" s="314"/>
      <c r="F52" s="1575"/>
      <c r="G52" s="1383"/>
      <c r="H52" s="1576"/>
      <c r="I52" s="1569" t="s">
        <v>154</v>
      </c>
      <c r="J52" s="1569"/>
      <c r="K52" s="1569"/>
      <c r="L52" s="1569"/>
      <c r="M52" s="1556"/>
      <c r="N52" s="1556"/>
      <c r="O52" s="1556"/>
      <c r="P52" s="1556"/>
      <c r="Q52" s="1552"/>
      <c r="R52" s="1553"/>
      <c r="S52" s="1552"/>
      <c r="T52" s="1553"/>
      <c r="U52" s="1559"/>
      <c r="V52" s="1559"/>
      <c r="W52" s="1559"/>
      <c r="X52" s="1559"/>
      <c r="Y52" s="1549" t="str">
        <f ca="1">'Calculos(2)'!DD53</f>
        <v/>
      </c>
      <c r="Z52" s="1549"/>
      <c r="AA52" s="1549" t="str">
        <f ca="1">'Calculos(2)'!DE53</f>
        <v/>
      </c>
      <c r="AB52" s="1549"/>
    </row>
    <row r="53" spans="1:30" ht="20.100000000000001" customHeight="1" x14ac:dyDescent="0.25">
      <c r="A53" s="18"/>
      <c r="B53" s="18"/>
      <c r="C53" s="18"/>
      <c r="D53" s="1"/>
      <c r="E53" s="314"/>
      <c r="F53" s="1575"/>
      <c r="G53" s="1383"/>
      <c r="H53" s="1576"/>
      <c r="I53" s="1569" t="s">
        <v>155</v>
      </c>
      <c r="J53" s="1569"/>
      <c r="K53" s="1569"/>
      <c r="L53" s="1569"/>
      <c r="M53" s="1556"/>
      <c r="N53" s="1556"/>
      <c r="O53" s="1556"/>
      <c r="P53" s="1556"/>
      <c r="Q53" s="1552"/>
      <c r="R53" s="1553"/>
      <c r="S53" s="1552"/>
      <c r="T53" s="1553"/>
      <c r="U53" s="1559"/>
      <c r="V53" s="1559"/>
      <c r="W53" s="1559"/>
      <c r="X53" s="1559"/>
      <c r="Y53" s="1549" t="str">
        <f ca="1">'Calculos(2)'!DD54</f>
        <v/>
      </c>
      <c r="Z53" s="1549"/>
      <c r="AA53" s="1549" t="str">
        <f ca="1">'Calculos(2)'!DE54</f>
        <v/>
      </c>
      <c r="AB53" s="1549"/>
    </row>
    <row r="54" spans="1:30" ht="20.100000000000001" customHeight="1" x14ac:dyDescent="0.25">
      <c r="A54" s="18"/>
      <c r="B54" s="18"/>
      <c r="C54" s="18"/>
      <c r="D54" s="1"/>
      <c r="E54" s="314"/>
      <c r="F54" s="1575"/>
      <c r="G54" s="1383"/>
      <c r="H54" s="1576"/>
      <c r="I54" s="1569" t="s">
        <v>156</v>
      </c>
      <c r="J54" s="1569"/>
      <c r="K54" s="1569"/>
      <c r="L54" s="1569"/>
      <c r="M54" s="1556"/>
      <c r="N54" s="1556"/>
      <c r="O54" s="1556"/>
      <c r="P54" s="1556"/>
      <c r="Q54" s="1552"/>
      <c r="R54" s="1553"/>
      <c r="S54" s="1552"/>
      <c r="T54" s="1553"/>
      <c r="U54" s="1559"/>
      <c r="V54" s="1559"/>
      <c r="W54" s="1559"/>
      <c r="X54" s="1559"/>
      <c r="Y54" s="1549" t="str">
        <f ca="1">'Calculos(2)'!DD55</f>
        <v/>
      </c>
      <c r="Z54" s="1549"/>
      <c r="AA54" s="1549" t="str">
        <f ca="1">'Calculos(2)'!DE55</f>
        <v/>
      </c>
      <c r="AB54" s="1549"/>
    </row>
    <row r="55" spans="1:30" ht="20.100000000000001" customHeight="1" x14ac:dyDescent="0.25">
      <c r="A55" s="18"/>
      <c r="B55" s="18"/>
      <c r="C55" s="18"/>
      <c r="D55" s="1"/>
      <c r="E55" s="314"/>
      <c r="F55" s="1575"/>
      <c r="G55" s="1383"/>
      <c r="H55" s="1576"/>
      <c r="I55" s="1569" t="s">
        <v>157</v>
      </c>
      <c r="J55" s="1569"/>
      <c r="K55" s="1569"/>
      <c r="L55" s="1569"/>
      <c r="M55" s="1556"/>
      <c r="N55" s="1556"/>
      <c r="O55" s="1556"/>
      <c r="P55" s="1556"/>
      <c r="Q55" s="1552"/>
      <c r="R55" s="1553"/>
      <c r="S55" s="1552"/>
      <c r="T55" s="1553"/>
      <c r="U55" s="1559"/>
      <c r="V55" s="1559"/>
      <c r="W55" s="1559"/>
      <c r="X55" s="1559"/>
      <c r="Y55" s="1549" t="str">
        <f ca="1">'Calculos(2)'!DD56</f>
        <v/>
      </c>
      <c r="Z55" s="1549"/>
      <c r="AA55" s="1549" t="str">
        <f ca="1">'Calculos(2)'!DE56</f>
        <v/>
      </c>
      <c r="AB55" s="1549"/>
    </row>
    <row r="56" spans="1:30" ht="20.100000000000001" customHeight="1" x14ac:dyDescent="0.25">
      <c r="A56" s="18"/>
      <c r="B56" s="18"/>
      <c r="C56" s="18"/>
      <c r="D56" s="1"/>
      <c r="E56" s="314"/>
      <c r="F56" s="1575"/>
      <c r="G56" s="1383"/>
      <c r="H56" s="1576"/>
      <c r="I56" s="1569" t="s">
        <v>158</v>
      </c>
      <c r="J56" s="1569"/>
      <c r="K56" s="1569"/>
      <c r="L56" s="1569"/>
      <c r="M56" s="1556"/>
      <c r="N56" s="1556"/>
      <c r="O56" s="1556"/>
      <c r="P56" s="1556"/>
      <c r="Q56" s="1552"/>
      <c r="R56" s="1553"/>
      <c r="S56" s="1552"/>
      <c r="T56" s="1553"/>
      <c r="U56" s="1559"/>
      <c r="V56" s="1559"/>
      <c r="W56" s="1559"/>
      <c r="X56" s="1559"/>
      <c r="Y56" s="1549" t="str">
        <f ca="1">'Calculos(2)'!DD57</f>
        <v/>
      </c>
      <c r="Z56" s="1549"/>
      <c r="AA56" s="1549" t="str">
        <f ca="1">'Calculos(2)'!DE57</f>
        <v/>
      </c>
      <c r="AB56" s="1549"/>
    </row>
    <row r="57" spans="1:30" ht="20.100000000000001" customHeight="1" x14ac:dyDescent="0.25">
      <c r="A57" s="18"/>
      <c r="B57" s="18"/>
      <c r="C57" s="18"/>
      <c r="D57" s="1"/>
      <c r="E57" s="314"/>
      <c r="F57" s="1575"/>
      <c r="G57" s="1383"/>
      <c r="H57" s="1576"/>
      <c r="I57" s="1569" t="s">
        <v>159</v>
      </c>
      <c r="J57" s="1569"/>
      <c r="K57" s="1569"/>
      <c r="L57" s="1569"/>
      <c r="M57" s="1556"/>
      <c r="N57" s="1556"/>
      <c r="O57" s="1556"/>
      <c r="P57" s="1556"/>
      <c r="Q57" s="1552"/>
      <c r="R57" s="1553"/>
      <c r="S57" s="1552"/>
      <c r="T57" s="1553"/>
      <c r="U57" s="1559"/>
      <c r="V57" s="1559"/>
      <c r="W57" s="1559"/>
      <c r="X57" s="1559"/>
      <c r="Y57" s="1549" t="str">
        <f ca="1">'Calculos(2)'!DD58</f>
        <v/>
      </c>
      <c r="Z57" s="1549"/>
      <c r="AA57" s="1549" t="str">
        <f ca="1">'Calculos(2)'!DE58</f>
        <v/>
      </c>
      <c r="AB57" s="1549"/>
    </row>
    <row r="58" spans="1:30" ht="20.100000000000001" customHeight="1" x14ac:dyDescent="0.25">
      <c r="A58" s="18"/>
      <c r="B58" s="18"/>
      <c r="C58" s="18"/>
      <c r="D58" s="1"/>
      <c r="E58" s="314"/>
      <c r="F58" s="1575"/>
      <c r="G58" s="1383"/>
      <c r="H58" s="1576"/>
      <c r="I58" s="1569" t="s">
        <v>160</v>
      </c>
      <c r="J58" s="1569"/>
      <c r="K58" s="1569"/>
      <c r="L58" s="1569"/>
      <c r="M58" s="1556"/>
      <c r="N58" s="1556"/>
      <c r="O58" s="1556"/>
      <c r="P58" s="1556"/>
      <c r="Q58" s="1552"/>
      <c r="R58" s="1553"/>
      <c r="S58" s="1552"/>
      <c r="T58" s="1553"/>
      <c r="U58" s="1559"/>
      <c r="V58" s="1559"/>
      <c r="W58" s="1559"/>
      <c r="X58" s="1559"/>
      <c r="Y58" s="1549" t="str">
        <f ca="1">'Calculos(2)'!DD59</f>
        <v/>
      </c>
      <c r="Z58" s="1549"/>
      <c r="AA58" s="1549" t="str">
        <f ca="1">'Calculos(2)'!DE59</f>
        <v/>
      </c>
      <c r="AB58" s="1549"/>
    </row>
    <row r="59" spans="1:30" ht="20.100000000000001" customHeight="1" x14ac:dyDescent="0.25">
      <c r="A59" s="18"/>
      <c r="B59" s="18"/>
      <c r="C59" s="18"/>
      <c r="D59" s="1"/>
      <c r="E59" s="314"/>
      <c r="F59" s="1577"/>
      <c r="G59" s="1578"/>
      <c r="H59" s="1579"/>
      <c r="I59" s="1569" t="s">
        <v>161</v>
      </c>
      <c r="J59" s="1569"/>
      <c r="K59" s="1569"/>
      <c r="L59" s="1569"/>
      <c r="M59" s="1556"/>
      <c r="N59" s="1556"/>
      <c r="O59" s="1556"/>
      <c r="P59" s="1556"/>
      <c r="Q59" s="1552"/>
      <c r="R59" s="1553"/>
      <c r="S59" s="1552"/>
      <c r="T59" s="1553"/>
      <c r="U59" s="1559"/>
      <c r="V59" s="1559"/>
      <c r="W59" s="1559"/>
      <c r="X59" s="1559"/>
      <c r="Y59" s="1549" t="str">
        <f ca="1">'Calculos(2)'!DD60</f>
        <v/>
      </c>
      <c r="Z59" s="1549"/>
      <c r="AA59" s="1549" t="str">
        <f ca="1">'Calculos(2)'!DE60</f>
        <v/>
      </c>
      <c r="AB59" s="1549"/>
    </row>
    <row r="60" spans="1:30" ht="20.100000000000001" customHeight="1" x14ac:dyDescent="0.25">
      <c r="A60" s="18"/>
      <c r="B60" s="18"/>
      <c r="C60" s="18"/>
      <c r="D60" s="1"/>
      <c r="E60" s="314"/>
      <c r="F60" s="306"/>
      <c r="G60" s="306"/>
      <c r="H60" s="306"/>
      <c r="I60" s="373"/>
      <c r="J60" s="373"/>
      <c r="K60" s="373"/>
      <c r="L60" s="373"/>
      <c r="M60" s="374"/>
      <c r="N60" s="374"/>
      <c r="O60" s="374"/>
      <c r="P60" s="374"/>
      <c r="Q60" s="374"/>
      <c r="R60" s="374"/>
      <c r="S60" s="374"/>
      <c r="T60" s="374"/>
      <c r="U60" s="373"/>
      <c r="V60" s="373"/>
      <c r="W60" s="373"/>
      <c r="X60" s="373"/>
      <c r="Y60" s="374"/>
      <c r="Z60" s="374"/>
      <c r="AA60" s="374"/>
      <c r="AB60" s="374"/>
      <c r="AC60" s="268"/>
      <c r="AD60" s="268"/>
    </row>
    <row r="61" spans="1:30" ht="20.100000000000001" customHeight="1" x14ac:dyDescent="0.25">
      <c r="A61" s="18"/>
      <c r="B61" s="18"/>
      <c r="C61" s="18"/>
      <c r="D61" s="1"/>
      <c r="E61" s="375"/>
      <c r="F61" s="376"/>
      <c r="G61" s="376"/>
      <c r="H61" s="376"/>
      <c r="I61" s="377"/>
      <c r="J61" s="377"/>
      <c r="K61" s="377"/>
      <c r="L61" s="377"/>
      <c r="M61" s="378"/>
      <c r="N61" s="378"/>
      <c r="O61" s="378"/>
      <c r="P61" s="378"/>
      <c r="Q61" s="378"/>
      <c r="R61" s="378"/>
      <c r="S61" s="378"/>
      <c r="T61" s="378"/>
      <c r="U61" s="377"/>
      <c r="V61" s="377"/>
      <c r="W61" s="377"/>
      <c r="X61" s="377"/>
      <c r="Y61" s="378"/>
      <c r="Z61" s="378"/>
      <c r="AA61" s="378"/>
      <c r="AB61" s="378"/>
      <c r="AC61" s="271"/>
      <c r="AD61" s="271"/>
    </row>
    <row r="62" spans="1:30" ht="20.100000000000001" customHeight="1" x14ac:dyDescent="0.25">
      <c r="A62" s="18"/>
      <c r="B62" s="18"/>
      <c r="C62" s="18"/>
      <c r="D62" s="1"/>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20.100000000000001" customHeight="1" x14ac:dyDescent="0.25">
      <c r="A63" s="18"/>
      <c r="B63" s="18"/>
      <c r="C63" s="18"/>
      <c r="D63" s="1"/>
      <c r="E63" s="314"/>
      <c r="F63" s="1572" t="s">
        <v>6012</v>
      </c>
      <c r="G63" s="1573"/>
      <c r="H63" s="1574"/>
      <c r="I63" s="1538" t="s">
        <v>225</v>
      </c>
      <c r="J63" s="1538"/>
      <c r="K63" s="1538"/>
      <c r="L63" s="1538"/>
      <c r="M63" s="1512" t="s">
        <v>36</v>
      </c>
      <c r="N63" s="1512"/>
      <c r="O63" s="1557"/>
      <c r="P63" s="1557"/>
      <c r="Q63" s="1557"/>
      <c r="R63" s="1557"/>
      <c r="S63" s="1286" t="s">
        <v>5761</v>
      </c>
      <c r="T63" s="1286"/>
      <c r="U63" s="1580"/>
      <c r="V63" s="1580"/>
      <c r="W63" s="314"/>
      <c r="X63" s="314"/>
      <c r="Y63" s="314"/>
      <c r="Z63" s="2"/>
      <c r="AA63" s="2"/>
      <c r="AB63" s="2"/>
      <c r="AC63" s="2"/>
      <c r="AD63" s="2"/>
    </row>
    <row r="64" spans="1:30" ht="20.100000000000001" customHeight="1" x14ac:dyDescent="0.25">
      <c r="A64" s="18"/>
      <c r="B64" s="18"/>
      <c r="C64" s="18"/>
      <c r="D64" s="1"/>
      <c r="E64" s="314"/>
      <c r="F64" s="1575"/>
      <c r="G64" s="1383"/>
      <c r="H64" s="1576"/>
      <c r="I64" s="1538"/>
      <c r="J64" s="1538"/>
      <c r="K64" s="1538"/>
      <c r="L64" s="1538"/>
      <c r="M64" s="1512" t="s">
        <v>37</v>
      </c>
      <c r="N64" s="1512"/>
      <c r="O64" s="1557"/>
      <c r="P64" s="1557"/>
      <c r="Q64" s="1557"/>
      <c r="R64" s="1557"/>
      <c r="S64" s="1286"/>
      <c r="T64" s="1286"/>
      <c r="U64" s="1580"/>
      <c r="V64" s="1580"/>
      <c r="W64" s="314"/>
      <c r="X64" s="314"/>
      <c r="Y64" s="314"/>
      <c r="Z64" s="2"/>
      <c r="AA64" s="2"/>
      <c r="AB64" s="2"/>
      <c r="AC64" s="2"/>
      <c r="AD64" s="2"/>
    </row>
    <row r="65" spans="1:30" s="372" customFormat="1" ht="39.950000000000003" customHeight="1" x14ac:dyDescent="0.25">
      <c r="A65" s="371"/>
      <c r="B65" s="371"/>
      <c r="C65" s="371"/>
      <c r="D65" s="1"/>
      <c r="E65" s="315"/>
      <c r="F65" s="1575"/>
      <c r="G65" s="1383"/>
      <c r="H65" s="1576"/>
      <c r="I65" s="1012" t="s">
        <v>6009</v>
      </c>
      <c r="J65" s="1012"/>
      <c r="K65" s="1012"/>
      <c r="L65" s="1012"/>
      <c r="M65" s="1554" t="s">
        <v>263</v>
      </c>
      <c r="N65" s="1554"/>
      <c r="O65" s="1554"/>
      <c r="P65" s="1554"/>
      <c r="Q65" s="1555" t="s">
        <v>8116</v>
      </c>
      <c r="R65" s="1555"/>
      <c r="S65" s="1555"/>
      <c r="T65" s="1555"/>
      <c r="U65" s="1550" t="s">
        <v>122</v>
      </c>
      <c r="V65" s="1550"/>
      <c r="W65" s="1550"/>
      <c r="X65" s="1550"/>
      <c r="Y65" s="1550" t="s">
        <v>194</v>
      </c>
      <c r="Z65" s="1550"/>
      <c r="AA65" s="1550"/>
      <c r="AB65" s="1550"/>
    </row>
    <row r="66" spans="1:30" ht="20.100000000000001" customHeight="1" x14ac:dyDescent="0.25">
      <c r="A66" s="18"/>
      <c r="B66" s="18"/>
      <c r="C66" s="18"/>
      <c r="D66" s="1"/>
      <c r="E66" s="314"/>
      <c r="F66" s="1575"/>
      <c r="G66" s="1383"/>
      <c r="H66" s="1576"/>
      <c r="I66" s="1012"/>
      <c r="J66" s="1012"/>
      <c r="K66" s="1012"/>
      <c r="L66" s="1012"/>
      <c r="M66" s="1551" t="str">
        <f ca="1">'Calculos(2)'!$DL$30</f>
        <v>-</v>
      </c>
      <c r="N66" s="1551"/>
      <c r="O66" s="1551" t="str">
        <f ca="1">'Calculos(2)'!$DM$30</f>
        <v>-</v>
      </c>
      <c r="P66" s="1551"/>
      <c r="Q66" s="1551" t="str">
        <f ca="1">'Calculos(2)'!$DL$30</f>
        <v>-</v>
      </c>
      <c r="R66" s="1551"/>
      <c r="S66" s="1551" t="str">
        <f ca="1">'Calculos(2)'!$DM$30</f>
        <v>-</v>
      </c>
      <c r="T66" s="1551"/>
      <c r="U66" s="1551" t="str">
        <f ca="1">'Calculos(2)'!$DL$30</f>
        <v>-</v>
      </c>
      <c r="V66" s="1551"/>
      <c r="W66" s="1551" t="str">
        <f ca="1">'Calculos(2)'!$DM$30</f>
        <v>-</v>
      </c>
      <c r="X66" s="1551"/>
      <c r="Y66" s="1551" t="str">
        <f ca="1">'Calculos(2)'!$DL$30</f>
        <v>-</v>
      </c>
      <c r="Z66" s="1551"/>
      <c r="AA66" s="1551" t="str">
        <f ca="1">'Calculos(2)'!$DM$30</f>
        <v>-</v>
      </c>
      <c r="AB66" s="1551"/>
    </row>
    <row r="67" spans="1:30" ht="20.100000000000001" customHeight="1" x14ac:dyDescent="0.25">
      <c r="A67" s="18"/>
      <c r="B67" s="18"/>
      <c r="C67" s="18"/>
      <c r="D67" s="1"/>
      <c r="E67" s="314"/>
      <c r="F67" s="1575"/>
      <c r="G67" s="1383"/>
      <c r="H67" s="1576"/>
      <c r="I67" s="1569" t="s">
        <v>152</v>
      </c>
      <c r="J67" s="1569"/>
      <c r="K67" s="1569"/>
      <c r="L67" s="1569"/>
      <c r="M67" s="1556"/>
      <c r="N67" s="1556"/>
      <c r="O67" s="1556"/>
      <c r="P67" s="1556"/>
      <c r="Q67" s="1552"/>
      <c r="R67" s="1553"/>
      <c r="S67" s="1552"/>
      <c r="T67" s="1553"/>
      <c r="U67" s="1559"/>
      <c r="V67" s="1559"/>
      <c r="W67" s="1559"/>
      <c r="X67" s="1559"/>
      <c r="Y67" s="1549" t="str">
        <f ca="1">'Calculos(2)'!DD61</f>
        <v/>
      </c>
      <c r="Z67" s="1549"/>
      <c r="AA67" s="1549" t="str">
        <f ca="1">'Calculos(2)'!DE61</f>
        <v/>
      </c>
      <c r="AB67" s="1549"/>
    </row>
    <row r="68" spans="1:30" ht="20.100000000000001" customHeight="1" x14ac:dyDescent="0.25">
      <c r="A68" s="18"/>
      <c r="B68" s="18"/>
      <c r="C68" s="18"/>
      <c r="D68" s="1"/>
      <c r="E68" s="314"/>
      <c r="F68" s="1575"/>
      <c r="G68" s="1383"/>
      <c r="H68" s="1576"/>
      <c r="I68" s="1569" t="s">
        <v>153</v>
      </c>
      <c r="J68" s="1569"/>
      <c r="K68" s="1569"/>
      <c r="L68" s="1569"/>
      <c r="M68" s="1556"/>
      <c r="N68" s="1556"/>
      <c r="O68" s="1556"/>
      <c r="P68" s="1556"/>
      <c r="Q68" s="1552"/>
      <c r="R68" s="1553"/>
      <c r="S68" s="1552"/>
      <c r="T68" s="1553"/>
      <c r="U68" s="1559"/>
      <c r="V68" s="1559"/>
      <c r="W68" s="1559"/>
      <c r="X68" s="1559"/>
      <c r="Y68" s="1549" t="str">
        <f ca="1">'Calculos(2)'!DD62</f>
        <v/>
      </c>
      <c r="Z68" s="1549"/>
      <c r="AA68" s="1549" t="str">
        <f ca="1">'Calculos(2)'!DE62</f>
        <v/>
      </c>
      <c r="AB68" s="1549"/>
    </row>
    <row r="69" spans="1:30" ht="20.100000000000001" customHeight="1" x14ac:dyDescent="0.25">
      <c r="A69" s="18"/>
      <c r="B69" s="18"/>
      <c r="C69" s="18"/>
      <c r="D69" s="1"/>
      <c r="E69" s="314"/>
      <c r="F69" s="1575"/>
      <c r="G69" s="1383"/>
      <c r="H69" s="1576"/>
      <c r="I69" s="1569" t="s">
        <v>154</v>
      </c>
      <c r="J69" s="1569"/>
      <c r="K69" s="1569"/>
      <c r="L69" s="1569"/>
      <c r="M69" s="1556"/>
      <c r="N69" s="1556"/>
      <c r="O69" s="1556"/>
      <c r="P69" s="1556"/>
      <c r="Q69" s="1552"/>
      <c r="R69" s="1553"/>
      <c r="S69" s="1552"/>
      <c r="T69" s="1553"/>
      <c r="U69" s="1559"/>
      <c r="V69" s="1559"/>
      <c r="W69" s="1559"/>
      <c r="X69" s="1559"/>
      <c r="Y69" s="1549" t="str">
        <f ca="1">'Calculos(2)'!DD63</f>
        <v/>
      </c>
      <c r="Z69" s="1549"/>
      <c r="AA69" s="1549" t="str">
        <f ca="1">'Calculos(2)'!DE63</f>
        <v/>
      </c>
      <c r="AB69" s="1549"/>
    </row>
    <row r="70" spans="1:30" ht="20.100000000000001" customHeight="1" x14ac:dyDescent="0.25">
      <c r="A70" s="18"/>
      <c r="B70" s="18"/>
      <c r="C70" s="18"/>
      <c r="D70" s="1"/>
      <c r="E70" s="314"/>
      <c r="F70" s="1575"/>
      <c r="G70" s="1383"/>
      <c r="H70" s="1576"/>
      <c r="I70" s="1569" t="s">
        <v>155</v>
      </c>
      <c r="J70" s="1569"/>
      <c r="K70" s="1569"/>
      <c r="L70" s="1569"/>
      <c r="M70" s="1556"/>
      <c r="N70" s="1556"/>
      <c r="O70" s="1556"/>
      <c r="P70" s="1556"/>
      <c r="Q70" s="1552"/>
      <c r="R70" s="1553"/>
      <c r="S70" s="1552"/>
      <c r="T70" s="1553"/>
      <c r="U70" s="1559"/>
      <c r="V70" s="1559"/>
      <c r="W70" s="1559"/>
      <c r="X70" s="1559"/>
      <c r="Y70" s="1549" t="str">
        <f ca="1">'Calculos(2)'!DD64</f>
        <v/>
      </c>
      <c r="Z70" s="1549"/>
      <c r="AA70" s="1549" t="str">
        <f ca="1">'Calculos(2)'!DE64</f>
        <v/>
      </c>
      <c r="AB70" s="1549"/>
    </row>
    <row r="71" spans="1:30" ht="20.100000000000001" customHeight="1" x14ac:dyDescent="0.25">
      <c r="A71" s="18"/>
      <c r="B71" s="18"/>
      <c r="C71" s="18"/>
      <c r="D71" s="1"/>
      <c r="E71" s="314"/>
      <c r="F71" s="1575"/>
      <c r="G71" s="1383"/>
      <c r="H71" s="1576"/>
      <c r="I71" s="1569" t="s">
        <v>156</v>
      </c>
      <c r="J71" s="1569"/>
      <c r="K71" s="1569"/>
      <c r="L71" s="1569"/>
      <c r="M71" s="1556"/>
      <c r="N71" s="1556"/>
      <c r="O71" s="1556"/>
      <c r="P71" s="1556"/>
      <c r="Q71" s="1552"/>
      <c r="R71" s="1553"/>
      <c r="S71" s="1552"/>
      <c r="T71" s="1553"/>
      <c r="U71" s="1559"/>
      <c r="V71" s="1559"/>
      <c r="W71" s="1559"/>
      <c r="X71" s="1559"/>
      <c r="Y71" s="1549" t="str">
        <f ca="1">'Calculos(2)'!DD65</f>
        <v/>
      </c>
      <c r="Z71" s="1549"/>
      <c r="AA71" s="1549" t="str">
        <f ca="1">'Calculos(2)'!DE65</f>
        <v/>
      </c>
      <c r="AB71" s="1549"/>
    </row>
    <row r="72" spans="1:30" ht="20.100000000000001" customHeight="1" x14ac:dyDescent="0.25">
      <c r="A72" s="18"/>
      <c r="B72" s="18"/>
      <c r="C72" s="18"/>
      <c r="D72" s="1"/>
      <c r="E72" s="314"/>
      <c r="F72" s="1575"/>
      <c r="G72" s="1383"/>
      <c r="H72" s="1576"/>
      <c r="I72" s="1569" t="s">
        <v>157</v>
      </c>
      <c r="J72" s="1569"/>
      <c r="K72" s="1569"/>
      <c r="L72" s="1569"/>
      <c r="M72" s="1556"/>
      <c r="N72" s="1556"/>
      <c r="O72" s="1556"/>
      <c r="P72" s="1556"/>
      <c r="Q72" s="1552"/>
      <c r="R72" s="1553"/>
      <c r="S72" s="1552"/>
      <c r="T72" s="1553"/>
      <c r="U72" s="1559"/>
      <c r="V72" s="1559"/>
      <c r="W72" s="1559"/>
      <c r="X72" s="1559"/>
      <c r="Y72" s="1549" t="str">
        <f ca="1">'Calculos(2)'!DD66</f>
        <v/>
      </c>
      <c r="Z72" s="1549"/>
      <c r="AA72" s="1549" t="str">
        <f ca="1">'Calculos(2)'!DE66</f>
        <v/>
      </c>
      <c r="AB72" s="1549"/>
    </row>
    <row r="73" spans="1:30" ht="20.100000000000001" customHeight="1" x14ac:dyDescent="0.25">
      <c r="A73" s="18"/>
      <c r="B73" s="18"/>
      <c r="C73" s="18"/>
      <c r="D73" s="1"/>
      <c r="E73" s="314"/>
      <c r="F73" s="1575"/>
      <c r="G73" s="1383"/>
      <c r="H73" s="1576"/>
      <c r="I73" s="1569" t="s">
        <v>158</v>
      </c>
      <c r="J73" s="1569"/>
      <c r="K73" s="1569"/>
      <c r="L73" s="1569"/>
      <c r="M73" s="1556"/>
      <c r="N73" s="1556"/>
      <c r="O73" s="1556"/>
      <c r="P73" s="1556"/>
      <c r="Q73" s="1552"/>
      <c r="R73" s="1553"/>
      <c r="S73" s="1552"/>
      <c r="T73" s="1553"/>
      <c r="U73" s="1559"/>
      <c r="V73" s="1559"/>
      <c r="W73" s="1559"/>
      <c r="X73" s="1559"/>
      <c r="Y73" s="1549" t="str">
        <f ca="1">'Calculos(2)'!DD67</f>
        <v/>
      </c>
      <c r="Z73" s="1549"/>
      <c r="AA73" s="1549" t="str">
        <f ca="1">'Calculos(2)'!DE67</f>
        <v/>
      </c>
      <c r="AB73" s="1549"/>
    </row>
    <row r="74" spans="1:30" ht="20.100000000000001" customHeight="1" x14ac:dyDescent="0.25">
      <c r="A74" s="18"/>
      <c r="B74" s="18"/>
      <c r="C74" s="18"/>
      <c r="D74" s="1"/>
      <c r="E74" s="314"/>
      <c r="F74" s="1575"/>
      <c r="G74" s="1383"/>
      <c r="H74" s="1576"/>
      <c r="I74" s="1569" t="s">
        <v>159</v>
      </c>
      <c r="J74" s="1569"/>
      <c r="K74" s="1569"/>
      <c r="L74" s="1569"/>
      <c r="M74" s="1556"/>
      <c r="N74" s="1556"/>
      <c r="O74" s="1556"/>
      <c r="P74" s="1556"/>
      <c r="Q74" s="1552"/>
      <c r="R74" s="1553"/>
      <c r="S74" s="1552"/>
      <c r="T74" s="1553"/>
      <c r="U74" s="1559"/>
      <c r="V74" s="1559"/>
      <c r="W74" s="1559"/>
      <c r="X74" s="1559"/>
      <c r="Y74" s="1549" t="str">
        <f ca="1">'Calculos(2)'!DD68</f>
        <v/>
      </c>
      <c r="Z74" s="1549"/>
      <c r="AA74" s="1549" t="str">
        <f ca="1">'Calculos(2)'!DE68</f>
        <v/>
      </c>
      <c r="AB74" s="1549"/>
    </row>
    <row r="75" spans="1:30" ht="20.100000000000001" customHeight="1" x14ac:dyDescent="0.25">
      <c r="A75" s="18"/>
      <c r="B75" s="18"/>
      <c r="C75" s="18"/>
      <c r="D75" s="1"/>
      <c r="E75" s="314"/>
      <c r="F75" s="1575"/>
      <c r="G75" s="1383"/>
      <c r="H75" s="1576"/>
      <c r="I75" s="1569" t="s">
        <v>160</v>
      </c>
      <c r="J75" s="1569"/>
      <c r="K75" s="1569"/>
      <c r="L75" s="1569"/>
      <c r="M75" s="1556"/>
      <c r="N75" s="1556"/>
      <c r="O75" s="1556"/>
      <c r="P75" s="1556"/>
      <c r="Q75" s="1552"/>
      <c r="R75" s="1553"/>
      <c r="S75" s="1552"/>
      <c r="T75" s="1553"/>
      <c r="U75" s="1559"/>
      <c r="V75" s="1559"/>
      <c r="W75" s="1559"/>
      <c r="X75" s="1559"/>
      <c r="Y75" s="1549" t="str">
        <f ca="1">'Calculos(2)'!DD69</f>
        <v/>
      </c>
      <c r="Z75" s="1549"/>
      <c r="AA75" s="1549" t="str">
        <f ca="1">'Calculos(2)'!DE69</f>
        <v/>
      </c>
      <c r="AB75" s="1549"/>
    </row>
    <row r="76" spans="1:30" ht="20.100000000000001" customHeight="1" x14ac:dyDescent="0.25">
      <c r="A76" s="18"/>
      <c r="B76" s="18"/>
      <c r="C76" s="18"/>
      <c r="D76" s="1"/>
      <c r="E76" s="314"/>
      <c r="F76" s="1577"/>
      <c r="G76" s="1578"/>
      <c r="H76" s="1579"/>
      <c r="I76" s="1569" t="s">
        <v>161</v>
      </c>
      <c r="J76" s="1569"/>
      <c r="K76" s="1569"/>
      <c r="L76" s="1569"/>
      <c r="M76" s="1556"/>
      <c r="N76" s="1556"/>
      <c r="O76" s="1556"/>
      <c r="P76" s="1556"/>
      <c r="Q76" s="1552"/>
      <c r="R76" s="1553"/>
      <c r="S76" s="1552"/>
      <c r="T76" s="1553"/>
      <c r="U76" s="1559"/>
      <c r="V76" s="1559"/>
      <c r="W76" s="1559"/>
      <c r="X76" s="1559"/>
      <c r="Y76" s="1549" t="str">
        <f ca="1">'Calculos(2)'!DD70</f>
        <v/>
      </c>
      <c r="Z76" s="1549"/>
      <c r="AA76" s="1549" t="str">
        <f ca="1">'Calculos(2)'!DE70</f>
        <v/>
      </c>
      <c r="AB76" s="1549"/>
    </row>
    <row r="77" spans="1:30" ht="20.100000000000001" customHeight="1" x14ac:dyDescent="0.25">
      <c r="A77" s="18"/>
      <c r="B77" s="18"/>
      <c r="C77" s="18"/>
      <c r="D77" s="1"/>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20.100000000000001" customHeight="1" x14ac:dyDescent="0.25">
      <c r="A78" s="18"/>
      <c r="B78" s="18"/>
      <c r="C78" s="18"/>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20.100000000000001" customHeight="1" x14ac:dyDescent="0.25">
      <c r="A79" s="18"/>
      <c r="B79" s="18"/>
      <c r="C79" s="18"/>
      <c r="D79" s="1"/>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20.100000000000001" customHeight="1" x14ac:dyDescent="0.25">
      <c r="A80" s="18"/>
      <c r="B80" s="18"/>
      <c r="C80" s="18"/>
      <c r="D80" s="1"/>
      <c r="E80" s="314"/>
      <c r="F80" s="1572" t="s">
        <v>6013</v>
      </c>
      <c r="G80" s="1573"/>
      <c r="H80" s="1574"/>
      <c r="I80" s="1538" t="s">
        <v>225</v>
      </c>
      <c r="J80" s="1538"/>
      <c r="K80" s="1538"/>
      <c r="L80" s="1538"/>
      <c r="M80" s="1512" t="s">
        <v>36</v>
      </c>
      <c r="N80" s="1512"/>
      <c r="O80" s="1557"/>
      <c r="P80" s="1557"/>
      <c r="Q80" s="1557"/>
      <c r="R80" s="1557"/>
      <c r="S80" s="1286" t="s">
        <v>5761</v>
      </c>
      <c r="T80" s="1286"/>
      <c r="U80" s="1580"/>
      <c r="V80" s="1580"/>
      <c r="W80" s="314"/>
      <c r="X80" s="314"/>
      <c r="Y80" s="314"/>
      <c r="Z80" s="2"/>
      <c r="AA80" s="2"/>
      <c r="AB80" s="2"/>
      <c r="AC80" s="2"/>
      <c r="AD80" s="2"/>
    </row>
    <row r="81" spans="1:30" ht="20.100000000000001" customHeight="1" x14ac:dyDescent="0.25">
      <c r="A81" s="18"/>
      <c r="B81" s="18"/>
      <c r="C81" s="18"/>
      <c r="D81" s="1"/>
      <c r="E81" s="314"/>
      <c r="F81" s="1575"/>
      <c r="G81" s="1383"/>
      <c r="H81" s="1576"/>
      <c r="I81" s="1538"/>
      <c r="J81" s="1538"/>
      <c r="K81" s="1538"/>
      <c r="L81" s="1538"/>
      <c r="M81" s="1512" t="s">
        <v>37</v>
      </c>
      <c r="N81" s="1512"/>
      <c r="O81" s="1557"/>
      <c r="P81" s="1557"/>
      <c r="Q81" s="1557"/>
      <c r="R81" s="1557"/>
      <c r="S81" s="1286"/>
      <c r="T81" s="1286"/>
      <c r="U81" s="1580"/>
      <c r="V81" s="1580"/>
      <c r="W81" s="314"/>
      <c r="X81" s="314"/>
      <c r="Y81" s="314"/>
      <c r="Z81" s="2"/>
      <c r="AA81" s="2"/>
      <c r="AB81" s="2"/>
      <c r="AC81" s="2"/>
      <c r="AD81" s="2"/>
    </row>
    <row r="82" spans="1:30" s="372" customFormat="1" ht="39.950000000000003" customHeight="1" x14ac:dyDescent="0.25">
      <c r="A82" s="371"/>
      <c r="B82" s="371"/>
      <c r="C82" s="371"/>
      <c r="D82" s="1"/>
      <c r="E82" s="315"/>
      <c r="F82" s="1575"/>
      <c r="G82" s="1383"/>
      <c r="H82" s="1576"/>
      <c r="I82" s="1012" t="s">
        <v>6009</v>
      </c>
      <c r="J82" s="1012"/>
      <c r="K82" s="1012"/>
      <c r="L82" s="1012"/>
      <c r="M82" s="1554" t="s">
        <v>263</v>
      </c>
      <c r="N82" s="1554"/>
      <c r="O82" s="1554"/>
      <c r="P82" s="1554"/>
      <c r="Q82" s="1555" t="s">
        <v>8116</v>
      </c>
      <c r="R82" s="1555"/>
      <c r="S82" s="1555"/>
      <c r="T82" s="1555"/>
      <c r="U82" s="1550" t="s">
        <v>122</v>
      </c>
      <c r="V82" s="1550"/>
      <c r="W82" s="1550"/>
      <c r="X82" s="1550"/>
      <c r="Y82" s="1550" t="s">
        <v>194</v>
      </c>
      <c r="Z82" s="1550"/>
      <c r="AA82" s="1550"/>
      <c r="AB82" s="1550"/>
    </row>
    <row r="83" spans="1:30" ht="20.100000000000001" customHeight="1" x14ac:dyDescent="0.25">
      <c r="A83" s="18"/>
      <c r="B83" s="18"/>
      <c r="C83" s="18"/>
      <c r="D83" s="1"/>
      <c r="E83" s="314"/>
      <c r="F83" s="1575"/>
      <c r="G83" s="1383"/>
      <c r="H83" s="1576"/>
      <c r="I83" s="1012"/>
      <c r="J83" s="1012"/>
      <c r="K83" s="1012"/>
      <c r="L83" s="1012"/>
      <c r="M83" s="1551" t="str">
        <f ca="1">'Calculos(2)'!$DL$30</f>
        <v>-</v>
      </c>
      <c r="N83" s="1551"/>
      <c r="O83" s="1551" t="str">
        <f ca="1">'Calculos(2)'!$DM$30</f>
        <v>-</v>
      </c>
      <c r="P83" s="1551"/>
      <c r="Q83" s="1551" t="str">
        <f ca="1">'Calculos(2)'!$DL$30</f>
        <v>-</v>
      </c>
      <c r="R83" s="1551"/>
      <c r="S83" s="1551" t="str">
        <f ca="1">'Calculos(2)'!$DM$30</f>
        <v>-</v>
      </c>
      <c r="T83" s="1551"/>
      <c r="U83" s="1551" t="str">
        <f ca="1">'Calculos(2)'!$DL$30</f>
        <v>-</v>
      </c>
      <c r="V83" s="1551"/>
      <c r="W83" s="1551" t="str">
        <f ca="1">'Calculos(2)'!$DM$30</f>
        <v>-</v>
      </c>
      <c r="X83" s="1551"/>
      <c r="Y83" s="1551" t="str">
        <f ca="1">'Calculos(2)'!$DL$30</f>
        <v>-</v>
      </c>
      <c r="Z83" s="1551"/>
      <c r="AA83" s="1551" t="str">
        <f ca="1">'Calculos(2)'!$DM$30</f>
        <v>-</v>
      </c>
      <c r="AB83" s="1551"/>
    </row>
    <row r="84" spans="1:30" ht="20.100000000000001" customHeight="1" x14ac:dyDescent="0.25">
      <c r="A84" s="18"/>
      <c r="B84" s="18"/>
      <c r="C84" s="18"/>
      <c r="D84" s="1"/>
      <c r="E84" s="314"/>
      <c r="F84" s="1575"/>
      <c r="G84" s="1383"/>
      <c r="H84" s="1576"/>
      <c r="I84" s="1569" t="s">
        <v>152</v>
      </c>
      <c r="J84" s="1569"/>
      <c r="K84" s="1569"/>
      <c r="L84" s="1569"/>
      <c r="M84" s="1556"/>
      <c r="N84" s="1556"/>
      <c r="O84" s="1556"/>
      <c r="P84" s="1556"/>
      <c r="Q84" s="1552"/>
      <c r="R84" s="1553"/>
      <c r="S84" s="1552"/>
      <c r="T84" s="1553"/>
      <c r="U84" s="1559"/>
      <c r="V84" s="1559"/>
      <c r="W84" s="1559"/>
      <c r="X84" s="1559"/>
      <c r="Y84" s="1549" t="str">
        <f ca="1">'Calculos(2)'!DD71</f>
        <v/>
      </c>
      <c r="Z84" s="1549"/>
      <c r="AA84" s="1549" t="str">
        <f ca="1">'Calculos(2)'!DE71</f>
        <v/>
      </c>
      <c r="AB84" s="1549"/>
    </row>
    <row r="85" spans="1:30" ht="20.100000000000001" customHeight="1" x14ac:dyDescent="0.25">
      <c r="A85" s="18"/>
      <c r="B85" s="18"/>
      <c r="C85" s="18"/>
      <c r="D85" s="1"/>
      <c r="E85" s="314"/>
      <c r="F85" s="1575"/>
      <c r="G85" s="1383"/>
      <c r="H85" s="1576"/>
      <c r="I85" s="1569" t="s">
        <v>153</v>
      </c>
      <c r="J85" s="1569"/>
      <c r="K85" s="1569"/>
      <c r="L85" s="1569"/>
      <c r="M85" s="1556"/>
      <c r="N85" s="1556"/>
      <c r="O85" s="1556"/>
      <c r="P85" s="1556"/>
      <c r="Q85" s="1552"/>
      <c r="R85" s="1553"/>
      <c r="S85" s="1552"/>
      <c r="T85" s="1553"/>
      <c r="U85" s="1559"/>
      <c r="V85" s="1559"/>
      <c r="W85" s="1559"/>
      <c r="X85" s="1559"/>
      <c r="Y85" s="1549" t="str">
        <f ca="1">'Calculos(2)'!DD72</f>
        <v/>
      </c>
      <c r="Z85" s="1549"/>
      <c r="AA85" s="1549" t="str">
        <f ca="1">'Calculos(2)'!DE72</f>
        <v/>
      </c>
      <c r="AB85" s="1549"/>
    </row>
    <row r="86" spans="1:30" ht="20.100000000000001" customHeight="1" x14ac:dyDescent="0.25">
      <c r="A86" s="18"/>
      <c r="B86" s="18"/>
      <c r="C86" s="18"/>
      <c r="D86" s="1"/>
      <c r="E86" s="314"/>
      <c r="F86" s="1575"/>
      <c r="G86" s="1383"/>
      <c r="H86" s="1576"/>
      <c r="I86" s="1569" t="s">
        <v>154</v>
      </c>
      <c r="J86" s="1569"/>
      <c r="K86" s="1569"/>
      <c r="L86" s="1569"/>
      <c r="M86" s="1556"/>
      <c r="N86" s="1556"/>
      <c r="O86" s="1556"/>
      <c r="P86" s="1556"/>
      <c r="Q86" s="1552"/>
      <c r="R86" s="1553"/>
      <c r="S86" s="1552"/>
      <c r="T86" s="1553"/>
      <c r="U86" s="1559"/>
      <c r="V86" s="1559"/>
      <c r="W86" s="1559"/>
      <c r="X86" s="1559"/>
      <c r="Y86" s="1549" t="str">
        <f ca="1">'Calculos(2)'!DD73</f>
        <v/>
      </c>
      <c r="Z86" s="1549"/>
      <c r="AA86" s="1549" t="str">
        <f ca="1">'Calculos(2)'!DE73</f>
        <v/>
      </c>
      <c r="AB86" s="1549"/>
    </row>
    <row r="87" spans="1:30" ht="20.100000000000001" customHeight="1" x14ac:dyDescent="0.25">
      <c r="A87" s="18"/>
      <c r="B87" s="18"/>
      <c r="C87" s="18"/>
      <c r="D87" s="1"/>
      <c r="E87" s="314"/>
      <c r="F87" s="1575"/>
      <c r="G87" s="1383"/>
      <c r="H87" s="1576"/>
      <c r="I87" s="1569" t="s">
        <v>155</v>
      </c>
      <c r="J87" s="1569"/>
      <c r="K87" s="1569"/>
      <c r="L87" s="1569"/>
      <c r="M87" s="1556"/>
      <c r="N87" s="1556"/>
      <c r="O87" s="1556"/>
      <c r="P87" s="1556"/>
      <c r="Q87" s="1552"/>
      <c r="R87" s="1553"/>
      <c r="S87" s="1552"/>
      <c r="T87" s="1553"/>
      <c r="U87" s="1559"/>
      <c r="V87" s="1559"/>
      <c r="W87" s="1559"/>
      <c r="X87" s="1559"/>
      <c r="Y87" s="1549" t="str">
        <f ca="1">'Calculos(2)'!DD74</f>
        <v/>
      </c>
      <c r="Z87" s="1549"/>
      <c r="AA87" s="1549" t="str">
        <f ca="1">'Calculos(2)'!DE74</f>
        <v/>
      </c>
      <c r="AB87" s="1549"/>
    </row>
    <row r="88" spans="1:30" ht="20.100000000000001" customHeight="1" x14ac:dyDescent="0.25">
      <c r="A88" s="18"/>
      <c r="B88" s="18"/>
      <c r="C88" s="18"/>
      <c r="D88" s="1"/>
      <c r="E88" s="314"/>
      <c r="F88" s="1575"/>
      <c r="G88" s="1383"/>
      <c r="H88" s="1576"/>
      <c r="I88" s="1569" t="s">
        <v>156</v>
      </c>
      <c r="J88" s="1569"/>
      <c r="K88" s="1569"/>
      <c r="L88" s="1569"/>
      <c r="M88" s="1556"/>
      <c r="N88" s="1556"/>
      <c r="O88" s="1556"/>
      <c r="P88" s="1556"/>
      <c r="Q88" s="1552"/>
      <c r="R88" s="1553"/>
      <c r="S88" s="1552"/>
      <c r="T88" s="1553"/>
      <c r="U88" s="1559"/>
      <c r="V88" s="1559"/>
      <c r="W88" s="1559"/>
      <c r="X88" s="1559"/>
      <c r="Y88" s="1549" t="str">
        <f ca="1">'Calculos(2)'!DD75</f>
        <v/>
      </c>
      <c r="Z88" s="1549"/>
      <c r="AA88" s="1549" t="str">
        <f ca="1">'Calculos(2)'!DE75</f>
        <v/>
      </c>
      <c r="AB88" s="1549"/>
    </row>
    <row r="89" spans="1:30" ht="20.100000000000001" customHeight="1" x14ac:dyDescent="0.25">
      <c r="A89" s="18"/>
      <c r="B89" s="18"/>
      <c r="C89" s="18"/>
      <c r="D89" s="1"/>
      <c r="E89" s="314"/>
      <c r="F89" s="1575"/>
      <c r="G89" s="1383"/>
      <c r="H89" s="1576"/>
      <c r="I89" s="1569" t="s">
        <v>157</v>
      </c>
      <c r="J89" s="1569"/>
      <c r="K89" s="1569"/>
      <c r="L89" s="1569"/>
      <c r="M89" s="1556"/>
      <c r="N89" s="1556"/>
      <c r="O89" s="1556"/>
      <c r="P89" s="1556"/>
      <c r="Q89" s="1552"/>
      <c r="R89" s="1553"/>
      <c r="S89" s="1552"/>
      <c r="T89" s="1553"/>
      <c r="U89" s="1559"/>
      <c r="V89" s="1559"/>
      <c r="W89" s="1559"/>
      <c r="X89" s="1559"/>
      <c r="Y89" s="1549" t="str">
        <f ca="1">'Calculos(2)'!DD76</f>
        <v/>
      </c>
      <c r="Z89" s="1549"/>
      <c r="AA89" s="1549" t="str">
        <f ca="1">'Calculos(2)'!DE76</f>
        <v/>
      </c>
      <c r="AB89" s="1549"/>
    </row>
    <row r="90" spans="1:30" ht="20.100000000000001" customHeight="1" x14ac:dyDescent="0.25">
      <c r="A90" s="18"/>
      <c r="B90" s="18"/>
      <c r="C90" s="18"/>
      <c r="D90" s="1"/>
      <c r="E90" s="314"/>
      <c r="F90" s="1575"/>
      <c r="G90" s="1383"/>
      <c r="H90" s="1576"/>
      <c r="I90" s="1569" t="s">
        <v>158</v>
      </c>
      <c r="J90" s="1569"/>
      <c r="K90" s="1569"/>
      <c r="L90" s="1569"/>
      <c r="M90" s="1556"/>
      <c r="N90" s="1556"/>
      <c r="O90" s="1556"/>
      <c r="P90" s="1556"/>
      <c r="Q90" s="1552"/>
      <c r="R90" s="1553"/>
      <c r="S90" s="1552"/>
      <c r="T90" s="1553"/>
      <c r="U90" s="1559"/>
      <c r="V90" s="1559"/>
      <c r="W90" s="1559"/>
      <c r="X90" s="1559"/>
      <c r="Y90" s="1549" t="str">
        <f ca="1">'Calculos(2)'!DD77</f>
        <v/>
      </c>
      <c r="Z90" s="1549"/>
      <c r="AA90" s="1549" t="str">
        <f ca="1">'Calculos(2)'!DE77</f>
        <v/>
      </c>
      <c r="AB90" s="1549"/>
    </row>
    <row r="91" spans="1:30" ht="20.100000000000001" customHeight="1" x14ac:dyDescent="0.25">
      <c r="A91" s="18"/>
      <c r="B91" s="18"/>
      <c r="C91" s="18"/>
      <c r="D91" s="1"/>
      <c r="E91" s="314"/>
      <c r="F91" s="1575"/>
      <c r="G91" s="1383"/>
      <c r="H91" s="1576"/>
      <c r="I91" s="1569" t="s">
        <v>159</v>
      </c>
      <c r="J91" s="1569"/>
      <c r="K91" s="1569"/>
      <c r="L91" s="1569"/>
      <c r="M91" s="1556"/>
      <c r="N91" s="1556"/>
      <c r="O91" s="1556"/>
      <c r="P91" s="1556"/>
      <c r="Q91" s="1552"/>
      <c r="R91" s="1553"/>
      <c r="S91" s="1552"/>
      <c r="T91" s="1553"/>
      <c r="U91" s="1559"/>
      <c r="V91" s="1559"/>
      <c r="W91" s="1559"/>
      <c r="X91" s="1559"/>
      <c r="Y91" s="1549" t="str">
        <f ca="1">'Calculos(2)'!DD78</f>
        <v/>
      </c>
      <c r="Z91" s="1549"/>
      <c r="AA91" s="1549" t="str">
        <f ca="1">'Calculos(2)'!DE78</f>
        <v/>
      </c>
      <c r="AB91" s="1549"/>
    </row>
    <row r="92" spans="1:30" ht="20.100000000000001" customHeight="1" x14ac:dyDescent="0.25">
      <c r="A92" s="18"/>
      <c r="B92" s="18"/>
      <c r="C92" s="18"/>
      <c r="D92" s="1"/>
      <c r="E92" s="314"/>
      <c r="F92" s="1575"/>
      <c r="G92" s="1383"/>
      <c r="H92" s="1576"/>
      <c r="I92" s="1569" t="s">
        <v>160</v>
      </c>
      <c r="J92" s="1569"/>
      <c r="K92" s="1569"/>
      <c r="L92" s="1569"/>
      <c r="M92" s="1556"/>
      <c r="N92" s="1556"/>
      <c r="O92" s="1556"/>
      <c r="P92" s="1556"/>
      <c r="Q92" s="1552"/>
      <c r="R92" s="1553"/>
      <c r="S92" s="1552"/>
      <c r="T92" s="1553"/>
      <c r="U92" s="1559"/>
      <c r="V92" s="1559"/>
      <c r="W92" s="1559"/>
      <c r="X92" s="1559"/>
      <c r="Y92" s="1549" t="str">
        <f ca="1">'Calculos(2)'!DD79</f>
        <v/>
      </c>
      <c r="Z92" s="1549"/>
      <c r="AA92" s="1549" t="str">
        <f ca="1">'Calculos(2)'!DE79</f>
        <v/>
      </c>
      <c r="AB92" s="1549"/>
    </row>
    <row r="93" spans="1:30" ht="20.100000000000001" customHeight="1" x14ac:dyDescent="0.25">
      <c r="A93" s="18"/>
      <c r="B93" s="18"/>
      <c r="C93" s="18"/>
      <c r="D93" s="1"/>
      <c r="E93" s="314"/>
      <c r="F93" s="1577"/>
      <c r="G93" s="1578"/>
      <c r="H93" s="1579"/>
      <c r="I93" s="1569" t="s">
        <v>161</v>
      </c>
      <c r="J93" s="1569"/>
      <c r="K93" s="1569"/>
      <c r="L93" s="1569"/>
      <c r="M93" s="1556"/>
      <c r="N93" s="1556"/>
      <c r="O93" s="1556"/>
      <c r="P93" s="1556"/>
      <c r="Q93" s="1552"/>
      <c r="R93" s="1553"/>
      <c r="S93" s="1552"/>
      <c r="T93" s="1553"/>
      <c r="U93" s="1559"/>
      <c r="V93" s="1559"/>
      <c r="W93" s="1559"/>
      <c r="X93" s="1559"/>
      <c r="Y93" s="1549" t="str">
        <f ca="1">'Calculos(2)'!DD80</f>
        <v/>
      </c>
      <c r="Z93" s="1549"/>
      <c r="AA93" s="1549" t="str">
        <f ca="1">'Calculos(2)'!DE80</f>
        <v/>
      </c>
      <c r="AB93" s="1549"/>
    </row>
    <row r="94" spans="1:30" ht="20.100000000000001" customHeight="1" x14ac:dyDescent="0.25">
      <c r="A94" s="18"/>
      <c r="B94" s="18"/>
      <c r="C94" s="18"/>
      <c r="D94" s="1"/>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20.100000000000001" customHeight="1" x14ac:dyDescent="0.25">
      <c r="A95" s="18"/>
      <c r="B95" s="18"/>
      <c r="C95" s="18"/>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20.100000000000001" customHeight="1" x14ac:dyDescent="0.25">
      <c r="A96" s="18"/>
      <c r="B96" s="18"/>
      <c r="C96" s="18"/>
      <c r="D96" s="1"/>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20.100000000000001" customHeight="1" x14ac:dyDescent="0.25">
      <c r="A97" s="18"/>
      <c r="B97" s="18"/>
      <c r="C97" s="18"/>
      <c r="D97" s="1"/>
      <c r="E97" s="314"/>
      <c r="F97" s="1572" t="s">
        <v>6014</v>
      </c>
      <c r="G97" s="1573"/>
      <c r="H97" s="1574"/>
      <c r="I97" s="1538" t="s">
        <v>225</v>
      </c>
      <c r="J97" s="1538"/>
      <c r="K97" s="1538"/>
      <c r="L97" s="1538"/>
      <c r="M97" s="1512" t="s">
        <v>36</v>
      </c>
      <c r="N97" s="1512"/>
      <c r="O97" s="1557"/>
      <c r="P97" s="1557"/>
      <c r="Q97" s="1557"/>
      <c r="R97" s="1557"/>
      <c r="S97" s="1286" t="s">
        <v>5761</v>
      </c>
      <c r="T97" s="1286"/>
      <c r="U97" s="1580"/>
      <c r="V97" s="1580"/>
      <c r="W97" s="314"/>
      <c r="X97" s="314"/>
      <c r="Y97" s="314"/>
      <c r="Z97" s="2"/>
      <c r="AA97" s="2"/>
      <c r="AB97" s="2"/>
      <c r="AC97" s="2"/>
      <c r="AD97" s="2"/>
    </row>
    <row r="98" spans="1:30" ht="20.100000000000001" customHeight="1" x14ac:dyDescent="0.25">
      <c r="A98" s="18"/>
      <c r="B98" s="18"/>
      <c r="C98" s="18"/>
      <c r="D98" s="1"/>
      <c r="E98" s="314"/>
      <c r="F98" s="1575"/>
      <c r="G98" s="1383"/>
      <c r="H98" s="1576"/>
      <c r="I98" s="1538"/>
      <c r="J98" s="1538"/>
      <c r="K98" s="1538"/>
      <c r="L98" s="1538"/>
      <c r="M98" s="1512" t="s">
        <v>37</v>
      </c>
      <c r="N98" s="1512"/>
      <c r="O98" s="1557"/>
      <c r="P98" s="1557"/>
      <c r="Q98" s="1557"/>
      <c r="R98" s="1557"/>
      <c r="S98" s="1286"/>
      <c r="T98" s="1286"/>
      <c r="U98" s="1580"/>
      <c r="V98" s="1580"/>
      <c r="W98" s="314"/>
      <c r="X98" s="314"/>
      <c r="Y98" s="314"/>
      <c r="Z98" s="2"/>
      <c r="AA98" s="2"/>
      <c r="AB98" s="2"/>
      <c r="AC98" s="2"/>
      <c r="AD98" s="2"/>
    </row>
    <row r="99" spans="1:30" s="372" customFormat="1" ht="39.950000000000003" customHeight="1" x14ac:dyDescent="0.25">
      <c r="A99" s="371"/>
      <c r="B99" s="371"/>
      <c r="C99" s="371"/>
      <c r="D99" s="1"/>
      <c r="E99" s="315"/>
      <c r="F99" s="1575"/>
      <c r="G99" s="1383"/>
      <c r="H99" s="1576"/>
      <c r="I99" s="1012" t="s">
        <v>6009</v>
      </c>
      <c r="J99" s="1012"/>
      <c r="K99" s="1012"/>
      <c r="L99" s="1012"/>
      <c r="M99" s="1554" t="s">
        <v>263</v>
      </c>
      <c r="N99" s="1554"/>
      <c r="O99" s="1554"/>
      <c r="P99" s="1554"/>
      <c r="Q99" s="1555" t="s">
        <v>8116</v>
      </c>
      <c r="R99" s="1555"/>
      <c r="S99" s="1555"/>
      <c r="T99" s="1555"/>
      <c r="U99" s="1550" t="s">
        <v>122</v>
      </c>
      <c r="V99" s="1550"/>
      <c r="W99" s="1550"/>
      <c r="X99" s="1550"/>
      <c r="Y99" s="1550" t="s">
        <v>194</v>
      </c>
      <c r="Z99" s="1550"/>
      <c r="AA99" s="1550"/>
      <c r="AB99" s="1550"/>
    </row>
    <row r="100" spans="1:30" ht="20.100000000000001" customHeight="1" x14ac:dyDescent="0.25">
      <c r="A100" s="18"/>
      <c r="B100" s="18"/>
      <c r="C100" s="18"/>
      <c r="D100" s="1"/>
      <c r="E100" s="314"/>
      <c r="F100" s="1575"/>
      <c r="G100" s="1383"/>
      <c r="H100" s="1576"/>
      <c r="I100" s="1012"/>
      <c r="J100" s="1012"/>
      <c r="K100" s="1012"/>
      <c r="L100" s="1012"/>
      <c r="M100" s="1551" t="str">
        <f ca="1">'Calculos(2)'!$DL$30</f>
        <v>-</v>
      </c>
      <c r="N100" s="1551"/>
      <c r="O100" s="1551" t="str">
        <f ca="1">'Calculos(2)'!$DM$30</f>
        <v>-</v>
      </c>
      <c r="P100" s="1551"/>
      <c r="Q100" s="1551" t="str">
        <f ca="1">'Calculos(2)'!$DL$30</f>
        <v>-</v>
      </c>
      <c r="R100" s="1551"/>
      <c r="S100" s="1551" t="str">
        <f ca="1">'Calculos(2)'!$DM$30</f>
        <v>-</v>
      </c>
      <c r="T100" s="1551"/>
      <c r="U100" s="1551" t="str">
        <f ca="1">'Calculos(2)'!$DL$30</f>
        <v>-</v>
      </c>
      <c r="V100" s="1551"/>
      <c r="W100" s="1551" t="str">
        <f ca="1">'Calculos(2)'!$DM$30</f>
        <v>-</v>
      </c>
      <c r="X100" s="1551"/>
      <c r="Y100" s="1551" t="str">
        <f ca="1">'Calculos(2)'!$DL$30</f>
        <v>-</v>
      </c>
      <c r="Z100" s="1551"/>
      <c r="AA100" s="1551" t="str">
        <f ca="1">'Calculos(2)'!$DM$30</f>
        <v>-</v>
      </c>
      <c r="AB100" s="1551"/>
    </row>
    <row r="101" spans="1:30" ht="20.100000000000001" customHeight="1" x14ac:dyDescent="0.25">
      <c r="A101" s="18"/>
      <c r="B101" s="18"/>
      <c r="C101" s="18"/>
      <c r="D101" s="1"/>
      <c r="E101" s="314"/>
      <c r="F101" s="1575"/>
      <c r="G101" s="1383"/>
      <c r="H101" s="1576"/>
      <c r="I101" s="1569" t="s">
        <v>152</v>
      </c>
      <c r="J101" s="1569"/>
      <c r="K101" s="1569"/>
      <c r="L101" s="1569"/>
      <c r="M101" s="1556"/>
      <c r="N101" s="1556"/>
      <c r="O101" s="1556"/>
      <c r="P101" s="1556"/>
      <c r="Q101" s="1552"/>
      <c r="R101" s="1553"/>
      <c r="S101" s="1552"/>
      <c r="T101" s="1553"/>
      <c r="U101" s="1559"/>
      <c r="V101" s="1559"/>
      <c r="W101" s="1559"/>
      <c r="X101" s="1559"/>
      <c r="Y101" s="1549" t="str">
        <f ca="1">'Calculos(2)'!DD81</f>
        <v/>
      </c>
      <c r="Z101" s="1549"/>
      <c r="AA101" s="1549" t="str">
        <f ca="1">'Calculos(2)'!DE81</f>
        <v/>
      </c>
      <c r="AB101" s="1549"/>
    </row>
    <row r="102" spans="1:30" ht="20.100000000000001" customHeight="1" x14ac:dyDescent="0.25">
      <c r="A102" s="18"/>
      <c r="B102" s="18"/>
      <c r="C102" s="18"/>
      <c r="D102" s="1"/>
      <c r="E102" s="314"/>
      <c r="F102" s="1575"/>
      <c r="G102" s="1383"/>
      <c r="H102" s="1576"/>
      <c r="I102" s="1569" t="s">
        <v>153</v>
      </c>
      <c r="J102" s="1569"/>
      <c r="K102" s="1569"/>
      <c r="L102" s="1569"/>
      <c r="M102" s="1556"/>
      <c r="N102" s="1556"/>
      <c r="O102" s="1556"/>
      <c r="P102" s="1556"/>
      <c r="Q102" s="1552"/>
      <c r="R102" s="1553"/>
      <c r="S102" s="1552"/>
      <c r="T102" s="1553"/>
      <c r="U102" s="1559"/>
      <c r="V102" s="1559"/>
      <c r="W102" s="1559"/>
      <c r="X102" s="1559"/>
      <c r="Y102" s="1549" t="str">
        <f ca="1">'Calculos(2)'!DD82</f>
        <v/>
      </c>
      <c r="Z102" s="1549"/>
      <c r="AA102" s="1549" t="str">
        <f ca="1">'Calculos(2)'!DE82</f>
        <v/>
      </c>
      <c r="AB102" s="1549"/>
    </row>
    <row r="103" spans="1:30" ht="20.100000000000001" customHeight="1" x14ac:dyDescent="0.25">
      <c r="A103" s="18"/>
      <c r="B103" s="18"/>
      <c r="C103" s="18"/>
      <c r="D103" s="1"/>
      <c r="E103" s="314"/>
      <c r="F103" s="1575"/>
      <c r="G103" s="1383"/>
      <c r="H103" s="1576"/>
      <c r="I103" s="1569" t="s">
        <v>154</v>
      </c>
      <c r="J103" s="1569"/>
      <c r="K103" s="1569"/>
      <c r="L103" s="1569"/>
      <c r="M103" s="1556"/>
      <c r="N103" s="1556"/>
      <c r="O103" s="1556"/>
      <c r="P103" s="1556"/>
      <c r="Q103" s="1552"/>
      <c r="R103" s="1553"/>
      <c r="S103" s="1552"/>
      <c r="T103" s="1553"/>
      <c r="U103" s="1559"/>
      <c r="V103" s="1559"/>
      <c r="W103" s="1559"/>
      <c r="X103" s="1559"/>
      <c r="Y103" s="1549" t="str">
        <f ca="1">'Calculos(2)'!DD83</f>
        <v/>
      </c>
      <c r="Z103" s="1549"/>
      <c r="AA103" s="1549" t="str">
        <f ca="1">'Calculos(2)'!DE83</f>
        <v/>
      </c>
      <c r="AB103" s="1549"/>
    </row>
    <row r="104" spans="1:30" ht="20.100000000000001" customHeight="1" x14ac:dyDescent="0.25">
      <c r="A104" s="18"/>
      <c r="B104" s="18"/>
      <c r="C104" s="18"/>
      <c r="D104" s="1"/>
      <c r="E104" s="314"/>
      <c r="F104" s="1575"/>
      <c r="G104" s="1383"/>
      <c r="H104" s="1576"/>
      <c r="I104" s="1569" t="s">
        <v>155</v>
      </c>
      <c r="J104" s="1569"/>
      <c r="K104" s="1569"/>
      <c r="L104" s="1569"/>
      <c r="M104" s="1556"/>
      <c r="N104" s="1556"/>
      <c r="O104" s="1556"/>
      <c r="P104" s="1556"/>
      <c r="Q104" s="1552"/>
      <c r="R104" s="1553"/>
      <c r="S104" s="1552"/>
      <c r="T104" s="1553"/>
      <c r="U104" s="1559"/>
      <c r="V104" s="1559"/>
      <c r="W104" s="1559"/>
      <c r="X104" s="1559"/>
      <c r="Y104" s="1549" t="str">
        <f ca="1">'Calculos(2)'!DD84</f>
        <v/>
      </c>
      <c r="Z104" s="1549"/>
      <c r="AA104" s="1549" t="str">
        <f ca="1">'Calculos(2)'!DE84</f>
        <v/>
      </c>
      <c r="AB104" s="1549"/>
    </row>
    <row r="105" spans="1:30" ht="20.100000000000001" customHeight="1" x14ac:dyDescent="0.25">
      <c r="A105" s="18"/>
      <c r="B105" s="18"/>
      <c r="C105" s="18"/>
      <c r="D105" s="1"/>
      <c r="E105" s="314"/>
      <c r="F105" s="1575"/>
      <c r="G105" s="1383"/>
      <c r="H105" s="1576"/>
      <c r="I105" s="1569" t="s">
        <v>156</v>
      </c>
      <c r="J105" s="1569"/>
      <c r="K105" s="1569"/>
      <c r="L105" s="1569"/>
      <c r="M105" s="1556"/>
      <c r="N105" s="1556"/>
      <c r="O105" s="1556"/>
      <c r="P105" s="1556"/>
      <c r="Q105" s="1552"/>
      <c r="R105" s="1553"/>
      <c r="S105" s="1552"/>
      <c r="T105" s="1553"/>
      <c r="U105" s="1559"/>
      <c r="V105" s="1559"/>
      <c r="W105" s="1559"/>
      <c r="X105" s="1559"/>
      <c r="Y105" s="1549" t="str">
        <f ca="1">'Calculos(2)'!DD85</f>
        <v/>
      </c>
      <c r="Z105" s="1549"/>
      <c r="AA105" s="1549" t="str">
        <f ca="1">'Calculos(2)'!DE85</f>
        <v/>
      </c>
      <c r="AB105" s="1549"/>
    </row>
    <row r="106" spans="1:30" ht="20.100000000000001" customHeight="1" x14ac:dyDescent="0.25">
      <c r="A106" s="18"/>
      <c r="B106" s="18"/>
      <c r="C106" s="18"/>
      <c r="D106" s="1"/>
      <c r="E106" s="314"/>
      <c r="F106" s="1575"/>
      <c r="G106" s="1383"/>
      <c r="H106" s="1576"/>
      <c r="I106" s="1569" t="s">
        <v>157</v>
      </c>
      <c r="J106" s="1569"/>
      <c r="K106" s="1569"/>
      <c r="L106" s="1569"/>
      <c r="M106" s="1556"/>
      <c r="N106" s="1556"/>
      <c r="O106" s="1556"/>
      <c r="P106" s="1556"/>
      <c r="Q106" s="1552"/>
      <c r="R106" s="1553"/>
      <c r="S106" s="1552"/>
      <c r="T106" s="1553"/>
      <c r="U106" s="1559"/>
      <c r="V106" s="1559"/>
      <c r="W106" s="1559"/>
      <c r="X106" s="1559"/>
      <c r="Y106" s="1549" t="str">
        <f ca="1">'Calculos(2)'!DD86</f>
        <v/>
      </c>
      <c r="Z106" s="1549"/>
      <c r="AA106" s="1549" t="str">
        <f ca="1">'Calculos(2)'!DE86</f>
        <v/>
      </c>
      <c r="AB106" s="1549"/>
    </row>
    <row r="107" spans="1:30" ht="20.100000000000001" customHeight="1" x14ac:dyDescent="0.25">
      <c r="A107" s="18"/>
      <c r="B107" s="18"/>
      <c r="C107" s="18"/>
      <c r="D107" s="1"/>
      <c r="E107" s="314"/>
      <c r="F107" s="1575"/>
      <c r="G107" s="1383"/>
      <c r="H107" s="1576"/>
      <c r="I107" s="1569" t="s">
        <v>158</v>
      </c>
      <c r="J107" s="1569"/>
      <c r="K107" s="1569"/>
      <c r="L107" s="1569"/>
      <c r="M107" s="1556"/>
      <c r="N107" s="1556"/>
      <c r="O107" s="1556"/>
      <c r="P107" s="1556"/>
      <c r="Q107" s="1552"/>
      <c r="R107" s="1553"/>
      <c r="S107" s="1552"/>
      <c r="T107" s="1553"/>
      <c r="U107" s="1559"/>
      <c r="V107" s="1559"/>
      <c r="W107" s="1559"/>
      <c r="X107" s="1559"/>
      <c r="Y107" s="1549" t="str">
        <f ca="1">'Calculos(2)'!DD87</f>
        <v/>
      </c>
      <c r="Z107" s="1549"/>
      <c r="AA107" s="1549" t="str">
        <f ca="1">'Calculos(2)'!DE87</f>
        <v/>
      </c>
      <c r="AB107" s="1549"/>
    </row>
    <row r="108" spans="1:30" ht="20.100000000000001" customHeight="1" x14ac:dyDescent="0.25">
      <c r="A108" s="18"/>
      <c r="B108" s="18"/>
      <c r="C108" s="18"/>
      <c r="D108" s="1"/>
      <c r="E108" s="314"/>
      <c r="F108" s="1575"/>
      <c r="G108" s="1383"/>
      <c r="H108" s="1576"/>
      <c r="I108" s="1569" t="s">
        <v>159</v>
      </c>
      <c r="J108" s="1569"/>
      <c r="K108" s="1569"/>
      <c r="L108" s="1569"/>
      <c r="M108" s="1556"/>
      <c r="N108" s="1556"/>
      <c r="O108" s="1556"/>
      <c r="P108" s="1556"/>
      <c r="Q108" s="1552"/>
      <c r="R108" s="1553"/>
      <c r="S108" s="1552"/>
      <c r="T108" s="1553"/>
      <c r="U108" s="1559"/>
      <c r="V108" s="1559"/>
      <c r="W108" s="1559"/>
      <c r="X108" s="1559"/>
      <c r="Y108" s="1549" t="str">
        <f ca="1">'Calculos(2)'!DD88</f>
        <v/>
      </c>
      <c r="Z108" s="1549"/>
      <c r="AA108" s="1549" t="str">
        <f ca="1">'Calculos(2)'!DE88</f>
        <v/>
      </c>
      <c r="AB108" s="1549"/>
    </row>
    <row r="109" spans="1:30" ht="20.100000000000001" customHeight="1" x14ac:dyDescent="0.25">
      <c r="A109" s="18"/>
      <c r="B109" s="18"/>
      <c r="C109" s="18"/>
      <c r="D109" s="1"/>
      <c r="E109" s="314"/>
      <c r="F109" s="1575"/>
      <c r="G109" s="1383"/>
      <c r="H109" s="1576"/>
      <c r="I109" s="1569" t="s">
        <v>160</v>
      </c>
      <c r="J109" s="1569"/>
      <c r="K109" s="1569"/>
      <c r="L109" s="1569"/>
      <c r="M109" s="1556"/>
      <c r="N109" s="1556"/>
      <c r="O109" s="1556"/>
      <c r="P109" s="1556"/>
      <c r="Q109" s="1552"/>
      <c r="R109" s="1553"/>
      <c r="S109" s="1552"/>
      <c r="T109" s="1553"/>
      <c r="U109" s="1559"/>
      <c r="V109" s="1559"/>
      <c r="W109" s="1559"/>
      <c r="X109" s="1559"/>
      <c r="Y109" s="1549" t="str">
        <f ca="1">'Calculos(2)'!DD89</f>
        <v/>
      </c>
      <c r="Z109" s="1549"/>
      <c r="AA109" s="1549" t="str">
        <f ca="1">'Calculos(2)'!DE89</f>
        <v/>
      </c>
      <c r="AB109" s="1549"/>
    </row>
    <row r="110" spans="1:30" ht="20.100000000000001" customHeight="1" x14ac:dyDescent="0.25">
      <c r="A110" s="18"/>
      <c r="B110" s="18"/>
      <c r="C110" s="18"/>
      <c r="D110" s="1"/>
      <c r="E110" s="314"/>
      <c r="F110" s="1577"/>
      <c r="G110" s="1578"/>
      <c r="H110" s="1579"/>
      <c r="I110" s="1569" t="s">
        <v>161</v>
      </c>
      <c r="J110" s="1569"/>
      <c r="K110" s="1569"/>
      <c r="L110" s="1569"/>
      <c r="M110" s="1556"/>
      <c r="N110" s="1556"/>
      <c r="O110" s="1556"/>
      <c r="P110" s="1556"/>
      <c r="Q110" s="1552"/>
      <c r="R110" s="1553"/>
      <c r="S110" s="1552"/>
      <c r="T110" s="1553"/>
      <c r="U110" s="1559"/>
      <c r="V110" s="1559"/>
      <c r="W110" s="1559"/>
      <c r="X110" s="1559"/>
      <c r="Y110" s="1549" t="str">
        <f ca="1">'Calculos(2)'!DD90</f>
        <v/>
      </c>
      <c r="Z110" s="1549"/>
      <c r="AA110" s="1549" t="str">
        <f ca="1">'Calculos(2)'!DE90</f>
        <v/>
      </c>
      <c r="AB110" s="1549"/>
    </row>
    <row r="111" spans="1:30" ht="20.100000000000001" customHeight="1" x14ac:dyDescent="0.25">
      <c r="A111" s="18"/>
      <c r="B111" s="18"/>
      <c r="C111" s="18"/>
      <c r="D111" s="1"/>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20.100000000000001" customHeight="1" x14ac:dyDescent="0.25">
      <c r="A112" s="18"/>
      <c r="B112" s="18"/>
      <c r="C112" s="18"/>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20.100000000000001" customHeight="1" x14ac:dyDescent="0.25">
      <c r="A113" s="18"/>
      <c r="B113" s="18"/>
      <c r="C113" s="18"/>
      <c r="D113" s="1"/>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20.100000000000001" customHeight="1" x14ac:dyDescent="0.25">
      <c r="A114" s="18"/>
      <c r="B114" s="18"/>
      <c r="C114" s="18"/>
      <c r="D114" s="1"/>
      <c r="E114" s="314"/>
      <c r="F114" s="1572" t="s">
        <v>6015</v>
      </c>
      <c r="G114" s="1573"/>
      <c r="H114" s="1574"/>
      <c r="I114" s="1538" t="s">
        <v>225</v>
      </c>
      <c r="J114" s="1538"/>
      <c r="K114" s="1538"/>
      <c r="L114" s="1538"/>
      <c r="M114" s="1512" t="s">
        <v>36</v>
      </c>
      <c r="N114" s="1512"/>
      <c r="O114" s="1557"/>
      <c r="P114" s="1557"/>
      <c r="Q114" s="1557"/>
      <c r="R114" s="1557"/>
      <c r="S114" s="1512" t="s">
        <v>7949</v>
      </c>
      <c r="T114" s="1512"/>
      <c r="U114" s="1580"/>
      <c r="V114" s="1580"/>
      <c r="W114" s="314"/>
      <c r="X114" s="314"/>
      <c r="Y114" s="314"/>
      <c r="Z114" s="2"/>
      <c r="AA114" s="2"/>
      <c r="AB114" s="2"/>
      <c r="AC114" s="2"/>
      <c r="AD114" s="2"/>
    </row>
    <row r="115" spans="1:30" s="2" customFormat="1" ht="20.100000000000001" customHeight="1" x14ac:dyDescent="0.25">
      <c r="A115" s="18"/>
      <c r="B115" s="18"/>
      <c r="C115" s="18"/>
      <c r="D115" s="1"/>
      <c r="E115" s="314"/>
      <c r="F115" s="1575"/>
      <c r="G115" s="1383"/>
      <c r="H115" s="1576"/>
      <c r="I115" s="1538"/>
      <c r="J115" s="1538"/>
      <c r="K115" s="1538"/>
      <c r="L115" s="1538"/>
      <c r="M115" s="984" t="s">
        <v>37</v>
      </c>
      <c r="N115" s="986"/>
      <c r="O115" s="1581"/>
      <c r="P115" s="1582"/>
      <c r="Q115" s="1582"/>
      <c r="R115" s="1583"/>
      <c r="S115" s="1512"/>
      <c r="T115" s="1512"/>
      <c r="U115" s="1580"/>
      <c r="V115" s="1580"/>
      <c r="W115" s="314"/>
      <c r="X115" s="314"/>
      <c r="Y115" s="314"/>
    </row>
    <row r="116" spans="1:30" s="104" customFormat="1" ht="39.950000000000003" customHeight="1" x14ac:dyDescent="0.25">
      <c r="A116" s="371"/>
      <c r="B116" s="371"/>
      <c r="C116" s="371"/>
      <c r="D116" s="1"/>
      <c r="E116" s="315"/>
      <c r="F116" s="1575"/>
      <c r="G116" s="1383"/>
      <c r="H116" s="1576"/>
      <c r="I116" s="1012" t="s">
        <v>6009</v>
      </c>
      <c r="J116" s="1012"/>
      <c r="K116" s="1012"/>
      <c r="L116" s="1012"/>
      <c r="M116" s="1554" t="s">
        <v>263</v>
      </c>
      <c r="N116" s="1554"/>
      <c r="O116" s="1554"/>
      <c r="P116" s="1554"/>
      <c r="Q116" s="1555" t="s">
        <v>8116</v>
      </c>
      <c r="R116" s="1555"/>
      <c r="S116" s="1555"/>
      <c r="T116" s="1555"/>
      <c r="U116" s="1550" t="s">
        <v>122</v>
      </c>
      <c r="V116" s="1550"/>
      <c r="W116" s="1550"/>
      <c r="X116" s="1550"/>
      <c r="Y116" s="1550" t="s">
        <v>194</v>
      </c>
      <c r="Z116" s="1550"/>
      <c r="AA116" s="1550"/>
      <c r="AB116" s="1550"/>
      <c r="AC116" s="372"/>
      <c r="AD116" s="372"/>
    </row>
    <row r="117" spans="1:30" s="2" customFormat="1" ht="20.100000000000001" customHeight="1" x14ac:dyDescent="0.25">
      <c r="A117" s="18"/>
      <c r="B117" s="18"/>
      <c r="C117" s="18"/>
      <c r="D117" s="1"/>
      <c r="E117" s="314"/>
      <c r="F117" s="1575"/>
      <c r="G117" s="1383"/>
      <c r="H117" s="1576"/>
      <c r="I117" s="1012"/>
      <c r="J117" s="1012"/>
      <c r="K117" s="1012"/>
      <c r="L117" s="1012"/>
      <c r="M117" s="1551" t="str">
        <f ca="1">'Calculos(2)'!$DL$30</f>
        <v>-</v>
      </c>
      <c r="N117" s="1551"/>
      <c r="O117" s="1551" t="str">
        <f ca="1">'Calculos(2)'!$DM$30</f>
        <v>-</v>
      </c>
      <c r="P117" s="1551"/>
      <c r="Q117" s="1551" t="str">
        <f ca="1">'Calculos(2)'!$DL$30</f>
        <v>-</v>
      </c>
      <c r="R117" s="1551"/>
      <c r="S117" s="1551" t="str">
        <f ca="1">'Calculos(2)'!$DM$30</f>
        <v>-</v>
      </c>
      <c r="T117" s="1551"/>
      <c r="U117" s="1551" t="str">
        <f ca="1">'Calculos(2)'!$DL$30</f>
        <v>-</v>
      </c>
      <c r="V117" s="1551"/>
      <c r="W117" s="1551" t="str">
        <f ca="1">'Calculos(2)'!$DM$30</f>
        <v>-</v>
      </c>
      <c r="X117" s="1551"/>
      <c r="Y117" s="1551" t="str">
        <f ca="1">'Calculos(2)'!$DL$30</f>
        <v>-</v>
      </c>
      <c r="Z117" s="1551"/>
      <c r="AA117" s="1551" t="str">
        <f ca="1">'Calculos(2)'!$DM$30</f>
        <v>-</v>
      </c>
      <c r="AB117" s="1551"/>
      <c r="AC117" s="20"/>
      <c r="AD117" s="20"/>
    </row>
    <row r="118" spans="1:30" s="2" customFormat="1" ht="20.100000000000001" customHeight="1" x14ac:dyDescent="0.25">
      <c r="A118" s="18"/>
      <c r="B118" s="18"/>
      <c r="C118" s="18"/>
      <c r="D118" s="1"/>
      <c r="E118" s="314"/>
      <c r="F118" s="1575"/>
      <c r="G118" s="1383"/>
      <c r="H118" s="1576"/>
      <c r="I118" s="1569" t="s">
        <v>152</v>
      </c>
      <c r="J118" s="1569"/>
      <c r="K118" s="1569"/>
      <c r="L118" s="1569"/>
      <c r="M118" s="1556"/>
      <c r="N118" s="1556"/>
      <c r="O118" s="1556"/>
      <c r="P118" s="1556"/>
      <c r="Q118" s="1552"/>
      <c r="R118" s="1553"/>
      <c r="S118" s="1552"/>
      <c r="T118" s="1553"/>
      <c r="U118" s="1559"/>
      <c r="V118" s="1559"/>
      <c r="W118" s="1559"/>
      <c r="X118" s="1559"/>
      <c r="Y118" s="1549" t="str">
        <f ca="1">'Calculos(2)'!DD91</f>
        <v/>
      </c>
      <c r="Z118" s="1549"/>
      <c r="AA118" s="1549" t="str">
        <f ca="1">'Calculos(2)'!DE91</f>
        <v/>
      </c>
      <c r="AB118" s="1549"/>
      <c r="AC118" s="20"/>
      <c r="AD118" s="20"/>
    </row>
    <row r="119" spans="1:30" s="2" customFormat="1" ht="20.100000000000001" customHeight="1" x14ac:dyDescent="0.25">
      <c r="A119" s="18"/>
      <c r="B119" s="18"/>
      <c r="C119" s="18"/>
      <c r="D119" s="1"/>
      <c r="E119" s="314"/>
      <c r="F119" s="1575"/>
      <c r="G119" s="1383"/>
      <c r="H119" s="1576"/>
      <c r="I119" s="1569" t="s">
        <v>153</v>
      </c>
      <c r="J119" s="1569"/>
      <c r="K119" s="1569"/>
      <c r="L119" s="1569"/>
      <c r="M119" s="1556"/>
      <c r="N119" s="1556"/>
      <c r="O119" s="1556"/>
      <c r="P119" s="1556"/>
      <c r="Q119" s="1552"/>
      <c r="R119" s="1553"/>
      <c r="S119" s="1552"/>
      <c r="T119" s="1553"/>
      <c r="U119" s="1559"/>
      <c r="V119" s="1559"/>
      <c r="W119" s="1559"/>
      <c r="X119" s="1559"/>
      <c r="Y119" s="1549" t="str">
        <f ca="1">'Calculos(2)'!DD92</f>
        <v/>
      </c>
      <c r="Z119" s="1549"/>
      <c r="AA119" s="1549" t="str">
        <f ca="1">'Calculos(2)'!DE92</f>
        <v/>
      </c>
      <c r="AB119" s="1549"/>
      <c r="AC119" s="20"/>
      <c r="AD119" s="20"/>
    </row>
    <row r="120" spans="1:30" s="2" customFormat="1" ht="20.100000000000001" customHeight="1" x14ac:dyDescent="0.25">
      <c r="A120" s="18"/>
      <c r="B120" s="18"/>
      <c r="C120" s="18"/>
      <c r="D120" s="1"/>
      <c r="E120" s="314"/>
      <c r="F120" s="1575"/>
      <c r="G120" s="1383"/>
      <c r="H120" s="1576"/>
      <c r="I120" s="1569" t="s">
        <v>154</v>
      </c>
      <c r="J120" s="1569"/>
      <c r="K120" s="1569"/>
      <c r="L120" s="1569"/>
      <c r="M120" s="1556"/>
      <c r="N120" s="1556"/>
      <c r="O120" s="1556"/>
      <c r="P120" s="1556"/>
      <c r="Q120" s="1552"/>
      <c r="R120" s="1553"/>
      <c r="S120" s="1552"/>
      <c r="T120" s="1553"/>
      <c r="U120" s="1559"/>
      <c r="V120" s="1559"/>
      <c r="W120" s="1559"/>
      <c r="X120" s="1559"/>
      <c r="Y120" s="1549" t="str">
        <f ca="1">'Calculos(2)'!DD93</f>
        <v/>
      </c>
      <c r="Z120" s="1549"/>
      <c r="AA120" s="1549" t="str">
        <f ca="1">'Calculos(2)'!DE93</f>
        <v/>
      </c>
      <c r="AB120" s="1549"/>
      <c r="AC120" s="20"/>
      <c r="AD120" s="20"/>
    </row>
    <row r="121" spans="1:30" s="2" customFormat="1" ht="20.100000000000001" customHeight="1" x14ac:dyDescent="0.25">
      <c r="A121" s="18"/>
      <c r="B121" s="18"/>
      <c r="C121" s="18"/>
      <c r="D121" s="1"/>
      <c r="E121" s="314"/>
      <c r="F121" s="1575"/>
      <c r="G121" s="1383"/>
      <c r="H121" s="1576"/>
      <c r="I121" s="1569" t="s">
        <v>155</v>
      </c>
      <c r="J121" s="1569"/>
      <c r="K121" s="1569"/>
      <c r="L121" s="1569"/>
      <c r="M121" s="1556"/>
      <c r="N121" s="1556"/>
      <c r="O121" s="1556"/>
      <c r="P121" s="1556"/>
      <c r="Q121" s="1552"/>
      <c r="R121" s="1553"/>
      <c r="S121" s="1552"/>
      <c r="T121" s="1553"/>
      <c r="U121" s="1559"/>
      <c r="V121" s="1559"/>
      <c r="W121" s="1559"/>
      <c r="X121" s="1559"/>
      <c r="Y121" s="1549" t="str">
        <f ca="1">'Calculos(2)'!DD94</f>
        <v/>
      </c>
      <c r="Z121" s="1549"/>
      <c r="AA121" s="1549" t="str">
        <f ca="1">'Calculos(2)'!DE94</f>
        <v/>
      </c>
      <c r="AB121" s="1549"/>
      <c r="AC121" s="20"/>
      <c r="AD121" s="20"/>
    </row>
    <row r="122" spans="1:30" s="2" customFormat="1" ht="20.100000000000001" customHeight="1" x14ac:dyDescent="0.25">
      <c r="A122" s="18"/>
      <c r="B122" s="18"/>
      <c r="C122" s="18"/>
      <c r="D122" s="1"/>
      <c r="E122" s="314"/>
      <c r="F122" s="1575"/>
      <c r="G122" s="1383"/>
      <c r="H122" s="1576"/>
      <c r="I122" s="1569" t="s">
        <v>156</v>
      </c>
      <c r="J122" s="1569"/>
      <c r="K122" s="1569"/>
      <c r="L122" s="1569"/>
      <c r="M122" s="1556"/>
      <c r="N122" s="1556"/>
      <c r="O122" s="1556"/>
      <c r="P122" s="1556"/>
      <c r="Q122" s="1552"/>
      <c r="R122" s="1553"/>
      <c r="S122" s="1552"/>
      <c r="T122" s="1553"/>
      <c r="U122" s="1559"/>
      <c r="V122" s="1559"/>
      <c r="W122" s="1559"/>
      <c r="X122" s="1559"/>
      <c r="Y122" s="1549" t="str">
        <f ca="1">'Calculos(2)'!DD95</f>
        <v/>
      </c>
      <c r="Z122" s="1549"/>
      <c r="AA122" s="1549" t="str">
        <f ca="1">'Calculos(2)'!DE95</f>
        <v/>
      </c>
      <c r="AB122" s="1549"/>
      <c r="AC122" s="20"/>
      <c r="AD122" s="20"/>
    </row>
    <row r="123" spans="1:30" s="2" customFormat="1" ht="20.100000000000001" customHeight="1" x14ac:dyDescent="0.25">
      <c r="A123" s="18"/>
      <c r="B123" s="18"/>
      <c r="C123" s="18"/>
      <c r="D123" s="1"/>
      <c r="E123" s="314"/>
      <c r="F123" s="1575"/>
      <c r="G123" s="1383"/>
      <c r="H123" s="1576"/>
      <c r="I123" s="1569" t="s">
        <v>157</v>
      </c>
      <c r="J123" s="1569"/>
      <c r="K123" s="1569"/>
      <c r="L123" s="1569"/>
      <c r="M123" s="1556"/>
      <c r="N123" s="1556"/>
      <c r="O123" s="1556"/>
      <c r="P123" s="1556"/>
      <c r="Q123" s="1552"/>
      <c r="R123" s="1553"/>
      <c r="S123" s="1552"/>
      <c r="T123" s="1553"/>
      <c r="U123" s="1559"/>
      <c r="V123" s="1559"/>
      <c r="W123" s="1559"/>
      <c r="X123" s="1559"/>
      <c r="Y123" s="1549" t="str">
        <f ca="1">'Calculos(2)'!DD96</f>
        <v/>
      </c>
      <c r="Z123" s="1549"/>
      <c r="AA123" s="1549" t="str">
        <f ca="1">'Calculos(2)'!DE96</f>
        <v/>
      </c>
      <c r="AB123" s="1549"/>
      <c r="AC123" s="20"/>
      <c r="AD123" s="20"/>
    </row>
    <row r="124" spans="1:30" s="2" customFormat="1" ht="20.100000000000001" customHeight="1" x14ac:dyDescent="0.25">
      <c r="A124" s="18"/>
      <c r="B124" s="18"/>
      <c r="C124" s="18"/>
      <c r="D124" s="1"/>
      <c r="E124" s="314"/>
      <c r="F124" s="1575"/>
      <c r="G124" s="1383"/>
      <c r="H124" s="1576"/>
      <c r="I124" s="1569" t="s">
        <v>158</v>
      </c>
      <c r="J124" s="1569"/>
      <c r="K124" s="1569"/>
      <c r="L124" s="1569"/>
      <c r="M124" s="1556"/>
      <c r="N124" s="1556"/>
      <c r="O124" s="1556"/>
      <c r="P124" s="1556"/>
      <c r="Q124" s="1552"/>
      <c r="R124" s="1553"/>
      <c r="S124" s="1552"/>
      <c r="T124" s="1553"/>
      <c r="U124" s="1559"/>
      <c r="V124" s="1559"/>
      <c r="W124" s="1559"/>
      <c r="X124" s="1559"/>
      <c r="Y124" s="1549" t="str">
        <f ca="1">'Calculos(2)'!DD97</f>
        <v/>
      </c>
      <c r="Z124" s="1549"/>
      <c r="AA124" s="1549" t="str">
        <f ca="1">'Calculos(2)'!DE97</f>
        <v/>
      </c>
      <c r="AB124" s="1549"/>
      <c r="AC124" s="20"/>
      <c r="AD124" s="20"/>
    </row>
    <row r="125" spans="1:30" s="2" customFormat="1" ht="20.100000000000001" customHeight="1" x14ac:dyDescent="0.25">
      <c r="A125" s="18"/>
      <c r="B125" s="18"/>
      <c r="C125" s="18"/>
      <c r="D125" s="1"/>
      <c r="E125" s="314"/>
      <c r="F125" s="1575"/>
      <c r="G125" s="1383"/>
      <c r="H125" s="1576"/>
      <c r="I125" s="1569" t="s">
        <v>159</v>
      </c>
      <c r="J125" s="1569"/>
      <c r="K125" s="1569"/>
      <c r="L125" s="1569"/>
      <c r="M125" s="1556"/>
      <c r="N125" s="1556"/>
      <c r="O125" s="1556"/>
      <c r="P125" s="1556"/>
      <c r="Q125" s="1552"/>
      <c r="R125" s="1553"/>
      <c r="S125" s="1552"/>
      <c r="T125" s="1553"/>
      <c r="U125" s="1559"/>
      <c r="V125" s="1559"/>
      <c r="W125" s="1559"/>
      <c r="X125" s="1559"/>
      <c r="Y125" s="1549" t="str">
        <f ca="1">'Calculos(2)'!DD98</f>
        <v/>
      </c>
      <c r="Z125" s="1549"/>
      <c r="AA125" s="1549" t="str">
        <f ca="1">'Calculos(2)'!DE98</f>
        <v/>
      </c>
      <c r="AB125" s="1549"/>
      <c r="AC125" s="20"/>
      <c r="AD125" s="20"/>
    </row>
    <row r="126" spans="1:30" s="2" customFormat="1" ht="20.100000000000001" customHeight="1" x14ac:dyDescent="0.25">
      <c r="A126" s="18"/>
      <c r="B126" s="18"/>
      <c r="C126" s="18"/>
      <c r="D126" s="1"/>
      <c r="E126" s="314"/>
      <c r="F126" s="1575"/>
      <c r="G126" s="1383"/>
      <c r="H126" s="1576"/>
      <c r="I126" s="1569" t="s">
        <v>160</v>
      </c>
      <c r="J126" s="1569"/>
      <c r="K126" s="1569"/>
      <c r="L126" s="1569"/>
      <c r="M126" s="1556"/>
      <c r="N126" s="1556"/>
      <c r="O126" s="1556"/>
      <c r="P126" s="1556"/>
      <c r="Q126" s="1552"/>
      <c r="R126" s="1553"/>
      <c r="S126" s="1552"/>
      <c r="T126" s="1553"/>
      <c r="U126" s="1559"/>
      <c r="V126" s="1559"/>
      <c r="W126" s="1559"/>
      <c r="X126" s="1559"/>
      <c r="Y126" s="1549" t="str">
        <f ca="1">'Calculos(2)'!DD99</f>
        <v/>
      </c>
      <c r="Z126" s="1549"/>
      <c r="AA126" s="1549" t="str">
        <f ca="1">'Calculos(2)'!DE99</f>
        <v/>
      </c>
      <c r="AB126" s="1549"/>
      <c r="AC126" s="20"/>
      <c r="AD126" s="20"/>
    </row>
    <row r="127" spans="1:30" ht="20.100000000000001" customHeight="1" x14ac:dyDescent="0.25">
      <c r="A127" s="18"/>
      <c r="B127" s="18"/>
      <c r="C127" s="18"/>
      <c r="D127" s="1"/>
      <c r="E127" s="314"/>
      <c r="F127" s="1577"/>
      <c r="G127" s="1578"/>
      <c r="H127" s="1579"/>
      <c r="I127" s="1569" t="s">
        <v>161</v>
      </c>
      <c r="J127" s="1569"/>
      <c r="K127" s="1569"/>
      <c r="L127" s="1569"/>
      <c r="M127" s="1556"/>
      <c r="N127" s="1556"/>
      <c r="O127" s="1556"/>
      <c r="P127" s="1556"/>
      <c r="Q127" s="1552"/>
      <c r="R127" s="1553"/>
      <c r="S127" s="1552"/>
      <c r="T127" s="1553"/>
      <c r="U127" s="1559"/>
      <c r="V127" s="1559"/>
      <c r="W127" s="1559"/>
      <c r="X127" s="1559"/>
      <c r="Y127" s="1549" t="str">
        <f ca="1">'Calculos(2)'!DD100</f>
        <v/>
      </c>
      <c r="Z127" s="1549"/>
      <c r="AA127" s="1549" t="str">
        <f ca="1">'Calculos(2)'!DE100</f>
        <v/>
      </c>
      <c r="AB127" s="1549"/>
    </row>
    <row r="128" spans="1:30" ht="20.100000000000001" customHeight="1" x14ac:dyDescent="0.25">
      <c r="A128" s="18"/>
      <c r="B128" s="18"/>
      <c r="C128" s="18"/>
      <c r="D128" s="1"/>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20.100000000000001" customHeight="1" x14ac:dyDescent="0.25">
      <c r="A129" s="18"/>
      <c r="B129" s="18"/>
      <c r="C129" s="18"/>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20.100000000000001" customHeight="1" x14ac:dyDescent="0.25">
      <c r="A130" s="18"/>
      <c r="B130" s="18"/>
      <c r="C130" s="18"/>
      <c r="D130" s="1"/>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20.100000000000001" customHeight="1" x14ac:dyDescent="0.25">
      <c r="A131" s="18"/>
      <c r="B131" s="18"/>
      <c r="C131" s="18"/>
      <c r="D131" s="1"/>
      <c r="E131" s="314"/>
      <c r="F131" s="1572" t="s">
        <v>6010</v>
      </c>
      <c r="G131" s="1573"/>
      <c r="H131" s="1574"/>
      <c r="I131" s="1538" t="s">
        <v>225</v>
      </c>
      <c r="J131" s="1538"/>
      <c r="K131" s="1538"/>
      <c r="L131" s="1538"/>
      <c r="M131" s="1512" t="s">
        <v>36</v>
      </c>
      <c r="N131" s="1512"/>
      <c r="O131" s="1557"/>
      <c r="P131" s="1557"/>
      <c r="Q131" s="1557"/>
      <c r="R131" s="1557"/>
      <c r="S131" s="1512" t="s">
        <v>7949</v>
      </c>
      <c r="T131" s="1512"/>
      <c r="U131" s="1580"/>
      <c r="V131" s="1580"/>
      <c r="W131" s="314"/>
      <c r="X131" s="314"/>
      <c r="Y131" s="314"/>
      <c r="Z131" s="2"/>
      <c r="AA131" s="2"/>
      <c r="AB131" s="2"/>
      <c r="AC131" s="2"/>
      <c r="AD131" s="2"/>
    </row>
    <row r="132" spans="1:30" ht="20.100000000000001" customHeight="1" x14ac:dyDescent="0.25">
      <c r="A132" s="18"/>
      <c r="B132" s="18"/>
      <c r="C132" s="18"/>
      <c r="D132" s="1"/>
      <c r="E132" s="314"/>
      <c r="F132" s="1575"/>
      <c r="G132" s="1383"/>
      <c r="H132" s="1576"/>
      <c r="I132" s="1538"/>
      <c r="J132" s="1538"/>
      <c r="K132" s="1538"/>
      <c r="L132" s="1538"/>
      <c r="M132" s="1512" t="s">
        <v>37</v>
      </c>
      <c r="N132" s="1512"/>
      <c r="O132" s="1557"/>
      <c r="P132" s="1557"/>
      <c r="Q132" s="1557"/>
      <c r="R132" s="1557"/>
      <c r="S132" s="1512"/>
      <c r="T132" s="1512"/>
      <c r="U132" s="1580"/>
      <c r="V132" s="1580"/>
      <c r="W132" s="314"/>
      <c r="X132" s="314"/>
      <c r="Y132" s="314"/>
      <c r="Z132" s="2"/>
      <c r="AA132" s="2"/>
      <c r="AB132" s="2"/>
      <c r="AC132" s="2"/>
      <c r="AD132" s="2"/>
    </row>
    <row r="133" spans="1:30" s="372" customFormat="1" ht="39.950000000000003" customHeight="1" x14ac:dyDescent="0.25">
      <c r="A133" s="371"/>
      <c r="B133" s="371"/>
      <c r="C133" s="371"/>
      <c r="D133" s="1"/>
      <c r="E133" s="315"/>
      <c r="F133" s="1575"/>
      <c r="G133" s="1383"/>
      <c r="H133" s="1576"/>
      <c r="I133" s="1012" t="s">
        <v>6009</v>
      </c>
      <c r="J133" s="1012"/>
      <c r="K133" s="1012"/>
      <c r="L133" s="1012"/>
      <c r="M133" s="1554" t="s">
        <v>263</v>
      </c>
      <c r="N133" s="1554"/>
      <c r="O133" s="1554"/>
      <c r="P133" s="1554"/>
      <c r="Q133" s="1555" t="s">
        <v>8116</v>
      </c>
      <c r="R133" s="1555"/>
      <c r="S133" s="1555"/>
      <c r="T133" s="1555"/>
      <c r="U133" s="1550" t="s">
        <v>122</v>
      </c>
      <c r="V133" s="1550"/>
      <c r="W133" s="1550"/>
      <c r="X133" s="1550"/>
      <c r="Y133" s="1550" t="s">
        <v>194</v>
      </c>
      <c r="Z133" s="1550"/>
      <c r="AA133" s="1550"/>
      <c r="AB133" s="1550"/>
    </row>
    <row r="134" spans="1:30" ht="20.100000000000001" customHeight="1" x14ac:dyDescent="0.25">
      <c r="A134" s="18"/>
      <c r="B134" s="18"/>
      <c r="C134" s="18"/>
      <c r="D134" s="1"/>
      <c r="E134" s="314"/>
      <c r="F134" s="1575"/>
      <c r="G134" s="1383"/>
      <c r="H134" s="1576"/>
      <c r="I134" s="1012"/>
      <c r="J134" s="1012"/>
      <c r="K134" s="1012"/>
      <c r="L134" s="1012"/>
      <c r="M134" s="1551" t="str">
        <f ca="1">'Calculos(2)'!$DL$30</f>
        <v>-</v>
      </c>
      <c r="N134" s="1551"/>
      <c r="O134" s="1551" t="str">
        <f ca="1">'Calculos(2)'!$DM$30</f>
        <v>-</v>
      </c>
      <c r="P134" s="1551"/>
      <c r="Q134" s="1551" t="str">
        <f ca="1">'Calculos(2)'!$DL$30</f>
        <v>-</v>
      </c>
      <c r="R134" s="1551"/>
      <c r="S134" s="1551" t="str">
        <f ca="1">'Calculos(2)'!$DM$30</f>
        <v>-</v>
      </c>
      <c r="T134" s="1551"/>
      <c r="U134" s="1551" t="str">
        <f ca="1">'Calculos(2)'!$DL$30</f>
        <v>-</v>
      </c>
      <c r="V134" s="1551"/>
      <c r="W134" s="1551" t="str">
        <f ca="1">'Calculos(2)'!$DM$30</f>
        <v>-</v>
      </c>
      <c r="X134" s="1551"/>
      <c r="Y134" s="1551" t="str">
        <f ca="1">'Calculos(2)'!$DL$30</f>
        <v>-</v>
      </c>
      <c r="Z134" s="1551"/>
      <c r="AA134" s="1551" t="str">
        <f ca="1">'Calculos(2)'!$DM$30</f>
        <v>-</v>
      </c>
      <c r="AB134" s="1551"/>
    </row>
    <row r="135" spans="1:30" ht="20.100000000000001" customHeight="1" x14ac:dyDescent="0.25">
      <c r="A135" s="18"/>
      <c r="B135" s="18"/>
      <c r="C135" s="18"/>
      <c r="D135" s="1"/>
      <c r="E135" s="314"/>
      <c r="F135" s="1575"/>
      <c r="G135" s="1383"/>
      <c r="H135" s="1576"/>
      <c r="I135" s="1569" t="s">
        <v>152</v>
      </c>
      <c r="J135" s="1569"/>
      <c r="K135" s="1569"/>
      <c r="L135" s="1569"/>
      <c r="M135" s="1556"/>
      <c r="N135" s="1556"/>
      <c r="O135" s="1556"/>
      <c r="P135" s="1556"/>
      <c r="Q135" s="1552"/>
      <c r="R135" s="1553"/>
      <c r="S135" s="1552"/>
      <c r="T135" s="1553"/>
      <c r="U135" s="1559"/>
      <c r="V135" s="1559"/>
      <c r="W135" s="1559"/>
      <c r="X135" s="1559"/>
      <c r="Y135" s="1549" t="str">
        <f ca="1">'Calculos(2)'!DD101</f>
        <v/>
      </c>
      <c r="Z135" s="1549"/>
      <c r="AA135" s="1549" t="str">
        <f ca="1">'Calculos(2)'!DE101</f>
        <v/>
      </c>
      <c r="AB135" s="1549"/>
    </row>
    <row r="136" spans="1:30" ht="20.100000000000001" customHeight="1" x14ac:dyDescent="0.25">
      <c r="A136" s="18"/>
      <c r="B136" s="18"/>
      <c r="C136" s="18"/>
      <c r="D136" s="1"/>
      <c r="E136" s="314"/>
      <c r="F136" s="1575"/>
      <c r="G136" s="1383"/>
      <c r="H136" s="1576"/>
      <c r="I136" s="1569" t="s">
        <v>153</v>
      </c>
      <c r="J136" s="1569"/>
      <c r="K136" s="1569"/>
      <c r="L136" s="1569"/>
      <c r="M136" s="1556"/>
      <c r="N136" s="1556"/>
      <c r="O136" s="1556"/>
      <c r="P136" s="1556"/>
      <c r="Q136" s="1552"/>
      <c r="R136" s="1553"/>
      <c r="S136" s="1552"/>
      <c r="T136" s="1553"/>
      <c r="U136" s="1559"/>
      <c r="V136" s="1559"/>
      <c r="W136" s="1559"/>
      <c r="X136" s="1559"/>
      <c r="Y136" s="1549" t="str">
        <f ca="1">'Calculos(2)'!DD102</f>
        <v/>
      </c>
      <c r="Z136" s="1549"/>
      <c r="AA136" s="1549" t="str">
        <f ca="1">'Calculos(2)'!DE102</f>
        <v/>
      </c>
      <c r="AB136" s="1549"/>
    </row>
    <row r="137" spans="1:30" ht="20.100000000000001" customHeight="1" x14ac:dyDescent="0.25">
      <c r="A137" s="18"/>
      <c r="B137" s="18"/>
      <c r="C137" s="18"/>
      <c r="D137" s="1"/>
      <c r="E137" s="314"/>
      <c r="F137" s="1575"/>
      <c r="G137" s="1383"/>
      <c r="H137" s="1576"/>
      <c r="I137" s="1569" t="s">
        <v>154</v>
      </c>
      <c r="J137" s="1569"/>
      <c r="K137" s="1569"/>
      <c r="L137" s="1569"/>
      <c r="M137" s="1556"/>
      <c r="N137" s="1556"/>
      <c r="O137" s="1556"/>
      <c r="P137" s="1556"/>
      <c r="Q137" s="1552"/>
      <c r="R137" s="1553"/>
      <c r="S137" s="1552"/>
      <c r="T137" s="1553"/>
      <c r="U137" s="1559"/>
      <c r="V137" s="1559"/>
      <c r="W137" s="1559"/>
      <c r="X137" s="1559"/>
      <c r="Y137" s="1549" t="str">
        <f ca="1">'Calculos(2)'!DD103</f>
        <v/>
      </c>
      <c r="Z137" s="1549"/>
      <c r="AA137" s="1549" t="str">
        <f ca="1">'Calculos(2)'!DE103</f>
        <v/>
      </c>
      <c r="AB137" s="1549"/>
    </row>
    <row r="138" spans="1:30" ht="20.100000000000001" customHeight="1" x14ac:dyDescent="0.25">
      <c r="A138" s="18"/>
      <c r="B138" s="18"/>
      <c r="C138" s="18"/>
      <c r="D138" s="1"/>
      <c r="E138" s="314"/>
      <c r="F138" s="1575"/>
      <c r="G138" s="1383"/>
      <c r="H138" s="1576"/>
      <c r="I138" s="1569" t="s">
        <v>155</v>
      </c>
      <c r="J138" s="1569"/>
      <c r="K138" s="1569"/>
      <c r="L138" s="1569"/>
      <c r="M138" s="1556"/>
      <c r="N138" s="1556"/>
      <c r="O138" s="1556"/>
      <c r="P138" s="1556"/>
      <c r="Q138" s="1552"/>
      <c r="R138" s="1553"/>
      <c r="S138" s="1552"/>
      <c r="T138" s="1553"/>
      <c r="U138" s="1559"/>
      <c r="V138" s="1559"/>
      <c r="W138" s="1559"/>
      <c r="X138" s="1559"/>
      <c r="Y138" s="1549" t="str">
        <f ca="1">'Calculos(2)'!DD104</f>
        <v/>
      </c>
      <c r="Z138" s="1549"/>
      <c r="AA138" s="1549" t="str">
        <f ca="1">'Calculos(2)'!DE104</f>
        <v/>
      </c>
      <c r="AB138" s="1549"/>
    </row>
    <row r="139" spans="1:30" ht="20.100000000000001" customHeight="1" x14ac:dyDescent="0.25">
      <c r="A139" s="18"/>
      <c r="B139" s="18"/>
      <c r="C139" s="18"/>
      <c r="D139" s="1"/>
      <c r="E139" s="314"/>
      <c r="F139" s="1575"/>
      <c r="G139" s="1383"/>
      <c r="H139" s="1576"/>
      <c r="I139" s="1569" t="s">
        <v>156</v>
      </c>
      <c r="J139" s="1569"/>
      <c r="K139" s="1569"/>
      <c r="L139" s="1569"/>
      <c r="M139" s="1556"/>
      <c r="N139" s="1556"/>
      <c r="O139" s="1556"/>
      <c r="P139" s="1556"/>
      <c r="Q139" s="1552"/>
      <c r="R139" s="1553"/>
      <c r="S139" s="1552"/>
      <c r="T139" s="1553"/>
      <c r="U139" s="1559"/>
      <c r="V139" s="1559"/>
      <c r="W139" s="1559"/>
      <c r="X139" s="1559"/>
      <c r="Y139" s="1549" t="str">
        <f ca="1">'Calculos(2)'!DD105</f>
        <v/>
      </c>
      <c r="Z139" s="1549"/>
      <c r="AA139" s="1549" t="str">
        <f ca="1">'Calculos(2)'!DE105</f>
        <v/>
      </c>
      <c r="AB139" s="1549"/>
    </row>
    <row r="140" spans="1:30" ht="20.100000000000001" customHeight="1" x14ac:dyDescent="0.25">
      <c r="A140" s="18"/>
      <c r="B140" s="18"/>
      <c r="C140" s="18"/>
      <c r="D140" s="1"/>
      <c r="E140" s="314"/>
      <c r="F140" s="1575"/>
      <c r="G140" s="1383"/>
      <c r="H140" s="1576"/>
      <c r="I140" s="1569" t="s">
        <v>157</v>
      </c>
      <c r="J140" s="1569"/>
      <c r="K140" s="1569"/>
      <c r="L140" s="1569"/>
      <c r="M140" s="1556"/>
      <c r="N140" s="1556"/>
      <c r="O140" s="1556"/>
      <c r="P140" s="1556"/>
      <c r="Q140" s="1552"/>
      <c r="R140" s="1553"/>
      <c r="S140" s="1552"/>
      <c r="T140" s="1553"/>
      <c r="U140" s="1559"/>
      <c r="V140" s="1559"/>
      <c r="W140" s="1559"/>
      <c r="X140" s="1559"/>
      <c r="Y140" s="1549" t="str">
        <f ca="1">'Calculos(2)'!DD106</f>
        <v/>
      </c>
      <c r="Z140" s="1549"/>
      <c r="AA140" s="1549" t="str">
        <f ca="1">'Calculos(2)'!DE106</f>
        <v/>
      </c>
      <c r="AB140" s="1549"/>
    </row>
    <row r="141" spans="1:30" ht="20.100000000000001" customHeight="1" x14ac:dyDescent="0.25">
      <c r="A141" s="18"/>
      <c r="B141" s="18"/>
      <c r="C141" s="18"/>
      <c r="D141" s="1"/>
      <c r="E141" s="314"/>
      <c r="F141" s="1575"/>
      <c r="G141" s="1383"/>
      <c r="H141" s="1576"/>
      <c r="I141" s="1569" t="s">
        <v>158</v>
      </c>
      <c r="J141" s="1569"/>
      <c r="K141" s="1569"/>
      <c r="L141" s="1569"/>
      <c r="M141" s="1556"/>
      <c r="N141" s="1556"/>
      <c r="O141" s="1556"/>
      <c r="P141" s="1556"/>
      <c r="Q141" s="1552"/>
      <c r="R141" s="1553"/>
      <c r="S141" s="1552"/>
      <c r="T141" s="1553"/>
      <c r="U141" s="1559"/>
      <c r="V141" s="1559"/>
      <c r="W141" s="1559"/>
      <c r="X141" s="1559"/>
      <c r="Y141" s="1549" t="str">
        <f ca="1">'Calculos(2)'!DD107</f>
        <v/>
      </c>
      <c r="Z141" s="1549"/>
      <c r="AA141" s="1549" t="str">
        <f ca="1">'Calculos(2)'!DE107</f>
        <v/>
      </c>
      <c r="AB141" s="1549"/>
    </row>
    <row r="142" spans="1:30" ht="20.100000000000001" customHeight="1" x14ac:dyDescent="0.25">
      <c r="A142" s="18"/>
      <c r="B142" s="18"/>
      <c r="C142" s="18"/>
      <c r="D142" s="1"/>
      <c r="E142" s="314"/>
      <c r="F142" s="1575"/>
      <c r="G142" s="1383"/>
      <c r="H142" s="1576"/>
      <c r="I142" s="1569" t="s">
        <v>159</v>
      </c>
      <c r="J142" s="1569"/>
      <c r="K142" s="1569"/>
      <c r="L142" s="1569"/>
      <c r="M142" s="1556"/>
      <c r="N142" s="1556"/>
      <c r="O142" s="1556"/>
      <c r="P142" s="1556"/>
      <c r="Q142" s="1552"/>
      <c r="R142" s="1553"/>
      <c r="S142" s="1552"/>
      <c r="T142" s="1553"/>
      <c r="U142" s="1559"/>
      <c r="V142" s="1559"/>
      <c r="W142" s="1559"/>
      <c r="X142" s="1559"/>
      <c r="Y142" s="1549" t="str">
        <f ca="1">'Calculos(2)'!DD108</f>
        <v/>
      </c>
      <c r="Z142" s="1549"/>
      <c r="AA142" s="1549" t="str">
        <f ca="1">'Calculos(2)'!DE108</f>
        <v/>
      </c>
      <c r="AB142" s="1549"/>
    </row>
    <row r="143" spans="1:30" ht="20.100000000000001" customHeight="1" x14ac:dyDescent="0.25">
      <c r="A143" s="18"/>
      <c r="B143" s="18"/>
      <c r="C143" s="18"/>
      <c r="D143" s="1"/>
      <c r="E143" s="314"/>
      <c r="F143" s="1575"/>
      <c r="G143" s="1383"/>
      <c r="H143" s="1576"/>
      <c r="I143" s="1569" t="s">
        <v>160</v>
      </c>
      <c r="J143" s="1569"/>
      <c r="K143" s="1569"/>
      <c r="L143" s="1569"/>
      <c r="M143" s="1556"/>
      <c r="N143" s="1556"/>
      <c r="O143" s="1556"/>
      <c r="P143" s="1556"/>
      <c r="Q143" s="1552"/>
      <c r="R143" s="1553"/>
      <c r="S143" s="1552"/>
      <c r="T143" s="1553"/>
      <c r="U143" s="1559"/>
      <c r="V143" s="1559"/>
      <c r="W143" s="1559"/>
      <c r="X143" s="1559"/>
      <c r="Y143" s="1549" t="str">
        <f ca="1">'Calculos(2)'!DD109</f>
        <v/>
      </c>
      <c r="Z143" s="1549"/>
      <c r="AA143" s="1549" t="str">
        <f ca="1">'Calculos(2)'!DE109</f>
        <v/>
      </c>
      <c r="AB143" s="1549"/>
    </row>
    <row r="144" spans="1:30" ht="20.100000000000001" customHeight="1" x14ac:dyDescent="0.25">
      <c r="A144" s="18"/>
      <c r="B144" s="18"/>
      <c r="C144" s="18"/>
      <c r="D144" s="1"/>
      <c r="E144" s="314"/>
      <c r="F144" s="1577"/>
      <c r="G144" s="1578"/>
      <c r="H144" s="1579"/>
      <c r="I144" s="1569" t="s">
        <v>161</v>
      </c>
      <c r="J144" s="1569"/>
      <c r="K144" s="1569"/>
      <c r="L144" s="1569"/>
      <c r="M144" s="1556"/>
      <c r="N144" s="1556"/>
      <c r="O144" s="1556"/>
      <c r="P144" s="1556"/>
      <c r="Q144" s="1552"/>
      <c r="R144" s="1553"/>
      <c r="S144" s="1552"/>
      <c r="T144" s="1553"/>
      <c r="U144" s="1559"/>
      <c r="V144" s="1559"/>
      <c r="W144" s="1559"/>
      <c r="X144" s="1559"/>
      <c r="Y144" s="1549" t="str">
        <f ca="1">'Calculos(2)'!DD110</f>
        <v/>
      </c>
      <c r="Z144" s="1549"/>
      <c r="AA144" s="1549" t="str">
        <f ca="1">'Calculos(2)'!DE110</f>
        <v/>
      </c>
      <c r="AB144" s="1549"/>
    </row>
    <row r="145" spans="1:30" ht="15" customHeight="1" x14ac:dyDescent="0.25">
      <c r="A145" s="18"/>
      <c r="B145" s="18"/>
      <c r="C145" s="18"/>
      <c r="D145" s="1"/>
      <c r="E145" s="314"/>
      <c r="F145" s="314"/>
      <c r="G145" s="314"/>
      <c r="H145" s="2"/>
      <c r="I145" s="2"/>
      <c r="J145" s="2"/>
      <c r="K145" s="2"/>
      <c r="L145" s="2"/>
      <c r="M145" s="2"/>
      <c r="N145" s="2"/>
      <c r="O145" s="2"/>
      <c r="P145" s="2"/>
      <c r="Q145" s="2"/>
      <c r="R145" s="2"/>
      <c r="S145" s="2"/>
      <c r="T145" s="2"/>
      <c r="U145" s="2"/>
      <c r="V145" s="2"/>
      <c r="W145" s="2"/>
      <c r="X145" s="2"/>
      <c r="Y145" s="2"/>
      <c r="Z145" s="2"/>
      <c r="AA145" s="2"/>
      <c r="AB145" s="2"/>
      <c r="AC145" s="2"/>
      <c r="AD145" s="2"/>
    </row>
  </sheetData>
  <sheetProtection algorithmName="SHA-512" hashValue="zFu4ngUxZxL7ntH8y46LgJjSziEl7xGQC3gINW7v/yK0g7TS1fzQnUMR/DPvdMtDW6sqLEaR/DD/uIn3TbSWoA==" saltValue="rgQ5P+xIrgApx3Ml6vZbNg==" spinCount="100000" sheet="1" objects="1" scenarios="1" formatColumns="0" formatRows="0"/>
  <mergeCells count="881">
    <mergeCell ref="Y14:AB14"/>
    <mergeCell ref="Q13:T13"/>
    <mergeCell ref="U13:V13"/>
    <mergeCell ref="F13:H25"/>
    <mergeCell ref="I13:L13"/>
    <mergeCell ref="M13:P13"/>
    <mergeCell ref="I14:L15"/>
    <mergeCell ref="M14:P14"/>
    <mergeCell ref="Q14:T14"/>
    <mergeCell ref="U14:X14"/>
    <mergeCell ref="I16:L16"/>
    <mergeCell ref="M16:N16"/>
    <mergeCell ref="O16:P16"/>
    <mergeCell ref="U16:V16"/>
    <mergeCell ref="W16:X16"/>
    <mergeCell ref="Y16:Z16"/>
    <mergeCell ref="AA16:AB16"/>
    <mergeCell ref="Q16:R16"/>
    <mergeCell ref="S16:T16"/>
    <mergeCell ref="AA19:AB19"/>
    <mergeCell ref="M15:N15"/>
    <mergeCell ref="O15:P15"/>
    <mergeCell ref="Q15:R15"/>
    <mergeCell ref="S15:T15"/>
    <mergeCell ref="U15:V15"/>
    <mergeCell ref="W15:X15"/>
    <mergeCell ref="Y15:Z15"/>
    <mergeCell ref="AA17:AB17"/>
    <mergeCell ref="AA15:AB15"/>
    <mergeCell ref="AA18:AB18"/>
    <mergeCell ref="I18:L18"/>
    <mergeCell ref="M18:N18"/>
    <mergeCell ref="O18:P18"/>
    <mergeCell ref="Q18:R18"/>
    <mergeCell ref="S18:T18"/>
    <mergeCell ref="I17:L17"/>
    <mergeCell ref="M17:N17"/>
    <mergeCell ref="O17:P17"/>
    <mergeCell ref="Q17:R17"/>
    <mergeCell ref="S17:T17"/>
    <mergeCell ref="U17:V17"/>
    <mergeCell ref="W17:X17"/>
    <mergeCell ref="Y17:Z17"/>
    <mergeCell ref="I19:L19"/>
    <mergeCell ref="M19:N19"/>
    <mergeCell ref="O19:P19"/>
    <mergeCell ref="Q19:R19"/>
    <mergeCell ref="S19:T19"/>
    <mergeCell ref="U19:V19"/>
    <mergeCell ref="W19:X19"/>
    <mergeCell ref="Y19:Z19"/>
    <mergeCell ref="U18:V18"/>
    <mergeCell ref="W18:X18"/>
    <mergeCell ref="Y18:Z18"/>
    <mergeCell ref="U20:V20"/>
    <mergeCell ref="W20:X20"/>
    <mergeCell ref="Y20:Z20"/>
    <mergeCell ref="AA20:AB20"/>
    <mergeCell ref="I20:L20"/>
    <mergeCell ref="M20:N20"/>
    <mergeCell ref="O20:P20"/>
    <mergeCell ref="Q20:R20"/>
    <mergeCell ref="S20:T20"/>
    <mergeCell ref="U22:V22"/>
    <mergeCell ref="W22:X22"/>
    <mergeCell ref="Y22:Z22"/>
    <mergeCell ref="AA22:AB22"/>
    <mergeCell ref="AA21:AB21"/>
    <mergeCell ref="I22:L22"/>
    <mergeCell ref="M22:N22"/>
    <mergeCell ref="O22:P22"/>
    <mergeCell ref="Q22:R22"/>
    <mergeCell ref="S22:T22"/>
    <mergeCell ref="I21:L21"/>
    <mergeCell ref="M21:N21"/>
    <mergeCell ref="O21:P21"/>
    <mergeCell ref="Q21:R21"/>
    <mergeCell ref="S21:T21"/>
    <mergeCell ref="U21:V21"/>
    <mergeCell ref="W21:X21"/>
    <mergeCell ref="Y21:Z21"/>
    <mergeCell ref="U24:V24"/>
    <mergeCell ref="W24:X24"/>
    <mergeCell ref="Y24:Z24"/>
    <mergeCell ref="AA24:AB24"/>
    <mergeCell ref="AA23:AB23"/>
    <mergeCell ref="I24:L24"/>
    <mergeCell ref="M24:N24"/>
    <mergeCell ref="O24:P24"/>
    <mergeCell ref="Q24:R24"/>
    <mergeCell ref="S24:T24"/>
    <mergeCell ref="I23:L23"/>
    <mergeCell ref="M23:N23"/>
    <mergeCell ref="O23:P23"/>
    <mergeCell ref="Q23:R23"/>
    <mergeCell ref="S23:T23"/>
    <mergeCell ref="U23:V23"/>
    <mergeCell ref="W23:X23"/>
    <mergeCell ref="Y23:Z23"/>
    <mergeCell ref="M30:P30"/>
    <mergeCell ref="W32:X32"/>
    <mergeCell ref="Y32:Z32"/>
    <mergeCell ref="AA32:AB32"/>
    <mergeCell ref="M32:N32"/>
    <mergeCell ref="O32:P32"/>
    <mergeCell ref="Q32:R32"/>
    <mergeCell ref="S32:T32"/>
    <mergeCell ref="U32:V32"/>
    <mergeCell ref="AA25:AB25"/>
    <mergeCell ref="I25:L25"/>
    <mergeCell ref="M25:N25"/>
    <mergeCell ref="O25:P25"/>
    <mergeCell ref="Q25:R25"/>
    <mergeCell ref="S25:T25"/>
    <mergeCell ref="U25:V25"/>
    <mergeCell ref="W25:X25"/>
    <mergeCell ref="Y25:Z25"/>
    <mergeCell ref="I34:L34"/>
    <mergeCell ref="M34:N34"/>
    <mergeCell ref="O34:P34"/>
    <mergeCell ref="Q34:R34"/>
    <mergeCell ref="S34:T34"/>
    <mergeCell ref="U34:V34"/>
    <mergeCell ref="I33:L33"/>
    <mergeCell ref="M33:N33"/>
    <mergeCell ref="O33:P33"/>
    <mergeCell ref="Q33:R33"/>
    <mergeCell ref="S33:T33"/>
    <mergeCell ref="U33:V33"/>
    <mergeCell ref="I36:L36"/>
    <mergeCell ref="M36:N36"/>
    <mergeCell ref="O36:P36"/>
    <mergeCell ref="Q36:R36"/>
    <mergeCell ref="S36:T36"/>
    <mergeCell ref="U36:V36"/>
    <mergeCell ref="I35:L35"/>
    <mergeCell ref="M35:N35"/>
    <mergeCell ref="O35:P35"/>
    <mergeCell ref="Q35:R35"/>
    <mergeCell ref="S35:T35"/>
    <mergeCell ref="U35:V35"/>
    <mergeCell ref="W35:X35"/>
    <mergeCell ref="Y35:Z35"/>
    <mergeCell ref="AA35:AB35"/>
    <mergeCell ref="W33:X33"/>
    <mergeCell ref="W38:X38"/>
    <mergeCell ref="Y38:Z38"/>
    <mergeCell ref="AA38:AB38"/>
    <mergeCell ref="W34:X34"/>
    <mergeCell ref="Y34:Z34"/>
    <mergeCell ref="AA34:AB34"/>
    <mergeCell ref="W37:X37"/>
    <mergeCell ref="Y37:Z37"/>
    <mergeCell ref="AA37:AB37"/>
    <mergeCell ref="W36:X36"/>
    <mergeCell ref="Y36:Z36"/>
    <mergeCell ref="AA36:AB36"/>
    <mergeCell ref="Y33:Z33"/>
    <mergeCell ref="AA33:AB33"/>
    <mergeCell ref="I38:L38"/>
    <mergeCell ref="M38:N38"/>
    <mergeCell ref="O38:P38"/>
    <mergeCell ref="Q38:R38"/>
    <mergeCell ref="S38:T38"/>
    <mergeCell ref="U38:V38"/>
    <mergeCell ref="I37:L37"/>
    <mergeCell ref="M37:N37"/>
    <mergeCell ref="O37:P37"/>
    <mergeCell ref="Q37:R37"/>
    <mergeCell ref="S37:T37"/>
    <mergeCell ref="U37:V37"/>
    <mergeCell ref="I39:L39"/>
    <mergeCell ref="M39:N39"/>
    <mergeCell ref="O39:P39"/>
    <mergeCell ref="Q39:R39"/>
    <mergeCell ref="S39:T39"/>
    <mergeCell ref="U39:V39"/>
    <mergeCell ref="W39:X39"/>
    <mergeCell ref="Y39:Z39"/>
    <mergeCell ref="AA39:AB39"/>
    <mergeCell ref="AA41:AB41"/>
    <mergeCell ref="W40:X40"/>
    <mergeCell ref="Y40:Z40"/>
    <mergeCell ref="AA40:AB40"/>
    <mergeCell ref="I40:L40"/>
    <mergeCell ref="M40:N40"/>
    <mergeCell ref="O40:P40"/>
    <mergeCell ref="Q40:R40"/>
    <mergeCell ref="S40:T40"/>
    <mergeCell ref="U40:V40"/>
    <mergeCell ref="Y50:Z50"/>
    <mergeCell ref="AA50:AB50"/>
    <mergeCell ref="AA49:AB49"/>
    <mergeCell ref="I50:L50"/>
    <mergeCell ref="M50:N50"/>
    <mergeCell ref="O50:P50"/>
    <mergeCell ref="Q50:R50"/>
    <mergeCell ref="S50:T50"/>
    <mergeCell ref="M49:N49"/>
    <mergeCell ref="O49:P49"/>
    <mergeCell ref="Q49:R49"/>
    <mergeCell ref="S49:T49"/>
    <mergeCell ref="U49:V49"/>
    <mergeCell ref="W49:X49"/>
    <mergeCell ref="Y49:Z49"/>
    <mergeCell ref="Y52:Z52"/>
    <mergeCell ref="AA52:AB52"/>
    <mergeCell ref="AA51:AB51"/>
    <mergeCell ref="I52:L52"/>
    <mergeCell ref="M52:N52"/>
    <mergeCell ref="O52:P52"/>
    <mergeCell ref="Q52:R52"/>
    <mergeCell ref="S52:T52"/>
    <mergeCell ref="I51:L51"/>
    <mergeCell ref="M51:N51"/>
    <mergeCell ref="O51:P51"/>
    <mergeCell ref="Q51:R51"/>
    <mergeCell ref="S51:T51"/>
    <mergeCell ref="U51:V51"/>
    <mergeCell ref="W51:X51"/>
    <mergeCell ref="Y51:Z51"/>
    <mergeCell ref="Y54:Z54"/>
    <mergeCell ref="AA54:AB54"/>
    <mergeCell ref="AA53:AB53"/>
    <mergeCell ref="I54:L54"/>
    <mergeCell ref="M54:N54"/>
    <mergeCell ref="O54:P54"/>
    <mergeCell ref="Q54:R54"/>
    <mergeCell ref="S54:T54"/>
    <mergeCell ref="I53:L53"/>
    <mergeCell ref="M53:N53"/>
    <mergeCell ref="O53:P53"/>
    <mergeCell ref="Q53:R53"/>
    <mergeCell ref="S53:T53"/>
    <mergeCell ref="U53:V53"/>
    <mergeCell ref="W53:X53"/>
    <mergeCell ref="Y53:Z53"/>
    <mergeCell ref="Y56:Z56"/>
    <mergeCell ref="AA56:AB56"/>
    <mergeCell ref="AA55:AB55"/>
    <mergeCell ref="I56:L56"/>
    <mergeCell ref="M56:N56"/>
    <mergeCell ref="O56:P56"/>
    <mergeCell ref="Q56:R56"/>
    <mergeCell ref="S56:T56"/>
    <mergeCell ref="I55:L55"/>
    <mergeCell ref="M55:N55"/>
    <mergeCell ref="O55:P55"/>
    <mergeCell ref="Q55:R55"/>
    <mergeCell ref="S55:T55"/>
    <mergeCell ref="U55:V55"/>
    <mergeCell ref="W55:X55"/>
    <mergeCell ref="Y55:Z55"/>
    <mergeCell ref="Y58:Z58"/>
    <mergeCell ref="AA58:AB58"/>
    <mergeCell ref="I69:L69"/>
    <mergeCell ref="M69:N69"/>
    <mergeCell ref="O69:P69"/>
    <mergeCell ref="Q69:R69"/>
    <mergeCell ref="S69:T69"/>
    <mergeCell ref="U69:V69"/>
    <mergeCell ref="AA57:AB57"/>
    <mergeCell ref="I58:L58"/>
    <mergeCell ref="M58:N58"/>
    <mergeCell ref="O58:P58"/>
    <mergeCell ref="Q58:R58"/>
    <mergeCell ref="S58:T58"/>
    <mergeCell ref="I57:L57"/>
    <mergeCell ref="M57:N57"/>
    <mergeCell ref="O57:P57"/>
    <mergeCell ref="Q57:R57"/>
    <mergeCell ref="S57:T57"/>
    <mergeCell ref="U57:V57"/>
    <mergeCell ref="W57:X57"/>
    <mergeCell ref="Y57:Z57"/>
    <mergeCell ref="M66:N66"/>
    <mergeCell ref="O66:P66"/>
    <mergeCell ref="Q66:R66"/>
    <mergeCell ref="S66:T66"/>
    <mergeCell ref="U66:V66"/>
    <mergeCell ref="W66:X66"/>
    <mergeCell ref="Y66:Z66"/>
    <mergeCell ref="AA66:AB66"/>
    <mergeCell ref="M63:N63"/>
    <mergeCell ref="O63:R63"/>
    <mergeCell ref="W67:X67"/>
    <mergeCell ref="Y67:Z67"/>
    <mergeCell ref="AA67:AB67"/>
    <mergeCell ref="O67:P67"/>
    <mergeCell ref="Q67:R67"/>
    <mergeCell ref="S67:T67"/>
    <mergeCell ref="U67:V67"/>
    <mergeCell ref="I67:L67"/>
    <mergeCell ref="M67:N67"/>
    <mergeCell ref="W69:X69"/>
    <mergeCell ref="Y69:Z69"/>
    <mergeCell ref="AA69:AB69"/>
    <mergeCell ref="I68:L68"/>
    <mergeCell ref="M68:N68"/>
    <mergeCell ref="O68:P68"/>
    <mergeCell ref="Q68:R68"/>
    <mergeCell ref="S68:T68"/>
    <mergeCell ref="U68:V68"/>
    <mergeCell ref="W68:X68"/>
    <mergeCell ref="Y68:Z68"/>
    <mergeCell ref="AA68:AB68"/>
    <mergeCell ref="I70:L70"/>
    <mergeCell ref="M70:N70"/>
    <mergeCell ref="O70:P70"/>
    <mergeCell ref="Q70:R70"/>
    <mergeCell ref="S70:T70"/>
    <mergeCell ref="U70:V70"/>
    <mergeCell ref="W70:X70"/>
    <mergeCell ref="Y70:Z70"/>
    <mergeCell ref="AA70:AB70"/>
    <mergeCell ref="W71:X71"/>
    <mergeCell ref="Y71:Z71"/>
    <mergeCell ref="AA71:AB71"/>
    <mergeCell ref="I71:L71"/>
    <mergeCell ref="M71:N71"/>
    <mergeCell ref="O71:P71"/>
    <mergeCell ref="Q71:R71"/>
    <mergeCell ref="S71:T71"/>
    <mergeCell ref="U71:V71"/>
    <mergeCell ref="I72:L72"/>
    <mergeCell ref="M72:N72"/>
    <mergeCell ref="O72:P72"/>
    <mergeCell ref="Q72:R72"/>
    <mergeCell ref="S72:T72"/>
    <mergeCell ref="U72:V72"/>
    <mergeCell ref="W72:X72"/>
    <mergeCell ref="Y72:Z72"/>
    <mergeCell ref="AA72:AB72"/>
    <mergeCell ref="W73:X73"/>
    <mergeCell ref="Y73:Z73"/>
    <mergeCell ref="AA73:AB73"/>
    <mergeCell ref="I73:L73"/>
    <mergeCell ref="M73:N73"/>
    <mergeCell ref="O73:P73"/>
    <mergeCell ref="Q73:R73"/>
    <mergeCell ref="S73:T73"/>
    <mergeCell ref="U73:V73"/>
    <mergeCell ref="I74:L74"/>
    <mergeCell ref="M74:N74"/>
    <mergeCell ref="O74:P74"/>
    <mergeCell ref="Q74:R74"/>
    <mergeCell ref="S74:T74"/>
    <mergeCell ref="U74:V74"/>
    <mergeCell ref="W74:X74"/>
    <mergeCell ref="Y74:Z74"/>
    <mergeCell ref="AA74:AB74"/>
    <mergeCell ref="W75:X75"/>
    <mergeCell ref="Y75:Z75"/>
    <mergeCell ref="AA75:AB75"/>
    <mergeCell ref="I75:L75"/>
    <mergeCell ref="M75:N75"/>
    <mergeCell ref="O75:P75"/>
    <mergeCell ref="Q75:R75"/>
    <mergeCell ref="S75:T75"/>
    <mergeCell ref="U75:V75"/>
    <mergeCell ref="W83:X83"/>
    <mergeCell ref="Y83:Z83"/>
    <mergeCell ref="AA83:AB83"/>
    <mergeCell ref="M83:N83"/>
    <mergeCell ref="O83:P83"/>
    <mergeCell ref="Q83:R83"/>
    <mergeCell ref="S83:T83"/>
    <mergeCell ref="U83:V83"/>
    <mergeCell ref="M80:N80"/>
    <mergeCell ref="O80:R80"/>
    <mergeCell ref="Y82:AB82"/>
    <mergeCell ref="I84:L84"/>
    <mergeCell ref="M84:N84"/>
    <mergeCell ref="O84:P84"/>
    <mergeCell ref="Q84:R84"/>
    <mergeCell ref="S84:T84"/>
    <mergeCell ref="U84:V84"/>
    <mergeCell ref="W84:X84"/>
    <mergeCell ref="Y84:Z84"/>
    <mergeCell ref="AA84:AB84"/>
    <mergeCell ref="W86:X86"/>
    <mergeCell ref="Y86:Z86"/>
    <mergeCell ref="AA86:AB86"/>
    <mergeCell ref="W85:X85"/>
    <mergeCell ref="Y85:Z85"/>
    <mergeCell ref="AA85:AB85"/>
    <mergeCell ref="I85:L85"/>
    <mergeCell ref="M85:N85"/>
    <mergeCell ref="O85:P85"/>
    <mergeCell ref="Q85:R85"/>
    <mergeCell ref="S85:T85"/>
    <mergeCell ref="U85:V85"/>
    <mergeCell ref="I87:L87"/>
    <mergeCell ref="M87:N87"/>
    <mergeCell ref="O87:P87"/>
    <mergeCell ref="Q87:R87"/>
    <mergeCell ref="S87:T87"/>
    <mergeCell ref="U87:V87"/>
    <mergeCell ref="I86:L86"/>
    <mergeCell ref="M86:N86"/>
    <mergeCell ref="O86:P86"/>
    <mergeCell ref="Q86:R86"/>
    <mergeCell ref="S86:T86"/>
    <mergeCell ref="U86:V86"/>
    <mergeCell ref="Q88:R88"/>
    <mergeCell ref="S88:T88"/>
    <mergeCell ref="U88:V88"/>
    <mergeCell ref="W88:X88"/>
    <mergeCell ref="Y88:Z88"/>
    <mergeCell ref="AA88:AB88"/>
    <mergeCell ref="W87:X87"/>
    <mergeCell ref="Y87:Z87"/>
    <mergeCell ref="AA87:AB87"/>
    <mergeCell ref="Y90:Z90"/>
    <mergeCell ref="AA90:AB90"/>
    <mergeCell ref="W89:X89"/>
    <mergeCell ref="Y89:Z89"/>
    <mergeCell ref="AA89:AB89"/>
    <mergeCell ref="I89:L89"/>
    <mergeCell ref="M89:N89"/>
    <mergeCell ref="O89:P89"/>
    <mergeCell ref="Q89:R89"/>
    <mergeCell ref="S89:T89"/>
    <mergeCell ref="U89:V89"/>
    <mergeCell ref="U90:V90"/>
    <mergeCell ref="W90:X90"/>
    <mergeCell ref="Y101:Z101"/>
    <mergeCell ref="AA101:AB101"/>
    <mergeCell ref="I101:L101"/>
    <mergeCell ref="M101:N101"/>
    <mergeCell ref="O101:P101"/>
    <mergeCell ref="Q101:R101"/>
    <mergeCell ref="S101:T101"/>
    <mergeCell ref="M100:N100"/>
    <mergeCell ref="O100:P100"/>
    <mergeCell ref="Q100:R100"/>
    <mergeCell ref="S100:T100"/>
    <mergeCell ref="U100:V100"/>
    <mergeCell ref="W100:X100"/>
    <mergeCell ref="Y100:Z100"/>
    <mergeCell ref="AA100:AB100"/>
    <mergeCell ref="Y103:Z103"/>
    <mergeCell ref="AA103:AB103"/>
    <mergeCell ref="AA102:AB102"/>
    <mergeCell ref="I103:L103"/>
    <mergeCell ref="M103:N103"/>
    <mergeCell ref="O103:P103"/>
    <mergeCell ref="Q103:R103"/>
    <mergeCell ref="S103:T103"/>
    <mergeCell ref="I102:L102"/>
    <mergeCell ref="M102:N102"/>
    <mergeCell ref="O102:P102"/>
    <mergeCell ref="Q102:R102"/>
    <mergeCell ref="S102:T102"/>
    <mergeCell ref="U102:V102"/>
    <mergeCell ref="W102:X102"/>
    <mergeCell ref="Y102:Z102"/>
    <mergeCell ref="Y105:Z105"/>
    <mergeCell ref="AA105:AB105"/>
    <mergeCell ref="AA104:AB104"/>
    <mergeCell ref="I105:L105"/>
    <mergeCell ref="M105:N105"/>
    <mergeCell ref="O105:P105"/>
    <mergeCell ref="Q105:R105"/>
    <mergeCell ref="S105:T105"/>
    <mergeCell ref="I104:L104"/>
    <mergeCell ref="M104:N104"/>
    <mergeCell ref="O104:P104"/>
    <mergeCell ref="Q104:R104"/>
    <mergeCell ref="S104:T104"/>
    <mergeCell ref="U104:V104"/>
    <mergeCell ref="W104:X104"/>
    <mergeCell ref="Y104:Z104"/>
    <mergeCell ref="Y108:Z108"/>
    <mergeCell ref="U107:V107"/>
    <mergeCell ref="W107:X107"/>
    <mergeCell ref="Y107:Z107"/>
    <mergeCell ref="AA107:AB107"/>
    <mergeCell ref="AA106:AB106"/>
    <mergeCell ref="I107:L107"/>
    <mergeCell ref="M107:N107"/>
    <mergeCell ref="O107:P107"/>
    <mergeCell ref="Q107:R107"/>
    <mergeCell ref="S107:T107"/>
    <mergeCell ref="I106:L106"/>
    <mergeCell ref="M106:N106"/>
    <mergeCell ref="O106:P106"/>
    <mergeCell ref="Q106:R106"/>
    <mergeCell ref="S106:T106"/>
    <mergeCell ref="U106:V106"/>
    <mergeCell ref="W106:X106"/>
    <mergeCell ref="Y106:Z106"/>
    <mergeCell ref="M108:N108"/>
    <mergeCell ref="O108:P108"/>
    <mergeCell ref="Q108:R108"/>
    <mergeCell ref="M117:N117"/>
    <mergeCell ref="O117:P117"/>
    <mergeCell ref="Q117:R117"/>
    <mergeCell ref="S117:T117"/>
    <mergeCell ref="U117:V117"/>
    <mergeCell ref="W117:X117"/>
    <mergeCell ref="Y117:Z117"/>
    <mergeCell ref="AA117:AB117"/>
    <mergeCell ref="M114:N114"/>
    <mergeCell ref="O114:R114"/>
    <mergeCell ref="U114:V115"/>
    <mergeCell ref="M115:N115"/>
    <mergeCell ref="O115:R115"/>
    <mergeCell ref="W118:X118"/>
    <mergeCell ref="Y118:Z118"/>
    <mergeCell ref="AA118:AB118"/>
    <mergeCell ref="O118:P118"/>
    <mergeCell ref="Q118:R118"/>
    <mergeCell ref="S118:T118"/>
    <mergeCell ref="U118:V118"/>
    <mergeCell ref="I118:L118"/>
    <mergeCell ref="M118:N118"/>
    <mergeCell ref="W120:X120"/>
    <mergeCell ref="Y120:Z120"/>
    <mergeCell ref="AA120:AB120"/>
    <mergeCell ref="I119:L119"/>
    <mergeCell ref="M119:N119"/>
    <mergeCell ref="O119:P119"/>
    <mergeCell ref="Q119:R119"/>
    <mergeCell ref="S119:T119"/>
    <mergeCell ref="U119:V119"/>
    <mergeCell ref="W119:X119"/>
    <mergeCell ref="Y119:Z119"/>
    <mergeCell ref="AA119:AB119"/>
    <mergeCell ref="I120:L120"/>
    <mergeCell ref="M120:N120"/>
    <mergeCell ref="O120:P120"/>
    <mergeCell ref="Q120:R120"/>
    <mergeCell ref="S120:T120"/>
    <mergeCell ref="U120:V120"/>
    <mergeCell ref="I121:L121"/>
    <mergeCell ref="M121:N121"/>
    <mergeCell ref="O121:P121"/>
    <mergeCell ref="Q121:R121"/>
    <mergeCell ref="S121:T121"/>
    <mergeCell ref="U121:V121"/>
    <mergeCell ref="W121:X121"/>
    <mergeCell ref="Y121:Z121"/>
    <mergeCell ref="AA121:AB121"/>
    <mergeCell ref="W122:X122"/>
    <mergeCell ref="Y122:Z122"/>
    <mergeCell ref="AA122:AB122"/>
    <mergeCell ref="I122:L122"/>
    <mergeCell ref="M122:N122"/>
    <mergeCell ref="O122:P122"/>
    <mergeCell ref="Q122:R122"/>
    <mergeCell ref="S122:T122"/>
    <mergeCell ref="U122:V122"/>
    <mergeCell ref="I123:L123"/>
    <mergeCell ref="M123:N123"/>
    <mergeCell ref="O123:P123"/>
    <mergeCell ref="Q123:R123"/>
    <mergeCell ref="S123:T123"/>
    <mergeCell ref="U123:V123"/>
    <mergeCell ref="W123:X123"/>
    <mergeCell ref="Y123:Z123"/>
    <mergeCell ref="AA123:AB123"/>
    <mergeCell ref="W124:X124"/>
    <mergeCell ref="Y124:Z124"/>
    <mergeCell ref="AA124:AB124"/>
    <mergeCell ref="I124:L124"/>
    <mergeCell ref="M124:N124"/>
    <mergeCell ref="O124:P124"/>
    <mergeCell ref="Q124:R124"/>
    <mergeCell ref="S124:T124"/>
    <mergeCell ref="U124:V124"/>
    <mergeCell ref="W135:X135"/>
    <mergeCell ref="Y135:Z135"/>
    <mergeCell ref="AA135:AB135"/>
    <mergeCell ref="M131:N131"/>
    <mergeCell ref="O131:R131"/>
    <mergeCell ref="W126:X126"/>
    <mergeCell ref="Y126:Z126"/>
    <mergeCell ref="AA126:AB126"/>
    <mergeCell ref="W134:X134"/>
    <mergeCell ref="Y134:Z134"/>
    <mergeCell ref="AA134:AB134"/>
    <mergeCell ref="M134:N134"/>
    <mergeCell ref="O134:P134"/>
    <mergeCell ref="M126:N126"/>
    <mergeCell ref="O126:P126"/>
    <mergeCell ref="Q126:R126"/>
    <mergeCell ref="S126:T126"/>
    <mergeCell ref="U126:V126"/>
    <mergeCell ref="I136:L136"/>
    <mergeCell ref="M136:N136"/>
    <mergeCell ref="O136:P136"/>
    <mergeCell ref="Q136:R136"/>
    <mergeCell ref="S136:T136"/>
    <mergeCell ref="U136:V136"/>
    <mergeCell ref="I135:L135"/>
    <mergeCell ref="M135:N135"/>
    <mergeCell ref="O135:P135"/>
    <mergeCell ref="Q135:R135"/>
    <mergeCell ref="S135:T135"/>
    <mergeCell ref="U135:V135"/>
    <mergeCell ref="W138:X138"/>
    <mergeCell ref="Y138:Z138"/>
    <mergeCell ref="AA138:AB138"/>
    <mergeCell ref="Q134:R134"/>
    <mergeCell ref="S134:T134"/>
    <mergeCell ref="U134:V134"/>
    <mergeCell ref="I138:L138"/>
    <mergeCell ref="M138:N138"/>
    <mergeCell ref="O138:P138"/>
    <mergeCell ref="Q138:R138"/>
    <mergeCell ref="S138:T138"/>
    <mergeCell ref="U138:V138"/>
    <mergeCell ref="I137:L137"/>
    <mergeCell ref="M137:N137"/>
    <mergeCell ref="O137:P137"/>
    <mergeCell ref="Q137:R137"/>
    <mergeCell ref="S137:T137"/>
    <mergeCell ref="U137:V137"/>
    <mergeCell ref="W137:X137"/>
    <mergeCell ref="Y137:Z137"/>
    <mergeCell ref="AA137:AB137"/>
    <mergeCell ref="W136:X136"/>
    <mergeCell ref="Y136:Z136"/>
    <mergeCell ref="AA136:AB136"/>
    <mergeCell ref="I139:L139"/>
    <mergeCell ref="M139:N139"/>
    <mergeCell ref="O139:P139"/>
    <mergeCell ref="Q139:R139"/>
    <mergeCell ref="S139:T139"/>
    <mergeCell ref="U139:V139"/>
    <mergeCell ref="W139:X139"/>
    <mergeCell ref="Y139:Z139"/>
    <mergeCell ref="AA139:AB139"/>
    <mergeCell ref="Y141:Z141"/>
    <mergeCell ref="AA141:AB141"/>
    <mergeCell ref="W140:X140"/>
    <mergeCell ref="Y140:Z140"/>
    <mergeCell ref="AA140:AB140"/>
    <mergeCell ref="I140:L140"/>
    <mergeCell ref="M140:N140"/>
    <mergeCell ref="O140:P140"/>
    <mergeCell ref="Q140:R140"/>
    <mergeCell ref="S140:T140"/>
    <mergeCell ref="U140:V140"/>
    <mergeCell ref="S142:T142"/>
    <mergeCell ref="U142:V142"/>
    <mergeCell ref="I141:L141"/>
    <mergeCell ref="M141:N141"/>
    <mergeCell ref="O141:P141"/>
    <mergeCell ref="Q141:R141"/>
    <mergeCell ref="S141:T141"/>
    <mergeCell ref="U141:V141"/>
    <mergeCell ref="W141:X141"/>
    <mergeCell ref="U59:V59"/>
    <mergeCell ref="W59:X59"/>
    <mergeCell ref="Y48:AB48"/>
    <mergeCell ref="I59:L59"/>
    <mergeCell ref="M59:N59"/>
    <mergeCell ref="O59:P59"/>
    <mergeCell ref="Q59:R59"/>
    <mergeCell ref="S59:T59"/>
    <mergeCell ref="I143:L143"/>
    <mergeCell ref="M143:N143"/>
    <mergeCell ref="O143:P143"/>
    <mergeCell ref="Q143:R143"/>
    <mergeCell ref="S143:T143"/>
    <mergeCell ref="U143:V143"/>
    <mergeCell ref="W143:X143"/>
    <mergeCell ref="Y143:Z143"/>
    <mergeCell ref="AA143:AB143"/>
    <mergeCell ref="W142:X142"/>
    <mergeCell ref="Y142:Z142"/>
    <mergeCell ref="AA142:AB142"/>
    <mergeCell ref="I142:L142"/>
    <mergeCell ref="M142:N142"/>
    <mergeCell ref="O142:P142"/>
    <mergeCell ref="Q142:R142"/>
    <mergeCell ref="S46:T47"/>
    <mergeCell ref="U46:V47"/>
    <mergeCell ref="M47:N47"/>
    <mergeCell ref="O47:R47"/>
    <mergeCell ref="I48:L49"/>
    <mergeCell ref="M48:P48"/>
    <mergeCell ref="Q48:T48"/>
    <mergeCell ref="U48:X48"/>
    <mergeCell ref="U58:V58"/>
    <mergeCell ref="W58:X58"/>
    <mergeCell ref="U56:V56"/>
    <mergeCell ref="W56:X56"/>
    <mergeCell ref="U54:V54"/>
    <mergeCell ref="W54:X54"/>
    <mergeCell ref="U52:V52"/>
    <mergeCell ref="W52:X52"/>
    <mergeCell ref="U50:V50"/>
    <mergeCell ref="W50:X50"/>
    <mergeCell ref="M46:N46"/>
    <mergeCell ref="O46:R46"/>
    <mergeCell ref="F30:H42"/>
    <mergeCell ref="I30:L30"/>
    <mergeCell ref="I31:L32"/>
    <mergeCell ref="M31:P31"/>
    <mergeCell ref="Q31:T31"/>
    <mergeCell ref="U31:X31"/>
    <mergeCell ref="Y31:AB31"/>
    <mergeCell ref="I42:L42"/>
    <mergeCell ref="M42:N42"/>
    <mergeCell ref="O42:P42"/>
    <mergeCell ref="Q42:R42"/>
    <mergeCell ref="S42:T42"/>
    <mergeCell ref="U42:V42"/>
    <mergeCell ref="W42:X42"/>
    <mergeCell ref="Y42:Z42"/>
    <mergeCell ref="AA42:AB42"/>
    <mergeCell ref="I41:L41"/>
    <mergeCell ref="M41:N41"/>
    <mergeCell ref="O41:P41"/>
    <mergeCell ref="Q41:R41"/>
    <mergeCell ref="S41:T41"/>
    <mergeCell ref="U41:V41"/>
    <mergeCell ref="W41:X41"/>
    <mergeCell ref="Y41:Z41"/>
    <mergeCell ref="Y59:Z59"/>
    <mergeCell ref="AA59:AB59"/>
    <mergeCell ref="F63:H76"/>
    <mergeCell ref="I63:L64"/>
    <mergeCell ref="S63:T64"/>
    <mergeCell ref="U63:V64"/>
    <mergeCell ref="M64:N64"/>
    <mergeCell ref="O64:R64"/>
    <mergeCell ref="I65:L66"/>
    <mergeCell ref="M65:P65"/>
    <mergeCell ref="Q65:T65"/>
    <mergeCell ref="U65:X65"/>
    <mergeCell ref="Y65:AB65"/>
    <mergeCell ref="I76:L76"/>
    <mergeCell ref="M76:N76"/>
    <mergeCell ref="O76:P76"/>
    <mergeCell ref="Q76:R76"/>
    <mergeCell ref="S76:T76"/>
    <mergeCell ref="U76:V76"/>
    <mergeCell ref="W76:X76"/>
    <mergeCell ref="Y76:Z76"/>
    <mergeCell ref="AA76:AB76"/>
    <mergeCell ref="F46:H59"/>
    <mergeCell ref="I46:L47"/>
    <mergeCell ref="I93:L93"/>
    <mergeCell ref="M93:N93"/>
    <mergeCell ref="O93:P93"/>
    <mergeCell ref="Q93:R93"/>
    <mergeCell ref="S93:T93"/>
    <mergeCell ref="U93:V93"/>
    <mergeCell ref="W93:X93"/>
    <mergeCell ref="Y93:Z93"/>
    <mergeCell ref="AA93:AB93"/>
    <mergeCell ref="I92:L92"/>
    <mergeCell ref="M92:N92"/>
    <mergeCell ref="O92:P92"/>
    <mergeCell ref="Q92:R92"/>
    <mergeCell ref="S92:T92"/>
    <mergeCell ref="U92:V92"/>
    <mergeCell ref="W92:X92"/>
    <mergeCell ref="Y92:Z92"/>
    <mergeCell ref="AA92:AB92"/>
    <mergeCell ref="W91:X91"/>
    <mergeCell ref="Y91:Z91"/>
    <mergeCell ref="AA91:AB91"/>
    <mergeCell ref="I91:L91"/>
    <mergeCell ref="M91:N91"/>
    <mergeCell ref="F80:H93"/>
    <mergeCell ref="I80:L81"/>
    <mergeCell ref="S80:T81"/>
    <mergeCell ref="U80:V81"/>
    <mergeCell ref="M81:N81"/>
    <mergeCell ref="O81:R81"/>
    <mergeCell ref="I82:L83"/>
    <mergeCell ref="M82:P82"/>
    <mergeCell ref="Q82:T82"/>
    <mergeCell ref="U82:X82"/>
    <mergeCell ref="O91:P91"/>
    <mergeCell ref="Q91:R91"/>
    <mergeCell ref="S91:T91"/>
    <mergeCell ref="U91:V91"/>
    <mergeCell ref="I90:L90"/>
    <mergeCell ref="M90:N90"/>
    <mergeCell ref="O90:P90"/>
    <mergeCell ref="Q90:R90"/>
    <mergeCell ref="S90:T90"/>
    <mergeCell ref="I88:L88"/>
    <mergeCell ref="M88:N88"/>
    <mergeCell ref="O88:P88"/>
    <mergeCell ref="Y99:AB99"/>
    <mergeCell ref="I110:L110"/>
    <mergeCell ref="M110:N110"/>
    <mergeCell ref="O110:P110"/>
    <mergeCell ref="Q110:R110"/>
    <mergeCell ref="S110:T110"/>
    <mergeCell ref="U110:V110"/>
    <mergeCell ref="W110:X110"/>
    <mergeCell ref="Y110:Z110"/>
    <mergeCell ref="AA110:AB110"/>
    <mergeCell ref="U109:V109"/>
    <mergeCell ref="W109:X109"/>
    <mergeCell ref="Y109:Z109"/>
    <mergeCell ref="AA109:AB109"/>
    <mergeCell ref="AA108:AB108"/>
    <mergeCell ref="I109:L109"/>
    <mergeCell ref="M109:N109"/>
    <mergeCell ref="O109:P109"/>
    <mergeCell ref="Q109:R109"/>
    <mergeCell ref="S109:T109"/>
    <mergeCell ref="I108:L108"/>
    <mergeCell ref="F97:H110"/>
    <mergeCell ref="I97:L98"/>
    <mergeCell ref="S97:T98"/>
    <mergeCell ref="U97:V98"/>
    <mergeCell ref="M98:N98"/>
    <mergeCell ref="O98:R98"/>
    <mergeCell ref="I99:L100"/>
    <mergeCell ref="M99:P99"/>
    <mergeCell ref="Q99:T99"/>
    <mergeCell ref="U99:X99"/>
    <mergeCell ref="S108:T108"/>
    <mergeCell ref="U108:V108"/>
    <mergeCell ref="W108:X108"/>
    <mergeCell ref="U105:V105"/>
    <mergeCell ref="W105:X105"/>
    <mergeCell ref="U103:V103"/>
    <mergeCell ref="W103:X103"/>
    <mergeCell ref="U101:V101"/>
    <mergeCell ref="W101:X101"/>
    <mergeCell ref="M97:N97"/>
    <mergeCell ref="O97:R97"/>
    <mergeCell ref="I116:L117"/>
    <mergeCell ref="M116:P116"/>
    <mergeCell ref="Q116:T116"/>
    <mergeCell ref="U116:X116"/>
    <mergeCell ref="Y116:AB116"/>
    <mergeCell ref="I127:L127"/>
    <mergeCell ref="M127:N127"/>
    <mergeCell ref="O127:P127"/>
    <mergeCell ref="Q127:R127"/>
    <mergeCell ref="S127:T127"/>
    <mergeCell ref="U127:V127"/>
    <mergeCell ref="W127:X127"/>
    <mergeCell ref="Y127:Z127"/>
    <mergeCell ref="AA127:AB127"/>
    <mergeCell ref="I126:L126"/>
    <mergeCell ref="I125:L125"/>
    <mergeCell ref="M125:N125"/>
    <mergeCell ref="O125:P125"/>
    <mergeCell ref="Q125:R125"/>
    <mergeCell ref="S125:T125"/>
    <mergeCell ref="U125:V125"/>
    <mergeCell ref="W125:X125"/>
    <mergeCell ref="Y125:Z125"/>
    <mergeCell ref="AA125:AB125"/>
    <mergeCell ref="F2:AA7"/>
    <mergeCell ref="F131:H144"/>
    <mergeCell ref="I131:L132"/>
    <mergeCell ref="S131:T132"/>
    <mergeCell ref="U131:V132"/>
    <mergeCell ref="M132:N132"/>
    <mergeCell ref="O132:R132"/>
    <mergeCell ref="I133:L134"/>
    <mergeCell ref="M133:P133"/>
    <mergeCell ref="Q133:T133"/>
    <mergeCell ref="U133:X133"/>
    <mergeCell ref="Y133:AB133"/>
    <mergeCell ref="I144:L144"/>
    <mergeCell ref="M144:N144"/>
    <mergeCell ref="O144:P144"/>
    <mergeCell ref="Q144:R144"/>
    <mergeCell ref="S144:T144"/>
    <mergeCell ref="U144:V144"/>
    <mergeCell ref="W144:X144"/>
    <mergeCell ref="Y144:Z144"/>
    <mergeCell ref="AA144:AB144"/>
    <mergeCell ref="F114:H127"/>
    <mergeCell ref="I114:L115"/>
    <mergeCell ref="S114:T115"/>
  </mergeCells>
  <dataValidations count="5">
    <dataValidation allowBlank="1" showInputMessage="1" showErrorMessage="1" promptTitle="Ajuda" prompt="Quando os dados forem apresentados tanto para 24h quanto para 48h, devem-ser preenchidos os resultados referentes a 24h." sqref="F131:H144 F30:H42 F46:H59 F63:H76 F80:H93 F97:H110 F114:H127 F13:H25" xr:uid="{3625DACB-30B5-491C-8DFE-1A4067B1E419}"/>
    <dataValidation allowBlank="1" showInputMessage="1" showErrorMessage="1" promptTitle="Ajuda" prompt="Começar o preenchimento na 1ª linha tanto para machos quanto para fêmeas. _x000a__x000a_Para estudos conduzidos com machos e fêmeas o resultado de ambos deverá ser preenchido a partir da 1ª linha de resultado." sqref="I14:L15 I31:L32 I48:L49 I65:L66 I82:L83 I99:L100 I116:L117 I133:L134" xr:uid="{DB31D182-2300-45FC-8B9C-73BE5323AA3F}"/>
    <dataValidation type="whole" operator="greaterThanOrEqual" allowBlank="1" showInputMessage="1" showErrorMessage="1" errorTitle="Valor inválido" error="O valor informada deve ser um número inteiro" sqref="U50:X59 U118:X127 U33:X42 U67:X76 U101:X110 U84:X93 U16:X25 U135:X144" xr:uid="{19768191-889E-405B-946D-FF38E26BE364}">
      <formula1>0</formula1>
    </dataValidation>
    <dataValidation allowBlank="1" showInputMessage="1" showErrorMessage="1" promptTitle="Ajuda" prompt="Quantidade de eritrócitos policromáticos (EP) analisados para determinação da incidência de eritrócitos policromáticos micronucleados (%EPMN)." sqref="Q14:T14 Q31:T31 Q48:T48 Q65:T65 Q82:T82 Q99:T99 Q116:T116 Q133:T133" xr:uid="{7C6D2232-16BE-439C-BAB1-75C92403E64F}"/>
    <dataValidation type="decimal" operator="greaterThanOrEqual" allowBlank="1" showInputMessage="1" showErrorMessage="1" errorTitle="Valor inválido" error="O valor informada deve ser um número válido" sqref="M16:T25 M33:T42 M50:T59 M67:T76 M84:T93 M101:T110 M118:T127 M135:T144" xr:uid="{E3920B1E-1F0D-4DCA-9D79-B961B5A4F7F1}">
      <formula1>0</formula1>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719D2745-4B62-4F2C-9500-F30F47A6E7C1}">
            <xm:f>AND(Y27&gt;0,Y27&lt;'Validacao(2)'!$DE$187)</xm:f>
            <x14:dxf>
              <fill>
                <patternFill>
                  <bgColor theme="5" tint="0.59996337778862885"/>
                </patternFill>
              </fill>
            </x14:dxf>
          </x14:cfRule>
          <xm:sqref>Y27:AB28 Y42:AB44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1859C2B-A86C-4C07-BD5F-2A641686B705}">
          <x14:formula1>
            <xm:f>Tabelas_fonte!$AQ$41:$AQ$42</xm:f>
          </x14:formula1>
          <xm:sqref>U13:V13 U46 U63 U80 U97 U114 U131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36E64-92CC-4ADF-94D8-89147B126D20}">
  <sheetPr codeName="Planilha3">
    <tabColor theme="8" tint="0.59999389629810485"/>
  </sheetPr>
  <dimension ref="A1:BF73"/>
  <sheetViews>
    <sheetView showGridLines="0" topLeftCell="D1" workbookViewId="0">
      <selection activeCell="D1" sqref="D1"/>
    </sheetView>
  </sheetViews>
  <sheetFormatPr defaultColWidth="0" defaultRowHeight="14.25" customHeight="1" zeroHeight="1" x14ac:dyDescent="0.25"/>
  <cols>
    <col min="1" max="3" width="2.7109375" style="20" hidden="1" customWidth="1"/>
    <col min="4" max="5" width="2.7109375" style="20" customWidth="1"/>
    <col min="6" max="6" width="4.7109375" style="20" customWidth="1"/>
    <col min="7" max="7" width="12.85546875" style="20" customWidth="1"/>
    <col min="8" max="8" width="14.5703125" style="20" customWidth="1"/>
    <col min="9" max="9" width="44.140625" style="20" customWidth="1"/>
    <col min="10" max="10" width="29.28515625" style="20" customWidth="1"/>
    <col min="11" max="13" width="12.7109375" style="20" customWidth="1"/>
    <col min="14" max="14" width="12" style="20" customWidth="1"/>
    <col min="15" max="15" width="13.42578125" style="20" customWidth="1"/>
    <col min="16" max="16" width="20" style="20" bestFit="1" customWidth="1"/>
    <col min="17" max="17" width="35.140625" style="20" customWidth="1"/>
    <col min="18" max="19" width="2.7109375" style="20" customWidth="1"/>
    <col min="20" max="20" width="2.7109375" style="20" hidden="1" customWidth="1"/>
    <col min="21" max="57" width="9.140625" style="20" hidden="1" customWidth="1"/>
    <col min="58" max="58" width="0" style="20" hidden="1" customWidth="1"/>
    <col min="59" max="16384" width="9.140625" style="20" hidden="1"/>
  </cols>
  <sheetData>
    <row r="1" spans="1:20" ht="15" x14ac:dyDescent="0.25">
      <c r="A1" s="18"/>
      <c r="B1" s="18"/>
      <c r="C1" s="18"/>
      <c r="D1" s="1"/>
      <c r="E1" s="1"/>
      <c r="F1" s="1"/>
      <c r="G1" s="72"/>
      <c r="H1" s="1"/>
      <c r="I1" s="1"/>
      <c r="J1" s="1"/>
      <c r="K1" s="1"/>
      <c r="L1" s="1"/>
      <c r="M1" s="1"/>
      <c r="N1" s="1"/>
      <c r="O1" s="1"/>
      <c r="P1" s="1"/>
      <c r="Q1" s="1"/>
      <c r="R1" s="1"/>
      <c r="S1" s="1"/>
      <c r="T1" s="1"/>
    </row>
    <row r="2" spans="1:20" ht="15" customHeight="1" x14ac:dyDescent="0.25">
      <c r="A2" s="18"/>
      <c r="B2" s="18"/>
      <c r="C2" s="18"/>
      <c r="D2" s="1"/>
      <c r="E2" s="2"/>
      <c r="F2" s="1023" t="s">
        <v>270</v>
      </c>
      <c r="G2" s="1023"/>
      <c r="H2" s="1023"/>
      <c r="I2" s="1023"/>
      <c r="J2" s="1023"/>
      <c r="K2" s="1023"/>
      <c r="L2" s="1023"/>
      <c r="M2" s="2"/>
      <c r="N2" s="2"/>
      <c r="O2" s="2"/>
      <c r="P2" s="2"/>
      <c r="Q2" s="2"/>
      <c r="R2" s="2"/>
      <c r="S2" s="1"/>
      <c r="T2" s="2"/>
    </row>
    <row r="3" spans="1:20" ht="15" customHeight="1" x14ac:dyDescent="0.25">
      <c r="A3" s="18"/>
      <c r="B3" s="18"/>
      <c r="C3" s="18"/>
      <c r="D3" s="1"/>
      <c r="E3" s="2"/>
      <c r="F3" s="1023"/>
      <c r="G3" s="1023"/>
      <c r="H3" s="1023"/>
      <c r="I3" s="1023"/>
      <c r="J3" s="1023"/>
      <c r="K3" s="1023"/>
      <c r="L3" s="1023"/>
      <c r="M3" s="2"/>
      <c r="N3" s="2"/>
      <c r="O3" s="2"/>
      <c r="P3" s="2"/>
      <c r="Q3" s="2"/>
      <c r="R3" s="2"/>
      <c r="S3" s="1"/>
      <c r="T3" s="2"/>
    </row>
    <row r="4" spans="1:20" ht="15" customHeight="1" x14ac:dyDescent="0.25">
      <c r="A4" s="18"/>
      <c r="B4" s="18"/>
      <c r="C4" s="18"/>
      <c r="D4" s="1"/>
      <c r="E4" s="2"/>
      <c r="F4" s="1023"/>
      <c r="G4" s="1023"/>
      <c r="H4" s="1023"/>
      <c r="I4" s="1023"/>
      <c r="J4" s="1023"/>
      <c r="K4" s="1023"/>
      <c r="L4" s="1023"/>
      <c r="M4" s="2"/>
      <c r="N4" s="2"/>
      <c r="O4" s="2"/>
      <c r="P4" s="2"/>
      <c r="Q4" s="2"/>
      <c r="R4" s="2"/>
      <c r="S4" s="1"/>
      <c r="T4" s="2"/>
    </row>
    <row r="5" spans="1:20" ht="15" customHeight="1" x14ac:dyDescent="0.25">
      <c r="A5" s="18"/>
      <c r="B5" s="18"/>
      <c r="C5" s="18"/>
      <c r="D5" s="1"/>
      <c r="E5" s="2"/>
      <c r="F5" s="1023"/>
      <c r="G5" s="1023"/>
      <c r="H5" s="1023"/>
      <c r="I5" s="1023"/>
      <c r="J5" s="1023"/>
      <c r="K5" s="1023"/>
      <c r="L5" s="1023"/>
      <c r="M5" s="2"/>
      <c r="N5" s="2"/>
      <c r="O5" s="2"/>
      <c r="P5" s="2"/>
      <c r="Q5" s="2"/>
      <c r="R5" s="2"/>
      <c r="S5" s="1"/>
      <c r="T5" s="2"/>
    </row>
    <row r="6" spans="1:20" ht="15" customHeight="1" x14ac:dyDescent="0.25">
      <c r="A6" s="18"/>
      <c r="B6" s="18"/>
      <c r="C6" s="18"/>
      <c r="D6" s="1"/>
      <c r="E6" s="2"/>
      <c r="F6" s="1023"/>
      <c r="G6" s="1023"/>
      <c r="H6" s="1023"/>
      <c r="I6" s="1023"/>
      <c r="J6" s="1023"/>
      <c r="K6" s="1023"/>
      <c r="L6" s="1023"/>
      <c r="M6" s="2"/>
      <c r="N6" s="2"/>
      <c r="O6" s="2"/>
      <c r="P6" s="73"/>
      <c r="Q6" s="73"/>
      <c r="R6" s="2"/>
      <c r="S6" s="1"/>
      <c r="T6" s="2"/>
    </row>
    <row r="7" spans="1:20" ht="20.100000000000001" customHeight="1" x14ac:dyDescent="0.25">
      <c r="A7" s="18"/>
      <c r="B7" s="18"/>
      <c r="C7" s="18"/>
      <c r="D7" s="1"/>
      <c r="E7" s="2"/>
      <c r="F7" s="1024" t="str">
        <f ca="1">Alertas!R6</f>
        <v/>
      </c>
      <c r="G7" s="1024"/>
      <c r="H7" s="1024"/>
      <c r="I7" s="74"/>
      <c r="J7" s="74"/>
      <c r="K7" s="74"/>
      <c r="L7" s="74"/>
      <c r="M7" s="2"/>
      <c r="N7" s="2"/>
      <c r="O7" s="2"/>
      <c r="Q7" s="70"/>
      <c r="R7" s="2"/>
      <c r="S7" s="1"/>
      <c r="T7" s="2"/>
    </row>
    <row r="8" spans="1:20" ht="15" customHeight="1" x14ac:dyDescent="0.25">
      <c r="A8" s="17"/>
      <c r="B8" s="17"/>
      <c r="C8" s="17"/>
      <c r="D8" s="1"/>
      <c r="E8" s="6"/>
      <c r="F8" s="6"/>
      <c r="G8" s="7"/>
      <c r="H8" s="6"/>
      <c r="I8" s="6"/>
      <c r="J8" s="6"/>
      <c r="K8" s="6"/>
      <c r="L8" s="6"/>
      <c r="M8" s="6"/>
      <c r="N8" s="6"/>
      <c r="O8" s="6"/>
      <c r="P8" s="6"/>
      <c r="Q8" s="6"/>
      <c r="R8" s="6"/>
      <c r="S8" s="1"/>
      <c r="T8" s="6"/>
    </row>
    <row r="9" spans="1:20" ht="48" customHeight="1" x14ac:dyDescent="0.25">
      <c r="A9" s="18"/>
      <c r="B9" s="18"/>
      <c r="C9" s="18"/>
      <c r="D9" s="1"/>
      <c r="E9" s="2"/>
      <c r="F9" s="1011" t="s">
        <v>7289</v>
      </c>
      <c r="G9" s="1011"/>
      <c r="H9" s="1011"/>
      <c r="I9" s="1011"/>
      <c r="J9" s="1011"/>
      <c r="K9" s="1011"/>
      <c r="L9" s="1011"/>
      <c r="M9" s="1011"/>
      <c r="N9" s="1011"/>
      <c r="O9" s="1011"/>
      <c r="P9" s="1011"/>
      <c r="Q9" s="2"/>
      <c r="R9" s="2"/>
      <c r="S9" s="1"/>
      <c r="T9" s="2"/>
    </row>
    <row r="10" spans="1:20" ht="30" customHeight="1" x14ac:dyDescent="0.25">
      <c r="A10" s="18"/>
      <c r="B10" s="18"/>
      <c r="C10" s="18"/>
      <c r="D10" s="1"/>
      <c r="E10" s="2"/>
      <c r="F10" s="1011" t="s">
        <v>7290</v>
      </c>
      <c r="G10" s="1011"/>
      <c r="H10" s="1011"/>
      <c r="I10" s="1011"/>
      <c r="J10" s="1011"/>
      <c r="K10" s="1011"/>
      <c r="L10" s="1011"/>
      <c r="M10" s="1011"/>
      <c r="N10" s="1011"/>
      <c r="O10" s="1011"/>
      <c r="P10" s="1011"/>
      <c r="Q10" s="2"/>
      <c r="R10" s="2"/>
      <c r="S10" s="1"/>
      <c r="T10" s="2"/>
    </row>
    <row r="11" spans="1:20" ht="20.100000000000001" customHeight="1" x14ac:dyDescent="0.25">
      <c r="A11" s="18"/>
      <c r="B11" s="18"/>
      <c r="C11" s="18"/>
      <c r="D11" s="1"/>
      <c r="E11" s="2"/>
      <c r="F11" s="1011" t="s">
        <v>7291</v>
      </c>
      <c r="G11" s="1011"/>
      <c r="H11" s="1011"/>
      <c r="I11" s="1011"/>
      <c r="J11" s="1011"/>
      <c r="K11" s="1011"/>
      <c r="L11" s="1011"/>
      <c r="M11" s="1011"/>
      <c r="N11" s="1011"/>
      <c r="O11" s="1011"/>
      <c r="P11" s="1011"/>
      <c r="Q11" s="2"/>
      <c r="R11" s="2"/>
      <c r="S11" s="1"/>
      <c r="T11" s="2"/>
    </row>
    <row r="12" spans="1:20" ht="28.5" customHeight="1" x14ac:dyDescent="0.25">
      <c r="A12" s="18"/>
      <c r="B12" s="18"/>
      <c r="C12" s="18"/>
      <c r="D12" s="1"/>
      <c r="E12" s="2"/>
      <c r="F12" s="1011" t="s">
        <v>7292</v>
      </c>
      <c r="G12" s="1011"/>
      <c r="H12" s="1011"/>
      <c r="I12" s="1011"/>
      <c r="J12" s="1011"/>
      <c r="K12" s="1011"/>
      <c r="L12" s="1011"/>
      <c r="M12" s="1011"/>
      <c r="N12" s="1011"/>
      <c r="O12" s="1011"/>
      <c r="P12" s="1011"/>
      <c r="Q12" s="2"/>
      <c r="R12" s="2"/>
      <c r="S12" s="1"/>
      <c r="T12" s="2"/>
    </row>
    <row r="13" spans="1:20" ht="15" customHeight="1" x14ac:dyDescent="0.25">
      <c r="A13" s="18"/>
      <c r="B13" s="18"/>
      <c r="C13" s="18"/>
      <c r="D13" s="1"/>
      <c r="E13" s="7"/>
      <c r="F13" s="7"/>
      <c r="G13" s="7"/>
      <c r="H13" s="7"/>
      <c r="I13" s="7"/>
      <c r="J13" s="7"/>
      <c r="K13" s="7"/>
      <c r="L13" s="7"/>
      <c r="M13" s="7"/>
      <c r="N13" s="7"/>
      <c r="O13" s="7"/>
      <c r="P13" s="7"/>
      <c r="Q13" s="7"/>
      <c r="R13" s="7"/>
      <c r="S13" s="1"/>
      <c r="T13" s="7"/>
    </row>
    <row r="14" spans="1:20" ht="15" customHeight="1" x14ac:dyDescent="0.25">
      <c r="A14" s="18"/>
      <c r="B14" s="18"/>
      <c r="C14" s="18"/>
      <c r="D14" s="1"/>
      <c r="E14" s="2"/>
      <c r="F14" s="2"/>
      <c r="G14" s="3"/>
      <c r="H14" s="2"/>
      <c r="I14" s="2"/>
      <c r="J14" s="2"/>
      <c r="K14" s="2"/>
      <c r="L14" s="2"/>
      <c r="M14" s="2"/>
      <c r="N14" s="2"/>
      <c r="O14" s="2"/>
      <c r="P14" s="2"/>
      <c r="Q14" s="2"/>
      <c r="R14" s="2"/>
      <c r="S14" s="1"/>
      <c r="T14" s="2"/>
    </row>
    <row r="15" spans="1:20" ht="30" customHeight="1" x14ac:dyDescent="0.25">
      <c r="A15" s="18"/>
      <c r="B15" s="18"/>
      <c r="C15" s="18"/>
      <c r="D15" s="1"/>
      <c r="E15" s="2"/>
      <c r="F15" s="15" t="s">
        <v>186</v>
      </c>
      <c r="G15" s="1012" t="s">
        <v>221</v>
      </c>
      <c r="H15" s="1012"/>
      <c r="I15" s="10"/>
      <c r="J15" s="13" t="str">
        <f ca="1">Calculos!$FB$15</f>
        <v/>
      </c>
      <c r="K15" s="2"/>
      <c r="L15" s="2"/>
      <c r="M15" s="2"/>
      <c r="N15" s="2"/>
      <c r="O15" s="2"/>
      <c r="P15" s="2"/>
      <c r="Q15" s="2"/>
      <c r="R15" s="2"/>
      <c r="S15" s="1"/>
      <c r="T15" s="2"/>
    </row>
    <row r="16" spans="1:20" ht="18" hidden="1" customHeight="1" x14ac:dyDescent="0.25">
      <c r="A16" s="18"/>
      <c r="B16" s="18"/>
      <c r="C16" s="18"/>
      <c r="D16" s="1"/>
      <c r="E16" s="2"/>
      <c r="S16" s="1"/>
    </row>
    <row r="17" spans="1:20" ht="30" hidden="1" customHeight="1" x14ac:dyDescent="0.25">
      <c r="A17" s="19"/>
      <c r="B17" s="19"/>
      <c r="C17" s="19"/>
      <c r="D17" s="1"/>
      <c r="E17" s="30"/>
      <c r="S17" s="1"/>
    </row>
    <row r="18" spans="1:20" ht="15" hidden="1" customHeight="1" x14ac:dyDescent="0.25">
      <c r="A18" s="19"/>
      <c r="B18" s="19"/>
      <c r="C18" s="19"/>
      <c r="D18" s="1"/>
      <c r="E18" s="30"/>
      <c r="S18" s="1"/>
    </row>
    <row r="19" spans="1:20" ht="18" hidden="1" customHeight="1" x14ac:dyDescent="0.25">
      <c r="A19" s="19"/>
      <c r="B19" s="19"/>
      <c r="C19" s="19"/>
      <c r="D19" s="1"/>
      <c r="E19" s="30"/>
      <c r="S19" s="1"/>
    </row>
    <row r="20" spans="1:20" ht="18" hidden="1" customHeight="1" x14ac:dyDescent="0.25">
      <c r="A20" s="19"/>
      <c r="B20" s="19"/>
      <c r="C20" s="19"/>
      <c r="D20" s="1"/>
      <c r="E20" s="30"/>
      <c r="S20" s="1"/>
    </row>
    <row r="21" spans="1:20" ht="18" hidden="1" customHeight="1" x14ac:dyDescent="0.25">
      <c r="A21" s="18"/>
      <c r="B21" s="18"/>
      <c r="C21" s="18"/>
      <c r="D21" s="1"/>
      <c r="E21" s="2"/>
      <c r="S21" s="1"/>
    </row>
    <row r="22" spans="1:20" ht="15" hidden="1" customHeight="1" x14ac:dyDescent="0.25">
      <c r="A22" s="18"/>
      <c r="B22" s="18"/>
      <c r="C22" s="18"/>
      <c r="D22" s="1"/>
      <c r="E22" s="2"/>
      <c r="S22" s="1"/>
    </row>
    <row r="23" spans="1:20" ht="15" hidden="1" customHeight="1" x14ac:dyDescent="0.25">
      <c r="A23" s="18"/>
      <c r="B23" s="18"/>
      <c r="C23" s="18"/>
      <c r="D23" s="1"/>
      <c r="E23" s="7"/>
      <c r="F23" s="1"/>
      <c r="G23" s="1"/>
      <c r="H23" s="1"/>
      <c r="I23" s="1"/>
      <c r="J23" s="1"/>
      <c r="K23" s="1"/>
      <c r="L23" s="1"/>
      <c r="M23" s="1"/>
      <c r="N23" s="1"/>
      <c r="O23" s="1"/>
      <c r="P23" s="1"/>
      <c r="Q23" s="1"/>
      <c r="R23" s="1"/>
      <c r="S23" s="1"/>
      <c r="T23" s="1"/>
    </row>
    <row r="24" spans="1:20" ht="15" x14ac:dyDescent="0.25">
      <c r="A24" s="18"/>
      <c r="B24" s="18"/>
      <c r="C24" s="18"/>
      <c r="D24" s="1"/>
      <c r="E24" s="31"/>
      <c r="F24" s="2"/>
      <c r="G24" s="3"/>
      <c r="H24" s="2"/>
      <c r="I24" s="2"/>
      <c r="J24" s="2"/>
      <c r="K24" s="2"/>
      <c r="L24" s="2"/>
      <c r="M24" s="2"/>
      <c r="N24" s="2"/>
      <c r="O24" s="2"/>
      <c r="P24" s="2"/>
      <c r="Q24" s="2"/>
      <c r="R24" s="2"/>
      <c r="S24" s="1"/>
      <c r="T24" s="2"/>
    </row>
    <row r="25" spans="1:20" ht="70.5" customHeight="1" x14ac:dyDescent="0.25">
      <c r="A25" s="18"/>
      <c r="B25" s="18"/>
      <c r="C25" s="18"/>
      <c r="D25" s="1"/>
      <c r="E25" s="31"/>
      <c r="F25" s="2"/>
      <c r="G25" s="1013" t="s">
        <v>7983</v>
      </c>
      <c r="H25" s="1013"/>
      <c r="I25" s="1014"/>
      <c r="J25" s="1015"/>
      <c r="K25" s="1015"/>
      <c r="L25" s="1016"/>
      <c r="M25" s="14" t="s">
        <v>271</v>
      </c>
      <c r="N25" s="12"/>
      <c r="O25" s="12"/>
      <c r="P25" s="4"/>
      <c r="Q25" s="4"/>
      <c r="R25" s="2"/>
      <c r="S25" s="1"/>
      <c r="T25" s="2"/>
    </row>
    <row r="26" spans="1:20" ht="15" customHeight="1" x14ac:dyDescent="0.25">
      <c r="A26" s="18"/>
      <c r="B26" s="18"/>
      <c r="C26" s="18"/>
      <c r="D26" s="1"/>
      <c r="E26" s="31"/>
      <c r="F26" s="2"/>
      <c r="G26" s="1026" t="str">
        <f ca="1">Calculos!AD47</f>
        <v/>
      </c>
      <c r="H26" s="1027"/>
      <c r="I26" s="1027"/>
      <c r="J26" s="1028"/>
      <c r="K26" s="1017" t="str">
        <f ca="1">Calculos!HB25</f>
        <v>-</v>
      </c>
      <c r="L26" s="1017"/>
      <c r="M26" s="1017"/>
      <c r="N26" s="1017"/>
      <c r="O26" s="1017"/>
      <c r="P26" s="1017"/>
      <c r="Q26" s="1018"/>
      <c r="R26" s="2"/>
      <c r="S26" s="1"/>
      <c r="T26" s="2"/>
    </row>
    <row r="27" spans="1:20" ht="15" customHeight="1" x14ac:dyDescent="0.25">
      <c r="A27" s="18"/>
      <c r="B27" s="18"/>
      <c r="C27" s="18"/>
      <c r="D27" s="1"/>
      <c r="E27" s="31"/>
      <c r="F27" s="2"/>
      <c r="G27" s="1029"/>
      <c r="H27" s="1030"/>
      <c r="I27" s="1030"/>
      <c r="J27" s="1031"/>
      <c r="K27" s="1019"/>
      <c r="L27" s="1019"/>
      <c r="M27" s="1019"/>
      <c r="N27" s="1019"/>
      <c r="O27" s="1019"/>
      <c r="P27" s="1019"/>
      <c r="Q27" s="1020"/>
      <c r="R27" s="2"/>
      <c r="S27" s="1"/>
      <c r="T27" s="2"/>
    </row>
    <row r="28" spans="1:20" ht="60" customHeight="1" x14ac:dyDescent="0.25">
      <c r="A28" s="18"/>
      <c r="B28" s="18"/>
      <c r="C28" s="18"/>
      <c r="D28" s="1"/>
      <c r="E28" s="31"/>
      <c r="F28" s="2"/>
      <c r="G28" s="1025" t="str">
        <f ca="1">Calculos!S4</f>
        <v/>
      </c>
      <c r="H28" s="1025"/>
      <c r="I28" s="1025"/>
      <c r="J28" s="1025"/>
      <c r="K28" s="1021"/>
      <c r="L28" s="1021"/>
      <c r="M28" s="1021"/>
      <c r="N28" s="1021"/>
      <c r="O28" s="1021"/>
      <c r="P28" s="1021"/>
      <c r="Q28" s="1022"/>
      <c r="R28" s="2"/>
      <c r="S28" s="1"/>
      <c r="T28" s="2"/>
    </row>
    <row r="29" spans="1:20" ht="15" customHeight="1" x14ac:dyDescent="0.25">
      <c r="A29" s="18"/>
      <c r="B29" s="18"/>
      <c r="C29" s="18"/>
      <c r="D29" s="1"/>
      <c r="E29" s="31"/>
      <c r="G29" s="2"/>
      <c r="H29" s="2"/>
      <c r="I29" s="2"/>
      <c r="J29" s="76" t="s">
        <v>7159</v>
      </c>
      <c r="K29" s="16"/>
      <c r="L29" s="2"/>
      <c r="M29" s="2"/>
      <c r="N29" s="2"/>
      <c r="O29" s="2"/>
      <c r="P29" s="77" t="s">
        <v>8534</v>
      </c>
      <c r="Q29" s="2"/>
      <c r="S29" s="1"/>
      <c r="T29" s="2"/>
    </row>
    <row r="30" spans="1:20" ht="30.75" customHeight="1" x14ac:dyDescent="0.25">
      <c r="A30" s="18"/>
      <c r="B30" s="18"/>
      <c r="C30" s="18"/>
      <c r="D30" s="1"/>
      <c r="E30" s="31"/>
      <c r="G30" s="1012" t="s">
        <v>7978</v>
      </c>
      <c r="H30" s="1012" t="s">
        <v>11</v>
      </c>
      <c r="I30" s="1012" t="s">
        <v>6027</v>
      </c>
      <c r="J30" s="78" t="s">
        <v>384</v>
      </c>
      <c r="K30" s="1008" t="str">
        <f ca="1">Calculos!AE13</f>
        <v xml:space="preserve">Nominal (total): 0 </v>
      </c>
      <c r="L30" s="1009"/>
      <c r="M30" s="1010"/>
      <c r="N30" s="1005" t="s">
        <v>7980</v>
      </c>
      <c r="O30" s="1006" t="s">
        <v>8600</v>
      </c>
      <c r="P30" s="1004" t="s">
        <v>7979</v>
      </c>
      <c r="Q30" s="79" t="s">
        <v>7981</v>
      </c>
      <c r="S30" s="1"/>
      <c r="T30" s="2"/>
    </row>
    <row r="31" spans="1:20" ht="29.25" customHeight="1" x14ac:dyDescent="0.25">
      <c r="A31" s="18"/>
      <c r="B31" s="18"/>
      <c r="C31" s="18"/>
      <c r="D31" s="1"/>
      <c r="E31" s="31"/>
      <c r="G31" s="1012"/>
      <c r="H31" s="1012"/>
      <c r="I31" s="1012"/>
      <c r="J31" s="21"/>
      <c r="K31" s="80" t="s">
        <v>6028</v>
      </c>
      <c r="L31" s="78" t="s">
        <v>385</v>
      </c>
      <c r="M31" s="78" t="s">
        <v>7315</v>
      </c>
      <c r="N31" s="1005"/>
      <c r="O31" s="1007"/>
      <c r="P31" s="1005"/>
      <c r="Q31" s="81" t="s">
        <v>7982</v>
      </c>
      <c r="S31" s="1"/>
      <c r="T31" s="2"/>
    </row>
    <row r="32" spans="1:20" ht="18" customHeight="1" x14ac:dyDescent="0.25">
      <c r="A32" s="18"/>
      <c r="B32" s="18"/>
      <c r="C32" s="18"/>
      <c r="D32" s="1"/>
      <c r="E32" s="32">
        <v>1</v>
      </c>
      <c r="G32" s="82"/>
      <c r="H32" s="83"/>
      <c r="I32" s="84" t="str">
        <f ca="1">Calculos!V4</f>
        <v/>
      </c>
      <c r="J32" s="10"/>
      <c r="K32" s="85"/>
      <c r="L32" s="86"/>
      <c r="M32" s="86"/>
      <c r="N32" s="87" t="str">
        <f ca="1">Calculos!W4</f>
        <v/>
      </c>
      <c r="O32" s="88" t="str">
        <f t="shared" ref="O32:O71" si="0">IF(ISBLANK(K32),"","Sim")</f>
        <v/>
      </c>
      <c r="P32" s="10"/>
      <c r="Q32" s="84"/>
      <c r="S32" s="1"/>
      <c r="T32" s="2"/>
    </row>
    <row r="33" spans="1:20" ht="18" customHeight="1" x14ac:dyDescent="0.25">
      <c r="A33" s="18"/>
      <c r="B33" s="18"/>
      <c r="C33" s="18"/>
      <c r="D33" s="1"/>
      <c r="E33" s="32">
        <v>2</v>
      </c>
      <c r="G33" s="82"/>
      <c r="H33" s="83"/>
      <c r="I33" s="84" t="str">
        <f ca="1">Calculos!V5</f>
        <v/>
      </c>
      <c r="J33" s="10"/>
      <c r="K33" s="85"/>
      <c r="L33" s="86"/>
      <c r="M33" s="86"/>
      <c r="N33" s="87" t="str">
        <f ca="1">Calculos!W5</f>
        <v/>
      </c>
      <c r="O33" s="88" t="str">
        <f t="shared" si="0"/>
        <v/>
      </c>
      <c r="P33" s="10"/>
      <c r="Q33" s="84"/>
      <c r="S33" s="1"/>
      <c r="T33" s="2"/>
    </row>
    <row r="34" spans="1:20" ht="18" customHeight="1" x14ac:dyDescent="0.25">
      <c r="A34" s="18"/>
      <c r="B34" s="18"/>
      <c r="C34" s="18"/>
      <c r="D34" s="1"/>
      <c r="E34" s="32">
        <v>3</v>
      </c>
      <c r="G34" s="82"/>
      <c r="H34" s="83"/>
      <c r="I34" s="84" t="str">
        <f ca="1">Calculos!V6</f>
        <v/>
      </c>
      <c r="J34" s="10"/>
      <c r="K34" s="85"/>
      <c r="L34" s="86"/>
      <c r="M34" s="86"/>
      <c r="N34" s="87" t="str">
        <f ca="1">Calculos!W6</f>
        <v/>
      </c>
      <c r="O34" s="88" t="str">
        <f t="shared" si="0"/>
        <v/>
      </c>
      <c r="P34" s="10"/>
      <c r="Q34" s="84"/>
      <c r="S34" s="1"/>
      <c r="T34" s="2"/>
    </row>
    <row r="35" spans="1:20" ht="18" customHeight="1" x14ac:dyDescent="0.25">
      <c r="A35" s="18"/>
      <c r="B35" s="18"/>
      <c r="C35" s="18"/>
      <c r="D35" s="1"/>
      <c r="E35" s="32">
        <v>4</v>
      </c>
      <c r="G35" s="82"/>
      <c r="H35" s="83"/>
      <c r="I35" s="84" t="str">
        <f ca="1">Calculos!V7</f>
        <v/>
      </c>
      <c r="J35" s="10"/>
      <c r="K35" s="85"/>
      <c r="L35" s="86"/>
      <c r="M35" s="86"/>
      <c r="N35" s="87" t="str">
        <f ca="1">Calculos!W7</f>
        <v/>
      </c>
      <c r="O35" s="88" t="str">
        <f t="shared" si="0"/>
        <v/>
      </c>
      <c r="P35" s="10"/>
      <c r="Q35" s="84"/>
      <c r="S35" s="1"/>
      <c r="T35" s="2"/>
    </row>
    <row r="36" spans="1:20" ht="18" customHeight="1" x14ac:dyDescent="0.25">
      <c r="A36" s="18"/>
      <c r="B36" s="18"/>
      <c r="C36" s="18"/>
      <c r="D36" s="1"/>
      <c r="E36" s="32">
        <v>5</v>
      </c>
      <c r="G36" s="82"/>
      <c r="H36" s="83"/>
      <c r="I36" s="84" t="str">
        <f ca="1">Calculos!V8</f>
        <v/>
      </c>
      <c r="J36" s="10"/>
      <c r="K36" s="85"/>
      <c r="L36" s="86"/>
      <c r="M36" s="86"/>
      <c r="N36" s="87" t="str">
        <f ca="1">Calculos!W8</f>
        <v/>
      </c>
      <c r="O36" s="88" t="str">
        <f t="shared" si="0"/>
        <v/>
      </c>
      <c r="P36" s="10"/>
      <c r="Q36" s="84"/>
      <c r="S36" s="1"/>
      <c r="T36" s="2"/>
    </row>
    <row r="37" spans="1:20" ht="18" customHeight="1" x14ac:dyDescent="0.25">
      <c r="A37" s="18"/>
      <c r="B37" s="18"/>
      <c r="C37" s="18"/>
      <c r="D37" s="1"/>
      <c r="E37" s="32">
        <v>6</v>
      </c>
      <c r="G37" s="82"/>
      <c r="H37" s="83"/>
      <c r="I37" s="84" t="str">
        <f ca="1">Calculos!V9</f>
        <v/>
      </c>
      <c r="J37" s="10"/>
      <c r="K37" s="85"/>
      <c r="L37" s="86"/>
      <c r="M37" s="86"/>
      <c r="N37" s="87" t="str">
        <f ca="1">Calculos!W9</f>
        <v/>
      </c>
      <c r="O37" s="88" t="str">
        <f t="shared" si="0"/>
        <v/>
      </c>
      <c r="P37" s="10"/>
      <c r="Q37" s="84"/>
      <c r="S37" s="1"/>
      <c r="T37" s="2"/>
    </row>
    <row r="38" spans="1:20" ht="18" customHeight="1" x14ac:dyDescent="0.25">
      <c r="A38" s="18"/>
      <c r="B38" s="18"/>
      <c r="C38" s="18"/>
      <c r="D38" s="1"/>
      <c r="E38" s="32">
        <v>7</v>
      </c>
      <c r="G38" s="82"/>
      <c r="H38" s="83"/>
      <c r="I38" s="84" t="str">
        <f ca="1">Calculos!V10</f>
        <v/>
      </c>
      <c r="J38" s="10"/>
      <c r="K38" s="85"/>
      <c r="L38" s="86"/>
      <c r="M38" s="86"/>
      <c r="N38" s="87" t="str">
        <f ca="1">Calculos!W10</f>
        <v/>
      </c>
      <c r="O38" s="88" t="str">
        <f t="shared" si="0"/>
        <v/>
      </c>
      <c r="P38" s="10"/>
      <c r="Q38" s="84"/>
      <c r="S38" s="1"/>
      <c r="T38" s="2"/>
    </row>
    <row r="39" spans="1:20" ht="18" customHeight="1" x14ac:dyDescent="0.25">
      <c r="A39" s="18"/>
      <c r="B39" s="18"/>
      <c r="C39" s="18"/>
      <c r="D39" s="1"/>
      <c r="E39" s="32">
        <v>8</v>
      </c>
      <c r="G39" s="82"/>
      <c r="H39" s="83"/>
      <c r="I39" s="84" t="str">
        <f ca="1">Calculos!V11</f>
        <v/>
      </c>
      <c r="J39" s="10"/>
      <c r="K39" s="85"/>
      <c r="L39" s="86"/>
      <c r="M39" s="86"/>
      <c r="N39" s="87" t="str">
        <f ca="1">Calculos!W11</f>
        <v/>
      </c>
      <c r="O39" s="88" t="str">
        <f t="shared" si="0"/>
        <v/>
      </c>
      <c r="P39" s="10"/>
      <c r="Q39" s="84"/>
      <c r="S39" s="1"/>
      <c r="T39" s="2"/>
    </row>
    <row r="40" spans="1:20" ht="18" customHeight="1" x14ac:dyDescent="0.25">
      <c r="A40" s="18"/>
      <c r="B40" s="18"/>
      <c r="C40" s="18"/>
      <c r="D40" s="1"/>
      <c r="E40" s="32">
        <v>9</v>
      </c>
      <c r="G40" s="82"/>
      <c r="H40" s="83"/>
      <c r="I40" s="84" t="str">
        <f ca="1">Calculos!V12</f>
        <v/>
      </c>
      <c r="J40" s="10"/>
      <c r="K40" s="85"/>
      <c r="L40" s="86"/>
      <c r="M40" s="86"/>
      <c r="N40" s="87" t="str">
        <f ca="1">Calculos!W12</f>
        <v/>
      </c>
      <c r="O40" s="88" t="str">
        <f t="shared" si="0"/>
        <v/>
      </c>
      <c r="P40" s="10"/>
      <c r="Q40" s="84"/>
      <c r="S40" s="1"/>
      <c r="T40" s="2"/>
    </row>
    <row r="41" spans="1:20" ht="18" customHeight="1" x14ac:dyDescent="0.25">
      <c r="A41" s="18"/>
      <c r="B41" s="18"/>
      <c r="C41" s="18"/>
      <c r="D41" s="1"/>
      <c r="E41" s="32">
        <v>10</v>
      </c>
      <c r="G41" s="82"/>
      <c r="H41" s="83"/>
      <c r="I41" s="84" t="str">
        <f ca="1">Calculos!V13</f>
        <v/>
      </c>
      <c r="J41" s="10"/>
      <c r="K41" s="85"/>
      <c r="L41" s="86"/>
      <c r="M41" s="86"/>
      <c r="N41" s="87" t="str">
        <f ca="1">Calculos!W13</f>
        <v/>
      </c>
      <c r="O41" s="88" t="str">
        <f t="shared" si="0"/>
        <v/>
      </c>
      <c r="P41" s="10"/>
      <c r="Q41" s="84"/>
      <c r="S41" s="1"/>
      <c r="T41" s="2"/>
    </row>
    <row r="42" spans="1:20" ht="18" customHeight="1" x14ac:dyDescent="0.25">
      <c r="A42" s="18"/>
      <c r="B42" s="18"/>
      <c r="C42" s="18"/>
      <c r="D42" s="1"/>
      <c r="E42" s="32">
        <v>11</v>
      </c>
      <c r="G42" s="82"/>
      <c r="H42" s="83"/>
      <c r="I42" s="84" t="str">
        <f ca="1">Calculos!V14</f>
        <v/>
      </c>
      <c r="J42" s="10"/>
      <c r="K42" s="85"/>
      <c r="L42" s="86"/>
      <c r="M42" s="86"/>
      <c r="N42" s="87" t="str">
        <f ca="1">Calculos!W14</f>
        <v/>
      </c>
      <c r="O42" s="88" t="str">
        <f t="shared" si="0"/>
        <v/>
      </c>
      <c r="P42" s="10"/>
      <c r="Q42" s="84"/>
      <c r="S42" s="1"/>
      <c r="T42" s="2"/>
    </row>
    <row r="43" spans="1:20" ht="18" customHeight="1" x14ac:dyDescent="0.25">
      <c r="A43" s="18"/>
      <c r="B43" s="18"/>
      <c r="C43" s="18"/>
      <c r="D43" s="1"/>
      <c r="E43" s="32">
        <v>12</v>
      </c>
      <c r="G43" s="82"/>
      <c r="H43" s="83"/>
      <c r="I43" s="84" t="str">
        <f ca="1">Calculos!V15</f>
        <v/>
      </c>
      <c r="J43" s="10"/>
      <c r="K43" s="85"/>
      <c r="L43" s="86"/>
      <c r="M43" s="86"/>
      <c r="N43" s="87" t="str">
        <f ca="1">Calculos!W15</f>
        <v/>
      </c>
      <c r="O43" s="88" t="str">
        <f t="shared" si="0"/>
        <v/>
      </c>
      <c r="P43" s="10"/>
      <c r="Q43" s="84"/>
      <c r="S43" s="1"/>
      <c r="T43" s="2"/>
    </row>
    <row r="44" spans="1:20" ht="18" customHeight="1" x14ac:dyDescent="0.25">
      <c r="A44" s="18"/>
      <c r="B44" s="18"/>
      <c r="C44" s="18"/>
      <c r="D44" s="1"/>
      <c r="E44" s="32">
        <v>13</v>
      </c>
      <c r="G44" s="82"/>
      <c r="H44" s="83"/>
      <c r="I44" s="84" t="str">
        <f ca="1">Calculos!V16</f>
        <v/>
      </c>
      <c r="J44" s="10"/>
      <c r="K44" s="85"/>
      <c r="L44" s="86"/>
      <c r="M44" s="86"/>
      <c r="N44" s="87" t="str">
        <f ca="1">Calculos!W16</f>
        <v/>
      </c>
      <c r="O44" s="88" t="str">
        <f t="shared" si="0"/>
        <v/>
      </c>
      <c r="P44" s="10"/>
      <c r="Q44" s="84"/>
      <c r="S44" s="1"/>
      <c r="T44" s="2"/>
    </row>
    <row r="45" spans="1:20" ht="18" customHeight="1" x14ac:dyDescent="0.25">
      <c r="A45" s="18"/>
      <c r="B45" s="18"/>
      <c r="C45" s="18"/>
      <c r="D45" s="1"/>
      <c r="E45" s="32">
        <v>14</v>
      </c>
      <c r="G45" s="82"/>
      <c r="H45" s="83"/>
      <c r="I45" s="84" t="str">
        <f ca="1">Calculos!V17</f>
        <v/>
      </c>
      <c r="J45" s="10"/>
      <c r="K45" s="85"/>
      <c r="L45" s="86"/>
      <c r="M45" s="86"/>
      <c r="N45" s="87" t="str">
        <f ca="1">Calculos!W17</f>
        <v/>
      </c>
      <c r="O45" s="88" t="str">
        <f t="shared" si="0"/>
        <v/>
      </c>
      <c r="P45" s="10"/>
      <c r="Q45" s="84"/>
      <c r="S45" s="1"/>
      <c r="T45" s="2"/>
    </row>
    <row r="46" spans="1:20" ht="18" customHeight="1" x14ac:dyDescent="0.25">
      <c r="A46" s="18"/>
      <c r="B46" s="18"/>
      <c r="C46" s="18"/>
      <c r="D46" s="1"/>
      <c r="E46" s="32">
        <v>15</v>
      </c>
      <c r="G46" s="82"/>
      <c r="H46" s="83"/>
      <c r="I46" s="84" t="str">
        <f ca="1">Calculos!V18</f>
        <v/>
      </c>
      <c r="J46" s="10"/>
      <c r="K46" s="85"/>
      <c r="L46" s="86"/>
      <c r="M46" s="86"/>
      <c r="N46" s="87" t="str">
        <f ca="1">Calculos!W18</f>
        <v/>
      </c>
      <c r="O46" s="88" t="str">
        <f t="shared" si="0"/>
        <v/>
      </c>
      <c r="P46" s="10"/>
      <c r="Q46" s="84"/>
      <c r="S46" s="1"/>
      <c r="T46" s="2"/>
    </row>
    <row r="47" spans="1:20" ht="18" customHeight="1" x14ac:dyDescent="0.25">
      <c r="A47" s="18"/>
      <c r="B47" s="18"/>
      <c r="C47" s="18"/>
      <c r="D47" s="1"/>
      <c r="E47" s="32">
        <v>16</v>
      </c>
      <c r="G47" s="82"/>
      <c r="H47" s="83"/>
      <c r="I47" s="84" t="str">
        <f ca="1">Calculos!V19</f>
        <v/>
      </c>
      <c r="J47" s="10"/>
      <c r="K47" s="85"/>
      <c r="L47" s="86"/>
      <c r="M47" s="86"/>
      <c r="N47" s="87" t="str">
        <f ca="1">Calculos!W19</f>
        <v/>
      </c>
      <c r="O47" s="88" t="str">
        <f t="shared" si="0"/>
        <v/>
      </c>
      <c r="P47" s="10"/>
      <c r="Q47" s="84"/>
      <c r="S47" s="1"/>
      <c r="T47" s="2"/>
    </row>
    <row r="48" spans="1:20" ht="18" customHeight="1" x14ac:dyDescent="0.25">
      <c r="A48" s="18"/>
      <c r="B48" s="18"/>
      <c r="C48" s="18"/>
      <c r="D48" s="1"/>
      <c r="E48" s="32">
        <v>17</v>
      </c>
      <c r="G48" s="82"/>
      <c r="H48" s="83"/>
      <c r="I48" s="84" t="str">
        <f ca="1">Calculos!V20</f>
        <v/>
      </c>
      <c r="J48" s="10"/>
      <c r="K48" s="85"/>
      <c r="L48" s="86"/>
      <c r="M48" s="86"/>
      <c r="N48" s="87" t="str">
        <f ca="1">Calculos!W20</f>
        <v/>
      </c>
      <c r="O48" s="88" t="str">
        <f t="shared" si="0"/>
        <v/>
      </c>
      <c r="P48" s="10"/>
      <c r="Q48" s="84"/>
      <c r="S48" s="1"/>
      <c r="T48" s="2"/>
    </row>
    <row r="49" spans="1:20" ht="18" customHeight="1" x14ac:dyDescent="0.25">
      <c r="A49" s="18"/>
      <c r="B49" s="18"/>
      <c r="C49" s="18"/>
      <c r="D49" s="1"/>
      <c r="E49" s="32">
        <v>18</v>
      </c>
      <c r="G49" s="82"/>
      <c r="H49" s="83"/>
      <c r="I49" s="84" t="str">
        <f ca="1">Calculos!V21</f>
        <v/>
      </c>
      <c r="J49" s="10"/>
      <c r="K49" s="85"/>
      <c r="L49" s="86"/>
      <c r="M49" s="86"/>
      <c r="N49" s="87" t="str">
        <f ca="1">Calculos!W21</f>
        <v/>
      </c>
      <c r="O49" s="88" t="str">
        <f t="shared" si="0"/>
        <v/>
      </c>
      <c r="P49" s="10"/>
      <c r="Q49" s="84"/>
      <c r="S49" s="1"/>
      <c r="T49" s="2"/>
    </row>
    <row r="50" spans="1:20" ht="18" customHeight="1" x14ac:dyDescent="0.25">
      <c r="A50" s="18"/>
      <c r="B50" s="18"/>
      <c r="C50" s="18"/>
      <c r="D50" s="1"/>
      <c r="E50" s="32">
        <v>19</v>
      </c>
      <c r="G50" s="82"/>
      <c r="H50" s="83"/>
      <c r="I50" s="84" t="str">
        <f ca="1">Calculos!V22</f>
        <v/>
      </c>
      <c r="J50" s="10"/>
      <c r="K50" s="85"/>
      <c r="L50" s="86"/>
      <c r="M50" s="86"/>
      <c r="N50" s="87" t="str">
        <f ca="1">Calculos!W22</f>
        <v/>
      </c>
      <c r="O50" s="88" t="str">
        <f t="shared" si="0"/>
        <v/>
      </c>
      <c r="P50" s="10"/>
      <c r="Q50" s="84"/>
      <c r="S50" s="1"/>
      <c r="T50" s="2"/>
    </row>
    <row r="51" spans="1:20" ht="18" customHeight="1" x14ac:dyDescent="0.25">
      <c r="A51" s="18"/>
      <c r="B51" s="18"/>
      <c r="C51" s="18"/>
      <c r="D51" s="1"/>
      <c r="E51" s="32">
        <v>20</v>
      </c>
      <c r="G51" s="82"/>
      <c r="H51" s="83"/>
      <c r="I51" s="84" t="str">
        <f ca="1">Calculos!V23</f>
        <v/>
      </c>
      <c r="J51" s="10"/>
      <c r="K51" s="85"/>
      <c r="L51" s="86"/>
      <c r="M51" s="86"/>
      <c r="N51" s="87" t="str">
        <f ca="1">Calculos!W23</f>
        <v/>
      </c>
      <c r="O51" s="88" t="str">
        <f t="shared" si="0"/>
        <v/>
      </c>
      <c r="P51" s="10"/>
      <c r="Q51" s="84"/>
      <c r="S51" s="1"/>
      <c r="T51" s="2"/>
    </row>
    <row r="52" spans="1:20" ht="18" customHeight="1" x14ac:dyDescent="0.25">
      <c r="A52" s="18"/>
      <c r="B52" s="18"/>
      <c r="C52" s="18"/>
      <c r="D52" s="1"/>
      <c r="E52" s="32">
        <v>21</v>
      </c>
      <c r="G52" s="82"/>
      <c r="H52" s="83"/>
      <c r="I52" s="84" t="str">
        <f ca="1">Calculos!V24</f>
        <v/>
      </c>
      <c r="J52" s="10"/>
      <c r="K52" s="85"/>
      <c r="L52" s="86"/>
      <c r="M52" s="86"/>
      <c r="N52" s="87" t="str">
        <f ca="1">Calculos!W24</f>
        <v/>
      </c>
      <c r="O52" s="88" t="str">
        <f t="shared" si="0"/>
        <v/>
      </c>
      <c r="P52" s="10"/>
      <c r="Q52" s="84"/>
      <c r="S52" s="1"/>
      <c r="T52" s="2"/>
    </row>
    <row r="53" spans="1:20" ht="18" customHeight="1" x14ac:dyDescent="0.25">
      <c r="A53" s="18"/>
      <c r="B53" s="18"/>
      <c r="C53" s="18"/>
      <c r="D53" s="1"/>
      <c r="E53" s="32">
        <v>22</v>
      </c>
      <c r="G53" s="82"/>
      <c r="H53" s="83"/>
      <c r="I53" s="84" t="str">
        <f ca="1">Calculos!V25</f>
        <v/>
      </c>
      <c r="J53" s="10"/>
      <c r="K53" s="85"/>
      <c r="L53" s="86"/>
      <c r="M53" s="86"/>
      <c r="N53" s="87" t="str">
        <f ca="1">Calculos!W25</f>
        <v/>
      </c>
      <c r="O53" s="88" t="str">
        <f t="shared" si="0"/>
        <v/>
      </c>
      <c r="P53" s="10"/>
      <c r="Q53" s="84"/>
      <c r="S53" s="1"/>
      <c r="T53" s="2"/>
    </row>
    <row r="54" spans="1:20" ht="18" customHeight="1" x14ac:dyDescent="0.25">
      <c r="A54" s="18"/>
      <c r="B54" s="18"/>
      <c r="C54" s="18"/>
      <c r="D54" s="1"/>
      <c r="E54" s="32">
        <v>23</v>
      </c>
      <c r="G54" s="82"/>
      <c r="H54" s="83"/>
      <c r="I54" s="84" t="str">
        <f ca="1">Calculos!V26</f>
        <v/>
      </c>
      <c r="J54" s="10"/>
      <c r="K54" s="85"/>
      <c r="L54" s="86"/>
      <c r="M54" s="86"/>
      <c r="N54" s="87" t="str">
        <f ca="1">Calculos!W26</f>
        <v/>
      </c>
      <c r="O54" s="88" t="str">
        <f t="shared" si="0"/>
        <v/>
      </c>
      <c r="P54" s="10"/>
      <c r="Q54" s="84"/>
      <c r="S54" s="1"/>
      <c r="T54" s="2"/>
    </row>
    <row r="55" spans="1:20" ht="18" customHeight="1" x14ac:dyDescent="0.25">
      <c r="A55" s="18"/>
      <c r="B55" s="18"/>
      <c r="C55" s="18"/>
      <c r="D55" s="1"/>
      <c r="E55" s="32">
        <v>24</v>
      </c>
      <c r="G55" s="82"/>
      <c r="H55" s="83"/>
      <c r="I55" s="84" t="str">
        <f ca="1">Calculos!V27</f>
        <v/>
      </c>
      <c r="J55" s="10"/>
      <c r="K55" s="85"/>
      <c r="L55" s="86"/>
      <c r="M55" s="86"/>
      <c r="N55" s="87" t="str">
        <f ca="1">Calculos!W27</f>
        <v/>
      </c>
      <c r="O55" s="88" t="str">
        <f t="shared" si="0"/>
        <v/>
      </c>
      <c r="P55" s="10"/>
      <c r="Q55" s="84"/>
      <c r="S55" s="1"/>
      <c r="T55" s="2"/>
    </row>
    <row r="56" spans="1:20" ht="18" customHeight="1" x14ac:dyDescent="0.25">
      <c r="A56" s="18"/>
      <c r="B56" s="18"/>
      <c r="C56" s="18"/>
      <c r="D56" s="1"/>
      <c r="E56" s="32">
        <v>25</v>
      </c>
      <c r="G56" s="82"/>
      <c r="H56" s="83"/>
      <c r="I56" s="84" t="str">
        <f ca="1">Calculos!V28</f>
        <v/>
      </c>
      <c r="J56" s="10"/>
      <c r="K56" s="85"/>
      <c r="L56" s="86"/>
      <c r="M56" s="86"/>
      <c r="N56" s="87" t="str">
        <f ca="1">Calculos!W28</f>
        <v/>
      </c>
      <c r="O56" s="88" t="str">
        <f t="shared" si="0"/>
        <v/>
      </c>
      <c r="P56" s="10"/>
      <c r="Q56" s="84"/>
      <c r="S56" s="1"/>
      <c r="T56" s="2"/>
    </row>
    <row r="57" spans="1:20" ht="18" customHeight="1" x14ac:dyDescent="0.25">
      <c r="A57" s="18"/>
      <c r="B57" s="18"/>
      <c r="C57" s="18"/>
      <c r="D57" s="1"/>
      <c r="E57" s="32">
        <v>26</v>
      </c>
      <c r="G57" s="82"/>
      <c r="H57" s="83"/>
      <c r="I57" s="84" t="str">
        <f ca="1">Calculos!V29</f>
        <v/>
      </c>
      <c r="J57" s="10"/>
      <c r="K57" s="85"/>
      <c r="L57" s="86"/>
      <c r="M57" s="86"/>
      <c r="N57" s="87" t="str">
        <f ca="1">Calculos!W29</f>
        <v/>
      </c>
      <c r="O57" s="88" t="str">
        <f t="shared" si="0"/>
        <v/>
      </c>
      <c r="P57" s="10"/>
      <c r="Q57" s="84"/>
      <c r="S57" s="1"/>
      <c r="T57" s="2"/>
    </row>
    <row r="58" spans="1:20" ht="18" customHeight="1" x14ac:dyDescent="0.25">
      <c r="A58" s="18"/>
      <c r="B58" s="18"/>
      <c r="C58" s="18"/>
      <c r="D58" s="1"/>
      <c r="E58" s="32">
        <v>27</v>
      </c>
      <c r="G58" s="82"/>
      <c r="H58" s="83"/>
      <c r="I58" s="84" t="str">
        <f ca="1">Calculos!V30</f>
        <v/>
      </c>
      <c r="J58" s="10"/>
      <c r="K58" s="85"/>
      <c r="L58" s="86"/>
      <c r="M58" s="86"/>
      <c r="N58" s="87" t="str">
        <f ca="1">Calculos!W30</f>
        <v/>
      </c>
      <c r="O58" s="88" t="str">
        <f t="shared" si="0"/>
        <v/>
      </c>
      <c r="P58" s="10"/>
      <c r="Q58" s="84"/>
      <c r="S58" s="1"/>
      <c r="T58" s="2"/>
    </row>
    <row r="59" spans="1:20" ht="18" customHeight="1" x14ac:dyDescent="0.25">
      <c r="A59" s="18"/>
      <c r="B59" s="18"/>
      <c r="C59" s="18"/>
      <c r="D59" s="1"/>
      <c r="E59" s="32">
        <v>28</v>
      </c>
      <c r="G59" s="82"/>
      <c r="H59" s="83"/>
      <c r="I59" s="84" t="str">
        <f ca="1">Calculos!V31</f>
        <v/>
      </c>
      <c r="J59" s="10"/>
      <c r="K59" s="85"/>
      <c r="L59" s="86"/>
      <c r="M59" s="86"/>
      <c r="N59" s="87" t="str">
        <f ca="1">Calculos!W31</f>
        <v/>
      </c>
      <c r="O59" s="88" t="str">
        <f t="shared" si="0"/>
        <v/>
      </c>
      <c r="P59" s="10"/>
      <c r="Q59" s="84"/>
      <c r="S59" s="1"/>
      <c r="T59" s="2"/>
    </row>
    <row r="60" spans="1:20" ht="18" customHeight="1" x14ac:dyDescent="0.25">
      <c r="A60" s="18"/>
      <c r="B60" s="18"/>
      <c r="C60" s="18"/>
      <c r="D60" s="1"/>
      <c r="E60" s="32">
        <v>29</v>
      </c>
      <c r="G60" s="82"/>
      <c r="H60" s="83"/>
      <c r="I60" s="84" t="str">
        <f ca="1">Calculos!V32</f>
        <v/>
      </c>
      <c r="J60" s="10"/>
      <c r="K60" s="85"/>
      <c r="L60" s="86"/>
      <c r="M60" s="86"/>
      <c r="N60" s="87" t="str">
        <f ca="1">Calculos!W32</f>
        <v/>
      </c>
      <c r="O60" s="88" t="str">
        <f t="shared" si="0"/>
        <v/>
      </c>
      <c r="P60" s="10"/>
      <c r="Q60" s="84"/>
      <c r="S60" s="1"/>
      <c r="T60" s="2"/>
    </row>
    <row r="61" spans="1:20" ht="18" customHeight="1" x14ac:dyDescent="0.25">
      <c r="A61" s="18"/>
      <c r="B61" s="18"/>
      <c r="C61" s="18"/>
      <c r="D61" s="1"/>
      <c r="E61" s="32">
        <v>30</v>
      </c>
      <c r="G61" s="82"/>
      <c r="H61" s="83"/>
      <c r="I61" s="84" t="str">
        <f ca="1">Calculos!V33</f>
        <v/>
      </c>
      <c r="J61" s="10"/>
      <c r="K61" s="85"/>
      <c r="L61" s="86"/>
      <c r="M61" s="86"/>
      <c r="N61" s="87" t="str">
        <f ca="1">Calculos!W33</f>
        <v/>
      </c>
      <c r="O61" s="88" t="str">
        <f t="shared" si="0"/>
        <v/>
      </c>
      <c r="P61" s="10"/>
      <c r="Q61" s="84"/>
      <c r="S61" s="1"/>
      <c r="T61" s="2"/>
    </row>
    <row r="62" spans="1:20" ht="18" customHeight="1" x14ac:dyDescent="0.25">
      <c r="A62" s="18"/>
      <c r="B62" s="18"/>
      <c r="C62" s="18"/>
      <c r="D62" s="1"/>
      <c r="E62" s="32">
        <v>31</v>
      </c>
      <c r="G62" s="82"/>
      <c r="H62" s="83"/>
      <c r="I62" s="84" t="str">
        <f ca="1">Calculos!V34</f>
        <v/>
      </c>
      <c r="J62" s="10"/>
      <c r="K62" s="85"/>
      <c r="L62" s="86"/>
      <c r="M62" s="86"/>
      <c r="N62" s="87" t="str">
        <f ca="1">Calculos!W34</f>
        <v/>
      </c>
      <c r="O62" s="88" t="str">
        <f t="shared" si="0"/>
        <v/>
      </c>
      <c r="P62" s="10"/>
      <c r="Q62" s="84"/>
      <c r="S62" s="1"/>
      <c r="T62" s="2"/>
    </row>
    <row r="63" spans="1:20" ht="18" customHeight="1" x14ac:dyDescent="0.25">
      <c r="A63" s="18"/>
      <c r="B63" s="18"/>
      <c r="C63" s="18"/>
      <c r="D63" s="1"/>
      <c r="E63" s="32">
        <v>32</v>
      </c>
      <c r="G63" s="82"/>
      <c r="H63" s="83"/>
      <c r="I63" s="84" t="str">
        <f ca="1">Calculos!V35</f>
        <v/>
      </c>
      <c r="J63" s="10"/>
      <c r="K63" s="85"/>
      <c r="L63" s="86"/>
      <c r="M63" s="86"/>
      <c r="N63" s="87" t="str">
        <f ca="1">Calculos!W35</f>
        <v/>
      </c>
      <c r="O63" s="88" t="str">
        <f t="shared" si="0"/>
        <v/>
      </c>
      <c r="P63" s="10"/>
      <c r="Q63" s="84"/>
      <c r="S63" s="1"/>
      <c r="T63" s="2"/>
    </row>
    <row r="64" spans="1:20" ht="18" customHeight="1" x14ac:dyDescent="0.25">
      <c r="A64" s="18"/>
      <c r="B64" s="18"/>
      <c r="C64" s="18"/>
      <c r="D64" s="1"/>
      <c r="E64" s="32">
        <v>33</v>
      </c>
      <c r="G64" s="82"/>
      <c r="H64" s="83"/>
      <c r="I64" s="84" t="str">
        <f ca="1">Calculos!V36</f>
        <v/>
      </c>
      <c r="J64" s="10"/>
      <c r="K64" s="85"/>
      <c r="L64" s="86"/>
      <c r="M64" s="86"/>
      <c r="N64" s="87" t="str">
        <f ca="1">Calculos!W36</f>
        <v/>
      </c>
      <c r="O64" s="88" t="str">
        <f t="shared" si="0"/>
        <v/>
      </c>
      <c r="P64" s="10"/>
      <c r="Q64" s="84"/>
      <c r="S64" s="1"/>
      <c r="T64" s="2"/>
    </row>
    <row r="65" spans="1:20" ht="18" customHeight="1" x14ac:dyDescent="0.25">
      <c r="A65" s="18"/>
      <c r="B65" s="18"/>
      <c r="C65" s="18"/>
      <c r="D65" s="1"/>
      <c r="E65" s="32">
        <v>34</v>
      </c>
      <c r="G65" s="82"/>
      <c r="H65" s="83"/>
      <c r="I65" s="84" t="str">
        <f ca="1">Calculos!V37</f>
        <v/>
      </c>
      <c r="J65" s="10"/>
      <c r="K65" s="85"/>
      <c r="L65" s="86"/>
      <c r="M65" s="86"/>
      <c r="N65" s="87" t="str">
        <f ca="1">Calculos!W37</f>
        <v/>
      </c>
      <c r="O65" s="88" t="str">
        <f t="shared" si="0"/>
        <v/>
      </c>
      <c r="P65" s="10"/>
      <c r="Q65" s="84"/>
      <c r="S65" s="1"/>
      <c r="T65" s="2"/>
    </row>
    <row r="66" spans="1:20" ht="18" customHeight="1" x14ac:dyDescent="0.25">
      <c r="A66" s="18"/>
      <c r="B66" s="18"/>
      <c r="C66" s="18"/>
      <c r="D66" s="1"/>
      <c r="E66" s="32">
        <v>35</v>
      </c>
      <c r="G66" s="82"/>
      <c r="H66" s="83"/>
      <c r="I66" s="84" t="str">
        <f ca="1">Calculos!V38</f>
        <v/>
      </c>
      <c r="J66" s="10"/>
      <c r="K66" s="85"/>
      <c r="L66" s="86"/>
      <c r="M66" s="86"/>
      <c r="N66" s="87" t="str">
        <f ca="1">Calculos!W38</f>
        <v/>
      </c>
      <c r="O66" s="88" t="str">
        <f t="shared" si="0"/>
        <v/>
      </c>
      <c r="P66" s="10"/>
      <c r="Q66" s="84"/>
      <c r="S66" s="1"/>
      <c r="T66" s="2"/>
    </row>
    <row r="67" spans="1:20" ht="18" customHeight="1" x14ac:dyDescent="0.25">
      <c r="A67" s="18"/>
      <c r="B67" s="18"/>
      <c r="C67" s="18"/>
      <c r="D67" s="1"/>
      <c r="E67" s="32">
        <v>36</v>
      </c>
      <c r="G67" s="82"/>
      <c r="H67" s="83"/>
      <c r="I67" s="84" t="str">
        <f ca="1">Calculos!V39</f>
        <v/>
      </c>
      <c r="J67" s="10"/>
      <c r="K67" s="85"/>
      <c r="L67" s="86"/>
      <c r="M67" s="86"/>
      <c r="N67" s="87" t="str">
        <f ca="1">Calculos!W39</f>
        <v/>
      </c>
      <c r="O67" s="88" t="str">
        <f t="shared" si="0"/>
        <v/>
      </c>
      <c r="P67" s="10"/>
      <c r="Q67" s="84"/>
      <c r="S67" s="1"/>
      <c r="T67" s="2"/>
    </row>
    <row r="68" spans="1:20" ht="18" customHeight="1" x14ac:dyDescent="0.25">
      <c r="A68" s="18"/>
      <c r="B68" s="18"/>
      <c r="C68" s="18"/>
      <c r="D68" s="1"/>
      <c r="E68" s="32">
        <v>37</v>
      </c>
      <c r="G68" s="82"/>
      <c r="H68" s="83"/>
      <c r="I68" s="84" t="str">
        <f ca="1">Calculos!V40</f>
        <v/>
      </c>
      <c r="J68" s="10"/>
      <c r="K68" s="86"/>
      <c r="L68" s="86"/>
      <c r="M68" s="86"/>
      <c r="N68" s="87" t="str">
        <f ca="1">Calculos!W40</f>
        <v/>
      </c>
      <c r="O68" s="88" t="str">
        <f t="shared" si="0"/>
        <v/>
      </c>
      <c r="P68" s="10"/>
      <c r="Q68" s="84"/>
      <c r="S68" s="1"/>
      <c r="T68" s="2"/>
    </row>
    <row r="69" spans="1:20" ht="18" customHeight="1" x14ac:dyDescent="0.25">
      <c r="A69" s="18"/>
      <c r="B69" s="18"/>
      <c r="C69" s="18"/>
      <c r="D69" s="1"/>
      <c r="E69" s="32">
        <v>38</v>
      </c>
      <c r="G69" s="82"/>
      <c r="H69" s="83"/>
      <c r="I69" s="84" t="str">
        <f ca="1">Calculos!V41</f>
        <v/>
      </c>
      <c r="J69" s="10"/>
      <c r="K69" s="85"/>
      <c r="L69" s="86"/>
      <c r="M69" s="86"/>
      <c r="N69" s="87" t="str">
        <f ca="1">Calculos!W41</f>
        <v/>
      </c>
      <c r="O69" s="88" t="str">
        <f t="shared" si="0"/>
        <v/>
      </c>
      <c r="P69" s="10"/>
      <c r="Q69" s="84"/>
      <c r="S69" s="1"/>
      <c r="T69" s="2"/>
    </row>
    <row r="70" spans="1:20" ht="18" customHeight="1" x14ac:dyDescent="0.25">
      <c r="A70" s="18"/>
      <c r="B70" s="18"/>
      <c r="C70" s="18"/>
      <c r="D70" s="1"/>
      <c r="E70" s="32">
        <v>39</v>
      </c>
      <c r="G70" s="82"/>
      <c r="H70" s="83"/>
      <c r="I70" s="84" t="str">
        <f ca="1">Calculos!V42</f>
        <v/>
      </c>
      <c r="J70" s="10"/>
      <c r="K70" s="85"/>
      <c r="L70" s="86"/>
      <c r="M70" s="86"/>
      <c r="N70" s="87" t="str">
        <f ca="1">Calculos!W42</f>
        <v/>
      </c>
      <c r="O70" s="88" t="str">
        <f t="shared" si="0"/>
        <v/>
      </c>
      <c r="P70" s="10"/>
      <c r="Q70" s="84"/>
      <c r="S70" s="1"/>
      <c r="T70" s="2"/>
    </row>
    <row r="71" spans="1:20" ht="18" customHeight="1" x14ac:dyDescent="0.25">
      <c r="A71" s="18"/>
      <c r="B71" s="18"/>
      <c r="C71" s="18"/>
      <c r="D71" s="1"/>
      <c r="E71" s="32">
        <v>40</v>
      </c>
      <c r="G71" s="89"/>
      <c r="H71" s="90"/>
      <c r="I71" s="84" t="str">
        <f ca="1">Calculos!V43</f>
        <v/>
      </c>
      <c r="J71" s="10"/>
      <c r="K71" s="86"/>
      <c r="L71" s="86"/>
      <c r="M71" s="86"/>
      <c r="N71" s="87" t="str">
        <f ca="1">Calculos!W43</f>
        <v/>
      </c>
      <c r="O71" s="88" t="str">
        <f t="shared" si="0"/>
        <v/>
      </c>
      <c r="P71" s="10"/>
      <c r="Q71" s="84"/>
      <c r="S71" s="1"/>
      <c r="T71" s="2"/>
    </row>
    <row r="72" spans="1:20" ht="15" x14ac:dyDescent="0.25">
      <c r="A72" s="18"/>
      <c r="B72" s="18"/>
      <c r="C72" s="18"/>
      <c r="D72" s="1"/>
      <c r="E72" s="2"/>
      <c r="F72" s="11" t="s">
        <v>7293</v>
      </c>
      <c r="G72" s="8"/>
      <c r="H72" s="9"/>
      <c r="I72" s="2"/>
      <c r="J72" s="2"/>
      <c r="K72" s="2"/>
      <c r="L72" s="2"/>
      <c r="M72" s="2"/>
      <c r="N72" s="2"/>
      <c r="O72" s="2"/>
      <c r="P72" s="2"/>
      <c r="Q72" s="2"/>
      <c r="R72" s="2"/>
      <c r="S72" s="1"/>
      <c r="T72" s="2"/>
    </row>
    <row r="73" spans="1:20" ht="14.25" customHeight="1" x14ac:dyDescent="0.25">
      <c r="A73" s="18"/>
      <c r="B73" s="18"/>
      <c r="C73" s="18"/>
      <c r="D73" s="1"/>
      <c r="E73" s="1"/>
      <c r="F73" s="1"/>
      <c r="G73" s="1"/>
      <c r="H73" s="1"/>
      <c r="I73" s="1"/>
      <c r="J73" s="1"/>
      <c r="K73" s="1"/>
      <c r="L73" s="1"/>
      <c r="M73" s="1"/>
      <c r="N73" s="1"/>
      <c r="O73" s="1"/>
      <c r="P73" s="1"/>
      <c r="Q73" s="1"/>
      <c r="R73" s="1"/>
      <c r="S73" s="1"/>
      <c r="T73" s="1"/>
    </row>
  </sheetData>
  <sheetProtection algorithmName="SHA-512" hashValue="rizCfdQ3mmKX10vy6E4Q5cP9CiLSC8LApeK2SqTtECdzFG0qVHY+BSghUJvhCNOkstP8+MXlFfl9tju2MRpWEw==" saltValue="3X/uKDeOxGsf+3EfDmk79w==" spinCount="100000" sheet="1" objects="1" scenarios="1" formatColumns="0" formatRows="0"/>
  <mergeCells count="19">
    <mergeCell ref="F2:L6"/>
    <mergeCell ref="F7:H7"/>
    <mergeCell ref="F9:P9"/>
    <mergeCell ref="G28:J28"/>
    <mergeCell ref="G26:J27"/>
    <mergeCell ref="P30:P31"/>
    <mergeCell ref="N30:N31"/>
    <mergeCell ref="O30:O31"/>
    <mergeCell ref="K30:M30"/>
    <mergeCell ref="F10:P10"/>
    <mergeCell ref="F11:P11"/>
    <mergeCell ref="I30:I31"/>
    <mergeCell ref="H30:H31"/>
    <mergeCell ref="G15:H15"/>
    <mergeCell ref="G25:H25"/>
    <mergeCell ref="I25:L25"/>
    <mergeCell ref="G30:G31"/>
    <mergeCell ref="F12:P12"/>
    <mergeCell ref="K26:Q28"/>
  </mergeCells>
  <phoneticPr fontId="23" type="noConversion"/>
  <conditionalFormatting sqref="E25:R72">
    <cfRule type="expression" dxfId="698" priority="1">
      <formula>ISBLANK($I$15)</formula>
    </cfRule>
  </conditionalFormatting>
  <conditionalFormatting sqref="F7">
    <cfRule type="notContainsBlanks" dxfId="697" priority="3">
      <formula>LEN(TRIM(F7))&gt;0</formula>
    </cfRule>
  </conditionalFormatting>
  <conditionalFormatting sqref="F15">
    <cfRule type="expression" dxfId="696" priority="19">
      <formula>I15&lt;&gt;""</formula>
    </cfRule>
  </conditionalFormatting>
  <conditionalFormatting sqref="G26:J27">
    <cfRule type="containsText" dxfId="695" priority="12" operator="containsText" text="Todos">
      <formula>NOT(ISERROR(SEARCH("Todos",G26)))</formula>
    </cfRule>
    <cfRule type="containsBlanks" dxfId="694" priority="3702">
      <formula>LEN(TRIM(G26))=0</formula>
    </cfRule>
  </conditionalFormatting>
  <conditionalFormatting sqref="I32:I71">
    <cfRule type="containsText" dxfId="691" priority="21" operator="containsText" text="Informar">
      <formula>NOT(ISERROR(SEARCH("Informar",I32)))</formula>
    </cfRule>
  </conditionalFormatting>
  <conditionalFormatting sqref="K26">
    <cfRule type="containsText" dxfId="689" priority="7" operator="containsText" text="Todos">
      <formula>NOT(ISERROR(SEARCH("Todos",K26)))</formula>
    </cfRule>
    <cfRule type="containsBlanks" dxfId="688" priority="8">
      <formula>LEN(TRIM(K26))=0</formula>
    </cfRule>
  </conditionalFormatting>
  <conditionalFormatting sqref="K32:K71">
    <cfRule type="expression" dxfId="687" priority="16">
      <formula>COUNTIF($J32,"*pH*")&gt;0</formula>
    </cfRule>
  </conditionalFormatting>
  <conditionalFormatting sqref="K26:Q28">
    <cfRule type="containsBlanks" dxfId="686" priority="6">
      <formula>LEN(TRIM(K26))=0</formula>
    </cfRule>
  </conditionalFormatting>
  <conditionalFormatting sqref="O32:O71">
    <cfRule type="containsText" dxfId="685" priority="2" operator="containsText" text="Não">
      <formula>NOT(ISERROR(SEARCH("Não",O32)))</formula>
    </cfRule>
  </conditionalFormatting>
  <conditionalFormatting sqref="Q32:Q71">
    <cfRule type="expression" dxfId="684" priority="9">
      <formula>AND($P32="Sim",NOT(ISBLANK($Q32)))</formula>
    </cfRule>
    <cfRule type="expression" dxfId="683" priority="10">
      <formula>AND($P32="Sim",ISBLANK($Q32))</formula>
    </cfRule>
  </conditionalFormatting>
  <dataValidations xWindow="1046" yWindow="502" count="13">
    <dataValidation type="custom" allowBlank="1" showInputMessage="1" showErrorMessage="1" errorTitle="Valor incorreto" error="O limite mínimo não pode superior a concentração nominal" sqref="L32:L71" xr:uid="{7150571C-E8CE-474B-BDBC-82012389E65C}">
      <formula1>OR(K32&gt;=L32,L32=0)</formula1>
    </dataValidation>
    <dataValidation type="custom" allowBlank="1" showInputMessage="1" showErrorMessage="1" errorTitle="Valor incorreto" error="O limite máximo não pode inferior a concentração nominal" sqref="M32:M71" xr:uid="{CA64AA5E-C3F1-4944-A014-EA2D6D18DF02}">
      <formula1>OR(K32&lt;=M32,M32=0)</formula1>
    </dataValidation>
    <dataValidation allowBlank="1" showInputMessage="1" showErrorMessage="1" promptTitle="Ajuda" prompt="Comece sempre pelo Nº CAS, seguindo a ordem: Ingrediente ativo e depois componentes_x000a__x000a_Caso o nome não apareça de forma autormática, ele deve ser informado manualmente. " sqref="I30" xr:uid="{470954BE-24C2-4FD4-9B8A-935646F4BF5A}"/>
    <dataValidation allowBlank="1" showInputMessage="1" showErrorMessage="1" promptTitle="Ajuda" prompt="Quando a função não estiver disponível na lista: deve-se preencher o campo manualmente, em português, sem abreviações e clicar em &quot;Sim&quot; no alerta que irá aparecer._x000a__x000a_Utilize o campo abaixo para filtrar as funções que serão exibidas para seleção._x000a_" sqref="J30" xr:uid="{3266395B-1040-40E6-968E-E40DD0A77BF8}"/>
    <dataValidation allowBlank="1" showInputMessage="1" showErrorMessage="1" promptTitle="Ajuda" prompt="Para misturas: _x000a_deve-se preencher os valores das concentrações na linha onde foi informado o nome da mistura e nas linhas subsequentes deve-se informar os seus componentes prenchendo - no campo função e 0 nas concentrações. " sqref="K31:L31" xr:uid="{D251E6DD-3EE2-4D33-8374-9E3F53C18076}"/>
    <dataValidation allowBlank="1" showInputMessage="1" promptTitle="Ajuda" prompt="Para misturas: _x000a_deve-se preencher os valores das concentrações na linha onde foi informado o nome da mistura e nas linhas subsequentes deve-se informar os seus componentes prenchendo - no campo função e 0 nas concentrações. " sqref="M31" xr:uid="{7B7BAE0B-ADEA-4860-A0A5-BAEB84E7D5F6}"/>
    <dataValidation allowBlank="1" showInputMessage="1" showErrorMessage="1" promptTitle="Ajuda" prompt="A substância é relevante quando existir alerta de perigo toxicológico definido por agência internacional sobre desfecho não avaliado nos estudos toxicológicos agudos e quando a sua concentração ultrapassar os limites definidos pelo GHS." sqref="Q30" xr:uid="{B3A15116-D1B4-44AB-99D0-5716D55F1942}"/>
    <dataValidation type="list" errorStyle="warning" allowBlank="1" showInputMessage="1" showErrorMessage="1" errorTitle="Função não encontrada!" error="Esta função não consta no banco de dados, deseja confirmar o preenchimento?" sqref="J32:J71" xr:uid="{598120DD-2115-435A-8973-D0585C264B97}">
      <formula1>lista_funcoes_filtro</formula1>
    </dataValidation>
    <dataValidation type="list" allowBlank="1" sqref="I32:I71" xr:uid="{7CB22C0B-24D1-40C6-8FDE-1C70A21B47D5}">
      <formula1>src_ingredientes</formula1>
    </dataValidation>
    <dataValidation allowBlank="1" showInputMessage="1" showErrorMessage="1" prompt="Os códigos podem ser separados por:_x000a_1) vírgula; _x000a_2) ponto e vírgulo; ou _x000a_3) traço._x000a_Exemplo (1): H314, H315_x000a_Exemplo (2): H314; H315_x000a_Exemplo (3): H314 - H315" sqref="Q31" xr:uid="{EB183F97-58AF-4885-BADA-040ABBC210F7}"/>
    <dataValidation allowBlank="1" showInputMessage="1" showErrorMessage="1" prompt="A substância é relevante quando:_x000a_1) existir alerta de perigo definido por agência internacional; e_x000a_2) o alerta for referente a desfecho não avaliado pelos estudos agudos; e_x000a_3) o componente atender aos critérios GHS para classificação de misturas." sqref="P30:P31" xr:uid="{A534D3AB-792F-4218-8E5A-F6898F870F9F}"/>
    <dataValidation allowBlank="1" showInputMessage="1" showErrorMessage="1" prompt="A explicação sobre motivação que levou a classificação do componente como relevante deve ser incluída no campo &quot;Observações&quot;" sqref="P29" xr:uid="{D1DD2A13-3C74-43F9-A9E2-54ED77B0BCBC}"/>
    <dataValidation allowBlank="1" showInputMessage="1" showErrorMessage="1" promptTitle="Ajuda" prompt="&quot;Sim&quot; inclui o constituinte no cálculo do fechamento analítico._x000a__x000a_A célula vazia ou preenchida como &quot;Não&quot; remove o componente do cálculo e deve ser utilizado para as substâncias que são transformadas ou degradadas dentro da formulação." sqref="O30:O31" xr:uid="{26E11366-82CD-4C11-A2AC-60BC0F2E7699}"/>
  </dataValidations>
  <hyperlinks>
    <hyperlink ref="F7" location="Alertas!G2" display="Alertas!G2" xr:uid="{57867EB6-D476-4F57-B487-1DB7039A7648}"/>
  </hyperlinks>
  <pageMargins left="0.511811024" right="0.511811024" top="0.78740157499999996" bottom="0.78740157499999996" header="0.31496062000000002" footer="0.31496062000000002"/>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9753" id="{1CAE1D06-E250-4F68-96B9-4F03A44BEBC6}">
            <xm:f>Calculos!$AE$11=1</xm:f>
            <x14:dxf>
              <fill>
                <patternFill>
                  <bgColor theme="0"/>
                </patternFill>
              </fill>
              <border>
                <left style="thin">
                  <color rgb="FFFF0000"/>
                </left>
                <right style="thin">
                  <color rgb="FFFF0000"/>
                </right>
                <top style="thin">
                  <color rgb="FFFF0000"/>
                </top>
                <bottom style="thin">
                  <color rgb="FFFF0000"/>
                </bottom>
                <vertical/>
                <horizontal/>
              </border>
            </x14:dxf>
          </x14:cfRule>
          <xm:sqref>G28:J28</xm:sqref>
        </x14:conditionalFormatting>
        <x14:conditionalFormatting xmlns:xm="http://schemas.microsoft.com/office/excel/2006/main">
          <x14:cfRule type="expression" priority="6132" id="{F0CB59A2-3F1D-4CA6-A547-E602EE1596C7}">
            <xm:f>IF(Calculos!$N4&lt;&gt;"",1,0)</xm:f>
            <x14:dxf>
              <fill>
                <patternFill>
                  <bgColor rgb="FFFF7D7D"/>
                </patternFill>
              </fill>
            </x14:dxf>
          </x14:cfRule>
          <xm:sqref>H32:I71</xm:sqref>
        </x14:conditionalFormatting>
        <x14:conditionalFormatting xmlns:xm="http://schemas.microsoft.com/office/excel/2006/main">
          <x14:cfRule type="expression" priority="15" id="{0F87CB3B-E668-47F4-841F-4E50B999F255}">
            <xm:f>Calculos!$J$251=0</xm:f>
            <x14:dxf>
              <font>
                <color theme="0"/>
              </font>
            </x14:dxf>
          </x14:cfRule>
          <xm:sqref>J29</xm:sqref>
        </x14:conditionalFormatting>
      </x14:conditionalFormattings>
    </ext>
    <ext xmlns:x14="http://schemas.microsoft.com/office/spreadsheetml/2009/9/main" uri="{CCE6A557-97BC-4b89-ADB6-D9C93CAAB3DF}">
      <x14:dataValidations xmlns:xm="http://schemas.microsoft.com/office/excel/2006/main" xWindow="1046" yWindow="502" count="3">
        <x14:dataValidation type="list" allowBlank="1" showInputMessage="1" showErrorMessage="1" errorTitle="Unidade incorreta" error="A composição deve ser informada em g/L ou em g/Kg." xr:uid="{B605B2FD-732C-4F24-98FB-B7C3E042086D}">
          <x14:formula1>
            <xm:f>Tabelas_fonte!$W$2:$W$3</xm:f>
          </x14:formula1>
          <xm:sqref>I15</xm:sqref>
        </x14:dataValidation>
        <x14:dataValidation type="list" allowBlank="1" showInputMessage="1" showErrorMessage="1" errorTitle="Valor inválido" error="A resposta deve ser Sim ou Não." xr:uid="{D38C733A-0BBA-427D-BC68-996BD9C4D446}">
          <x14:formula1>
            <xm:f>Tabelas_fonte!$Y$2:$Y$3</xm:f>
          </x14:formula1>
          <xm:sqref>G32:G71 P32:P71</xm:sqref>
        </x14:dataValidation>
        <x14:dataValidation type="list" allowBlank="1" showErrorMessage="1" errorTitle="Valor inválido" error="Deve ser preenchido com &quot;Sim&quot; ou &quot;Não&quot;" xr:uid="{A80D3005-25FD-44F9-B907-D34C8C27B008}">
          <x14:formula1>
            <xm:f>Tabelas_fonte!$Y$6:$Y$8</xm:f>
          </x14:formula1>
          <xm:sqref>O32:O71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27775-1F94-4659-838A-D12D5DA9F479}">
  <sheetPr codeName="Planilha36">
    <tabColor theme="8" tint="0.59999389629810485"/>
  </sheetPr>
  <dimension ref="A1:AQ58"/>
  <sheetViews>
    <sheetView showGridLines="0" topLeftCell="D1" workbookViewId="0">
      <selection activeCell="D1" sqref="D1"/>
    </sheetView>
  </sheetViews>
  <sheetFormatPr defaultColWidth="0" defaultRowHeight="15" zeroHeight="1" x14ac:dyDescent="0.25"/>
  <cols>
    <col min="1" max="3" width="2.7109375" style="20" hidden="1" customWidth="1"/>
    <col min="4" max="5" width="2.7109375" style="20" customWidth="1"/>
    <col min="6" max="36" width="4.7109375" style="1" customWidth="1"/>
    <col min="37" max="37" width="2.7109375" style="1" customWidth="1"/>
    <col min="38" max="43" width="0" style="20" hidden="1" customWidth="1"/>
    <col min="44" max="16384" width="9.140625" style="20" hidden="1"/>
  </cols>
  <sheetData>
    <row r="1" spans="1:37" x14ac:dyDescent="0.25">
      <c r="A1" s="18"/>
      <c r="B1" s="18"/>
      <c r="C1" s="18"/>
      <c r="D1" s="1"/>
      <c r="E1" s="1"/>
    </row>
    <row r="2" spans="1:37" ht="15" customHeight="1" x14ac:dyDescent="0.25">
      <c r="A2" s="18"/>
      <c r="B2" s="18"/>
      <c r="C2" s="18"/>
      <c r="D2" s="1"/>
      <c r="E2" s="1148" t="s">
        <v>7795</v>
      </c>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58"/>
      <c r="AH2" s="158"/>
      <c r="AI2" s="158"/>
      <c r="AJ2" s="2"/>
    </row>
    <row r="3" spans="1:37" ht="15" customHeight="1" x14ac:dyDescent="0.25">
      <c r="A3" s="18"/>
      <c r="B3" s="18"/>
      <c r="C3" s="18"/>
      <c r="D3" s="1"/>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58"/>
      <c r="AH3" s="158"/>
      <c r="AI3" s="158"/>
      <c r="AJ3" s="2"/>
    </row>
    <row r="4" spans="1:37" ht="15" customHeight="1" x14ac:dyDescent="0.25">
      <c r="A4" s="18"/>
      <c r="B4" s="18"/>
      <c r="C4" s="18"/>
      <c r="D4" s="1"/>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58"/>
      <c r="AH4" s="158"/>
      <c r="AI4" s="158"/>
      <c r="AJ4" s="2"/>
    </row>
    <row r="5" spans="1:37" ht="15" customHeight="1" x14ac:dyDescent="0.25">
      <c r="A5" s="18"/>
      <c r="B5" s="18"/>
      <c r="C5" s="18"/>
      <c r="D5" s="1"/>
      <c r="E5" s="114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58"/>
      <c r="AH5" s="158"/>
      <c r="AI5" s="158"/>
      <c r="AJ5" s="2"/>
    </row>
    <row r="6" spans="1:37" ht="15" customHeight="1" x14ac:dyDescent="0.25">
      <c r="A6" s="18"/>
      <c r="B6" s="18"/>
      <c r="C6" s="18"/>
      <c r="D6" s="1"/>
      <c r="E6" s="114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58"/>
      <c r="AH6" s="158"/>
      <c r="AI6" s="158"/>
      <c r="AJ6" s="2"/>
    </row>
    <row r="7" spans="1:37" ht="15" customHeight="1" x14ac:dyDescent="0.25">
      <c r="A7" s="18"/>
      <c r="B7" s="18"/>
      <c r="C7" s="18"/>
      <c r="D7" s="1"/>
      <c r="E7" s="1148"/>
      <c r="F7" s="1148"/>
      <c r="G7" s="1148"/>
      <c r="H7" s="1148"/>
      <c r="I7" s="1148"/>
      <c r="J7" s="1148"/>
      <c r="K7" s="1148"/>
      <c r="L7" s="1148"/>
      <c r="M7" s="1148"/>
      <c r="N7" s="1148"/>
      <c r="O7" s="1148"/>
      <c r="P7" s="1148"/>
      <c r="Q7" s="1148"/>
      <c r="R7" s="1148"/>
      <c r="S7" s="1148"/>
      <c r="T7" s="1148"/>
      <c r="U7" s="1148"/>
      <c r="V7" s="1148"/>
      <c r="W7" s="1148"/>
      <c r="X7" s="1148"/>
      <c r="Y7" s="1148"/>
      <c r="Z7" s="1148"/>
      <c r="AA7" s="1148"/>
      <c r="AB7" s="1148"/>
      <c r="AC7" s="1148"/>
      <c r="AD7" s="1148"/>
      <c r="AE7" s="1148"/>
      <c r="AF7" s="1148"/>
      <c r="AG7" s="158"/>
      <c r="AH7" s="158"/>
      <c r="AI7" s="158"/>
      <c r="AJ7" s="2"/>
    </row>
    <row r="8" spans="1:37" ht="20.100000000000001" customHeight="1" x14ac:dyDescent="0.25">
      <c r="A8" s="18"/>
      <c r="B8" s="18"/>
      <c r="C8" s="18"/>
      <c r="D8" s="1"/>
      <c r="E8" s="1"/>
    </row>
    <row r="9" spans="1:37" ht="30" hidden="1" customHeight="1" x14ac:dyDescent="0.25">
      <c r="A9" s="18"/>
      <c r="B9" s="18"/>
      <c r="C9" s="18"/>
      <c r="D9" s="1"/>
      <c r="E9" s="2"/>
      <c r="F9" s="380"/>
      <c r="G9" s="381"/>
      <c r="H9" s="381"/>
      <c r="I9" s="381"/>
      <c r="J9" s="381"/>
      <c r="K9" s="381"/>
      <c r="L9" s="381"/>
      <c r="M9" s="381"/>
      <c r="N9" s="381"/>
      <c r="O9" s="381"/>
      <c r="P9" s="381"/>
      <c r="Q9" s="49"/>
      <c r="R9" s="49"/>
      <c r="S9" s="49"/>
      <c r="T9" s="49"/>
      <c r="U9" s="49"/>
      <c r="V9" s="49"/>
      <c r="W9" s="49"/>
      <c r="X9" s="49"/>
      <c r="Y9" s="49"/>
      <c r="Z9" s="49"/>
      <c r="AA9" s="49"/>
      <c r="AB9" s="49"/>
      <c r="AC9" s="49"/>
      <c r="AD9" s="49"/>
      <c r="AE9" s="49"/>
      <c r="AF9" s="49"/>
      <c r="AG9" s="2"/>
      <c r="AH9" s="2"/>
      <c r="AI9" s="2"/>
      <c r="AJ9" s="2"/>
    </row>
    <row r="10" spans="1:37" ht="13.5" customHeight="1" x14ac:dyDescent="0.25">
      <c r="A10" s="18"/>
      <c r="B10" s="18"/>
      <c r="C10" s="18"/>
      <c r="D10" s="1"/>
      <c r="E10" s="2"/>
      <c r="F10" s="2"/>
      <c r="G10" s="2"/>
      <c r="H10" s="2"/>
      <c r="I10" s="2"/>
      <c r="J10" s="2"/>
      <c r="K10" s="2"/>
      <c r="L10" s="2"/>
      <c r="M10" s="2"/>
      <c r="N10" s="2"/>
      <c r="O10" s="2"/>
      <c r="P10" s="2"/>
      <c r="Q10" s="2"/>
      <c r="R10" s="2"/>
      <c r="S10" s="2"/>
      <c r="T10" s="2"/>
      <c r="U10" s="2"/>
      <c r="V10" s="2"/>
      <c r="W10" s="382"/>
      <c r="X10" s="2"/>
      <c r="Y10" s="2"/>
      <c r="Z10" s="2"/>
      <c r="AA10" s="2"/>
      <c r="AB10" s="2"/>
      <c r="AC10" s="2"/>
      <c r="AD10" s="2"/>
      <c r="AE10" s="2"/>
      <c r="AF10" s="2"/>
      <c r="AG10" s="2"/>
      <c r="AH10" s="2"/>
      <c r="AI10" s="2"/>
      <c r="AJ10" s="2"/>
    </row>
    <row r="11" spans="1:37" ht="300" customHeight="1" x14ac:dyDescent="0.25">
      <c r="A11" s="18"/>
      <c r="B11" s="18"/>
      <c r="C11" s="18"/>
      <c r="D11" s="1"/>
      <c r="E11" s="2"/>
      <c r="F11" s="1032"/>
      <c r="G11" s="1033"/>
      <c r="H11" s="1033"/>
      <c r="I11" s="1033"/>
      <c r="J11" s="1033"/>
      <c r="K11" s="1033"/>
      <c r="L11" s="1033"/>
      <c r="M11" s="1033"/>
      <c r="N11" s="1033"/>
      <c r="O11" s="1033"/>
      <c r="P11" s="1033"/>
      <c r="Q11" s="1033"/>
      <c r="R11" s="1033"/>
      <c r="S11" s="1033"/>
      <c r="T11" s="1033"/>
      <c r="U11" s="1033"/>
      <c r="V11" s="1033"/>
      <c r="W11" s="1033"/>
      <c r="X11" s="1033"/>
      <c r="Y11" s="1033"/>
      <c r="Z11" s="1033"/>
      <c r="AA11" s="1033"/>
      <c r="AB11" s="1033"/>
      <c r="AC11" s="1033"/>
      <c r="AD11" s="1033"/>
      <c r="AE11" s="1033"/>
      <c r="AF11" s="1034"/>
      <c r="AG11" s="1547" t="s">
        <v>271</v>
      </c>
      <c r="AH11" s="1548"/>
      <c r="AI11" s="1548"/>
      <c r="AJ11" s="1548"/>
    </row>
    <row r="12" spans="1:37" ht="15.75" customHeight="1" x14ac:dyDescent="0.25">
      <c r="A12" s="18"/>
      <c r="B12" s="383"/>
      <c r="C12" s="18"/>
      <c r="D12" s="1"/>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14"/>
      <c r="AJ12" s="14"/>
    </row>
    <row r="13" spans="1:37" ht="15.75" customHeight="1" x14ac:dyDescent="0.25">
      <c r="D13" s="1"/>
      <c r="E13" s="1"/>
    </row>
    <row r="14" spans="1:37" hidden="1" x14ac:dyDescent="0.25">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row>
    <row r="15" spans="1:37" hidden="1" x14ac:dyDescent="0.25">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row>
    <row r="16" spans="1:37" hidden="1" x14ac:dyDescent="0.25">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row>
    <row r="17" s="20" customFormat="1" hidden="1" x14ac:dyDescent="0.25"/>
    <row r="18" s="20" customFormat="1" hidden="1" x14ac:dyDescent="0.25"/>
    <row r="19" s="20" customFormat="1" hidden="1" x14ac:dyDescent="0.25"/>
    <row r="20" s="20" customFormat="1" hidden="1" x14ac:dyDescent="0.25"/>
    <row r="21" s="20" customFormat="1" hidden="1" x14ac:dyDescent="0.25"/>
    <row r="22" s="20" customFormat="1" hidden="1" x14ac:dyDescent="0.25"/>
    <row r="23" s="20" customFormat="1" hidden="1" x14ac:dyDescent="0.25"/>
    <row r="24" s="20" customFormat="1" hidden="1" x14ac:dyDescent="0.25"/>
    <row r="25" s="20" customFormat="1" hidden="1" x14ac:dyDescent="0.25"/>
    <row r="26" s="20" customFormat="1" hidden="1" x14ac:dyDescent="0.25"/>
    <row r="27" s="20" customFormat="1" hidden="1" x14ac:dyDescent="0.25"/>
    <row r="28" s="20" customFormat="1" ht="20.100000000000001" hidden="1" customHeight="1" x14ac:dyDescent="0.25"/>
    <row r="29" s="20" customFormat="1" ht="20.100000000000001" hidden="1" customHeight="1" x14ac:dyDescent="0.25"/>
    <row r="30" s="20" customFormat="1" hidden="1" x14ac:dyDescent="0.25"/>
    <row r="31" s="20" customFormat="1" hidden="1" x14ac:dyDescent="0.25"/>
    <row r="32" s="20" customFormat="1" ht="15" hidden="1" customHeight="1" x14ac:dyDescent="0.25"/>
    <row r="33" s="20" customFormat="1" hidden="1" x14ac:dyDescent="0.25"/>
    <row r="34" s="20" customFormat="1" hidden="1" x14ac:dyDescent="0.25"/>
    <row r="35" s="20" customFormat="1" hidden="1" x14ac:dyDescent="0.25"/>
    <row r="36" s="20" customFormat="1" hidden="1" x14ac:dyDescent="0.25"/>
    <row r="37" s="20" customFormat="1" hidden="1" x14ac:dyDescent="0.25"/>
    <row r="38" s="20" customFormat="1" hidden="1" x14ac:dyDescent="0.25"/>
    <row r="39" s="20" customFormat="1" hidden="1" x14ac:dyDescent="0.25"/>
    <row r="40" s="20" customFormat="1" hidden="1" x14ac:dyDescent="0.25"/>
    <row r="41" s="20" customFormat="1" hidden="1" x14ac:dyDescent="0.25"/>
    <row r="42" s="20" customFormat="1" hidden="1" x14ac:dyDescent="0.25"/>
    <row r="43" s="20" customFormat="1" hidden="1" x14ac:dyDescent="0.25"/>
    <row r="44" s="20" customFormat="1" hidden="1" x14ac:dyDescent="0.25"/>
    <row r="45" s="20" customFormat="1" hidden="1" x14ac:dyDescent="0.25"/>
    <row r="46" s="20" customFormat="1" hidden="1" x14ac:dyDescent="0.25"/>
    <row r="47" s="20" customFormat="1" hidden="1" x14ac:dyDescent="0.25"/>
    <row r="48" s="20" customFormat="1" hidden="1" x14ac:dyDescent="0.25"/>
    <row r="49" s="20" customFormat="1" hidden="1" x14ac:dyDescent="0.25"/>
    <row r="50" s="20" customFormat="1" hidden="1" x14ac:dyDescent="0.25"/>
    <row r="51" s="20" customFormat="1" hidden="1" x14ac:dyDescent="0.25"/>
    <row r="52" s="20" customFormat="1" hidden="1" x14ac:dyDescent="0.25"/>
    <row r="53" s="20" customFormat="1" hidden="1" x14ac:dyDescent="0.25"/>
    <row r="54" s="20" customFormat="1" hidden="1" x14ac:dyDescent="0.25"/>
    <row r="55" s="20" customFormat="1" hidden="1" x14ac:dyDescent="0.25"/>
    <row r="56" s="20" customFormat="1" hidden="1" x14ac:dyDescent="0.25"/>
    <row r="57" s="20" customFormat="1" hidden="1" x14ac:dyDescent="0.25"/>
    <row r="58" s="20" customFormat="1" hidden="1" x14ac:dyDescent="0.25"/>
  </sheetData>
  <sheetProtection algorithmName="SHA-512" hashValue="LmsXmDt2/2ULnjFlnUHn2pvBtH5heMNBEx5L7LjmoUUub6lyBbHlgfqh+zMIAPis42V/h/lTaruRE7KzO8sC+Q==" saltValue="yslrQw3PPa++3Mtjt6+8zg==" spinCount="100000" sheet="1" objects="1" scenarios="1" formatColumns="0" formatRows="0"/>
  <mergeCells count="3">
    <mergeCell ref="F11:AF11"/>
    <mergeCell ref="AG11:AJ11"/>
    <mergeCell ref="E2:AF7"/>
  </mergeCells>
  <phoneticPr fontId="23" type="noConversion"/>
  <pageMargins left="0.511811024" right="0.511811024" top="0.78740157499999996" bottom="0.78740157499999996" header="0.31496062000000002" footer="0.31496062000000002"/>
  <pageSetup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6ABCE-0624-4D79-BD4A-06A6B4241B5E}">
  <sheetPr codeName="Planilha39">
    <tabColor theme="8" tint="-0.249977111117893"/>
  </sheetPr>
  <dimension ref="A1:XFC338"/>
  <sheetViews>
    <sheetView showGridLines="0" showRuler="0" view="pageLayout" topLeftCell="A170" zoomScaleNormal="130" workbookViewId="0">
      <selection activeCell="D1" sqref="D1"/>
    </sheetView>
  </sheetViews>
  <sheetFormatPr defaultColWidth="0" defaultRowHeight="12.75" zeroHeight="1" x14ac:dyDescent="0.2"/>
  <cols>
    <col min="1" max="44" width="2" style="385" customWidth="1"/>
    <col min="45" max="16382" width="9.140625" style="385" hidden="1"/>
    <col min="16383" max="16383" width="9.140625" style="385" hidden="1" customWidth="1"/>
    <col min="16384" max="16384" width="4.7109375" style="385" hidden="1"/>
  </cols>
  <sheetData>
    <row r="1" spans="1:44" ht="14.1" customHeight="1" x14ac:dyDescent="0.2">
      <c r="A1" s="384"/>
      <c r="B1" s="384"/>
      <c r="C1" s="384"/>
      <c r="D1" s="384"/>
      <c r="E1" s="384"/>
      <c r="F1" s="384"/>
      <c r="G1" s="384"/>
      <c r="H1" s="384"/>
      <c r="I1" s="384"/>
      <c r="J1" s="384"/>
      <c r="K1" s="384"/>
      <c r="L1" s="384"/>
      <c r="M1" s="384"/>
      <c r="N1" s="384"/>
      <c r="O1" s="384"/>
      <c r="P1" s="384"/>
      <c r="Q1" s="384"/>
      <c r="R1" s="384"/>
      <c r="S1" s="384"/>
      <c r="T1" s="384"/>
      <c r="U1" s="384"/>
      <c r="V1" s="384"/>
      <c r="W1" s="384"/>
      <c r="X1" s="384"/>
      <c r="Y1" s="384"/>
    </row>
    <row r="2" spans="1:44" ht="14.1" customHeight="1" x14ac:dyDescent="0.2">
      <c r="A2" s="384"/>
      <c r="B2" s="384"/>
      <c r="C2" s="384"/>
      <c r="D2" s="384"/>
      <c r="E2" s="384"/>
      <c r="F2" s="384"/>
      <c r="G2" s="384"/>
      <c r="H2" s="384"/>
      <c r="I2" s="384"/>
      <c r="J2" s="384"/>
      <c r="K2" s="384"/>
      <c r="L2" s="384"/>
      <c r="M2" s="384"/>
      <c r="N2" s="384"/>
      <c r="O2" s="384"/>
      <c r="P2" s="384"/>
      <c r="Q2" s="384"/>
      <c r="R2" s="384"/>
      <c r="S2" s="384"/>
      <c r="T2" s="384"/>
      <c r="U2" s="384"/>
      <c r="V2" s="384"/>
      <c r="W2" s="384"/>
      <c r="X2" s="384"/>
      <c r="Y2" s="384"/>
    </row>
    <row r="3" spans="1:44" x14ac:dyDescent="0.2">
      <c r="A3" s="384"/>
      <c r="B3" s="384"/>
      <c r="C3" s="384"/>
      <c r="D3" s="384"/>
      <c r="E3" s="384"/>
      <c r="F3" s="384"/>
      <c r="G3" s="384"/>
      <c r="H3" s="384"/>
      <c r="I3" s="384"/>
      <c r="J3" s="384"/>
      <c r="K3" s="384"/>
      <c r="L3" s="384"/>
      <c r="M3" s="384"/>
      <c r="N3" s="384"/>
      <c r="O3" s="384"/>
      <c r="P3" s="384"/>
      <c r="Q3" s="384"/>
      <c r="R3" s="384"/>
      <c r="S3" s="384"/>
      <c r="T3" s="384"/>
      <c r="U3" s="384"/>
      <c r="V3" s="384"/>
      <c r="W3" s="384"/>
      <c r="X3" s="384"/>
      <c r="Y3" s="384"/>
    </row>
    <row r="4" spans="1:44" ht="16.5" thickBot="1" x14ac:dyDescent="0.3">
      <c r="A4" s="384"/>
      <c r="B4" s="1609" t="s">
        <v>266</v>
      </c>
      <c r="C4" s="1609"/>
      <c r="D4" s="1609"/>
      <c r="E4" s="1609"/>
      <c r="F4" s="1609"/>
      <c r="G4" s="1609"/>
      <c r="H4" s="1609"/>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609"/>
      <c r="AL4" s="1609"/>
      <c r="AM4" s="1609"/>
      <c r="AN4" s="1609"/>
      <c r="AO4" s="1609"/>
      <c r="AP4" s="1609"/>
      <c r="AQ4" s="1609"/>
      <c r="AR4" s="1609"/>
    </row>
    <row r="5" spans="1:44" x14ac:dyDescent="0.2">
      <c r="A5" s="384"/>
      <c r="B5" s="386"/>
      <c r="C5" s="386"/>
      <c r="D5" s="386"/>
      <c r="E5" s="386"/>
      <c r="F5" s="386"/>
      <c r="G5" s="386"/>
      <c r="H5" s="386"/>
      <c r="I5" s="386"/>
      <c r="J5" s="386"/>
      <c r="K5" s="386"/>
      <c r="L5" s="386"/>
      <c r="M5" s="386"/>
      <c r="N5" s="386"/>
      <c r="O5" s="386"/>
      <c r="P5" s="386"/>
      <c r="Q5" s="386"/>
      <c r="R5" s="386"/>
      <c r="S5" s="386"/>
      <c r="T5" s="386"/>
      <c r="U5" s="386"/>
      <c r="V5" s="386"/>
      <c r="W5" s="386"/>
      <c r="X5" s="386"/>
      <c r="Y5" s="386"/>
      <c r="AA5" s="387"/>
      <c r="AB5" s="387"/>
      <c r="AC5" s="387"/>
      <c r="AD5" s="387"/>
      <c r="AE5" s="387"/>
      <c r="AF5" s="387"/>
      <c r="AG5" s="387"/>
      <c r="AH5" s="387"/>
      <c r="AI5" s="387"/>
      <c r="AJ5" s="1614">
        <f ca="1">TODAY()</f>
        <v>46008</v>
      </c>
      <c r="AK5" s="1614"/>
      <c r="AL5" s="1614"/>
      <c r="AM5" s="1614"/>
      <c r="AN5" s="1614"/>
      <c r="AO5" s="1614"/>
      <c r="AP5" s="1614"/>
      <c r="AQ5" s="386"/>
    </row>
    <row r="6" spans="1:44" x14ac:dyDescent="0.2">
      <c r="A6" s="384"/>
      <c r="B6" s="386"/>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row>
    <row r="7" spans="1:44" ht="15" x14ac:dyDescent="0.2">
      <c r="A7" s="388" t="s">
        <v>8151</v>
      </c>
      <c r="C7" s="384"/>
      <c r="D7" s="384"/>
      <c r="E7" s="384"/>
      <c r="F7" s="384"/>
      <c r="G7" s="384"/>
      <c r="H7" s="384"/>
      <c r="I7" s="384"/>
      <c r="J7" s="384"/>
      <c r="K7" s="384"/>
      <c r="L7" s="384"/>
      <c r="M7" s="384"/>
      <c r="N7" s="384"/>
      <c r="O7" s="384"/>
      <c r="P7" s="384"/>
      <c r="Q7" s="384"/>
      <c r="R7" s="384"/>
      <c r="S7" s="384"/>
      <c r="T7" s="384"/>
      <c r="U7" s="384"/>
      <c r="V7" s="384"/>
      <c r="W7" s="384"/>
      <c r="X7" s="384"/>
      <c r="Y7" s="384"/>
    </row>
    <row r="8" spans="1:44" ht="11.25" customHeight="1" x14ac:dyDescent="0.2">
      <c r="A8" s="384"/>
      <c r="B8" s="384"/>
      <c r="C8" s="384"/>
      <c r="D8" s="384"/>
      <c r="E8" s="384"/>
      <c r="F8" s="384"/>
      <c r="G8" s="384"/>
      <c r="H8" s="384"/>
      <c r="I8" s="384"/>
      <c r="J8" s="384"/>
      <c r="K8" s="384"/>
      <c r="L8" s="384"/>
      <c r="M8" s="384"/>
      <c r="N8" s="384"/>
      <c r="O8" s="384"/>
      <c r="P8" s="384"/>
      <c r="Q8" s="384"/>
      <c r="R8" s="384"/>
      <c r="S8" s="384"/>
      <c r="T8" s="384"/>
      <c r="U8" s="384"/>
      <c r="V8" s="384"/>
      <c r="W8" s="384"/>
      <c r="X8" s="384"/>
      <c r="Y8" s="384"/>
    </row>
    <row r="9" spans="1:44" ht="19.7" customHeight="1" x14ac:dyDescent="0.2">
      <c r="A9" s="384"/>
      <c r="C9" s="1610" t="s">
        <v>369</v>
      </c>
      <c r="D9" s="1610"/>
      <c r="E9" s="1610"/>
      <c r="F9" s="1610"/>
      <c r="G9" s="1610"/>
      <c r="H9" s="1610"/>
      <c r="I9" s="1610"/>
      <c r="J9" s="1610"/>
      <c r="K9" s="1610"/>
      <c r="L9" s="1612" t="str">
        <f ca="1">Calculos!EW5</f>
        <v>-</v>
      </c>
      <c r="M9" s="1612"/>
      <c r="N9" s="1612"/>
      <c r="O9" s="1612"/>
      <c r="P9" s="1612"/>
      <c r="Q9" s="1612"/>
      <c r="R9" s="1612"/>
      <c r="S9" s="1612"/>
      <c r="T9" s="1612"/>
      <c r="U9" s="1612"/>
      <c r="V9" s="1612"/>
      <c r="W9" s="1612"/>
      <c r="X9" s="1612"/>
      <c r="Y9" s="1612"/>
      <c r="Z9" s="1612"/>
      <c r="AA9" s="1612"/>
      <c r="AB9" s="1612"/>
      <c r="AC9" s="1612"/>
      <c r="AD9" s="1612"/>
      <c r="AE9" s="1612"/>
      <c r="AF9" s="1612"/>
      <c r="AG9" s="1612"/>
      <c r="AH9" s="1612"/>
      <c r="AI9" s="1612"/>
      <c r="AJ9" s="1612"/>
      <c r="AK9" s="1612"/>
      <c r="AL9" s="1612"/>
      <c r="AM9" s="1612"/>
      <c r="AN9" s="1612"/>
      <c r="AO9" s="1612"/>
      <c r="AP9" s="1612"/>
      <c r="AQ9" s="384"/>
      <c r="AR9" s="384"/>
    </row>
    <row r="10" spans="1:44" ht="19.7" customHeight="1" x14ac:dyDescent="0.2">
      <c r="A10" s="384"/>
      <c r="C10" s="1610" t="s">
        <v>370</v>
      </c>
      <c r="D10" s="1610"/>
      <c r="E10" s="1610"/>
      <c r="F10" s="1610"/>
      <c r="G10" s="1610"/>
      <c r="H10" s="1610"/>
      <c r="I10" s="1610"/>
      <c r="J10" s="1610"/>
      <c r="K10" s="1610"/>
      <c r="L10" s="1613" t="str">
        <f ca="1">Calculos!EW6</f>
        <v>-</v>
      </c>
      <c r="M10" s="1613"/>
      <c r="N10" s="1613"/>
      <c r="O10" s="1613"/>
      <c r="P10" s="1613"/>
      <c r="Q10" s="1613"/>
      <c r="R10" s="1613"/>
      <c r="S10" s="1613"/>
      <c r="T10" s="1613"/>
      <c r="U10" s="1613"/>
      <c r="V10" s="1613"/>
      <c r="W10" s="1613"/>
      <c r="X10" s="1611" t="s">
        <v>106</v>
      </c>
      <c r="Y10" s="1611"/>
      <c r="Z10" s="1611"/>
      <c r="AA10" s="1611"/>
      <c r="AB10" s="1611"/>
      <c r="AC10" s="1611"/>
      <c r="AD10" s="1611"/>
      <c r="AE10" s="1611"/>
      <c r="AF10" s="1613" t="str">
        <f ca="1">Calculos!EW7</f>
        <v>-</v>
      </c>
      <c r="AG10" s="1613"/>
      <c r="AH10" s="1613"/>
      <c r="AI10" s="1613"/>
      <c r="AJ10" s="1613"/>
      <c r="AK10" s="1613"/>
      <c r="AL10" s="1613"/>
      <c r="AM10" s="1613"/>
      <c r="AN10" s="1613"/>
      <c r="AO10" s="1613"/>
      <c r="AP10" s="1613"/>
      <c r="AR10" s="389"/>
    </row>
    <row r="11" spans="1:44" ht="19.7" customHeight="1" x14ac:dyDescent="0.2">
      <c r="A11" s="384"/>
      <c r="C11" s="1610" t="s">
        <v>3</v>
      </c>
      <c r="D11" s="1610"/>
      <c r="E11" s="1610"/>
      <c r="F11" s="1610"/>
      <c r="G11" s="1610"/>
      <c r="H11" s="1610"/>
      <c r="I11" s="1610"/>
      <c r="J11" s="1610"/>
      <c r="K11" s="1610"/>
      <c r="L11" s="1616" t="str">
        <f ca="1">Calculos!EW8</f>
        <v>-</v>
      </c>
      <c r="M11" s="1616"/>
      <c r="N11" s="1616"/>
      <c r="O11" s="1616"/>
      <c r="P11" s="1616"/>
      <c r="Q11" s="1616"/>
      <c r="R11" s="1616"/>
      <c r="S11" s="1616"/>
      <c r="T11" s="1616"/>
      <c r="U11" s="1616"/>
      <c r="V11" s="1616"/>
      <c r="W11" s="1616"/>
      <c r="X11" s="389"/>
      <c r="Y11" s="389"/>
      <c r="Z11" s="390"/>
      <c r="AA11" s="390"/>
      <c r="AB11" s="390"/>
      <c r="AC11" s="389"/>
      <c r="AD11" s="389"/>
      <c r="AE11" s="389"/>
      <c r="AF11" s="389"/>
      <c r="AG11" s="389"/>
      <c r="AH11" s="390"/>
      <c r="AI11" s="389"/>
      <c r="AJ11" s="389"/>
      <c r="AK11" s="389"/>
      <c r="AL11" s="389"/>
      <c r="AM11" s="384"/>
      <c r="AN11" s="384"/>
      <c r="AO11" s="384"/>
      <c r="AP11" s="384"/>
      <c r="AQ11" s="384"/>
      <c r="AR11" s="384"/>
    </row>
    <row r="12" spans="1:44" ht="33.950000000000003" customHeight="1" x14ac:dyDescent="0.2">
      <c r="A12" s="384"/>
      <c r="C12" s="1610" t="s">
        <v>371</v>
      </c>
      <c r="D12" s="1610"/>
      <c r="E12" s="1610"/>
      <c r="F12" s="1610"/>
      <c r="G12" s="1610"/>
      <c r="H12" s="1610"/>
      <c r="I12" s="1610"/>
      <c r="J12" s="1610"/>
      <c r="K12" s="1610"/>
      <c r="L12" s="1612" t="str">
        <f ca="1">Calculos!EW9</f>
        <v>-</v>
      </c>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c r="AP12" s="1612"/>
      <c r="AQ12" s="389"/>
      <c r="AR12" s="389"/>
    </row>
    <row r="13" spans="1:44" ht="33.950000000000003" customHeight="1" x14ac:dyDescent="0.2">
      <c r="A13" s="389"/>
      <c r="B13" s="390"/>
      <c r="C13" s="1610" t="s">
        <v>373</v>
      </c>
      <c r="D13" s="1610"/>
      <c r="E13" s="1610"/>
      <c r="F13" s="1610"/>
      <c r="G13" s="1610"/>
      <c r="H13" s="1610"/>
      <c r="I13" s="1610"/>
      <c r="J13" s="1610"/>
      <c r="K13" s="1610"/>
      <c r="L13" s="1612" t="str">
        <f ca="1">Calculos!EW10</f>
        <v>-</v>
      </c>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c r="AP13" s="1612"/>
      <c r="AQ13" s="389"/>
      <c r="AR13" s="389"/>
    </row>
    <row r="14" spans="1:44" ht="19.7" customHeight="1" x14ac:dyDescent="0.2">
      <c r="A14" s="384"/>
      <c r="C14" s="391"/>
      <c r="D14" s="391"/>
      <c r="E14" s="391"/>
      <c r="F14" s="391"/>
      <c r="G14" s="391"/>
      <c r="H14" s="391"/>
      <c r="I14" s="391"/>
      <c r="J14" s="391"/>
      <c r="K14" s="391"/>
      <c r="L14" s="392"/>
      <c r="X14" s="384"/>
      <c r="Y14" s="384"/>
      <c r="AD14" s="391"/>
      <c r="AF14" s="392"/>
      <c r="AG14" s="392"/>
      <c r="AH14" s="392"/>
      <c r="AI14" s="392"/>
      <c r="AJ14" s="392"/>
      <c r="AK14" s="392"/>
      <c r="AL14" s="392"/>
      <c r="AM14" s="392"/>
      <c r="AN14" s="392"/>
      <c r="AO14" s="392"/>
      <c r="AP14" s="392"/>
      <c r="AQ14" s="392"/>
      <c r="AR14" s="392"/>
    </row>
    <row r="15" spans="1:44" ht="19.7" customHeight="1" x14ac:dyDescent="0.2">
      <c r="A15" s="384"/>
      <c r="C15" s="1617" t="s">
        <v>372</v>
      </c>
      <c r="D15" s="1617"/>
      <c r="E15" s="1617"/>
      <c r="F15" s="1617"/>
      <c r="G15" s="1617"/>
      <c r="H15" s="1617"/>
      <c r="I15" s="1617"/>
      <c r="J15" s="1617"/>
      <c r="K15" s="1617"/>
      <c r="L15" s="1613" t="str">
        <f ca="1">Calculos!EW11</f>
        <v>-</v>
      </c>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392"/>
      <c r="AR15" s="392"/>
    </row>
    <row r="16" spans="1:44" ht="19.7" customHeight="1" x14ac:dyDescent="0.2">
      <c r="A16" s="384"/>
      <c r="C16" s="1617" t="s">
        <v>132</v>
      </c>
      <c r="D16" s="1617"/>
      <c r="E16" s="1617"/>
      <c r="F16" s="1617"/>
      <c r="G16" s="1617"/>
      <c r="H16" s="1617"/>
      <c r="I16" s="1617"/>
      <c r="J16" s="1617"/>
      <c r="K16" s="1617"/>
      <c r="L16" s="1613" t="str">
        <f ca="1">Calculos!EW12</f>
        <v>-</v>
      </c>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392"/>
      <c r="AR16" s="392"/>
    </row>
    <row r="17" spans="1:44" ht="19.7" customHeight="1" x14ac:dyDescent="0.2">
      <c r="A17" s="384"/>
      <c r="X17" s="384"/>
      <c r="Y17" s="384"/>
      <c r="AD17" s="391"/>
      <c r="AE17" s="392"/>
      <c r="AF17" s="392"/>
      <c r="AG17" s="392"/>
      <c r="AH17" s="392"/>
      <c r="AI17" s="392"/>
      <c r="AJ17" s="392"/>
      <c r="AK17" s="392"/>
      <c r="AL17" s="392"/>
      <c r="AM17" s="392"/>
      <c r="AN17" s="392"/>
      <c r="AO17" s="392"/>
      <c r="AP17" s="392"/>
      <c r="AQ17" s="392"/>
      <c r="AR17" s="392"/>
    </row>
    <row r="18" spans="1:44" ht="19.7" customHeight="1" x14ac:dyDescent="0.2">
      <c r="A18" s="388" t="s">
        <v>8153</v>
      </c>
      <c r="B18" s="393"/>
      <c r="C18" s="384"/>
      <c r="D18" s="384"/>
      <c r="E18" s="384"/>
      <c r="F18" s="384"/>
      <c r="G18" s="384"/>
      <c r="H18" s="384"/>
      <c r="I18" s="384"/>
      <c r="J18" s="384"/>
      <c r="K18" s="384"/>
      <c r="L18" s="384"/>
      <c r="M18" s="384"/>
      <c r="N18" s="384"/>
      <c r="O18" s="384"/>
      <c r="P18" s="384"/>
      <c r="Q18" s="384"/>
      <c r="R18" s="384"/>
      <c r="S18" s="384"/>
      <c r="T18" s="384"/>
      <c r="U18" s="384"/>
      <c r="V18" s="384"/>
      <c r="W18" s="384"/>
      <c r="X18" s="384"/>
      <c r="Y18" s="384"/>
    </row>
    <row r="19" spans="1:44" ht="11.25" customHeight="1" x14ac:dyDescent="0.2">
      <c r="A19" s="384"/>
      <c r="B19" s="394"/>
      <c r="X19" s="384"/>
      <c r="Y19" s="384"/>
    </row>
    <row r="20" spans="1:44" ht="19.7" customHeight="1" x14ac:dyDescent="0.2">
      <c r="A20" s="384"/>
      <c r="B20" s="1619" t="str">
        <f ca="1">Calculos!EW13</f>
        <v>-</v>
      </c>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c r="AL20" s="1619"/>
    </row>
    <row r="21" spans="1:44" ht="19.7" customHeight="1" x14ac:dyDescent="0.2">
      <c r="A21" s="384"/>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c r="AL21" s="1619"/>
    </row>
    <row r="22" spans="1:44" ht="19.7" customHeight="1" x14ac:dyDescent="0.2">
      <c r="A22" s="384"/>
      <c r="B22" s="1619"/>
      <c r="C22" s="1619"/>
      <c r="D22" s="1619"/>
      <c r="E22" s="1619"/>
      <c r="F22" s="1619"/>
      <c r="G22" s="1619"/>
      <c r="H22" s="1619"/>
      <c r="I22" s="1619"/>
      <c r="J22" s="1619"/>
      <c r="K22" s="1619"/>
      <c r="L22" s="1619"/>
      <c r="M22" s="1619"/>
      <c r="N22" s="1619"/>
      <c r="O22" s="1619"/>
      <c r="P22" s="1619"/>
      <c r="Q22" s="1619"/>
      <c r="R22" s="1619"/>
      <c r="S22" s="1619"/>
      <c r="T22" s="1619"/>
      <c r="U22" s="1619"/>
      <c r="V22" s="1619"/>
      <c r="W22" s="1619"/>
      <c r="X22" s="1619"/>
      <c r="Y22" s="1619"/>
      <c r="Z22" s="1619"/>
      <c r="AA22" s="1619"/>
      <c r="AB22" s="1619"/>
      <c r="AC22" s="1619"/>
      <c r="AD22" s="1619"/>
      <c r="AE22" s="1619"/>
      <c r="AF22" s="1619"/>
      <c r="AG22" s="1619"/>
      <c r="AH22" s="1619"/>
      <c r="AI22" s="1619"/>
      <c r="AJ22" s="1619"/>
      <c r="AK22" s="1619"/>
      <c r="AL22" s="1619"/>
    </row>
    <row r="23" spans="1:44" ht="19.7" customHeight="1" x14ac:dyDescent="0.2">
      <c r="A23" s="384"/>
      <c r="B23" s="1619"/>
      <c r="C23" s="1619"/>
      <c r="D23" s="1619"/>
      <c r="E23" s="1619"/>
      <c r="F23" s="1619"/>
      <c r="G23" s="1619"/>
      <c r="H23" s="1619"/>
      <c r="I23" s="1619"/>
      <c r="J23" s="1619"/>
      <c r="K23" s="1619"/>
      <c r="L23" s="1619"/>
      <c r="M23" s="1619"/>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c r="AL23" s="1619"/>
    </row>
    <row r="24" spans="1:44" ht="19.7" customHeight="1" x14ac:dyDescent="0.2">
      <c r="A24" s="384"/>
      <c r="B24" s="1619"/>
      <c r="C24" s="1619"/>
      <c r="D24" s="1619"/>
      <c r="E24" s="1619"/>
      <c r="F24" s="1619"/>
      <c r="G24" s="1619"/>
      <c r="H24" s="1619"/>
      <c r="I24" s="1619"/>
      <c r="J24" s="1619"/>
      <c r="K24" s="1619"/>
      <c r="L24" s="1619"/>
      <c r="M24" s="1619"/>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c r="AL24" s="1619"/>
    </row>
    <row r="25" spans="1:44" ht="19.7" customHeight="1" x14ac:dyDescent="0.2">
      <c r="A25" s="384"/>
      <c r="B25" s="1619"/>
      <c r="C25" s="1619"/>
      <c r="D25" s="1619"/>
      <c r="E25" s="1619"/>
      <c r="F25" s="1619"/>
      <c r="G25" s="1619"/>
      <c r="H25" s="1619"/>
      <c r="I25" s="1619"/>
      <c r="J25" s="1619"/>
      <c r="K25" s="1619"/>
      <c r="L25" s="1619"/>
      <c r="M25" s="1619"/>
      <c r="N25" s="1619"/>
      <c r="O25" s="1619"/>
      <c r="P25" s="1619"/>
      <c r="Q25" s="1619"/>
      <c r="R25" s="1619"/>
      <c r="S25" s="1619"/>
      <c r="T25" s="1619"/>
      <c r="U25" s="1619"/>
      <c r="V25" s="1619"/>
      <c r="W25" s="1619"/>
      <c r="X25" s="1619"/>
      <c r="Y25" s="1619"/>
      <c r="Z25" s="1619"/>
      <c r="AA25" s="1619"/>
      <c r="AB25" s="1619"/>
      <c r="AC25" s="1619"/>
      <c r="AD25" s="1619"/>
      <c r="AE25" s="1619"/>
      <c r="AF25" s="1619"/>
      <c r="AG25" s="1619"/>
      <c r="AH25" s="1619"/>
      <c r="AI25" s="1619"/>
      <c r="AJ25" s="1619"/>
      <c r="AK25" s="1619"/>
      <c r="AL25" s="1619"/>
    </row>
    <row r="26" spans="1:44" ht="19.7" customHeight="1" x14ac:dyDescent="0.2">
      <c r="A26" s="384"/>
      <c r="B26" s="1619"/>
      <c r="C26" s="1619"/>
      <c r="D26" s="1619"/>
      <c r="E26" s="1619"/>
      <c r="F26" s="1619"/>
      <c r="G26" s="1619"/>
      <c r="H26" s="1619"/>
      <c r="I26" s="1619"/>
      <c r="J26" s="1619"/>
      <c r="K26" s="1619"/>
      <c r="L26" s="1619"/>
      <c r="M26" s="1619"/>
      <c r="N26" s="1619"/>
      <c r="O26" s="1619"/>
      <c r="P26" s="1619"/>
      <c r="Q26" s="1619"/>
      <c r="R26" s="1619"/>
      <c r="S26" s="1619"/>
      <c r="T26" s="1619"/>
      <c r="U26" s="1619"/>
      <c r="V26" s="1619"/>
      <c r="W26" s="1619"/>
      <c r="X26" s="1619"/>
      <c r="Y26" s="1619"/>
      <c r="Z26" s="1619"/>
      <c r="AA26" s="1619"/>
      <c r="AB26" s="1619"/>
      <c r="AC26" s="1619"/>
      <c r="AD26" s="1619"/>
      <c r="AE26" s="1619"/>
      <c r="AF26" s="1619"/>
      <c r="AG26" s="1619"/>
      <c r="AH26" s="1619"/>
      <c r="AI26" s="1619"/>
      <c r="AJ26" s="1619"/>
      <c r="AK26" s="1619"/>
      <c r="AL26" s="1619"/>
    </row>
    <row r="27" spans="1:44" ht="19.7" customHeight="1" x14ac:dyDescent="0.2">
      <c r="A27" s="384"/>
      <c r="B27" s="1619"/>
      <c r="C27" s="1619"/>
      <c r="D27" s="1619"/>
      <c r="E27" s="1619"/>
      <c r="F27" s="1619"/>
      <c r="G27" s="1619"/>
      <c r="H27" s="1619"/>
      <c r="I27" s="1619"/>
      <c r="J27" s="1619"/>
      <c r="K27" s="1619"/>
      <c r="L27" s="1619"/>
      <c r="M27" s="1619"/>
      <c r="N27" s="1619"/>
      <c r="O27" s="1619"/>
      <c r="P27" s="1619"/>
      <c r="Q27" s="1619"/>
      <c r="R27" s="1619"/>
      <c r="S27" s="1619"/>
      <c r="T27" s="1619"/>
      <c r="U27" s="1619"/>
      <c r="V27" s="1619"/>
      <c r="W27" s="1619"/>
      <c r="X27" s="1619"/>
      <c r="Y27" s="1619"/>
      <c r="Z27" s="1619"/>
      <c r="AA27" s="1619"/>
      <c r="AB27" s="1619"/>
      <c r="AC27" s="1619"/>
      <c r="AD27" s="1619"/>
      <c r="AE27" s="1619"/>
      <c r="AF27" s="1619"/>
      <c r="AG27" s="1619"/>
      <c r="AH27" s="1619"/>
      <c r="AI27" s="1619"/>
      <c r="AJ27" s="1619"/>
      <c r="AK27" s="1619"/>
      <c r="AL27" s="1619"/>
    </row>
    <row r="28" spans="1:44" ht="19.7" customHeight="1" x14ac:dyDescent="0.2">
      <c r="A28" s="384"/>
      <c r="B28" s="1619"/>
      <c r="C28" s="1619"/>
      <c r="D28" s="1619"/>
      <c r="E28" s="1619"/>
      <c r="F28" s="1619"/>
      <c r="G28" s="1619"/>
      <c r="H28" s="1619"/>
      <c r="I28" s="1619"/>
      <c r="J28" s="1619"/>
      <c r="K28" s="1619"/>
      <c r="L28" s="1619"/>
      <c r="M28" s="1619"/>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c r="AL28" s="1619"/>
    </row>
    <row r="29" spans="1:44" ht="19.7" customHeight="1" x14ac:dyDescent="0.2">
      <c r="A29" s="384"/>
      <c r="B29" s="1619"/>
      <c r="C29" s="1619"/>
      <c r="D29" s="1619"/>
      <c r="E29" s="1619"/>
      <c r="F29" s="1619"/>
      <c r="G29" s="1619"/>
      <c r="H29" s="1619"/>
      <c r="I29" s="1619"/>
      <c r="J29" s="1619"/>
      <c r="K29" s="1619"/>
      <c r="L29" s="1619"/>
      <c r="M29" s="1619"/>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c r="AL29" s="1619"/>
    </row>
    <row r="30" spans="1:44" ht="19.7" customHeight="1" x14ac:dyDescent="0.2">
      <c r="A30" s="384"/>
      <c r="B30" s="1619"/>
      <c r="C30" s="1619"/>
      <c r="D30" s="1619"/>
      <c r="E30" s="1619"/>
      <c r="F30" s="1619"/>
      <c r="G30" s="1619"/>
      <c r="H30" s="1619"/>
      <c r="I30" s="1619"/>
      <c r="J30" s="1619"/>
      <c r="K30" s="1619"/>
      <c r="L30" s="1619"/>
      <c r="M30" s="1619"/>
      <c r="N30" s="1619"/>
      <c r="O30" s="1619"/>
      <c r="P30" s="1619"/>
      <c r="Q30" s="1619"/>
      <c r="R30" s="1619"/>
      <c r="S30" s="1619"/>
      <c r="T30" s="1619"/>
      <c r="U30" s="1619"/>
      <c r="V30" s="1619"/>
      <c r="W30" s="1619"/>
      <c r="X30" s="1619"/>
      <c r="Y30" s="1619"/>
      <c r="Z30" s="1619"/>
      <c r="AA30" s="1619"/>
      <c r="AB30" s="1619"/>
      <c r="AC30" s="1619"/>
      <c r="AD30" s="1619"/>
      <c r="AE30" s="1619"/>
      <c r="AF30" s="1619"/>
      <c r="AG30" s="1619"/>
      <c r="AH30" s="1619"/>
      <c r="AI30" s="1619"/>
      <c r="AJ30" s="1619"/>
      <c r="AK30" s="1619"/>
      <c r="AL30" s="1619"/>
    </row>
    <row r="31" spans="1:44" ht="19.7" customHeight="1" x14ac:dyDescent="0.2">
      <c r="A31" s="384"/>
      <c r="B31" s="1619"/>
      <c r="C31" s="1619"/>
      <c r="D31" s="1619"/>
      <c r="E31" s="1619"/>
      <c r="F31" s="1619"/>
      <c r="G31" s="1619"/>
      <c r="H31" s="1619"/>
      <c r="I31" s="1619"/>
      <c r="J31" s="1619"/>
      <c r="K31" s="1619"/>
      <c r="L31" s="1619"/>
      <c r="M31" s="1619"/>
      <c r="N31" s="1619"/>
      <c r="O31" s="1619"/>
      <c r="P31" s="1619"/>
      <c r="Q31" s="1619"/>
      <c r="R31" s="1619"/>
      <c r="S31" s="1619"/>
      <c r="T31" s="1619"/>
      <c r="U31" s="1619"/>
      <c r="V31" s="1619"/>
      <c r="W31" s="1619"/>
      <c r="X31" s="1619"/>
      <c r="Y31" s="1619"/>
      <c r="Z31" s="1619"/>
      <c r="AA31" s="1619"/>
      <c r="AB31" s="1619"/>
      <c r="AC31" s="1619"/>
      <c r="AD31" s="1619"/>
      <c r="AE31" s="1619"/>
      <c r="AF31" s="1619"/>
      <c r="AG31" s="1619"/>
      <c r="AH31" s="1619"/>
      <c r="AI31" s="1619"/>
      <c r="AJ31" s="1619"/>
      <c r="AK31" s="1619"/>
      <c r="AL31" s="1619"/>
    </row>
    <row r="32" spans="1:44" ht="19.7" customHeight="1" x14ac:dyDescent="0.2">
      <c r="A32" s="384"/>
      <c r="B32" s="1619"/>
      <c r="C32" s="1619"/>
      <c r="D32" s="1619"/>
      <c r="E32" s="1619"/>
      <c r="F32" s="1619"/>
      <c r="G32" s="1619"/>
      <c r="H32" s="1619"/>
      <c r="I32" s="1619"/>
      <c r="J32" s="1619"/>
      <c r="K32" s="1619"/>
      <c r="L32" s="1619"/>
      <c r="M32" s="1619"/>
      <c r="N32" s="1619"/>
      <c r="O32" s="1619"/>
      <c r="P32" s="1619"/>
      <c r="Q32" s="1619"/>
      <c r="R32" s="1619"/>
      <c r="S32" s="1619"/>
      <c r="T32" s="1619"/>
      <c r="U32" s="1619"/>
      <c r="V32" s="1619"/>
      <c r="W32" s="1619"/>
      <c r="X32" s="1619"/>
      <c r="Y32" s="1619"/>
      <c r="Z32" s="1619"/>
      <c r="AA32" s="1619"/>
      <c r="AB32" s="1619"/>
      <c r="AC32" s="1619"/>
      <c r="AD32" s="1619"/>
      <c r="AE32" s="1619"/>
      <c r="AF32" s="1619"/>
      <c r="AG32" s="1619"/>
      <c r="AH32" s="1619"/>
      <c r="AI32" s="1619"/>
      <c r="AJ32" s="1619"/>
      <c r="AK32" s="1619"/>
      <c r="AL32" s="1619"/>
    </row>
    <row r="33" spans="1:38" ht="19.7" customHeight="1" x14ac:dyDescent="0.2">
      <c r="A33" s="384"/>
      <c r="B33" s="1619"/>
      <c r="C33" s="1619"/>
      <c r="D33" s="1619"/>
      <c r="E33" s="1619"/>
      <c r="F33" s="1619"/>
      <c r="G33" s="1619"/>
      <c r="H33" s="1619"/>
      <c r="I33" s="1619"/>
      <c r="J33" s="1619"/>
      <c r="K33" s="1619"/>
      <c r="L33" s="1619"/>
      <c r="M33" s="1619"/>
      <c r="N33" s="1619"/>
      <c r="O33" s="1619"/>
      <c r="P33" s="1619"/>
      <c r="Q33" s="1619"/>
      <c r="R33" s="1619"/>
      <c r="S33" s="1619"/>
      <c r="T33" s="1619"/>
      <c r="U33" s="1619"/>
      <c r="V33" s="1619"/>
      <c r="W33" s="1619"/>
      <c r="X33" s="1619"/>
      <c r="Y33" s="1619"/>
      <c r="Z33" s="1619"/>
      <c r="AA33" s="1619"/>
      <c r="AB33" s="1619"/>
      <c r="AC33" s="1619"/>
      <c r="AD33" s="1619"/>
      <c r="AE33" s="1619"/>
      <c r="AF33" s="1619"/>
      <c r="AG33" s="1619"/>
      <c r="AH33" s="1619"/>
      <c r="AI33" s="1619"/>
      <c r="AJ33" s="1619"/>
      <c r="AK33" s="1619"/>
      <c r="AL33" s="1619"/>
    </row>
    <row r="34" spans="1:38" ht="19.7" customHeight="1" x14ac:dyDescent="0.2">
      <c r="A34" s="384"/>
      <c r="B34" s="1619"/>
      <c r="C34" s="1619"/>
      <c r="D34" s="1619"/>
      <c r="E34" s="1619"/>
      <c r="F34" s="1619"/>
      <c r="G34" s="1619"/>
      <c r="H34" s="1619"/>
      <c r="I34" s="1619"/>
      <c r="J34" s="1619"/>
      <c r="K34" s="1619"/>
      <c r="L34" s="1619"/>
      <c r="M34" s="1619"/>
      <c r="N34" s="1619"/>
      <c r="O34" s="1619"/>
      <c r="P34" s="1619"/>
      <c r="Q34" s="1619"/>
      <c r="R34" s="1619"/>
      <c r="S34" s="1619"/>
      <c r="T34" s="1619"/>
      <c r="U34" s="1619"/>
      <c r="V34" s="1619"/>
      <c r="W34" s="1619"/>
      <c r="X34" s="1619"/>
      <c r="Y34" s="1619"/>
      <c r="Z34" s="1619"/>
      <c r="AA34" s="1619"/>
      <c r="AB34" s="1619"/>
      <c r="AC34" s="1619"/>
      <c r="AD34" s="1619"/>
      <c r="AE34" s="1619"/>
      <c r="AF34" s="1619"/>
      <c r="AG34" s="1619"/>
      <c r="AH34" s="1619"/>
      <c r="AI34" s="1619"/>
      <c r="AJ34" s="1619"/>
      <c r="AK34" s="1619"/>
      <c r="AL34" s="1619"/>
    </row>
    <row r="35" spans="1:38" ht="19.7" customHeight="1" x14ac:dyDescent="0.2">
      <c r="A35" s="384"/>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c r="AL35" s="395"/>
    </row>
    <row r="36" spans="1:38" ht="19.7" customHeight="1" x14ac:dyDescent="0.2">
      <c r="A36" s="384"/>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row>
    <row r="37" spans="1:38" ht="19.7" customHeight="1" x14ac:dyDescent="0.2">
      <c r="A37" s="384"/>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95"/>
      <c r="AE37" s="395"/>
      <c r="AF37" s="395"/>
      <c r="AG37" s="395"/>
      <c r="AH37" s="395"/>
      <c r="AI37" s="395"/>
      <c r="AJ37" s="395"/>
      <c r="AK37" s="395"/>
      <c r="AL37" s="395"/>
    </row>
    <row r="38" spans="1:38" ht="19.7" customHeight="1" x14ac:dyDescent="0.2">
      <c r="A38" s="388" t="s">
        <v>8155</v>
      </c>
      <c r="C38" s="384"/>
      <c r="D38" s="384"/>
      <c r="E38" s="384"/>
      <c r="F38" s="384"/>
      <c r="G38" s="384"/>
      <c r="H38" s="384"/>
      <c r="I38" s="384"/>
      <c r="J38" s="384"/>
      <c r="K38" s="384"/>
      <c r="L38" s="384"/>
      <c r="M38" s="384"/>
      <c r="N38" s="384"/>
      <c r="O38" s="384"/>
      <c r="P38" s="384"/>
      <c r="Q38" s="384"/>
      <c r="R38" s="384"/>
      <c r="S38" s="384"/>
      <c r="T38" s="384"/>
      <c r="U38" s="384"/>
      <c r="V38" s="384"/>
      <c r="W38" s="384"/>
      <c r="X38" s="384"/>
      <c r="Y38" s="384"/>
    </row>
    <row r="39" spans="1:38" ht="11.25" customHeight="1" x14ac:dyDescent="0.2">
      <c r="A39" s="384"/>
      <c r="B39" s="384"/>
      <c r="C39" s="384"/>
      <c r="D39" s="384"/>
      <c r="E39" s="384"/>
      <c r="F39" s="384"/>
      <c r="G39" s="384"/>
      <c r="H39" s="384"/>
      <c r="I39" s="384"/>
      <c r="J39" s="384"/>
      <c r="K39" s="384"/>
      <c r="L39" s="384"/>
      <c r="M39" s="384"/>
      <c r="N39" s="384"/>
      <c r="O39" s="384"/>
      <c r="P39" s="384"/>
      <c r="Q39" s="384"/>
      <c r="R39" s="384"/>
      <c r="S39" s="384"/>
      <c r="T39" s="384"/>
      <c r="U39" s="384"/>
      <c r="V39" s="384"/>
      <c r="W39" s="384"/>
      <c r="X39" s="384"/>
      <c r="Y39" s="384"/>
    </row>
    <row r="40" spans="1:38" ht="19.7" customHeight="1" x14ac:dyDescent="0.2">
      <c r="A40" s="384"/>
      <c r="B40" s="1618" t="s">
        <v>8156</v>
      </c>
      <c r="C40" s="1618"/>
      <c r="D40" s="1618"/>
      <c r="E40" s="1618"/>
      <c r="F40" s="1618"/>
      <c r="G40" s="1618"/>
      <c r="H40" s="1618"/>
      <c r="I40" s="1618"/>
      <c r="J40" s="1618"/>
      <c r="K40" s="1618"/>
      <c r="L40" s="1618"/>
      <c r="M40" s="1618"/>
      <c r="N40" s="1618"/>
      <c r="O40" s="1618"/>
      <c r="P40" s="1618"/>
      <c r="Q40" s="1618"/>
      <c r="R40" s="1618"/>
      <c r="S40" s="1618"/>
      <c r="T40" s="1618"/>
      <c r="U40" s="1615" t="str">
        <f>Calculos!EW14</f>
        <v>Não</v>
      </c>
      <c r="V40" s="1615"/>
      <c r="W40" s="1615"/>
      <c r="X40" s="1615"/>
      <c r="Y40" s="1615"/>
      <c r="Z40" s="1615"/>
      <c r="AA40" s="1615"/>
      <c r="AB40" s="1615"/>
      <c r="AC40" s="390"/>
      <c r="AD40" s="390"/>
      <c r="AE40" s="390"/>
      <c r="AF40" s="390"/>
      <c r="AG40" s="390"/>
      <c r="AH40" s="390"/>
      <c r="AI40" s="390"/>
      <c r="AJ40" s="390"/>
      <c r="AK40" s="390"/>
    </row>
    <row r="41" spans="1:38" ht="19.7" customHeight="1" x14ac:dyDescent="0.2">
      <c r="A41" s="384"/>
      <c r="B41" s="1620" t="s">
        <v>13</v>
      </c>
      <c r="C41" s="1621"/>
      <c r="D41" s="1621"/>
      <c r="E41" s="1621"/>
      <c r="F41" s="1621"/>
      <c r="G41" s="1621"/>
      <c r="H41" s="1621"/>
      <c r="I41" s="1621"/>
      <c r="J41" s="1621"/>
      <c r="K41" s="1621"/>
      <c r="L41" s="1621"/>
      <c r="M41" s="1622"/>
      <c r="N41" s="1593" t="s">
        <v>4</v>
      </c>
      <c r="O41" s="1593"/>
      <c r="P41" s="1593"/>
      <c r="Q41" s="1593"/>
      <c r="R41" s="1593"/>
      <c r="S41" s="1593"/>
      <c r="T41" s="1593"/>
      <c r="U41" s="1593"/>
      <c r="V41" s="1593"/>
      <c r="W41" s="1593"/>
      <c r="X41" s="1593"/>
      <c r="Y41" s="1593"/>
      <c r="Z41" s="1593"/>
      <c r="AA41" s="1593"/>
      <c r="AB41" s="1593"/>
      <c r="AC41" s="1620"/>
      <c r="AD41" s="1593" t="s">
        <v>107</v>
      </c>
      <c r="AE41" s="1593"/>
      <c r="AF41" s="1593"/>
      <c r="AG41" s="1593"/>
      <c r="AH41" s="1593"/>
      <c r="AI41" s="1593"/>
      <c r="AJ41" s="1593"/>
      <c r="AK41" s="1593"/>
    </row>
    <row r="42" spans="1:38" ht="33.950000000000003" customHeight="1" x14ac:dyDescent="0.2">
      <c r="A42" s="384"/>
      <c r="B42" s="1595">
        <f ca="1">Calculos!EW15</f>
        <v>0</v>
      </c>
      <c r="C42" s="1595"/>
      <c r="D42" s="1595"/>
      <c r="E42" s="1595"/>
      <c r="F42" s="1595"/>
      <c r="G42" s="1595"/>
      <c r="H42" s="1595"/>
      <c r="I42" s="1595"/>
      <c r="J42" s="1595"/>
      <c r="K42" s="1595"/>
      <c r="L42" s="1595"/>
      <c r="M42" s="1595"/>
      <c r="N42" s="1603" cm="1">
        <f t="array" aca="1" ref="N42" ca="1">INDIRECT("'PT&amp;IA'!I11",1)</f>
        <v>0</v>
      </c>
      <c r="O42" s="1604"/>
      <c r="P42" s="1604"/>
      <c r="Q42" s="1604"/>
      <c r="R42" s="1604"/>
      <c r="S42" s="1604"/>
      <c r="T42" s="1604"/>
      <c r="U42" s="1604"/>
      <c r="V42" s="1604"/>
      <c r="W42" s="1604"/>
      <c r="X42" s="1604"/>
      <c r="Y42" s="1604"/>
      <c r="Z42" s="1604"/>
      <c r="AA42" s="1604"/>
      <c r="AB42" s="1604"/>
      <c r="AC42" s="1604"/>
      <c r="AD42" s="1623" cm="1">
        <f t="array" aca="1" ref="AD42" ca="1">INDIRECT("'PT&amp;IA'!K11",1)</f>
        <v>0</v>
      </c>
      <c r="AE42" s="1624"/>
      <c r="AF42" s="1624"/>
      <c r="AG42" s="1624"/>
      <c r="AH42" s="1624"/>
      <c r="AI42" s="1624"/>
      <c r="AJ42" s="1624"/>
      <c r="AK42" s="1624"/>
    </row>
    <row r="43" spans="1:38" ht="33.950000000000003" customHeight="1" x14ac:dyDescent="0.2">
      <c r="A43" s="384"/>
      <c r="B43" s="1595">
        <f ca="1">Calculos!EW16</f>
        <v>0</v>
      </c>
      <c r="C43" s="1595"/>
      <c r="D43" s="1595"/>
      <c r="E43" s="1595"/>
      <c r="F43" s="1595"/>
      <c r="G43" s="1595"/>
      <c r="H43" s="1595"/>
      <c r="I43" s="1595"/>
      <c r="J43" s="1595"/>
      <c r="K43" s="1595"/>
      <c r="L43" s="1595"/>
      <c r="M43" s="1595"/>
      <c r="N43" s="1603" cm="1">
        <f t="array" aca="1" ref="N43" ca="1">INDIRECT("'PT&amp;IA'!I12",1)</f>
        <v>0</v>
      </c>
      <c r="O43" s="1604"/>
      <c r="P43" s="1604"/>
      <c r="Q43" s="1604"/>
      <c r="R43" s="1604"/>
      <c r="S43" s="1604"/>
      <c r="T43" s="1604"/>
      <c r="U43" s="1604"/>
      <c r="V43" s="1604"/>
      <c r="W43" s="1604"/>
      <c r="X43" s="1604"/>
      <c r="Y43" s="1604"/>
      <c r="Z43" s="1604"/>
      <c r="AA43" s="1604"/>
      <c r="AB43" s="1604"/>
      <c r="AC43" s="1604"/>
      <c r="AD43" s="1605" cm="1">
        <f t="array" aca="1" ref="AD43" ca="1">INDIRECT("'PT&amp;IA'!K12",1)</f>
        <v>0</v>
      </c>
      <c r="AE43" s="1606"/>
      <c r="AF43" s="1606"/>
      <c r="AG43" s="1606"/>
      <c r="AH43" s="1606"/>
      <c r="AI43" s="1606"/>
      <c r="AJ43" s="1606"/>
      <c r="AK43" s="1606"/>
    </row>
    <row r="44" spans="1:38" ht="33.950000000000003" customHeight="1" x14ac:dyDescent="0.2">
      <c r="A44" s="384"/>
      <c r="B44" s="1595">
        <f ca="1">Calculos!EW17</f>
        <v>0</v>
      </c>
      <c r="C44" s="1595"/>
      <c r="D44" s="1595"/>
      <c r="E44" s="1595"/>
      <c r="F44" s="1595"/>
      <c r="G44" s="1595"/>
      <c r="H44" s="1595"/>
      <c r="I44" s="1595"/>
      <c r="J44" s="1595"/>
      <c r="K44" s="1595"/>
      <c r="L44" s="1595"/>
      <c r="M44" s="1595"/>
      <c r="N44" s="1603" cm="1">
        <f t="array" aca="1" ref="N44" ca="1">INDIRECT("'PT&amp;IA'!I13",1)</f>
        <v>0</v>
      </c>
      <c r="O44" s="1604"/>
      <c r="P44" s="1604"/>
      <c r="Q44" s="1604"/>
      <c r="R44" s="1604"/>
      <c r="S44" s="1604"/>
      <c r="T44" s="1604"/>
      <c r="U44" s="1604"/>
      <c r="V44" s="1604"/>
      <c r="W44" s="1604"/>
      <c r="X44" s="1604"/>
      <c r="Y44" s="1604"/>
      <c r="Z44" s="1604"/>
      <c r="AA44" s="1604"/>
      <c r="AB44" s="1604"/>
      <c r="AC44" s="1604"/>
      <c r="AD44" s="1605" cm="1">
        <f t="array" aca="1" ref="AD44" ca="1">INDIRECT("'PT&amp;IA'!K13",1)</f>
        <v>0</v>
      </c>
      <c r="AE44" s="1606"/>
      <c r="AF44" s="1606"/>
      <c r="AG44" s="1606"/>
      <c r="AH44" s="1606"/>
      <c r="AI44" s="1606"/>
      <c r="AJ44" s="1606"/>
      <c r="AK44" s="1606"/>
    </row>
    <row r="45" spans="1:38" ht="33.950000000000003" customHeight="1" x14ac:dyDescent="0.2">
      <c r="A45" s="384"/>
      <c r="B45" s="1595">
        <f ca="1">Calculos!EW18</f>
        <v>0</v>
      </c>
      <c r="C45" s="1595"/>
      <c r="D45" s="1595"/>
      <c r="E45" s="1595"/>
      <c r="F45" s="1595"/>
      <c r="G45" s="1595"/>
      <c r="H45" s="1595"/>
      <c r="I45" s="1595"/>
      <c r="J45" s="1595"/>
      <c r="K45" s="1595"/>
      <c r="L45" s="1595"/>
      <c r="M45" s="1595"/>
      <c r="N45" s="1603" cm="1">
        <f t="array" aca="1" ref="N45" ca="1">INDIRECT("'PT&amp;IA'!I14",1)</f>
        <v>0</v>
      </c>
      <c r="O45" s="1604"/>
      <c r="P45" s="1604"/>
      <c r="Q45" s="1604"/>
      <c r="R45" s="1604"/>
      <c r="S45" s="1604"/>
      <c r="T45" s="1604"/>
      <c r="U45" s="1604"/>
      <c r="V45" s="1604"/>
      <c r="W45" s="1604"/>
      <c r="X45" s="1604"/>
      <c r="Y45" s="1604"/>
      <c r="Z45" s="1604"/>
      <c r="AA45" s="1604"/>
      <c r="AB45" s="1604"/>
      <c r="AC45" s="1604"/>
      <c r="AD45" s="1605" cm="1">
        <f t="array" aca="1" ref="AD45" ca="1">INDIRECT("'PT&amp;IA'!K14",1)</f>
        <v>0</v>
      </c>
      <c r="AE45" s="1606"/>
      <c r="AF45" s="1606"/>
      <c r="AG45" s="1606"/>
      <c r="AH45" s="1606"/>
      <c r="AI45" s="1606"/>
      <c r="AJ45" s="1606"/>
      <c r="AK45" s="1606"/>
    </row>
    <row r="46" spans="1:38" ht="33.950000000000003" customHeight="1" x14ac:dyDescent="0.2">
      <c r="A46" s="384"/>
      <c r="B46" s="1595">
        <f ca="1">Calculos!EW19</f>
        <v>0</v>
      </c>
      <c r="C46" s="1595"/>
      <c r="D46" s="1595"/>
      <c r="E46" s="1595"/>
      <c r="F46" s="1595"/>
      <c r="G46" s="1595"/>
      <c r="H46" s="1595"/>
      <c r="I46" s="1595"/>
      <c r="J46" s="1595"/>
      <c r="K46" s="1595"/>
      <c r="L46" s="1595"/>
      <c r="M46" s="1595"/>
      <c r="N46" s="1603" cm="1">
        <f t="array" aca="1" ref="N46" ca="1">INDIRECT("'PT&amp;IA'!I15",1)</f>
        <v>0</v>
      </c>
      <c r="O46" s="1604"/>
      <c r="P46" s="1604"/>
      <c r="Q46" s="1604"/>
      <c r="R46" s="1604"/>
      <c r="S46" s="1604"/>
      <c r="T46" s="1604"/>
      <c r="U46" s="1604"/>
      <c r="V46" s="1604"/>
      <c r="W46" s="1604"/>
      <c r="X46" s="1604"/>
      <c r="Y46" s="1604"/>
      <c r="Z46" s="1604"/>
      <c r="AA46" s="1604"/>
      <c r="AB46" s="1604"/>
      <c r="AC46" s="1604"/>
      <c r="AD46" s="1605" cm="1">
        <f t="array" aca="1" ref="AD46" ca="1">INDIRECT("'PT&amp;IA'!K15",1)</f>
        <v>0</v>
      </c>
      <c r="AE46" s="1606"/>
      <c r="AF46" s="1606"/>
      <c r="AG46" s="1606"/>
      <c r="AH46" s="1606"/>
      <c r="AI46" s="1606"/>
      <c r="AJ46" s="1606"/>
      <c r="AK46" s="1606"/>
    </row>
    <row r="47" spans="1:38" ht="33.950000000000003" customHeight="1" x14ac:dyDescent="0.2">
      <c r="A47" s="384"/>
      <c r="B47" s="1595">
        <f ca="1">Calculos!EW20</f>
        <v>0</v>
      </c>
      <c r="C47" s="1595"/>
      <c r="D47" s="1595"/>
      <c r="E47" s="1595"/>
      <c r="F47" s="1595"/>
      <c r="G47" s="1595"/>
      <c r="H47" s="1595"/>
      <c r="I47" s="1595"/>
      <c r="J47" s="1595"/>
      <c r="K47" s="1595"/>
      <c r="L47" s="1595"/>
      <c r="M47" s="1595"/>
      <c r="N47" s="1603" cm="1">
        <f t="array" aca="1" ref="N47" ca="1">INDIRECT("'PT&amp;IA'!I16",1)</f>
        <v>0</v>
      </c>
      <c r="O47" s="1604"/>
      <c r="P47" s="1604"/>
      <c r="Q47" s="1604"/>
      <c r="R47" s="1604"/>
      <c r="S47" s="1604"/>
      <c r="T47" s="1604"/>
      <c r="U47" s="1604"/>
      <c r="V47" s="1604"/>
      <c r="W47" s="1604"/>
      <c r="X47" s="1604"/>
      <c r="Y47" s="1604"/>
      <c r="Z47" s="1604"/>
      <c r="AA47" s="1604"/>
      <c r="AB47" s="1604"/>
      <c r="AC47" s="1604"/>
      <c r="AD47" s="1605" cm="1">
        <f t="array" aca="1" ref="AD47" ca="1">INDIRECT("'PT&amp;IA'!K16",1)</f>
        <v>0</v>
      </c>
      <c r="AE47" s="1606"/>
      <c r="AF47" s="1606"/>
      <c r="AG47" s="1606"/>
      <c r="AH47" s="1606"/>
      <c r="AI47" s="1606"/>
      <c r="AJ47" s="1606"/>
      <c r="AK47" s="1606"/>
    </row>
    <row r="48" spans="1:38" ht="33.950000000000003" customHeight="1" x14ac:dyDescent="0.2">
      <c r="A48" s="384"/>
      <c r="B48" s="1595">
        <f ca="1">Calculos!EW21</f>
        <v>0</v>
      </c>
      <c r="C48" s="1595"/>
      <c r="D48" s="1595"/>
      <c r="E48" s="1595"/>
      <c r="F48" s="1595"/>
      <c r="G48" s="1595"/>
      <c r="H48" s="1595"/>
      <c r="I48" s="1595"/>
      <c r="J48" s="1595"/>
      <c r="K48" s="1595"/>
      <c r="L48" s="1595"/>
      <c r="M48" s="1595"/>
      <c r="N48" s="1603" cm="1">
        <f t="array" aca="1" ref="N48" ca="1">INDIRECT("'PT&amp;IA'!I17",1)</f>
        <v>0</v>
      </c>
      <c r="O48" s="1604"/>
      <c r="P48" s="1604"/>
      <c r="Q48" s="1604"/>
      <c r="R48" s="1604"/>
      <c r="S48" s="1604"/>
      <c r="T48" s="1604"/>
      <c r="U48" s="1604"/>
      <c r="V48" s="1604"/>
      <c r="W48" s="1604"/>
      <c r="X48" s="1604"/>
      <c r="Y48" s="1604"/>
      <c r="Z48" s="1604"/>
      <c r="AA48" s="1604"/>
      <c r="AB48" s="1604"/>
      <c r="AC48" s="1604"/>
      <c r="AD48" s="1605" cm="1">
        <f t="array" aca="1" ref="AD48" ca="1">INDIRECT("'PT&amp;IA'!K17",1)</f>
        <v>0</v>
      </c>
      <c r="AE48" s="1606"/>
      <c r="AF48" s="1606"/>
      <c r="AG48" s="1606"/>
      <c r="AH48" s="1606"/>
      <c r="AI48" s="1606"/>
      <c r="AJ48" s="1606"/>
      <c r="AK48" s="1606"/>
    </row>
    <row r="49" spans="1:44" ht="33.950000000000003" customHeight="1" x14ac:dyDescent="0.2">
      <c r="A49" s="384"/>
      <c r="B49" s="1595">
        <f ca="1">Calculos!EW22</f>
        <v>0</v>
      </c>
      <c r="C49" s="1595"/>
      <c r="D49" s="1595"/>
      <c r="E49" s="1595"/>
      <c r="F49" s="1595"/>
      <c r="G49" s="1595"/>
      <c r="H49" s="1595"/>
      <c r="I49" s="1595"/>
      <c r="J49" s="1595"/>
      <c r="K49" s="1595"/>
      <c r="L49" s="1595"/>
      <c r="M49" s="1595"/>
      <c r="N49" s="1603" cm="1">
        <f t="array" aca="1" ref="N49" ca="1">INDIRECT("'PT&amp;IA'!I18",1)</f>
        <v>0</v>
      </c>
      <c r="O49" s="1604"/>
      <c r="P49" s="1604"/>
      <c r="Q49" s="1604"/>
      <c r="R49" s="1604"/>
      <c r="S49" s="1604"/>
      <c r="T49" s="1604"/>
      <c r="U49" s="1604"/>
      <c r="V49" s="1604"/>
      <c r="W49" s="1604"/>
      <c r="X49" s="1604"/>
      <c r="Y49" s="1604"/>
      <c r="Z49" s="1604"/>
      <c r="AA49" s="1604"/>
      <c r="AB49" s="1604"/>
      <c r="AC49" s="1604"/>
      <c r="AD49" s="1605" cm="1">
        <f t="array" aca="1" ref="AD49" ca="1">INDIRECT("'PT&amp;IA'!K18",1)</f>
        <v>0</v>
      </c>
      <c r="AE49" s="1606"/>
      <c r="AF49" s="1606"/>
      <c r="AG49" s="1606"/>
      <c r="AH49" s="1606"/>
      <c r="AI49" s="1606"/>
      <c r="AJ49" s="1606"/>
      <c r="AK49" s="1606"/>
    </row>
    <row r="50" spans="1:44" ht="33.950000000000003" customHeight="1" x14ac:dyDescent="0.2">
      <c r="A50" s="384"/>
      <c r="B50" s="1595">
        <f ca="1">Calculos!EW23</f>
        <v>0</v>
      </c>
      <c r="C50" s="1595"/>
      <c r="D50" s="1595"/>
      <c r="E50" s="1595"/>
      <c r="F50" s="1595"/>
      <c r="G50" s="1595"/>
      <c r="H50" s="1595"/>
      <c r="I50" s="1595"/>
      <c r="J50" s="1595"/>
      <c r="K50" s="1595"/>
      <c r="L50" s="1595"/>
      <c r="M50" s="1595"/>
      <c r="N50" s="1603" cm="1">
        <f t="array" aca="1" ref="N50" ca="1">INDIRECT("'PT&amp;IA'!I19",1)</f>
        <v>0</v>
      </c>
      <c r="O50" s="1604"/>
      <c r="P50" s="1604"/>
      <c r="Q50" s="1604"/>
      <c r="R50" s="1604"/>
      <c r="S50" s="1604"/>
      <c r="T50" s="1604"/>
      <c r="U50" s="1604"/>
      <c r="V50" s="1604"/>
      <c r="W50" s="1604"/>
      <c r="X50" s="1604"/>
      <c r="Y50" s="1604"/>
      <c r="Z50" s="1604"/>
      <c r="AA50" s="1604"/>
      <c r="AB50" s="1604"/>
      <c r="AC50" s="1604"/>
      <c r="AD50" s="1605" cm="1">
        <f t="array" aca="1" ref="AD50" ca="1">INDIRECT("'PT&amp;IA'!K19",1)</f>
        <v>0</v>
      </c>
      <c r="AE50" s="1606"/>
      <c r="AF50" s="1606"/>
      <c r="AG50" s="1606"/>
      <c r="AH50" s="1606"/>
      <c r="AI50" s="1606"/>
      <c r="AJ50" s="1606"/>
      <c r="AK50" s="1606"/>
    </row>
    <row r="51" spans="1:44" ht="33.950000000000003" customHeight="1" x14ac:dyDescent="0.2">
      <c r="A51" s="384"/>
      <c r="B51" s="1595">
        <f ca="1">Calculos!EW24</f>
        <v>0</v>
      </c>
      <c r="C51" s="1595"/>
      <c r="D51" s="1595"/>
      <c r="E51" s="1595"/>
      <c r="F51" s="1595"/>
      <c r="G51" s="1595"/>
      <c r="H51" s="1595"/>
      <c r="I51" s="1595"/>
      <c r="J51" s="1595"/>
      <c r="K51" s="1595"/>
      <c r="L51" s="1595"/>
      <c r="M51" s="1595"/>
      <c r="N51" s="1603" cm="1">
        <f t="array" aca="1" ref="N51" ca="1">INDIRECT("'PT&amp;IA'!I20",1)</f>
        <v>0</v>
      </c>
      <c r="O51" s="1604"/>
      <c r="P51" s="1604"/>
      <c r="Q51" s="1604"/>
      <c r="R51" s="1604"/>
      <c r="S51" s="1604"/>
      <c r="T51" s="1604"/>
      <c r="U51" s="1604"/>
      <c r="V51" s="1604"/>
      <c r="W51" s="1604"/>
      <c r="X51" s="1604"/>
      <c r="Y51" s="1604"/>
      <c r="Z51" s="1604"/>
      <c r="AA51" s="1604"/>
      <c r="AB51" s="1604"/>
      <c r="AC51" s="1604"/>
      <c r="AD51" s="1605" cm="1">
        <f t="array" aca="1" ref="AD51" ca="1">INDIRECT("'PT&amp;IA'!K20",1)</f>
        <v>0</v>
      </c>
      <c r="AE51" s="1606"/>
      <c r="AF51" s="1606"/>
      <c r="AG51" s="1606"/>
      <c r="AH51" s="1606"/>
      <c r="AI51" s="1606"/>
      <c r="AJ51" s="1606"/>
      <c r="AK51" s="1606"/>
    </row>
    <row r="52" spans="1:44" ht="33.950000000000003" customHeight="1" x14ac:dyDescent="0.2">
      <c r="A52" s="384"/>
      <c r="B52" s="1595">
        <f ca="1">Calculos!EW25</f>
        <v>0</v>
      </c>
      <c r="C52" s="1595"/>
      <c r="D52" s="1595"/>
      <c r="E52" s="1595"/>
      <c r="F52" s="1595"/>
      <c r="G52" s="1595"/>
      <c r="H52" s="1595"/>
      <c r="I52" s="1595"/>
      <c r="J52" s="1595"/>
      <c r="K52" s="1595"/>
      <c r="L52" s="1595"/>
      <c r="M52" s="1595"/>
      <c r="N52" s="1603" cm="1">
        <f t="array" aca="1" ref="N52" ca="1">INDIRECT("'PT&amp;IA'!I21",1)</f>
        <v>0</v>
      </c>
      <c r="O52" s="1604"/>
      <c r="P52" s="1604"/>
      <c r="Q52" s="1604"/>
      <c r="R52" s="1604"/>
      <c r="S52" s="1604"/>
      <c r="T52" s="1604"/>
      <c r="U52" s="1604"/>
      <c r="V52" s="1604"/>
      <c r="W52" s="1604"/>
      <c r="X52" s="1604"/>
      <c r="Y52" s="1604"/>
      <c r="Z52" s="1604"/>
      <c r="AA52" s="1604"/>
      <c r="AB52" s="1604"/>
      <c r="AC52" s="1604"/>
      <c r="AD52" s="1605" cm="1">
        <f t="array" aca="1" ref="AD52" ca="1">INDIRECT("'PT&amp;IA'!K21",1)</f>
        <v>0</v>
      </c>
      <c r="AE52" s="1606"/>
      <c r="AF52" s="1606"/>
      <c r="AG52" s="1606"/>
      <c r="AH52" s="1606"/>
      <c r="AI52" s="1606"/>
      <c r="AJ52" s="1606"/>
      <c r="AK52" s="1606"/>
    </row>
    <row r="53" spans="1:44" ht="33.950000000000003" customHeight="1" x14ac:dyDescent="0.2">
      <c r="A53" s="384"/>
      <c r="B53" s="1595">
        <f ca="1">Calculos!EW26</f>
        <v>0</v>
      </c>
      <c r="C53" s="1595"/>
      <c r="D53" s="1595"/>
      <c r="E53" s="1595"/>
      <c r="F53" s="1595"/>
      <c r="G53" s="1595"/>
      <c r="H53" s="1595"/>
      <c r="I53" s="1595"/>
      <c r="J53" s="1595"/>
      <c r="K53" s="1595"/>
      <c r="L53" s="1595"/>
      <c r="M53" s="1595"/>
      <c r="N53" s="1603" cm="1">
        <f t="array" aca="1" ref="N53" ca="1">INDIRECT("'PT&amp;IA'!I22",1)</f>
        <v>0</v>
      </c>
      <c r="O53" s="1604"/>
      <c r="P53" s="1604"/>
      <c r="Q53" s="1604"/>
      <c r="R53" s="1604"/>
      <c r="S53" s="1604"/>
      <c r="T53" s="1604"/>
      <c r="U53" s="1604"/>
      <c r="V53" s="1604"/>
      <c r="W53" s="1604"/>
      <c r="X53" s="1604"/>
      <c r="Y53" s="1604"/>
      <c r="Z53" s="1604"/>
      <c r="AA53" s="1604"/>
      <c r="AB53" s="1604"/>
      <c r="AC53" s="1604"/>
      <c r="AD53" s="1605" cm="1">
        <f t="array" aca="1" ref="AD53" ca="1">INDIRECT("'PT&amp;IA'!K22",1)</f>
        <v>0</v>
      </c>
      <c r="AE53" s="1606"/>
      <c r="AF53" s="1606"/>
      <c r="AG53" s="1606"/>
      <c r="AH53" s="1606"/>
      <c r="AI53" s="1606"/>
      <c r="AJ53" s="1606"/>
      <c r="AK53" s="1606"/>
    </row>
    <row r="54" spans="1:44" ht="33.950000000000003" customHeight="1" x14ac:dyDescent="0.2">
      <c r="A54" s="384"/>
      <c r="B54" s="1595">
        <f ca="1">Calculos!EW27</f>
        <v>0</v>
      </c>
      <c r="C54" s="1595"/>
      <c r="D54" s="1595"/>
      <c r="E54" s="1595"/>
      <c r="F54" s="1595"/>
      <c r="G54" s="1595"/>
      <c r="H54" s="1595"/>
      <c r="I54" s="1595"/>
      <c r="J54" s="1595"/>
      <c r="K54" s="1595"/>
      <c r="L54" s="1595"/>
      <c r="M54" s="1595"/>
      <c r="N54" s="1603" cm="1">
        <f t="array" aca="1" ref="N54" ca="1">INDIRECT("'PT&amp;IA'!I23",1)</f>
        <v>0</v>
      </c>
      <c r="O54" s="1604"/>
      <c r="P54" s="1604"/>
      <c r="Q54" s="1604"/>
      <c r="R54" s="1604"/>
      <c r="S54" s="1604"/>
      <c r="T54" s="1604"/>
      <c r="U54" s="1604"/>
      <c r="V54" s="1604"/>
      <c r="W54" s="1604"/>
      <c r="X54" s="1604"/>
      <c r="Y54" s="1604"/>
      <c r="Z54" s="1604"/>
      <c r="AA54" s="1604"/>
      <c r="AB54" s="1604"/>
      <c r="AC54" s="1604"/>
      <c r="AD54" s="1605" cm="1">
        <f t="array" aca="1" ref="AD54" ca="1">INDIRECT("'PT&amp;IA'!K23",1)</f>
        <v>0</v>
      </c>
      <c r="AE54" s="1606"/>
      <c r="AF54" s="1606"/>
      <c r="AG54" s="1606"/>
      <c r="AH54" s="1606"/>
      <c r="AI54" s="1606"/>
      <c r="AJ54" s="1606"/>
      <c r="AK54" s="1606"/>
    </row>
    <row r="55" spans="1:44" ht="33.950000000000003" customHeight="1" x14ac:dyDescent="0.2">
      <c r="A55" s="384"/>
      <c r="B55" s="1595">
        <f ca="1">Calculos!EW28</f>
        <v>0</v>
      </c>
      <c r="C55" s="1595"/>
      <c r="D55" s="1595"/>
      <c r="E55" s="1595"/>
      <c r="F55" s="1595"/>
      <c r="G55" s="1595"/>
      <c r="H55" s="1595"/>
      <c r="I55" s="1595"/>
      <c r="J55" s="1595"/>
      <c r="K55" s="1595"/>
      <c r="L55" s="1595"/>
      <c r="M55" s="1595"/>
      <c r="N55" s="1603" cm="1">
        <f t="array" aca="1" ref="N55" ca="1">INDIRECT("'PT&amp;IA'!I24",1)</f>
        <v>0</v>
      </c>
      <c r="O55" s="1604"/>
      <c r="P55" s="1604"/>
      <c r="Q55" s="1604"/>
      <c r="R55" s="1604"/>
      <c r="S55" s="1604"/>
      <c r="T55" s="1604"/>
      <c r="U55" s="1604"/>
      <c r="V55" s="1604"/>
      <c r="W55" s="1604"/>
      <c r="X55" s="1604"/>
      <c r="Y55" s="1604"/>
      <c r="Z55" s="1604"/>
      <c r="AA55" s="1604"/>
      <c r="AB55" s="1604"/>
      <c r="AC55" s="1604"/>
      <c r="AD55" s="1605" cm="1">
        <f t="array" aca="1" ref="AD55" ca="1">INDIRECT("'PT&amp;IA'!K24",1)</f>
        <v>0</v>
      </c>
      <c r="AE55" s="1606"/>
      <c r="AF55" s="1606"/>
      <c r="AG55" s="1606"/>
      <c r="AH55" s="1606"/>
      <c r="AI55" s="1606"/>
      <c r="AJ55" s="1606"/>
      <c r="AK55" s="1606"/>
    </row>
    <row r="56" spans="1:44" ht="33.950000000000003" customHeight="1" x14ac:dyDescent="0.2">
      <c r="A56" s="384"/>
      <c r="B56" s="1595">
        <f ca="1">Calculos!EW29</f>
        <v>0</v>
      </c>
      <c r="C56" s="1595"/>
      <c r="D56" s="1595"/>
      <c r="E56" s="1595"/>
      <c r="F56" s="1595"/>
      <c r="G56" s="1595"/>
      <c r="H56" s="1595"/>
      <c r="I56" s="1595"/>
      <c r="J56" s="1595"/>
      <c r="K56" s="1595"/>
      <c r="L56" s="1595"/>
      <c r="M56" s="1595"/>
      <c r="N56" s="1603" cm="1">
        <f t="array" aca="1" ref="N56" ca="1">INDIRECT("'PT&amp;IA'!I25",1)</f>
        <v>0</v>
      </c>
      <c r="O56" s="1604"/>
      <c r="P56" s="1604"/>
      <c r="Q56" s="1604"/>
      <c r="R56" s="1604"/>
      <c r="S56" s="1604"/>
      <c r="T56" s="1604"/>
      <c r="U56" s="1604"/>
      <c r="V56" s="1604"/>
      <c r="W56" s="1604"/>
      <c r="X56" s="1604"/>
      <c r="Y56" s="1604"/>
      <c r="Z56" s="1604"/>
      <c r="AA56" s="1604"/>
      <c r="AB56" s="1604"/>
      <c r="AC56" s="1604"/>
      <c r="AD56" s="1605" cm="1">
        <f t="array" aca="1" ref="AD56" ca="1">INDIRECT("'PT&amp;IA'!K25",1)</f>
        <v>0</v>
      </c>
      <c r="AE56" s="1606"/>
      <c r="AF56" s="1606"/>
      <c r="AG56" s="1606"/>
      <c r="AH56" s="1606"/>
      <c r="AI56" s="1606"/>
      <c r="AJ56" s="1606"/>
      <c r="AK56" s="1606"/>
    </row>
    <row r="57" spans="1:44" ht="17.100000000000001" customHeight="1" x14ac:dyDescent="0.2">
      <c r="A57" s="384"/>
      <c r="B57" s="396"/>
      <c r="C57" s="396"/>
      <c r="D57" s="396"/>
      <c r="E57" s="396"/>
      <c r="F57" s="396"/>
      <c r="G57" s="396"/>
      <c r="H57" s="396"/>
      <c r="I57" s="396"/>
      <c r="J57" s="396"/>
      <c r="K57" s="396"/>
      <c r="L57" s="396"/>
      <c r="M57" s="396"/>
      <c r="N57" s="397"/>
      <c r="O57" s="398"/>
      <c r="P57" s="398"/>
      <c r="Q57" s="398"/>
      <c r="R57" s="398"/>
      <c r="S57" s="398"/>
      <c r="T57" s="398"/>
      <c r="U57" s="398"/>
      <c r="V57" s="398"/>
      <c r="W57" s="398"/>
      <c r="X57" s="398"/>
      <c r="Y57" s="398"/>
      <c r="Z57" s="398"/>
      <c r="AA57" s="398"/>
      <c r="AB57" s="398"/>
      <c r="AC57" s="398"/>
      <c r="AD57" s="399"/>
      <c r="AE57" s="400"/>
      <c r="AF57" s="400"/>
      <c r="AG57" s="400"/>
      <c r="AH57" s="400"/>
      <c r="AI57" s="400"/>
      <c r="AJ57" s="400"/>
      <c r="AK57" s="400"/>
      <c r="AL57" s="401"/>
      <c r="AM57" s="400"/>
      <c r="AN57" s="400"/>
      <c r="AO57" s="400"/>
      <c r="AP57" s="400"/>
      <c r="AQ57" s="400"/>
      <c r="AR57" s="400"/>
    </row>
    <row r="58" spans="1:44" ht="17.100000000000001" customHeight="1" x14ac:dyDescent="0.2">
      <c r="A58" s="384"/>
      <c r="B58" s="396"/>
      <c r="C58" s="396"/>
      <c r="D58" s="396"/>
      <c r="E58" s="396"/>
      <c r="F58" s="396"/>
      <c r="G58" s="396"/>
      <c r="H58" s="396"/>
      <c r="I58" s="396"/>
      <c r="J58" s="396"/>
      <c r="K58" s="396"/>
      <c r="L58" s="396"/>
      <c r="M58" s="396"/>
      <c r="N58" s="397"/>
      <c r="O58" s="398"/>
      <c r="P58" s="398"/>
      <c r="Q58" s="398"/>
      <c r="R58" s="398"/>
      <c r="S58" s="398"/>
      <c r="T58" s="398"/>
      <c r="U58" s="398"/>
      <c r="V58" s="398"/>
      <c r="W58" s="398"/>
      <c r="X58" s="398"/>
      <c r="Y58" s="398"/>
      <c r="Z58" s="398"/>
      <c r="AA58" s="398"/>
      <c r="AB58" s="398"/>
      <c r="AC58" s="398"/>
      <c r="AD58" s="399"/>
      <c r="AE58" s="400"/>
      <c r="AF58" s="400"/>
      <c r="AG58" s="400"/>
      <c r="AH58" s="400"/>
      <c r="AI58" s="400"/>
      <c r="AJ58" s="400"/>
      <c r="AK58" s="400"/>
      <c r="AL58" s="401"/>
      <c r="AM58" s="400"/>
      <c r="AN58" s="400"/>
      <c r="AO58" s="400"/>
      <c r="AP58" s="400"/>
      <c r="AQ58" s="400"/>
      <c r="AR58" s="400"/>
    </row>
    <row r="59" spans="1:44" ht="17.100000000000001" customHeight="1" x14ac:dyDescent="0.2">
      <c r="A59" s="384"/>
      <c r="B59" s="396"/>
      <c r="C59" s="396"/>
      <c r="D59" s="396"/>
      <c r="E59" s="396"/>
      <c r="F59" s="396"/>
      <c r="G59" s="396"/>
      <c r="H59" s="396"/>
      <c r="I59" s="396"/>
      <c r="J59" s="396"/>
      <c r="K59" s="396"/>
      <c r="L59" s="396"/>
      <c r="M59" s="396"/>
      <c r="N59" s="397"/>
      <c r="O59" s="398"/>
      <c r="P59" s="398"/>
      <c r="Q59" s="398"/>
      <c r="R59" s="398"/>
      <c r="S59" s="398"/>
      <c r="T59" s="398"/>
      <c r="U59" s="398"/>
      <c r="V59" s="398"/>
      <c r="W59" s="398"/>
      <c r="X59" s="398"/>
      <c r="Y59" s="398"/>
      <c r="Z59" s="398"/>
      <c r="AA59" s="398"/>
      <c r="AB59" s="398"/>
      <c r="AC59" s="398"/>
      <c r="AD59" s="399"/>
      <c r="AE59" s="400"/>
      <c r="AF59" s="400"/>
      <c r="AG59" s="400"/>
      <c r="AH59" s="400"/>
      <c r="AI59" s="400"/>
      <c r="AJ59" s="400"/>
      <c r="AK59" s="400"/>
      <c r="AL59" s="401"/>
      <c r="AM59" s="400"/>
      <c r="AN59" s="400"/>
      <c r="AO59" s="400"/>
      <c r="AP59" s="400"/>
      <c r="AQ59" s="400"/>
      <c r="AR59" s="400"/>
    </row>
    <row r="60" spans="1:44" ht="17.100000000000001" customHeight="1" x14ac:dyDescent="0.2">
      <c r="A60" s="384"/>
      <c r="B60" s="396"/>
      <c r="C60" s="396"/>
      <c r="D60" s="396"/>
      <c r="E60" s="396"/>
      <c r="F60" s="396"/>
      <c r="G60" s="396"/>
      <c r="H60" s="396"/>
      <c r="I60" s="396"/>
      <c r="J60" s="396"/>
      <c r="K60" s="396"/>
      <c r="L60" s="396"/>
      <c r="M60" s="396"/>
      <c r="N60" s="397"/>
      <c r="O60" s="398"/>
      <c r="P60" s="398"/>
      <c r="Q60" s="398"/>
      <c r="R60" s="398"/>
      <c r="S60" s="398"/>
      <c r="T60" s="398"/>
      <c r="U60" s="398"/>
      <c r="V60" s="398"/>
      <c r="W60" s="398"/>
      <c r="X60" s="398"/>
      <c r="Y60" s="398"/>
      <c r="Z60" s="398"/>
      <c r="AA60" s="398"/>
      <c r="AB60" s="398"/>
      <c r="AC60" s="398"/>
      <c r="AD60" s="399"/>
      <c r="AE60" s="400"/>
      <c r="AF60" s="400"/>
      <c r="AG60" s="400"/>
      <c r="AH60" s="400"/>
      <c r="AI60" s="400"/>
      <c r="AJ60" s="400"/>
      <c r="AK60" s="400"/>
      <c r="AL60" s="401"/>
      <c r="AM60" s="400"/>
      <c r="AN60" s="400"/>
      <c r="AO60" s="400"/>
      <c r="AP60" s="400"/>
      <c r="AQ60" s="400"/>
      <c r="AR60" s="400"/>
    </row>
    <row r="61" spans="1:44" ht="17.100000000000001" customHeight="1" x14ac:dyDescent="0.2">
      <c r="A61" s="384"/>
      <c r="B61" s="396"/>
      <c r="C61" s="396"/>
      <c r="D61" s="396"/>
      <c r="E61" s="396"/>
      <c r="F61" s="396"/>
      <c r="G61" s="396"/>
      <c r="H61" s="396"/>
      <c r="I61" s="396"/>
      <c r="J61" s="396"/>
      <c r="K61" s="396"/>
      <c r="L61" s="396"/>
      <c r="M61" s="396"/>
      <c r="N61" s="397"/>
      <c r="O61" s="398"/>
      <c r="P61" s="398"/>
      <c r="Q61" s="398"/>
      <c r="R61" s="398"/>
      <c r="S61" s="398"/>
      <c r="T61" s="398"/>
      <c r="U61" s="398"/>
      <c r="V61" s="398"/>
      <c r="W61" s="398"/>
      <c r="X61" s="398"/>
      <c r="Y61" s="398"/>
      <c r="Z61" s="398"/>
      <c r="AA61" s="398"/>
      <c r="AB61" s="398"/>
      <c r="AC61" s="398"/>
      <c r="AD61" s="399"/>
      <c r="AE61" s="400"/>
      <c r="AF61" s="400"/>
      <c r="AG61" s="400"/>
      <c r="AH61" s="400"/>
      <c r="AI61" s="400"/>
      <c r="AJ61" s="400"/>
      <c r="AK61" s="400"/>
      <c r="AL61" s="401"/>
      <c r="AM61" s="400"/>
      <c r="AN61" s="400"/>
      <c r="AO61" s="400"/>
      <c r="AP61" s="400"/>
      <c r="AQ61" s="400"/>
      <c r="AR61" s="400"/>
    </row>
    <row r="62" spans="1:44" x14ac:dyDescent="0.2">
      <c r="A62" s="384"/>
      <c r="B62" s="384"/>
      <c r="C62" s="384"/>
      <c r="D62" s="384"/>
      <c r="E62" s="384"/>
      <c r="F62" s="384"/>
      <c r="G62" s="384"/>
      <c r="H62" s="384"/>
      <c r="I62" s="384"/>
      <c r="J62" s="384"/>
      <c r="K62" s="384"/>
      <c r="L62" s="384"/>
      <c r="M62" s="384"/>
      <c r="N62" s="384"/>
      <c r="O62" s="384"/>
      <c r="X62" s="384"/>
      <c r="Y62" s="384"/>
    </row>
    <row r="63" spans="1:44" x14ac:dyDescent="0.2">
      <c r="A63" s="384"/>
      <c r="B63" s="384"/>
      <c r="C63" s="384"/>
      <c r="D63" s="384"/>
      <c r="E63" s="384"/>
      <c r="F63" s="384"/>
      <c r="G63" s="384"/>
      <c r="H63" s="384"/>
      <c r="I63" s="384"/>
      <c r="J63" s="384"/>
      <c r="K63" s="384"/>
      <c r="L63" s="384"/>
      <c r="M63" s="384"/>
      <c r="N63" s="384"/>
      <c r="O63" s="384"/>
      <c r="X63" s="384"/>
      <c r="Y63" s="384"/>
    </row>
    <row r="64" spans="1:44" x14ac:dyDescent="0.2">
      <c r="A64" s="393"/>
      <c r="C64" s="384"/>
      <c r="D64" s="384"/>
      <c r="E64" s="384"/>
      <c r="F64" s="384"/>
      <c r="G64" s="384"/>
      <c r="H64" s="384"/>
      <c r="I64" s="384"/>
      <c r="J64" s="384"/>
      <c r="K64" s="384"/>
      <c r="L64" s="384"/>
      <c r="M64" s="384"/>
      <c r="N64" s="384"/>
      <c r="O64" s="384"/>
      <c r="P64" s="384"/>
      <c r="Q64" s="384"/>
      <c r="R64" s="384"/>
      <c r="S64" s="384"/>
      <c r="T64" s="384"/>
      <c r="U64" s="384"/>
      <c r="V64" s="384"/>
      <c r="W64" s="384"/>
      <c r="X64" s="384"/>
      <c r="Y64" s="384"/>
    </row>
    <row r="65" spans="1:44" ht="15" customHeight="1" x14ac:dyDescent="0.2">
      <c r="A65" s="388" t="s">
        <v>8166</v>
      </c>
      <c r="B65" s="384"/>
      <c r="C65" s="384"/>
      <c r="D65" s="384"/>
      <c r="E65" s="384"/>
      <c r="F65" s="384"/>
      <c r="G65" s="384"/>
      <c r="H65" s="384"/>
      <c r="I65" s="384"/>
      <c r="J65" s="384"/>
      <c r="K65" s="384"/>
      <c r="L65" s="384"/>
      <c r="M65" s="384"/>
      <c r="N65" s="384"/>
      <c r="O65" s="384"/>
      <c r="P65" s="384"/>
      <c r="Q65" s="384"/>
      <c r="R65" s="384"/>
      <c r="S65" s="384"/>
      <c r="T65" s="384"/>
      <c r="U65" s="384"/>
      <c r="V65" s="384"/>
      <c r="W65" s="384"/>
      <c r="X65" s="384"/>
      <c r="Y65" s="384"/>
    </row>
    <row r="66" spans="1:44" ht="12.75" customHeight="1" x14ac:dyDescent="0.2">
      <c r="A66" s="384"/>
      <c r="Q66" s="384"/>
      <c r="R66" s="384"/>
      <c r="S66" s="384"/>
      <c r="T66" s="384"/>
      <c r="U66" s="384"/>
      <c r="V66" s="384"/>
      <c r="W66" s="384"/>
      <c r="X66" s="384"/>
      <c r="Y66" s="384"/>
    </row>
    <row r="67" spans="1:44" ht="15" customHeight="1" x14ac:dyDescent="0.2">
      <c r="A67" s="402"/>
      <c r="P67" s="384"/>
      <c r="Q67" s="384"/>
      <c r="R67" s="384"/>
      <c r="S67" s="384"/>
      <c r="T67" s="384"/>
      <c r="U67" s="384"/>
      <c r="V67" s="384"/>
      <c r="W67" s="384"/>
      <c r="X67" s="384"/>
      <c r="Y67" s="384"/>
      <c r="Z67" s="384"/>
      <c r="AA67" s="384"/>
      <c r="AB67" s="384"/>
      <c r="AC67" s="384"/>
      <c r="AD67" s="384"/>
      <c r="AE67" s="384"/>
      <c r="AF67" s="384"/>
      <c r="AG67" s="1593" t="str">
        <f ca="1">Calculos!EW30</f>
        <v>-</v>
      </c>
      <c r="AH67" s="1593"/>
      <c r="AI67" s="1593"/>
      <c r="AJ67" s="1593"/>
      <c r="AK67" s="1593"/>
      <c r="AL67" s="1593"/>
      <c r="AM67" s="1593"/>
      <c r="AN67" s="1593"/>
      <c r="AO67" s="1593"/>
      <c r="AP67" s="1593"/>
      <c r="AQ67" s="1593"/>
      <c r="AR67" s="1593"/>
    </row>
    <row r="68" spans="1:44" ht="42.6" customHeight="1" x14ac:dyDescent="0.2">
      <c r="A68" s="1630" t="s">
        <v>8167</v>
      </c>
      <c r="B68" s="1631"/>
      <c r="C68" s="1631"/>
      <c r="D68" s="1631"/>
      <c r="E68" s="1593" t="s">
        <v>11</v>
      </c>
      <c r="F68" s="1593"/>
      <c r="G68" s="1593"/>
      <c r="H68" s="1593"/>
      <c r="I68" s="1593"/>
      <c r="J68" s="1593"/>
      <c r="K68" s="1593" t="s">
        <v>374</v>
      </c>
      <c r="L68" s="1593"/>
      <c r="M68" s="1593"/>
      <c r="N68" s="1593"/>
      <c r="O68" s="1593"/>
      <c r="P68" s="1593"/>
      <c r="Q68" s="1593"/>
      <c r="R68" s="1593"/>
      <c r="S68" s="1593"/>
      <c r="T68" s="1593"/>
      <c r="U68" s="1593"/>
      <c r="V68" s="1593"/>
      <c r="W68" s="1593" t="s">
        <v>12</v>
      </c>
      <c r="X68" s="1593"/>
      <c r="Y68" s="1593"/>
      <c r="Z68" s="1593"/>
      <c r="AA68" s="1593"/>
      <c r="AB68" s="1593"/>
      <c r="AC68" s="1593"/>
      <c r="AD68" s="1593"/>
      <c r="AE68" s="1593"/>
      <c r="AF68" s="1593"/>
      <c r="AG68" s="1620" t="s">
        <v>108</v>
      </c>
      <c r="AH68" s="1621"/>
      <c r="AI68" s="1621"/>
      <c r="AJ68" s="1622"/>
      <c r="AK68" s="1593" t="s">
        <v>109</v>
      </c>
      <c r="AL68" s="1593"/>
      <c r="AM68" s="1593"/>
      <c r="AN68" s="1593"/>
      <c r="AO68" s="1593" t="s">
        <v>110</v>
      </c>
      <c r="AP68" s="1593"/>
      <c r="AQ68" s="1593"/>
      <c r="AR68" s="1593"/>
    </row>
    <row r="69" spans="1:44" ht="21.2" customHeight="1" x14ac:dyDescent="0.2">
      <c r="A69" s="1615" t="str">
        <f ca="1">Calculos!EW31</f>
        <v>-</v>
      </c>
      <c r="B69" s="1615"/>
      <c r="C69" s="1615"/>
      <c r="D69" s="1615"/>
      <c r="E69" s="1606" t="str">
        <f ca="1">Calculos!EX31</f>
        <v/>
      </c>
      <c r="F69" s="1606"/>
      <c r="G69" s="1606"/>
      <c r="H69" s="1606"/>
      <c r="I69" s="1606"/>
      <c r="J69" s="1606"/>
      <c r="K69" s="1625" t="str">
        <f ca="1">Calculos!EY31</f>
        <v/>
      </c>
      <c r="L69" s="1625"/>
      <c r="M69" s="1625"/>
      <c r="N69" s="1625"/>
      <c r="O69" s="1625"/>
      <c r="P69" s="1625"/>
      <c r="Q69" s="1625"/>
      <c r="R69" s="1625"/>
      <c r="S69" s="1625"/>
      <c r="T69" s="1625"/>
      <c r="U69" s="1625"/>
      <c r="V69" s="1625"/>
      <c r="W69" s="1625" t="str">
        <f ca="1">Calculos!EZ31</f>
        <v/>
      </c>
      <c r="X69" s="1625"/>
      <c r="Y69" s="1625"/>
      <c r="Z69" s="1625"/>
      <c r="AA69" s="1625"/>
      <c r="AB69" s="1625"/>
      <c r="AC69" s="1625"/>
      <c r="AD69" s="1625"/>
      <c r="AE69" s="1625"/>
      <c r="AF69" s="1625"/>
      <c r="AG69" s="1629" t="str">
        <f ca="1">Calculos!FA31</f>
        <v/>
      </c>
      <c r="AH69" s="1629"/>
      <c r="AI69" s="1629"/>
      <c r="AJ69" s="1629"/>
      <c r="AK69" s="1629" t="str">
        <f ca="1">Calculos!FB31</f>
        <v/>
      </c>
      <c r="AL69" s="1629"/>
      <c r="AM69" s="1629"/>
      <c r="AN69" s="1629"/>
      <c r="AO69" s="1629" t="str">
        <f ca="1">Calculos!FC31</f>
        <v/>
      </c>
      <c r="AP69" s="1629"/>
      <c r="AQ69" s="1629"/>
      <c r="AR69" s="1629"/>
    </row>
    <row r="70" spans="1:44" ht="21.2" customHeight="1" x14ac:dyDescent="0.2">
      <c r="A70" s="1615" t="str">
        <f ca="1">Calculos!EW32</f>
        <v>-</v>
      </c>
      <c r="B70" s="1615"/>
      <c r="C70" s="1615"/>
      <c r="D70" s="1615"/>
      <c r="E70" s="1606" t="str">
        <f ca="1">Calculos!EX32</f>
        <v/>
      </c>
      <c r="F70" s="1606"/>
      <c r="G70" s="1606"/>
      <c r="H70" s="1606"/>
      <c r="I70" s="1606"/>
      <c r="J70" s="1606"/>
      <c r="K70" s="1625" t="str">
        <f ca="1">Calculos!EY32</f>
        <v/>
      </c>
      <c r="L70" s="1625"/>
      <c r="M70" s="1625"/>
      <c r="N70" s="1625"/>
      <c r="O70" s="1625"/>
      <c r="P70" s="1625"/>
      <c r="Q70" s="1625"/>
      <c r="R70" s="1625"/>
      <c r="S70" s="1625"/>
      <c r="T70" s="1625"/>
      <c r="U70" s="1625"/>
      <c r="V70" s="1625"/>
      <c r="W70" s="1625" t="str">
        <f ca="1">Calculos!EZ32</f>
        <v/>
      </c>
      <c r="X70" s="1625"/>
      <c r="Y70" s="1625"/>
      <c r="Z70" s="1625"/>
      <c r="AA70" s="1625"/>
      <c r="AB70" s="1625"/>
      <c r="AC70" s="1625"/>
      <c r="AD70" s="1625"/>
      <c r="AE70" s="1625"/>
      <c r="AF70" s="1625"/>
      <c r="AG70" s="1629" t="str">
        <f ca="1">Calculos!FA32</f>
        <v/>
      </c>
      <c r="AH70" s="1629"/>
      <c r="AI70" s="1629"/>
      <c r="AJ70" s="1629"/>
      <c r="AK70" s="1629" t="str">
        <f ca="1">Calculos!FB32</f>
        <v/>
      </c>
      <c r="AL70" s="1629"/>
      <c r="AM70" s="1629"/>
      <c r="AN70" s="1629"/>
      <c r="AO70" s="1629" t="str">
        <f ca="1">Calculos!FC32</f>
        <v/>
      </c>
      <c r="AP70" s="1629"/>
      <c r="AQ70" s="1629"/>
      <c r="AR70" s="1629"/>
    </row>
    <row r="71" spans="1:44" ht="21.2" customHeight="1" x14ac:dyDescent="0.2">
      <c r="A71" s="1615" t="str">
        <f ca="1">Calculos!EW33</f>
        <v>-</v>
      </c>
      <c r="B71" s="1615"/>
      <c r="C71" s="1615"/>
      <c r="D71" s="1615"/>
      <c r="E71" s="1606" t="str">
        <f ca="1">Calculos!EX33</f>
        <v/>
      </c>
      <c r="F71" s="1606"/>
      <c r="G71" s="1606"/>
      <c r="H71" s="1606"/>
      <c r="I71" s="1606"/>
      <c r="J71" s="1606"/>
      <c r="K71" s="1625" t="str">
        <f ca="1">Calculos!EY33</f>
        <v/>
      </c>
      <c r="L71" s="1625"/>
      <c r="M71" s="1625"/>
      <c r="N71" s="1625"/>
      <c r="O71" s="1625"/>
      <c r="P71" s="1625"/>
      <c r="Q71" s="1625"/>
      <c r="R71" s="1625"/>
      <c r="S71" s="1625"/>
      <c r="T71" s="1625"/>
      <c r="U71" s="1625"/>
      <c r="V71" s="1625"/>
      <c r="W71" s="1625" t="str">
        <f ca="1">Calculos!EZ33</f>
        <v/>
      </c>
      <c r="X71" s="1625"/>
      <c r="Y71" s="1625"/>
      <c r="Z71" s="1625"/>
      <c r="AA71" s="1625"/>
      <c r="AB71" s="1625"/>
      <c r="AC71" s="1625"/>
      <c r="AD71" s="1625"/>
      <c r="AE71" s="1625"/>
      <c r="AF71" s="1625"/>
      <c r="AG71" s="1629" t="str">
        <f ca="1">Calculos!FA33</f>
        <v/>
      </c>
      <c r="AH71" s="1629"/>
      <c r="AI71" s="1629"/>
      <c r="AJ71" s="1629"/>
      <c r="AK71" s="1629" t="str">
        <f ca="1">Calculos!FB33</f>
        <v/>
      </c>
      <c r="AL71" s="1629"/>
      <c r="AM71" s="1629"/>
      <c r="AN71" s="1629"/>
      <c r="AO71" s="1629" t="str">
        <f ca="1">Calculos!FC33</f>
        <v/>
      </c>
      <c r="AP71" s="1629"/>
      <c r="AQ71" s="1629"/>
      <c r="AR71" s="1629"/>
    </row>
    <row r="72" spans="1:44" ht="21.2" customHeight="1" x14ac:dyDescent="0.2">
      <c r="A72" s="1615" t="str">
        <f ca="1">Calculos!EW34</f>
        <v>-</v>
      </c>
      <c r="B72" s="1615"/>
      <c r="C72" s="1615"/>
      <c r="D72" s="1615"/>
      <c r="E72" s="1606" t="str">
        <f ca="1">Calculos!EX34</f>
        <v/>
      </c>
      <c r="F72" s="1606"/>
      <c r="G72" s="1606"/>
      <c r="H72" s="1606"/>
      <c r="I72" s="1606"/>
      <c r="J72" s="1606"/>
      <c r="K72" s="1625" t="str">
        <f ca="1">Calculos!EY34</f>
        <v/>
      </c>
      <c r="L72" s="1625"/>
      <c r="M72" s="1625"/>
      <c r="N72" s="1625"/>
      <c r="O72" s="1625"/>
      <c r="P72" s="1625"/>
      <c r="Q72" s="1625"/>
      <c r="R72" s="1625"/>
      <c r="S72" s="1625"/>
      <c r="T72" s="1625"/>
      <c r="U72" s="1625"/>
      <c r="V72" s="1625"/>
      <c r="W72" s="1625" t="str">
        <f ca="1">Calculos!EZ34</f>
        <v/>
      </c>
      <c r="X72" s="1625"/>
      <c r="Y72" s="1625"/>
      <c r="Z72" s="1625"/>
      <c r="AA72" s="1625"/>
      <c r="AB72" s="1625"/>
      <c r="AC72" s="1625"/>
      <c r="AD72" s="1625"/>
      <c r="AE72" s="1625"/>
      <c r="AF72" s="1625"/>
      <c r="AG72" s="1629" t="str">
        <f ca="1">Calculos!FA34</f>
        <v/>
      </c>
      <c r="AH72" s="1629"/>
      <c r="AI72" s="1629"/>
      <c r="AJ72" s="1629"/>
      <c r="AK72" s="1629" t="str">
        <f ca="1">Calculos!FB34</f>
        <v/>
      </c>
      <c r="AL72" s="1629"/>
      <c r="AM72" s="1629"/>
      <c r="AN72" s="1629"/>
      <c r="AO72" s="1629" t="str">
        <f ca="1">Calculos!FC34</f>
        <v/>
      </c>
      <c r="AP72" s="1629"/>
      <c r="AQ72" s="1629"/>
      <c r="AR72" s="1629"/>
    </row>
    <row r="73" spans="1:44" ht="21.2" customHeight="1" x14ac:dyDescent="0.2">
      <c r="A73" s="1615" t="str">
        <f ca="1">Calculos!EW35</f>
        <v>-</v>
      </c>
      <c r="B73" s="1615"/>
      <c r="C73" s="1615"/>
      <c r="D73" s="1615"/>
      <c r="E73" s="1606" t="str">
        <f ca="1">Calculos!EX35</f>
        <v/>
      </c>
      <c r="F73" s="1606"/>
      <c r="G73" s="1606"/>
      <c r="H73" s="1606"/>
      <c r="I73" s="1606"/>
      <c r="J73" s="1606"/>
      <c r="K73" s="1625" t="str">
        <f ca="1">Calculos!EY35</f>
        <v/>
      </c>
      <c r="L73" s="1625"/>
      <c r="M73" s="1625"/>
      <c r="N73" s="1625"/>
      <c r="O73" s="1625"/>
      <c r="P73" s="1625"/>
      <c r="Q73" s="1625"/>
      <c r="R73" s="1625"/>
      <c r="S73" s="1625"/>
      <c r="T73" s="1625"/>
      <c r="U73" s="1625"/>
      <c r="V73" s="1625"/>
      <c r="W73" s="1625" t="str">
        <f ca="1">Calculos!EZ35</f>
        <v/>
      </c>
      <c r="X73" s="1625"/>
      <c r="Y73" s="1625"/>
      <c r="Z73" s="1625"/>
      <c r="AA73" s="1625"/>
      <c r="AB73" s="1625"/>
      <c r="AC73" s="1625"/>
      <c r="AD73" s="1625"/>
      <c r="AE73" s="1625"/>
      <c r="AF73" s="1625"/>
      <c r="AG73" s="1629" t="str">
        <f ca="1">Calculos!FA35</f>
        <v/>
      </c>
      <c r="AH73" s="1629"/>
      <c r="AI73" s="1629"/>
      <c r="AJ73" s="1629"/>
      <c r="AK73" s="1629" t="str">
        <f ca="1">Calculos!FB35</f>
        <v/>
      </c>
      <c r="AL73" s="1629"/>
      <c r="AM73" s="1629"/>
      <c r="AN73" s="1629"/>
      <c r="AO73" s="1629" t="str">
        <f ca="1">Calculos!FC35</f>
        <v/>
      </c>
      <c r="AP73" s="1629"/>
      <c r="AQ73" s="1629"/>
      <c r="AR73" s="1629"/>
    </row>
    <row r="74" spans="1:44" ht="21.2" customHeight="1" x14ac:dyDescent="0.2">
      <c r="A74" s="1615" t="str">
        <f ca="1">Calculos!EW36</f>
        <v>-</v>
      </c>
      <c r="B74" s="1615"/>
      <c r="C74" s="1615"/>
      <c r="D74" s="1615"/>
      <c r="E74" s="1606" t="str">
        <f ca="1">Calculos!EX36</f>
        <v/>
      </c>
      <c r="F74" s="1606"/>
      <c r="G74" s="1606"/>
      <c r="H74" s="1606"/>
      <c r="I74" s="1606"/>
      <c r="J74" s="1606"/>
      <c r="K74" s="1625" t="str">
        <f ca="1">Calculos!EY36</f>
        <v/>
      </c>
      <c r="L74" s="1625"/>
      <c r="M74" s="1625"/>
      <c r="N74" s="1625"/>
      <c r="O74" s="1625"/>
      <c r="P74" s="1625"/>
      <c r="Q74" s="1625"/>
      <c r="R74" s="1625"/>
      <c r="S74" s="1625"/>
      <c r="T74" s="1625"/>
      <c r="U74" s="1625"/>
      <c r="V74" s="1625"/>
      <c r="W74" s="1625" t="str">
        <f ca="1">Calculos!EZ36</f>
        <v/>
      </c>
      <c r="X74" s="1625"/>
      <c r="Y74" s="1625"/>
      <c r="Z74" s="1625"/>
      <c r="AA74" s="1625"/>
      <c r="AB74" s="1625"/>
      <c r="AC74" s="1625"/>
      <c r="AD74" s="1625"/>
      <c r="AE74" s="1625"/>
      <c r="AF74" s="1625"/>
      <c r="AG74" s="1629" t="str">
        <f ca="1">Calculos!FA36</f>
        <v/>
      </c>
      <c r="AH74" s="1629"/>
      <c r="AI74" s="1629"/>
      <c r="AJ74" s="1629"/>
      <c r="AK74" s="1629" t="str">
        <f ca="1">Calculos!FB36</f>
        <v/>
      </c>
      <c r="AL74" s="1629"/>
      <c r="AM74" s="1629"/>
      <c r="AN74" s="1629"/>
      <c r="AO74" s="1629" t="str">
        <f ca="1">Calculos!FC36</f>
        <v/>
      </c>
      <c r="AP74" s="1629"/>
      <c r="AQ74" s="1629"/>
      <c r="AR74" s="1629"/>
    </row>
    <row r="75" spans="1:44" ht="21.2" customHeight="1" x14ac:dyDescent="0.2">
      <c r="A75" s="1615" t="str">
        <f ca="1">Calculos!EW37</f>
        <v>-</v>
      </c>
      <c r="B75" s="1615"/>
      <c r="C75" s="1615"/>
      <c r="D75" s="1615"/>
      <c r="E75" s="1606" t="str">
        <f ca="1">Calculos!EX37</f>
        <v/>
      </c>
      <c r="F75" s="1606"/>
      <c r="G75" s="1606"/>
      <c r="H75" s="1606"/>
      <c r="I75" s="1606"/>
      <c r="J75" s="1606"/>
      <c r="K75" s="1625" t="str">
        <f ca="1">Calculos!EY37</f>
        <v/>
      </c>
      <c r="L75" s="1625"/>
      <c r="M75" s="1625"/>
      <c r="N75" s="1625"/>
      <c r="O75" s="1625"/>
      <c r="P75" s="1625"/>
      <c r="Q75" s="1625"/>
      <c r="R75" s="1625"/>
      <c r="S75" s="1625"/>
      <c r="T75" s="1625"/>
      <c r="U75" s="1625"/>
      <c r="V75" s="1625"/>
      <c r="W75" s="1625" t="str">
        <f ca="1">Calculos!EZ37</f>
        <v/>
      </c>
      <c r="X75" s="1625"/>
      <c r="Y75" s="1625"/>
      <c r="Z75" s="1625"/>
      <c r="AA75" s="1625"/>
      <c r="AB75" s="1625"/>
      <c r="AC75" s="1625"/>
      <c r="AD75" s="1625"/>
      <c r="AE75" s="1625"/>
      <c r="AF75" s="1625"/>
      <c r="AG75" s="1629" t="str">
        <f ca="1">Calculos!FA37</f>
        <v/>
      </c>
      <c r="AH75" s="1629"/>
      <c r="AI75" s="1629"/>
      <c r="AJ75" s="1629"/>
      <c r="AK75" s="1629" t="str">
        <f ca="1">Calculos!FB37</f>
        <v/>
      </c>
      <c r="AL75" s="1629"/>
      <c r="AM75" s="1629"/>
      <c r="AN75" s="1629"/>
      <c r="AO75" s="1629" t="str">
        <f ca="1">Calculos!FC37</f>
        <v/>
      </c>
      <c r="AP75" s="1629"/>
      <c r="AQ75" s="1629"/>
      <c r="AR75" s="1629"/>
    </row>
    <row r="76" spans="1:44" ht="21.2" customHeight="1" x14ac:dyDescent="0.2">
      <c r="A76" s="1615" t="str">
        <f ca="1">Calculos!EW38</f>
        <v>-</v>
      </c>
      <c r="B76" s="1615"/>
      <c r="C76" s="1615"/>
      <c r="D76" s="1615"/>
      <c r="E76" s="1606" t="str">
        <f ca="1">Calculos!EX38</f>
        <v/>
      </c>
      <c r="F76" s="1606"/>
      <c r="G76" s="1606"/>
      <c r="H76" s="1606"/>
      <c r="I76" s="1606"/>
      <c r="J76" s="1606"/>
      <c r="K76" s="1625" t="str">
        <f ca="1">Calculos!EY38</f>
        <v/>
      </c>
      <c r="L76" s="1625"/>
      <c r="M76" s="1625"/>
      <c r="N76" s="1625"/>
      <c r="O76" s="1625"/>
      <c r="P76" s="1625"/>
      <c r="Q76" s="1625"/>
      <c r="R76" s="1625"/>
      <c r="S76" s="1625"/>
      <c r="T76" s="1625"/>
      <c r="U76" s="1625"/>
      <c r="V76" s="1625"/>
      <c r="W76" s="1625" t="str">
        <f ca="1">Calculos!EZ38</f>
        <v/>
      </c>
      <c r="X76" s="1625"/>
      <c r="Y76" s="1625"/>
      <c r="Z76" s="1625"/>
      <c r="AA76" s="1625"/>
      <c r="AB76" s="1625"/>
      <c r="AC76" s="1625"/>
      <c r="AD76" s="1625"/>
      <c r="AE76" s="1625"/>
      <c r="AF76" s="1625"/>
      <c r="AG76" s="1629" t="str">
        <f ca="1">Calculos!FA38</f>
        <v/>
      </c>
      <c r="AH76" s="1629"/>
      <c r="AI76" s="1629"/>
      <c r="AJ76" s="1629"/>
      <c r="AK76" s="1629" t="str">
        <f ca="1">Calculos!FB38</f>
        <v/>
      </c>
      <c r="AL76" s="1629"/>
      <c r="AM76" s="1629"/>
      <c r="AN76" s="1629"/>
      <c r="AO76" s="1629" t="str">
        <f ca="1">Calculos!FC38</f>
        <v/>
      </c>
      <c r="AP76" s="1629"/>
      <c r="AQ76" s="1629"/>
      <c r="AR76" s="1629"/>
    </row>
    <row r="77" spans="1:44" ht="21.2" customHeight="1" x14ac:dyDescent="0.2">
      <c r="A77" s="1615" t="str">
        <f ca="1">Calculos!EW39</f>
        <v>-</v>
      </c>
      <c r="B77" s="1615"/>
      <c r="C77" s="1615"/>
      <c r="D77" s="1615"/>
      <c r="E77" s="1606" t="str">
        <f ca="1">Calculos!EX39</f>
        <v/>
      </c>
      <c r="F77" s="1606"/>
      <c r="G77" s="1606"/>
      <c r="H77" s="1606"/>
      <c r="I77" s="1606"/>
      <c r="J77" s="1606"/>
      <c r="K77" s="1625" t="str">
        <f ca="1">Calculos!EY39</f>
        <v/>
      </c>
      <c r="L77" s="1625"/>
      <c r="M77" s="1625"/>
      <c r="N77" s="1625"/>
      <c r="O77" s="1625"/>
      <c r="P77" s="1625"/>
      <c r="Q77" s="1625"/>
      <c r="R77" s="1625"/>
      <c r="S77" s="1625"/>
      <c r="T77" s="1625"/>
      <c r="U77" s="1625"/>
      <c r="V77" s="1625"/>
      <c r="W77" s="1625" t="str">
        <f ca="1">Calculos!EZ39</f>
        <v/>
      </c>
      <c r="X77" s="1625"/>
      <c r="Y77" s="1625"/>
      <c r="Z77" s="1625"/>
      <c r="AA77" s="1625"/>
      <c r="AB77" s="1625"/>
      <c r="AC77" s="1625"/>
      <c r="AD77" s="1625"/>
      <c r="AE77" s="1625"/>
      <c r="AF77" s="1625"/>
      <c r="AG77" s="1629" t="str">
        <f ca="1">Calculos!FA39</f>
        <v/>
      </c>
      <c r="AH77" s="1629"/>
      <c r="AI77" s="1629"/>
      <c r="AJ77" s="1629"/>
      <c r="AK77" s="1629" t="str">
        <f ca="1">Calculos!FB39</f>
        <v/>
      </c>
      <c r="AL77" s="1629"/>
      <c r="AM77" s="1629"/>
      <c r="AN77" s="1629"/>
      <c r="AO77" s="1629" t="str">
        <f ca="1">Calculos!FC39</f>
        <v/>
      </c>
      <c r="AP77" s="1629"/>
      <c r="AQ77" s="1629"/>
      <c r="AR77" s="1629"/>
    </row>
    <row r="78" spans="1:44" ht="21.2" customHeight="1" x14ac:dyDescent="0.2">
      <c r="A78" s="1615" t="str">
        <f ca="1">Calculos!EW40</f>
        <v>-</v>
      </c>
      <c r="B78" s="1615"/>
      <c r="C78" s="1615"/>
      <c r="D78" s="1615"/>
      <c r="E78" s="1606" t="str">
        <f ca="1">Calculos!EX40</f>
        <v/>
      </c>
      <c r="F78" s="1606"/>
      <c r="G78" s="1606"/>
      <c r="H78" s="1606"/>
      <c r="I78" s="1606"/>
      <c r="J78" s="1606"/>
      <c r="K78" s="1625" t="str">
        <f ca="1">Calculos!EY40</f>
        <v/>
      </c>
      <c r="L78" s="1625"/>
      <c r="M78" s="1625"/>
      <c r="N78" s="1625"/>
      <c r="O78" s="1625"/>
      <c r="P78" s="1625"/>
      <c r="Q78" s="1625"/>
      <c r="R78" s="1625"/>
      <c r="S78" s="1625"/>
      <c r="T78" s="1625"/>
      <c r="U78" s="1625"/>
      <c r="V78" s="1625"/>
      <c r="W78" s="1625" t="str">
        <f ca="1">Calculos!EZ40</f>
        <v/>
      </c>
      <c r="X78" s="1625"/>
      <c r="Y78" s="1625"/>
      <c r="Z78" s="1625"/>
      <c r="AA78" s="1625"/>
      <c r="AB78" s="1625"/>
      <c r="AC78" s="1625"/>
      <c r="AD78" s="1625"/>
      <c r="AE78" s="1625"/>
      <c r="AF78" s="1625"/>
      <c r="AG78" s="1629" t="str">
        <f ca="1">Calculos!FA40</f>
        <v/>
      </c>
      <c r="AH78" s="1629"/>
      <c r="AI78" s="1629"/>
      <c r="AJ78" s="1629"/>
      <c r="AK78" s="1629" t="str">
        <f ca="1">Calculos!FB40</f>
        <v/>
      </c>
      <c r="AL78" s="1629"/>
      <c r="AM78" s="1629"/>
      <c r="AN78" s="1629"/>
      <c r="AO78" s="1629" t="str">
        <f ca="1">Calculos!FC40</f>
        <v/>
      </c>
      <c r="AP78" s="1629"/>
      <c r="AQ78" s="1629"/>
      <c r="AR78" s="1629"/>
    </row>
    <row r="79" spans="1:44" ht="21.2" customHeight="1" x14ac:dyDescent="0.2">
      <c r="A79" s="1615" t="str">
        <f ca="1">Calculos!EW41</f>
        <v>-</v>
      </c>
      <c r="B79" s="1615"/>
      <c r="C79" s="1615"/>
      <c r="D79" s="1615"/>
      <c r="E79" s="1606" t="str">
        <f ca="1">Calculos!EX41</f>
        <v/>
      </c>
      <c r="F79" s="1606"/>
      <c r="G79" s="1606"/>
      <c r="H79" s="1606"/>
      <c r="I79" s="1606"/>
      <c r="J79" s="1606"/>
      <c r="K79" s="1625" t="str">
        <f ca="1">Calculos!EY41</f>
        <v/>
      </c>
      <c r="L79" s="1625"/>
      <c r="M79" s="1625"/>
      <c r="N79" s="1625"/>
      <c r="O79" s="1625"/>
      <c r="P79" s="1625"/>
      <c r="Q79" s="1625"/>
      <c r="R79" s="1625"/>
      <c r="S79" s="1625"/>
      <c r="T79" s="1625"/>
      <c r="U79" s="1625"/>
      <c r="V79" s="1625"/>
      <c r="W79" s="1625" t="str">
        <f ca="1">Calculos!EZ41</f>
        <v/>
      </c>
      <c r="X79" s="1625"/>
      <c r="Y79" s="1625"/>
      <c r="Z79" s="1625"/>
      <c r="AA79" s="1625"/>
      <c r="AB79" s="1625"/>
      <c r="AC79" s="1625"/>
      <c r="AD79" s="1625"/>
      <c r="AE79" s="1625"/>
      <c r="AF79" s="1625"/>
      <c r="AG79" s="1629" t="str">
        <f ca="1">Calculos!FA41</f>
        <v/>
      </c>
      <c r="AH79" s="1629"/>
      <c r="AI79" s="1629"/>
      <c r="AJ79" s="1629"/>
      <c r="AK79" s="1629" t="str">
        <f ca="1">Calculos!FB41</f>
        <v/>
      </c>
      <c r="AL79" s="1629"/>
      <c r="AM79" s="1629"/>
      <c r="AN79" s="1629"/>
      <c r="AO79" s="1629" t="str">
        <f ca="1">Calculos!FC41</f>
        <v/>
      </c>
      <c r="AP79" s="1629"/>
      <c r="AQ79" s="1629"/>
      <c r="AR79" s="1629"/>
    </row>
    <row r="80" spans="1:44" ht="21.2" customHeight="1" x14ac:dyDescent="0.2">
      <c r="A80" s="1615" t="str">
        <f ca="1">Calculos!EW42</f>
        <v>-</v>
      </c>
      <c r="B80" s="1615"/>
      <c r="C80" s="1615"/>
      <c r="D80" s="1615"/>
      <c r="E80" s="1606" t="str">
        <f ca="1">Calculos!EX42</f>
        <v/>
      </c>
      <c r="F80" s="1606"/>
      <c r="G80" s="1606"/>
      <c r="H80" s="1606"/>
      <c r="I80" s="1606"/>
      <c r="J80" s="1606"/>
      <c r="K80" s="1625" t="str">
        <f ca="1">Calculos!EY42</f>
        <v/>
      </c>
      <c r="L80" s="1625"/>
      <c r="M80" s="1625"/>
      <c r="N80" s="1625"/>
      <c r="O80" s="1625"/>
      <c r="P80" s="1625"/>
      <c r="Q80" s="1625"/>
      <c r="R80" s="1625"/>
      <c r="S80" s="1625"/>
      <c r="T80" s="1625"/>
      <c r="U80" s="1625"/>
      <c r="V80" s="1625"/>
      <c r="W80" s="1625" t="str">
        <f ca="1">Calculos!EZ42</f>
        <v/>
      </c>
      <c r="X80" s="1625"/>
      <c r="Y80" s="1625"/>
      <c r="Z80" s="1625"/>
      <c r="AA80" s="1625"/>
      <c r="AB80" s="1625"/>
      <c r="AC80" s="1625"/>
      <c r="AD80" s="1625"/>
      <c r="AE80" s="1625"/>
      <c r="AF80" s="1625"/>
      <c r="AG80" s="1629" t="str">
        <f ca="1">Calculos!FA42</f>
        <v/>
      </c>
      <c r="AH80" s="1629"/>
      <c r="AI80" s="1629"/>
      <c r="AJ80" s="1629"/>
      <c r="AK80" s="1629" t="str">
        <f ca="1">Calculos!FB42</f>
        <v/>
      </c>
      <c r="AL80" s="1629"/>
      <c r="AM80" s="1629"/>
      <c r="AN80" s="1629"/>
      <c r="AO80" s="1629" t="str">
        <f ca="1">Calculos!FC42</f>
        <v/>
      </c>
      <c r="AP80" s="1629"/>
      <c r="AQ80" s="1629"/>
      <c r="AR80" s="1629"/>
    </row>
    <row r="81" spans="1:44" ht="21.2" customHeight="1" x14ac:dyDescent="0.2">
      <c r="A81" s="1615" t="str">
        <f ca="1">Calculos!EW43</f>
        <v>-</v>
      </c>
      <c r="B81" s="1615"/>
      <c r="C81" s="1615"/>
      <c r="D81" s="1615"/>
      <c r="E81" s="1606" t="str">
        <f ca="1">Calculos!EX43</f>
        <v/>
      </c>
      <c r="F81" s="1606"/>
      <c r="G81" s="1606"/>
      <c r="H81" s="1606"/>
      <c r="I81" s="1606"/>
      <c r="J81" s="1606"/>
      <c r="K81" s="1625" t="str">
        <f ca="1">Calculos!EY43</f>
        <v/>
      </c>
      <c r="L81" s="1625"/>
      <c r="M81" s="1625"/>
      <c r="N81" s="1625"/>
      <c r="O81" s="1625"/>
      <c r="P81" s="1625"/>
      <c r="Q81" s="1625"/>
      <c r="R81" s="1625"/>
      <c r="S81" s="1625"/>
      <c r="T81" s="1625"/>
      <c r="U81" s="1625"/>
      <c r="V81" s="1625"/>
      <c r="W81" s="1625" t="str">
        <f ca="1">Calculos!EZ43</f>
        <v/>
      </c>
      <c r="X81" s="1625"/>
      <c r="Y81" s="1625"/>
      <c r="Z81" s="1625"/>
      <c r="AA81" s="1625"/>
      <c r="AB81" s="1625"/>
      <c r="AC81" s="1625"/>
      <c r="AD81" s="1625"/>
      <c r="AE81" s="1625"/>
      <c r="AF81" s="1625"/>
      <c r="AG81" s="1629" t="str">
        <f ca="1">Calculos!FA43</f>
        <v/>
      </c>
      <c r="AH81" s="1629"/>
      <c r="AI81" s="1629"/>
      <c r="AJ81" s="1629"/>
      <c r="AK81" s="1629" t="str">
        <f ca="1">Calculos!FB43</f>
        <v/>
      </c>
      <c r="AL81" s="1629"/>
      <c r="AM81" s="1629"/>
      <c r="AN81" s="1629"/>
      <c r="AO81" s="1629" t="str">
        <f ca="1">Calculos!FC43</f>
        <v/>
      </c>
      <c r="AP81" s="1629"/>
      <c r="AQ81" s="1629"/>
      <c r="AR81" s="1629"/>
    </row>
    <row r="82" spans="1:44" ht="21.2" customHeight="1" x14ac:dyDescent="0.2">
      <c r="A82" s="1615" t="str">
        <f ca="1">Calculos!EW44</f>
        <v>-</v>
      </c>
      <c r="B82" s="1615"/>
      <c r="C82" s="1615"/>
      <c r="D82" s="1615"/>
      <c r="E82" s="1606" t="str">
        <f ca="1">Calculos!EX44</f>
        <v/>
      </c>
      <c r="F82" s="1606"/>
      <c r="G82" s="1606"/>
      <c r="H82" s="1606"/>
      <c r="I82" s="1606"/>
      <c r="J82" s="1606"/>
      <c r="K82" s="1625" t="str">
        <f ca="1">Calculos!EY44</f>
        <v/>
      </c>
      <c r="L82" s="1625"/>
      <c r="M82" s="1625"/>
      <c r="N82" s="1625"/>
      <c r="O82" s="1625"/>
      <c r="P82" s="1625"/>
      <c r="Q82" s="1625"/>
      <c r="R82" s="1625"/>
      <c r="S82" s="1625"/>
      <c r="T82" s="1625"/>
      <c r="U82" s="1625"/>
      <c r="V82" s="1625"/>
      <c r="W82" s="1625" t="str">
        <f ca="1">Calculos!EZ44</f>
        <v/>
      </c>
      <c r="X82" s="1625"/>
      <c r="Y82" s="1625"/>
      <c r="Z82" s="1625"/>
      <c r="AA82" s="1625"/>
      <c r="AB82" s="1625"/>
      <c r="AC82" s="1625"/>
      <c r="AD82" s="1625"/>
      <c r="AE82" s="1625"/>
      <c r="AF82" s="1625"/>
      <c r="AG82" s="1629" t="str">
        <f ca="1">Calculos!FA44</f>
        <v/>
      </c>
      <c r="AH82" s="1629"/>
      <c r="AI82" s="1629"/>
      <c r="AJ82" s="1629"/>
      <c r="AK82" s="1629" t="str">
        <f ca="1">Calculos!FB44</f>
        <v/>
      </c>
      <c r="AL82" s="1629"/>
      <c r="AM82" s="1629"/>
      <c r="AN82" s="1629"/>
      <c r="AO82" s="1629" t="str">
        <f ca="1">Calculos!FC44</f>
        <v/>
      </c>
      <c r="AP82" s="1629"/>
      <c r="AQ82" s="1629"/>
      <c r="AR82" s="1629"/>
    </row>
    <row r="83" spans="1:44" ht="21.2" customHeight="1" x14ac:dyDescent="0.2">
      <c r="A83" s="1615" t="str">
        <f ca="1">Calculos!EW45</f>
        <v>-</v>
      </c>
      <c r="B83" s="1615"/>
      <c r="C83" s="1615"/>
      <c r="D83" s="1615"/>
      <c r="E83" s="1606" t="str">
        <f ca="1">Calculos!EX45</f>
        <v/>
      </c>
      <c r="F83" s="1606"/>
      <c r="G83" s="1606"/>
      <c r="H83" s="1606"/>
      <c r="I83" s="1606"/>
      <c r="J83" s="1606"/>
      <c r="K83" s="1625" t="str">
        <f ca="1">Calculos!EY45</f>
        <v/>
      </c>
      <c r="L83" s="1625"/>
      <c r="M83" s="1625"/>
      <c r="N83" s="1625"/>
      <c r="O83" s="1625"/>
      <c r="P83" s="1625"/>
      <c r="Q83" s="1625"/>
      <c r="R83" s="1625"/>
      <c r="S83" s="1625"/>
      <c r="T83" s="1625"/>
      <c r="U83" s="1625"/>
      <c r="V83" s="1625"/>
      <c r="W83" s="1625" t="str">
        <f ca="1">Calculos!EZ45</f>
        <v/>
      </c>
      <c r="X83" s="1625"/>
      <c r="Y83" s="1625"/>
      <c r="Z83" s="1625"/>
      <c r="AA83" s="1625"/>
      <c r="AB83" s="1625"/>
      <c r="AC83" s="1625"/>
      <c r="AD83" s="1625"/>
      <c r="AE83" s="1625"/>
      <c r="AF83" s="1625"/>
      <c r="AG83" s="1629" t="str">
        <f ca="1">Calculos!FA45</f>
        <v/>
      </c>
      <c r="AH83" s="1629"/>
      <c r="AI83" s="1629"/>
      <c r="AJ83" s="1629"/>
      <c r="AK83" s="1629" t="str">
        <f ca="1">Calculos!FB45</f>
        <v/>
      </c>
      <c r="AL83" s="1629"/>
      <c r="AM83" s="1629"/>
      <c r="AN83" s="1629"/>
      <c r="AO83" s="1629" t="str">
        <f ca="1">Calculos!FC45</f>
        <v/>
      </c>
      <c r="AP83" s="1629"/>
      <c r="AQ83" s="1629"/>
      <c r="AR83" s="1629"/>
    </row>
    <row r="84" spans="1:44" ht="21.2" customHeight="1" x14ac:dyDescent="0.2">
      <c r="A84" s="1615" t="str">
        <f ca="1">Calculos!EW46</f>
        <v>-</v>
      </c>
      <c r="B84" s="1615"/>
      <c r="C84" s="1615"/>
      <c r="D84" s="1615"/>
      <c r="E84" s="1606" t="str">
        <f ca="1">Calculos!EX46</f>
        <v/>
      </c>
      <c r="F84" s="1606"/>
      <c r="G84" s="1606"/>
      <c r="H84" s="1606"/>
      <c r="I84" s="1606"/>
      <c r="J84" s="1606"/>
      <c r="K84" s="1625" t="str">
        <f ca="1">Calculos!EY46</f>
        <v/>
      </c>
      <c r="L84" s="1625"/>
      <c r="M84" s="1625"/>
      <c r="N84" s="1625"/>
      <c r="O84" s="1625"/>
      <c r="P84" s="1625"/>
      <c r="Q84" s="1625"/>
      <c r="R84" s="1625"/>
      <c r="S84" s="1625"/>
      <c r="T84" s="1625"/>
      <c r="U84" s="1625"/>
      <c r="V84" s="1625"/>
      <c r="W84" s="1625" t="str">
        <f ca="1">Calculos!EZ46</f>
        <v/>
      </c>
      <c r="X84" s="1625"/>
      <c r="Y84" s="1625"/>
      <c r="Z84" s="1625"/>
      <c r="AA84" s="1625"/>
      <c r="AB84" s="1625"/>
      <c r="AC84" s="1625"/>
      <c r="AD84" s="1625"/>
      <c r="AE84" s="1625"/>
      <c r="AF84" s="1625"/>
      <c r="AG84" s="1629" t="str">
        <f ca="1">Calculos!FA46</f>
        <v/>
      </c>
      <c r="AH84" s="1629"/>
      <c r="AI84" s="1629"/>
      <c r="AJ84" s="1629"/>
      <c r="AK84" s="1629" t="str">
        <f ca="1">Calculos!FB46</f>
        <v/>
      </c>
      <c r="AL84" s="1629"/>
      <c r="AM84" s="1629"/>
      <c r="AN84" s="1629"/>
      <c r="AO84" s="1629" t="str">
        <f ca="1">Calculos!FC46</f>
        <v/>
      </c>
      <c r="AP84" s="1629"/>
      <c r="AQ84" s="1629"/>
      <c r="AR84" s="1629"/>
    </row>
    <row r="85" spans="1:44" ht="21.2" customHeight="1" x14ac:dyDescent="0.2">
      <c r="A85" s="1615" t="str">
        <f ca="1">Calculos!EW47</f>
        <v>-</v>
      </c>
      <c r="B85" s="1615"/>
      <c r="C85" s="1615"/>
      <c r="D85" s="1615"/>
      <c r="E85" s="1606" t="str">
        <f ca="1">Calculos!EX47</f>
        <v/>
      </c>
      <c r="F85" s="1606"/>
      <c r="G85" s="1606"/>
      <c r="H85" s="1606"/>
      <c r="I85" s="1606"/>
      <c r="J85" s="1606"/>
      <c r="K85" s="1625" t="str">
        <f ca="1">Calculos!EY47</f>
        <v/>
      </c>
      <c r="L85" s="1625"/>
      <c r="M85" s="1625"/>
      <c r="N85" s="1625"/>
      <c r="O85" s="1625"/>
      <c r="P85" s="1625"/>
      <c r="Q85" s="1625"/>
      <c r="R85" s="1625"/>
      <c r="S85" s="1625"/>
      <c r="T85" s="1625"/>
      <c r="U85" s="1625"/>
      <c r="V85" s="1625"/>
      <c r="W85" s="1625" t="str">
        <f ca="1">Calculos!EZ47</f>
        <v/>
      </c>
      <c r="X85" s="1625"/>
      <c r="Y85" s="1625"/>
      <c r="Z85" s="1625"/>
      <c r="AA85" s="1625"/>
      <c r="AB85" s="1625"/>
      <c r="AC85" s="1625"/>
      <c r="AD85" s="1625"/>
      <c r="AE85" s="1625"/>
      <c r="AF85" s="1625"/>
      <c r="AG85" s="1629" t="str">
        <f ca="1">Calculos!FA47</f>
        <v/>
      </c>
      <c r="AH85" s="1629"/>
      <c r="AI85" s="1629"/>
      <c r="AJ85" s="1629"/>
      <c r="AK85" s="1629" t="str">
        <f ca="1">Calculos!FB47</f>
        <v/>
      </c>
      <c r="AL85" s="1629"/>
      <c r="AM85" s="1629"/>
      <c r="AN85" s="1629"/>
      <c r="AO85" s="1629" t="str">
        <f ca="1">Calculos!FC47</f>
        <v/>
      </c>
      <c r="AP85" s="1629"/>
      <c r="AQ85" s="1629"/>
      <c r="AR85" s="1629"/>
    </row>
    <row r="86" spans="1:44" ht="21.2" customHeight="1" x14ac:dyDescent="0.2">
      <c r="A86" s="1615" t="str">
        <f ca="1">Calculos!EW48</f>
        <v>-</v>
      </c>
      <c r="B86" s="1615"/>
      <c r="C86" s="1615"/>
      <c r="D86" s="1615"/>
      <c r="E86" s="1606" t="str">
        <f ca="1">Calculos!EX48</f>
        <v/>
      </c>
      <c r="F86" s="1606"/>
      <c r="G86" s="1606"/>
      <c r="H86" s="1606"/>
      <c r="I86" s="1606"/>
      <c r="J86" s="1606"/>
      <c r="K86" s="1625" t="str">
        <f ca="1">Calculos!EY48</f>
        <v/>
      </c>
      <c r="L86" s="1625"/>
      <c r="M86" s="1625"/>
      <c r="N86" s="1625"/>
      <c r="O86" s="1625"/>
      <c r="P86" s="1625"/>
      <c r="Q86" s="1625"/>
      <c r="R86" s="1625"/>
      <c r="S86" s="1625"/>
      <c r="T86" s="1625"/>
      <c r="U86" s="1625"/>
      <c r="V86" s="1625"/>
      <c r="W86" s="1625" t="str">
        <f ca="1">Calculos!EZ48</f>
        <v/>
      </c>
      <c r="X86" s="1625"/>
      <c r="Y86" s="1625"/>
      <c r="Z86" s="1625"/>
      <c r="AA86" s="1625"/>
      <c r="AB86" s="1625"/>
      <c r="AC86" s="1625"/>
      <c r="AD86" s="1625"/>
      <c r="AE86" s="1625"/>
      <c r="AF86" s="1625"/>
      <c r="AG86" s="1629" t="str">
        <f ca="1">Calculos!FA48</f>
        <v/>
      </c>
      <c r="AH86" s="1629"/>
      <c r="AI86" s="1629"/>
      <c r="AJ86" s="1629"/>
      <c r="AK86" s="1629" t="str">
        <f ca="1">Calculos!FB48</f>
        <v/>
      </c>
      <c r="AL86" s="1629"/>
      <c r="AM86" s="1629"/>
      <c r="AN86" s="1629"/>
      <c r="AO86" s="1629" t="str">
        <f ca="1">Calculos!FC48</f>
        <v/>
      </c>
      <c r="AP86" s="1629"/>
      <c r="AQ86" s="1629"/>
      <c r="AR86" s="1629"/>
    </row>
    <row r="87" spans="1:44" ht="21.2" customHeight="1" x14ac:dyDescent="0.2">
      <c r="A87" s="1615" t="str">
        <f ca="1">Calculos!EW49</f>
        <v>-</v>
      </c>
      <c r="B87" s="1615"/>
      <c r="C87" s="1615"/>
      <c r="D87" s="1615"/>
      <c r="E87" s="1606" t="str">
        <f ca="1">Calculos!EX49</f>
        <v/>
      </c>
      <c r="F87" s="1606"/>
      <c r="G87" s="1606"/>
      <c r="H87" s="1606"/>
      <c r="I87" s="1606"/>
      <c r="J87" s="1606"/>
      <c r="K87" s="1625" t="str">
        <f ca="1">Calculos!EY49</f>
        <v/>
      </c>
      <c r="L87" s="1625"/>
      <c r="M87" s="1625"/>
      <c r="N87" s="1625"/>
      <c r="O87" s="1625"/>
      <c r="P87" s="1625"/>
      <c r="Q87" s="1625"/>
      <c r="R87" s="1625"/>
      <c r="S87" s="1625"/>
      <c r="T87" s="1625"/>
      <c r="U87" s="1625"/>
      <c r="V87" s="1625"/>
      <c r="W87" s="1625" t="str">
        <f ca="1">Calculos!EZ49</f>
        <v/>
      </c>
      <c r="X87" s="1625"/>
      <c r="Y87" s="1625"/>
      <c r="Z87" s="1625"/>
      <c r="AA87" s="1625"/>
      <c r="AB87" s="1625"/>
      <c r="AC87" s="1625"/>
      <c r="AD87" s="1625"/>
      <c r="AE87" s="1625"/>
      <c r="AF87" s="1625"/>
      <c r="AG87" s="1629" t="str">
        <f ca="1">Calculos!FA49</f>
        <v/>
      </c>
      <c r="AH87" s="1629"/>
      <c r="AI87" s="1629"/>
      <c r="AJ87" s="1629"/>
      <c r="AK87" s="1629" t="str">
        <f ca="1">Calculos!FB49</f>
        <v/>
      </c>
      <c r="AL87" s="1629"/>
      <c r="AM87" s="1629"/>
      <c r="AN87" s="1629"/>
      <c r="AO87" s="1629" t="str">
        <f ca="1">Calculos!FC49</f>
        <v/>
      </c>
      <c r="AP87" s="1629"/>
      <c r="AQ87" s="1629"/>
      <c r="AR87" s="1629"/>
    </row>
    <row r="88" spans="1:44" ht="21.2" customHeight="1" x14ac:dyDescent="0.2">
      <c r="A88" s="1615" t="str">
        <f ca="1">Calculos!EW50</f>
        <v>-</v>
      </c>
      <c r="B88" s="1615"/>
      <c r="C88" s="1615"/>
      <c r="D88" s="1615"/>
      <c r="E88" s="1606" t="str">
        <f ca="1">Calculos!EX50</f>
        <v/>
      </c>
      <c r="F88" s="1606"/>
      <c r="G88" s="1606"/>
      <c r="H88" s="1606"/>
      <c r="I88" s="1606"/>
      <c r="J88" s="1606"/>
      <c r="K88" s="1625" t="str">
        <f ca="1">Calculos!EY50</f>
        <v/>
      </c>
      <c r="L88" s="1625"/>
      <c r="M88" s="1625"/>
      <c r="N88" s="1625"/>
      <c r="O88" s="1625"/>
      <c r="P88" s="1625"/>
      <c r="Q88" s="1625"/>
      <c r="R88" s="1625"/>
      <c r="S88" s="1625"/>
      <c r="T88" s="1625"/>
      <c r="U88" s="1625"/>
      <c r="V88" s="1625"/>
      <c r="W88" s="1625" t="str">
        <f ca="1">Calculos!EZ50</f>
        <v/>
      </c>
      <c r="X88" s="1625"/>
      <c r="Y88" s="1625"/>
      <c r="Z88" s="1625"/>
      <c r="AA88" s="1625"/>
      <c r="AB88" s="1625"/>
      <c r="AC88" s="1625"/>
      <c r="AD88" s="1625"/>
      <c r="AE88" s="1625"/>
      <c r="AF88" s="1625"/>
      <c r="AG88" s="1629" t="str">
        <f ca="1">Calculos!FA50</f>
        <v/>
      </c>
      <c r="AH88" s="1629"/>
      <c r="AI88" s="1629"/>
      <c r="AJ88" s="1629"/>
      <c r="AK88" s="1629" t="str">
        <f ca="1">Calculos!FB50</f>
        <v/>
      </c>
      <c r="AL88" s="1629"/>
      <c r="AM88" s="1629"/>
      <c r="AN88" s="1629"/>
      <c r="AO88" s="1629" t="str">
        <f ca="1">Calculos!FC50</f>
        <v/>
      </c>
      <c r="AP88" s="1629"/>
      <c r="AQ88" s="1629"/>
      <c r="AR88" s="1629"/>
    </row>
    <row r="89" spans="1:44" ht="21.2" customHeight="1" x14ac:dyDescent="0.2">
      <c r="A89" s="1615" t="str">
        <f ca="1">Calculos!EW51</f>
        <v>-</v>
      </c>
      <c r="B89" s="1615"/>
      <c r="C89" s="1615"/>
      <c r="D89" s="1615"/>
      <c r="E89" s="1606" t="str">
        <f ca="1">Calculos!EX51</f>
        <v/>
      </c>
      <c r="F89" s="1606"/>
      <c r="G89" s="1606"/>
      <c r="H89" s="1606"/>
      <c r="I89" s="1606"/>
      <c r="J89" s="1606"/>
      <c r="K89" s="1625" t="str">
        <f ca="1">Calculos!EY51</f>
        <v/>
      </c>
      <c r="L89" s="1625"/>
      <c r="M89" s="1625"/>
      <c r="N89" s="1625"/>
      <c r="O89" s="1625"/>
      <c r="P89" s="1625"/>
      <c r="Q89" s="1625"/>
      <c r="R89" s="1625"/>
      <c r="S89" s="1625"/>
      <c r="T89" s="1625"/>
      <c r="U89" s="1625"/>
      <c r="V89" s="1625"/>
      <c r="W89" s="1625" t="str">
        <f ca="1">Calculos!EZ51</f>
        <v/>
      </c>
      <c r="X89" s="1625"/>
      <c r="Y89" s="1625"/>
      <c r="Z89" s="1625"/>
      <c r="AA89" s="1625"/>
      <c r="AB89" s="1625"/>
      <c r="AC89" s="1625"/>
      <c r="AD89" s="1625"/>
      <c r="AE89" s="1625"/>
      <c r="AF89" s="1625"/>
      <c r="AG89" s="1629" t="str">
        <f ca="1">Calculos!FA51</f>
        <v/>
      </c>
      <c r="AH89" s="1629"/>
      <c r="AI89" s="1629"/>
      <c r="AJ89" s="1629"/>
      <c r="AK89" s="1629" t="str">
        <f ca="1">Calculos!FB51</f>
        <v/>
      </c>
      <c r="AL89" s="1629"/>
      <c r="AM89" s="1629"/>
      <c r="AN89" s="1629"/>
      <c r="AO89" s="1629" t="str">
        <f ca="1">Calculos!FC51</f>
        <v/>
      </c>
      <c r="AP89" s="1629"/>
      <c r="AQ89" s="1629"/>
      <c r="AR89" s="1629"/>
    </row>
    <row r="90" spans="1:44" ht="21.2" customHeight="1" x14ac:dyDescent="0.2">
      <c r="A90" s="1615" t="str">
        <f ca="1">Calculos!EW52</f>
        <v>-</v>
      </c>
      <c r="B90" s="1615"/>
      <c r="C90" s="1615"/>
      <c r="D90" s="1615"/>
      <c r="E90" s="1606" t="str">
        <f ca="1">Calculos!EX52</f>
        <v/>
      </c>
      <c r="F90" s="1606"/>
      <c r="G90" s="1606"/>
      <c r="H90" s="1606"/>
      <c r="I90" s="1606"/>
      <c r="J90" s="1606"/>
      <c r="K90" s="1625" t="str">
        <f ca="1">Calculos!EY52</f>
        <v/>
      </c>
      <c r="L90" s="1625"/>
      <c r="M90" s="1625"/>
      <c r="N90" s="1625"/>
      <c r="O90" s="1625"/>
      <c r="P90" s="1625"/>
      <c r="Q90" s="1625"/>
      <c r="R90" s="1625"/>
      <c r="S90" s="1625"/>
      <c r="T90" s="1625"/>
      <c r="U90" s="1625"/>
      <c r="V90" s="1625"/>
      <c r="W90" s="1625" t="str">
        <f ca="1">Calculos!EZ52</f>
        <v/>
      </c>
      <c r="X90" s="1625"/>
      <c r="Y90" s="1625"/>
      <c r="Z90" s="1625"/>
      <c r="AA90" s="1625"/>
      <c r="AB90" s="1625"/>
      <c r="AC90" s="1625"/>
      <c r="AD90" s="1625"/>
      <c r="AE90" s="1625"/>
      <c r="AF90" s="1625"/>
      <c r="AG90" s="1629" t="str">
        <f ca="1">Calculos!FA52</f>
        <v/>
      </c>
      <c r="AH90" s="1629"/>
      <c r="AI90" s="1629"/>
      <c r="AJ90" s="1629"/>
      <c r="AK90" s="1629" t="str">
        <f ca="1">Calculos!FB52</f>
        <v/>
      </c>
      <c r="AL90" s="1629"/>
      <c r="AM90" s="1629"/>
      <c r="AN90" s="1629"/>
      <c r="AO90" s="1629" t="str">
        <f ca="1">Calculos!FC52</f>
        <v/>
      </c>
      <c r="AP90" s="1629"/>
      <c r="AQ90" s="1629"/>
      <c r="AR90" s="1629"/>
    </row>
    <row r="91" spans="1:44" ht="21.2" customHeight="1" x14ac:dyDescent="0.2">
      <c r="A91" s="1615" t="str">
        <f ca="1">Calculos!EW53</f>
        <v>-</v>
      </c>
      <c r="B91" s="1615"/>
      <c r="C91" s="1615"/>
      <c r="D91" s="1615"/>
      <c r="E91" s="1606" t="str">
        <f ca="1">Calculos!EX53</f>
        <v/>
      </c>
      <c r="F91" s="1606"/>
      <c r="G91" s="1606"/>
      <c r="H91" s="1606"/>
      <c r="I91" s="1606"/>
      <c r="J91" s="1606"/>
      <c r="K91" s="1625" t="str">
        <f ca="1">Calculos!EY53</f>
        <v/>
      </c>
      <c r="L91" s="1625"/>
      <c r="M91" s="1625"/>
      <c r="N91" s="1625"/>
      <c r="O91" s="1625"/>
      <c r="P91" s="1625"/>
      <c r="Q91" s="1625"/>
      <c r="R91" s="1625"/>
      <c r="S91" s="1625"/>
      <c r="T91" s="1625"/>
      <c r="U91" s="1625"/>
      <c r="V91" s="1625"/>
      <c r="W91" s="1625" t="str">
        <f ca="1">Calculos!EZ53</f>
        <v/>
      </c>
      <c r="X91" s="1625"/>
      <c r="Y91" s="1625"/>
      <c r="Z91" s="1625"/>
      <c r="AA91" s="1625"/>
      <c r="AB91" s="1625"/>
      <c r="AC91" s="1625"/>
      <c r="AD91" s="1625"/>
      <c r="AE91" s="1625"/>
      <c r="AF91" s="1625"/>
      <c r="AG91" s="1629" t="str">
        <f ca="1">Calculos!FA53</f>
        <v/>
      </c>
      <c r="AH91" s="1629"/>
      <c r="AI91" s="1629"/>
      <c r="AJ91" s="1629"/>
      <c r="AK91" s="1629" t="str">
        <f ca="1">Calculos!FB53</f>
        <v/>
      </c>
      <c r="AL91" s="1629"/>
      <c r="AM91" s="1629"/>
      <c r="AN91" s="1629"/>
      <c r="AO91" s="1629" t="str">
        <f ca="1">Calculos!FC53</f>
        <v/>
      </c>
      <c r="AP91" s="1629"/>
      <c r="AQ91" s="1629"/>
      <c r="AR91" s="1629"/>
    </row>
    <row r="92" spans="1:44" ht="21.2" customHeight="1" x14ac:dyDescent="0.2">
      <c r="A92" s="1615" t="str">
        <f ca="1">Calculos!EW54</f>
        <v>-</v>
      </c>
      <c r="B92" s="1615"/>
      <c r="C92" s="1615"/>
      <c r="D92" s="1615"/>
      <c r="E92" s="1606" t="str">
        <f ca="1">Calculos!EX54</f>
        <v/>
      </c>
      <c r="F92" s="1606"/>
      <c r="G92" s="1606"/>
      <c r="H92" s="1606"/>
      <c r="I92" s="1606"/>
      <c r="J92" s="1606"/>
      <c r="K92" s="1625" t="str">
        <f ca="1">Calculos!EY54</f>
        <v/>
      </c>
      <c r="L92" s="1625"/>
      <c r="M92" s="1625"/>
      <c r="N92" s="1625"/>
      <c r="O92" s="1625"/>
      <c r="P92" s="1625"/>
      <c r="Q92" s="1625"/>
      <c r="R92" s="1625"/>
      <c r="S92" s="1625"/>
      <c r="T92" s="1625"/>
      <c r="U92" s="1625"/>
      <c r="V92" s="1625"/>
      <c r="W92" s="1625" t="str">
        <f ca="1">Calculos!EZ54</f>
        <v/>
      </c>
      <c r="X92" s="1625"/>
      <c r="Y92" s="1625"/>
      <c r="Z92" s="1625"/>
      <c r="AA92" s="1625"/>
      <c r="AB92" s="1625"/>
      <c r="AC92" s="1625"/>
      <c r="AD92" s="1625"/>
      <c r="AE92" s="1625"/>
      <c r="AF92" s="1625"/>
      <c r="AG92" s="1629" t="str">
        <f ca="1">Calculos!FA54</f>
        <v/>
      </c>
      <c r="AH92" s="1629"/>
      <c r="AI92" s="1629"/>
      <c r="AJ92" s="1629"/>
      <c r="AK92" s="1629" t="str">
        <f ca="1">Calculos!FB54</f>
        <v/>
      </c>
      <c r="AL92" s="1629"/>
      <c r="AM92" s="1629"/>
      <c r="AN92" s="1629"/>
      <c r="AO92" s="1629" t="str">
        <f ca="1">Calculos!FC54</f>
        <v/>
      </c>
      <c r="AP92" s="1629"/>
      <c r="AQ92" s="1629"/>
      <c r="AR92" s="1629"/>
    </row>
    <row r="93" spans="1:44" ht="21.2" customHeight="1" x14ac:dyDescent="0.2">
      <c r="A93" s="1615" t="str">
        <f ca="1">Calculos!EW55</f>
        <v>-</v>
      </c>
      <c r="B93" s="1615"/>
      <c r="C93" s="1615"/>
      <c r="D93" s="1615"/>
      <c r="E93" s="1606" t="str">
        <f ca="1">Calculos!EX55</f>
        <v/>
      </c>
      <c r="F93" s="1606"/>
      <c r="G93" s="1606"/>
      <c r="H93" s="1606"/>
      <c r="I93" s="1606"/>
      <c r="J93" s="1606"/>
      <c r="K93" s="1625" t="str">
        <f ca="1">Calculos!EY55</f>
        <v/>
      </c>
      <c r="L93" s="1625"/>
      <c r="M93" s="1625"/>
      <c r="N93" s="1625"/>
      <c r="O93" s="1625"/>
      <c r="P93" s="1625"/>
      <c r="Q93" s="1625"/>
      <c r="R93" s="1625"/>
      <c r="S93" s="1625"/>
      <c r="T93" s="1625"/>
      <c r="U93" s="1625"/>
      <c r="V93" s="1625"/>
      <c r="W93" s="1625" t="str">
        <f ca="1">Calculos!EZ55</f>
        <v/>
      </c>
      <c r="X93" s="1625"/>
      <c r="Y93" s="1625"/>
      <c r="Z93" s="1625"/>
      <c r="AA93" s="1625"/>
      <c r="AB93" s="1625"/>
      <c r="AC93" s="1625"/>
      <c r="AD93" s="1625"/>
      <c r="AE93" s="1625"/>
      <c r="AF93" s="1625"/>
      <c r="AG93" s="1629" t="str">
        <f ca="1">Calculos!FA55</f>
        <v/>
      </c>
      <c r="AH93" s="1629"/>
      <c r="AI93" s="1629"/>
      <c r="AJ93" s="1629"/>
      <c r="AK93" s="1629" t="str">
        <f ca="1">Calculos!FB55</f>
        <v/>
      </c>
      <c r="AL93" s="1629"/>
      <c r="AM93" s="1629"/>
      <c r="AN93" s="1629"/>
      <c r="AO93" s="1629" t="str">
        <f ca="1">Calculos!FC55</f>
        <v/>
      </c>
      <c r="AP93" s="1629"/>
      <c r="AQ93" s="1629"/>
      <c r="AR93" s="1629"/>
    </row>
    <row r="94" spans="1:44" ht="21.2" customHeight="1" x14ac:dyDescent="0.2">
      <c r="A94" s="1615" t="str">
        <f ca="1">Calculos!EW56</f>
        <v>-</v>
      </c>
      <c r="B94" s="1615"/>
      <c r="C94" s="1615"/>
      <c r="D94" s="1615"/>
      <c r="E94" s="1606" t="str">
        <f ca="1">Calculos!EX56</f>
        <v/>
      </c>
      <c r="F94" s="1606"/>
      <c r="G94" s="1606"/>
      <c r="H94" s="1606"/>
      <c r="I94" s="1606"/>
      <c r="J94" s="1606"/>
      <c r="K94" s="1625" t="str">
        <f ca="1">Calculos!EY56</f>
        <v/>
      </c>
      <c r="L94" s="1625"/>
      <c r="M94" s="1625"/>
      <c r="N94" s="1625"/>
      <c r="O94" s="1625"/>
      <c r="P94" s="1625"/>
      <c r="Q94" s="1625"/>
      <c r="R94" s="1625"/>
      <c r="S94" s="1625"/>
      <c r="T94" s="1625"/>
      <c r="U94" s="1625"/>
      <c r="V94" s="1625"/>
      <c r="W94" s="1625" t="str">
        <f ca="1">Calculos!EZ56</f>
        <v/>
      </c>
      <c r="X94" s="1625"/>
      <c r="Y94" s="1625"/>
      <c r="Z94" s="1625"/>
      <c r="AA94" s="1625"/>
      <c r="AB94" s="1625"/>
      <c r="AC94" s="1625"/>
      <c r="AD94" s="1625"/>
      <c r="AE94" s="1625"/>
      <c r="AF94" s="1625"/>
      <c r="AG94" s="1629" t="str">
        <f ca="1">Calculos!FA56</f>
        <v/>
      </c>
      <c r="AH94" s="1629"/>
      <c r="AI94" s="1629"/>
      <c r="AJ94" s="1629"/>
      <c r="AK94" s="1629" t="str">
        <f ca="1">Calculos!FB56</f>
        <v/>
      </c>
      <c r="AL94" s="1629"/>
      <c r="AM94" s="1629"/>
      <c r="AN94" s="1629"/>
      <c r="AO94" s="1629" t="str">
        <f ca="1">Calculos!FC56</f>
        <v/>
      </c>
      <c r="AP94" s="1629"/>
      <c r="AQ94" s="1629"/>
      <c r="AR94" s="1629"/>
    </row>
    <row r="95" spans="1:44" ht="21.2" customHeight="1" x14ac:dyDescent="0.2">
      <c r="A95" s="1615" t="str">
        <f ca="1">Calculos!EW57</f>
        <v>-</v>
      </c>
      <c r="B95" s="1615"/>
      <c r="C95" s="1615"/>
      <c r="D95" s="1615"/>
      <c r="E95" s="1606" t="str">
        <f ca="1">Calculos!EX57</f>
        <v/>
      </c>
      <c r="F95" s="1606"/>
      <c r="G95" s="1606"/>
      <c r="H95" s="1606"/>
      <c r="I95" s="1606"/>
      <c r="J95" s="1606"/>
      <c r="K95" s="1625" t="str">
        <f ca="1">Calculos!EY57</f>
        <v/>
      </c>
      <c r="L95" s="1625"/>
      <c r="M95" s="1625"/>
      <c r="N95" s="1625"/>
      <c r="O95" s="1625"/>
      <c r="P95" s="1625"/>
      <c r="Q95" s="1625"/>
      <c r="R95" s="1625"/>
      <c r="S95" s="1625"/>
      <c r="T95" s="1625"/>
      <c r="U95" s="1625"/>
      <c r="V95" s="1625"/>
      <c r="W95" s="1625" t="str">
        <f ca="1">Calculos!EZ57</f>
        <v/>
      </c>
      <c r="X95" s="1625"/>
      <c r="Y95" s="1625"/>
      <c r="Z95" s="1625"/>
      <c r="AA95" s="1625"/>
      <c r="AB95" s="1625"/>
      <c r="AC95" s="1625"/>
      <c r="AD95" s="1625"/>
      <c r="AE95" s="1625"/>
      <c r="AF95" s="1625"/>
      <c r="AG95" s="1629" t="str">
        <f ca="1">Calculos!FA57</f>
        <v/>
      </c>
      <c r="AH95" s="1629"/>
      <c r="AI95" s="1629"/>
      <c r="AJ95" s="1629"/>
      <c r="AK95" s="1629" t="str">
        <f ca="1">Calculos!FB57</f>
        <v/>
      </c>
      <c r="AL95" s="1629"/>
      <c r="AM95" s="1629"/>
      <c r="AN95" s="1629"/>
      <c r="AO95" s="1629" t="str">
        <f ca="1">Calculos!FC57</f>
        <v/>
      </c>
      <c r="AP95" s="1629"/>
      <c r="AQ95" s="1629"/>
      <c r="AR95" s="1629"/>
    </row>
    <row r="96" spans="1:44" ht="21.2" customHeight="1" x14ac:dyDescent="0.2">
      <c r="A96" s="1615" t="str">
        <f ca="1">Calculos!EW58</f>
        <v>-</v>
      </c>
      <c r="B96" s="1615"/>
      <c r="C96" s="1615"/>
      <c r="D96" s="1615"/>
      <c r="E96" s="1606" t="str">
        <f ca="1">Calculos!EX58</f>
        <v/>
      </c>
      <c r="F96" s="1606"/>
      <c r="G96" s="1606"/>
      <c r="H96" s="1606"/>
      <c r="I96" s="1606"/>
      <c r="J96" s="1606"/>
      <c r="K96" s="1625" t="str">
        <f ca="1">Calculos!EY58</f>
        <v/>
      </c>
      <c r="L96" s="1625"/>
      <c r="M96" s="1625"/>
      <c r="N96" s="1625"/>
      <c r="O96" s="1625"/>
      <c r="P96" s="1625"/>
      <c r="Q96" s="1625"/>
      <c r="R96" s="1625"/>
      <c r="S96" s="1625"/>
      <c r="T96" s="1625"/>
      <c r="U96" s="1625"/>
      <c r="V96" s="1625"/>
      <c r="W96" s="1625" t="str">
        <f ca="1">Calculos!EZ58</f>
        <v/>
      </c>
      <c r="X96" s="1625"/>
      <c r="Y96" s="1625"/>
      <c r="Z96" s="1625"/>
      <c r="AA96" s="1625"/>
      <c r="AB96" s="1625"/>
      <c r="AC96" s="1625"/>
      <c r="AD96" s="1625"/>
      <c r="AE96" s="1625"/>
      <c r="AF96" s="1625"/>
      <c r="AG96" s="1629" t="str">
        <f ca="1">Calculos!FA58</f>
        <v/>
      </c>
      <c r="AH96" s="1629"/>
      <c r="AI96" s="1629"/>
      <c r="AJ96" s="1629"/>
      <c r="AK96" s="1629" t="str">
        <f ca="1">Calculos!FB58</f>
        <v/>
      </c>
      <c r="AL96" s="1629"/>
      <c r="AM96" s="1629"/>
      <c r="AN96" s="1629"/>
      <c r="AO96" s="1629" t="str">
        <f ca="1">Calculos!FC58</f>
        <v/>
      </c>
      <c r="AP96" s="1629"/>
      <c r="AQ96" s="1629"/>
      <c r="AR96" s="1629"/>
    </row>
    <row r="97" spans="1:44" ht="21.2" customHeight="1" x14ac:dyDescent="0.2">
      <c r="A97" s="1615" t="str">
        <f ca="1">Calculos!EW59</f>
        <v>-</v>
      </c>
      <c r="B97" s="1615"/>
      <c r="C97" s="1615"/>
      <c r="D97" s="1615"/>
      <c r="E97" s="1606" t="str">
        <f ca="1">Calculos!EX59</f>
        <v/>
      </c>
      <c r="F97" s="1606"/>
      <c r="G97" s="1606"/>
      <c r="H97" s="1606"/>
      <c r="I97" s="1606"/>
      <c r="J97" s="1606"/>
      <c r="K97" s="1625" t="str">
        <f ca="1">Calculos!EY59</f>
        <v/>
      </c>
      <c r="L97" s="1625"/>
      <c r="M97" s="1625"/>
      <c r="N97" s="1625"/>
      <c r="O97" s="1625"/>
      <c r="P97" s="1625"/>
      <c r="Q97" s="1625"/>
      <c r="R97" s="1625"/>
      <c r="S97" s="1625"/>
      <c r="T97" s="1625"/>
      <c r="U97" s="1625"/>
      <c r="V97" s="1625"/>
      <c r="W97" s="1625" t="str">
        <f ca="1">Calculos!EZ59</f>
        <v/>
      </c>
      <c r="X97" s="1625"/>
      <c r="Y97" s="1625"/>
      <c r="Z97" s="1625"/>
      <c r="AA97" s="1625"/>
      <c r="AB97" s="1625"/>
      <c r="AC97" s="1625"/>
      <c r="AD97" s="1625"/>
      <c r="AE97" s="1625"/>
      <c r="AF97" s="1625"/>
      <c r="AG97" s="1629" t="str">
        <f ca="1">Calculos!FA59</f>
        <v/>
      </c>
      <c r="AH97" s="1629"/>
      <c r="AI97" s="1629"/>
      <c r="AJ97" s="1629"/>
      <c r="AK97" s="1629" t="str">
        <f ca="1">Calculos!FB59</f>
        <v/>
      </c>
      <c r="AL97" s="1629"/>
      <c r="AM97" s="1629"/>
      <c r="AN97" s="1629"/>
      <c r="AO97" s="1629" t="str">
        <f ca="1">Calculos!FC59</f>
        <v/>
      </c>
      <c r="AP97" s="1629"/>
      <c r="AQ97" s="1629"/>
      <c r="AR97" s="1629"/>
    </row>
    <row r="98" spans="1:44" ht="21.2" customHeight="1" x14ac:dyDescent="0.2">
      <c r="A98" s="1615" t="str">
        <f ca="1">Calculos!EW60</f>
        <v>-</v>
      </c>
      <c r="B98" s="1615"/>
      <c r="C98" s="1615"/>
      <c r="D98" s="1615"/>
      <c r="E98" s="1606" t="str">
        <f ca="1">Calculos!EX60</f>
        <v/>
      </c>
      <c r="F98" s="1606"/>
      <c r="G98" s="1606"/>
      <c r="H98" s="1606"/>
      <c r="I98" s="1606"/>
      <c r="J98" s="1606"/>
      <c r="K98" s="1625" t="str">
        <f ca="1">Calculos!EY60</f>
        <v/>
      </c>
      <c r="L98" s="1625"/>
      <c r="M98" s="1625"/>
      <c r="N98" s="1625"/>
      <c r="O98" s="1625"/>
      <c r="P98" s="1625"/>
      <c r="Q98" s="1625"/>
      <c r="R98" s="1625"/>
      <c r="S98" s="1625"/>
      <c r="T98" s="1625"/>
      <c r="U98" s="1625"/>
      <c r="V98" s="1625"/>
      <c r="W98" s="1625" t="str">
        <f ca="1">Calculos!EZ60</f>
        <v/>
      </c>
      <c r="X98" s="1625"/>
      <c r="Y98" s="1625"/>
      <c r="Z98" s="1625"/>
      <c r="AA98" s="1625"/>
      <c r="AB98" s="1625"/>
      <c r="AC98" s="1625"/>
      <c r="AD98" s="1625"/>
      <c r="AE98" s="1625"/>
      <c r="AF98" s="1625"/>
      <c r="AG98" s="1629" t="str">
        <f ca="1">Calculos!FA60</f>
        <v/>
      </c>
      <c r="AH98" s="1629"/>
      <c r="AI98" s="1629"/>
      <c r="AJ98" s="1629"/>
      <c r="AK98" s="1629" t="str">
        <f ca="1">Calculos!FB60</f>
        <v/>
      </c>
      <c r="AL98" s="1629"/>
      <c r="AM98" s="1629"/>
      <c r="AN98" s="1629"/>
      <c r="AO98" s="1629" t="str">
        <f ca="1">Calculos!FC60</f>
        <v/>
      </c>
      <c r="AP98" s="1629"/>
      <c r="AQ98" s="1629"/>
      <c r="AR98" s="1629"/>
    </row>
    <row r="99" spans="1:44" ht="21.2" customHeight="1" x14ac:dyDescent="0.2">
      <c r="A99" s="1615" t="str">
        <f ca="1">Calculos!EW61</f>
        <v>-</v>
      </c>
      <c r="B99" s="1615"/>
      <c r="C99" s="1615"/>
      <c r="D99" s="1615"/>
      <c r="E99" s="1606" t="str">
        <f ca="1">Calculos!EX61</f>
        <v/>
      </c>
      <c r="F99" s="1606"/>
      <c r="G99" s="1606"/>
      <c r="H99" s="1606"/>
      <c r="I99" s="1606"/>
      <c r="J99" s="1606"/>
      <c r="K99" s="1625" t="str">
        <f ca="1">Calculos!EY61</f>
        <v/>
      </c>
      <c r="L99" s="1625"/>
      <c r="M99" s="1625"/>
      <c r="N99" s="1625"/>
      <c r="O99" s="1625"/>
      <c r="P99" s="1625"/>
      <c r="Q99" s="1625"/>
      <c r="R99" s="1625"/>
      <c r="S99" s="1625"/>
      <c r="T99" s="1625"/>
      <c r="U99" s="1625"/>
      <c r="V99" s="1625"/>
      <c r="W99" s="1625" t="str">
        <f ca="1">Calculos!EZ61</f>
        <v/>
      </c>
      <c r="X99" s="1625"/>
      <c r="Y99" s="1625"/>
      <c r="Z99" s="1625"/>
      <c r="AA99" s="1625"/>
      <c r="AB99" s="1625"/>
      <c r="AC99" s="1625"/>
      <c r="AD99" s="1625"/>
      <c r="AE99" s="1625"/>
      <c r="AF99" s="1625"/>
      <c r="AG99" s="1629" t="str">
        <f ca="1">Calculos!FA61</f>
        <v/>
      </c>
      <c r="AH99" s="1629"/>
      <c r="AI99" s="1629"/>
      <c r="AJ99" s="1629"/>
      <c r="AK99" s="1629" t="str">
        <f ca="1">Calculos!FB61</f>
        <v/>
      </c>
      <c r="AL99" s="1629"/>
      <c r="AM99" s="1629"/>
      <c r="AN99" s="1629"/>
      <c r="AO99" s="1629" t="str">
        <f ca="1">Calculos!FC61</f>
        <v/>
      </c>
      <c r="AP99" s="1629"/>
      <c r="AQ99" s="1629"/>
      <c r="AR99" s="1629"/>
    </row>
    <row r="100" spans="1:44" ht="21.2" customHeight="1" x14ac:dyDescent="0.2">
      <c r="A100" s="1615" t="str">
        <f ca="1">Calculos!EW62</f>
        <v>-</v>
      </c>
      <c r="B100" s="1615"/>
      <c r="C100" s="1615"/>
      <c r="D100" s="1615"/>
      <c r="E100" s="1606" t="str">
        <f ca="1">Calculos!EX62</f>
        <v/>
      </c>
      <c r="F100" s="1606"/>
      <c r="G100" s="1606"/>
      <c r="H100" s="1606"/>
      <c r="I100" s="1606"/>
      <c r="J100" s="1606"/>
      <c r="K100" s="1625" t="str">
        <f ca="1">Calculos!EY62</f>
        <v/>
      </c>
      <c r="L100" s="1625"/>
      <c r="M100" s="1625"/>
      <c r="N100" s="1625"/>
      <c r="O100" s="1625"/>
      <c r="P100" s="1625"/>
      <c r="Q100" s="1625"/>
      <c r="R100" s="1625"/>
      <c r="S100" s="1625"/>
      <c r="T100" s="1625"/>
      <c r="U100" s="1625"/>
      <c r="V100" s="1625"/>
      <c r="W100" s="1625" t="str">
        <f ca="1">Calculos!EZ62</f>
        <v/>
      </c>
      <c r="X100" s="1625"/>
      <c r="Y100" s="1625"/>
      <c r="Z100" s="1625"/>
      <c r="AA100" s="1625"/>
      <c r="AB100" s="1625"/>
      <c r="AC100" s="1625"/>
      <c r="AD100" s="1625"/>
      <c r="AE100" s="1625"/>
      <c r="AF100" s="1625"/>
      <c r="AG100" s="1629" t="str">
        <f ca="1">Calculos!FA62</f>
        <v/>
      </c>
      <c r="AH100" s="1629"/>
      <c r="AI100" s="1629"/>
      <c r="AJ100" s="1629"/>
      <c r="AK100" s="1629" t="str">
        <f ca="1">Calculos!FB62</f>
        <v/>
      </c>
      <c r="AL100" s="1629"/>
      <c r="AM100" s="1629"/>
      <c r="AN100" s="1629"/>
      <c r="AO100" s="1629" t="str">
        <f ca="1">Calculos!FC62</f>
        <v/>
      </c>
      <c r="AP100" s="1629"/>
      <c r="AQ100" s="1629"/>
      <c r="AR100" s="1629"/>
    </row>
    <row r="101" spans="1:44" ht="21.2" customHeight="1" x14ac:dyDescent="0.2">
      <c r="A101" s="1615" t="str">
        <f ca="1">Calculos!EW63</f>
        <v>-</v>
      </c>
      <c r="B101" s="1615"/>
      <c r="C101" s="1615"/>
      <c r="D101" s="1615"/>
      <c r="E101" s="1606" t="str">
        <f ca="1">Calculos!EX63</f>
        <v/>
      </c>
      <c r="F101" s="1606"/>
      <c r="G101" s="1606"/>
      <c r="H101" s="1606"/>
      <c r="I101" s="1606"/>
      <c r="J101" s="1606"/>
      <c r="K101" s="1625" t="str">
        <f ca="1">Calculos!EY63</f>
        <v/>
      </c>
      <c r="L101" s="1625"/>
      <c r="M101" s="1625"/>
      <c r="N101" s="1625"/>
      <c r="O101" s="1625"/>
      <c r="P101" s="1625"/>
      <c r="Q101" s="1625"/>
      <c r="R101" s="1625"/>
      <c r="S101" s="1625"/>
      <c r="T101" s="1625"/>
      <c r="U101" s="1625"/>
      <c r="V101" s="1625"/>
      <c r="W101" s="1625" t="str">
        <f ca="1">Calculos!EZ63</f>
        <v/>
      </c>
      <c r="X101" s="1625"/>
      <c r="Y101" s="1625"/>
      <c r="Z101" s="1625"/>
      <c r="AA101" s="1625"/>
      <c r="AB101" s="1625"/>
      <c r="AC101" s="1625"/>
      <c r="AD101" s="1625"/>
      <c r="AE101" s="1625"/>
      <c r="AF101" s="1625"/>
      <c r="AG101" s="1629" t="str">
        <f ca="1">Calculos!FA63</f>
        <v/>
      </c>
      <c r="AH101" s="1629"/>
      <c r="AI101" s="1629"/>
      <c r="AJ101" s="1629"/>
      <c r="AK101" s="1629" t="str">
        <f ca="1">Calculos!FB63</f>
        <v/>
      </c>
      <c r="AL101" s="1629"/>
      <c r="AM101" s="1629"/>
      <c r="AN101" s="1629"/>
      <c r="AO101" s="1629" t="str">
        <f ca="1">Calculos!FC63</f>
        <v/>
      </c>
      <c r="AP101" s="1629"/>
      <c r="AQ101" s="1629"/>
      <c r="AR101" s="1629"/>
    </row>
    <row r="102" spans="1:44" ht="21.2" customHeight="1" x14ac:dyDescent="0.2">
      <c r="A102" s="1615" t="str">
        <f ca="1">Calculos!EW64</f>
        <v>-</v>
      </c>
      <c r="B102" s="1615"/>
      <c r="C102" s="1615"/>
      <c r="D102" s="1615"/>
      <c r="E102" s="1606" t="str">
        <f ca="1">Calculos!EX64</f>
        <v/>
      </c>
      <c r="F102" s="1606"/>
      <c r="G102" s="1606"/>
      <c r="H102" s="1606"/>
      <c r="I102" s="1606"/>
      <c r="J102" s="1606"/>
      <c r="K102" s="1625" t="str">
        <f ca="1">Calculos!EY64</f>
        <v/>
      </c>
      <c r="L102" s="1625"/>
      <c r="M102" s="1625"/>
      <c r="N102" s="1625"/>
      <c r="O102" s="1625"/>
      <c r="P102" s="1625"/>
      <c r="Q102" s="1625"/>
      <c r="R102" s="1625"/>
      <c r="S102" s="1625"/>
      <c r="T102" s="1625"/>
      <c r="U102" s="1625"/>
      <c r="V102" s="1625"/>
      <c r="W102" s="1625" t="str">
        <f ca="1">Calculos!EZ64</f>
        <v/>
      </c>
      <c r="X102" s="1625"/>
      <c r="Y102" s="1625"/>
      <c r="Z102" s="1625"/>
      <c r="AA102" s="1625"/>
      <c r="AB102" s="1625"/>
      <c r="AC102" s="1625"/>
      <c r="AD102" s="1625"/>
      <c r="AE102" s="1625"/>
      <c r="AF102" s="1625"/>
      <c r="AG102" s="1629" t="str">
        <f ca="1">Calculos!FA64</f>
        <v/>
      </c>
      <c r="AH102" s="1629"/>
      <c r="AI102" s="1629"/>
      <c r="AJ102" s="1629"/>
      <c r="AK102" s="1629" t="str">
        <f ca="1">Calculos!FB64</f>
        <v/>
      </c>
      <c r="AL102" s="1629"/>
      <c r="AM102" s="1629"/>
      <c r="AN102" s="1629"/>
      <c r="AO102" s="1629" t="str">
        <f ca="1">Calculos!FC64</f>
        <v/>
      </c>
      <c r="AP102" s="1629"/>
      <c r="AQ102" s="1629"/>
      <c r="AR102" s="1629"/>
    </row>
    <row r="103" spans="1:44" ht="21.2" customHeight="1" x14ac:dyDescent="0.2">
      <c r="A103" s="1615" t="str">
        <f ca="1">Calculos!EW65</f>
        <v>-</v>
      </c>
      <c r="B103" s="1615"/>
      <c r="C103" s="1615"/>
      <c r="D103" s="1615"/>
      <c r="E103" s="1606" t="str">
        <f ca="1">Calculos!EX65</f>
        <v/>
      </c>
      <c r="F103" s="1606"/>
      <c r="G103" s="1606"/>
      <c r="H103" s="1606"/>
      <c r="I103" s="1606"/>
      <c r="J103" s="1606"/>
      <c r="K103" s="1625" t="str">
        <f ca="1">Calculos!EY65</f>
        <v/>
      </c>
      <c r="L103" s="1625"/>
      <c r="M103" s="1625"/>
      <c r="N103" s="1625"/>
      <c r="O103" s="1625"/>
      <c r="P103" s="1625"/>
      <c r="Q103" s="1625"/>
      <c r="R103" s="1625"/>
      <c r="S103" s="1625"/>
      <c r="T103" s="1625"/>
      <c r="U103" s="1625"/>
      <c r="V103" s="1625"/>
      <c r="W103" s="1625" t="str">
        <f ca="1">Calculos!EZ65</f>
        <v/>
      </c>
      <c r="X103" s="1625"/>
      <c r="Y103" s="1625"/>
      <c r="Z103" s="1625"/>
      <c r="AA103" s="1625"/>
      <c r="AB103" s="1625"/>
      <c r="AC103" s="1625"/>
      <c r="AD103" s="1625"/>
      <c r="AE103" s="1625"/>
      <c r="AF103" s="1625"/>
      <c r="AG103" s="1629" t="str">
        <f ca="1">Calculos!FA65</f>
        <v/>
      </c>
      <c r="AH103" s="1629"/>
      <c r="AI103" s="1629"/>
      <c r="AJ103" s="1629"/>
      <c r="AK103" s="1629" t="str">
        <f ca="1">Calculos!FB65</f>
        <v/>
      </c>
      <c r="AL103" s="1629"/>
      <c r="AM103" s="1629"/>
      <c r="AN103" s="1629"/>
      <c r="AO103" s="1629" t="str">
        <f ca="1">Calculos!FC65</f>
        <v/>
      </c>
      <c r="AP103" s="1629"/>
      <c r="AQ103" s="1629"/>
      <c r="AR103" s="1629"/>
    </row>
    <row r="104" spans="1:44" ht="21.2" customHeight="1" x14ac:dyDescent="0.2">
      <c r="A104" s="1615" t="str">
        <f ca="1">Calculos!EW66</f>
        <v>-</v>
      </c>
      <c r="B104" s="1615"/>
      <c r="C104" s="1615"/>
      <c r="D104" s="1615"/>
      <c r="E104" s="1606" t="str">
        <f ca="1">Calculos!EX66</f>
        <v/>
      </c>
      <c r="F104" s="1606"/>
      <c r="G104" s="1606"/>
      <c r="H104" s="1606"/>
      <c r="I104" s="1606"/>
      <c r="J104" s="1606"/>
      <c r="K104" s="1625" t="str">
        <f ca="1">Calculos!EY66</f>
        <v/>
      </c>
      <c r="L104" s="1625"/>
      <c r="M104" s="1625"/>
      <c r="N104" s="1625"/>
      <c r="O104" s="1625"/>
      <c r="P104" s="1625"/>
      <c r="Q104" s="1625"/>
      <c r="R104" s="1625"/>
      <c r="S104" s="1625"/>
      <c r="T104" s="1625"/>
      <c r="U104" s="1625"/>
      <c r="V104" s="1625"/>
      <c r="W104" s="1625" t="str">
        <f ca="1">Calculos!EZ66</f>
        <v/>
      </c>
      <c r="X104" s="1625"/>
      <c r="Y104" s="1625"/>
      <c r="Z104" s="1625"/>
      <c r="AA104" s="1625"/>
      <c r="AB104" s="1625"/>
      <c r="AC104" s="1625"/>
      <c r="AD104" s="1625"/>
      <c r="AE104" s="1625"/>
      <c r="AF104" s="1625"/>
      <c r="AG104" s="1629" t="str">
        <f ca="1">Calculos!FA66</f>
        <v/>
      </c>
      <c r="AH104" s="1629"/>
      <c r="AI104" s="1629"/>
      <c r="AJ104" s="1629"/>
      <c r="AK104" s="1629" t="str">
        <f ca="1">Calculos!FB66</f>
        <v/>
      </c>
      <c r="AL104" s="1629"/>
      <c r="AM104" s="1629"/>
      <c r="AN104" s="1629"/>
      <c r="AO104" s="1629" t="str">
        <f ca="1">Calculos!FC66</f>
        <v/>
      </c>
      <c r="AP104" s="1629"/>
      <c r="AQ104" s="1629"/>
      <c r="AR104" s="1629"/>
    </row>
    <row r="105" spans="1:44" ht="21.2" customHeight="1" x14ac:dyDescent="0.2">
      <c r="A105" s="1615" t="str">
        <f ca="1">Calculos!EW67</f>
        <v>-</v>
      </c>
      <c r="B105" s="1615"/>
      <c r="C105" s="1615"/>
      <c r="D105" s="1615"/>
      <c r="E105" s="1606" t="str">
        <f ca="1">Calculos!EX67</f>
        <v/>
      </c>
      <c r="F105" s="1606"/>
      <c r="G105" s="1606"/>
      <c r="H105" s="1606"/>
      <c r="I105" s="1606"/>
      <c r="J105" s="1606"/>
      <c r="K105" s="1625" t="str">
        <f ca="1">Calculos!EY67</f>
        <v/>
      </c>
      <c r="L105" s="1625"/>
      <c r="M105" s="1625"/>
      <c r="N105" s="1625"/>
      <c r="O105" s="1625"/>
      <c r="P105" s="1625"/>
      <c r="Q105" s="1625"/>
      <c r="R105" s="1625"/>
      <c r="S105" s="1625"/>
      <c r="T105" s="1625"/>
      <c r="U105" s="1625"/>
      <c r="V105" s="1625"/>
      <c r="W105" s="1625" t="str">
        <f ca="1">Calculos!EZ67</f>
        <v/>
      </c>
      <c r="X105" s="1625"/>
      <c r="Y105" s="1625"/>
      <c r="Z105" s="1625"/>
      <c r="AA105" s="1625"/>
      <c r="AB105" s="1625"/>
      <c r="AC105" s="1625"/>
      <c r="AD105" s="1625"/>
      <c r="AE105" s="1625"/>
      <c r="AF105" s="1625"/>
      <c r="AG105" s="1629" t="str">
        <f ca="1">Calculos!FA67</f>
        <v/>
      </c>
      <c r="AH105" s="1629"/>
      <c r="AI105" s="1629"/>
      <c r="AJ105" s="1629"/>
      <c r="AK105" s="1629" t="str">
        <f ca="1">Calculos!FB67</f>
        <v/>
      </c>
      <c r="AL105" s="1629"/>
      <c r="AM105" s="1629"/>
      <c r="AN105" s="1629"/>
      <c r="AO105" s="1629" t="str">
        <f ca="1">Calculos!FC67</f>
        <v/>
      </c>
      <c r="AP105" s="1629"/>
      <c r="AQ105" s="1629"/>
      <c r="AR105" s="1629"/>
    </row>
    <row r="106" spans="1:44" ht="21.2" customHeight="1" x14ac:dyDescent="0.2">
      <c r="A106" s="1615" t="str">
        <f ca="1">Calculos!EW68</f>
        <v>-</v>
      </c>
      <c r="B106" s="1615"/>
      <c r="C106" s="1615"/>
      <c r="D106" s="1615"/>
      <c r="E106" s="1606" t="str">
        <f ca="1">Calculos!EX68</f>
        <v/>
      </c>
      <c r="F106" s="1606"/>
      <c r="G106" s="1606"/>
      <c r="H106" s="1606"/>
      <c r="I106" s="1606"/>
      <c r="J106" s="1606"/>
      <c r="K106" s="1625" t="str">
        <f ca="1">Calculos!EY68</f>
        <v/>
      </c>
      <c r="L106" s="1625"/>
      <c r="M106" s="1625"/>
      <c r="N106" s="1625"/>
      <c r="O106" s="1625"/>
      <c r="P106" s="1625"/>
      <c r="Q106" s="1625"/>
      <c r="R106" s="1625"/>
      <c r="S106" s="1625"/>
      <c r="T106" s="1625"/>
      <c r="U106" s="1625"/>
      <c r="V106" s="1625"/>
      <c r="W106" s="1625" t="str">
        <f ca="1">Calculos!EZ68</f>
        <v/>
      </c>
      <c r="X106" s="1625"/>
      <c r="Y106" s="1625"/>
      <c r="Z106" s="1625"/>
      <c r="AA106" s="1625"/>
      <c r="AB106" s="1625"/>
      <c r="AC106" s="1625"/>
      <c r="AD106" s="1625"/>
      <c r="AE106" s="1625"/>
      <c r="AF106" s="1625"/>
      <c r="AG106" s="1629" t="str">
        <f ca="1">Calculos!FA68</f>
        <v/>
      </c>
      <c r="AH106" s="1629"/>
      <c r="AI106" s="1629"/>
      <c r="AJ106" s="1629"/>
      <c r="AK106" s="1629" t="str">
        <f ca="1">Calculos!FB68</f>
        <v/>
      </c>
      <c r="AL106" s="1629"/>
      <c r="AM106" s="1629"/>
      <c r="AN106" s="1629"/>
      <c r="AO106" s="1629" t="str">
        <f ca="1">Calculos!FC68</f>
        <v/>
      </c>
      <c r="AP106" s="1629"/>
      <c r="AQ106" s="1629"/>
      <c r="AR106" s="1629"/>
    </row>
    <row r="107" spans="1:44" ht="21.2" customHeight="1" x14ac:dyDescent="0.2">
      <c r="A107" s="1615" t="str">
        <f ca="1">Calculos!EW69</f>
        <v>-</v>
      </c>
      <c r="B107" s="1615"/>
      <c r="C107" s="1615"/>
      <c r="D107" s="1615"/>
      <c r="E107" s="1606" t="str">
        <f ca="1">Calculos!EX69</f>
        <v/>
      </c>
      <c r="F107" s="1606"/>
      <c r="G107" s="1606"/>
      <c r="H107" s="1606"/>
      <c r="I107" s="1606"/>
      <c r="J107" s="1606"/>
      <c r="K107" s="1625" t="str">
        <f ca="1">Calculos!EY69</f>
        <v/>
      </c>
      <c r="L107" s="1625"/>
      <c r="M107" s="1625"/>
      <c r="N107" s="1625"/>
      <c r="O107" s="1625"/>
      <c r="P107" s="1625"/>
      <c r="Q107" s="1625"/>
      <c r="R107" s="1625"/>
      <c r="S107" s="1625"/>
      <c r="T107" s="1625"/>
      <c r="U107" s="1625"/>
      <c r="V107" s="1625"/>
      <c r="W107" s="1625" t="str">
        <f ca="1">Calculos!EZ69</f>
        <v/>
      </c>
      <c r="X107" s="1625"/>
      <c r="Y107" s="1625"/>
      <c r="Z107" s="1625"/>
      <c r="AA107" s="1625"/>
      <c r="AB107" s="1625"/>
      <c r="AC107" s="1625"/>
      <c r="AD107" s="1625"/>
      <c r="AE107" s="1625"/>
      <c r="AF107" s="1625"/>
      <c r="AG107" s="1629" t="str">
        <f ca="1">Calculos!FA69</f>
        <v/>
      </c>
      <c r="AH107" s="1629"/>
      <c r="AI107" s="1629"/>
      <c r="AJ107" s="1629"/>
      <c r="AK107" s="1629" t="str">
        <f ca="1">Calculos!FB69</f>
        <v/>
      </c>
      <c r="AL107" s="1629"/>
      <c r="AM107" s="1629"/>
      <c r="AN107" s="1629"/>
      <c r="AO107" s="1629" t="str">
        <f ca="1">Calculos!FC69</f>
        <v/>
      </c>
      <c r="AP107" s="1629"/>
      <c r="AQ107" s="1629"/>
      <c r="AR107" s="1629"/>
    </row>
    <row r="108" spans="1:44" ht="21.2" customHeight="1" x14ac:dyDescent="0.2">
      <c r="A108" s="1615" t="str">
        <f ca="1">Calculos!EW70</f>
        <v>-</v>
      </c>
      <c r="B108" s="1615"/>
      <c r="C108" s="1615"/>
      <c r="D108" s="1615"/>
      <c r="E108" s="1606" t="str">
        <f ca="1">Calculos!EX70</f>
        <v/>
      </c>
      <c r="F108" s="1606"/>
      <c r="G108" s="1606"/>
      <c r="H108" s="1606"/>
      <c r="I108" s="1606"/>
      <c r="J108" s="1606"/>
      <c r="K108" s="1625" t="str">
        <f ca="1">Calculos!EY70</f>
        <v/>
      </c>
      <c r="L108" s="1625"/>
      <c r="M108" s="1625"/>
      <c r="N108" s="1625"/>
      <c r="O108" s="1625"/>
      <c r="P108" s="1625"/>
      <c r="Q108" s="1625"/>
      <c r="R108" s="1625"/>
      <c r="S108" s="1625"/>
      <c r="T108" s="1625"/>
      <c r="U108" s="1625"/>
      <c r="V108" s="1625"/>
      <c r="W108" s="1625" t="str">
        <f ca="1">Calculos!EZ70</f>
        <v/>
      </c>
      <c r="X108" s="1625"/>
      <c r="Y108" s="1625"/>
      <c r="Z108" s="1625"/>
      <c r="AA108" s="1625"/>
      <c r="AB108" s="1625"/>
      <c r="AC108" s="1625"/>
      <c r="AD108" s="1625"/>
      <c r="AE108" s="1625"/>
      <c r="AF108" s="1625"/>
      <c r="AG108" s="1629" t="str">
        <f ca="1">Calculos!FA70</f>
        <v/>
      </c>
      <c r="AH108" s="1629"/>
      <c r="AI108" s="1629"/>
      <c r="AJ108" s="1629"/>
      <c r="AK108" s="1629" t="str">
        <f ca="1">Calculos!FB70</f>
        <v/>
      </c>
      <c r="AL108" s="1629"/>
      <c r="AM108" s="1629"/>
      <c r="AN108" s="1629"/>
      <c r="AO108" s="1629" t="str">
        <f ca="1">Calculos!FC70</f>
        <v/>
      </c>
      <c r="AP108" s="1629"/>
      <c r="AQ108" s="1629"/>
      <c r="AR108" s="1629"/>
    </row>
    <row r="109" spans="1:44" x14ac:dyDescent="0.2">
      <c r="A109" s="384"/>
    </row>
    <row r="110" spans="1:44" x14ac:dyDescent="0.2"/>
    <row r="111" spans="1:44" x14ac:dyDescent="0.2"/>
    <row r="112" spans="1:44" ht="28.35" customHeight="1" x14ac:dyDescent="0.2">
      <c r="A112" s="388" t="s">
        <v>8183</v>
      </c>
    </row>
    <row r="113" spans="1:42" ht="12.75" customHeight="1" x14ac:dyDescent="0.2">
      <c r="A113" s="384"/>
      <c r="B113" s="391"/>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row>
    <row r="114" spans="1:42" ht="84.75" customHeight="1" x14ac:dyDescent="0.2">
      <c r="A114" s="384"/>
      <c r="B114" s="1633" t="str">
        <f ca="1">Calculos!EW71</f>
        <v>Não foi declarado componente toxicologicamente relevante</v>
      </c>
      <c r="C114" s="1634"/>
      <c r="D114" s="1634"/>
      <c r="E114" s="1634"/>
      <c r="F114" s="1634"/>
      <c r="G114" s="1634"/>
      <c r="H114" s="1634"/>
      <c r="I114" s="1634"/>
      <c r="J114" s="1634"/>
      <c r="K114" s="1634"/>
      <c r="L114" s="1634"/>
      <c r="M114" s="1634"/>
      <c r="N114" s="1634"/>
      <c r="O114" s="1634"/>
      <c r="P114" s="1634"/>
      <c r="Q114" s="1634"/>
      <c r="R114" s="1634"/>
      <c r="S114" s="1634"/>
      <c r="T114" s="1634"/>
      <c r="U114" s="1634"/>
      <c r="V114" s="1634"/>
      <c r="W114" s="1634"/>
      <c r="X114" s="1634"/>
      <c r="Y114" s="1634"/>
      <c r="Z114" s="1634"/>
      <c r="AA114" s="1634"/>
      <c r="AB114" s="1634"/>
      <c r="AC114" s="1634"/>
      <c r="AD114" s="1634"/>
      <c r="AE114" s="1634"/>
      <c r="AF114" s="1634"/>
      <c r="AG114" s="1634"/>
      <c r="AH114" s="1634"/>
      <c r="AI114" s="1634"/>
      <c r="AJ114" s="1634"/>
      <c r="AK114" s="1634"/>
      <c r="AL114" s="1634"/>
      <c r="AM114" s="1634"/>
      <c r="AN114" s="1634"/>
      <c r="AO114" s="1635"/>
    </row>
    <row r="115" spans="1:42" x14ac:dyDescent="0.2">
      <c r="A115" s="384"/>
      <c r="B115" s="391" t="s">
        <v>375</v>
      </c>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row>
    <row r="116" spans="1:42" ht="15" customHeight="1" x14ac:dyDescent="0.2">
      <c r="A116" s="384"/>
      <c r="B116" s="391"/>
      <c r="C116" s="384"/>
      <c r="D116" s="384"/>
      <c r="E116" s="384"/>
      <c r="F116" s="384"/>
      <c r="G116" s="384"/>
      <c r="H116" s="384"/>
      <c r="I116" s="384"/>
      <c r="J116" s="384"/>
      <c r="K116" s="384"/>
      <c r="L116" s="384"/>
      <c r="M116" s="384"/>
      <c r="N116" s="384"/>
      <c r="O116" s="384"/>
      <c r="P116" s="384"/>
      <c r="W116" s="384"/>
      <c r="X116" s="384"/>
      <c r="Y116" s="384"/>
    </row>
    <row r="117" spans="1:42" x14ac:dyDescent="0.2">
      <c r="A117" s="384"/>
      <c r="B117" s="391"/>
      <c r="C117" s="384"/>
      <c r="D117" s="384"/>
      <c r="E117" s="384"/>
      <c r="F117" s="384"/>
      <c r="G117" s="384"/>
      <c r="H117" s="384"/>
      <c r="I117" s="384"/>
      <c r="J117" s="384"/>
      <c r="K117" s="384"/>
      <c r="L117" s="384"/>
      <c r="M117" s="384"/>
      <c r="N117" s="384"/>
      <c r="O117" s="384"/>
      <c r="P117" s="384"/>
      <c r="X117" s="384"/>
      <c r="Y117" s="384"/>
    </row>
    <row r="118" spans="1:42" ht="15" x14ac:dyDescent="0.2">
      <c r="A118" s="388" t="s">
        <v>8185</v>
      </c>
    </row>
    <row r="119" spans="1:42" ht="12.75" customHeight="1" x14ac:dyDescent="0.2">
      <c r="A119" s="393"/>
      <c r="C119" s="384"/>
      <c r="D119" s="384"/>
      <c r="E119" s="384"/>
      <c r="F119" s="384"/>
      <c r="G119" s="384"/>
      <c r="H119" s="384"/>
      <c r="I119" s="384"/>
      <c r="J119" s="384"/>
      <c r="K119" s="384"/>
      <c r="L119" s="384"/>
      <c r="M119" s="384"/>
      <c r="N119" s="384"/>
      <c r="O119" s="384"/>
      <c r="P119" s="384"/>
      <c r="Q119" s="384"/>
      <c r="R119" s="384"/>
      <c r="S119" s="384"/>
      <c r="T119" s="384"/>
      <c r="U119" s="384"/>
      <c r="V119" s="384"/>
      <c r="W119" s="384"/>
      <c r="X119" s="384"/>
      <c r="Y119" s="384"/>
    </row>
    <row r="120" spans="1:42" ht="28.35" customHeight="1" x14ac:dyDescent="0.2">
      <c r="A120" s="1620" t="s">
        <v>17</v>
      </c>
      <c r="B120" s="1621"/>
      <c r="C120" s="1621"/>
      <c r="D120" s="1621"/>
      <c r="E120" s="1621"/>
      <c r="F120" s="1621"/>
      <c r="G120" s="1621"/>
      <c r="H120" s="1621"/>
      <c r="I120" s="1621"/>
      <c r="J120" s="1621"/>
      <c r="K120" s="1621"/>
      <c r="L120" s="1622"/>
      <c r="M120" s="1593" t="s">
        <v>78</v>
      </c>
      <c r="N120" s="1593"/>
      <c r="O120" s="1593"/>
      <c r="P120" s="1593"/>
      <c r="Q120" s="1593"/>
      <c r="R120" s="1593"/>
      <c r="S120" s="1593"/>
      <c r="T120" s="1593"/>
      <c r="U120" s="1593"/>
      <c r="V120" s="1593"/>
      <c r="W120" s="1593"/>
      <c r="X120" s="1593"/>
      <c r="Y120" s="1593"/>
      <c r="Z120" s="1593"/>
      <c r="AA120" s="1593"/>
      <c r="AB120" s="1593"/>
      <c r="AC120" s="1593"/>
      <c r="AD120" s="1593"/>
      <c r="AE120" s="1593"/>
      <c r="AF120" s="1593"/>
      <c r="AG120" s="1593"/>
      <c r="AH120" s="1593"/>
      <c r="AI120" s="1593"/>
      <c r="AJ120" s="1593"/>
      <c r="AK120" s="1593"/>
      <c r="AL120" s="1593"/>
      <c r="AM120" s="1593"/>
      <c r="AN120" s="1593"/>
      <c r="AO120" s="1593"/>
      <c r="AP120" s="1593"/>
    </row>
    <row r="121" spans="1:42" ht="28.35" customHeight="1" x14ac:dyDescent="0.2">
      <c r="A121" s="1626" t="str" cm="1">
        <f t="array" aca="1" ref="A121" ca="1">INDIRECT("'F&amp;Q'!F20",1)</f>
        <v>Aparência, cor, odor e estado físico</v>
      </c>
      <c r="B121" s="1597"/>
      <c r="C121" s="1597"/>
      <c r="D121" s="1597"/>
      <c r="E121" s="1597"/>
      <c r="F121" s="1597"/>
      <c r="G121" s="1597"/>
      <c r="H121" s="1597"/>
      <c r="I121" s="1597"/>
      <c r="J121" s="1597"/>
      <c r="K121" s="1597"/>
      <c r="L121" s="1627"/>
      <c r="M121" s="1628" t="str">
        <f ca="1">Calculos!EW72</f>
        <v>Não apresentado</v>
      </c>
      <c r="N121" s="1628"/>
      <c r="O121" s="1628"/>
      <c r="P121" s="1628"/>
      <c r="Q121" s="1628"/>
      <c r="R121" s="1628"/>
      <c r="S121" s="1628"/>
      <c r="T121" s="1628"/>
      <c r="U121" s="1628"/>
      <c r="V121" s="1628"/>
      <c r="W121" s="1628"/>
      <c r="X121" s="1628"/>
      <c r="Y121" s="1628"/>
      <c r="Z121" s="1628"/>
      <c r="AA121" s="1628"/>
      <c r="AB121" s="1628"/>
      <c r="AC121" s="1628"/>
      <c r="AD121" s="1628"/>
      <c r="AE121" s="1628"/>
      <c r="AF121" s="1628"/>
      <c r="AG121" s="1628"/>
      <c r="AH121" s="1628"/>
      <c r="AI121" s="1628"/>
      <c r="AJ121" s="1628"/>
      <c r="AK121" s="1628"/>
      <c r="AL121" s="1628"/>
      <c r="AM121" s="1628"/>
      <c r="AN121" s="1628"/>
      <c r="AO121" s="1628"/>
      <c r="AP121" s="1628"/>
    </row>
    <row r="122" spans="1:42" ht="28.35" customHeight="1" x14ac:dyDescent="0.2">
      <c r="A122" s="1626" t="str" cm="1">
        <f t="array" aca="1" ref="A122" ca="1">INDIRECT("'F&amp;Q'!F21",1)</f>
        <v>Estabilidade térmica e ao ar</v>
      </c>
      <c r="B122" s="1597"/>
      <c r="C122" s="1597"/>
      <c r="D122" s="1597"/>
      <c r="E122" s="1597"/>
      <c r="F122" s="1597"/>
      <c r="G122" s="1597"/>
      <c r="H122" s="1597"/>
      <c r="I122" s="1597"/>
      <c r="J122" s="1597"/>
      <c r="K122" s="1597"/>
      <c r="L122" s="1627"/>
      <c r="M122" s="1628" t="str">
        <f ca="1">Calculos!EW73</f>
        <v>Não apresentado</v>
      </c>
      <c r="N122" s="1628"/>
      <c r="O122" s="1628"/>
      <c r="P122" s="1628"/>
      <c r="Q122" s="1628"/>
      <c r="R122" s="1628"/>
      <c r="S122" s="1628"/>
      <c r="T122" s="1628"/>
      <c r="U122" s="1628"/>
      <c r="V122" s="1628"/>
      <c r="W122" s="1628"/>
      <c r="X122" s="1628"/>
      <c r="Y122" s="1628"/>
      <c r="Z122" s="1628"/>
      <c r="AA122" s="1628"/>
      <c r="AB122" s="1628"/>
      <c r="AC122" s="1628"/>
      <c r="AD122" s="1628"/>
      <c r="AE122" s="1628"/>
      <c r="AF122" s="1628"/>
      <c r="AG122" s="1628"/>
      <c r="AH122" s="1628"/>
      <c r="AI122" s="1628"/>
      <c r="AJ122" s="1628"/>
      <c r="AK122" s="1628"/>
      <c r="AL122" s="1628"/>
      <c r="AM122" s="1628"/>
      <c r="AN122" s="1628"/>
      <c r="AO122" s="1628"/>
      <c r="AP122" s="1628"/>
    </row>
    <row r="123" spans="1:42" ht="28.35" customHeight="1" x14ac:dyDescent="0.2">
      <c r="A123" s="1626" t="str" cm="1">
        <f t="array" aca="1" ref="A123" ca="1">INDIRECT("'F&amp;Q'!F22",1)</f>
        <v>Ponto de fulgor</v>
      </c>
      <c r="B123" s="1597"/>
      <c r="C123" s="1597"/>
      <c r="D123" s="1597"/>
      <c r="E123" s="1597"/>
      <c r="F123" s="1597"/>
      <c r="G123" s="1597"/>
      <c r="H123" s="1597"/>
      <c r="I123" s="1597"/>
      <c r="J123" s="1597"/>
      <c r="K123" s="1597"/>
      <c r="L123" s="1627"/>
      <c r="M123" s="1628" t="str">
        <f ca="1">Calculos!EW74</f>
        <v>Não apresentado</v>
      </c>
      <c r="N123" s="1628"/>
      <c r="O123" s="1628"/>
      <c r="P123" s="1628"/>
      <c r="Q123" s="1628"/>
      <c r="R123" s="1628"/>
      <c r="S123" s="1628"/>
      <c r="T123" s="1628"/>
      <c r="U123" s="1628"/>
      <c r="V123" s="1628"/>
      <c r="W123" s="1628"/>
      <c r="X123" s="1628"/>
      <c r="Y123" s="1628"/>
      <c r="Z123" s="1628"/>
      <c r="AA123" s="1628"/>
      <c r="AB123" s="1628"/>
      <c r="AC123" s="1628"/>
      <c r="AD123" s="1628"/>
      <c r="AE123" s="1628"/>
      <c r="AF123" s="1628"/>
      <c r="AG123" s="1628"/>
      <c r="AH123" s="1628"/>
      <c r="AI123" s="1628"/>
      <c r="AJ123" s="1628"/>
      <c r="AK123" s="1628"/>
      <c r="AL123" s="1628"/>
      <c r="AM123" s="1628"/>
      <c r="AN123" s="1628"/>
      <c r="AO123" s="1628"/>
      <c r="AP123" s="1628"/>
    </row>
    <row r="124" spans="1:42" ht="28.35" customHeight="1" x14ac:dyDescent="0.2">
      <c r="A124" s="1626" t="str" cm="1">
        <f t="array" aca="1" ref="A124" ca="1">INDIRECT("'F&amp;Q'!F23",1)</f>
        <v>Miscibilidade em água e outros solventes</v>
      </c>
      <c r="B124" s="1597"/>
      <c r="C124" s="1597"/>
      <c r="D124" s="1597"/>
      <c r="E124" s="1597"/>
      <c r="F124" s="1597"/>
      <c r="G124" s="1597"/>
      <c r="H124" s="1597"/>
      <c r="I124" s="1597"/>
      <c r="J124" s="1597"/>
      <c r="K124" s="1597"/>
      <c r="L124" s="1627"/>
      <c r="M124" s="1628" t="str">
        <f ca="1">Calculos!EW75</f>
        <v>Não apresentado</v>
      </c>
      <c r="N124" s="1628"/>
      <c r="O124" s="1628"/>
      <c r="P124" s="1628"/>
      <c r="Q124" s="1628"/>
      <c r="R124" s="1628"/>
      <c r="S124" s="1628"/>
      <c r="T124" s="1628"/>
      <c r="U124" s="1628"/>
      <c r="V124" s="1628"/>
      <c r="W124" s="1628"/>
      <c r="X124" s="1628"/>
      <c r="Y124" s="1628"/>
      <c r="Z124" s="1628"/>
      <c r="AA124" s="1628"/>
      <c r="AB124" s="1628"/>
      <c r="AC124" s="1628"/>
      <c r="AD124" s="1628"/>
      <c r="AE124" s="1628"/>
      <c r="AF124" s="1628"/>
      <c r="AG124" s="1628"/>
      <c r="AH124" s="1628"/>
      <c r="AI124" s="1628"/>
      <c r="AJ124" s="1628"/>
      <c r="AK124" s="1628"/>
      <c r="AL124" s="1628"/>
      <c r="AM124" s="1628"/>
      <c r="AN124" s="1628"/>
      <c r="AO124" s="1628"/>
      <c r="AP124" s="1628"/>
    </row>
    <row r="125" spans="1:42" ht="28.35" customHeight="1" x14ac:dyDescent="0.2">
      <c r="A125" s="1626" t="str" cm="1">
        <f t="array" aca="1" ref="A125" ca="1">INDIRECT("'F&amp;Q'!F24",1)</f>
        <v>Potencial Hidrogeniônico (pH)</v>
      </c>
      <c r="B125" s="1597"/>
      <c r="C125" s="1597"/>
      <c r="D125" s="1597"/>
      <c r="E125" s="1597"/>
      <c r="F125" s="1597"/>
      <c r="G125" s="1597"/>
      <c r="H125" s="1597"/>
      <c r="I125" s="1597"/>
      <c r="J125" s="1597"/>
      <c r="K125" s="1597"/>
      <c r="L125" s="1627"/>
      <c r="M125" s="1628" t="str">
        <f ca="1">Calculos!EW76</f>
        <v>Não apresentado</v>
      </c>
      <c r="N125" s="1628"/>
      <c r="O125" s="1628"/>
      <c r="P125" s="1628"/>
      <c r="Q125" s="1628"/>
      <c r="R125" s="1628"/>
      <c r="S125" s="1628"/>
      <c r="T125" s="1628"/>
      <c r="U125" s="1628"/>
      <c r="V125" s="1628"/>
      <c r="W125" s="1628"/>
      <c r="X125" s="1628"/>
      <c r="Y125" s="1628"/>
      <c r="Z125" s="1628"/>
      <c r="AA125" s="1628"/>
      <c r="AB125" s="1628"/>
      <c r="AC125" s="1628"/>
      <c r="AD125" s="1628"/>
      <c r="AE125" s="1628"/>
      <c r="AF125" s="1628"/>
      <c r="AG125" s="1628"/>
      <c r="AH125" s="1628"/>
      <c r="AI125" s="1628"/>
      <c r="AJ125" s="1628"/>
      <c r="AK125" s="1628"/>
      <c r="AL125" s="1628"/>
      <c r="AM125" s="1628"/>
      <c r="AN125" s="1628"/>
      <c r="AO125" s="1628"/>
      <c r="AP125" s="1628"/>
    </row>
    <row r="126" spans="1:42" ht="28.35" customHeight="1" x14ac:dyDescent="0.2">
      <c r="A126" s="1626" t="str" cm="1">
        <f t="array" aca="1" ref="A126" ca="1">INDIRECT("'F&amp;Q'!F25",1)</f>
        <v>Densidade aparente ou específica</v>
      </c>
      <c r="B126" s="1597"/>
      <c r="C126" s="1597"/>
      <c r="D126" s="1597"/>
      <c r="E126" s="1597"/>
      <c r="F126" s="1597"/>
      <c r="G126" s="1597"/>
      <c r="H126" s="1597"/>
      <c r="I126" s="1597"/>
      <c r="J126" s="1597"/>
      <c r="K126" s="1597"/>
      <c r="L126" s="1627"/>
      <c r="M126" s="1628" t="str">
        <f ca="1">Calculos!EW77</f>
        <v>Não apresentado</v>
      </c>
      <c r="N126" s="1628"/>
      <c r="O126" s="1628"/>
      <c r="P126" s="1628"/>
      <c r="Q126" s="1628"/>
      <c r="R126" s="1628"/>
      <c r="S126" s="1628"/>
      <c r="T126" s="1628"/>
      <c r="U126" s="1628"/>
      <c r="V126" s="1628"/>
      <c r="W126" s="1628"/>
      <c r="X126" s="1628"/>
      <c r="Y126" s="1628"/>
      <c r="Z126" s="1628"/>
      <c r="AA126" s="1628"/>
      <c r="AB126" s="1628"/>
      <c r="AC126" s="1628"/>
      <c r="AD126" s="1628"/>
      <c r="AE126" s="1628"/>
      <c r="AF126" s="1628"/>
      <c r="AG126" s="1628"/>
      <c r="AH126" s="1628"/>
      <c r="AI126" s="1628"/>
      <c r="AJ126" s="1628"/>
      <c r="AK126" s="1628"/>
      <c r="AL126" s="1628"/>
      <c r="AM126" s="1628"/>
      <c r="AN126" s="1628"/>
      <c r="AO126" s="1628"/>
      <c r="AP126" s="1628"/>
    </row>
    <row r="127" spans="1:42" ht="28.35" customHeight="1" x14ac:dyDescent="0.2">
      <c r="A127" s="1626" t="str" cm="1">
        <f t="array" aca="1" ref="A127" ca="1">INDIRECT("'F&amp;Q'!F26",1)</f>
        <v>Volatilidade</v>
      </c>
      <c r="B127" s="1597"/>
      <c r="C127" s="1597"/>
      <c r="D127" s="1597"/>
      <c r="E127" s="1597"/>
      <c r="F127" s="1597"/>
      <c r="G127" s="1597"/>
      <c r="H127" s="1597"/>
      <c r="I127" s="1597"/>
      <c r="J127" s="1597"/>
      <c r="K127" s="1597"/>
      <c r="L127" s="1627"/>
      <c r="M127" s="1628" t="str">
        <f ca="1">Calculos!EW78</f>
        <v>Não apresentado</v>
      </c>
      <c r="N127" s="1628"/>
      <c r="O127" s="1628"/>
      <c r="P127" s="1628"/>
      <c r="Q127" s="1628"/>
      <c r="R127" s="1628"/>
      <c r="S127" s="1628"/>
      <c r="T127" s="1628"/>
      <c r="U127" s="1628"/>
      <c r="V127" s="1628"/>
      <c r="W127" s="1628"/>
      <c r="X127" s="1628"/>
      <c r="Y127" s="1628"/>
      <c r="Z127" s="1628"/>
      <c r="AA127" s="1628"/>
      <c r="AB127" s="1628"/>
      <c r="AC127" s="1628"/>
      <c r="AD127" s="1628"/>
      <c r="AE127" s="1628"/>
      <c r="AF127" s="1628"/>
      <c r="AG127" s="1628"/>
      <c r="AH127" s="1628"/>
      <c r="AI127" s="1628"/>
      <c r="AJ127" s="1628"/>
      <c r="AK127" s="1628"/>
      <c r="AL127" s="1628"/>
      <c r="AM127" s="1628"/>
      <c r="AN127" s="1628"/>
      <c r="AO127" s="1628"/>
      <c r="AP127" s="1628"/>
    </row>
    <row r="128" spans="1:42" ht="28.35" customHeight="1" x14ac:dyDescent="0.2">
      <c r="A128" s="1626" t="str" cm="1">
        <f t="array" aca="1" ref="A128" ca="1">INDIRECT("'F&amp;Q'!F27",1)</f>
        <v>Distribuição do tamanho das partículas</v>
      </c>
      <c r="B128" s="1597"/>
      <c r="C128" s="1597"/>
      <c r="D128" s="1597"/>
      <c r="E128" s="1597"/>
      <c r="F128" s="1597"/>
      <c r="G128" s="1597"/>
      <c r="H128" s="1597"/>
      <c r="I128" s="1597"/>
      <c r="J128" s="1597"/>
      <c r="K128" s="1597"/>
      <c r="L128" s="1627"/>
      <c r="M128" s="1628" t="str">
        <f ca="1">Calculos!EW79</f>
        <v>Não apresentado</v>
      </c>
      <c r="N128" s="1628"/>
      <c r="O128" s="1628"/>
      <c r="P128" s="1628"/>
      <c r="Q128" s="1628"/>
      <c r="R128" s="1628"/>
      <c r="S128" s="1628"/>
      <c r="T128" s="1628"/>
      <c r="U128" s="1628"/>
      <c r="V128" s="1628"/>
      <c r="W128" s="1628"/>
      <c r="X128" s="1628"/>
      <c r="Y128" s="1628"/>
      <c r="Z128" s="1628"/>
      <c r="AA128" s="1628"/>
      <c r="AB128" s="1628"/>
      <c r="AC128" s="1628"/>
      <c r="AD128" s="1628"/>
      <c r="AE128" s="1628"/>
      <c r="AF128" s="1628"/>
      <c r="AG128" s="1628"/>
      <c r="AH128" s="1628"/>
      <c r="AI128" s="1628"/>
      <c r="AJ128" s="1628"/>
      <c r="AK128" s="1628"/>
      <c r="AL128" s="1628"/>
      <c r="AM128" s="1628"/>
      <c r="AN128" s="1628"/>
      <c r="AO128" s="1628"/>
      <c r="AP128" s="1628"/>
    </row>
    <row r="129" spans="1:44" ht="28.35" customHeight="1" x14ac:dyDescent="0.2">
      <c r="A129" s="1626" t="str" cm="1">
        <f t="array" aca="1" ref="A129" ca="1">INDIRECT("'F&amp;Q'!F28",1)</f>
        <v>Viscosidade em líquidos</v>
      </c>
      <c r="B129" s="1597"/>
      <c r="C129" s="1597"/>
      <c r="D129" s="1597"/>
      <c r="E129" s="1597"/>
      <c r="F129" s="1597"/>
      <c r="G129" s="1597"/>
      <c r="H129" s="1597"/>
      <c r="I129" s="1597"/>
      <c r="J129" s="1597"/>
      <c r="K129" s="1597"/>
      <c r="L129" s="1627"/>
      <c r="M129" s="1628" t="str">
        <f ca="1">Calculos!EW80</f>
        <v>Não apresentado</v>
      </c>
      <c r="N129" s="1628"/>
      <c r="O129" s="1628"/>
      <c r="P129" s="1628"/>
      <c r="Q129" s="1628"/>
      <c r="R129" s="1628"/>
      <c r="S129" s="1628"/>
      <c r="T129" s="1628"/>
      <c r="U129" s="1628"/>
      <c r="V129" s="1628"/>
      <c r="W129" s="1628"/>
      <c r="X129" s="1628"/>
      <c r="Y129" s="1628"/>
      <c r="Z129" s="1628"/>
      <c r="AA129" s="1628"/>
      <c r="AB129" s="1628"/>
      <c r="AC129" s="1628"/>
      <c r="AD129" s="1628"/>
      <c r="AE129" s="1628"/>
      <c r="AF129" s="1628"/>
      <c r="AG129" s="1628"/>
      <c r="AH129" s="1628"/>
      <c r="AI129" s="1628"/>
      <c r="AJ129" s="1628"/>
      <c r="AK129" s="1628"/>
      <c r="AL129" s="1628"/>
      <c r="AM129" s="1628"/>
      <c r="AN129" s="1628"/>
      <c r="AO129" s="1628"/>
      <c r="AP129" s="1628"/>
    </row>
    <row r="130" spans="1:44" ht="28.35" customHeight="1" x14ac:dyDescent="0.2">
      <c r="A130" s="1626" t="str" cm="1">
        <f t="array" aca="1" ref="A130" ca="1">INDIRECT("'F&amp;Q'!F29",1)</f>
        <v>Informar novo estudo</v>
      </c>
      <c r="B130" s="1597"/>
      <c r="C130" s="1597"/>
      <c r="D130" s="1597"/>
      <c r="E130" s="1597"/>
      <c r="F130" s="1597"/>
      <c r="G130" s="1597"/>
      <c r="H130" s="1597"/>
      <c r="I130" s="1597"/>
      <c r="J130" s="1597"/>
      <c r="K130" s="1597"/>
      <c r="L130" s="1627"/>
      <c r="M130" s="1628">
        <f ca="1">Calculos!EW81</f>
        <v>0</v>
      </c>
      <c r="N130" s="1628"/>
      <c r="O130" s="1628"/>
      <c r="P130" s="1628"/>
      <c r="Q130" s="1628"/>
      <c r="R130" s="1628"/>
      <c r="S130" s="1628"/>
      <c r="T130" s="1628"/>
      <c r="U130" s="1628"/>
      <c r="V130" s="1628"/>
      <c r="W130" s="1628"/>
      <c r="X130" s="1628"/>
      <c r="Y130" s="1628"/>
      <c r="Z130" s="1628"/>
      <c r="AA130" s="1628"/>
      <c r="AB130" s="1628"/>
      <c r="AC130" s="1628"/>
      <c r="AD130" s="1628"/>
      <c r="AE130" s="1628"/>
      <c r="AF130" s="1628"/>
      <c r="AG130" s="1628"/>
      <c r="AH130" s="1628"/>
      <c r="AI130" s="1628"/>
      <c r="AJ130" s="1628"/>
      <c r="AK130" s="1628"/>
      <c r="AL130" s="1628"/>
      <c r="AM130" s="1628"/>
      <c r="AN130" s="1628"/>
      <c r="AO130" s="1628"/>
      <c r="AP130" s="1628"/>
    </row>
    <row r="131" spans="1:44" ht="28.35" customHeight="1" x14ac:dyDescent="0.2">
      <c r="A131" s="1626" t="str" cm="1">
        <f t="array" aca="1" ref="A131" ca="1">INDIRECT("'F&amp;Q'!F30",1)</f>
        <v>Informar novo estudo</v>
      </c>
      <c r="B131" s="1597"/>
      <c r="C131" s="1597"/>
      <c r="D131" s="1597"/>
      <c r="E131" s="1597"/>
      <c r="F131" s="1597"/>
      <c r="G131" s="1597"/>
      <c r="H131" s="1597"/>
      <c r="I131" s="1597"/>
      <c r="J131" s="1597"/>
      <c r="K131" s="1597"/>
      <c r="L131" s="1627"/>
      <c r="M131" s="1628">
        <f ca="1">Calculos!EW82</f>
        <v>0</v>
      </c>
      <c r="N131" s="1628"/>
      <c r="O131" s="1628"/>
      <c r="P131" s="1628"/>
      <c r="Q131" s="1628"/>
      <c r="R131" s="1628"/>
      <c r="S131" s="1628"/>
      <c r="T131" s="1628"/>
      <c r="U131" s="1628"/>
      <c r="V131" s="1628"/>
      <c r="W131" s="1628"/>
      <c r="X131" s="1628"/>
      <c r="Y131" s="1628"/>
      <c r="Z131" s="1628"/>
      <c r="AA131" s="1628"/>
      <c r="AB131" s="1628"/>
      <c r="AC131" s="1628"/>
      <c r="AD131" s="1628"/>
      <c r="AE131" s="1628"/>
      <c r="AF131" s="1628"/>
      <c r="AG131" s="1628"/>
      <c r="AH131" s="1628"/>
      <c r="AI131" s="1628"/>
      <c r="AJ131" s="1628"/>
      <c r="AK131" s="1628"/>
      <c r="AL131" s="1628"/>
      <c r="AM131" s="1628"/>
      <c r="AN131" s="1628"/>
      <c r="AO131" s="1628"/>
      <c r="AP131" s="1628"/>
    </row>
    <row r="132" spans="1:44" ht="28.35" customHeight="1" x14ac:dyDescent="0.2">
      <c r="A132" s="1626" t="str" cm="1">
        <f t="array" aca="1" ref="A132" ca="1">INDIRECT("'F&amp;Q'!F31",1)</f>
        <v>Informar novo estudo</v>
      </c>
      <c r="B132" s="1597"/>
      <c r="C132" s="1597"/>
      <c r="D132" s="1597"/>
      <c r="E132" s="1597"/>
      <c r="F132" s="1597"/>
      <c r="G132" s="1597"/>
      <c r="H132" s="1597"/>
      <c r="I132" s="1597"/>
      <c r="J132" s="1597"/>
      <c r="K132" s="1597"/>
      <c r="L132" s="1627"/>
      <c r="M132" s="1628">
        <f ca="1">Calculos!EW83</f>
        <v>0</v>
      </c>
      <c r="N132" s="1628"/>
      <c r="O132" s="1628"/>
      <c r="P132" s="1628"/>
      <c r="Q132" s="1628"/>
      <c r="R132" s="1628"/>
      <c r="S132" s="1628"/>
      <c r="T132" s="1628"/>
      <c r="U132" s="1628"/>
      <c r="V132" s="1628"/>
      <c r="W132" s="1628"/>
      <c r="X132" s="1628"/>
      <c r="Y132" s="1628"/>
      <c r="Z132" s="1628"/>
      <c r="AA132" s="1628"/>
      <c r="AB132" s="1628"/>
      <c r="AC132" s="1628"/>
      <c r="AD132" s="1628"/>
      <c r="AE132" s="1628"/>
      <c r="AF132" s="1628"/>
      <c r="AG132" s="1628"/>
      <c r="AH132" s="1628"/>
      <c r="AI132" s="1628"/>
      <c r="AJ132" s="1628"/>
      <c r="AK132" s="1628"/>
      <c r="AL132" s="1628"/>
      <c r="AM132" s="1628"/>
      <c r="AN132" s="1628"/>
      <c r="AO132" s="1628"/>
      <c r="AP132" s="1628"/>
    </row>
    <row r="133" spans="1:44" ht="28.35" customHeight="1" x14ac:dyDescent="0.2">
      <c r="A133" s="1626" t="str" cm="1">
        <f t="array" aca="1" ref="A133" ca="1">INDIRECT("'F&amp;Q'!F32",1)</f>
        <v>Informar novo estudo</v>
      </c>
      <c r="B133" s="1597"/>
      <c r="C133" s="1597"/>
      <c r="D133" s="1597"/>
      <c r="E133" s="1597"/>
      <c r="F133" s="1597"/>
      <c r="G133" s="1597"/>
      <c r="H133" s="1597"/>
      <c r="I133" s="1597"/>
      <c r="J133" s="1597"/>
      <c r="K133" s="1597"/>
      <c r="L133" s="1627"/>
      <c r="M133" s="1628">
        <f ca="1">Calculos!EW84</f>
        <v>0</v>
      </c>
      <c r="N133" s="1628"/>
      <c r="O133" s="1628"/>
      <c r="P133" s="1628"/>
      <c r="Q133" s="1628"/>
      <c r="R133" s="1628"/>
      <c r="S133" s="1628"/>
      <c r="T133" s="1628"/>
      <c r="U133" s="1628"/>
      <c r="V133" s="1628"/>
      <c r="W133" s="1628"/>
      <c r="X133" s="1628"/>
      <c r="Y133" s="1628"/>
      <c r="Z133" s="1628"/>
      <c r="AA133" s="1628"/>
      <c r="AB133" s="1628"/>
      <c r="AC133" s="1628"/>
      <c r="AD133" s="1628"/>
      <c r="AE133" s="1628"/>
      <c r="AF133" s="1628"/>
      <c r="AG133" s="1628"/>
      <c r="AH133" s="1628"/>
      <c r="AI133" s="1628"/>
      <c r="AJ133" s="1628"/>
      <c r="AK133" s="1628"/>
      <c r="AL133" s="1628"/>
      <c r="AM133" s="1628"/>
      <c r="AN133" s="1628"/>
      <c r="AO133" s="1628"/>
      <c r="AP133" s="1628"/>
    </row>
    <row r="134" spans="1:44" ht="28.35" customHeight="1" x14ac:dyDescent="0.2">
      <c r="A134" s="1626" t="str" cm="1">
        <f t="array" aca="1" ref="A134" ca="1">INDIRECT("'F&amp;Q'!F33",1)</f>
        <v>Informar novo estudo</v>
      </c>
      <c r="B134" s="1597"/>
      <c r="C134" s="1597"/>
      <c r="D134" s="1597"/>
      <c r="E134" s="1597"/>
      <c r="F134" s="1597"/>
      <c r="G134" s="1597"/>
      <c r="H134" s="1597"/>
      <c r="I134" s="1597"/>
      <c r="J134" s="1597"/>
      <c r="K134" s="1597"/>
      <c r="L134" s="1627"/>
      <c r="M134" s="1628">
        <f ca="1">Calculos!EW85</f>
        <v>0</v>
      </c>
      <c r="N134" s="1628"/>
      <c r="O134" s="1628"/>
      <c r="P134" s="1628"/>
      <c r="Q134" s="1628"/>
      <c r="R134" s="1628"/>
      <c r="S134" s="1628"/>
      <c r="T134" s="1628"/>
      <c r="U134" s="1628"/>
      <c r="V134" s="1628"/>
      <c r="W134" s="1628"/>
      <c r="X134" s="1628"/>
      <c r="Y134" s="1628"/>
      <c r="Z134" s="1628"/>
      <c r="AA134" s="1628"/>
      <c r="AB134" s="1628"/>
      <c r="AC134" s="1628"/>
      <c r="AD134" s="1628"/>
      <c r="AE134" s="1628"/>
      <c r="AF134" s="1628"/>
      <c r="AG134" s="1628"/>
      <c r="AH134" s="1628"/>
      <c r="AI134" s="1628"/>
      <c r="AJ134" s="1628"/>
      <c r="AK134" s="1628"/>
      <c r="AL134" s="1628"/>
      <c r="AM134" s="1628"/>
      <c r="AN134" s="1628"/>
      <c r="AO134" s="1628"/>
      <c r="AP134" s="1628"/>
    </row>
    <row r="135" spans="1:44" ht="28.35" customHeight="1" x14ac:dyDescent="0.2">
      <c r="A135" s="1626" t="str" cm="1">
        <f t="array" aca="1" ref="A135" ca="1">INDIRECT("'F&amp;Q'!F34",1)</f>
        <v>Informar novo estudo</v>
      </c>
      <c r="B135" s="1597"/>
      <c r="C135" s="1597"/>
      <c r="D135" s="1597"/>
      <c r="E135" s="1597"/>
      <c r="F135" s="1597"/>
      <c r="G135" s="1597"/>
      <c r="H135" s="1597"/>
      <c r="I135" s="1597"/>
      <c r="J135" s="1597"/>
      <c r="K135" s="1597"/>
      <c r="L135" s="1627"/>
      <c r="M135" s="1628">
        <f ca="1">Calculos!EW86</f>
        <v>0</v>
      </c>
      <c r="N135" s="1628"/>
      <c r="O135" s="1628"/>
      <c r="P135" s="1628"/>
      <c r="Q135" s="1628"/>
      <c r="R135" s="1628"/>
      <c r="S135" s="1628"/>
      <c r="T135" s="1628"/>
      <c r="U135" s="1628"/>
      <c r="V135" s="1628"/>
      <c r="W135" s="1628"/>
      <c r="X135" s="1628"/>
      <c r="Y135" s="1628"/>
      <c r="Z135" s="1628"/>
      <c r="AA135" s="1628"/>
      <c r="AB135" s="1628"/>
      <c r="AC135" s="1628"/>
      <c r="AD135" s="1628"/>
      <c r="AE135" s="1628"/>
      <c r="AF135" s="1628"/>
      <c r="AG135" s="1628"/>
      <c r="AH135" s="1628"/>
      <c r="AI135" s="1628"/>
      <c r="AJ135" s="1628"/>
      <c r="AK135" s="1628"/>
      <c r="AL135" s="1628"/>
      <c r="AM135" s="1628"/>
      <c r="AN135" s="1628"/>
      <c r="AO135" s="1628"/>
      <c r="AP135" s="1628"/>
    </row>
    <row r="136" spans="1:44" ht="28.35" customHeight="1" x14ac:dyDescent="0.2">
      <c r="A136" s="1626" t="str" cm="1">
        <f t="array" aca="1" ref="A136" ca="1">INDIRECT("'F&amp;Q'!F35",1)</f>
        <v>Informar novo estudo</v>
      </c>
      <c r="B136" s="1597"/>
      <c r="C136" s="1597"/>
      <c r="D136" s="1597"/>
      <c r="E136" s="1597"/>
      <c r="F136" s="1597"/>
      <c r="G136" s="1597"/>
      <c r="H136" s="1597"/>
      <c r="I136" s="1597"/>
      <c r="J136" s="1597"/>
      <c r="K136" s="1597"/>
      <c r="L136" s="1627"/>
      <c r="M136" s="1628">
        <f ca="1">Calculos!EW87</f>
        <v>0</v>
      </c>
      <c r="N136" s="1628"/>
      <c r="O136" s="1628"/>
      <c r="P136" s="1628"/>
      <c r="Q136" s="1628"/>
      <c r="R136" s="1628"/>
      <c r="S136" s="1628"/>
      <c r="T136" s="1628"/>
      <c r="U136" s="1628"/>
      <c r="V136" s="1628"/>
      <c r="W136" s="1628"/>
      <c r="X136" s="1628"/>
      <c r="Y136" s="1628"/>
      <c r="Z136" s="1628"/>
      <c r="AA136" s="1628"/>
      <c r="AB136" s="1628"/>
      <c r="AC136" s="1628"/>
      <c r="AD136" s="1628"/>
      <c r="AE136" s="1628"/>
      <c r="AF136" s="1628"/>
      <c r="AG136" s="1628"/>
      <c r="AH136" s="1628"/>
      <c r="AI136" s="1628"/>
      <c r="AJ136" s="1628"/>
      <c r="AK136" s="1628"/>
      <c r="AL136" s="1628"/>
      <c r="AM136" s="1628"/>
      <c r="AN136" s="1628"/>
      <c r="AO136" s="1628"/>
      <c r="AP136" s="1628"/>
    </row>
    <row r="137" spans="1:44" ht="28.35" customHeight="1" x14ac:dyDescent="0.2">
      <c r="A137" s="1626" t="str" cm="1">
        <f t="array" aca="1" ref="A137" ca="1">INDIRECT("'F&amp;Q'!F36",1)</f>
        <v>Informar novo estudo</v>
      </c>
      <c r="B137" s="1597"/>
      <c r="C137" s="1597"/>
      <c r="D137" s="1597"/>
      <c r="E137" s="1597"/>
      <c r="F137" s="1597"/>
      <c r="G137" s="1597"/>
      <c r="H137" s="1597"/>
      <c r="I137" s="1597"/>
      <c r="J137" s="1597"/>
      <c r="K137" s="1597"/>
      <c r="L137" s="1627"/>
      <c r="M137" s="1628">
        <f ca="1">Calculos!EW88</f>
        <v>0</v>
      </c>
      <c r="N137" s="1628"/>
      <c r="O137" s="1628"/>
      <c r="P137" s="1628"/>
      <c r="Q137" s="1628"/>
      <c r="R137" s="1628"/>
      <c r="S137" s="1628"/>
      <c r="T137" s="1628"/>
      <c r="U137" s="1628"/>
      <c r="V137" s="1628"/>
      <c r="W137" s="1628"/>
      <c r="X137" s="1628"/>
      <c r="Y137" s="1628"/>
      <c r="Z137" s="1628"/>
      <c r="AA137" s="1628"/>
      <c r="AB137" s="1628"/>
      <c r="AC137" s="1628"/>
      <c r="AD137" s="1628"/>
      <c r="AE137" s="1628"/>
      <c r="AF137" s="1628"/>
      <c r="AG137" s="1628"/>
      <c r="AH137" s="1628"/>
      <c r="AI137" s="1628"/>
      <c r="AJ137" s="1628"/>
      <c r="AK137" s="1628"/>
      <c r="AL137" s="1628"/>
      <c r="AM137" s="1628"/>
      <c r="AN137" s="1628"/>
      <c r="AO137" s="1628"/>
      <c r="AP137" s="1628"/>
    </row>
    <row r="138" spans="1:44" ht="28.35" customHeight="1" x14ac:dyDescent="0.2">
      <c r="A138" s="1626" t="str" cm="1">
        <f t="array" aca="1" ref="A138" ca="1">INDIRECT("'F&amp;Q'!F37",1)</f>
        <v>Informar novo estudo</v>
      </c>
      <c r="B138" s="1597"/>
      <c r="C138" s="1597"/>
      <c r="D138" s="1597"/>
      <c r="E138" s="1597"/>
      <c r="F138" s="1597"/>
      <c r="G138" s="1597"/>
      <c r="H138" s="1597"/>
      <c r="I138" s="1597"/>
      <c r="J138" s="1597"/>
      <c r="K138" s="1597"/>
      <c r="L138" s="1627"/>
      <c r="M138" s="1628">
        <f ca="1">Calculos!EW89</f>
        <v>0</v>
      </c>
      <c r="N138" s="1628"/>
      <c r="O138" s="1628"/>
      <c r="P138" s="1628"/>
      <c r="Q138" s="1628"/>
      <c r="R138" s="1628"/>
      <c r="S138" s="1628"/>
      <c r="T138" s="1628"/>
      <c r="U138" s="1628"/>
      <c r="V138" s="1628"/>
      <c r="W138" s="1628"/>
      <c r="X138" s="1628"/>
      <c r="Y138" s="1628"/>
      <c r="Z138" s="1628"/>
      <c r="AA138" s="1628"/>
      <c r="AB138" s="1628"/>
      <c r="AC138" s="1628"/>
      <c r="AD138" s="1628"/>
      <c r="AE138" s="1628"/>
      <c r="AF138" s="1628"/>
      <c r="AG138" s="1628"/>
      <c r="AH138" s="1628"/>
      <c r="AI138" s="1628"/>
      <c r="AJ138" s="1628"/>
      <c r="AK138" s="1628"/>
      <c r="AL138" s="1628"/>
      <c r="AM138" s="1628"/>
      <c r="AN138" s="1628"/>
      <c r="AO138" s="1628"/>
      <c r="AP138" s="1628"/>
    </row>
    <row r="139" spans="1:44" ht="28.35" customHeight="1" x14ac:dyDescent="0.2">
      <c r="A139" s="1626" t="str" cm="1">
        <f t="array" aca="1" ref="A139" ca="1">INDIRECT("'F&amp;Q'!F38",1)</f>
        <v>Informar novo estudo</v>
      </c>
      <c r="B139" s="1597"/>
      <c r="C139" s="1597"/>
      <c r="D139" s="1597"/>
      <c r="E139" s="1597"/>
      <c r="F139" s="1597"/>
      <c r="G139" s="1597"/>
      <c r="H139" s="1597"/>
      <c r="I139" s="1597"/>
      <c r="J139" s="1597"/>
      <c r="K139" s="1597"/>
      <c r="L139" s="1627"/>
      <c r="M139" s="1628">
        <f ca="1">Calculos!EW90</f>
        <v>0</v>
      </c>
      <c r="N139" s="1628"/>
      <c r="O139" s="1628"/>
      <c r="P139" s="1628"/>
      <c r="Q139" s="1628"/>
      <c r="R139" s="1628"/>
      <c r="S139" s="1628"/>
      <c r="T139" s="1628"/>
      <c r="U139" s="1628"/>
      <c r="V139" s="1628"/>
      <c r="W139" s="1628"/>
      <c r="X139" s="1628"/>
      <c r="Y139" s="1628"/>
      <c r="Z139" s="1628"/>
      <c r="AA139" s="1628"/>
      <c r="AB139" s="1628"/>
      <c r="AC139" s="1628"/>
      <c r="AD139" s="1628"/>
      <c r="AE139" s="1628"/>
      <c r="AF139" s="1628"/>
      <c r="AG139" s="1628"/>
      <c r="AH139" s="1628"/>
      <c r="AI139" s="1628"/>
      <c r="AJ139" s="1628"/>
      <c r="AK139" s="1628"/>
      <c r="AL139" s="1628"/>
      <c r="AM139" s="1628"/>
      <c r="AN139" s="1628"/>
      <c r="AO139" s="1628"/>
      <c r="AP139" s="1628"/>
    </row>
    <row r="140" spans="1:44" ht="28.35" customHeight="1" x14ac:dyDescent="0.2">
      <c r="A140" s="1626" t="str" cm="1">
        <f t="array" aca="1" ref="A140" ca="1">INDIRECT("'F&amp;Q'!F39",1)</f>
        <v>Informar novo estudo</v>
      </c>
      <c r="B140" s="1597"/>
      <c r="C140" s="1597"/>
      <c r="D140" s="1597"/>
      <c r="E140" s="1597"/>
      <c r="F140" s="1597"/>
      <c r="G140" s="1597"/>
      <c r="H140" s="1597"/>
      <c r="I140" s="1597"/>
      <c r="J140" s="1597"/>
      <c r="K140" s="1597"/>
      <c r="L140" s="1627"/>
      <c r="M140" s="1628">
        <f ca="1">Calculos!EW91</f>
        <v>0</v>
      </c>
      <c r="N140" s="1628"/>
      <c r="O140" s="1628"/>
      <c r="P140" s="1628"/>
      <c r="Q140" s="1628"/>
      <c r="R140" s="1628"/>
      <c r="S140" s="1628"/>
      <c r="T140" s="1628"/>
      <c r="U140" s="1628"/>
      <c r="V140" s="1628"/>
      <c r="W140" s="1628"/>
      <c r="X140" s="1628"/>
      <c r="Y140" s="1628"/>
      <c r="Z140" s="1628"/>
      <c r="AA140" s="1628"/>
      <c r="AB140" s="1628"/>
      <c r="AC140" s="1628"/>
      <c r="AD140" s="1628"/>
      <c r="AE140" s="1628"/>
      <c r="AF140" s="1628"/>
      <c r="AG140" s="1628"/>
      <c r="AH140" s="1628"/>
      <c r="AI140" s="1628"/>
      <c r="AJ140" s="1628"/>
      <c r="AK140" s="1628"/>
      <c r="AL140" s="1628"/>
      <c r="AM140" s="1628"/>
      <c r="AN140" s="1628"/>
      <c r="AO140" s="1628"/>
      <c r="AP140" s="1628"/>
    </row>
    <row r="141" spans="1:44" ht="21.2" customHeight="1" x14ac:dyDescent="0.2"/>
    <row r="142" spans="1:44" ht="21.2" customHeight="1" x14ac:dyDescent="0.2">
      <c r="A142" s="388" t="s">
        <v>8192</v>
      </c>
    </row>
    <row r="143" spans="1:44" ht="21.2" customHeight="1" x14ac:dyDescent="0.25">
      <c r="A143" s="393" t="s">
        <v>8193</v>
      </c>
      <c r="AR143" s="20"/>
    </row>
    <row r="144" spans="1:44" ht="25.5" customHeight="1" x14ac:dyDescent="0.25">
      <c r="A144" s="1593" t="s">
        <v>17</v>
      </c>
      <c r="B144" s="1593"/>
      <c r="C144" s="1593"/>
      <c r="D144" s="1593"/>
      <c r="E144" s="1593"/>
      <c r="F144" s="1593"/>
      <c r="G144" s="1593"/>
      <c r="H144" s="1593"/>
      <c r="I144" s="1593"/>
      <c r="J144" s="1593" t="s">
        <v>116</v>
      </c>
      <c r="K144" s="1593"/>
      <c r="L144" s="1593"/>
      <c r="M144" s="1593"/>
      <c r="N144" s="1593"/>
      <c r="O144" s="1593"/>
      <c r="P144" s="1593"/>
      <c r="Q144" s="1593"/>
      <c r="R144" s="1593" t="s">
        <v>8196</v>
      </c>
      <c r="S144" s="1593"/>
      <c r="T144" s="1593"/>
      <c r="U144" s="1593"/>
      <c r="V144" s="1593"/>
      <c r="W144" s="1593"/>
      <c r="X144" s="1593" t="s">
        <v>18</v>
      </c>
      <c r="Y144" s="1593"/>
      <c r="Z144" s="1593"/>
      <c r="AA144" s="1593"/>
      <c r="AB144" s="1593"/>
      <c r="AC144" s="1593"/>
      <c r="AD144" s="1593"/>
      <c r="AE144" s="1593"/>
      <c r="AF144" s="1593"/>
      <c r="AG144" s="1593"/>
      <c r="AH144" s="1593"/>
      <c r="AI144" s="1593"/>
      <c r="AJ144" s="1593"/>
      <c r="AK144" s="1593"/>
      <c r="AL144" s="1593"/>
      <c r="AM144" s="1607" t="s">
        <v>8645</v>
      </c>
      <c r="AN144" s="1607"/>
      <c r="AO144" s="1607"/>
      <c r="AP144" s="1607"/>
      <c r="AQ144" s="1607"/>
      <c r="AR144" s="20"/>
    </row>
    <row r="145" spans="1:44" ht="17.100000000000001" customHeight="1" x14ac:dyDescent="0.25">
      <c r="A145" s="1632" t="s">
        <v>381</v>
      </c>
      <c r="B145" s="1632"/>
      <c r="C145" s="1632"/>
      <c r="D145" s="1632"/>
      <c r="E145" s="1632"/>
      <c r="F145" s="1632"/>
      <c r="G145" s="1632"/>
      <c r="H145" s="1632"/>
      <c r="I145" s="1632"/>
      <c r="J145" s="1594" t="s">
        <v>8265</v>
      </c>
      <c r="K145" s="1594"/>
      <c r="L145" s="1594"/>
      <c r="M145" s="1594"/>
      <c r="N145" s="1594"/>
      <c r="O145" s="1594"/>
      <c r="P145" s="1594"/>
      <c r="Q145" s="1594"/>
      <c r="R145" s="1594" t="str">
        <f ca="1">Calculos!GH6</f>
        <v>não</v>
      </c>
      <c r="S145" s="1594"/>
      <c r="T145" s="1594"/>
      <c r="U145" s="1594"/>
      <c r="V145" s="1594"/>
      <c r="W145" s="1594"/>
      <c r="X145" s="1594" t="str">
        <f ca="1">IF(Calculos!GL6&lt;&gt;0,Calculos!GL6,"-")</f>
        <v>-</v>
      </c>
      <c r="Y145" s="1594"/>
      <c r="Z145" s="1594"/>
      <c r="AA145" s="1594"/>
      <c r="AB145" s="1594"/>
      <c r="AC145" s="1594"/>
      <c r="AD145" s="1594"/>
      <c r="AE145" s="1594"/>
      <c r="AF145" s="1594"/>
      <c r="AG145" s="1594"/>
      <c r="AH145" s="1594"/>
      <c r="AI145" s="1594"/>
      <c r="AJ145" s="1594"/>
      <c r="AK145" s="1594"/>
      <c r="AL145" s="1594"/>
      <c r="AM145" s="1608" t="str">
        <f ca="1">Calculos!GO6</f>
        <v>-</v>
      </c>
      <c r="AN145" s="1608"/>
      <c r="AO145" s="1608"/>
      <c r="AP145" s="1608"/>
      <c r="AQ145" s="1608"/>
      <c r="AR145" s="20"/>
    </row>
    <row r="146" spans="1:44" ht="17.100000000000001" customHeight="1" x14ac:dyDescent="0.25">
      <c r="A146" s="1632"/>
      <c r="B146" s="1632"/>
      <c r="C146" s="1632"/>
      <c r="D146" s="1632"/>
      <c r="E146" s="1632"/>
      <c r="F146" s="1632"/>
      <c r="G146" s="1632"/>
      <c r="H146" s="1632"/>
      <c r="I146" s="1632"/>
      <c r="J146" s="1594" t="s">
        <v>8266</v>
      </c>
      <c r="K146" s="1594"/>
      <c r="L146" s="1594"/>
      <c r="M146" s="1594"/>
      <c r="N146" s="1594"/>
      <c r="O146" s="1594"/>
      <c r="P146" s="1594"/>
      <c r="Q146" s="1594"/>
      <c r="R146" s="1594" t="str">
        <f ca="1">Calculos!GH7</f>
        <v>não</v>
      </c>
      <c r="S146" s="1594"/>
      <c r="T146" s="1594"/>
      <c r="U146" s="1594"/>
      <c r="V146" s="1594"/>
      <c r="W146" s="1594"/>
      <c r="X146" s="1594" t="str">
        <f ca="1">IF(Calculos!GL7&lt;&gt;0,Calculos!GL7,"-")</f>
        <v>-</v>
      </c>
      <c r="Y146" s="1594"/>
      <c r="Z146" s="1594"/>
      <c r="AA146" s="1594"/>
      <c r="AB146" s="1594"/>
      <c r="AC146" s="1594"/>
      <c r="AD146" s="1594"/>
      <c r="AE146" s="1594"/>
      <c r="AF146" s="1594"/>
      <c r="AG146" s="1594"/>
      <c r="AH146" s="1594"/>
      <c r="AI146" s="1594"/>
      <c r="AJ146" s="1594"/>
      <c r="AK146" s="1594"/>
      <c r="AL146" s="1594"/>
      <c r="AM146" s="1608" t="str">
        <f ca="1">Calculos!GO7</f>
        <v>-</v>
      </c>
      <c r="AN146" s="1608"/>
      <c r="AO146" s="1608"/>
      <c r="AP146" s="1608"/>
      <c r="AQ146" s="1608"/>
      <c r="AR146" s="20"/>
    </row>
    <row r="147" spans="1:44" ht="17.100000000000001" customHeight="1" x14ac:dyDescent="0.25">
      <c r="A147" s="1632"/>
      <c r="B147" s="1632"/>
      <c r="C147" s="1632"/>
      <c r="D147" s="1632"/>
      <c r="E147" s="1632"/>
      <c r="F147" s="1632"/>
      <c r="G147" s="1632"/>
      <c r="H147" s="1632"/>
      <c r="I147" s="1632"/>
      <c r="J147" s="1594" t="s">
        <v>113</v>
      </c>
      <c r="K147" s="1594"/>
      <c r="L147" s="1594"/>
      <c r="M147" s="1594"/>
      <c r="N147" s="1594"/>
      <c r="O147" s="1594"/>
      <c r="P147" s="1594"/>
      <c r="Q147" s="1594"/>
      <c r="R147" s="1594" t="str">
        <f ca="1">Calculos!GH8</f>
        <v>não</v>
      </c>
      <c r="S147" s="1594"/>
      <c r="T147" s="1594"/>
      <c r="U147" s="1594"/>
      <c r="V147" s="1594"/>
      <c r="W147" s="1594"/>
      <c r="X147" s="1594" t="str">
        <f ca="1">IF(Calculos!GL8&lt;&gt;0,Calculos!GL8,"-")</f>
        <v>-</v>
      </c>
      <c r="Y147" s="1594"/>
      <c r="Z147" s="1594"/>
      <c r="AA147" s="1594"/>
      <c r="AB147" s="1594"/>
      <c r="AC147" s="1594"/>
      <c r="AD147" s="1594"/>
      <c r="AE147" s="1594"/>
      <c r="AF147" s="1594"/>
      <c r="AG147" s="1594"/>
      <c r="AH147" s="1594"/>
      <c r="AI147" s="1594"/>
      <c r="AJ147" s="1594"/>
      <c r="AK147" s="1594"/>
      <c r="AL147" s="1594"/>
      <c r="AM147" s="1608" t="str">
        <f ca="1">Calculos!GO8</f>
        <v>-</v>
      </c>
      <c r="AN147" s="1608"/>
      <c r="AO147" s="1608"/>
      <c r="AP147" s="1608"/>
      <c r="AQ147" s="1608"/>
      <c r="AR147" s="20"/>
    </row>
    <row r="148" spans="1:44" ht="17.100000000000001" customHeight="1" x14ac:dyDescent="0.25">
      <c r="A148" s="1632"/>
      <c r="B148" s="1632"/>
      <c r="C148" s="1632"/>
      <c r="D148" s="1632"/>
      <c r="E148" s="1632"/>
      <c r="F148" s="1632"/>
      <c r="G148" s="1632"/>
      <c r="H148" s="1632"/>
      <c r="I148" s="1632"/>
      <c r="J148" s="1594" t="s">
        <v>114</v>
      </c>
      <c r="K148" s="1594"/>
      <c r="L148" s="1594"/>
      <c r="M148" s="1594"/>
      <c r="N148" s="1594"/>
      <c r="O148" s="1594"/>
      <c r="P148" s="1594"/>
      <c r="Q148" s="1594"/>
      <c r="R148" s="1594" t="str">
        <f ca="1">Calculos!GH9</f>
        <v>não</v>
      </c>
      <c r="S148" s="1594"/>
      <c r="T148" s="1594"/>
      <c r="U148" s="1594"/>
      <c r="V148" s="1594"/>
      <c r="W148" s="1594"/>
      <c r="X148" s="1594" t="str">
        <f ca="1">IF(Calculos!GL9&lt;&gt;0,Calculos!GL9,"-")</f>
        <v>-</v>
      </c>
      <c r="Y148" s="1594"/>
      <c r="Z148" s="1594"/>
      <c r="AA148" s="1594"/>
      <c r="AB148" s="1594"/>
      <c r="AC148" s="1594"/>
      <c r="AD148" s="1594"/>
      <c r="AE148" s="1594"/>
      <c r="AF148" s="1594"/>
      <c r="AG148" s="1594"/>
      <c r="AH148" s="1594"/>
      <c r="AI148" s="1594"/>
      <c r="AJ148" s="1594"/>
      <c r="AK148" s="1594"/>
      <c r="AL148" s="1594"/>
      <c r="AM148" s="1608" t="str">
        <f ca="1">Calculos!GO9</f>
        <v>-</v>
      </c>
      <c r="AN148" s="1608"/>
      <c r="AO148" s="1608"/>
      <c r="AP148" s="1608"/>
      <c r="AQ148" s="1608"/>
      <c r="AR148" s="20"/>
    </row>
    <row r="149" spans="1:44" ht="17.100000000000001" customHeight="1" x14ac:dyDescent="0.25">
      <c r="A149" s="1632" t="s">
        <v>258</v>
      </c>
      <c r="B149" s="1632"/>
      <c r="C149" s="1632"/>
      <c r="D149" s="1632"/>
      <c r="E149" s="1632"/>
      <c r="F149" s="1632"/>
      <c r="G149" s="1632"/>
      <c r="H149" s="1632"/>
      <c r="I149" s="1632"/>
      <c r="J149" s="1594" t="s">
        <v>113</v>
      </c>
      <c r="K149" s="1594"/>
      <c r="L149" s="1594"/>
      <c r="M149" s="1594"/>
      <c r="N149" s="1594"/>
      <c r="O149" s="1594"/>
      <c r="P149" s="1594"/>
      <c r="Q149" s="1594"/>
      <c r="R149" s="1594" t="str">
        <f ca="1">Calculos!GH10</f>
        <v>não</v>
      </c>
      <c r="S149" s="1594"/>
      <c r="T149" s="1594"/>
      <c r="U149" s="1594"/>
      <c r="V149" s="1594"/>
      <c r="W149" s="1594"/>
      <c r="X149" s="1594" t="str">
        <f ca="1">IF(Calculos!GL10&lt;&gt;0,Calculos!GL10,"-")</f>
        <v>-</v>
      </c>
      <c r="Y149" s="1594"/>
      <c r="Z149" s="1594"/>
      <c r="AA149" s="1594"/>
      <c r="AB149" s="1594"/>
      <c r="AC149" s="1594"/>
      <c r="AD149" s="1594"/>
      <c r="AE149" s="1594"/>
      <c r="AF149" s="1594"/>
      <c r="AG149" s="1594"/>
      <c r="AH149" s="1594"/>
      <c r="AI149" s="1594"/>
      <c r="AJ149" s="1594"/>
      <c r="AK149" s="1594"/>
      <c r="AL149" s="1594"/>
      <c r="AM149" s="1608" t="str">
        <f ca="1">Calculos!GO10</f>
        <v>-</v>
      </c>
      <c r="AN149" s="1608"/>
      <c r="AO149" s="1608"/>
      <c r="AP149" s="1608"/>
      <c r="AQ149" s="1608"/>
      <c r="AR149" s="20"/>
    </row>
    <row r="150" spans="1:44" ht="17.100000000000001" customHeight="1" x14ac:dyDescent="0.25">
      <c r="A150" s="1632"/>
      <c r="B150" s="1632"/>
      <c r="C150" s="1632"/>
      <c r="D150" s="1632"/>
      <c r="E150" s="1632"/>
      <c r="F150" s="1632"/>
      <c r="G150" s="1632"/>
      <c r="H150" s="1632"/>
      <c r="I150" s="1632"/>
      <c r="J150" s="1594" t="s">
        <v>114</v>
      </c>
      <c r="K150" s="1594"/>
      <c r="L150" s="1594"/>
      <c r="M150" s="1594"/>
      <c r="N150" s="1594"/>
      <c r="O150" s="1594"/>
      <c r="P150" s="1594"/>
      <c r="Q150" s="1594"/>
      <c r="R150" s="1594" t="str">
        <f ca="1">Calculos!GH11</f>
        <v>não</v>
      </c>
      <c r="S150" s="1594"/>
      <c r="T150" s="1594"/>
      <c r="U150" s="1594"/>
      <c r="V150" s="1594"/>
      <c r="W150" s="1594"/>
      <c r="X150" s="1594" t="str">
        <f ca="1">IF(Calculos!GL11&lt;&gt;0,Calculos!GL11,"-")</f>
        <v>-</v>
      </c>
      <c r="Y150" s="1594"/>
      <c r="Z150" s="1594"/>
      <c r="AA150" s="1594"/>
      <c r="AB150" s="1594"/>
      <c r="AC150" s="1594"/>
      <c r="AD150" s="1594"/>
      <c r="AE150" s="1594"/>
      <c r="AF150" s="1594"/>
      <c r="AG150" s="1594"/>
      <c r="AH150" s="1594"/>
      <c r="AI150" s="1594"/>
      <c r="AJ150" s="1594"/>
      <c r="AK150" s="1594"/>
      <c r="AL150" s="1594"/>
      <c r="AM150" s="1608" t="str">
        <f ca="1">Calculos!GO11</f>
        <v>-</v>
      </c>
      <c r="AN150" s="1608"/>
      <c r="AO150" s="1608"/>
      <c r="AP150" s="1608"/>
      <c r="AQ150" s="1608"/>
      <c r="AR150" s="20"/>
    </row>
    <row r="151" spans="1:44" ht="17.100000000000001" customHeight="1" x14ac:dyDescent="0.25">
      <c r="A151" s="1632" t="s">
        <v>111</v>
      </c>
      <c r="B151" s="1632"/>
      <c r="C151" s="1632"/>
      <c r="D151" s="1632"/>
      <c r="E151" s="1632"/>
      <c r="F151" s="1632"/>
      <c r="G151" s="1632"/>
      <c r="H151" s="1632"/>
      <c r="I151" s="1632"/>
      <c r="J151" s="1594" t="s">
        <v>113</v>
      </c>
      <c r="K151" s="1594"/>
      <c r="L151" s="1594"/>
      <c r="M151" s="1594"/>
      <c r="N151" s="1594"/>
      <c r="O151" s="1594"/>
      <c r="P151" s="1594"/>
      <c r="Q151" s="1594"/>
      <c r="R151" s="1594" t="str">
        <f ca="1">Calculos!GH12</f>
        <v>não</v>
      </c>
      <c r="S151" s="1594"/>
      <c r="T151" s="1594"/>
      <c r="U151" s="1594"/>
      <c r="V151" s="1594"/>
      <c r="W151" s="1594"/>
      <c r="X151" s="1594" t="str">
        <f ca="1">IF(Calculos!GL12&lt;&gt;0,Calculos!GL12,"-")</f>
        <v>-</v>
      </c>
      <c r="Y151" s="1594"/>
      <c r="Z151" s="1594"/>
      <c r="AA151" s="1594"/>
      <c r="AB151" s="1594"/>
      <c r="AC151" s="1594"/>
      <c r="AD151" s="1594"/>
      <c r="AE151" s="1594"/>
      <c r="AF151" s="1594"/>
      <c r="AG151" s="1594"/>
      <c r="AH151" s="1594"/>
      <c r="AI151" s="1594"/>
      <c r="AJ151" s="1594"/>
      <c r="AK151" s="1594"/>
      <c r="AL151" s="1594"/>
      <c r="AM151" s="1608" t="str">
        <f ca="1">Calculos!GO12</f>
        <v>-</v>
      </c>
      <c r="AN151" s="1608"/>
      <c r="AO151" s="1608"/>
      <c r="AP151" s="1608"/>
      <c r="AQ151" s="1608"/>
      <c r="AR151" s="20"/>
    </row>
    <row r="152" spans="1:44" ht="17.100000000000001" customHeight="1" x14ac:dyDescent="0.25">
      <c r="A152" s="1632"/>
      <c r="B152" s="1632"/>
      <c r="C152" s="1632"/>
      <c r="D152" s="1632"/>
      <c r="E152" s="1632"/>
      <c r="F152" s="1632"/>
      <c r="G152" s="1632"/>
      <c r="H152" s="1632"/>
      <c r="I152" s="1632"/>
      <c r="J152" s="1594" t="s">
        <v>114</v>
      </c>
      <c r="K152" s="1594"/>
      <c r="L152" s="1594"/>
      <c r="M152" s="1594"/>
      <c r="N152" s="1594"/>
      <c r="O152" s="1594"/>
      <c r="P152" s="1594"/>
      <c r="Q152" s="1594"/>
      <c r="R152" s="1594" t="str">
        <f ca="1">Calculos!GH13</f>
        <v>não</v>
      </c>
      <c r="S152" s="1594"/>
      <c r="T152" s="1594"/>
      <c r="U152" s="1594"/>
      <c r="V152" s="1594"/>
      <c r="W152" s="1594"/>
      <c r="X152" s="1594" t="str">
        <f ca="1">IF(Calculos!GL13&lt;&gt;0,Calculos!GL13,"-")</f>
        <v>-</v>
      </c>
      <c r="Y152" s="1594"/>
      <c r="Z152" s="1594"/>
      <c r="AA152" s="1594"/>
      <c r="AB152" s="1594"/>
      <c r="AC152" s="1594"/>
      <c r="AD152" s="1594"/>
      <c r="AE152" s="1594"/>
      <c r="AF152" s="1594"/>
      <c r="AG152" s="1594"/>
      <c r="AH152" s="1594"/>
      <c r="AI152" s="1594"/>
      <c r="AJ152" s="1594"/>
      <c r="AK152" s="1594"/>
      <c r="AL152" s="1594"/>
      <c r="AM152" s="1608" t="str">
        <f ca="1">Calculos!GO13</f>
        <v>-</v>
      </c>
      <c r="AN152" s="1608"/>
      <c r="AO152" s="1608"/>
      <c r="AP152" s="1608"/>
      <c r="AQ152" s="1608"/>
      <c r="AR152" s="20"/>
    </row>
    <row r="153" spans="1:44" ht="12.75" customHeight="1" x14ac:dyDescent="0.25">
      <c r="A153" s="403" t="s">
        <v>8646</v>
      </c>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ht="12.75" customHeight="1" x14ac:dyDescent="0.25">
      <c r="A154" s="404"/>
      <c r="B154" s="404"/>
      <c r="C154" s="404"/>
      <c r="D154" s="404"/>
      <c r="E154" s="404"/>
      <c r="F154" s="404"/>
      <c r="G154" s="404"/>
      <c r="H154" s="404"/>
      <c r="I154" s="404"/>
      <c r="J154" s="405"/>
      <c r="K154" s="405"/>
      <c r="L154" s="405"/>
      <c r="M154" s="405"/>
      <c r="N154" s="405"/>
      <c r="O154" s="405"/>
      <c r="P154" s="405"/>
      <c r="Q154" s="405"/>
      <c r="R154" s="405"/>
      <c r="S154" s="405"/>
      <c r="T154" s="405"/>
      <c r="U154" s="405"/>
      <c r="V154" s="405"/>
      <c r="W154" s="405"/>
      <c r="X154" s="396"/>
      <c r="Y154" s="396"/>
      <c r="Z154" s="396"/>
      <c r="AA154" s="396"/>
      <c r="AB154" s="396"/>
      <c r="AC154" s="396"/>
      <c r="AD154" s="396"/>
      <c r="AE154" s="396"/>
      <c r="AF154" s="396"/>
      <c r="AG154" s="396"/>
      <c r="AH154" s="396"/>
      <c r="AI154" s="396"/>
      <c r="AJ154" s="396"/>
      <c r="AK154" s="396"/>
      <c r="AL154" s="396"/>
      <c r="AM154" s="400"/>
      <c r="AN154" s="400"/>
      <c r="AO154" s="400"/>
      <c r="AP154" s="400"/>
      <c r="AQ154" s="400"/>
      <c r="AR154" s="20"/>
    </row>
    <row r="155" spans="1:44" ht="21.2" customHeight="1" x14ac:dyDescent="0.25">
      <c r="A155" s="1593" t="s">
        <v>17</v>
      </c>
      <c r="B155" s="1593"/>
      <c r="C155" s="1593"/>
      <c r="D155" s="1593"/>
      <c r="E155" s="1593"/>
      <c r="F155" s="1593"/>
      <c r="G155" s="1593"/>
      <c r="H155" s="1593"/>
      <c r="I155" s="1593"/>
      <c r="J155" s="1593" t="s">
        <v>116</v>
      </c>
      <c r="K155" s="1593"/>
      <c r="L155" s="1593"/>
      <c r="M155" s="1593"/>
      <c r="N155" s="1593"/>
      <c r="O155" s="1593"/>
      <c r="P155" s="1593"/>
      <c r="Q155" s="1593"/>
      <c r="R155" s="1593" t="s">
        <v>8196</v>
      </c>
      <c r="S155" s="1593"/>
      <c r="T155" s="1593"/>
      <c r="U155" s="1593"/>
      <c r="V155" s="1593"/>
      <c r="W155" s="1593"/>
      <c r="X155" s="1593" t="s">
        <v>18</v>
      </c>
      <c r="Y155" s="1593"/>
      <c r="Z155" s="1593"/>
      <c r="AA155" s="1593"/>
      <c r="AB155" s="1593"/>
      <c r="AC155" s="1593"/>
      <c r="AD155" s="1593"/>
      <c r="AE155" s="1593"/>
      <c r="AF155" s="1593"/>
      <c r="AG155" s="1593"/>
      <c r="AH155" s="1593"/>
      <c r="AI155" s="1593"/>
      <c r="AJ155" s="1593"/>
      <c r="AK155" s="1593"/>
      <c r="AL155" s="1593"/>
      <c r="AM155" s="1593"/>
      <c r="AN155" s="1593"/>
      <c r="AO155" s="1593"/>
      <c r="AP155" s="1593"/>
      <c r="AQ155" s="1593"/>
      <c r="AR155" s="20"/>
    </row>
    <row r="156" spans="1:44" ht="84.95" customHeight="1" x14ac:dyDescent="0.25">
      <c r="A156" s="1632" t="s">
        <v>27</v>
      </c>
      <c r="B156" s="1632"/>
      <c r="C156" s="1632"/>
      <c r="D156" s="1632"/>
      <c r="E156" s="1632"/>
      <c r="F156" s="1632"/>
      <c r="G156" s="1632"/>
      <c r="H156" s="1632"/>
      <c r="I156" s="1632"/>
      <c r="J156" s="1594" t="s">
        <v>113</v>
      </c>
      <c r="K156" s="1594"/>
      <c r="L156" s="1594"/>
      <c r="M156" s="1594"/>
      <c r="N156" s="1594"/>
      <c r="O156" s="1594"/>
      <c r="P156" s="1594"/>
      <c r="Q156" s="1594"/>
      <c r="R156" s="1594" t="str">
        <f ca="1">Calculos!GH14</f>
        <v>não</v>
      </c>
      <c r="S156" s="1594"/>
      <c r="T156" s="1594"/>
      <c r="U156" s="1594"/>
      <c r="V156" s="1594"/>
      <c r="W156" s="1594"/>
      <c r="X156" s="1595" t="str">
        <f ca="1">IF(Calculos!GL14&lt;&gt;0,Calculos!GL14,"-")</f>
        <v>-</v>
      </c>
      <c r="Y156" s="1595"/>
      <c r="Z156" s="1595"/>
      <c r="AA156" s="1595"/>
      <c r="AB156" s="1595"/>
      <c r="AC156" s="1595"/>
      <c r="AD156" s="1595"/>
      <c r="AE156" s="1595"/>
      <c r="AF156" s="1595"/>
      <c r="AG156" s="1595"/>
      <c r="AH156" s="1595"/>
      <c r="AI156" s="1595"/>
      <c r="AJ156" s="1595"/>
      <c r="AK156" s="1595"/>
      <c r="AL156" s="1595"/>
      <c r="AM156" s="1595"/>
      <c r="AN156" s="1595"/>
      <c r="AO156" s="1595"/>
      <c r="AP156" s="1595"/>
      <c r="AQ156" s="1595"/>
      <c r="AR156" s="20"/>
    </row>
    <row r="157" spans="1:44" ht="84.95" customHeight="1" x14ac:dyDescent="0.2">
      <c r="A157" s="1632"/>
      <c r="B157" s="1632"/>
      <c r="C157" s="1632"/>
      <c r="D157" s="1632"/>
      <c r="E157" s="1632"/>
      <c r="F157" s="1632"/>
      <c r="G157" s="1632"/>
      <c r="H157" s="1632"/>
      <c r="I157" s="1632"/>
      <c r="J157" s="1594" t="s">
        <v>114</v>
      </c>
      <c r="K157" s="1594"/>
      <c r="L157" s="1594"/>
      <c r="M157" s="1594"/>
      <c r="N157" s="1594"/>
      <c r="O157" s="1594"/>
      <c r="P157" s="1594"/>
      <c r="Q157" s="1594"/>
      <c r="R157" s="1594" t="str">
        <f ca="1">Calculos!GH15</f>
        <v>não</v>
      </c>
      <c r="S157" s="1594"/>
      <c r="T157" s="1594"/>
      <c r="U157" s="1594"/>
      <c r="V157" s="1594"/>
      <c r="W157" s="1594"/>
      <c r="X157" s="1595" t="str">
        <f ca="1">IF(Calculos!GL15&lt;&gt;0,Calculos!GL15,"-")</f>
        <v>-</v>
      </c>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row>
    <row r="158" spans="1:44" ht="84.95" customHeight="1" x14ac:dyDescent="0.2">
      <c r="A158" s="1632" t="s">
        <v>26</v>
      </c>
      <c r="B158" s="1632"/>
      <c r="C158" s="1632"/>
      <c r="D158" s="1632"/>
      <c r="E158" s="1632"/>
      <c r="F158" s="1632"/>
      <c r="G158" s="1632"/>
      <c r="H158" s="1632"/>
      <c r="I158" s="1632"/>
      <c r="J158" s="1594" t="s">
        <v>113</v>
      </c>
      <c r="K158" s="1594"/>
      <c r="L158" s="1594"/>
      <c r="M158" s="1594"/>
      <c r="N158" s="1594"/>
      <c r="O158" s="1594"/>
      <c r="P158" s="1594"/>
      <c r="Q158" s="1594"/>
      <c r="R158" s="1594" t="str">
        <f ca="1">Calculos!GH16</f>
        <v>não</v>
      </c>
      <c r="S158" s="1594"/>
      <c r="T158" s="1594"/>
      <c r="U158" s="1594"/>
      <c r="V158" s="1594"/>
      <c r="W158" s="1594"/>
      <c r="X158" s="1595" t="str">
        <f ca="1">IF(Calculos!GL16&lt;&gt;0,Calculos!GL16,"-")</f>
        <v>-</v>
      </c>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row>
    <row r="159" spans="1:44" ht="84.95" customHeight="1" x14ac:dyDescent="0.2">
      <c r="A159" s="1632"/>
      <c r="B159" s="1632"/>
      <c r="C159" s="1632"/>
      <c r="D159" s="1632"/>
      <c r="E159" s="1632"/>
      <c r="F159" s="1632"/>
      <c r="G159" s="1632"/>
      <c r="H159" s="1632"/>
      <c r="I159" s="1632"/>
      <c r="J159" s="1594" t="s">
        <v>114</v>
      </c>
      <c r="K159" s="1594"/>
      <c r="L159" s="1594"/>
      <c r="M159" s="1594"/>
      <c r="N159" s="1594"/>
      <c r="O159" s="1594"/>
      <c r="P159" s="1594"/>
      <c r="Q159" s="1594"/>
      <c r="R159" s="1594" t="str">
        <f ca="1">Calculos!GH17</f>
        <v>não</v>
      </c>
      <c r="S159" s="1594"/>
      <c r="T159" s="1594"/>
      <c r="U159" s="1594"/>
      <c r="V159" s="1594"/>
      <c r="W159" s="1594"/>
      <c r="X159" s="1595" t="str">
        <f ca="1">IF(Calculos!GL17&lt;&gt;0,Calculos!GL17,"-")</f>
        <v>-</v>
      </c>
      <c r="Y159" s="1595"/>
      <c r="Z159" s="1595"/>
      <c r="AA159" s="1595"/>
      <c r="AB159" s="1595"/>
      <c r="AC159" s="1595"/>
      <c r="AD159" s="1595"/>
      <c r="AE159" s="1595"/>
      <c r="AF159" s="1595"/>
      <c r="AG159" s="1595"/>
      <c r="AH159" s="1595"/>
      <c r="AI159" s="1595"/>
      <c r="AJ159" s="1595"/>
      <c r="AK159" s="1595"/>
      <c r="AL159" s="1595"/>
      <c r="AM159" s="1595"/>
      <c r="AN159" s="1595"/>
      <c r="AO159" s="1595"/>
      <c r="AP159" s="1595"/>
      <c r="AQ159" s="1595"/>
    </row>
    <row r="160" spans="1:44" ht="31.35" customHeight="1" x14ac:dyDescent="0.2">
      <c r="A160" s="1632" t="s">
        <v>28</v>
      </c>
      <c r="B160" s="1632"/>
      <c r="C160" s="1632"/>
      <c r="D160" s="1632"/>
      <c r="E160" s="1632"/>
      <c r="F160" s="1632"/>
      <c r="G160" s="1632"/>
      <c r="H160" s="1632"/>
      <c r="I160" s="1632"/>
      <c r="J160" s="1594" t="s">
        <v>8267</v>
      </c>
      <c r="K160" s="1594"/>
      <c r="L160" s="1594"/>
      <c r="M160" s="1594"/>
      <c r="N160" s="1594"/>
      <c r="O160" s="1594"/>
      <c r="P160" s="1594"/>
      <c r="Q160" s="1594"/>
      <c r="R160" s="1594" t="str">
        <f ca="1">Calculos!GH18</f>
        <v>não</v>
      </c>
      <c r="S160" s="1594"/>
      <c r="T160" s="1594"/>
      <c r="U160" s="1594"/>
      <c r="V160" s="1594"/>
      <c r="W160" s="1594"/>
      <c r="X160" s="1595" t="str">
        <f ca="1">IF(Calculos!GL18&lt;&gt;0,Calculos!GL18,"-")</f>
        <v>-</v>
      </c>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row>
    <row r="161" spans="1:43" ht="31.35" customHeight="1" x14ac:dyDescent="0.2">
      <c r="A161" s="1632"/>
      <c r="B161" s="1632"/>
      <c r="C161" s="1632"/>
      <c r="D161" s="1632"/>
      <c r="E161" s="1632"/>
      <c r="F161" s="1632"/>
      <c r="G161" s="1632"/>
      <c r="H161" s="1632"/>
      <c r="I161" s="1632"/>
      <c r="J161" s="1594" t="s">
        <v>8268</v>
      </c>
      <c r="K161" s="1594"/>
      <c r="L161" s="1594"/>
      <c r="M161" s="1594"/>
      <c r="N161" s="1594"/>
      <c r="O161" s="1594"/>
      <c r="P161" s="1594"/>
      <c r="Q161" s="1594"/>
      <c r="R161" s="1594" t="str">
        <f ca="1">Calculos!GH19</f>
        <v>não</v>
      </c>
      <c r="S161" s="1594"/>
      <c r="T161" s="1594"/>
      <c r="U161" s="1594"/>
      <c r="V161" s="1594"/>
      <c r="W161" s="1594"/>
      <c r="X161" s="1595" t="str">
        <f ca="1">IF(Calculos!GL19&lt;&gt;0,Calculos!GL19,"-")</f>
        <v>-</v>
      </c>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row>
    <row r="162" spans="1:43" ht="31.35" customHeight="1" x14ac:dyDescent="0.2">
      <c r="A162" s="1632"/>
      <c r="B162" s="1632"/>
      <c r="C162" s="1632"/>
      <c r="D162" s="1632"/>
      <c r="E162" s="1632"/>
      <c r="F162" s="1632"/>
      <c r="G162" s="1632"/>
      <c r="H162" s="1632"/>
      <c r="I162" s="1632"/>
      <c r="J162" s="1594" t="s">
        <v>113</v>
      </c>
      <c r="K162" s="1594"/>
      <c r="L162" s="1594"/>
      <c r="M162" s="1594"/>
      <c r="N162" s="1594"/>
      <c r="O162" s="1594"/>
      <c r="P162" s="1594"/>
      <c r="Q162" s="1594"/>
      <c r="R162" s="1594" t="str">
        <f ca="1">Calculos!GH20</f>
        <v>não</v>
      </c>
      <c r="S162" s="1594"/>
      <c r="T162" s="1594"/>
      <c r="U162" s="1594"/>
      <c r="V162" s="1594"/>
      <c r="W162" s="1594"/>
      <c r="X162" s="1595" t="str">
        <f ca="1">IF(Calculos!GL20&lt;&gt;0,Calculos!GL20,"-")</f>
        <v>-</v>
      </c>
      <c r="Y162" s="1595"/>
      <c r="Z162" s="1595"/>
      <c r="AA162" s="1595"/>
      <c r="AB162" s="1595"/>
      <c r="AC162" s="1595"/>
      <c r="AD162" s="1595"/>
      <c r="AE162" s="1595"/>
      <c r="AF162" s="1595"/>
      <c r="AG162" s="1595"/>
      <c r="AH162" s="1595"/>
      <c r="AI162" s="1595"/>
      <c r="AJ162" s="1595"/>
      <c r="AK162" s="1595"/>
      <c r="AL162" s="1595"/>
      <c r="AM162" s="1595"/>
      <c r="AN162" s="1595"/>
      <c r="AO162" s="1595"/>
      <c r="AP162" s="1595"/>
      <c r="AQ162" s="1595"/>
    </row>
    <row r="163" spans="1:43" ht="31.35" customHeight="1" x14ac:dyDescent="0.2">
      <c r="A163" s="1632"/>
      <c r="B163" s="1632"/>
      <c r="C163" s="1632"/>
      <c r="D163" s="1632"/>
      <c r="E163" s="1632"/>
      <c r="F163" s="1632"/>
      <c r="G163" s="1632"/>
      <c r="H163" s="1632"/>
      <c r="I163" s="1632"/>
      <c r="J163" s="1594" t="s">
        <v>114</v>
      </c>
      <c r="K163" s="1594"/>
      <c r="L163" s="1594"/>
      <c r="M163" s="1594"/>
      <c r="N163" s="1594"/>
      <c r="O163" s="1594"/>
      <c r="P163" s="1594"/>
      <c r="Q163" s="1594"/>
      <c r="R163" s="1594" t="str">
        <f ca="1">Calculos!GH21</f>
        <v>não</v>
      </c>
      <c r="S163" s="1594"/>
      <c r="T163" s="1594"/>
      <c r="U163" s="1594"/>
      <c r="V163" s="1594"/>
      <c r="W163" s="1594"/>
      <c r="X163" s="1595" t="str">
        <f ca="1">IF(Calculos!GL21&lt;&gt;0,Calculos!GL21,"-")</f>
        <v>-</v>
      </c>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row>
    <row r="164" spans="1:43" ht="31.35" customHeight="1" x14ac:dyDescent="0.2">
      <c r="A164" s="1632" t="s">
        <v>29</v>
      </c>
      <c r="B164" s="1632"/>
      <c r="C164" s="1632"/>
      <c r="D164" s="1632"/>
      <c r="E164" s="1632"/>
      <c r="F164" s="1632"/>
      <c r="G164" s="1632"/>
      <c r="H164" s="1632"/>
      <c r="I164" s="1632"/>
      <c r="J164" s="1594" t="s">
        <v>113</v>
      </c>
      <c r="K164" s="1594"/>
      <c r="L164" s="1594"/>
      <c r="M164" s="1594"/>
      <c r="N164" s="1594"/>
      <c r="O164" s="1594"/>
      <c r="P164" s="1594"/>
      <c r="Q164" s="1594"/>
      <c r="R164" s="1594" t="str">
        <f ca="1">Calculos!GH22</f>
        <v>não</v>
      </c>
      <c r="S164" s="1594"/>
      <c r="T164" s="1594"/>
      <c r="U164" s="1594"/>
      <c r="V164" s="1594"/>
      <c r="W164" s="1594"/>
      <c r="X164" s="1595" t="str">
        <f ca="1">IF(Calculos!GL22&lt;&gt;0,Calculos!GL22,"-")</f>
        <v>-</v>
      </c>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row>
    <row r="165" spans="1:43" ht="31.35" customHeight="1" x14ac:dyDescent="0.2">
      <c r="A165" s="1632"/>
      <c r="B165" s="1632"/>
      <c r="C165" s="1632"/>
      <c r="D165" s="1632"/>
      <c r="E165" s="1632"/>
      <c r="F165" s="1632"/>
      <c r="G165" s="1632"/>
      <c r="H165" s="1632"/>
      <c r="I165" s="1632"/>
      <c r="J165" s="1594" t="s">
        <v>114</v>
      </c>
      <c r="K165" s="1594"/>
      <c r="L165" s="1594"/>
      <c r="M165" s="1594"/>
      <c r="N165" s="1594"/>
      <c r="O165" s="1594"/>
      <c r="P165" s="1594"/>
      <c r="Q165" s="1594"/>
      <c r="R165" s="1594" t="str">
        <f ca="1">Calculos!GH23</f>
        <v>não</v>
      </c>
      <c r="S165" s="1594"/>
      <c r="T165" s="1594"/>
      <c r="U165" s="1594"/>
      <c r="V165" s="1594"/>
      <c r="W165" s="1594"/>
      <c r="X165" s="1595" t="str">
        <f ca="1">IF(Calculos!GL23&lt;&gt;0,Calculos!GL23,"-")</f>
        <v>-</v>
      </c>
      <c r="Y165" s="1595"/>
      <c r="Z165" s="1595"/>
      <c r="AA165" s="1595"/>
      <c r="AB165" s="1595"/>
      <c r="AC165" s="1595"/>
      <c r="AD165" s="1595"/>
      <c r="AE165" s="1595"/>
      <c r="AF165" s="1595"/>
      <c r="AG165" s="1595"/>
      <c r="AH165" s="1595"/>
      <c r="AI165" s="1595"/>
      <c r="AJ165" s="1595"/>
      <c r="AK165" s="1595"/>
      <c r="AL165" s="1595"/>
      <c r="AM165" s="1595"/>
      <c r="AN165" s="1595"/>
      <c r="AO165" s="1595"/>
      <c r="AP165" s="1595"/>
      <c r="AQ165" s="1595"/>
    </row>
    <row r="166" spans="1:43" ht="39.6" customHeight="1" x14ac:dyDescent="0.2">
      <c r="A166" s="1632" t="s">
        <v>378</v>
      </c>
      <c r="B166" s="1632"/>
      <c r="C166" s="1632"/>
      <c r="D166" s="1632"/>
      <c r="E166" s="1632"/>
      <c r="F166" s="1632"/>
      <c r="G166" s="1632"/>
      <c r="H166" s="1632"/>
      <c r="I166" s="1632"/>
      <c r="J166" s="1594" t="s">
        <v>113</v>
      </c>
      <c r="K166" s="1594"/>
      <c r="L166" s="1594"/>
      <c r="M166" s="1594"/>
      <c r="N166" s="1594"/>
      <c r="O166" s="1594"/>
      <c r="P166" s="1594"/>
      <c r="Q166" s="1594"/>
      <c r="R166" s="1594" t="str">
        <f ca="1">Calculos!GH24</f>
        <v>não</v>
      </c>
      <c r="S166" s="1594"/>
      <c r="T166" s="1594"/>
      <c r="U166" s="1594"/>
      <c r="V166" s="1594"/>
      <c r="W166" s="1594"/>
      <c r="X166" s="1595" t="str">
        <f ca="1">IF(Calculos!GL24&lt;&gt;0,Calculos!GL24,"-")</f>
        <v>-</v>
      </c>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row>
    <row r="167" spans="1:43" ht="39.6" customHeight="1" x14ac:dyDescent="0.2">
      <c r="A167" s="1632"/>
      <c r="B167" s="1632"/>
      <c r="C167" s="1632"/>
      <c r="D167" s="1632"/>
      <c r="E167" s="1632"/>
      <c r="F167" s="1632"/>
      <c r="G167" s="1632"/>
      <c r="H167" s="1632"/>
      <c r="I167" s="1632"/>
      <c r="J167" s="1594" t="s">
        <v>114</v>
      </c>
      <c r="K167" s="1594"/>
      <c r="L167" s="1594"/>
      <c r="M167" s="1594"/>
      <c r="N167" s="1594"/>
      <c r="O167" s="1594"/>
      <c r="P167" s="1594"/>
      <c r="Q167" s="1594"/>
      <c r="R167" s="1594" t="str">
        <f ca="1">Calculos!GH25</f>
        <v>não</v>
      </c>
      <c r="S167" s="1594"/>
      <c r="T167" s="1594"/>
      <c r="U167" s="1594"/>
      <c r="V167" s="1594"/>
      <c r="W167" s="1594"/>
      <c r="X167" s="1595" t="str">
        <f ca="1">IF(Calculos!GL25&lt;&gt;0,Calculos!GL25,"-")</f>
        <v>-</v>
      </c>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row>
    <row r="168" spans="1:43" ht="21.2" customHeight="1" x14ac:dyDescent="0.2">
      <c r="A168" s="404"/>
      <c r="B168" s="404"/>
      <c r="C168" s="404"/>
      <c r="D168" s="404"/>
      <c r="E168" s="404"/>
      <c r="F168" s="404"/>
      <c r="G168" s="404"/>
      <c r="H168" s="404"/>
      <c r="I168" s="404"/>
      <c r="J168" s="405"/>
      <c r="K168" s="405"/>
      <c r="L168" s="405"/>
      <c r="M168" s="405"/>
      <c r="N168" s="405"/>
      <c r="O168" s="405"/>
      <c r="P168" s="405"/>
      <c r="Q168" s="405"/>
      <c r="R168" s="405"/>
      <c r="S168" s="405"/>
      <c r="T168" s="405"/>
      <c r="U168" s="405"/>
      <c r="V168" s="405"/>
      <c r="W168" s="405"/>
      <c r="X168" s="396"/>
      <c r="Y168" s="396"/>
      <c r="Z168" s="396"/>
      <c r="AA168" s="396"/>
      <c r="AB168" s="396"/>
      <c r="AC168" s="396"/>
      <c r="AD168" s="396"/>
      <c r="AE168" s="396"/>
      <c r="AF168" s="396"/>
      <c r="AG168" s="396"/>
      <c r="AH168" s="396"/>
      <c r="AI168" s="396"/>
      <c r="AJ168" s="396"/>
      <c r="AK168" s="396"/>
      <c r="AL168" s="396"/>
      <c r="AM168" s="396"/>
      <c r="AN168" s="396"/>
      <c r="AO168" s="396"/>
      <c r="AP168" s="396"/>
      <c r="AQ168" s="396"/>
    </row>
    <row r="169" spans="1:43" ht="21.2" customHeight="1" x14ac:dyDescent="0.2"/>
    <row r="170" spans="1:43" ht="21.2" customHeight="1" x14ac:dyDescent="0.2"/>
    <row r="171" spans="1:43" ht="21.2" customHeight="1" x14ac:dyDescent="0.2">
      <c r="A171" s="393"/>
    </row>
    <row r="172" spans="1:43" ht="28.35" customHeight="1" x14ac:dyDescent="0.2">
      <c r="A172" s="393" t="s">
        <v>8241</v>
      </c>
    </row>
    <row r="173" spans="1:43" ht="35.25" customHeight="1" x14ac:dyDescent="0.2">
      <c r="A173" s="1610" t="s">
        <v>17</v>
      </c>
      <c r="B173" s="1610"/>
      <c r="C173" s="1610"/>
      <c r="D173" s="1610"/>
      <c r="E173" s="1610"/>
      <c r="F173" s="1610"/>
      <c r="G173" s="1610"/>
      <c r="H173" s="1610"/>
      <c r="I173" s="1610"/>
      <c r="J173" s="1610" t="s">
        <v>116</v>
      </c>
      <c r="K173" s="1610"/>
      <c r="L173" s="1610"/>
      <c r="M173" s="1610"/>
      <c r="N173" s="1610"/>
      <c r="O173" s="1610"/>
      <c r="P173" s="1610"/>
      <c r="Q173" s="1610"/>
      <c r="R173" s="1636" t="s">
        <v>115</v>
      </c>
      <c r="S173" s="1636"/>
      <c r="T173" s="1636"/>
      <c r="U173" s="1636"/>
      <c r="V173" s="1636"/>
      <c r="W173" s="1636"/>
      <c r="X173" s="1636"/>
      <c r="Y173" s="1636"/>
      <c r="Z173" s="1636"/>
      <c r="AA173" s="1636"/>
      <c r="AB173" s="1636" t="s">
        <v>379</v>
      </c>
      <c r="AC173" s="1636"/>
      <c r="AD173" s="1636"/>
      <c r="AE173" s="1636"/>
      <c r="AF173" s="1636"/>
      <c r="AG173" s="1636"/>
      <c r="AH173" s="1636"/>
      <c r="AI173" s="1636"/>
      <c r="AJ173" s="1636"/>
      <c r="AK173" s="1636"/>
    </row>
    <row r="174" spans="1:43" ht="28.35" customHeight="1" x14ac:dyDescent="0.2">
      <c r="A174" s="1632" t="s">
        <v>381</v>
      </c>
      <c r="B174" s="1632"/>
      <c r="C174" s="1632"/>
      <c r="D174" s="1632"/>
      <c r="E174" s="1632"/>
      <c r="F174" s="1632"/>
      <c r="G174" s="1632"/>
      <c r="H174" s="1632"/>
      <c r="I174" s="1632"/>
      <c r="J174" s="1594" t="s">
        <v>376</v>
      </c>
      <c r="K174" s="1594"/>
      <c r="L174" s="1594"/>
      <c r="M174" s="1594"/>
      <c r="N174" s="1594"/>
      <c r="O174" s="1594"/>
      <c r="P174" s="1594"/>
      <c r="Q174" s="1594"/>
      <c r="R174" s="1644" t="str">
        <f ca="1">Calculos!GS6</f>
        <v>-</v>
      </c>
      <c r="S174" s="1644"/>
      <c r="T174" s="1644"/>
      <c r="U174" s="1644"/>
      <c r="V174" s="1644"/>
      <c r="W174" s="1644"/>
      <c r="X174" s="1644"/>
      <c r="Y174" s="1644"/>
      <c r="Z174" s="1644"/>
      <c r="AA174" s="1644"/>
      <c r="AB174" s="1594" t="str">
        <f ca="1">Calculos!GV6</f>
        <v>-</v>
      </c>
      <c r="AC174" s="1594"/>
      <c r="AD174" s="1594"/>
      <c r="AE174" s="1594"/>
      <c r="AF174" s="1594"/>
      <c r="AG174" s="1594"/>
      <c r="AH174" s="1594"/>
      <c r="AI174" s="1594"/>
      <c r="AJ174" s="1594"/>
      <c r="AK174" s="1594"/>
    </row>
    <row r="175" spans="1:43" ht="28.35" customHeight="1" x14ac:dyDescent="0.2">
      <c r="A175" s="1632"/>
      <c r="B175" s="1632"/>
      <c r="C175" s="1632"/>
      <c r="D175" s="1632"/>
      <c r="E175" s="1632"/>
      <c r="F175" s="1632"/>
      <c r="G175" s="1632"/>
      <c r="H175" s="1632"/>
      <c r="I175" s="1632"/>
      <c r="J175" s="1594" t="s">
        <v>377</v>
      </c>
      <c r="K175" s="1594"/>
      <c r="L175" s="1594"/>
      <c r="M175" s="1594"/>
      <c r="N175" s="1594"/>
      <c r="O175" s="1594"/>
      <c r="P175" s="1594"/>
      <c r="Q175" s="1594"/>
      <c r="R175" s="1644" t="str">
        <f ca="1">Calculos!GS7</f>
        <v>-</v>
      </c>
      <c r="S175" s="1644"/>
      <c r="T175" s="1644"/>
      <c r="U175" s="1644"/>
      <c r="V175" s="1644"/>
      <c r="W175" s="1644"/>
      <c r="X175" s="1644"/>
      <c r="Y175" s="1644"/>
      <c r="Z175" s="1644"/>
      <c r="AA175" s="1644"/>
      <c r="AB175" s="1594"/>
      <c r="AC175" s="1594"/>
      <c r="AD175" s="1594"/>
      <c r="AE175" s="1594"/>
      <c r="AF175" s="1594"/>
      <c r="AG175" s="1594"/>
      <c r="AH175" s="1594"/>
      <c r="AI175" s="1594"/>
      <c r="AJ175" s="1594"/>
      <c r="AK175" s="1594"/>
    </row>
    <row r="176" spans="1:43" ht="28.35" customHeight="1" x14ac:dyDescent="0.2">
      <c r="A176" s="1632"/>
      <c r="B176" s="1632"/>
      <c r="C176" s="1632"/>
      <c r="D176" s="1632"/>
      <c r="E176" s="1632"/>
      <c r="F176" s="1632"/>
      <c r="G176" s="1632"/>
      <c r="H176" s="1632"/>
      <c r="I176" s="1632"/>
      <c r="J176" s="1594" t="s">
        <v>113</v>
      </c>
      <c r="K176" s="1594"/>
      <c r="L176" s="1594"/>
      <c r="M176" s="1594"/>
      <c r="N176" s="1594"/>
      <c r="O176" s="1594"/>
      <c r="P176" s="1594"/>
      <c r="Q176" s="1594"/>
      <c r="R176" s="1644" t="str">
        <f ca="1">Calculos!GS8</f>
        <v>-</v>
      </c>
      <c r="S176" s="1644"/>
      <c r="T176" s="1644"/>
      <c r="U176" s="1644"/>
      <c r="V176" s="1644"/>
      <c r="W176" s="1644"/>
      <c r="X176" s="1644"/>
      <c r="Y176" s="1644"/>
      <c r="Z176" s="1644"/>
      <c r="AA176" s="1644"/>
      <c r="AB176" s="1594"/>
      <c r="AC176" s="1594"/>
      <c r="AD176" s="1594"/>
      <c r="AE176" s="1594"/>
      <c r="AF176" s="1594"/>
      <c r="AG176" s="1594"/>
      <c r="AH176" s="1594"/>
      <c r="AI176" s="1594"/>
      <c r="AJ176" s="1594"/>
      <c r="AK176" s="1594"/>
    </row>
    <row r="177" spans="1:37" ht="28.35" customHeight="1" x14ac:dyDescent="0.2">
      <c r="A177" s="1632"/>
      <c r="B177" s="1632"/>
      <c r="C177" s="1632"/>
      <c r="D177" s="1632"/>
      <c r="E177" s="1632"/>
      <c r="F177" s="1632"/>
      <c r="G177" s="1632"/>
      <c r="H177" s="1632"/>
      <c r="I177" s="1632"/>
      <c r="J177" s="1594" t="s">
        <v>114</v>
      </c>
      <c r="K177" s="1594"/>
      <c r="L177" s="1594"/>
      <c r="M177" s="1594"/>
      <c r="N177" s="1594"/>
      <c r="O177" s="1594"/>
      <c r="P177" s="1594"/>
      <c r="Q177" s="1594"/>
      <c r="R177" s="1644" t="str">
        <f ca="1">Calculos!GS9</f>
        <v>-</v>
      </c>
      <c r="S177" s="1644"/>
      <c r="T177" s="1644"/>
      <c r="U177" s="1644"/>
      <c r="V177" s="1644"/>
      <c r="W177" s="1644"/>
      <c r="X177" s="1644"/>
      <c r="Y177" s="1644"/>
      <c r="Z177" s="1644"/>
      <c r="AA177" s="1644"/>
      <c r="AB177" s="1594"/>
      <c r="AC177" s="1594"/>
      <c r="AD177" s="1594"/>
      <c r="AE177" s="1594"/>
      <c r="AF177" s="1594"/>
      <c r="AG177" s="1594"/>
      <c r="AH177" s="1594"/>
      <c r="AI177" s="1594"/>
      <c r="AJ177" s="1594"/>
      <c r="AK177" s="1594"/>
    </row>
    <row r="178" spans="1:37" ht="28.35" customHeight="1" x14ac:dyDescent="0.2">
      <c r="A178" s="1632" t="s">
        <v>258</v>
      </c>
      <c r="B178" s="1632"/>
      <c r="C178" s="1632"/>
      <c r="D178" s="1632"/>
      <c r="E178" s="1632"/>
      <c r="F178" s="1632"/>
      <c r="G178" s="1632"/>
      <c r="H178" s="1632"/>
      <c r="I178" s="1632"/>
      <c r="J178" s="1594" t="s">
        <v>113</v>
      </c>
      <c r="K178" s="1594"/>
      <c r="L178" s="1594"/>
      <c r="M178" s="1594"/>
      <c r="N178" s="1594"/>
      <c r="O178" s="1594"/>
      <c r="P178" s="1594"/>
      <c r="Q178" s="1594"/>
      <c r="R178" s="1644" t="str">
        <f ca="1">Calculos!GS10</f>
        <v>-</v>
      </c>
      <c r="S178" s="1644"/>
      <c r="T178" s="1644"/>
      <c r="U178" s="1644"/>
      <c r="V178" s="1644"/>
      <c r="W178" s="1644"/>
      <c r="X178" s="1644"/>
      <c r="Y178" s="1644"/>
      <c r="Z178" s="1644"/>
      <c r="AA178" s="1644"/>
      <c r="AB178" s="1594" t="str">
        <f ca="1">Calculos!GV10</f>
        <v>-</v>
      </c>
      <c r="AC178" s="1594"/>
      <c r="AD178" s="1594"/>
      <c r="AE178" s="1594"/>
      <c r="AF178" s="1594"/>
      <c r="AG178" s="1594"/>
      <c r="AH178" s="1594"/>
      <c r="AI178" s="1594"/>
      <c r="AJ178" s="1594"/>
      <c r="AK178" s="1594"/>
    </row>
    <row r="179" spans="1:37" ht="28.35" customHeight="1" x14ac:dyDescent="0.2">
      <c r="A179" s="1632"/>
      <c r="B179" s="1632"/>
      <c r="C179" s="1632"/>
      <c r="D179" s="1632"/>
      <c r="E179" s="1632"/>
      <c r="F179" s="1632"/>
      <c r="G179" s="1632"/>
      <c r="H179" s="1632"/>
      <c r="I179" s="1632"/>
      <c r="J179" s="1594" t="s">
        <v>114</v>
      </c>
      <c r="K179" s="1594"/>
      <c r="L179" s="1594"/>
      <c r="M179" s="1594"/>
      <c r="N179" s="1594"/>
      <c r="O179" s="1594"/>
      <c r="P179" s="1594"/>
      <c r="Q179" s="1594"/>
      <c r="R179" s="1644" t="str">
        <f ca="1">Calculos!GS11</f>
        <v>-</v>
      </c>
      <c r="S179" s="1644"/>
      <c r="T179" s="1644"/>
      <c r="U179" s="1644"/>
      <c r="V179" s="1644"/>
      <c r="W179" s="1644"/>
      <c r="X179" s="1644"/>
      <c r="Y179" s="1644"/>
      <c r="Z179" s="1644"/>
      <c r="AA179" s="1644"/>
      <c r="AB179" s="1594"/>
      <c r="AC179" s="1594"/>
      <c r="AD179" s="1594"/>
      <c r="AE179" s="1594"/>
      <c r="AF179" s="1594"/>
      <c r="AG179" s="1594"/>
      <c r="AH179" s="1594"/>
      <c r="AI179" s="1594"/>
      <c r="AJ179" s="1594"/>
      <c r="AK179" s="1594"/>
    </row>
    <row r="180" spans="1:37" ht="28.35" customHeight="1" x14ac:dyDescent="0.2">
      <c r="A180" s="1632" t="s">
        <v>111</v>
      </c>
      <c r="B180" s="1632"/>
      <c r="C180" s="1632"/>
      <c r="D180" s="1632"/>
      <c r="E180" s="1632"/>
      <c r="F180" s="1632"/>
      <c r="G180" s="1632"/>
      <c r="H180" s="1632"/>
      <c r="I180" s="1632"/>
      <c r="J180" s="1594" t="s">
        <v>113</v>
      </c>
      <c r="K180" s="1594"/>
      <c r="L180" s="1594"/>
      <c r="M180" s="1594"/>
      <c r="N180" s="1594"/>
      <c r="O180" s="1594"/>
      <c r="P180" s="1594"/>
      <c r="Q180" s="1594"/>
      <c r="R180" s="1644" t="str">
        <f ca="1">Calculos!GS12</f>
        <v>-</v>
      </c>
      <c r="S180" s="1644"/>
      <c r="T180" s="1644"/>
      <c r="U180" s="1644"/>
      <c r="V180" s="1644"/>
      <c r="W180" s="1644"/>
      <c r="X180" s="1644"/>
      <c r="Y180" s="1644"/>
      <c r="Z180" s="1644"/>
      <c r="AA180" s="1644"/>
      <c r="AB180" s="1594" t="str">
        <f ca="1">Calculos!GV12</f>
        <v>-</v>
      </c>
      <c r="AC180" s="1594"/>
      <c r="AD180" s="1594"/>
      <c r="AE180" s="1594"/>
      <c r="AF180" s="1594"/>
      <c r="AG180" s="1594"/>
      <c r="AH180" s="1594"/>
      <c r="AI180" s="1594"/>
      <c r="AJ180" s="1594"/>
      <c r="AK180" s="1594"/>
    </row>
    <row r="181" spans="1:37" ht="28.35" customHeight="1" x14ac:dyDescent="0.2">
      <c r="A181" s="1632"/>
      <c r="B181" s="1632"/>
      <c r="C181" s="1632"/>
      <c r="D181" s="1632"/>
      <c r="E181" s="1632"/>
      <c r="F181" s="1632"/>
      <c r="G181" s="1632"/>
      <c r="H181" s="1632"/>
      <c r="I181" s="1632"/>
      <c r="J181" s="1594" t="s">
        <v>114</v>
      </c>
      <c r="K181" s="1594"/>
      <c r="L181" s="1594"/>
      <c r="M181" s="1594"/>
      <c r="N181" s="1594"/>
      <c r="O181" s="1594"/>
      <c r="P181" s="1594"/>
      <c r="Q181" s="1594"/>
      <c r="R181" s="1644" t="str">
        <f ca="1">Calculos!GS13</f>
        <v>-</v>
      </c>
      <c r="S181" s="1644"/>
      <c r="T181" s="1644"/>
      <c r="U181" s="1644"/>
      <c r="V181" s="1644"/>
      <c r="W181" s="1644"/>
      <c r="X181" s="1644"/>
      <c r="Y181" s="1644"/>
      <c r="Z181" s="1644"/>
      <c r="AA181" s="1644"/>
      <c r="AB181" s="1594"/>
      <c r="AC181" s="1594"/>
      <c r="AD181" s="1594"/>
      <c r="AE181" s="1594"/>
      <c r="AF181" s="1594"/>
      <c r="AG181" s="1594"/>
      <c r="AH181" s="1594"/>
      <c r="AI181" s="1594"/>
      <c r="AJ181" s="1594"/>
      <c r="AK181" s="1594"/>
    </row>
    <row r="182" spans="1:37" ht="28.35" customHeight="1" x14ac:dyDescent="0.2">
      <c r="A182" s="1636" t="s">
        <v>27</v>
      </c>
      <c r="B182" s="1636"/>
      <c r="C182" s="1636"/>
      <c r="D182" s="1636"/>
      <c r="E182" s="1636"/>
      <c r="F182" s="1636"/>
      <c r="G182" s="1636"/>
      <c r="H182" s="1636"/>
      <c r="I182" s="1636"/>
      <c r="J182" s="1594" t="s">
        <v>113</v>
      </c>
      <c r="K182" s="1594"/>
      <c r="L182" s="1594"/>
      <c r="M182" s="1594"/>
      <c r="N182" s="1594"/>
      <c r="O182" s="1594"/>
      <c r="P182" s="1594"/>
      <c r="Q182" s="1594"/>
      <c r="R182" s="1644" t="str">
        <f ca="1">Calculos!GS14</f>
        <v>-</v>
      </c>
      <c r="S182" s="1644"/>
      <c r="T182" s="1644"/>
      <c r="U182" s="1644"/>
      <c r="V182" s="1644"/>
      <c r="W182" s="1644"/>
      <c r="X182" s="1644"/>
      <c r="Y182" s="1644"/>
      <c r="Z182" s="1644"/>
      <c r="AA182" s="1644"/>
      <c r="AB182" s="1632" t="str">
        <f ca="1">Calculos!GV14</f>
        <v>-</v>
      </c>
      <c r="AC182" s="1632"/>
      <c r="AD182" s="1632"/>
      <c r="AE182" s="1632"/>
      <c r="AF182" s="1632"/>
      <c r="AG182" s="1632"/>
      <c r="AH182" s="1632"/>
      <c r="AI182" s="1632"/>
      <c r="AJ182" s="1632"/>
      <c r="AK182" s="1632"/>
    </row>
    <row r="183" spans="1:37" ht="28.35" customHeight="1" x14ac:dyDescent="0.2">
      <c r="A183" s="1636"/>
      <c r="B183" s="1636"/>
      <c r="C183" s="1636"/>
      <c r="D183" s="1636"/>
      <c r="E183" s="1636"/>
      <c r="F183" s="1636"/>
      <c r="G183" s="1636"/>
      <c r="H183" s="1636"/>
      <c r="I183" s="1636"/>
      <c r="J183" s="1594" t="s">
        <v>114</v>
      </c>
      <c r="K183" s="1594"/>
      <c r="L183" s="1594"/>
      <c r="M183" s="1594"/>
      <c r="N183" s="1594"/>
      <c r="O183" s="1594"/>
      <c r="P183" s="1594"/>
      <c r="Q183" s="1594"/>
      <c r="R183" s="1644" t="str">
        <f ca="1">Calculos!GS15</f>
        <v>-</v>
      </c>
      <c r="S183" s="1644"/>
      <c r="T183" s="1644"/>
      <c r="U183" s="1644"/>
      <c r="V183" s="1644"/>
      <c r="W183" s="1644"/>
      <c r="X183" s="1644"/>
      <c r="Y183" s="1644"/>
      <c r="Z183" s="1644"/>
      <c r="AA183" s="1644"/>
      <c r="AB183" s="1632"/>
      <c r="AC183" s="1632"/>
      <c r="AD183" s="1632"/>
      <c r="AE183" s="1632"/>
      <c r="AF183" s="1632"/>
      <c r="AG183" s="1632"/>
      <c r="AH183" s="1632"/>
      <c r="AI183" s="1632"/>
      <c r="AJ183" s="1632"/>
      <c r="AK183" s="1632"/>
    </row>
    <row r="184" spans="1:37" ht="28.35" customHeight="1" x14ac:dyDescent="0.2">
      <c r="A184" s="1636" t="s">
        <v>26</v>
      </c>
      <c r="B184" s="1636"/>
      <c r="C184" s="1636"/>
      <c r="D184" s="1636"/>
      <c r="E184" s="1636"/>
      <c r="F184" s="1636"/>
      <c r="G184" s="1636"/>
      <c r="H184" s="1636"/>
      <c r="I184" s="1636"/>
      <c r="J184" s="1594" t="s">
        <v>113</v>
      </c>
      <c r="K184" s="1594"/>
      <c r="L184" s="1594"/>
      <c r="M184" s="1594"/>
      <c r="N184" s="1594"/>
      <c r="O184" s="1594"/>
      <c r="P184" s="1594"/>
      <c r="Q184" s="1594"/>
      <c r="R184" s="1644" t="str">
        <f ca="1">Calculos!GS16</f>
        <v>-</v>
      </c>
      <c r="S184" s="1644"/>
      <c r="T184" s="1644"/>
      <c r="U184" s="1644"/>
      <c r="V184" s="1644"/>
      <c r="W184" s="1644"/>
      <c r="X184" s="1644"/>
      <c r="Y184" s="1644"/>
      <c r="Z184" s="1644"/>
      <c r="AA184" s="1644"/>
      <c r="AB184" s="1632" t="str">
        <f ca="1">Calculos!GV16</f>
        <v>-</v>
      </c>
      <c r="AC184" s="1632"/>
      <c r="AD184" s="1632"/>
      <c r="AE184" s="1632"/>
      <c r="AF184" s="1632"/>
      <c r="AG184" s="1632"/>
      <c r="AH184" s="1632"/>
      <c r="AI184" s="1632"/>
      <c r="AJ184" s="1632"/>
      <c r="AK184" s="1632"/>
    </row>
    <row r="185" spans="1:37" ht="28.35" customHeight="1" x14ac:dyDescent="0.2">
      <c r="A185" s="1636"/>
      <c r="B185" s="1636"/>
      <c r="C185" s="1636"/>
      <c r="D185" s="1636"/>
      <c r="E185" s="1636"/>
      <c r="F185" s="1636"/>
      <c r="G185" s="1636"/>
      <c r="H185" s="1636"/>
      <c r="I185" s="1636"/>
      <c r="J185" s="1594" t="s">
        <v>114</v>
      </c>
      <c r="K185" s="1594"/>
      <c r="L185" s="1594"/>
      <c r="M185" s="1594"/>
      <c r="N185" s="1594"/>
      <c r="O185" s="1594"/>
      <c r="P185" s="1594"/>
      <c r="Q185" s="1594"/>
      <c r="R185" s="1644" t="str">
        <f ca="1">Calculos!GS17</f>
        <v>-</v>
      </c>
      <c r="S185" s="1644"/>
      <c r="T185" s="1644"/>
      <c r="U185" s="1644"/>
      <c r="V185" s="1644"/>
      <c r="W185" s="1644"/>
      <c r="X185" s="1644"/>
      <c r="Y185" s="1644"/>
      <c r="Z185" s="1644"/>
      <c r="AA185" s="1644"/>
      <c r="AB185" s="1632"/>
      <c r="AC185" s="1632"/>
      <c r="AD185" s="1632"/>
      <c r="AE185" s="1632"/>
      <c r="AF185" s="1632"/>
      <c r="AG185" s="1632"/>
      <c r="AH185" s="1632"/>
      <c r="AI185" s="1632"/>
      <c r="AJ185" s="1632"/>
      <c r="AK185" s="1632"/>
    </row>
    <row r="186" spans="1:37" ht="28.35" customHeight="1" x14ac:dyDescent="0.2">
      <c r="A186" s="1636" t="s">
        <v>28</v>
      </c>
      <c r="B186" s="1636"/>
      <c r="C186" s="1636"/>
      <c r="D186" s="1636"/>
      <c r="E186" s="1636"/>
      <c r="F186" s="1636"/>
      <c r="G186" s="1636"/>
      <c r="H186" s="1636"/>
      <c r="I186" s="1636"/>
      <c r="J186" s="1594" t="s">
        <v>8194</v>
      </c>
      <c r="K186" s="1594"/>
      <c r="L186" s="1594"/>
      <c r="M186" s="1594"/>
      <c r="N186" s="1594"/>
      <c r="O186" s="1594"/>
      <c r="P186" s="1594"/>
      <c r="Q186" s="1594"/>
      <c r="R186" s="1644" t="str">
        <f ca="1">Calculos!GS18</f>
        <v>-</v>
      </c>
      <c r="S186" s="1644"/>
      <c r="T186" s="1644"/>
      <c r="U186" s="1644"/>
      <c r="V186" s="1644"/>
      <c r="W186" s="1644"/>
      <c r="X186" s="1644"/>
      <c r="Y186" s="1644"/>
      <c r="Z186" s="1644"/>
      <c r="AA186" s="1644"/>
      <c r="AB186" s="1632" t="str">
        <f ca="1">Calculos!GV18</f>
        <v>-</v>
      </c>
      <c r="AC186" s="1632"/>
      <c r="AD186" s="1632"/>
      <c r="AE186" s="1632"/>
      <c r="AF186" s="1632"/>
      <c r="AG186" s="1632"/>
      <c r="AH186" s="1632"/>
      <c r="AI186" s="1632"/>
      <c r="AJ186" s="1632"/>
      <c r="AK186" s="1632"/>
    </row>
    <row r="187" spans="1:37" ht="28.35" customHeight="1" x14ac:dyDescent="0.2">
      <c r="A187" s="1636"/>
      <c r="B187" s="1636"/>
      <c r="C187" s="1636"/>
      <c r="D187" s="1636"/>
      <c r="E187" s="1636"/>
      <c r="F187" s="1636"/>
      <c r="G187" s="1636"/>
      <c r="H187" s="1636"/>
      <c r="I187" s="1636"/>
      <c r="J187" s="1594" t="s">
        <v>8195</v>
      </c>
      <c r="K187" s="1594"/>
      <c r="L187" s="1594"/>
      <c r="M187" s="1594"/>
      <c r="N187" s="1594"/>
      <c r="O187" s="1594"/>
      <c r="P187" s="1594"/>
      <c r="Q187" s="1594"/>
      <c r="R187" s="1644" t="str">
        <f ca="1">Calculos!GS19</f>
        <v>-</v>
      </c>
      <c r="S187" s="1644"/>
      <c r="T187" s="1644"/>
      <c r="U187" s="1644"/>
      <c r="V187" s="1644"/>
      <c r="W187" s="1644"/>
      <c r="X187" s="1644"/>
      <c r="Y187" s="1644"/>
      <c r="Z187" s="1644"/>
      <c r="AA187" s="1644"/>
      <c r="AB187" s="1632"/>
      <c r="AC187" s="1632"/>
      <c r="AD187" s="1632"/>
      <c r="AE187" s="1632"/>
      <c r="AF187" s="1632"/>
      <c r="AG187" s="1632"/>
      <c r="AH187" s="1632"/>
      <c r="AI187" s="1632"/>
      <c r="AJ187" s="1632"/>
      <c r="AK187" s="1632"/>
    </row>
    <row r="188" spans="1:37" ht="28.35" customHeight="1" x14ac:dyDescent="0.2">
      <c r="A188" s="1636"/>
      <c r="B188" s="1636"/>
      <c r="C188" s="1636"/>
      <c r="D188" s="1636"/>
      <c r="E188" s="1636"/>
      <c r="F188" s="1636"/>
      <c r="G188" s="1636"/>
      <c r="H188" s="1636"/>
      <c r="I188" s="1636"/>
      <c r="J188" s="1594" t="s">
        <v>113</v>
      </c>
      <c r="K188" s="1594"/>
      <c r="L188" s="1594"/>
      <c r="M188" s="1594"/>
      <c r="N188" s="1594"/>
      <c r="O188" s="1594"/>
      <c r="P188" s="1594"/>
      <c r="Q188" s="1594"/>
      <c r="R188" s="1644" t="str">
        <f ca="1">Calculos!GS20</f>
        <v>-</v>
      </c>
      <c r="S188" s="1644"/>
      <c r="T188" s="1644"/>
      <c r="U188" s="1644"/>
      <c r="V188" s="1644"/>
      <c r="W188" s="1644"/>
      <c r="X188" s="1644"/>
      <c r="Y188" s="1644"/>
      <c r="Z188" s="1644"/>
      <c r="AA188" s="1644"/>
      <c r="AB188" s="1632"/>
      <c r="AC188" s="1632"/>
      <c r="AD188" s="1632"/>
      <c r="AE188" s="1632"/>
      <c r="AF188" s="1632"/>
      <c r="AG188" s="1632"/>
      <c r="AH188" s="1632"/>
      <c r="AI188" s="1632"/>
      <c r="AJ188" s="1632"/>
      <c r="AK188" s="1632"/>
    </row>
    <row r="189" spans="1:37" ht="28.35" customHeight="1" x14ac:dyDescent="0.2">
      <c r="A189" s="1636"/>
      <c r="B189" s="1636"/>
      <c r="C189" s="1636"/>
      <c r="D189" s="1636"/>
      <c r="E189" s="1636"/>
      <c r="F189" s="1636"/>
      <c r="G189" s="1636"/>
      <c r="H189" s="1636"/>
      <c r="I189" s="1636"/>
      <c r="J189" s="1594" t="s">
        <v>114</v>
      </c>
      <c r="K189" s="1594"/>
      <c r="L189" s="1594"/>
      <c r="M189" s="1594"/>
      <c r="N189" s="1594"/>
      <c r="O189" s="1594"/>
      <c r="P189" s="1594"/>
      <c r="Q189" s="1594"/>
      <c r="R189" s="1644" t="str">
        <f ca="1">Calculos!GS21</f>
        <v>-</v>
      </c>
      <c r="S189" s="1644"/>
      <c r="T189" s="1644"/>
      <c r="U189" s="1644"/>
      <c r="V189" s="1644"/>
      <c r="W189" s="1644"/>
      <c r="X189" s="1644"/>
      <c r="Y189" s="1644"/>
      <c r="Z189" s="1644"/>
      <c r="AA189" s="1644"/>
      <c r="AB189" s="1632"/>
      <c r="AC189" s="1632"/>
      <c r="AD189" s="1632"/>
      <c r="AE189" s="1632"/>
      <c r="AF189" s="1632"/>
      <c r="AG189" s="1632"/>
      <c r="AH189" s="1632"/>
      <c r="AI189" s="1632"/>
      <c r="AJ189" s="1632"/>
      <c r="AK189" s="1632"/>
    </row>
    <row r="190" spans="1:37" ht="28.35" customHeight="1" x14ac:dyDescent="0.2">
      <c r="A190" s="1636" t="s">
        <v>29</v>
      </c>
      <c r="B190" s="1636"/>
      <c r="C190" s="1636"/>
      <c r="D190" s="1636"/>
      <c r="E190" s="1636"/>
      <c r="F190" s="1636"/>
      <c r="G190" s="1636"/>
      <c r="H190" s="1636"/>
      <c r="I190" s="1636"/>
      <c r="J190" s="1594" t="s">
        <v>113</v>
      </c>
      <c r="K190" s="1594"/>
      <c r="L190" s="1594"/>
      <c r="M190" s="1594"/>
      <c r="N190" s="1594"/>
      <c r="O190" s="1594"/>
      <c r="P190" s="1594"/>
      <c r="Q190" s="1594"/>
      <c r="R190" s="1644" t="str">
        <f ca="1">Calculos!GS22</f>
        <v>-</v>
      </c>
      <c r="S190" s="1644"/>
      <c r="T190" s="1644"/>
      <c r="U190" s="1644"/>
      <c r="V190" s="1644"/>
      <c r="W190" s="1644"/>
      <c r="X190" s="1644"/>
      <c r="Y190" s="1644"/>
      <c r="Z190" s="1644"/>
      <c r="AA190" s="1644"/>
      <c r="AB190" s="1632" t="str">
        <f ca="1">Calculos!GV22</f>
        <v>-</v>
      </c>
      <c r="AC190" s="1632"/>
      <c r="AD190" s="1632"/>
      <c r="AE190" s="1632"/>
      <c r="AF190" s="1632"/>
      <c r="AG190" s="1632"/>
      <c r="AH190" s="1632"/>
      <c r="AI190" s="1632"/>
      <c r="AJ190" s="1632"/>
      <c r="AK190" s="1632"/>
    </row>
    <row r="191" spans="1:37" ht="28.35" customHeight="1" x14ac:dyDescent="0.2">
      <c r="A191" s="1636"/>
      <c r="B191" s="1636"/>
      <c r="C191" s="1636"/>
      <c r="D191" s="1636"/>
      <c r="E191" s="1636"/>
      <c r="F191" s="1636"/>
      <c r="G191" s="1636"/>
      <c r="H191" s="1636"/>
      <c r="I191" s="1636"/>
      <c r="J191" s="1594" t="s">
        <v>114</v>
      </c>
      <c r="K191" s="1594"/>
      <c r="L191" s="1594"/>
      <c r="M191" s="1594"/>
      <c r="N191" s="1594"/>
      <c r="O191" s="1594"/>
      <c r="P191" s="1594"/>
      <c r="Q191" s="1594"/>
      <c r="R191" s="1644" t="str">
        <f ca="1">Calculos!GS23</f>
        <v>-</v>
      </c>
      <c r="S191" s="1644"/>
      <c r="T191" s="1644"/>
      <c r="U191" s="1644"/>
      <c r="V191" s="1644"/>
      <c r="W191" s="1644"/>
      <c r="X191" s="1644"/>
      <c r="Y191" s="1644"/>
      <c r="Z191" s="1644"/>
      <c r="AA191" s="1644"/>
      <c r="AB191" s="1632"/>
      <c r="AC191" s="1632"/>
      <c r="AD191" s="1632"/>
      <c r="AE191" s="1632"/>
      <c r="AF191" s="1632"/>
      <c r="AG191" s="1632"/>
      <c r="AH191" s="1632"/>
      <c r="AI191" s="1632"/>
      <c r="AJ191" s="1632"/>
      <c r="AK191" s="1632"/>
    </row>
    <row r="192" spans="1:37" ht="28.35" customHeight="1" x14ac:dyDescent="0.2">
      <c r="A192" s="1636" t="s">
        <v>378</v>
      </c>
      <c r="B192" s="1636"/>
      <c r="C192" s="1636"/>
      <c r="D192" s="1636"/>
      <c r="E192" s="1636"/>
      <c r="F192" s="1636"/>
      <c r="G192" s="1636"/>
      <c r="H192" s="1636"/>
      <c r="I192" s="1636"/>
      <c r="J192" s="1594" t="s">
        <v>113</v>
      </c>
      <c r="K192" s="1594"/>
      <c r="L192" s="1594"/>
      <c r="M192" s="1594"/>
      <c r="N192" s="1594"/>
      <c r="O192" s="1594"/>
      <c r="P192" s="1594"/>
      <c r="Q192" s="1594"/>
      <c r="R192" s="1644" t="str">
        <f ca="1">Calculos!GS24</f>
        <v>-</v>
      </c>
      <c r="S192" s="1644"/>
      <c r="T192" s="1644"/>
      <c r="U192" s="1644"/>
      <c r="V192" s="1644"/>
      <c r="W192" s="1644"/>
      <c r="X192" s="1644"/>
      <c r="Y192" s="1644"/>
      <c r="Z192" s="1644"/>
      <c r="AA192" s="1644"/>
      <c r="AB192" s="1632"/>
      <c r="AC192" s="1632"/>
      <c r="AD192" s="1632"/>
      <c r="AE192" s="1632"/>
      <c r="AF192" s="1632"/>
      <c r="AG192" s="1632"/>
      <c r="AH192" s="1632"/>
      <c r="AI192" s="1632"/>
      <c r="AJ192" s="1632"/>
      <c r="AK192" s="1632"/>
    </row>
    <row r="193" spans="1:44" ht="28.35" customHeight="1" x14ac:dyDescent="0.2">
      <c r="A193" s="1636"/>
      <c r="B193" s="1636"/>
      <c r="C193" s="1636"/>
      <c r="D193" s="1636"/>
      <c r="E193" s="1636"/>
      <c r="F193" s="1636"/>
      <c r="G193" s="1636"/>
      <c r="H193" s="1636"/>
      <c r="I193" s="1636"/>
      <c r="J193" s="1632" t="s">
        <v>114</v>
      </c>
      <c r="K193" s="1632"/>
      <c r="L193" s="1632"/>
      <c r="M193" s="1632"/>
      <c r="N193" s="1632"/>
      <c r="O193" s="1632"/>
      <c r="P193" s="1632"/>
      <c r="Q193" s="1632"/>
      <c r="R193" s="1644" t="str">
        <f ca="1">Calculos!GS25</f>
        <v>-</v>
      </c>
      <c r="S193" s="1644"/>
      <c r="T193" s="1644"/>
      <c r="U193" s="1644"/>
      <c r="V193" s="1644"/>
      <c r="W193" s="1644"/>
      <c r="X193" s="1644"/>
      <c r="Y193" s="1644"/>
      <c r="Z193" s="1644"/>
      <c r="AA193" s="1644"/>
      <c r="AB193" s="1632"/>
      <c r="AC193" s="1632"/>
      <c r="AD193" s="1632"/>
      <c r="AE193" s="1632"/>
      <c r="AF193" s="1632"/>
      <c r="AG193" s="1632"/>
      <c r="AH193" s="1632"/>
      <c r="AI193" s="1632"/>
      <c r="AJ193" s="1632"/>
      <c r="AK193" s="1632"/>
    </row>
    <row r="194" spans="1:44" ht="33.950000000000003" customHeight="1" x14ac:dyDescent="0.2">
      <c r="K194" s="406"/>
      <c r="L194" s="406"/>
      <c r="M194" s="406"/>
      <c r="N194" s="406"/>
      <c r="O194" s="406"/>
      <c r="P194" s="406"/>
      <c r="Q194" s="406"/>
    </row>
    <row r="195" spans="1:44" ht="28.35" customHeight="1" x14ac:dyDescent="0.2">
      <c r="A195" s="391"/>
      <c r="B195" s="384"/>
      <c r="C195" s="384"/>
      <c r="D195" s="384"/>
      <c r="E195" s="384"/>
      <c r="F195" s="384"/>
      <c r="G195" s="384"/>
      <c r="H195" s="384"/>
      <c r="I195" s="384"/>
      <c r="J195" s="384"/>
      <c r="K195" s="384"/>
      <c r="L195" s="384"/>
      <c r="M195" s="384"/>
      <c r="N195" s="384"/>
      <c r="O195" s="384"/>
      <c r="P195" s="384"/>
      <c r="Q195" s="384"/>
      <c r="R195" s="384"/>
      <c r="S195" s="384"/>
      <c r="T195" s="384"/>
      <c r="U195" s="384"/>
      <c r="V195" s="384"/>
      <c r="W195" s="384"/>
      <c r="X195" s="384"/>
      <c r="Y195" s="384"/>
    </row>
    <row r="196" spans="1:44" ht="28.35" customHeight="1" x14ac:dyDescent="0.2">
      <c r="A196" s="407" t="s">
        <v>7812</v>
      </c>
      <c r="B196" s="408"/>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409"/>
      <c r="AE196" s="409"/>
      <c r="AF196" s="409"/>
      <c r="AG196" s="409"/>
      <c r="AH196" s="409"/>
      <c r="AI196" s="409"/>
      <c r="AJ196" s="409"/>
      <c r="AK196" s="409"/>
      <c r="AL196" s="409"/>
      <c r="AM196" s="409"/>
      <c r="AN196" s="409"/>
      <c r="AO196" s="409"/>
      <c r="AP196" s="409"/>
      <c r="AQ196" s="384"/>
      <c r="AR196" s="384"/>
    </row>
    <row r="197" spans="1:44" ht="39.6" customHeight="1" x14ac:dyDescent="0.2">
      <c r="A197" s="410"/>
      <c r="B197" s="411"/>
      <c r="C197" s="411"/>
      <c r="D197" s="1643" t="s">
        <v>6016</v>
      </c>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C197" s="1643"/>
      <c r="AD197" s="1643"/>
      <c r="AE197" s="1643"/>
      <c r="AF197" s="1643"/>
      <c r="AG197" s="1643"/>
      <c r="AH197" s="1643"/>
      <c r="AI197" s="1643"/>
      <c r="AJ197" s="1643"/>
      <c r="AK197" s="1643"/>
      <c r="AL197" s="1643"/>
      <c r="AM197" s="1643"/>
      <c r="AN197" s="1643"/>
      <c r="AO197" s="1643"/>
      <c r="AP197" s="1643"/>
    </row>
    <row r="198" spans="1:44" ht="39.6" customHeight="1" x14ac:dyDescent="0.2">
      <c r="A198" s="410"/>
      <c r="B198" s="411"/>
      <c r="C198" s="411"/>
      <c r="D198" s="1643" t="s">
        <v>6017</v>
      </c>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C198" s="1643"/>
      <c r="AD198" s="1643"/>
      <c r="AE198" s="1643"/>
      <c r="AF198" s="1643"/>
      <c r="AG198" s="1643"/>
      <c r="AH198" s="1643"/>
      <c r="AI198" s="1643"/>
      <c r="AJ198" s="1643"/>
      <c r="AK198" s="1643"/>
      <c r="AL198" s="1643"/>
      <c r="AM198" s="1643"/>
      <c r="AN198" s="1643"/>
      <c r="AO198" s="1643"/>
      <c r="AP198" s="1643"/>
    </row>
    <row r="199" spans="1:44" ht="39.6" customHeight="1" x14ac:dyDescent="0.2">
      <c r="A199" s="410"/>
      <c r="B199" s="411"/>
      <c r="C199" s="411"/>
      <c r="D199" s="1643" t="s">
        <v>6018</v>
      </c>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1643"/>
      <c r="AD199" s="1643"/>
      <c r="AE199" s="1643"/>
      <c r="AF199" s="1643"/>
      <c r="AG199" s="1643"/>
      <c r="AH199" s="1643"/>
      <c r="AI199" s="1643"/>
      <c r="AJ199" s="1643"/>
      <c r="AK199" s="1643"/>
      <c r="AL199" s="1643"/>
      <c r="AM199" s="1643"/>
      <c r="AN199" s="1643"/>
      <c r="AO199" s="1643"/>
      <c r="AP199" s="1643"/>
    </row>
    <row r="200" spans="1:44" ht="39.6" customHeight="1" x14ac:dyDescent="0.2">
      <c r="A200" s="410"/>
      <c r="B200" s="411"/>
      <c r="C200" s="411"/>
      <c r="D200" s="1643" t="s">
        <v>6039</v>
      </c>
      <c r="E200" s="1643"/>
      <c r="F200" s="1643"/>
      <c r="G200" s="1643"/>
      <c r="H200" s="1643"/>
      <c r="I200" s="1643"/>
      <c r="J200" s="1643"/>
      <c r="K200" s="1643"/>
      <c r="L200" s="1643"/>
      <c r="M200" s="1643"/>
      <c r="N200" s="1643"/>
      <c r="O200" s="1643"/>
      <c r="P200" s="1643"/>
      <c r="Q200" s="1643"/>
      <c r="R200" s="1643"/>
      <c r="S200" s="1643"/>
      <c r="T200" s="1643"/>
      <c r="U200" s="1643"/>
      <c r="V200" s="1643"/>
      <c r="W200" s="1643"/>
      <c r="X200" s="1643"/>
      <c r="Y200" s="1643"/>
      <c r="Z200" s="1643"/>
      <c r="AA200" s="1643"/>
      <c r="AB200" s="1643"/>
      <c r="AC200" s="1643"/>
      <c r="AD200" s="1643"/>
      <c r="AE200" s="1643"/>
      <c r="AF200" s="1643"/>
      <c r="AG200" s="1643"/>
      <c r="AH200" s="1643"/>
      <c r="AI200" s="1643"/>
      <c r="AJ200" s="1643"/>
      <c r="AK200" s="1643"/>
      <c r="AL200" s="1643"/>
      <c r="AM200" s="1643"/>
      <c r="AN200" s="1643"/>
      <c r="AO200" s="1643"/>
      <c r="AP200" s="1643"/>
    </row>
    <row r="201" spans="1:44" ht="19.7" customHeight="1" x14ac:dyDescent="0.2"/>
    <row r="202" spans="1:44" ht="19.7" customHeight="1" x14ac:dyDescent="0.2">
      <c r="A202" s="1602" t="s">
        <v>8281</v>
      </c>
      <c r="B202" s="1602"/>
      <c r="C202" s="1602"/>
      <c r="D202" s="1602"/>
      <c r="E202" s="1602"/>
      <c r="F202" s="1602"/>
      <c r="G202" s="1602"/>
      <c r="H202" s="1602"/>
      <c r="I202" s="1602"/>
      <c r="J202" s="1602"/>
      <c r="K202" s="1602"/>
      <c r="L202" s="1602"/>
      <c r="M202" s="1602"/>
      <c r="N202" s="1602"/>
      <c r="O202" s="1602"/>
      <c r="P202" s="1602"/>
      <c r="Q202" s="1602"/>
      <c r="R202" s="1602"/>
      <c r="S202" s="1602"/>
      <c r="T202" s="1602"/>
      <c r="U202" s="1602"/>
      <c r="V202" s="1602"/>
      <c r="W202" s="1602"/>
      <c r="X202" s="1602"/>
      <c r="Y202" s="1602"/>
      <c r="Z202" s="1602"/>
      <c r="AA202" s="1602"/>
      <c r="AB202" s="1602"/>
      <c r="AC202" s="1602"/>
      <c r="AD202" s="412"/>
      <c r="AE202" s="412"/>
      <c r="AF202" s="412"/>
      <c r="AG202" s="412"/>
      <c r="AH202" s="412"/>
      <c r="AI202" s="412"/>
      <c r="AJ202" s="412"/>
      <c r="AK202" s="412"/>
      <c r="AL202" s="412"/>
      <c r="AM202" s="412"/>
      <c r="AN202" s="412"/>
      <c r="AO202" s="412"/>
      <c r="AP202" s="412"/>
    </row>
    <row r="203" spans="1:44" ht="170.1" customHeight="1" x14ac:dyDescent="0.2">
      <c r="A203" s="1599" t="s">
        <v>7813</v>
      </c>
      <c r="B203" s="1600"/>
      <c r="C203" s="1600"/>
      <c r="D203" s="1600"/>
      <c r="E203" s="1600"/>
      <c r="F203" s="1600"/>
      <c r="G203" s="1600"/>
      <c r="H203" s="1600"/>
      <c r="I203" s="1600"/>
      <c r="J203" s="1600"/>
      <c r="K203" s="1600"/>
      <c r="L203" s="1600"/>
      <c r="M203" s="1600"/>
      <c r="N203" s="1600"/>
      <c r="O203" s="1600"/>
      <c r="P203" s="1600"/>
      <c r="Q203" s="1600"/>
      <c r="R203" s="1600"/>
      <c r="S203" s="1600"/>
      <c r="T203" s="1600"/>
      <c r="U203" s="1600"/>
      <c r="V203" s="1600"/>
      <c r="W203" s="1600"/>
      <c r="X203" s="1600"/>
      <c r="Y203" s="1600"/>
      <c r="Z203" s="1600"/>
      <c r="AA203" s="1600"/>
      <c r="AB203" s="1600"/>
      <c r="AC203" s="1600"/>
      <c r="AD203" s="1600"/>
      <c r="AE203" s="1600"/>
      <c r="AF203" s="1600"/>
      <c r="AG203" s="1600"/>
      <c r="AH203" s="1600"/>
      <c r="AI203" s="1600"/>
      <c r="AJ203" s="1600"/>
      <c r="AK203" s="1600"/>
      <c r="AL203" s="1600"/>
      <c r="AM203" s="1600"/>
      <c r="AN203" s="1600"/>
      <c r="AO203" s="1600"/>
      <c r="AP203" s="1601"/>
    </row>
    <row r="204" spans="1:44" ht="19.7" customHeight="1" x14ac:dyDescent="0.2">
      <c r="A204" s="413"/>
      <c r="B204" s="413"/>
      <c r="C204" s="413"/>
      <c r="D204" s="413"/>
      <c r="E204" s="413"/>
      <c r="F204" s="413"/>
      <c r="G204" s="413"/>
      <c r="H204" s="413"/>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c r="AJ204" s="413"/>
      <c r="AK204" s="413"/>
      <c r="AL204" s="413"/>
      <c r="AM204" s="413"/>
      <c r="AN204" s="413"/>
      <c r="AO204" s="413"/>
      <c r="AP204" s="413"/>
    </row>
    <row r="205" spans="1:44" ht="19.7" customHeight="1" x14ac:dyDescent="0.2">
      <c r="A205" s="413"/>
      <c r="B205" s="413"/>
      <c r="C205" s="413"/>
      <c r="D205" s="413"/>
      <c r="E205" s="413"/>
      <c r="F205" s="413"/>
      <c r="G205" s="413"/>
      <c r="H205" s="413"/>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c r="AJ205" s="413"/>
      <c r="AK205" s="413"/>
      <c r="AL205" s="413"/>
      <c r="AM205" s="413"/>
      <c r="AN205" s="413"/>
      <c r="AO205" s="413"/>
      <c r="AP205" s="413"/>
    </row>
    <row r="206" spans="1:44" ht="19.7" customHeight="1" x14ac:dyDescent="0.2">
      <c r="A206" s="413"/>
      <c r="B206" s="413"/>
      <c r="C206" s="413"/>
      <c r="D206" s="413"/>
      <c r="E206" s="413"/>
      <c r="F206" s="413"/>
      <c r="G206" s="413"/>
      <c r="H206" s="413"/>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c r="AJ206" s="413"/>
      <c r="AK206" s="413"/>
      <c r="AL206" s="413"/>
      <c r="AM206" s="413"/>
      <c r="AN206" s="413"/>
      <c r="AO206" s="413"/>
      <c r="AP206" s="413"/>
    </row>
    <row r="207" spans="1:44" ht="19.7" customHeight="1" x14ac:dyDescent="0.2">
      <c r="A207" s="413"/>
      <c r="B207" s="413"/>
      <c r="C207" s="413"/>
      <c r="D207" s="413"/>
      <c r="E207" s="413"/>
      <c r="F207" s="413"/>
      <c r="G207" s="413"/>
      <c r="H207" s="413"/>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c r="AJ207" s="413"/>
      <c r="AK207" s="413"/>
      <c r="AL207" s="413"/>
      <c r="AM207" s="413"/>
      <c r="AN207" s="413"/>
      <c r="AO207" s="413"/>
      <c r="AP207" s="413"/>
    </row>
    <row r="208" spans="1:44" ht="19.7" customHeight="1" x14ac:dyDescent="0.2">
      <c r="A208" s="413"/>
      <c r="B208" s="413"/>
      <c r="C208" s="413"/>
      <c r="D208" s="413"/>
      <c r="E208" s="413"/>
      <c r="F208" s="413"/>
      <c r="G208" s="413"/>
      <c r="H208" s="413"/>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c r="AJ208" s="413"/>
      <c r="AK208" s="413"/>
      <c r="AL208" s="413"/>
      <c r="AM208" s="413"/>
      <c r="AN208" s="413"/>
      <c r="AO208" s="413"/>
      <c r="AP208" s="413"/>
    </row>
    <row r="209" spans="1:42" ht="19.7" customHeight="1" x14ac:dyDescent="0.2">
      <c r="A209" s="413"/>
      <c r="B209" s="413"/>
      <c r="C209" s="413"/>
      <c r="D209" s="413"/>
      <c r="E209" s="413"/>
      <c r="F209" s="413"/>
      <c r="G209" s="413"/>
      <c r="H209" s="413"/>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c r="AJ209" s="413"/>
      <c r="AK209" s="413"/>
      <c r="AL209" s="413"/>
      <c r="AM209" s="413"/>
      <c r="AN209" s="413"/>
      <c r="AO209" s="413"/>
      <c r="AP209" s="413"/>
    </row>
    <row r="210" spans="1:42" ht="19.7" customHeight="1" x14ac:dyDescent="0.2">
      <c r="A210" s="413"/>
      <c r="B210" s="413"/>
      <c r="C210" s="413"/>
      <c r="D210" s="413"/>
      <c r="E210" s="413"/>
      <c r="F210" s="413"/>
      <c r="G210" s="413"/>
      <c r="H210" s="413"/>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c r="AJ210" s="413"/>
      <c r="AK210" s="413"/>
      <c r="AL210" s="413"/>
      <c r="AM210" s="413"/>
      <c r="AN210" s="413"/>
      <c r="AO210" s="413"/>
      <c r="AP210" s="413"/>
    </row>
    <row r="211" spans="1:42" ht="19.7" customHeight="1" x14ac:dyDescent="0.2">
      <c r="A211" s="413"/>
      <c r="B211" s="413"/>
      <c r="C211" s="413"/>
      <c r="D211" s="413"/>
      <c r="E211" s="413"/>
      <c r="F211" s="413"/>
      <c r="G211" s="413"/>
      <c r="H211" s="413"/>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c r="AJ211" s="413"/>
      <c r="AK211" s="413"/>
      <c r="AL211" s="413"/>
      <c r="AM211" s="413"/>
      <c r="AN211" s="413"/>
      <c r="AO211" s="413"/>
      <c r="AP211" s="413"/>
    </row>
    <row r="212" spans="1:42" ht="19.7" customHeight="1" x14ac:dyDescent="0.2">
      <c r="A212" s="413"/>
      <c r="B212" s="413"/>
      <c r="C212" s="413"/>
      <c r="D212" s="413"/>
      <c r="E212" s="413"/>
      <c r="F212" s="413"/>
      <c r="G212" s="413"/>
      <c r="H212" s="413"/>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c r="AJ212" s="413"/>
      <c r="AK212" s="413"/>
      <c r="AL212" s="413"/>
      <c r="AM212" s="413"/>
      <c r="AN212" s="413"/>
      <c r="AO212" s="413"/>
      <c r="AP212" s="413"/>
    </row>
    <row r="213" spans="1:42" ht="19.7" customHeight="1" x14ac:dyDescent="0.2">
      <c r="A213" s="413"/>
      <c r="B213" s="413"/>
      <c r="C213" s="413"/>
      <c r="D213" s="413"/>
      <c r="E213" s="413"/>
      <c r="F213" s="413"/>
      <c r="G213" s="413"/>
      <c r="H213" s="413"/>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c r="AJ213" s="413"/>
      <c r="AK213" s="413"/>
      <c r="AL213" s="413"/>
      <c r="AM213" s="413"/>
      <c r="AN213" s="413"/>
      <c r="AO213" s="413"/>
      <c r="AP213" s="413"/>
    </row>
    <row r="214" spans="1:42" ht="19.7" customHeight="1" x14ac:dyDescent="0.2">
      <c r="A214" s="413"/>
      <c r="B214" s="413"/>
      <c r="C214" s="413"/>
      <c r="D214" s="413"/>
      <c r="E214" s="413"/>
      <c r="F214" s="413"/>
      <c r="G214" s="413"/>
      <c r="H214" s="413"/>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c r="AJ214" s="413"/>
      <c r="AK214" s="413"/>
      <c r="AL214" s="413"/>
      <c r="AM214" s="413"/>
      <c r="AN214" s="413"/>
      <c r="AO214" s="413"/>
      <c r="AP214" s="413"/>
    </row>
    <row r="215" spans="1:42" ht="19.7" customHeight="1" x14ac:dyDescent="0.2">
      <c r="A215" s="413"/>
      <c r="B215" s="413"/>
      <c r="C215" s="413"/>
      <c r="D215" s="413"/>
      <c r="E215" s="413"/>
      <c r="F215" s="413"/>
      <c r="G215" s="413"/>
      <c r="H215" s="413"/>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c r="AJ215" s="413"/>
      <c r="AK215" s="413"/>
      <c r="AL215" s="413"/>
      <c r="AM215" s="413"/>
      <c r="AN215" s="413"/>
      <c r="AO215" s="413"/>
      <c r="AP215" s="413"/>
    </row>
    <row r="216" spans="1:42" ht="19.7" customHeight="1" x14ac:dyDescent="0.2">
      <c r="A216" s="413"/>
      <c r="B216" s="413"/>
      <c r="C216" s="413"/>
      <c r="D216" s="413"/>
      <c r="E216" s="413"/>
      <c r="F216" s="413"/>
      <c r="G216" s="413"/>
      <c r="H216" s="413"/>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c r="AJ216" s="413"/>
      <c r="AK216" s="413"/>
      <c r="AL216" s="413"/>
      <c r="AM216" s="413"/>
      <c r="AN216" s="413"/>
      <c r="AO216" s="413"/>
      <c r="AP216" s="413"/>
    </row>
    <row r="217" spans="1:42" ht="19.7" customHeight="1" x14ac:dyDescent="0.2">
      <c r="A217" s="413"/>
      <c r="B217" s="413"/>
      <c r="C217" s="413"/>
      <c r="D217" s="413"/>
      <c r="E217" s="413"/>
      <c r="F217" s="413"/>
      <c r="G217" s="413"/>
      <c r="H217" s="413"/>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c r="AJ217" s="413"/>
      <c r="AK217" s="413"/>
      <c r="AL217" s="413"/>
      <c r="AM217" s="413"/>
      <c r="AN217" s="413"/>
      <c r="AO217" s="413"/>
      <c r="AP217" s="413"/>
    </row>
    <row r="218" spans="1:42" ht="19.7" customHeight="1" x14ac:dyDescent="0.2">
      <c r="A218" s="413"/>
      <c r="B218" s="413"/>
      <c r="C218" s="413"/>
      <c r="D218" s="413"/>
      <c r="E218" s="413"/>
      <c r="F218" s="413"/>
      <c r="G218" s="413"/>
      <c r="H218" s="413"/>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c r="AJ218" s="413"/>
      <c r="AK218" s="413"/>
      <c r="AL218" s="413"/>
      <c r="AM218" s="413"/>
      <c r="AN218" s="413"/>
      <c r="AO218" s="413"/>
      <c r="AP218" s="413"/>
    </row>
    <row r="219" spans="1:42" ht="14.1" customHeight="1" x14ac:dyDescent="0.2">
      <c r="A219" s="413"/>
      <c r="B219" s="413"/>
      <c r="C219" s="413"/>
      <c r="D219" s="413"/>
      <c r="E219" s="413"/>
      <c r="F219" s="413"/>
      <c r="G219" s="413"/>
      <c r="H219" s="413"/>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c r="AJ219" s="413"/>
      <c r="AK219" s="413"/>
      <c r="AL219" s="413"/>
      <c r="AM219" s="413"/>
      <c r="AN219" s="413"/>
      <c r="AO219" s="413"/>
      <c r="AP219" s="413"/>
    </row>
    <row r="220" spans="1:42" ht="14.1" customHeight="1" x14ac:dyDescent="0.2">
      <c r="A220" s="391"/>
      <c r="B220" s="384"/>
      <c r="C220" s="384"/>
      <c r="D220" s="384"/>
      <c r="E220" s="384"/>
      <c r="F220" s="384"/>
      <c r="G220" s="384"/>
      <c r="H220" s="384"/>
      <c r="I220" s="384"/>
      <c r="J220" s="384"/>
      <c r="K220" s="384"/>
      <c r="L220" s="384"/>
      <c r="M220" s="384"/>
      <c r="N220" s="384"/>
      <c r="O220" s="384"/>
      <c r="P220" s="384"/>
      <c r="Q220" s="384"/>
      <c r="R220" s="384"/>
      <c r="S220" s="384"/>
      <c r="T220" s="384"/>
      <c r="U220" s="384"/>
      <c r="V220" s="384"/>
      <c r="W220" s="384"/>
      <c r="X220" s="384"/>
      <c r="Y220" s="384"/>
    </row>
    <row r="221" spans="1:42" x14ac:dyDescent="0.2">
      <c r="A221" s="393" t="s">
        <v>8282</v>
      </c>
    </row>
    <row r="222" spans="1:42" ht="12.75" customHeight="1" x14ac:dyDescent="0.2"/>
    <row r="223" spans="1:42" ht="15.6" customHeight="1" x14ac:dyDescent="0.2">
      <c r="A223" s="1645"/>
      <c r="B223" s="1645"/>
      <c r="C223" s="1645"/>
      <c r="D223" s="1645"/>
      <c r="E223" s="1645"/>
      <c r="F223" s="1645"/>
      <c r="G223" s="1645"/>
      <c r="H223" s="1645"/>
      <c r="I223" s="164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1645"/>
      <c r="AD223" s="1645"/>
      <c r="AE223" s="1645"/>
      <c r="AF223" s="1645"/>
      <c r="AG223" s="1645"/>
      <c r="AH223" s="1645"/>
      <c r="AI223" s="1645"/>
      <c r="AJ223" s="1645"/>
      <c r="AK223" s="1645"/>
      <c r="AL223" s="1645"/>
      <c r="AM223" s="1645"/>
      <c r="AN223" s="1645"/>
      <c r="AO223" s="1645"/>
    </row>
    <row r="224" spans="1:42" ht="15.6" customHeight="1" x14ac:dyDescent="0.2">
      <c r="A224" s="1645"/>
      <c r="B224" s="1645"/>
      <c r="C224" s="1645"/>
      <c r="D224" s="1645"/>
      <c r="E224" s="1645"/>
      <c r="F224" s="1645"/>
      <c r="G224" s="1645"/>
      <c r="H224" s="1645"/>
      <c r="I224" s="1645"/>
      <c r="J224" s="1645"/>
      <c r="K224" s="1645"/>
      <c r="L224" s="1645"/>
      <c r="M224" s="1645"/>
      <c r="N224" s="1645"/>
      <c r="O224" s="1645"/>
      <c r="P224" s="1645"/>
      <c r="Q224" s="1645"/>
      <c r="R224" s="1645"/>
      <c r="S224" s="1645"/>
      <c r="T224" s="1645"/>
      <c r="U224" s="1645"/>
      <c r="V224" s="1645"/>
      <c r="W224" s="1645"/>
      <c r="X224" s="1645"/>
      <c r="Y224" s="1645"/>
      <c r="Z224" s="1645"/>
      <c r="AA224" s="1645"/>
      <c r="AB224" s="1645"/>
      <c r="AC224" s="1645"/>
      <c r="AD224" s="1645"/>
      <c r="AE224" s="1645"/>
      <c r="AF224" s="1645"/>
      <c r="AG224" s="1645"/>
      <c r="AH224" s="1645"/>
      <c r="AI224" s="1645"/>
      <c r="AJ224" s="1645"/>
      <c r="AK224" s="1645"/>
      <c r="AL224" s="1645"/>
      <c r="AM224" s="1645"/>
      <c r="AN224" s="1645"/>
      <c r="AO224" s="1645"/>
    </row>
    <row r="225" spans="1:42" ht="15.6" customHeight="1" x14ac:dyDescent="0.2">
      <c r="A225" s="1645"/>
      <c r="B225" s="1645"/>
      <c r="C225" s="1645"/>
      <c r="D225" s="1645"/>
      <c r="E225" s="1645"/>
      <c r="F225" s="1645"/>
      <c r="G225" s="1645"/>
      <c r="H225" s="1645"/>
      <c r="I225" s="164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1645"/>
      <c r="AD225" s="1645"/>
      <c r="AE225" s="1645"/>
      <c r="AF225" s="1645"/>
      <c r="AG225" s="1645"/>
      <c r="AH225" s="1645"/>
      <c r="AI225" s="1645"/>
      <c r="AJ225" s="1645"/>
      <c r="AK225" s="1645"/>
      <c r="AL225" s="1645"/>
      <c r="AM225" s="1645"/>
      <c r="AN225" s="1645"/>
      <c r="AO225" s="1645"/>
    </row>
    <row r="226" spans="1:42" ht="17.100000000000001" customHeight="1" x14ac:dyDescent="0.2">
      <c r="A226" s="1639" t="s">
        <v>112</v>
      </c>
      <c r="B226" s="1639"/>
      <c r="C226" s="1639"/>
      <c r="D226" s="1639"/>
      <c r="E226" s="1639"/>
      <c r="F226" s="1639"/>
      <c r="G226" s="1639"/>
      <c r="H226" s="1639"/>
      <c r="I226" s="1639"/>
      <c r="J226" s="1640" t="str">
        <f ca="1">Calculos!$HB$12&amp;Calculos!$HB$13</f>
        <v>Erro/Falha na classificação</v>
      </c>
      <c r="K226" s="1640"/>
      <c r="L226" s="1640"/>
      <c r="M226" s="1640"/>
      <c r="N226" s="1640"/>
      <c r="O226" s="1640"/>
      <c r="P226" s="1640"/>
      <c r="Q226" s="1640"/>
      <c r="R226" s="1640"/>
      <c r="S226" s="1640"/>
      <c r="T226" s="1640"/>
      <c r="U226" s="1640"/>
      <c r="V226" s="1640"/>
      <c r="W226" s="1640"/>
      <c r="X226" s="1640"/>
      <c r="Y226" s="1640"/>
      <c r="Z226" s="1640"/>
      <c r="AA226" s="1640"/>
      <c r="AB226" s="1640"/>
      <c r="AC226" s="1640"/>
      <c r="AD226" s="1640"/>
      <c r="AE226" s="1640"/>
      <c r="AF226" s="1640"/>
      <c r="AG226" s="1640"/>
      <c r="AH226" s="1640"/>
      <c r="AI226" s="1640"/>
      <c r="AJ226" s="1640"/>
      <c r="AK226" s="1640"/>
      <c r="AL226" s="1640"/>
      <c r="AM226" s="1640"/>
      <c r="AN226" s="1640"/>
      <c r="AO226" s="1640"/>
    </row>
    <row r="227" spans="1:42" ht="17.100000000000001" customHeight="1" x14ac:dyDescent="0.2">
      <c r="A227" s="1639" t="s">
        <v>7820</v>
      </c>
      <c r="B227" s="1639"/>
      <c r="C227" s="1639"/>
      <c r="D227" s="1639"/>
      <c r="E227" s="1639"/>
      <c r="F227" s="1639"/>
      <c r="G227" s="1639"/>
      <c r="H227" s="1639"/>
      <c r="I227" s="1639"/>
      <c r="J227" s="1640" t="str">
        <f ca="1">Calculos!HB15</f>
        <v>-</v>
      </c>
      <c r="K227" s="1640"/>
      <c r="L227" s="1640"/>
      <c r="M227" s="1640"/>
      <c r="N227" s="1640"/>
      <c r="O227" s="1640"/>
      <c r="P227" s="1640"/>
      <c r="Q227" s="1640"/>
      <c r="R227" s="1640"/>
      <c r="S227" s="1640"/>
      <c r="T227" s="1640"/>
      <c r="U227" s="1640"/>
      <c r="V227" s="1640"/>
      <c r="W227" s="1640"/>
      <c r="X227" s="1640"/>
      <c r="Y227" s="1640"/>
      <c r="Z227" s="1640"/>
      <c r="AA227" s="1640"/>
      <c r="AB227" s="1640"/>
      <c r="AC227" s="1640"/>
      <c r="AD227" s="1640"/>
      <c r="AE227" s="1640"/>
      <c r="AF227" s="1640"/>
      <c r="AG227" s="1640"/>
      <c r="AH227" s="1640"/>
      <c r="AI227" s="1640"/>
      <c r="AJ227" s="1640"/>
      <c r="AK227" s="1640"/>
      <c r="AL227" s="1640"/>
      <c r="AM227" s="1640"/>
      <c r="AN227" s="1640"/>
      <c r="AO227" s="1640"/>
    </row>
    <row r="228" spans="1:42" ht="17.100000000000001" customHeight="1" x14ac:dyDescent="0.2">
      <c r="A228" s="1639" t="s">
        <v>7821</v>
      </c>
      <c r="B228" s="1639"/>
      <c r="C228" s="1639"/>
      <c r="D228" s="1639"/>
      <c r="E228" s="1639"/>
      <c r="F228" s="1639"/>
      <c r="G228" s="1639"/>
      <c r="H228" s="1639"/>
      <c r="I228" s="1639"/>
      <c r="J228" s="1640" t="str">
        <f ca="1">Calculos!HB16</f>
        <v>Falha ao definir obrigatoriedade do pictograma da caveira</v>
      </c>
      <c r="K228" s="1640"/>
      <c r="L228" s="1640"/>
      <c r="M228" s="1640"/>
      <c r="N228" s="1640"/>
      <c r="O228" s="1640"/>
      <c r="P228" s="1640"/>
      <c r="Q228" s="1640"/>
      <c r="R228" s="1640"/>
      <c r="S228" s="1640"/>
      <c r="T228" s="1640"/>
      <c r="U228" s="1640"/>
      <c r="V228" s="1640"/>
      <c r="W228" s="1640"/>
      <c r="X228" s="1640"/>
      <c r="Y228" s="1640"/>
      <c r="Z228" s="1640"/>
      <c r="AA228" s="1640"/>
      <c r="AB228" s="1640"/>
      <c r="AC228" s="1640"/>
      <c r="AD228" s="1640"/>
      <c r="AE228" s="1640"/>
      <c r="AF228" s="1640"/>
      <c r="AG228" s="1640"/>
      <c r="AH228" s="1640"/>
      <c r="AI228" s="1640"/>
      <c r="AJ228" s="1640"/>
      <c r="AK228" s="1640"/>
      <c r="AL228" s="1640"/>
      <c r="AM228" s="1640"/>
      <c r="AN228" s="1640"/>
      <c r="AO228" s="1640"/>
    </row>
    <row r="229" spans="1:42" x14ac:dyDescent="0.2"/>
    <row r="230" spans="1:42" ht="30" customHeight="1" x14ac:dyDescent="0.2">
      <c r="A230" s="384"/>
      <c r="B230" s="384"/>
      <c r="C230" s="414" t="s">
        <v>5816</v>
      </c>
      <c r="D230" s="414"/>
      <c r="E230" s="414"/>
      <c r="F230" s="414"/>
      <c r="G230" s="414"/>
      <c r="H230" s="414"/>
      <c r="I230" s="414"/>
      <c r="J230" s="414"/>
      <c r="K230" s="414"/>
      <c r="L230" s="414"/>
      <c r="M230" s="414"/>
      <c r="N230" s="414"/>
      <c r="O230" s="414"/>
      <c r="P230" s="414"/>
      <c r="Q230" s="414"/>
      <c r="R230" s="414"/>
      <c r="S230" s="414"/>
      <c r="T230" s="414"/>
      <c r="U230" s="414"/>
      <c r="V230" s="414"/>
      <c r="W230" s="414"/>
      <c r="X230" s="414"/>
      <c r="Y230" s="414"/>
      <c r="Z230" s="414"/>
      <c r="AA230" s="414"/>
      <c r="AB230" s="414"/>
      <c r="AC230" s="414"/>
      <c r="AD230" s="414"/>
      <c r="AE230" s="414"/>
      <c r="AF230" s="414"/>
      <c r="AG230" s="414"/>
      <c r="AH230" s="414"/>
      <c r="AI230" s="414"/>
      <c r="AJ230" s="414"/>
      <c r="AK230" s="414"/>
      <c r="AL230" s="414"/>
      <c r="AM230" s="414"/>
      <c r="AN230" s="414"/>
      <c r="AO230" s="414"/>
      <c r="AP230" s="414"/>
    </row>
    <row r="231" spans="1:42" ht="12.75" customHeight="1" x14ac:dyDescent="0.2">
      <c r="A231" s="384"/>
      <c r="B231" s="384"/>
      <c r="C231" s="415"/>
      <c r="D231" s="415"/>
      <c r="E231" s="415"/>
      <c r="F231" s="415"/>
      <c r="G231" s="415"/>
      <c r="H231" s="415"/>
      <c r="I231" s="415"/>
      <c r="J231" s="415"/>
      <c r="K231" s="415"/>
      <c r="L231" s="415"/>
      <c r="M231" s="415"/>
      <c r="N231" s="415"/>
      <c r="O231" s="415"/>
      <c r="P231" s="415"/>
      <c r="Q231" s="415"/>
      <c r="R231" s="415"/>
      <c r="S231" s="415"/>
      <c r="T231" s="415"/>
      <c r="U231" s="415"/>
      <c r="V231" s="415"/>
      <c r="W231" s="384"/>
      <c r="X231" s="384"/>
      <c r="Y231" s="384"/>
    </row>
    <row r="232" spans="1:42" ht="19.7" customHeight="1" x14ac:dyDescent="0.2">
      <c r="A232" s="384"/>
      <c r="B232" s="384"/>
      <c r="C232" s="1589" t="s">
        <v>381</v>
      </c>
      <c r="D232" s="1590"/>
      <c r="E232" s="1590"/>
      <c r="F232" s="1590"/>
      <c r="G232" s="1590"/>
      <c r="H232" s="1590"/>
      <c r="I232" s="1590"/>
      <c r="J232" s="1590"/>
      <c r="K232" s="1590"/>
      <c r="L232" s="1590"/>
      <c r="M232" s="1590"/>
      <c r="N232" s="1590"/>
      <c r="O232" s="1590"/>
      <c r="P232" s="1612" t="str">
        <f ca="1">Calculos!GP6</f>
        <v>-</v>
      </c>
      <c r="Q232" s="1612"/>
      <c r="R232" s="1612"/>
      <c r="S232" s="1612"/>
      <c r="T232" s="1612"/>
      <c r="U232" s="1612"/>
      <c r="V232" s="1612"/>
      <c r="W232" s="1612"/>
      <c r="X232" s="1612"/>
      <c r="Y232" s="1612"/>
      <c r="Z232" s="1612"/>
      <c r="AA232" s="1612"/>
      <c r="AB232" s="1612"/>
      <c r="AC232" s="1612"/>
      <c r="AD232" s="1612"/>
      <c r="AE232" s="1612"/>
      <c r="AF232" s="1612"/>
      <c r="AG232" s="1612"/>
      <c r="AH232" s="1612"/>
      <c r="AI232" s="1612"/>
      <c r="AJ232" s="1612"/>
      <c r="AK232" s="1612"/>
      <c r="AL232" s="1612"/>
      <c r="AM232" s="1612"/>
      <c r="AN232" s="1612"/>
    </row>
    <row r="233" spans="1:42" ht="19.7" customHeight="1" x14ac:dyDescent="0.2">
      <c r="A233" s="384"/>
      <c r="B233" s="384"/>
      <c r="C233" s="1589" t="s">
        <v>258</v>
      </c>
      <c r="D233" s="1590"/>
      <c r="E233" s="1590"/>
      <c r="F233" s="1590"/>
      <c r="G233" s="1590"/>
      <c r="H233" s="1590"/>
      <c r="I233" s="1590"/>
      <c r="J233" s="1590"/>
      <c r="K233" s="1590"/>
      <c r="L233" s="1590"/>
      <c r="M233" s="1590"/>
      <c r="N233" s="1590"/>
      <c r="O233" s="1590"/>
      <c r="P233" s="1612" t="str">
        <f ca="1">Calculos!GP10</f>
        <v>-</v>
      </c>
      <c r="Q233" s="1612"/>
      <c r="R233" s="1612"/>
      <c r="S233" s="1612"/>
      <c r="T233" s="1612"/>
      <c r="U233" s="1612"/>
      <c r="V233" s="1612"/>
      <c r="W233" s="1612"/>
      <c r="X233" s="1612"/>
      <c r="Y233" s="1612"/>
      <c r="Z233" s="1612"/>
      <c r="AA233" s="1612"/>
      <c r="AB233" s="1612"/>
      <c r="AC233" s="1612"/>
      <c r="AD233" s="1612"/>
      <c r="AE233" s="1612"/>
      <c r="AF233" s="1612"/>
      <c r="AG233" s="1612"/>
      <c r="AH233" s="1612"/>
      <c r="AI233" s="1612"/>
      <c r="AJ233" s="1612"/>
      <c r="AK233" s="1612"/>
      <c r="AL233" s="1612"/>
      <c r="AM233" s="1612"/>
      <c r="AN233" s="1612"/>
    </row>
    <row r="234" spans="1:42" ht="19.7" customHeight="1" x14ac:dyDescent="0.2">
      <c r="A234" s="384"/>
      <c r="B234" s="384"/>
      <c r="C234" s="1589" t="s">
        <v>382</v>
      </c>
      <c r="D234" s="1590"/>
      <c r="E234" s="1590"/>
      <c r="F234" s="1590"/>
      <c r="G234" s="1590"/>
      <c r="H234" s="1590"/>
      <c r="I234" s="1590"/>
      <c r="J234" s="1590"/>
      <c r="K234" s="1590"/>
      <c r="L234" s="1590"/>
      <c r="M234" s="1590"/>
      <c r="N234" s="1590"/>
      <c r="O234" s="1590"/>
      <c r="P234" s="1612" t="str">
        <f ca="1">Calculos!GP12</f>
        <v>-</v>
      </c>
      <c r="Q234" s="1612"/>
      <c r="R234" s="1612"/>
      <c r="S234" s="1612"/>
      <c r="T234" s="1612"/>
      <c r="U234" s="1612"/>
      <c r="V234" s="1612"/>
      <c r="W234" s="1612"/>
      <c r="X234" s="1612"/>
      <c r="Y234" s="1612"/>
      <c r="Z234" s="1612"/>
      <c r="AA234" s="1612"/>
      <c r="AB234" s="1612"/>
      <c r="AC234" s="1612"/>
      <c r="AD234" s="1612"/>
      <c r="AE234" s="1612"/>
      <c r="AF234" s="1612"/>
      <c r="AG234" s="1612"/>
      <c r="AH234" s="1612"/>
      <c r="AI234" s="1612"/>
      <c r="AJ234" s="1612"/>
      <c r="AK234" s="1612"/>
      <c r="AL234" s="1612"/>
      <c r="AM234" s="1612"/>
      <c r="AN234" s="1612"/>
    </row>
    <row r="235" spans="1:42" ht="33.950000000000003" customHeight="1" x14ac:dyDescent="0.2">
      <c r="A235" s="416"/>
      <c r="B235" s="416"/>
      <c r="C235" s="1589" t="s">
        <v>27</v>
      </c>
      <c r="D235" s="1590"/>
      <c r="E235" s="1590"/>
      <c r="F235" s="1590"/>
      <c r="G235" s="1590"/>
      <c r="H235" s="1590"/>
      <c r="I235" s="1590"/>
      <c r="J235" s="1590"/>
      <c r="K235" s="1590"/>
      <c r="L235" s="1590"/>
      <c r="M235" s="1590"/>
      <c r="N235" s="1590"/>
      <c r="O235" s="1590"/>
      <c r="P235" s="1628" t="str">
        <f ca="1">Calculos!GP14</f>
        <v>-</v>
      </c>
      <c r="Q235" s="1628"/>
      <c r="R235" s="1628"/>
      <c r="S235" s="1628"/>
      <c r="T235" s="1628"/>
      <c r="U235" s="1628"/>
      <c r="V235" s="1628"/>
      <c r="W235" s="1628"/>
      <c r="X235" s="1628"/>
      <c r="Y235" s="1628"/>
      <c r="Z235" s="1628"/>
      <c r="AA235" s="1628"/>
      <c r="AB235" s="1628"/>
      <c r="AC235" s="1628"/>
      <c r="AD235" s="1628"/>
      <c r="AE235" s="1628"/>
      <c r="AF235" s="1628"/>
      <c r="AG235" s="1628"/>
      <c r="AH235" s="1628"/>
      <c r="AI235" s="1628"/>
      <c r="AJ235" s="1628"/>
      <c r="AK235" s="1628"/>
      <c r="AL235" s="1628"/>
      <c r="AM235" s="1628"/>
      <c r="AN235" s="1628"/>
    </row>
    <row r="236" spans="1:42" ht="33.950000000000003" customHeight="1" x14ac:dyDescent="0.2">
      <c r="A236" s="384"/>
      <c r="B236" s="384"/>
      <c r="C236" s="1589" t="s">
        <v>7088</v>
      </c>
      <c r="D236" s="1590"/>
      <c r="E236" s="1590"/>
      <c r="F236" s="1590"/>
      <c r="G236" s="1590"/>
      <c r="H236" s="1590"/>
      <c r="I236" s="1590"/>
      <c r="J236" s="1590"/>
      <c r="K236" s="1590"/>
      <c r="L236" s="1590"/>
      <c r="M236" s="1590"/>
      <c r="N236" s="1590"/>
      <c r="O236" s="1590"/>
      <c r="P236" s="1628" t="str">
        <f ca="1">Calculos!GP16</f>
        <v>-</v>
      </c>
      <c r="Q236" s="1628"/>
      <c r="R236" s="1628"/>
      <c r="S236" s="1628"/>
      <c r="T236" s="1628"/>
      <c r="U236" s="1628"/>
      <c r="V236" s="1628"/>
      <c r="W236" s="1628"/>
      <c r="X236" s="1628"/>
      <c r="Y236" s="1628"/>
      <c r="Z236" s="1628"/>
      <c r="AA236" s="1628"/>
      <c r="AB236" s="1628"/>
      <c r="AC236" s="1628"/>
      <c r="AD236" s="1628"/>
      <c r="AE236" s="1628"/>
      <c r="AF236" s="1628"/>
      <c r="AG236" s="1628"/>
      <c r="AH236" s="1628"/>
      <c r="AI236" s="1628"/>
      <c r="AJ236" s="1628"/>
      <c r="AK236" s="1628"/>
      <c r="AL236" s="1628"/>
      <c r="AM236" s="1628"/>
      <c r="AN236" s="1628"/>
    </row>
    <row r="237" spans="1:42" ht="19.7" customHeight="1" x14ac:dyDescent="0.2">
      <c r="A237" s="384"/>
      <c r="B237" s="384"/>
      <c r="C237" s="1589" t="s">
        <v>28</v>
      </c>
      <c r="D237" s="1590"/>
      <c r="E237" s="1590"/>
      <c r="F237" s="1590"/>
      <c r="G237" s="1590"/>
      <c r="H237" s="1590"/>
      <c r="I237" s="1590"/>
      <c r="J237" s="1590"/>
      <c r="K237" s="1590"/>
      <c r="L237" s="1590"/>
      <c r="M237" s="1590"/>
      <c r="N237" s="1590"/>
      <c r="O237" s="1590"/>
      <c r="P237" s="1612" t="str">
        <f ca="1">Calculos!GP18</f>
        <v>-</v>
      </c>
      <c r="Q237" s="1612"/>
      <c r="R237" s="1612"/>
      <c r="S237" s="1612"/>
      <c r="T237" s="1612"/>
      <c r="U237" s="1612"/>
      <c r="V237" s="1612"/>
      <c r="W237" s="1612"/>
      <c r="X237" s="1612"/>
      <c r="Y237" s="1612"/>
      <c r="Z237" s="1612"/>
      <c r="AA237" s="1612"/>
      <c r="AB237" s="1612"/>
      <c r="AC237" s="1612"/>
      <c r="AD237" s="1612"/>
      <c r="AE237" s="1612"/>
      <c r="AF237" s="1612"/>
      <c r="AG237" s="1612"/>
      <c r="AH237" s="1612"/>
      <c r="AI237" s="1612"/>
      <c r="AJ237" s="1612"/>
      <c r="AK237" s="1612"/>
      <c r="AL237" s="1612"/>
      <c r="AM237" s="1612"/>
      <c r="AN237" s="1612"/>
    </row>
    <row r="238" spans="1:42" ht="19.7" customHeight="1" x14ac:dyDescent="0.2">
      <c r="A238" s="384"/>
      <c r="B238" s="384"/>
      <c r="C238" s="1589" t="s">
        <v>380</v>
      </c>
      <c r="D238" s="1590"/>
      <c r="E238" s="1590"/>
      <c r="F238" s="1590"/>
      <c r="G238" s="1590"/>
      <c r="H238" s="1590"/>
      <c r="I238" s="1590"/>
      <c r="J238" s="1590"/>
      <c r="K238" s="1590"/>
      <c r="L238" s="1590"/>
      <c r="M238" s="1590"/>
      <c r="N238" s="1590"/>
      <c r="O238" s="1590"/>
      <c r="P238" s="1612" t="str">
        <f ca="1">Calculos!GP22</f>
        <v>-</v>
      </c>
      <c r="Q238" s="1612"/>
      <c r="R238" s="1612"/>
      <c r="S238" s="1612"/>
      <c r="T238" s="1612"/>
      <c r="U238" s="1612"/>
      <c r="V238" s="1612"/>
      <c r="W238" s="1612"/>
      <c r="X238" s="1612"/>
      <c r="Y238" s="1612"/>
      <c r="Z238" s="1612"/>
      <c r="AA238" s="1612"/>
      <c r="AB238" s="1612"/>
      <c r="AC238" s="1612"/>
      <c r="AD238" s="1612"/>
      <c r="AE238" s="1612"/>
      <c r="AF238" s="1612"/>
      <c r="AG238" s="1612"/>
      <c r="AH238" s="1612"/>
      <c r="AI238" s="1612"/>
      <c r="AJ238" s="1612"/>
      <c r="AK238" s="1612"/>
      <c r="AL238" s="1612"/>
      <c r="AM238" s="1612"/>
      <c r="AN238" s="1612"/>
    </row>
    <row r="239" spans="1:42" x14ac:dyDescent="0.2">
      <c r="A239" s="384"/>
      <c r="B239" s="384"/>
      <c r="C239" s="384"/>
      <c r="D239" s="384"/>
      <c r="E239" s="384"/>
      <c r="F239" s="384"/>
      <c r="G239" s="384"/>
      <c r="H239" s="384"/>
      <c r="I239" s="384"/>
      <c r="J239" s="384"/>
      <c r="K239" s="384"/>
      <c r="L239" s="384"/>
      <c r="M239" s="384"/>
      <c r="N239" s="384"/>
      <c r="O239" s="384"/>
      <c r="P239" s="384"/>
      <c r="Q239" s="384"/>
      <c r="R239" s="384"/>
      <c r="S239" s="384"/>
      <c r="T239" s="384"/>
      <c r="U239" s="384"/>
      <c r="V239" s="384"/>
      <c r="W239" s="384"/>
      <c r="X239" s="384"/>
      <c r="Y239" s="384"/>
    </row>
    <row r="240" spans="1:42" ht="15.75" customHeight="1" x14ac:dyDescent="0.2">
      <c r="A240" s="384"/>
      <c r="B240" s="384"/>
      <c r="C240" s="393" t="s">
        <v>5898</v>
      </c>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c r="AH240" s="393"/>
      <c r="AI240" s="393"/>
      <c r="AJ240" s="393"/>
      <c r="AK240" s="393"/>
      <c r="AL240" s="393"/>
      <c r="AM240" s="393"/>
      <c r="AN240" s="393"/>
    </row>
    <row r="241" spans="1:41" x14ac:dyDescent="0.2">
      <c r="A241" s="384"/>
      <c r="B241" s="384"/>
      <c r="V241" s="384"/>
      <c r="W241" s="384"/>
      <c r="X241" s="384"/>
      <c r="Y241" s="384"/>
    </row>
    <row r="242" spans="1:41" ht="21.2" customHeight="1" x14ac:dyDescent="0.2">
      <c r="A242" s="384"/>
      <c r="B242" s="384"/>
      <c r="C242" s="1636" t="s">
        <v>383</v>
      </c>
      <c r="D242" s="1636"/>
      <c r="E242" s="1636"/>
      <c r="F242" s="1636"/>
      <c r="G242" s="1636"/>
      <c r="H242" s="1636"/>
      <c r="I242" s="1636"/>
      <c r="J242" s="1636"/>
      <c r="K242" s="1636"/>
      <c r="L242" s="1636"/>
      <c r="M242" s="1636"/>
      <c r="N242" s="1636"/>
      <c r="O242" s="1636"/>
      <c r="P242" s="1636"/>
      <c r="Q242" s="1636"/>
      <c r="R242" s="1636"/>
      <c r="S242" s="1636"/>
      <c r="T242" s="1641" t="str">
        <f ca="1">Calculos!$HB$14</f>
        <v>-</v>
      </c>
      <c r="U242" s="1641"/>
      <c r="V242" s="1641"/>
      <c r="W242" s="1641"/>
      <c r="X242" s="1641"/>
      <c r="Y242" s="1641"/>
      <c r="Z242" s="1641"/>
      <c r="AA242" s="1641"/>
      <c r="AB242" s="1641"/>
      <c r="AC242" s="1641"/>
      <c r="AD242" s="1641"/>
      <c r="AE242" s="1641"/>
      <c r="AF242" s="1641"/>
      <c r="AG242" s="1641"/>
      <c r="AH242" s="1641"/>
      <c r="AI242" s="1641"/>
      <c r="AJ242" s="1641"/>
      <c r="AK242" s="1641"/>
      <c r="AL242" s="1641"/>
      <c r="AM242" s="1641"/>
      <c r="AN242" s="1641"/>
    </row>
    <row r="243" spans="1:41" x14ac:dyDescent="0.2">
      <c r="A243" s="384"/>
      <c r="B243" s="384"/>
      <c r="C243" s="404"/>
    </row>
    <row r="244" spans="1:41" x14ac:dyDescent="0.2">
      <c r="A244" s="384"/>
      <c r="B244" s="384"/>
      <c r="C244" s="393" t="s">
        <v>7819</v>
      </c>
      <c r="D244" s="384"/>
      <c r="E244" s="384"/>
      <c r="F244" s="384"/>
      <c r="G244" s="384"/>
      <c r="H244" s="384"/>
      <c r="I244" s="384"/>
      <c r="J244" s="384"/>
      <c r="K244" s="384"/>
      <c r="L244" s="384"/>
      <c r="M244" s="384"/>
      <c r="N244" s="384"/>
      <c r="O244" s="384"/>
      <c r="P244" s="384"/>
      <c r="Q244" s="384"/>
      <c r="R244" s="384"/>
      <c r="S244" s="384"/>
      <c r="T244" s="384"/>
      <c r="U244" s="384"/>
      <c r="V244" s="384"/>
      <c r="W244" s="384"/>
      <c r="X244" s="384"/>
      <c r="Y244" s="384"/>
    </row>
    <row r="245" spans="1:41" x14ac:dyDescent="0.2">
      <c r="A245" s="384"/>
      <c r="B245" s="384"/>
      <c r="C245" s="384"/>
      <c r="D245" s="384"/>
      <c r="E245" s="384"/>
      <c r="F245" s="384"/>
      <c r="G245" s="384"/>
      <c r="H245" s="384"/>
      <c r="I245" s="384"/>
      <c r="J245" s="384"/>
      <c r="K245" s="384"/>
      <c r="L245" s="384"/>
      <c r="M245" s="384"/>
      <c r="N245" s="384"/>
      <c r="O245" s="384"/>
      <c r="P245" s="384"/>
      <c r="Q245" s="384"/>
      <c r="R245" s="384"/>
      <c r="S245" s="384"/>
      <c r="T245" s="384"/>
      <c r="U245" s="384"/>
      <c r="V245" s="384"/>
      <c r="W245" s="384"/>
      <c r="X245" s="384"/>
      <c r="Y245" s="384"/>
    </row>
    <row r="246" spans="1:41" ht="18.600000000000001" customHeight="1" x14ac:dyDescent="0.2">
      <c r="A246" s="384"/>
      <c r="B246" s="384"/>
      <c r="C246" s="1636" t="s">
        <v>381</v>
      </c>
      <c r="D246" s="1636"/>
      <c r="E246" s="1636"/>
      <c r="F246" s="1636"/>
      <c r="G246" s="1636"/>
      <c r="H246" s="1636"/>
      <c r="I246" s="1636"/>
      <c r="J246" s="1636"/>
      <c r="K246" s="1636"/>
      <c r="L246" s="1636"/>
      <c r="M246" s="1636"/>
      <c r="N246" s="1636"/>
      <c r="O246" s="1636"/>
      <c r="P246" s="1636"/>
      <c r="Q246" s="1636"/>
      <c r="R246" s="1636"/>
      <c r="S246" s="1636"/>
      <c r="T246" s="1612" t="str">
        <f ca="1">Calculos!GW6</f>
        <v>a definir</v>
      </c>
      <c r="U246" s="1612"/>
      <c r="V246" s="1612"/>
      <c r="W246" s="1612"/>
      <c r="X246" s="1612"/>
      <c r="Y246" s="1612"/>
      <c r="Z246" s="1612"/>
      <c r="AA246" s="1612"/>
      <c r="AB246" s="1612"/>
      <c r="AC246" s="1612"/>
      <c r="AD246" s="1612"/>
      <c r="AE246" s="1612"/>
      <c r="AF246" s="1612"/>
      <c r="AG246" s="1612"/>
      <c r="AH246" s="1612"/>
      <c r="AI246" s="1612"/>
      <c r="AJ246" s="1612"/>
      <c r="AK246" s="1612"/>
      <c r="AL246" s="1612"/>
      <c r="AM246" s="1612"/>
      <c r="AN246" s="1612"/>
    </row>
    <row r="247" spans="1:41" ht="18.600000000000001" customHeight="1" x14ac:dyDescent="0.2">
      <c r="A247" s="384"/>
      <c r="B247" s="384"/>
      <c r="C247" s="1636" t="s">
        <v>258</v>
      </c>
      <c r="D247" s="1636"/>
      <c r="E247" s="1636"/>
      <c r="F247" s="1636"/>
      <c r="G247" s="1636"/>
      <c r="H247" s="1636"/>
      <c r="I247" s="1636"/>
      <c r="J247" s="1636"/>
      <c r="K247" s="1636"/>
      <c r="L247" s="1636"/>
      <c r="M247" s="1636"/>
      <c r="N247" s="1636"/>
      <c r="O247" s="1636"/>
      <c r="P247" s="1636"/>
      <c r="Q247" s="1636"/>
      <c r="R247" s="1636"/>
      <c r="S247" s="1636"/>
      <c r="T247" s="1612" t="str">
        <f ca="1">Calculos!GW10</f>
        <v>a definir</v>
      </c>
      <c r="U247" s="1612"/>
      <c r="V247" s="1612"/>
      <c r="W247" s="1612"/>
      <c r="X247" s="1612"/>
      <c r="Y247" s="1612"/>
      <c r="Z247" s="1612"/>
      <c r="AA247" s="1612"/>
      <c r="AB247" s="1612"/>
      <c r="AC247" s="1612"/>
      <c r="AD247" s="1612"/>
      <c r="AE247" s="1612"/>
      <c r="AF247" s="1612"/>
      <c r="AG247" s="1612"/>
      <c r="AH247" s="1612"/>
      <c r="AI247" s="1612"/>
      <c r="AJ247" s="1612"/>
      <c r="AK247" s="1612"/>
      <c r="AL247" s="1612"/>
      <c r="AM247" s="1612"/>
      <c r="AN247" s="1612"/>
    </row>
    <row r="248" spans="1:41" ht="18.600000000000001" customHeight="1" x14ac:dyDescent="0.2">
      <c r="A248" s="384"/>
      <c r="B248" s="384"/>
      <c r="C248" s="1636" t="s">
        <v>382</v>
      </c>
      <c r="D248" s="1636"/>
      <c r="E248" s="1636"/>
      <c r="F248" s="1636"/>
      <c r="G248" s="1636"/>
      <c r="H248" s="1636"/>
      <c r="I248" s="1636"/>
      <c r="J248" s="1636"/>
      <c r="K248" s="1636"/>
      <c r="L248" s="1636"/>
      <c r="M248" s="1636"/>
      <c r="N248" s="1636"/>
      <c r="O248" s="1636"/>
      <c r="P248" s="1636"/>
      <c r="Q248" s="1636"/>
      <c r="R248" s="1636"/>
      <c r="S248" s="1636"/>
      <c r="T248" s="1612" t="str">
        <f ca="1">Calculos!GW12</f>
        <v>a definir</v>
      </c>
      <c r="U248" s="1612"/>
      <c r="V248" s="1612"/>
      <c r="W248" s="1612"/>
      <c r="X248" s="1612"/>
      <c r="Y248" s="1612"/>
      <c r="Z248" s="1612"/>
      <c r="AA248" s="1612"/>
      <c r="AB248" s="1612"/>
      <c r="AC248" s="1612"/>
      <c r="AD248" s="1612"/>
      <c r="AE248" s="1612"/>
      <c r="AF248" s="1612"/>
      <c r="AG248" s="1612"/>
      <c r="AH248" s="1612"/>
      <c r="AI248" s="1612"/>
      <c r="AJ248" s="1612"/>
      <c r="AK248" s="1612"/>
      <c r="AL248" s="1612"/>
      <c r="AM248" s="1612"/>
      <c r="AN248" s="1612"/>
    </row>
    <row r="249" spans="1:41" ht="18.600000000000001" customHeight="1" x14ac:dyDescent="0.2">
      <c r="A249" s="384"/>
      <c r="B249" s="384"/>
      <c r="C249" s="1636" t="s">
        <v>27</v>
      </c>
      <c r="D249" s="1636"/>
      <c r="E249" s="1636"/>
      <c r="F249" s="1636"/>
      <c r="G249" s="1636"/>
      <c r="H249" s="1636"/>
      <c r="I249" s="1636"/>
      <c r="J249" s="1636"/>
      <c r="K249" s="1636"/>
      <c r="L249" s="1636"/>
      <c r="M249" s="1636"/>
      <c r="N249" s="1636"/>
      <c r="O249" s="1636"/>
      <c r="P249" s="1636"/>
      <c r="Q249" s="1636"/>
      <c r="R249" s="1636"/>
      <c r="S249" s="1636"/>
      <c r="T249" s="1612" t="str">
        <f ca="1">Calculos!GW14</f>
        <v>a definir</v>
      </c>
      <c r="U249" s="1612"/>
      <c r="V249" s="1612"/>
      <c r="W249" s="1612"/>
      <c r="X249" s="1612"/>
      <c r="Y249" s="1612"/>
      <c r="Z249" s="1612"/>
      <c r="AA249" s="1612"/>
      <c r="AB249" s="1612"/>
      <c r="AC249" s="1612"/>
      <c r="AD249" s="1612"/>
      <c r="AE249" s="1612"/>
      <c r="AF249" s="1612"/>
      <c r="AG249" s="1612"/>
      <c r="AH249" s="1612"/>
      <c r="AI249" s="1612"/>
      <c r="AJ249" s="1612"/>
      <c r="AK249" s="1612"/>
      <c r="AL249" s="1612"/>
      <c r="AM249" s="1612"/>
      <c r="AN249" s="1612"/>
    </row>
    <row r="250" spans="1:41" ht="18.600000000000001" customHeight="1" x14ac:dyDescent="0.2">
      <c r="A250" s="384"/>
      <c r="B250" s="384"/>
      <c r="C250" s="1636" t="s">
        <v>5896</v>
      </c>
      <c r="D250" s="1636"/>
      <c r="E250" s="1636"/>
      <c r="F250" s="1636"/>
      <c r="G250" s="1636"/>
      <c r="H250" s="1636"/>
      <c r="I250" s="1636"/>
      <c r="J250" s="1636"/>
      <c r="K250" s="1636"/>
      <c r="L250" s="1636"/>
      <c r="M250" s="1636"/>
      <c r="N250" s="1636"/>
      <c r="O250" s="1636"/>
      <c r="P250" s="1636"/>
      <c r="Q250" s="1636"/>
      <c r="R250" s="1636"/>
      <c r="S250" s="1636"/>
      <c r="T250" s="1612" t="str">
        <f ca="1">Calculos!GW16</f>
        <v>a definir</v>
      </c>
      <c r="U250" s="1612"/>
      <c r="V250" s="1612"/>
      <c r="W250" s="1612"/>
      <c r="X250" s="1612"/>
      <c r="Y250" s="1612"/>
      <c r="Z250" s="1612"/>
      <c r="AA250" s="1612"/>
      <c r="AB250" s="1612"/>
      <c r="AC250" s="1612"/>
      <c r="AD250" s="1612"/>
      <c r="AE250" s="1612"/>
      <c r="AF250" s="1612"/>
      <c r="AG250" s="1612"/>
      <c r="AH250" s="1612"/>
      <c r="AI250" s="1612"/>
      <c r="AJ250" s="1612"/>
      <c r="AK250" s="1612"/>
      <c r="AL250" s="1612"/>
      <c r="AM250" s="1612"/>
      <c r="AN250" s="1612"/>
    </row>
    <row r="251" spans="1:41" ht="18.600000000000001" customHeight="1" x14ac:dyDescent="0.2">
      <c r="A251" s="384"/>
      <c r="B251" s="384"/>
      <c r="C251" s="1636" t="s">
        <v>28</v>
      </c>
      <c r="D251" s="1636"/>
      <c r="E251" s="1636"/>
      <c r="F251" s="1636"/>
      <c r="G251" s="1636"/>
      <c r="H251" s="1636"/>
      <c r="I251" s="1636"/>
      <c r="J251" s="1636"/>
      <c r="K251" s="1636"/>
      <c r="L251" s="1636"/>
      <c r="M251" s="1636"/>
      <c r="N251" s="1636"/>
      <c r="O251" s="1636"/>
      <c r="P251" s="1636"/>
      <c r="Q251" s="1636"/>
      <c r="R251" s="1636"/>
      <c r="S251" s="1636"/>
      <c r="T251" s="1612" t="str">
        <f ca="1">Calculos!GW18</f>
        <v>a definir</v>
      </c>
      <c r="U251" s="1612"/>
      <c r="V251" s="1612"/>
      <c r="W251" s="1612"/>
      <c r="X251" s="1612"/>
      <c r="Y251" s="1612"/>
      <c r="Z251" s="1612"/>
      <c r="AA251" s="1612"/>
      <c r="AB251" s="1612"/>
      <c r="AC251" s="1612"/>
      <c r="AD251" s="1612"/>
      <c r="AE251" s="1612"/>
      <c r="AF251" s="1612"/>
      <c r="AG251" s="1612"/>
      <c r="AH251" s="1612"/>
      <c r="AI251" s="1612"/>
      <c r="AJ251" s="1612"/>
      <c r="AK251" s="1612"/>
      <c r="AL251" s="1612"/>
      <c r="AM251" s="1612"/>
      <c r="AN251" s="1612"/>
    </row>
    <row r="252" spans="1:41" ht="18.600000000000001" customHeight="1" x14ac:dyDescent="0.2">
      <c r="A252" s="384"/>
      <c r="B252" s="384"/>
      <c r="C252" s="1636" t="s">
        <v>380</v>
      </c>
      <c r="D252" s="1636"/>
      <c r="E252" s="1636"/>
      <c r="F252" s="1636"/>
      <c r="G252" s="1636"/>
      <c r="H252" s="1636"/>
      <c r="I252" s="1636"/>
      <c r="J252" s="1636"/>
      <c r="K252" s="1636"/>
      <c r="L252" s="1636"/>
      <c r="M252" s="1636"/>
      <c r="N252" s="1636"/>
      <c r="O252" s="1636"/>
      <c r="P252" s="1636"/>
      <c r="Q252" s="1636"/>
      <c r="R252" s="1636"/>
      <c r="S252" s="1636"/>
      <c r="T252" s="1612" t="str">
        <f ca="1">Calculos!GW22</f>
        <v>a definir</v>
      </c>
      <c r="U252" s="1612"/>
      <c r="V252" s="1612"/>
      <c r="W252" s="1612"/>
      <c r="X252" s="1612"/>
      <c r="Y252" s="1612"/>
      <c r="Z252" s="1612"/>
      <c r="AA252" s="1612"/>
      <c r="AB252" s="1612"/>
      <c r="AC252" s="1612"/>
      <c r="AD252" s="1612"/>
      <c r="AE252" s="1612"/>
      <c r="AF252" s="1612"/>
      <c r="AG252" s="1612"/>
      <c r="AH252" s="1612"/>
      <c r="AI252" s="1612"/>
      <c r="AJ252" s="1612"/>
      <c r="AK252" s="1612"/>
      <c r="AL252" s="1612"/>
      <c r="AM252" s="1612"/>
      <c r="AN252" s="1612"/>
    </row>
    <row r="253" spans="1:41" ht="18.600000000000001" customHeight="1" x14ac:dyDescent="0.25">
      <c r="A253" s="384"/>
      <c r="B253" s="384"/>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row>
    <row r="254" spans="1:41" ht="18.600000000000001" customHeight="1" x14ac:dyDescent="0.25">
      <c r="A254" s="384"/>
      <c r="B254" s="384"/>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row>
    <row r="255" spans="1:41" ht="28.35" customHeight="1" x14ac:dyDescent="0.25">
      <c r="A255" s="384"/>
      <c r="B255" s="384"/>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row>
    <row r="256" spans="1:41" ht="28.35" customHeight="1" x14ac:dyDescent="0.25">
      <c r="A256" s="384"/>
      <c r="B256" s="384"/>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row>
    <row r="257" spans="1:41" ht="18.600000000000001" customHeight="1" x14ac:dyDescent="0.25">
      <c r="A257" s="384"/>
      <c r="B257" s="384"/>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row>
    <row r="258" spans="1:41" ht="113.25" customHeight="1" x14ac:dyDescent="0.2">
      <c r="A258" s="384"/>
      <c r="B258" s="384"/>
      <c r="C258" s="1589" t="s">
        <v>8535</v>
      </c>
      <c r="D258" s="1590"/>
      <c r="E258" s="1590"/>
      <c r="F258" s="1590"/>
      <c r="G258" s="1590"/>
      <c r="H258" s="1590"/>
      <c r="I258" s="1590"/>
      <c r="J258" s="1590"/>
      <c r="K258" s="1590"/>
      <c r="L258" s="1590"/>
      <c r="M258" s="1590"/>
      <c r="N258" s="1590"/>
      <c r="O258" s="1590"/>
      <c r="P258" s="1590"/>
      <c r="Q258" s="1590"/>
      <c r="R258" s="1590"/>
      <c r="S258" s="1591"/>
      <c r="T258" s="1628" t="str">
        <f ca="1">Calculos!HB25</f>
        <v>-</v>
      </c>
      <c r="U258" s="1628"/>
      <c r="V258" s="1628"/>
      <c r="W258" s="1628"/>
      <c r="X258" s="1628"/>
      <c r="Y258" s="1628"/>
      <c r="Z258" s="1628"/>
      <c r="AA258" s="1628"/>
      <c r="AB258" s="1628"/>
      <c r="AC258" s="1628"/>
      <c r="AD258" s="1628"/>
      <c r="AE258" s="1628"/>
      <c r="AF258" s="1628"/>
      <c r="AG258" s="1628"/>
      <c r="AH258" s="1628"/>
      <c r="AI258" s="1628"/>
      <c r="AJ258" s="1628"/>
      <c r="AK258" s="1628"/>
      <c r="AL258" s="1628"/>
      <c r="AM258" s="1628"/>
      <c r="AN258" s="1628"/>
    </row>
    <row r="259" spans="1:41" ht="28.35" customHeight="1" x14ac:dyDescent="0.2">
      <c r="A259" s="384"/>
      <c r="B259" s="384"/>
      <c r="C259" s="1589" t="s">
        <v>8152</v>
      </c>
      <c r="D259" s="1590"/>
      <c r="E259" s="1590"/>
      <c r="F259" s="1590"/>
      <c r="G259" s="1590"/>
      <c r="H259" s="1590"/>
      <c r="I259" s="1590"/>
      <c r="J259" s="1590"/>
      <c r="K259" s="1590"/>
      <c r="L259" s="1590"/>
      <c r="M259" s="1590"/>
      <c r="N259" s="1590"/>
      <c r="O259" s="1590"/>
      <c r="P259" s="1590"/>
      <c r="Q259" s="1590"/>
      <c r="R259" s="1590"/>
      <c r="S259" s="1591"/>
      <c r="T259" s="1592"/>
      <c r="U259" s="1592"/>
      <c r="V259" s="1592"/>
      <c r="W259" s="1592"/>
      <c r="X259" s="1592"/>
      <c r="Y259" s="1592"/>
      <c r="Z259" s="1592"/>
      <c r="AA259" s="1592"/>
      <c r="AB259" s="1592"/>
      <c r="AC259" s="1592"/>
      <c r="AD259" s="1592"/>
      <c r="AE259" s="1592"/>
      <c r="AF259" s="1592"/>
      <c r="AG259" s="1592"/>
      <c r="AH259" s="1592"/>
      <c r="AI259" s="1592"/>
      <c r="AJ259" s="1592"/>
      <c r="AK259" s="1592"/>
      <c r="AL259" s="1592"/>
      <c r="AM259" s="1592"/>
      <c r="AN259" s="1592"/>
    </row>
    <row r="260" spans="1:41" ht="28.35" customHeight="1" x14ac:dyDescent="0.2">
      <c r="A260" s="384"/>
      <c r="B260" s="384"/>
      <c r="C260" s="1589" t="s">
        <v>8152</v>
      </c>
      <c r="D260" s="1590"/>
      <c r="E260" s="1590"/>
      <c r="F260" s="1590"/>
      <c r="G260" s="1590"/>
      <c r="H260" s="1590"/>
      <c r="I260" s="1590"/>
      <c r="J260" s="1590"/>
      <c r="K260" s="1590"/>
      <c r="L260" s="1590"/>
      <c r="M260" s="1590"/>
      <c r="N260" s="1590"/>
      <c r="O260" s="1590"/>
      <c r="P260" s="1590"/>
      <c r="Q260" s="1590"/>
      <c r="R260" s="1590"/>
      <c r="S260" s="1591"/>
      <c r="T260" s="1592"/>
      <c r="U260" s="1592"/>
      <c r="V260" s="1592"/>
      <c r="W260" s="1592"/>
      <c r="X260" s="1592"/>
      <c r="Y260" s="1592"/>
      <c r="Z260" s="1592"/>
      <c r="AA260" s="1592"/>
      <c r="AB260" s="1592"/>
      <c r="AC260" s="1592"/>
      <c r="AD260" s="1592"/>
      <c r="AE260" s="1592"/>
      <c r="AF260" s="1592"/>
      <c r="AG260" s="1592"/>
      <c r="AH260" s="1592"/>
      <c r="AI260" s="1592"/>
      <c r="AJ260" s="1592"/>
      <c r="AK260" s="1592"/>
      <c r="AL260" s="1592"/>
      <c r="AM260" s="1592"/>
      <c r="AN260" s="1592"/>
    </row>
    <row r="261" spans="1:41" ht="28.35" customHeight="1" x14ac:dyDescent="0.2">
      <c r="A261" s="384"/>
      <c r="B261" s="384"/>
      <c r="C261" s="1589" t="s">
        <v>8152</v>
      </c>
      <c r="D261" s="1590"/>
      <c r="E261" s="1590"/>
      <c r="F261" s="1590"/>
      <c r="G261" s="1590"/>
      <c r="H261" s="1590"/>
      <c r="I261" s="1590"/>
      <c r="J261" s="1590"/>
      <c r="K261" s="1590"/>
      <c r="L261" s="1590"/>
      <c r="M261" s="1590"/>
      <c r="N261" s="1590"/>
      <c r="O261" s="1590"/>
      <c r="P261" s="1590"/>
      <c r="Q261" s="1590"/>
      <c r="R261" s="1590"/>
      <c r="S261" s="1591"/>
      <c r="T261" s="1592"/>
      <c r="U261" s="1592"/>
      <c r="V261" s="1592"/>
      <c r="W261" s="1592"/>
      <c r="X261" s="1592"/>
      <c r="Y261" s="1592"/>
      <c r="Z261" s="1592"/>
      <c r="AA261" s="1592"/>
      <c r="AB261" s="1592"/>
      <c r="AC261" s="1592"/>
      <c r="AD261" s="1592"/>
      <c r="AE261" s="1592"/>
      <c r="AF261" s="1592"/>
      <c r="AG261" s="1592"/>
      <c r="AH261" s="1592"/>
      <c r="AI261" s="1592"/>
      <c r="AJ261" s="1592"/>
      <c r="AK261" s="1592"/>
      <c r="AL261" s="1592"/>
      <c r="AM261" s="1592"/>
      <c r="AN261" s="1592"/>
    </row>
    <row r="262" spans="1:41" ht="28.35" customHeight="1" x14ac:dyDescent="0.2">
      <c r="A262" s="384"/>
      <c r="B262" s="384"/>
      <c r="C262" s="1589" t="s">
        <v>8152</v>
      </c>
      <c r="D262" s="1590"/>
      <c r="E262" s="1590"/>
      <c r="F262" s="1590"/>
      <c r="G262" s="1590"/>
      <c r="H262" s="1590"/>
      <c r="I262" s="1590"/>
      <c r="J262" s="1590"/>
      <c r="K262" s="1590"/>
      <c r="L262" s="1590"/>
      <c r="M262" s="1590"/>
      <c r="N262" s="1590"/>
      <c r="O262" s="1590"/>
      <c r="P262" s="1590"/>
      <c r="Q262" s="1590"/>
      <c r="R262" s="1590"/>
      <c r="S262" s="1591"/>
      <c r="T262" s="1592"/>
      <c r="U262" s="1592"/>
      <c r="V262" s="1592"/>
      <c r="W262" s="1592"/>
      <c r="X262" s="1592"/>
      <c r="Y262" s="1592"/>
      <c r="Z262" s="1592"/>
      <c r="AA262" s="1592"/>
      <c r="AB262" s="1592"/>
      <c r="AC262" s="1592"/>
      <c r="AD262" s="1592"/>
      <c r="AE262" s="1592"/>
      <c r="AF262" s="1592"/>
      <c r="AG262" s="1592"/>
      <c r="AH262" s="1592"/>
      <c r="AI262" s="1592"/>
      <c r="AJ262" s="1592"/>
      <c r="AK262" s="1592"/>
      <c r="AL262" s="1592"/>
      <c r="AM262" s="1592"/>
      <c r="AN262" s="1592"/>
    </row>
    <row r="263" spans="1:41" ht="28.35" customHeight="1" x14ac:dyDescent="0.2">
      <c r="C263" s="1589" t="s">
        <v>8152</v>
      </c>
      <c r="D263" s="1590"/>
      <c r="E263" s="1590"/>
      <c r="F263" s="1590"/>
      <c r="G263" s="1590"/>
      <c r="H263" s="1590"/>
      <c r="I263" s="1590"/>
      <c r="J263" s="1590"/>
      <c r="K263" s="1590"/>
      <c r="L263" s="1590"/>
      <c r="M263" s="1590"/>
      <c r="N263" s="1590"/>
      <c r="O263" s="1590"/>
      <c r="P263" s="1590"/>
      <c r="Q263" s="1590"/>
      <c r="R263" s="1590"/>
      <c r="S263" s="1591"/>
      <c r="T263" s="1592"/>
      <c r="U263" s="1592"/>
      <c r="V263" s="1592"/>
      <c r="W263" s="1592"/>
      <c r="X263" s="1592"/>
      <c r="Y263" s="1592"/>
      <c r="Z263" s="1592"/>
      <c r="AA263" s="1592"/>
      <c r="AB263" s="1592"/>
      <c r="AC263" s="1592"/>
      <c r="AD263" s="1592"/>
      <c r="AE263" s="1592"/>
      <c r="AF263" s="1592"/>
      <c r="AG263" s="1592"/>
      <c r="AH263" s="1592"/>
      <c r="AI263" s="1592"/>
      <c r="AJ263" s="1592"/>
      <c r="AK263" s="1592"/>
      <c r="AL263" s="1592"/>
      <c r="AM263" s="1592"/>
      <c r="AN263" s="1592"/>
    </row>
    <row r="264" spans="1:41" x14ac:dyDescent="0.2"/>
    <row r="265" spans="1:41" x14ac:dyDescent="0.2">
      <c r="D265" s="1642"/>
      <c r="E265" s="1642"/>
      <c r="F265" s="1642"/>
      <c r="G265" s="1642"/>
      <c r="H265" s="1642"/>
      <c r="I265" s="1642"/>
      <c r="J265" s="1642"/>
      <c r="K265" s="1642"/>
      <c r="L265" s="384"/>
      <c r="M265" s="384"/>
      <c r="N265" s="384"/>
      <c r="O265" s="384"/>
      <c r="P265" s="384"/>
      <c r="Q265" s="384"/>
      <c r="R265" s="384"/>
      <c r="S265" s="384"/>
      <c r="T265" s="384"/>
      <c r="U265" s="384"/>
      <c r="V265" s="384"/>
    </row>
    <row r="266" spans="1:41" ht="21.2" customHeight="1" x14ac:dyDescent="0.2">
      <c r="D266" s="1637" t="str" cm="1">
        <f t="array" aca="1" ref="D266" ca="1">"Responsável pelo preenchimento: "&amp;INDIRECT("Formulário!N12",1)</f>
        <v xml:space="preserve">Responsável pelo preenchimento: </v>
      </c>
      <c r="E266" s="1638"/>
      <c r="F266" s="1638"/>
      <c r="G266" s="1638"/>
      <c r="H266" s="1638"/>
      <c r="I266" s="1638"/>
      <c r="J266" s="1638"/>
      <c r="K266" s="1638"/>
      <c r="L266" s="1638"/>
      <c r="M266" s="1638"/>
      <c r="N266" s="1638"/>
      <c r="O266" s="1638"/>
      <c r="P266" s="1638"/>
      <c r="Q266" s="1638"/>
      <c r="R266" s="1638"/>
      <c r="S266" s="1638"/>
      <c r="T266" s="1638"/>
      <c r="U266" s="1638"/>
      <c r="V266" s="1638"/>
      <c r="W266" s="1638"/>
      <c r="X266" s="1638"/>
      <c r="Y266" s="1638"/>
      <c r="Z266" s="1638"/>
      <c r="AA266" s="1638"/>
      <c r="AB266" s="1638"/>
      <c r="AC266" s="1638"/>
      <c r="AD266" s="1638"/>
      <c r="AE266" s="1638"/>
      <c r="AF266" s="1638"/>
      <c r="AG266" s="1638"/>
      <c r="AH266" s="1638"/>
      <c r="AI266" s="1638"/>
      <c r="AJ266" s="1638"/>
    </row>
    <row r="267" spans="1:41" ht="21.2" customHeight="1" x14ac:dyDescent="0.2">
      <c r="D267" s="1637" t="str" cm="1">
        <f t="array" aca="1" ref="D267" ca="1">"Empresa: "&amp;INDIRECT("Formulário!N13",1)</f>
        <v xml:space="preserve">Empresa: </v>
      </c>
      <c r="E267" s="1638"/>
      <c r="F267" s="1638"/>
      <c r="G267" s="1638"/>
      <c r="H267" s="1638"/>
      <c r="I267" s="1638"/>
      <c r="J267" s="1638"/>
      <c r="K267" s="1638"/>
      <c r="L267" s="1638"/>
      <c r="M267" s="1638"/>
      <c r="N267" s="1638"/>
      <c r="O267" s="1638"/>
      <c r="P267" s="1638"/>
      <c r="Q267" s="1638"/>
      <c r="R267" s="1638"/>
      <c r="S267" s="1638"/>
      <c r="T267" s="1638"/>
      <c r="U267" s="1638"/>
      <c r="V267" s="1638"/>
      <c r="W267" s="1638"/>
      <c r="X267" s="1638"/>
      <c r="Y267" s="1638"/>
      <c r="Z267" s="1638"/>
      <c r="AA267" s="1638"/>
      <c r="AB267" s="1638"/>
      <c r="AC267" s="1638"/>
      <c r="AD267" s="1638"/>
      <c r="AE267" s="1638"/>
      <c r="AF267" s="1638"/>
      <c r="AG267" s="1638"/>
      <c r="AH267" s="1638"/>
      <c r="AI267" s="1638"/>
      <c r="AJ267" s="1638"/>
    </row>
    <row r="268" spans="1:41" ht="21.2" customHeight="1" x14ac:dyDescent="0.2">
      <c r="D268" s="1637" t="str" cm="1">
        <f t="array" aca="1" ref="D268" ca="1">"Data de início do preenchimento: "&amp;TEXT(INDIRECT("Formulário!N14",1),"dd/mm/aaaa")</f>
        <v>Data de início do preenchimento: 00/01/1900</v>
      </c>
      <c r="E268" s="1638"/>
      <c r="F268" s="1638"/>
      <c r="G268" s="1638"/>
      <c r="H268" s="1638"/>
      <c r="I268" s="1638"/>
      <c r="J268" s="1638"/>
      <c r="K268" s="1638"/>
      <c r="L268" s="1638"/>
      <c r="M268" s="1638"/>
      <c r="N268" s="1638"/>
      <c r="O268" s="1638"/>
      <c r="P268" s="1638"/>
      <c r="Q268" s="1638"/>
      <c r="R268" s="1638"/>
      <c r="S268" s="1638"/>
      <c r="T268" s="1638"/>
      <c r="U268" s="1638"/>
      <c r="V268" s="1638"/>
      <c r="W268" s="1638"/>
      <c r="X268" s="1638"/>
      <c r="Y268" s="1638"/>
      <c r="Z268" s="1638"/>
      <c r="AA268" s="1638"/>
      <c r="AB268" s="1638"/>
      <c r="AC268" s="1638"/>
      <c r="AD268" s="1638"/>
      <c r="AE268" s="1638"/>
      <c r="AF268" s="1638"/>
      <c r="AG268" s="1638"/>
      <c r="AH268" s="1638"/>
      <c r="AI268" s="1638"/>
      <c r="AJ268" s="1638"/>
    </row>
    <row r="269" spans="1:41" ht="21.2" customHeight="1" x14ac:dyDescent="0.2">
      <c r="D269" s="1596" t="s">
        <v>7824</v>
      </c>
      <c r="E269" s="1597"/>
      <c r="F269" s="1597"/>
      <c r="G269" s="1597"/>
      <c r="H269" s="1597"/>
      <c r="I269" s="1597"/>
      <c r="J269" s="1597"/>
      <c r="K269" s="1597"/>
      <c r="L269" s="1597"/>
      <c r="M269" s="1598"/>
      <c r="N269" s="1598"/>
      <c r="O269" s="1598"/>
      <c r="P269" s="1598"/>
      <c r="Q269" s="1598"/>
      <c r="R269" s="1598"/>
      <c r="S269" s="1598"/>
      <c r="T269" s="1598"/>
      <c r="U269" s="1598"/>
      <c r="V269" s="1598"/>
      <c r="W269" s="1598"/>
      <c r="X269" s="1598"/>
      <c r="Y269" s="1598"/>
      <c r="Z269" s="1598"/>
      <c r="AA269" s="1598"/>
      <c r="AB269" s="1598"/>
      <c r="AC269" s="1598"/>
      <c r="AD269" s="1598"/>
      <c r="AE269" s="1598"/>
      <c r="AF269" s="1598"/>
      <c r="AG269" s="1598"/>
      <c r="AH269" s="1598"/>
      <c r="AI269" s="1598"/>
      <c r="AJ269" s="1598"/>
    </row>
    <row r="270" spans="1:41" x14ac:dyDescent="0.2"/>
    <row r="271" spans="1:41" x14ac:dyDescent="0.2"/>
    <row r="272" spans="1:41" x14ac:dyDescent="0.2"/>
    <row r="273" spans="30:30" x14ac:dyDescent="0.2"/>
    <row r="274" spans="30:30" x14ac:dyDescent="0.2"/>
    <row r="275" spans="30:30" x14ac:dyDescent="0.2">
      <c r="AD275" s="391"/>
    </row>
    <row r="276" spans="30:30" x14ac:dyDescent="0.2"/>
    <row r="277" spans="30:30" x14ac:dyDescent="0.2"/>
    <row r="278" spans="30:30" x14ac:dyDescent="0.2"/>
    <row r="279" spans="30:30" x14ac:dyDescent="0.2"/>
    <row r="280" spans="30:30" x14ac:dyDescent="0.2"/>
    <row r="281" spans="30:30" x14ac:dyDescent="0.2"/>
    <row r="282" spans="30:30" x14ac:dyDescent="0.2"/>
    <row r="283" spans="30:30" x14ac:dyDescent="0.2"/>
    <row r="284" spans="30:30" x14ac:dyDescent="0.2"/>
    <row r="285" spans="30:30" x14ac:dyDescent="0.2"/>
    <row r="286" spans="30:30" x14ac:dyDescent="0.2"/>
    <row r="287" spans="30:30" x14ac:dyDescent="0.2"/>
    <row r="288" spans="30:30" x14ac:dyDescent="0.2"/>
    <row r="289" s="385" customFormat="1" x14ac:dyDescent="0.2"/>
    <row r="290" s="385" customFormat="1" x14ac:dyDescent="0.2"/>
    <row r="291" s="385" customFormat="1" x14ac:dyDescent="0.2"/>
    <row r="292" s="385" customFormat="1" x14ac:dyDescent="0.2"/>
    <row r="293" s="385" customFormat="1" x14ac:dyDescent="0.2"/>
    <row r="294" s="385" customFormat="1" x14ac:dyDescent="0.2"/>
    <row r="295" s="385" customFormat="1" x14ac:dyDescent="0.2"/>
    <row r="296" s="385" customFormat="1" x14ac:dyDescent="0.2"/>
    <row r="297" s="385" customFormat="1" x14ac:dyDescent="0.2"/>
    <row r="298" s="385" customFormat="1" x14ac:dyDescent="0.2"/>
    <row r="299" s="385" customFormat="1" x14ac:dyDescent="0.2"/>
    <row r="300" s="385" customFormat="1" x14ac:dyDescent="0.2"/>
    <row r="301" s="385" customFormat="1" x14ac:dyDescent="0.2"/>
    <row r="302" s="385" customFormat="1" x14ac:dyDescent="0.2"/>
    <row r="303" s="385" customFormat="1" x14ac:dyDescent="0.2"/>
    <row r="304" s="385" customFormat="1" x14ac:dyDescent="0.2"/>
    <row r="305" s="385" customFormat="1" x14ac:dyDescent="0.2"/>
    <row r="306" s="385" customFormat="1" x14ac:dyDescent="0.2"/>
    <row r="307" s="385" customFormat="1" x14ac:dyDescent="0.2"/>
    <row r="308" s="385" customFormat="1" x14ac:dyDescent="0.2"/>
    <row r="309" s="385" customFormat="1" x14ac:dyDescent="0.2"/>
    <row r="310" s="385" customFormat="1" x14ac:dyDescent="0.2"/>
    <row r="311" s="385" customFormat="1" x14ac:dyDescent="0.2"/>
    <row r="312" s="385" customFormat="1" x14ac:dyDescent="0.2"/>
    <row r="313" s="385" customFormat="1" x14ac:dyDescent="0.2"/>
    <row r="314" s="385" customFormat="1" x14ac:dyDescent="0.2"/>
    <row r="315" s="385" customFormat="1" x14ac:dyDescent="0.2"/>
    <row r="316" s="385" customFormat="1" x14ac:dyDescent="0.2"/>
    <row r="317" s="385" customFormat="1" x14ac:dyDescent="0.2"/>
    <row r="318" s="385" customFormat="1" x14ac:dyDescent="0.2"/>
    <row r="319" s="385" customFormat="1" x14ac:dyDescent="0.2"/>
    <row r="320" s="385" customFormat="1" x14ac:dyDescent="0.2"/>
    <row r="321" s="385" customFormat="1" x14ac:dyDescent="0.2"/>
    <row r="322" s="385" customFormat="1" x14ac:dyDescent="0.2"/>
    <row r="323" s="385" customFormat="1" x14ac:dyDescent="0.2"/>
    <row r="324" s="385" customFormat="1" x14ac:dyDescent="0.2"/>
    <row r="325" s="385" customFormat="1" x14ac:dyDescent="0.2"/>
    <row r="326" s="385" customFormat="1" x14ac:dyDescent="0.2"/>
    <row r="327" s="385" customFormat="1" x14ac:dyDescent="0.2"/>
    <row r="328" s="385" customFormat="1" x14ac:dyDescent="0.2"/>
    <row r="329" s="385" customFormat="1" x14ac:dyDescent="0.2"/>
    <row r="330" s="385" customFormat="1" x14ac:dyDescent="0.2"/>
    <row r="331" s="385" customFormat="1" x14ac:dyDescent="0.2"/>
    <row r="332" s="385" customFormat="1" x14ac:dyDescent="0.2"/>
    <row r="333" s="385" customFormat="1" x14ac:dyDescent="0.2"/>
    <row r="334" s="385" customFormat="1" x14ac:dyDescent="0.2"/>
    <row r="335" s="385" customFormat="1" x14ac:dyDescent="0.2"/>
    <row r="336" s="385" customFormat="1" x14ac:dyDescent="0.2"/>
    <row r="337" s="385" customFormat="1" x14ac:dyDescent="0.2"/>
    <row r="338" s="385" customFormat="1" x14ac:dyDescent="0.2"/>
  </sheetData>
  <sheetProtection algorithmName="SHA-512" hashValue="hY/DQOLPmhOgx5SrVaR4sbSL/b+701Et75MEw6o3qr17hCYmYTpI32YJDCCLooldRYJKtN5WvNl5LbVwDQflFA==" saltValue="NIgrdUO89EOMf6N64BDDCQ==" spinCount="100000" sheet="1" objects="1" scenarios="1" formatColumns="0" formatRows="0"/>
  <mergeCells count="605">
    <mergeCell ref="AB180:AK181"/>
    <mergeCell ref="AB182:AK183"/>
    <mergeCell ref="AB184:AK185"/>
    <mergeCell ref="AB186:AK189"/>
    <mergeCell ref="AB190:AK193"/>
    <mergeCell ref="A223:AO225"/>
    <mergeCell ref="R185:AA185"/>
    <mergeCell ref="R186:AA186"/>
    <mergeCell ref="R187:AA187"/>
    <mergeCell ref="R188:AA188"/>
    <mergeCell ref="R189:AA189"/>
    <mergeCell ref="R190:AA190"/>
    <mergeCell ref="R191:AA191"/>
    <mergeCell ref="R192:AA192"/>
    <mergeCell ref="R193:AA193"/>
    <mergeCell ref="J182:Q182"/>
    <mergeCell ref="J183:Q183"/>
    <mergeCell ref="J184:Q184"/>
    <mergeCell ref="J185:Q185"/>
    <mergeCell ref="J186:Q186"/>
    <mergeCell ref="J187:Q187"/>
    <mergeCell ref="J188:Q188"/>
    <mergeCell ref="J189:Q189"/>
    <mergeCell ref="J190:Q190"/>
    <mergeCell ref="J191:Q191"/>
    <mergeCell ref="J192:Q192"/>
    <mergeCell ref="J193:Q193"/>
    <mergeCell ref="R181:AA181"/>
    <mergeCell ref="R182:AA182"/>
    <mergeCell ref="R183:AA183"/>
    <mergeCell ref="R173:AA173"/>
    <mergeCell ref="R174:AA174"/>
    <mergeCell ref="R175:AA175"/>
    <mergeCell ref="R176:AA176"/>
    <mergeCell ref="R177:AA177"/>
    <mergeCell ref="R178:AA178"/>
    <mergeCell ref="R179:AA179"/>
    <mergeCell ref="R180:AA180"/>
    <mergeCell ref="R184:AA184"/>
    <mergeCell ref="J173:Q173"/>
    <mergeCell ref="J174:Q174"/>
    <mergeCell ref="J175:Q175"/>
    <mergeCell ref="J176:Q176"/>
    <mergeCell ref="J177:Q177"/>
    <mergeCell ref="J178:Q178"/>
    <mergeCell ref="J179:Q179"/>
    <mergeCell ref="J180:Q180"/>
    <mergeCell ref="J181:Q181"/>
    <mergeCell ref="AB173:AK173"/>
    <mergeCell ref="AB174:AK177"/>
    <mergeCell ref="AB178:AK179"/>
    <mergeCell ref="A160:I163"/>
    <mergeCell ref="C258:S258"/>
    <mergeCell ref="C252:S252"/>
    <mergeCell ref="D197:AP197"/>
    <mergeCell ref="D198:AP198"/>
    <mergeCell ref="P236:AN236"/>
    <mergeCell ref="P237:AN237"/>
    <mergeCell ref="P238:AN238"/>
    <mergeCell ref="C235:O235"/>
    <mergeCell ref="C234:O234"/>
    <mergeCell ref="C233:O233"/>
    <mergeCell ref="C232:O232"/>
    <mergeCell ref="C236:O236"/>
    <mergeCell ref="C237:O237"/>
    <mergeCell ref="C238:O238"/>
    <mergeCell ref="P232:AN232"/>
    <mergeCell ref="P233:AN233"/>
    <mergeCell ref="P234:AN234"/>
    <mergeCell ref="P235:AN235"/>
    <mergeCell ref="D200:AP200"/>
    <mergeCell ref="D199:AP199"/>
    <mergeCell ref="A226:I226"/>
    <mergeCell ref="A227:I227"/>
    <mergeCell ref="D268:AJ268"/>
    <mergeCell ref="T259:AN259"/>
    <mergeCell ref="T260:AN260"/>
    <mergeCell ref="T261:AN261"/>
    <mergeCell ref="C242:S242"/>
    <mergeCell ref="T242:AN242"/>
    <mergeCell ref="T248:AN248"/>
    <mergeCell ref="T249:AN249"/>
    <mergeCell ref="T250:AN250"/>
    <mergeCell ref="T251:AN251"/>
    <mergeCell ref="T252:AN252"/>
    <mergeCell ref="C246:S246"/>
    <mergeCell ref="C247:S247"/>
    <mergeCell ref="C248:S248"/>
    <mergeCell ref="C249:S249"/>
    <mergeCell ref="T246:AN246"/>
    <mergeCell ref="T247:AN247"/>
    <mergeCell ref="D265:K265"/>
    <mergeCell ref="C259:S259"/>
    <mergeCell ref="C260:S260"/>
    <mergeCell ref="C261:S261"/>
    <mergeCell ref="T258:AN258"/>
    <mergeCell ref="C250:S250"/>
    <mergeCell ref="C251:S251"/>
    <mergeCell ref="A166:I167"/>
    <mergeCell ref="A164:I165"/>
    <mergeCell ref="J165:Q165"/>
    <mergeCell ref="J166:Q166"/>
    <mergeCell ref="D266:AJ266"/>
    <mergeCell ref="D267:AJ267"/>
    <mergeCell ref="A228:I228"/>
    <mergeCell ref="A178:I179"/>
    <mergeCell ref="A180:I181"/>
    <mergeCell ref="A190:I191"/>
    <mergeCell ref="A192:I193"/>
    <mergeCell ref="A182:I183"/>
    <mergeCell ref="A184:I185"/>
    <mergeCell ref="A186:I189"/>
    <mergeCell ref="J226:AO226"/>
    <mergeCell ref="A173:I173"/>
    <mergeCell ref="A174:I177"/>
    <mergeCell ref="J227:AO227"/>
    <mergeCell ref="J228:AO228"/>
    <mergeCell ref="X165:AQ165"/>
    <mergeCell ref="X166:AQ166"/>
    <mergeCell ref="X167:AQ167"/>
    <mergeCell ref="M140:AP140"/>
    <mergeCell ref="A131:L131"/>
    <mergeCell ref="A132:L132"/>
    <mergeCell ref="A133:L133"/>
    <mergeCell ref="A134:L134"/>
    <mergeCell ref="A135:L135"/>
    <mergeCell ref="A136:L136"/>
    <mergeCell ref="M131:AP131"/>
    <mergeCell ref="M132:AP132"/>
    <mergeCell ref="M133:AP133"/>
    <mergeCell ref="M134:AP134"/>
    <mergeCell ref="M135:AP135"/>
    <mergeCell ref="M136:AP136"/>
    <mergeCell ref="A140:L140"/>
    <mergeCell ref="A137:L137"/>
    <mergeCell ref="A138:L138"/>
    <mergeCell ref="A139:L139"/>
    <mergeCell ref="M138:AP138"/>
    <mergeCell ref="M139:AP139"/>
    <mergeCell ref="W104:AF104"/>
    <mergeCell ref="A144:I144"/>
    <mergeCell ref="A145:I148"/>
    <mergeCell ref="A149:I150"/>
    <mergeCell ref="A151:I152"/>
    <mergeCell ref="A156:I157"/>
    <mergeCell ref="A158:I159"/>
    <mergeCell ref="M124:AP124"/>
    <mergeCell ref="AG105:AJ105"/>
    <mergeCell ref="AK105:AN105"/>
    <mergeCell ref="AO105:AR105"/>
    <mergeCell ref="AK108:AN108"/>
    <mergeCell ref="AO108:AR108"/>
    <mergeCell ref="E107:J107"/>
    <mergeCell ref="AG106:AJ106"/>
    <mergeCell ref="AK106:AN106"/>
    <mergeCell ref="AO106:AR106"/>
    <mergeCell ref="AG107:AJ107"/>
    <mergeCell ref="AK107:AN107"/>
    <mergeCell ref="AO107:AR107"/>
    <mergeCell ref="E105:J105"/>
    <mergeCell ref="B114:AO114"/>
    <mergeCell ref="A120:L120"/>
    <mergeCell ref="A121:L121"/>
    <mergeCell ref="AG104:AJ104"/>
    <mergeCell ref="AK104:AN104"/>
    <mergeCell ref="AO104:AR104"/>
    <mergeCell ref="K103:V103"/>
    <mergeCell ref="W103:AF103"/>
    <mergeCell ref="AG99:AJ99"/>
    <mergeCell ref="AK99:AN99"/>
    <mergeCell ref="AO99:AR99"/>
    <mergeCell ref="AG100:AJ100"/>
    <mergeCell ref="AK100:AN100"/>
    <mergeCell ref="AO100:AR100"/>
    <mergeCell ref="K101:V101"/>
    <mergeCell ref="W101:AF101"/>
    <mergeCell ref="AG101:AJ101"/>
    <mergeCell ref="AK101:AN101"/>
    <mergeCell ref="AO101:AR101"/>
    <mergeCell ref="AG102:AJ102"/>
    <mergeCell ref="W102:AF102"/>
    <mergeCell ref="AK102:AN102"/>
    <mergeCell ref="AO102:AR102"/>
    <mergeCell ref="AG103:AJ103"/>
    <mergeCell ref="AK103:AN103"/>
    <mergeCell ref="AO103:AR103"/>
    <mergeCell ref="K104:V104"/>
    <mergeCell ref="AG96:AJ96"/>
    <mergeCell ref="AK96:AN96"/>
    <mergeCell ref="AO96:AR96"/>
    <mergeCell ref="W94:AF94"/>
    <mergeCell ref="AG97:AJ97"/>
    <mergeCell ref="AK97:AN97"/>
    <mergeCell ref="AO97:AR97"/>
    <mergeCell ref="K98:V98"/>
    <mergeCell ref="W98:AF98"/>
    <mergeCell ref="AG98:AJ98"/>
    <mergeCell ref="AK98:AN98"/>
    <mergeCell ref="AO98:AR98"/>
    <mergeCell ref="AG93:AJ93"/>
    <mergeCell ref="AK93:AN93"/>
    <mergeCell ref="AO93:AR93"/>
    <mergeCell ref="AG94:AJ94"/>
    <mergeCell ref="AK94:AN94"/>
    <mergeCell ref="AO94:AR94"/>
    <mergeCell ref="K95:V95"/>
    <mergeCell ref="W95:AF95"/>
    <mergeCell ref="AG95:AJ95"/>
    <mergeCell ref="AK95:AN95"/>
    <mergeCell ref="AO95:AR95"/>
    <mergeCell ref="W93:AF93"/>
    <mergeCell ref="AG90:AJ90"/>
    <mergeCell ref="AK90:AN90"/>
    <mergeCell ref="AO90:AR90"/>
    <mergeCell ref="AG91:AJ91"/>
    <mergeCell ref="AK91:AN91"/>
    <mergeCell ref="AO91:AR91"/>
    <mergeCell ref="K92:V92"/>
    <mergeCell ref="W92:AF92"/>
    <mergeCell ref="AG92:AJ92"/>
    <mergeCell ref="AK92:AN92"/>
    <mergeCell ref="AO92:AR92"/>
    <mergeCell ref="AG87:AJ87"/>
    <mergeCell ref="AK87:AN87"/>
    <mergeCell ref="AO87:AR87"/>
    <mergeCell ref="AG88:AJ88"/>
    <mergeCell ref="AK88:AN88"/>
    <mergeCell ref="AO88:AR88"/>
    <mergeCell ref="K89:V89"/>
    <mergeCell ref="W89:AF89"/>
    <mergeCell ref="AG89:AJ89"/>
    <mergeCell ref="AK89:AN89"/>
    <mergeCell ref="AO89:AR89"/>
    <mergeCell ref="W84:AF84"/>
    <mergeCell ref="AG84:AJ84"/>
    <mergeCell ref="AK84:AN84"/>
    <mergeCell ref="AO84:AR84"/>
    <mergeCell ref="W82:AF82"/>
    <mergeCell ref="AG85:AJ85"/>
    <mergeCell ref="AK85:AN85"/>
    <mergeCell ref="AO85:AR85"/>
    <mergeCell ref="K86:V86"/>
    <mergeCell ref="W86:AF86"/>
    <mergeCell ref="AG86:AJ86"/>
    <mergeCell ref="AK86:AN86"/>
    <mergeCell ref="AO86:AR86"/>
    <mergeCell ref="W81:AF81"/>
    <mergeCell ref="AG81:AJ81"/>
    <mergeCell ref="AK81:AN81"/>
    <mergeCell ref="AO81:AR81"/>
    <mergeCell ref="AG82:AJ82"/>
    <mergeCell ref="AK82:AN82"/>
    <mergeCell ref="AO82:AR82"/>
    <mergeCell ref="K83:V83"/>
    <mergeCell ref="W83:AF83"/>
    <mergeCell ref="AG83:AJ83"/>
    <mergeCell ref="AK83:AN83"/>
    <mergeCell ref="AO83:AR83"/>
    <mergeCell ref="AG78:AJ78"/>
    <mergeCell ref="AK78:AN78"/>
    <mergeCell ref="AO78:AR78"/>
    <mergeCell ref="AG79:AJ79"/>
    <mergeCell ref="AK79:AN79"/>
    <mergeCell ref="AO79:AR79"/>
    <mergeCell ref="K80:V80"/>
    <mergeCell ref="W80:AF80"/>
    <mergeCell ref="AG80:AJ80"/>
    <mergeCell ref="AK80:AN80"/>
    <mergeCell ref="AO80:AR80"/>
    <mergeCell ref="AG75:AJ75"/>
    <mergeCell ref="AK75:AN75"/>
    <mergeCell ref="AO75:AR75"/>
    <mergeCell ref="AG76:AJ76"/>
    <mergeCell ref="AK76:AN76"/>
    <mergeCell ref="AO76:AR76"/>
    <mergeCell ref="K77:V77"/>
    <mergeCell ref="W77:AF77"/>
    <mergeCell ref="AG77:AJ77"/>
    <mergeCell ref="AK77:AN77"/>
    <mergeCell ref="AO77:AR77"/>
    <mergeCell ref="AG73:AJ73"/>
    <mergeCell ref="AK73:AN73"/>
    <mergeCell ref="AO73:AR73"/>
    <mergeCell ref="K74:V74"/>
    <mergeCell ref="W74:AF74"/>
    <mergeCell ref="AG74:AJ74"/>
    <mergeCell ref="AK74:AN74"/>
    <mergeCell ref="AO74:AR74"/>
    <mergeCell ref="AO72:AR72"/>
    <mergeCell ref="K72:V72"/>
    <mergeCell ref="W72:AF72"/>
    <mergeCell ref="AG72:AJ72"/>
    <mergeCell ref="AK72:AN72"/>
    <mergeCell ref="B53:M53"/>
    <mergeCell ref="N53:AC53"/>
    <mergeCell ref="E72:J72"/>
    <mergeCell ref="E71:J71"/>
    <mergeCell ref="E69:J69"/>
    <mergeCell ref="E68:J68"/>
    <mergeCell ref="K69:V69"/>
    <mergeCell ref="K68:V68"/>
    <mergeCell ref="W68:AF68"/>
    <mergeCell ref="W69:AF69"/>
    <mergeCell ref="A71:D71"/>
    <mergeCell ref="E70:J70"/>
    <mergeCell ref="A68:D68"/>
    <mergeCell ref="A69:D69"/>
    <mergeCell ref="A70:D70"/>
    <mergeCell ref="K70:V70"/>
    <mergeCell ref="W70:AF70"/>
    <mergeCell ref="AD53:AK53"/>
    <mergeCell ref="AD56:AK56"/>
    <mergeCell ref="AG71:AJ71"/>
    <mergeCell ref="AK71:AN71"/>
    <mergeCell ref="W71:AF71"/>
    <mergeCell ref="AG67:AR67"/>
    <mergeCell ref="AO71:AR71"/>
    <mergeCell ref="B54:M54"/>
    <mergeCell ref="B55:M55"/>
    <mergeCell ref="B56:M56"/>
    <mergeCell ref="N54:AC54"/>
    <mergeCell ref="AD54:AK54"/>
    <mergeCell ref="N55:AC55"/>
    <mergeCell ref="AD55:AK55"/>
    <mergeCell ref="N56:AC56"/>
    <mergeCell ref="AK70:AN70"/>
    <mergeCell ref="AO70:AR70"/>
    <mergeCell ref="AK68:AN68"/>
    <mergeCell ref="AO68:AR68"/>
    <mergeCell ref="AG68:AJ68"/>
    <mergeCell ref="AG69:AJ69"/>
    <mergeCell ref="AK69:AN69"/>
    <mergeCell ref="AO69:AR69"/>
    <mergeCell ref="AG70:AJ70"/>
    <mergeCell ref="A72:D72"/>
    <mergeCell ref="K71:V71"/>
    <mergeCell ref="W106:AF106"/>
    <mergeCell ref="K105:V105"/>
    <mergeCell ref="W105:AF105"/>
    <mergeCell ref="K107:V107"/>
    <mergeCell ref="W107:AF107"/>
    <mergeCell ref="M137:AP137"/>
    <mergeCell ref="M125:AP125"/>
    <mergeCell ref="M126:AP126"/>
    <mergeCell ref="M127:AP127"/>
    <mergeCell ref="M128:AP128"/>
    <mergeCell ref="M129:AP129"/>
    <mergeCell ref="M130:AP130"/>
    <mergeCell ref="A123:L123"/>
    <mergeCell ref="A124:L124"/>
    <mergeCell ref="M120:AP120"/>
    <mergeCell ref="M121:AP121"/>
    <mergeCell ref="M122:AP122"/>
    <mergeCell ref="M123:AP123"/>
    <mergeCell ref="A107:D107"/>
    <mergeCell ref="A108:D108"/>
    <mergeCell ref="E106:J106"/>
    <mergeCell ref="K108:V108"/>
    <mergeCell ref="W108:AF108"/>
    <mergeCell ref="AG108:AJ108"/>
    <mergeCell ref="E104:J104"/>
    <mergeCell ref="A125:L125"/>
    <mergeCell ref="A126:L126"/>
    <mergeCell ref="A127:L127"/>
    <mergeCell ref="A128:L128"/>
    <mergeCell ref="A129:L129"/>
    <mergeCell ref="A130:L130"/>
    <mergeCell ref="E101:J101"/>
    <mergeCell ref="A101:D101"/>
    <mergeCell ref="A102:D102"/>
    <mergeCell ref="K102:V102"/>
    <mergeCell ref="A105:D105"/>
    <mergeCell ref="A106:D106"/>
    <mergeCell ref="K106:V106"/>
    <mergeCell ref="E103:J103"/>
    <mergeCell ref="A103:D103"/>
    <mergeCell ref="A104:D104"/>
    <mergeCell ref="E102:J102"/>
    <mergeCell ref="E108:J108"/>
    <mergeCell ref="A122:L122"/>
    <mergeCell ref="E100:J100"/>
    <mergeCell ref="E99:J99"/>
    <mergeCell ref="A99:D99"/>
    <mergeCell ref="A100:D100"/>
    <mergeCell ref="K100:V100"/>
    <mergeCell ref="W100:AF100"/>
    <mergeCell ref="E98:J98"/>
    <mergeCell ref="E97:J97"/>
    <mergeCell ref="A97:D97"/>
    <mergeCell ref="A98:D98"/>
    <mergeCell ref="K97:V97"/>
    <mergeCell ref="W97:AF97"/>
    <mergeCell ref="K99:V99"/>
    <mergeCell ref="W99:AF99"/>
    <mergeCell ref="E96:J96"/>
    <mergeCell ref="W96:AF96"/>
    <mergeCell ref="E95:J95"/>
    <mergeCell ref="A95:D95"/>
    <mergeCell ref="A96:D96"/>
    <mergeCell ref="E94:J94"/>
    <mergeCell ref="E93:J93"/>
    <mergeCell ref="A93:D93"/>
    <mergeCell ref="A94:D94"/>
    <mergeCell ref="K94:V94"/>
    <mergeCell ref="K93:V93"/>
    <mergeCell ref="K96:V96"/>
    <mergeCell ref="E92:J92"/>
    <mergeCell ref="E91:J91"/>
    <mergeCell ref="A91:D91"/>
    <mergeCell ref="A92:D92"/>
    <mergeCell ref="K91:V91"/>
    <mergeCell ref="W91:AF91"/>
    <mergeCell ref="E90:J90"/>
    <mergeCell ref="E89:J89"/>
    <mergeCell ref="A89:D89"/>
    <mergeCell ref="A90:D90"/>
    <mergeCell ref="K90:V90"/>
    <mergeCell ref="W90:AF90"/>
    <mergeCell ref="E88:J88"/>
    <mergeCell ref="E87:J87"/>
    <mergeCell ref="A87:D87"/>
    <mergeCell ref="A88:D88"/>
    <mergeCell ref="K88:V88"/>
    <mergeCell ref="W88:AF88"/>
    <mergeCell ref="E86:J86"/>
    <mergeCell ref="E85:J85"/>
    <mergeCell ref="A85:D85"/>
    <mergeCell ref="A86:D86"/>
    <mergeCell ref="K85:V85"/>
    <mergeCell ref="W85:AF85"/>
    <mergeCell ref="K87:V87"/>
    <mergeCell ref="W87:AF87"/>
    <mergeCell ref="E84:J84"/>
    <mergeCell ref="E83:J83"/>
    <mergeCell ref="A83:D83"/>
    <mergeCell ref="A84:D84"/>
    <mergeCell ref="E82:J82"/>
    <mergeCell ref="E81:J81"/>
    <mergeCell ref="A81:D81"/>
    <mergeCell ref="A82:D82"/>
    <mergeCell ref="K82:V82"/>
    <mergeCell ref="K81:V81"/>
    <mergeCell ref="K84:V84"/>
    <mergeCell ref="E80:J80"/>
    <mergeCell ref="E79:J79"/>
    <mergeCell ref="A79:D79"/>
    <mergeCell ref="A80:D80"/>
    <mergeCell ref="K79:V79"/>
    <mergeCell ref="W79:AF79"/>
    <mergeCell ref="E78:J78"/>
    <mergeCell ref="E77:J77"/>
    <mergeCell ref="A77:D77"/>
    <mergeCell ref="A78:D78"/>
    <mergeCell ref="K78:V78"/>
    <mergeCell ref="W78:AF78"/>
    <mergeCell ref="E76:J76"/>
    <mergeCell ref="E75:J75"/>
    <mergeCell ref="A75:D75"/>
    <mergeCell ref="A76:D76"/>
    <mergeCell ref="K76:V76"/>
    <mergeCell ref="W76:AF76"/>
    <mergeCell ref="E74:J74"/>
    <mergeCell ref="E73:J73"/>
    <mergeCell ref="A73:D73"/>
    <mergeCell ref="A74:D74"/>
    <mergeCell ref="K73:V73"/>
    <mergeCell ref="W73:AF73"/>
    <mergeCell ref="K75:V75"/>
    <mergeCell ref="W75:AF75"/>
    <mergeCell ref="B50:M50"/>
    <mergeCell ref="B51:M51"/>
    <mergeCell ref="B52:M52"/>
    <mergeCell ref="N50:AC50"/>
    <mergeCell ref="AD50:AK50"/>
    <mergeCell ref="B45:M45"/>
    <mergeCell ref="N42:AC42"/>
    <mergeCell ref="AD42:AK42"/>
    <mergeCell ref="N43:AC43"/>
    <mergeCell ref="AD44:AK44"/>
    <mergeCell ref="AD46:AK46"/>
    <mergeCell ref="N47:AC47"/>
    <mergeCell ref="AD47:AK47"/>
    <mergeCell ref="N44:AC44"/>
    <mergeCell ref="B42:M42"/>
    <mergeCell ref="B43:M43"/>
    <mergeCell ref="B44:M44"/>
    <mergeCell ref="U40:AB40"/>
    <mergeCell ref="B47:M47"/>
    <mergeCell ref="B48:M48"/>
    <mergeCell ref="B49:M49"/>
    <mergeCell ref="N48:AC48"/>
    <mergeCell ref="AD48:AK48"/>
    <mergeCell ref="N49:AC49"/>
    <mergeCell ref="AD49:AK49"/>
    <mergeCell ref="AF10:AP10"/>
    <mergeCell ref="L11:W11"/>
    <mergeCell ref="L12:AP12"/>
    <mergeCell ref="L13:AP13"/>
    <mergeCell ref="L15:AP15"/>
    <mergeCell ref="L16:AP16"/>
    <mergeCell ref="C15:K15"/>
    <mergeCell ref="C13:K13"/>
    <mergeCell ref="C16:K16"/>
    <mergeCell ref="B40:T40"/>
    <mergeCell ref="B46:M46"/>
    <mergeCell ref="B20:AL34"/>
    <mergeCell ref="B41:M41"/>
    <mergeCell ref="N41:AC41"/>
    <mergeCell ref="AD41:AK41"/>
    <mergeCell ref="AD43:AK43"/>
    <mergeCell ref="B4:AR4"/>
    <mergeCell ref="C9:K9"/>
    <mergeCell ref="C10:K10"/>
    <mergeCell ref="X10:AE10"/>
    <mergeCell ref="L9:AP9"/>
    <mergeCell ref="L10:W10"/>
    <mergeCell ref="AJ5:AP5"/>
    <mergeCell ref="C11:K11"/>
    <mergeCell ref="C12:K12"/>
    <mergeCell ref="D269:L269"/>
    <mergeCell ref="M269:AJ269"/>
    <mergeCell ref="A203:AP203"/>
    <mergeCell ref="A202:AC202"/>
    <mergeCell ref="N45:AC45"/>
    <mergeCell ref="AD45:AK45"/>
    <mergeCell ref="N51:AC51"/>
    <mergeCell ref="AD51:AK51"/>
    <mergeCell ref="N52:AC52"/>
    <mergeCell ref="AD52:AK52"/>
    <mergeCell ref="N46:AC46"/>
    <mergeCell ref="AM144:AQ144"/>
    <mergeCell ref="AM145:AQ145"/>
    <mergeCell ref="AM146:AQ146"/>
    <mergeCell ref="AM147:AQ147"/>
    <mergeCell ref="AM148:AQ148"/>
    <mergeCell ref="AM149:AQ149"/>
    <mergeCell ref="AM150:AQ150"/>
    <mergeCell ref="AM151:AQ151"/>
    <mergeCell ref="AM152:AQ152"/>
    <mergeCell ref="J163:Q163"/>
    <mergeCell ref="J164:Q164"/>
    <mergeCell ref="J145:Q145"/>
    <mergeCell ref="J144:Q144"/>
    <mergeCell ref="J156:Q156"/>
    <mergeCell ref="J157:Q157"/>
    <mergeCell ref="J158:Q158"/>
    <mergeCell ref="J159:Q159"/>
    <mergeCell ref="J160:Q160"/>
    <mergeCell ref="J161:Q161"/>
    <mergeCell ref="J162:Q162"/>
    <mergeCell ref="J146:Q146"/>
    <mergeCell ref="J147:Q147"/>
    <mergeCell ref="J148:Q148"/>
    <mergeCell ref="J149:Q149"/>
    <mergeCell ref="J150:Q150"/>
    <mergeCell ref="J151:Q151"/>
    <mergeCell ref="J152:Q152"/>
    <mergeCell ref="R157:W157"/>
    <mergeCell ref="R160:W160"/>
    <mergeCell ref="R161:W161"/>
    <mergeCell ref="R162:W162"/>
    <mergeCell ref="X144:AL144"/>
    <mergeCell ref="X145:AL145"/>
    <mergeCell ref="X146:AL146"/>
    <mergeCell ref="X147:AL147"/>
    <mergeCell ref="X148:AL148"/>
    <mergeCell ref="X149:AL149"/>
    <mergeCell ref="X150:AL150"/>
    <mergeCell ref="X151:AL151"/>
    <mergeCell ref="X152:AL152"/>
    <mergeCell ref="R144:W144"/>
    <mergeCell ref="R145:W145"/>
    <mergeCell ref="R146:W146"/>
    <mergeCell ref="R147:W147"/>
    <mergeCell ref="R148:W148"/>
    <mergeCell ref="R149:W149"/>
    <mergeCell ref="R150:W150"/>
    <mergeCell ref="R151:W151"/>
    <mergeCell ref="R152:W152"/>
    <mergeCell ref="R158:W158"/>
    <mergeCell ref="R159:W159"/>
    <mergeCell ref="C262:S262"/>
    <mergeCell ref="T262:AN262"/>
    <mergeCell ref="C263:S263"/>
    <mergeCell ref="T263:AN263"/>
    <mergeCell ref="A155:I155"/>
    <mergeCell ref="J155:Q155"/>
    <mergeCell ref="R155:W155"/>
    <mergeCell ref="X155:AQ155"/>
    <mergeCell ref="R163:W163"/>
    <mergeCell ref="R164:W164"/>
    <mergeCell ref="R165:W165"/>
    <mergeCell ref="R166:W166"/>
    <mergeCell ref="R167:W167"/>
    <mergeCell ref="X156:AQ156"/>
    <mergeCell ref="X157:AQ157"/>
    <mergeCell ref="X158:AQ158"/>
    <mergeCell ref="X159:AQ159"/>
    <mergeCell ref="X160:AQ160"/>
    <mergeCell ref="X161:AQ161"/>
    <mergeCell ref="X162:AQ162"/>
    <mergeCell ref="X163:AQ163"/>
    <mergeCell ref="X164:AQ164"/>
    <mergeCell ref="J167:Q167"/>
    <mergeCell ref="R156:W156"/>
  </mergeCells>
  <phoneticPr fontId="23" type="noConversion"/>
  <conditionalFormatting sqref="A121:AP140">
    <cfRule type="expression" dxfId="11" priority="5138">
      <formula>$M121=0</formula>
    </cfRule>
  </conditionalFormatting>
  <conditionalFormatting sqref="A203:AP203">
    <cfRule type="containsText" dxfId="9" priority="1" operator="containsText" text="## Nada a declarar ##">
      <formula>NOT(ISERROR(SEARCH("## Nada a declarar ##",A203)))</formula>
    </cfRule>
  </conditionalFormatting>
  <conditionalFormatting sqref="A69:AR108">
    <cfRule type="expression" dxfId="8" priority="16">
      <formula>$K69=""</formula>
    </cfRule>
  </conditionalFormatting>
  <conditionalFormatting sqref="B42:AK56">
    <cfRule type="cellIs" dxfId="7" priority="9" operator="equal">
      <formula>0</formula>
    </cfRule>
  </conditionalFormatting>
  <conditionalFormatting sqref="AB174 R174:R193 AB178 AB180 AB182 AB184 AB186 AB190">
    <cfRule type="containsText" dxfId="6" priority="7" operator="containsText" text="definida">
      <formula>NOT(ISERROR(SEARCH("definida",R174)))</formula>
    </cfRule>
  </conditionalFormatting>
  <dataValidations count="3">
    <dataValidation allowBlank="1" showInputMessage="1" showErrorMessage="1" promptTitle="Ajuda" prompt="Utilize esse campo para esclarecer alguma correção que tenha sido realizada na classificação toxicológica, se for o caso." sqref="A202:AC202" xr:uid="{C595A960-FC65-4EB2-9739-00785743A1A2}"/>
    <dataValidation allowBlank="1" showInputMessage="1" showErrorMessage="1" promptTitle="Ajuda" prompt="Inserir outras frases de perigo, conforme os perigos crônicos dos ativos e dos demais componentes. " sqref="C259:S263" xr:uid="{28C17FE1-8D03-42D4-B8E2-C0718C30076D}"/>
    <dataValidation type="list" allowBlank="1" showInputMessage="1" sqref="T259:AN263" xr:uid="{3C79C2A1-318D-4568-90BA-7589DB8BC128}">
      <formula1>Frases_de_perigo</formula1>
    </dataValidation>
  </dataValidations>
  <pageMargins left="0.511811024" right="0.40625" top="1.5833333333333333" bottom="0.78740157499999996" header="0.31496062000000002" footer="0.31496062000000002"/>
  <pageSetup paperSize="9" orientation="portrait" r:id="rId1"/>
  <headerFooter>
    <oddHeader xml:space="preserve">&amp;L&amp;G&amp;C
Ferramenta de Leitura Otimizada no Registro de Agrotóxicos
Relatório de classificação toxicológica
Gerência Geral de Toxicologia 
</oddHeader>
    <oddFooter>&amp;R
&amp;P</oddFooter>
    <evenFooter>&amp;R&amp;P</even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3497" r:id="rId5" name="Check Box 185">
              <controlPr defaultSize="0" autoFill="0" autoLine="0" autoPict="0">
                <anchor moveWithCells="1">
                  <from>
                    <xdr:col>0</xdr:col>
                    <xdr:colOff>85725</xdr:colOff>
                    <xdr:row>198</xdr:row>
                    <xdr:rowOff>47625</xdr:rowOff>
                  </from>
                  <to>
                    <xdr:col>41</xdr:col>
                    <xdr:colOff>133350</xdr:colOff>
                    <xdr:row>198</xdr:row>
                    <xdr:rowOff>457200</xdr:rowOff>
                  </to>
                </anchor>
              </controlPr>
            </control>
          </mc:Choice>
        </mc:AlternateContent>
        <mc:AlternateContent xmlns:mc="http://schemas.openxmlformats.org/markup-compatibility/2006">
          <mc:Choice Requires="x14">
            <control shapeId="13499" r:id="rId6" name="Check Box 187">
              <controlPr defaultSize="0" autoFill="0" autoLine="0" autoPict="0">
                <anchor moveWithCells="1">
                  <from>
                    <xdr:col>0</xdr:col>
                    <xdr:colOff>85725</xdr:colOff>
                    <xdr:row>199</xdr:row>
                    <xdr:rowOff>47625</xdr:rowOff>
                  </from>
                  <to>
                    <xdr:col>41</xdr:col>
                    <xdr:colOff>133350</xdr:colOff>
                    <xdr:row>199</xdr:row>
                    <xdr:rowOff>457200</xdr:rowOff>
                  </to>
                </anchor>
              </controlPr>
            </control>
          </mc:Choice>
        </mc:AlternateContent>
        <mc:AlternateContent xmlns:mc="http://schemas.openxmlformats.org/markup-compatibility/2006">
          <mc:Choice Requires="x14">
            <control shapeId="13511" r:id="rId7" name="Check Box 199">
              <controlPr defaultSize="0" autoFill="0" autoLine="0" autoPict="0">
                <anchor moveWithCells="1">
                  <from>
                    <xdr:col>0</xdr:col>
                    <xdr:colOff>85725</xdr:colOff>
                    <xdr:row>196</xdr:row>
                    <xdr:rowOff>47625</xdr:rowOff>
                  </from>
                  <to>
                    <xdr:col>41</xdr:col>
                    <xdr:colOff>133350</xdr:colOff>
                    <xdr:row>196</xdr:row>
                    <xdr:rowOff>457200</xdr:rowOff>
                  </to>
                </anchor>
              </controlPr>
            </control>
          </mc:Choice>
        </mc:AlternateContent>
        <mc:AlternateContent xmlns:mc="http://schemas.openxmlformats.org/markup-compatibility/2006">
          <mc:Choice Requires="x14">
            <control shapeId="14122" r:id="rId8" name="Check Box 810">
              <controlPr defaultSize="0" autoFill="0" autoLine="0" autoPict="0">
                <anchor moveWithCells="1">
                  <from>
                    <xdr:col>0</xdr:col>
                    <xdr:colOff>85725</xdr:colOff>
                    <xdr:row>197</xdr:row>
                    <xdr:rowOff>47625</xdr:rowOff>
                  </from>
                  <to>
                    <xdr:col>41</xdr:col>
                    <xdr:colOff>133350</xdr:colOff>
                    <xdr:row>197</xdr:row>
                    <xdr:rowOff>457200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633" id="{00000000-000E-0000-0700-0000600E0000}">
            <xm:f>OR(Calculos!$HC$15=1,Calculos!$HC$15=2)</xm:f>
            <x14:dxf>
              <fill>
                <patternFill>
                  <bgColor rgb="FFFF0000"/>
                </patternFill>
              </fill>
              <border>
                <left/>
                <right/>
                <top/>
                <bottom/>
                <vertical/>
                <horizontal/>
              </border>
            </x14:dxf>
          </x14:cfRule>
          <x14:cfRule type="expression" priority="9634" id="{00000000-000E-0000-0700-00005F0E0000}">
            <xm:f>Calculos!$HC$15=3</xm:f>
            <x14:dxf>
              <fill>
                <patternFill>
                  <bgColor rgb="FFFFFF00"/>
                </patternFill>
              </fill>
              <border>
                <left/>
                <right/>
                <top/>
                <bottom/>
                <vertical/>
                <horizontal/>
              </border>
            </x14:dxf>
          </x14:cfRule>
          <x14:cfRule type="expression" priority="9635" id="{00000000-000E-0000-0700-00005E0E0000}">
            <xm:f>OR(Calculos!$HC$15=4,Calculos!$HC$15=5)</xm:f>
            <x14:dxf>
              <fill>
                <patternFill>
                  <bgColor rgb="FF0070C0"/>
                </patternFill>
              </fill>
              <border>
                <left/>
                <right/>
                <top/>
                <bottom/>
                <vertical/>
                <horizontal/>
              </border>
            </x14:dxf>
          </x14:cfRule>
          <x14:cfRule type="expression" priority="9636" id="{00000000-000E-0000-0700-00005D0E0000}">
            <xm:f>Calculos!$HC$15=6</xm:f>
            <x14:dxf>
              <fill>
                <patternFill>
                  <bgColor rgb="FF00B050"/>
                </patternFill>
              </fill>
              <border>
                <left/>
                <right/>
                <top/>
                <bottom/>
                <vertical/>
                <horizontal/>
              </border>
            </x14:dxf>
          </x14:cfRule>
          <xm:sqref>A223</xm:sqref>
        </x14:conditionalFormatting>
        <x14:conditionalFormatting xmlns:xm="http://schemas.microsoft.com/office/excel/2006/main">
          <x14:cfRule type="expression" priority="9736" id="{AC211414-6497-4412-AB6D-2E2B067F286B}">
            <xm:f>Calculos!$HB$21=0</xm:f>
            <x14:dxf>
              <font>
                <color theme="0"/>
              </font>
              <fill>
                <patternFill>
                  <bgColor theme="0"/>
                </patternFill>
              </fill>
              <border>
                <left/>
                <right/>
                <top/>
                <bottom/>
                <vertical/>
                <horizontal/>
              </border>
            </x14:dxf>
          </x14:cfRule>
          <xm:sqref>A196:AP200</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xr:uid="{DE8D2AF8-2A4A-4771-84CF-B3763177AEA2}">
          <x14:formula1>
            <xm:f>Calculos!$HO$3:$HO$7</xm:f>
          </x14:formula1>
          <xm:sqref>T246:AN246</xm:sqref>
        </x14:dataValidation>
        <x14:dataValidation type="list" allowBlank="1" showInputMessage="1" xr:uid="{7680EE25-C521-442C-9C71-53C61C197F0E}">
          <x14:formula1>
            <xm:f>Calculos!$HO$9:$HO$13</xm:f>
          </x14:formula1>
          <xm:sqref>T247:AN247</xm:sqref>
        </x14:dataValidation>
        <x14:dataValidation type="list" allowBlank="1" showInputMessage="1" xr:uid="{B843B6DD-1594-4A6D-AAC7-E99C1C8DF219}">
          <x14:formula1>
            <xm:f>Calculos!$HO$15:$HO$19</xm:f>
          </x14:formula1>
          <xm:sqref>T248:AN248</xm:sqref>
        </x14:dataValidation>
        <x14:dataValidation type="list" allowBlank="1" showInputMessage="1" xr:uid="{A66E352E-9564-45F8-AFD6-EE736B28CC40}">
          <x14:formula1>
            <xm:f>Calculos!$HO$31:$HO$32</xm:f>
          </x14:formula1>
          <xm:sqref>T249:AN249</xm:sqref>
        </x14:dataValidation>
        <x14:dataValidation type="list" allowBlank="1" showInputMessage="1" xr:uid="{9A369BC5-4EEC-4567-809A-2F544C839EE1}">
          <x14:formula1>
            <xm:f>Calculos!$HO$25:$HO$27</xm:f>
          </x14:formula1>
          <xm:sqref>T250:AN250</xm:sqref>
        </x14:dataValidation>
        <x14:dataValidation type="list" allowBlank="1" showInputMessage="1" xr:uid="{77D8C00E-70B7-45E6-ACA4-8F9FE2407597}">
          <x14:formula1>
            <xm:f>Calculos!$HO$35</xm:f>
          </x14:formula1>
          <xm:sqref>T251:AN251</xm:sqref>
        </x14:dataValidation>
        <x14:dataValidation type="list" allowBlank="1" showInputMessage="1" xr:uid="{557EBD75-1486-42E0-B511-B13FC3F18B82}">
          <x14:formula1>
            <xm:f>Calculos!$HO$38:$HO$40</xm:f>
          </x14:formula1>
          <xm:sqref>T252:AN252</xm:sqref>
        </x14:dataValidation>
        <x14:dataValidation type="list" allowBlank="1" showInputMessage="1" showErrorMessage="1" xr:uid="{187E79C6-1962-4F77-A4BA-545D02CE6500}">
          <x14:formula1>
            <xm:f>Calculos!$HR$25:$HR$27</xm:f>
          </x14:formula1>
          <xm:sqref>T242:AN242</xm:sqref>
        </x14:dataValidation>
        <x14:dataValidation type="list" allowBlank="1" showInputMessage="1" showErrorMessage="1" errorTitle="Valor inválido" error="Deve-se informar uma classificação toxicológica válida." xr:uid="{B9D4F36A-DA73-43F0-9292-D5912DDDBAF3}">
          <x14:formula1>
            <xm:f>Calculos!$HN$15:$HN$20</xm:f>
          </x14:formula1>
          <xm:sqref>R180:R181 W180:AA181</xm:sqref>
        </x14:dataValidation>
        <x14:dataValidation type="list" allowBlank="1" showInputMessage="1" showErrorMessage="1" errorTitle="Valor inválido" error="Deve-se informar uma classificação toxicológica válida." xr:uid="{224A1E00-B8F4-4A84-8358-CEC2CFAAEB37}">
          <x14:formula1>
            <xm:f>Calculos!$HN$31:$HN$33</xm:f>
          </x14:formula1>
          <xm:sqref>R182:R183 W182:AA183</xm:sqref>
        </x14:dataValidation>
        <x14:dataValidation type="list" allowBlank="1" showInputMessage="1" showErrorMessage="1" errorTitle="Valor inválido" error="Deve-se informar uma classificação toxicológica válida." xr:uid="{3B75085E-85B1-47B3-A356-C6A1B2819DBE}">
          <x14:formula1>
            <xm:f>Calculos!$HN$25:$HN$28</xm:f>
          </x14:formula1>
          <xm:sqref>R184:R185 W184:AA185</xm:sqref>
        </x14:dataValidation>
        <x14:dataValidation type="list" allowBlank="1" showInputMessage="1" showErrorMessage="1" errorTitle="Valor inválido" error="Deve-se informar uma classificação toxicológica válida." xr:uid="{AC57397B-3DFC-4DDB-9308-2C3457E8B262}">
          <x14:formula1>
            <xm:f>Calculos!$HN$35:$HN$36</xm:f>
          </x14:formula1>
          <xm:sqref>R186:R189 W186:AA189</xm:sqref>
        </x14:dataValidation>
        <x14:dataValidation type="list" allowBlank="1" showInputMessage="1" showErrorMessage="1" errorTitle="Valor inválido" error="Deve-se informar uma classificação toxicológica válida." xr:uid="{835D6070-6B46-4932-A5AA-1844C487289B}">
          <x14:formula1>
            <xm:f>Calculos!$HN$3:$HN$8</xm:f>
          </x14:formula1>
          <xm:sqref>W177:AA177 R174:R177</xm:sqref>
        </x14:dataValidation>
        <x14:dataValidation type="list" allowBlank="1" showInputMessage="1" showErrorMessage="1" errorTitle="Valor inválido" error="Deve-se informar uma classificação toxicológica válida." xr:uid="{EC31FD67-BA00-4741-906F-B2126B8CD350}">
          <x14:formula1>
            <xm:f>Calculos!$HN$9:$HN$14</xm:f>
          </x14:formula1>
          <xm:sqref>R178:R179 W178:AA179</xm:sqref>
        </x14:dataValidation>
        <x14:dataValidation type="list" allowBlank="1" showInputMessage="1" showErrorMessage="1" errorTitle="Valor inválido" error="Deve-se informar uma classificação toxicológica válida." xr:uid="{02D2A0D7-6C7A-4949-936E-B13B307F4960}">
          <x14:formula1>
            <xm:f>Calculos!$HN$38:$HN$41</xm:f>
          </x14:formula1>
          <xm:sqref>R190:R193 W190:AA193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ECDC8-87DA-47F9-9D55-3E339DECE149}">
  <sheetPr codeName="Planilha1">
    <tabColor theme="9" tint="-0.249977111117893"/>
    <outlinePr summaryBelow="0"/>
  </sheetPr>
  <dimension ref="A1:AH635"/>
  <sheetViews>
    <sheetView showGridLines="0" topLeftCell="F1" zoomScaleNormal="100" workbookViewId="0">
      <selection activeCell="D1" sqref="D1"/>
    </sheetView>
  </sheetViews>
  <sheetFormatPr defaultColWidth="0" defaultRowHeight="15" customHeight="1" zeroHeight="1" outlineLevelRow="1" x14ac:dyDescent="0.25"/>
  <cols>
    <col min="1" max="1" width="2.7109375" style="417" hidden="1" customWidth="1"/>
    <col min="2" max="2" width="6.7109375" style="20" hidden="1" customWidth="1"/>
    <col min="3" max="5" width="4.7109375" style="20" hidden="1" customWidth="1"/>
    <col min="6" max="6" width="4.7109375" style="20" customWidth="1"/>
    <col min="7" max="7" width="95.28515625" style="20" customWidth="1"/>
    <col min="8" max="8" width="14.7109375" style="467" customWidth="1"/>
    <col min="9" max="9" width="14.7109375" style="465" customWidth="1"/>
    <col min="10" max="10" width="4.7109375" style="465" customWidth="1"/>
    <col min="11" max="13" width="4.7109375" style="465" hidden="1" customWidth="1"/>
    <col min="14" max="14" width="17.140625" style="466" hidden="1" customWidth="1"/>
    <col min="15" max="15" width="13.140625" style="465" hidden="1" customWidth="1"/>
    <col min="16" max="16" width="10.28515625" style="465" hidden="1" customWidth="1"/>
    <col min="17" max="17" width="32" style="465" hidden="1" customWidth="1"/>
    <col min="18" max="18" width="30.42578125" style="465" hidden="1" customWidth="1"/>
    <col min="19" max="19" width="11" style="465" hidden="1" customWidth="1"/>
    <col min="20" max="20" width="19.7109375" style="465" hidden="1" customWidth="1"/>
    <col min="21" max="23" width="32.28515625" style="465" hidden="1" customWidth="1"/>
    <col min="24" max="24" width="21.5703125" style="467" hidden="1" customWidth="1"/>
    <col min="25" max="25" width="28.140625" style="467" hidden="1" customWidth="1"/>
    <col min="26" max="26" width="22.42578125" style="467" hidden="1" customWidth="1"/>
    <col min="27" max="34" width="4.7109375" style="465" hidden="1" customWidth="1"/>
    <col min="35" max="16384" width="9.140625" style="465" hidden="1"/>
  </cols>
  <sheetData>
    <row r="1" spans="1:32" s="20" customFormat="1" x14ac:dyDescent="0.25">
      <c r="A1" s="417"/>
      <c r="B1" s="1"/>
      <c r="C1" s="1"/>
      <c r="D1" s="1"/>
      <c r="E1" s="1"/>
      <c r="F1" s="418"/>
      <c r="G1" s="419"/>
      <c r="H1" s="420"/>
      <c r="I1" s="419"/>
      <c r="J1" s="419"/>
      <c r="K1" s="2"/>
      <c r="L1" s="2"/>
      <c r="M1" s="2"/>
      <c r="N1" s="104"/>
      <c r="O1" s="2"/>
      <c r="P1" s="2"/>
      <c r="Q1" s="2"/>
      <c r="R1" s="2"/>
      <c r="S1" s="2"/>
      <c r="T1" s="2"/>
      <c r="U1" s="2"/>
      <c r="V1" s="2"/>
      <c r="W1" s="2"/>
      <c r="X1" s="69"/>
      <c r="Y1" s="69"/>
      <c r="Z1" s="69"/>
      <c r="AA1" s="2"/>
      <c r="AB1" s="2"/>
      <c r="AC1" s="2"/>
      <c r="AD1" s="2"/>
      <c r="AE1" s="2"/>
      <c r="AF1" s="2"/>
    </row>
    <row r="2" spans="1:32" s="20" customFormat="1" ht="50.1" customHeight="1" x14ac:dyDescent="0.25">
      <c r="A2" s="417"/>
      <c r="B2" s="1"/>
      <c r="C2" s="1"/>
      <c r="D2" s="1"/>
      <c r="E2" s="1"/>
      <c r="F2" s="418"/>
      <c r="G2" s="421" t="s">
        <v>8294</v>
      </c>
      <c r="H2" s="420"/>
      <c r="I2" s="419"/>
      <c r="J2" s="419"/>
      <c r="K2" s="2"/>
      <c r="L2" s="2"/>
      <c r="M2" s="2"/>
      <c r="N2" s="104"/>
      <c r="O2" s="2"/>
      <c r="P2" s="2"/>
      <c r="Q2" s="2"/>
      <c r="R2" s="2"/>
      <c r="S2" s="2"/>
      <c r="T2" s="2"/>
      <c r="U2" s="2"/>
      <c r="V2" s="2"/>
      <c r="W2" s="2"/>
      <c r="X2" s="69"/>
      <c r="Y2" s="69"/>
      <c r="Z2" s="69"/>
      <c r="AA2" s="2"/>
      <c r="AB2" s="2"/>
      <c r="AC2" s="2"/>
      <c r="AD2" s="2"/>
      <c r="AE2" s="2"/>
      <c r="AF2" s="2"/>
    </row>
    <row r="3" spans="1:32" s="20" customFormat="1" ht="20.100000000000001" customHeight="1" x14ac:dyDescent="0.25">
      <c r="A3" s="417"/>
      <c r="B3" s="1"/>
      <c r="C3" s="1"/>
      <c r="D3" s="1"/>
      <c r="E3" s="1"/>
      <c r="F3" s="418"/>
      <c r="G3" s="419"/>
      <c r="H3" s="420"/>
      <c r="I3" s="419"/>
      <c r="J3" s="419"/>
      <c r="K3" s="2"/>
      <c r="L3" s="2"/>
      <c r="M3" s="2"/>
      <c r="N3" s="104"/>
      <c r="O3" s="2"/>
      <c r="P3" s="2"/>
      <c r="Q3" s="2"/>
      <c r="R3" s="2"/>
      <c r="S3" s="2"/>
      <c r="T3" s="2"/>
      <c r="U3" s="2"/>
      <c r="V3" s="2"/>
      <c r="W3" s="2"/>
      <c r="X3" s="69"/>
      <c r="Y3" s="69"/>
      <c r="Z3" s="69"/>
      <c r="AA3" s="2"/>
      <c r="AB3" s="2"/>
      <c r="AC3" s="2"/>
      <c r="AD3" s="2"/>
      <c r="AE3" s="2"/>
      <c r="AF3" s="2"/>
    </row>
    <row r="4" spans="1:32" s="20" customFormat="1" ht="81.75" customHeight="1" thickBot="1" x14ac:dyDescent="0.3">
      <c r="A4" s="417"/>
      <c r="B4" s="1"/>
      <c r="C4" s="1"/>
      <c r="D4" s="1"/>
      <c r="E4" s="1"/>
      <c r="F4" s="418"/>
      <c r="G4" s="422" t="s">
        <v>8648</v>
      </c>
      <c r="H4" s="420"/>
      <c r="I4" s="419"/>
      <c r="J4" s="419"/>
      <c r="K4" s="2"/>
      <c r="L4" s="2"/>
      <c r="M4" s="2"/>
      <c r="N4" s="104"/>
      <c r="O4" s="2"/>
      <c r="P4" s="2"/>
      <c r="Q4" s="423" t="s">
        <v>7035</v>
      </c>
      <c r="R4" s="424" t="s">
        <v>8589</v>
      </c>
      <c r="S4" s="424" t="s">
        <v>8590</v>
      </c>
      <c r="T4" s="104" t="s">
        <v>8647</v>
      </c>
      <c r="U4" s="2"/>
      <c r="V4" s="2"/>
      <c r="W4" s="2"/>
      <c r="X4" s="69"/>
      <c r="Y4" s="69"/>
      <c r="Z4" s="69"/>
      <c r="AA4" s="2"/>
      <c r="AB4" s="2"/>
      <c r="AC4" s="2"/>
      <c r="AD4" s="2"/>
      <c r="AE4" s="2"/>
      <c r="AF4" s="2"/>
    </row>
    <row r="5" spans="1:32" s="20" customFormat="1" ht="20.100000000000001" customHeight="1" x14ac:dyDescent="0.25">
      <c r="A5" s="417"/>
      <c r="B5" s="1"/>
      <c r="C5" s="1"/>
      <c r="D5" s="1"/>
      <c r="E5" s="1"/>
      <c r="F5" s="418"/>
      <c r="G5" s="419"/>
      <c r="H5" s="425"/>
      <c r="I5" s="419"/>
      <c r="J5" s="419"/>
      <c r="K5" s="2"/>
      <c r="L5" s="2"/>
      <c r="M5" s="2"/>
      <c r="N5" s="372"/>
      <c r="O5" s="2"/>
      <c r="P5" s="426">
        <v>1</v>
      </c>
      <c r="Q5" s="427" t="str">
        <f>T29</f>
        <v>Produtos técnicos</v>
      </c>
      <c r="R5" s="427" t="str">
        <f ca="1">V29</f>
        <v/>
      </c>
      <c r="S5" s="427" t="str">
        <f>W29</f>
        <v/>
      </c>
      <c r="T5" s="2"/>
      <c r="U5" s="2"/>
      <c r="V5" s="2"/>
      <c r="W5" s="2"/>
      <c r="X5" s="69"/>
      <c r="Y5" s="69"/>
      <c r="Z5" s="69"/>
      <c r="AA5" s="2"/>
      <c r="AB5" s="2"/>
      <c r="AC5" s="2"/>
      <c r="AD5" s="2"/>
      <c r="AE5" s="2"/>
      <c r="AF5" s="2"/>
    </row>
    <row r="6" spans="1:32" s="20" customFormat="1" ht="20.100000000000001" hidden="1" customHeight="1" x14ac:dyDescent="0.25">
      <c r="A6" s="417"/>
      <c r="B6" s="1"/>
      <c r="C6" s="1"/>
      <c r="D6" s="1"/>
      <c r="E6" s="1"/>
      <c r="F6" s="418"/>
      <c r="G6" s="419"/>
      <c r="H6" s="420"/>
      <c r="I6" s="419"/>
      <c r="J6" s="419"/>
      <c r="K6" s="2"/>
      <c r="L6" s="2"/>
      <c r="M6" s="2"/>
      <c r="N6" s="372"/>
      <c r="O6" s="2"/>
      <c r="P6" s="426">
        <v>2</v>
      </c>
      <c r="Q6" s="427" t="str">
        <f>T40</f>
        <v>Composição</v>
      </c>
      <c r="R6" s="427" t="str">
        <f ca="1">V40</f>
        <v/>
      </c>
      <c r="S6" s="427" t="str">
        <f>W40</f>
        <v/>
      </c>
      <c r="T6" s="2"/>
      <c r="U6" s="2"/>
      <c r="V6" s="2"/>
      <c r="W6" s="2"/>
      <c r="X6" s="69"/>
      <c r="Y6" s="69"/>
      <c r="Z6" s="69"/>
      <c r="AA6" s="2"/>
      <c r="AB6" s="2"/>
      <c r="AC6" s="2"/>
      <c r="AD6" s="2"/>
      <c r="AE6" s="2"/>
      <c r="AF6" s="2"/>
    </row>
    <row r="7" spans="1:32" s="20" customFormat="1" ht="20.100000000000001" hidden="1" customHeight="1" x14ac:dyDescent="0.25">
      <c r="A7" s="417"/>
      <c r="B7" s="1"/>
      <c r="C7" s="1"/>
      <c r="D7" s="1"/>
      <c r="E7" s="1"/>
      <c r="F7" s="418"/>
      <c r="G7" s="419"/>
      <c r="H7" s="419"/>
      <c r="I7" s="419"/>
      <c r="J7" s="428"/>
      <c r="K7" s="2"/>
      <c r="L7" s="2"/>
      <c r="O7" s="2"/>
      <c r="P7" s="426">
        <v>3</v>
      </c>
      <c r="Q7" s="427" t="str">
        <f>T54</f>
        <v>Certificados de análise</v>
      </c>
      <c r="R7" s="427" t="str">
        <f ca="1">V54</f>
        <v/>
      </c>
      <c r="S7" s="427" t="str">
        <f>W54</f>
        <v/>
      </c>
      <c r="T7" s="2"/>
      <c r="U7" s="2"/>
      <c r="V7" s="2"/>
      <c r="W7" s="2"/>
      <c r="X7" s="69"/>
      <c r="Y7" s="69"/>
      <c r="Z7" s="69"/>
      <c r="AB7" s="2"/>
      <c r="AC7" s="2"/>
      <c r="AD7" s="2"/>
      <c r="AE7" s="2"/>
      <c r="AF7" s="2"/>
    </row>
    <row r="8" spans="1:32" s="20" customFormat="1" ht="20.100000000000001" hidden="1" customHeight="1" x14ac:dyDescent="0.25">
      <c r="A8" s="417"/>
      <c r="B8" s="1"/>
      <c r="C8" s="1"/>
      <c r="D8" s="1"/>
      <c r="E8" s="1"/>
      <c r="F8" s="418"/>
      <c r="G8" s="419"/>
      <c r="H8" s="419"/>
      <c r="I8" s="419"/>
      <c r="J8" s="428"/>
      <c r="K8" s="2"/>
      <c r="L8" s="2"/>
      <c r="O8" s="2"/>
      <c r="P8" s="426">
        <v>4</v>
      </c>
      <c r="Q8" s="427" t="str">
        <f>T71</f>
        <v>Estudos físico-químicos</v>
      </c>
      <c r="R8" s="427" t="str">
        <f ca="1">V71</f>
        <v/>
      </c>
      <c r="S8" s="427" t="str">
        <f>W71</f>
        <v/>
      </c>
      <c r="T8" s="2"/>
      <c r="U8" s="2"/>
      <c r="V8" s="2"/>
      <c r="W8" s="2"/>
      <c r="X8" s="161"/>
      <c r="Y8" s="69"/>
      <c r="Z8" s="69"/>
      <c r="AB8" s="2"/>
      <c r="AC8" s="2"/>
      <c r="AD8" s="2"/>
      <c r="AE8" s="2"/>
      <c r="AF8" s="2"/>
    </row>
    <row r="9" spans="1:32" s="20" customFormat="1" ht="20.100000000000001" hidden="1" customHeight="1" x14ac:dyDescent="0.25">
      <c r="A9" s="417"/>
      <c r="B9" s="1"/>
      <c r="C9" s="1"/>
      <c r="D9" s="1"/>
      <c r="E9" s="1"/>
      <c r="F9" s="418"/>
      <c r="G9" s="419"/>
      <c r="H9" s="419"/>
      <c r="I9" s="419"/>
      <c r="J9" s="428"/>
      <c r="K9" s="2"/>
      <c r="L9" s="2"/>
      <c r="O9" s="2"/>
      <c r="P9" s="426">
        <v>5</v>
      </c>
      <c r="Q9" s="427" t="str">
        <f>T86</f>
        <v>Toxicidade oral aguda (Up and Down)</v>
      </c>
      <c r="R9" s="427" t="str">
        <f ca="1">V86</f>
        <v/>
      </c>
      <c r="S9" s="427" t="str">
        <f ca="1">W86</f>
        <v/>
      </c>
      <c r="T9" s="49"/>
      <c r="U9" s="49"/>
      <c r="V9" s="49"/>
      <c r="W9" s="49"/>
      <c r="X9" s="161"/>
      <c r="Y9" s="69"/>
      <c r="Z9" s="69"/>
      <c r="AB9" s="2"/>
      <c r="AC9" s="2"/>
      <c r="AD9" s="2"/>
      <c r="AE9" s="2"/>
      <c r="AF9" s="2"/>
    </row>
    <row r="10" spans="1:32" s="20" customFormat="1" ht="20.100000000000001" hidden="1" customHeight="1" x14ac:dyDescent="0.25">
      <c r="A10" s="417"/>
      <c r="B10" s="1"/>
      <c r="C10" s="1"/>
      <c r="D10" s="1"/>
      <c r="E10" s="1"/>
      <c r="F10" s="418"/>
      <c r="G10" s="419"/>
      <c r="H10" s="419"/>
      <c r="I10" s="419"/>
      <c r="J10" s="428"/>
      <c r="K10" s="2"/>
      <c r="L10" s="2"/>
      <c r="O10" s="2"/>
      <c r="P10" s="426">
        <v>6</v>
      </c>
      <c r="Q10" s="427" t="str">
        <f>T121</f>
        <v>Toxicidade oral aguda (Outros protocolos)</v>
      </c>
      <c r="R10" s="427" t="str">
        <f ca="1">V121</f>
        <v/>
      </c>
      <c r="S10" s="427" t="str">
        <f ca="1">W121</f>
        <v/>
      </c>
      <c r="T10" s="49"/>
      <c r="U10" s="49"/>
      <c r="V10" s="49"/>
      <c r="W10" s="49"/>
      <c r="X10" s="161"/>
      <c r="Y10" s="69"/>
      <c r="Z10" s="69"/>
      <c r="AA10" s="2"/>
      <c r="AB10" s="2"/>
      <c r="AC10" s="2"/>
      <c r="AD10" s="2"/>
      <c r="AE10" s="2"/>
      <c r="AF10" s="2"/>
    </row>
    <row r="11" spans="1:32" s="20" customFormat="1" ht="20.100000000000001" hidden="1" customHeight="1" x14ac:dyDescent="0.25">
      <c r="A11" s="417"/>
      <c r="B11" s="1"/>
      <c r="C11" s="1"/>
      <c r="D11" s="1"/>
      <c r="E11" s="1"/>
      <c r="F11" s="418"/>
      <c r="G11" s="419"/>
      <c r="H11" s="419"/>
      <c r="I11" s="419"/>
      <c r="J11" s="428"/>
      <c r="K11" s="2"/>
      <c r="L11" s="2"/>
      <c r="O11" s="2"/>
      <c r="P11" s="426">
        <v>7</v>
      </c>
      <c r="Q11" s="427" t="str">
        <f>T152</f>
        <v>Toxicidade cutânea aguda (DL50 cutânea)</v>
      </c>
      <c r="R11" s="427" t="str">
        <f ca="1">V152</f>
        <v/>
      </c>
      <c r="S11" s="427" t="str">
        <f ca="1">W152</f>
        <v/>
      </c>
      <c r="T11" s="49"/>
      <c r="U11" s="49"/>
      <c r="V11" s="49"/>
      <c r="W11" s="49"/>
      <c r="X11" s="161"/>
      <c r="Y11" s="69"/>
      <c r="Z11" s="69"/>
      <c r="AA11" s="2"/>
      <c r="AB11" s="2"/>
      <c r="AC11" s="2"/>
      <c r="AD11" s="2"/>
      <c r="AE11" s="2"/>
      <c r="AF11" s="2"/>
    </row>
    <row r="12" spans="1:32" s="20" customFormat="1" ht="20.100000000000001" hidden="1" customHeight="1" x14ac:dyDescent="0.25">
      <c r="A12" s="417"/>
      <c r="B12" s="1"/>
      <c r="C12" s="1"/>
      <c r="D12" s="1"/>
      <c r="E12" s="1"/>
      <c r="F12" s="418"/>
      <c r="G12" s="419"/>
      <c r="H12" s="419"/>
      <c r="I12" s="419"/>
      <c r="J12" s="428"/>
      <c r="K12" s="2"/>
      <c r="L12" s="2"/>
      <c r="O12" s="2"/>
      <c r="P12" s="426">
        <v>8</v>
      </c>
      <c r="Q12" s="427" t="str">
        <f>T184</f>
        <v>Toxicidade inalatória  aguda (CL50 inalatória)</v>
      </c>
      <c r="R12" s="427" t="str">
        <f ca="1">V184</f>
        <v/>
      </c>
      <c r="S12" s="427" t="str">
        <f ca="1">W184</f>
        <v/>
      </c>
      <c r="T12" s="49"/>
      <c r="U12" s="49"/>
      <c r="V12" s="49"/>
      <c r="W12" s="49"/>
      <c r="X12" s="161"/>
      <c r="Y12" s="69"/>
      <c r="Z12" s="69"/>
      <c r="AA12" s="2"/>
      <c r="AB12" s="2"/>
      <c r="AC12" s="2"/>
      <c r="AD12" s="2"/>
      <c r="AE12" s="2"/>
      <c r="AF12" s="2"/>
    </row>
    <row r="13" spans="1:32" s="20" customFormat="1" ht="20.100000000000001" hidden="1" customHeight="1" x14ac:dyDescent="0.25">
      <c r="A13" s="417"/>
      <c r="B13" s="1"/>
      <c r="C13" s="1"/>
      <c r="D13" s="1"/>
      <c r="E13" s="1"/>
      <c r="F13" s="418"/>
      <c r="G13" s="419"/>
      <c r="H13" s="419"/>
      <c r="I13" s="419"/>
      <c r="J13" s="428"/>
      <c r="K13" s="2"/>
      <c r="L13" s="2"/>
      <c r="O13" s="2"/>
      <c r="P13" s="426">
        <v>9</v>
      </c>
      <c r="Q13" s="427" t="str">
        <f>T225</f>
        <v>Corrosão/irritação ocular</v>
      </c>
      <c r="R13" s="427" t="str">
        <f ca="1">V225</f>
        <v/>
      </c>
      <c r="S13" s="427" t="str">
        <f ca="1">W225</f>
        <v/>
      </c>
      <c r="T13" s="49"/>
      <c r="U13" s="49"/>
      <c r="V13" s="49"/>
      <c r="W13" s="49"/>
      <c r="X13" s="161"/>
      <c r="Y13" s="69"/>
      <c r="Z13" s="69"/>
      <c r="AA13" s="2"/>
      <c r="AB13" s="2"/>
      <c r="AC13" s="2"/>
      <c r="AD13" s="2"/>
      <c r="AE13" s="2"/>
      <c r="AF13" s="2"/>
    </row>
    <row r="14" spans="1:32" s="20" customFormat="1" ht="20.100000000000001" hidden="1" customHeight="1" x14ac:dyDescent="0.25">
      <c r="A14" s="417"/>
      <c r="B14" s="1"/>
      <c r="C14" s="1"/>
      <c r="D14" s="1"/>
      <c r="E14" s="1"/>
      <c r="F14" s="418"/>
      <c r="G14" s="419"/>
      <c r="H14" s="419"/>
      <c r="I14" s="419"/>
      <c r="J14" s="428"/>
      <c r="K14" s="2"/>
      <c r="L14" s="2"/>
      <c r="O14" s="2"/>
      <c r="P14" s="426">
        <v>10</v>
      </c>
      <c r="Q14" s="427" t="str">
        <f>T268</f>
        <v>Corrosão/irritação cutânea</v>
      </c>
      <c r="R14" s="427" t="str">
        <f ca="1">V268</f>
        <v/>
      </c>
      <c r="S14" s="427" t="str">
        <f ca="1">W268</f>
        <v/>
      </c>
      <c r="T14" s="49"/>
      <c r="U14" s="49"/>
      <c r="V14" s="49"/>
      <c r="W14" s="49"/>
      <c r="X14" s="161"/>
      <c r="Y14" s="69"/>
      <c r="Z14" s="69"/>
      <c r="AA14" s="2"/>
      <c r="AB14" s="2"/>
      <c r="AC14" s="2"/>
      <c r="AD14" s="2"/>
      <c r="AE14" s="2"/>
      <c r="AF14" s="2"/>
    </row>
    <row r="15" spans="1:32" s="20" customFormat="1" ht="20.100000000000001" hidden="1" customHeight="1" x14ac:dyDescent="0.25">
      <c r="A15" s="417"/>
      <c r="B15" s="1"/>
      <c r="C15" s="1"/>
      <c r="D15" s="1"/>
      <c r="E15" s="1"/>
      <c r="F15" s="418"/>
      <c r="G15" s="419"/>
      <c r="H15" s="419"/>
      <c r="I15" s="419"/>
      <c r="J15" s="428"/>
      <c r="K15" s="2"/>
      <c r="L15" s="2"/>
      <c r="O15" s="2"/>
      <c r="P15" s="426">
        <v>11</v>
      </c>
      <c r="Q15" s="427" t="str">
        <f>T311</f>
        <v>Sensibilização cutânea - LLNA</v>
      </c>
      <c r="R15" s="427" t="str">
        <f ca="1">V311</f>
        <v/>
      </c>
      <c r="S15" s="427" t="str">
        <f ca="1">W311</f>
        <v/>
      </c>
      <c r="T15" s="49"/>
      <c r="U15" s="49"/>
      <c r="V15" s="49"/>
      <c r="W15" s="49"/>
      <c r="X15" s="161"/>
      <c r="Y15" s="69"/>
      <c r="Z15" s="69"/>
      <c r="AA15" s="2"/>
      <c r="AB15" s="2"/>
      <c r="AC15" s="2"/>
      <c r="AD15" s="2"/>
      <c r="AE15" s="2"/>
      <c r="AF15" s="2"/>
    </row>
    <row r="16" spans="1:32" s="20" customFormat="1" ht="20.100000000000001" hidden="1" customHeight="1" x14ac:dyDescent="0.25">
      <c r="A16" s="417"/>
      <c r="B16" s="1"/>
      <c r="C16" s="1"/>
      <c r="D16" s="1"/>
      <c r="E16" s="1"/>
      <c r="F16" s="418"/>
      <c r="G16" s="419"/>
      <c r="H16" s="419"/>
      <c r="I16" s="419"/>
      <c r="J16" s="428"/>
      <c r="K16" s="2"/>
      <c r="L16" s="2"/>
      <c r="O16" s="2"/>
      <c r="P16" s="426">
        <v>12</v>
      </c>
      <c r="Q16" s="427" t="str">
        <f>T363</f>
        <v>Sensibilização cutânea - Buehler/Maximização</v>
      </c>
      <c r="R16" s="427" t="str">
        <f ca="1">V363</f>
        <v/>
      </c>
      <c r="S16" s="427" t="str">
        <f ca="1">W363</f>
        <v/>
      </c>
      <c r="T16" s="49"/>
      <c r="U16" s="49"/>
      <c r="V16" s="49"/>
      <c r="W16" s="49"/>
      <c r="X16" s="161"/>
      <c r="Y16" s="70"/>
      <c r="Z16" s="70"/>
      <c r="AA16" s="2"/>
      <c r="AB16" s="2"/>
      <c r="AC16" s="2"/>
      <c r="AD16" s="2"/>
      <c r="AE16" s="2"/>
      <c r="AF16" s="2"/>
    </row>
    <row r="17" spans="1:32" s="20" customFormat="1" ht="20.100000000000001" hidden="1" customHeight="1" x14ac:dyDescent="0.25">
      <c r="A17" s="417"/>
      <c r="B17" s="1"/>
      <c r="C17" s="1"/>
      <c r="D17" s="1"/>
      <c r="E17" s="1"/>
      <c r="F17" s="418"/>
      <c r="G17" s="419"/>
      <c r="H17" s="419"/>
      <c r="I17" s="419"/>
      <c r="J17" s="419"/>
      <c r="K17" s="2"/>
      <c r="L17" s="2"/>
      <c r="O17" s="2"/>
      <c r="P17" s="426">
        <v>13</v>
      </c>
      <c r="Q17" s="427" t="str">
        <f>T436</f>
        <v>Mutação gênica em células bacterianas (teste de Ames)</v>
      </c>
      <c r="R17" s="427" t="str">
        <f ca="1">V436</f>
        <v/>
      </c>
      <c r="S17" s="427" t="str">
        <f ca="1">W436</f>
        <v/>
      </c>
      <c r="T17" s="49"/>
      <c r="U17" s="429" t="s">
        <v>8582</v>
      </c>
      <c r="V17" s="22" t="s">
        <v>8584</v>
      </c>
      <c r="W17" s="70"/>
      <c r="X17" s="2"/>
      <c r="Y17" s="69"/>
      <c r="Z17" s="69"/>
      <c r="AB17" s="2"/>
      <c r="AC17" s="2"/>
      <c r="AD17" s="2"/>
      <c r="AE17" s="2"/>
      <c r="AF17" s="2"/>
    </row>
    <row r="18" spans="1:32" s="20" customFormat="1" ht="20.100000000000001" hidden="1" customHeight="1" x14ac:dyDescent="0.25">
      <c r="A18" s="417"/>
      <c r="B18" s="1"/>
      <c r="C18" s="1"/>
      <c r="D18" s="1"/>
      <c r="E18" s="1"/>
      <c r="F18" s="418"/>
      <c r="G18" s="419"/>
      <c r="H18" s="419"/>
      <c r="I18" s="419"/>
      <c r="J18" s="419"/>
      <c r="K18" s="2"/>
      <c r="L18" s="2"/>
      <c r="O18" s="2"/>
      <c r="P18" s="426">
        <v>14</v>
      </c>
      <c r="Q18" s="427" t="str">
        <f>T507</f>
        <v>Dano cromossômico em células de mamíferos (estudo de micronúcleo)</v>
      </c>
      <c r="R18" s="427" t="str">
        <f ca="1">V507</f>
        <v/>
      </c>
      <c r="S18" s="427" t="str">
        <f ca="1">W507</f>
        <v/>
      </c>
      <c r="T18" s="49"/>
      <c r="U18" s="429" t="s">
        <v>8583</v>
      </c>
      <c r="V18" s="22" t="s">
        <v>8585</v>
      </c>
      <c r="W18" s="70"/>
      <c r="X18" s="2"/>
      <c r="Y18" s="69"/>
      <c r="Z18" s="69"/>
      <c r="AB18" s="2"/>
      <c r="AC18" s="2"/>
      <c r="AD18" s="2"/>
      <c r="AE18" s="2"/>
      <c r="AF18" s="2"/>
    </row>
    <row r="19" spans="1:32" s="20" customFormat="1" ht="20.100000000000001" hidden="1" customHeight="1" x14ac:dyDescent="0.25">
      <c r="A19" s="417"/>
      <c r="B19" s="1"/>
      <c r="C19" s="1"/>
      <c r="D19" s="1"/>
      <c r="E19" s="1"/>
      <c r="F19" s="418"/>
      <c r="G19" s="419"/>
      <c r="H19" s="419"/>
      <c r="I19" s="419"/>
      <c r="J19" s="419"/>
      <c r="K19" s="2"/>
      <c r="L19" s="2"/>
      <c r="O19" s="2"/>
      <c r="P19" s="426">
        <v>15</v>
      </c>
      <c r="Q19" s="427" t="str">
        <f>T613</f>
        <v>Classificação toxicológica</v>
      </c>
      <c r="R19" s="427" t="str">
        <f ca="1">V613</f>
        <v/>
      </c>
      <c r="S19" s="427" t="str">
        <f>W613</f>
        <v/>
      </c>
      <c r="T19" s="49"/>
      <c r="U19" s="429" t="s">
        <v>8581</v>
      </c>
      <c r="V19" s="22" t="s">
        <v>6172</v>
      </c>
      <c r="W19" s="70"/>
      <c r="X19" s="2"/>
      <c r="Y19" s="69"/>
      <c r="Z19" s="69"/>
      <c r="AB19" s="2"/>
      <c r="AC19" s="2"/>
      <c r="AD19" s="2"/>
      <c r="AE19" s="2"/>
      <c r="AF19" s="2"/>
    </row>
    <row r="20" spans="1:32" s="20" customFormat="1" ht="20.100000000000001" hidden="1" customHeight="1" x14ac:dyDescent="0.25">
      <c r="A20" s="417"/>
      <c r="B20" s="1"/>
      <c r="C20" s="1"/>
      <c r="D20" s="1"/>
      <c r="E20" s="1"/>
      <c r="F20" s="418"/>
      <c r="G20" s="419"/>
      <c r="H20" s="419"/>
      <c r="I20" s="419"/>
      <c r="J20" s="419"/>
      <c r="K20" s="2"/>
      <c r="L20" s="2"/>
      <c r="S20" s="49"/>
      <c r="T20" s="49"/>
      <c r="U20" s="429" t="s">
        <v>8554</v>
      </c>
      <c r="V20" s="22" t="s">
        <v>8555</v>
      </c>
      <c r="W20" s="70"/>
      <c r="X20" s="2"/>
      <c r="Y20" s="69"/>
      <c r="Z20" s="69"/>
      <c r="AB20" s="2"/>
      <c r="AC20" s="2"/>
      <c r="AD20" s="2"/>
      <c r="AE20" s="2"/>
      <c r="AF20" s="2"/>
    </row>
    <row r="21" spans="1:32" s="20" customFormat="1" ht="20.100000000000001" hidden="1" customHeight="1" x14ac:dyDescent="0.25">
      <c r="A21" s="417"/>
      <c r="B21" s="1"/>
      <c r="C21" s="1"/>
      <c r="D21" s="1"/>
      <c r="E21" s="1"/>
      <c r="F21" s="418"/>
      <c r="G21" s="419"/>
      <c r="H21" s="419"/>
      <c r="I21" s="419"/>
      <c r="J21" s="419"/>
      <c r="K21" s="2"/>
      <c r="L21" s="2"/>
      <c r="S21" s="49"/>
      <c r="T21" s="49"/>
      <c r="U21" s="429" t="s">
        <v>116</v>
      </c>
      <c r="V21" s="430" t="s">
        <v>8556</v>
      </c>
      <c r="W21" s="430" t="s">
        <v>8557</v>
      </c>
      <c r="X21" s="2"/>
      <c r="Y21" s="69"/>
      <c r="Z21" s="69"/>
      <c r="AB21" s="2"/>
      <c r="AC21" s="2"/>
      <c r="AD21" s="2"/>
      <c r="AE21" s="2"/>
      <c r="AF21" s="2"/>
    </row>
    <row r="22" spans="1:32" s="20" customFormat="1" ht="20.100000000000001" hidden="1" customHeight="1" x14ac:dyDescent="0.25">
      <c r="A22" s="417"/>
      <c r="B22" s="1"/>
      <c r="C22" s="1"/>
      <c r="D22" s="1"/>
      <c r="E22" s="1"/>
      <c r="F22" s="418"/>
      <c r="G22" s="419"/>
      <c r="H22" s="419"/>
      <c r="I22" s="419"/>
      <c r="J22" s="419"/>
      <c r="K22" s="2"/>
      <c r="L22" s="2"/>
      <c r="S22" s="49"/>
      <c r="T22" s="49"/>
      <c r="U22" s="429" t="s">
        <v>8559</v>
      </c>
      <c r="V22" s="430" t="s">
        <v>8560</v>
      </c>
      <c r="W22" s="70"/>
      <c r="X22" s="2"/>
      <c r="Y22" s="69"/>
      <c r="Z22" s="69"/>
      <c r="AB22" s="2"/>
      <c r="AC22" s="2"/>
      <c r="AD22" s="2"/>
      <c r="AE22" s="2"/>
      <c r="AF22" s="2"/>
    </row>
    <row r="23" spans="1:32" s="20" customFormat="1" ht="20.100000000000001" hidden="1" customHeight="1" x14ac:dyDescent="0.25">
      <c r="A23" s="417"/>
      <c r="B23" s="1"/>
      <c r="C23" s="1"/>
      <c r="D23" s="1"/>
      <c r="E23" s="1"/>
      <c r="F23" s="418"/>
      <c r="G23" s="419"/>
      <c r="H23" s="420"/>
      <c r="I23" s="419"/>
      <c r="J23" s="419"/>
      <c r="K23" s="2"/>
      <c r="L23" s="2"/>
      <c r="M23" s="2"/>
      <c r="N23" s="104"/>
      <c r="O23" s="104"/>
      <c r="P23" s="104"/>
      <c r="Q23" s="104"/>
      <c r="R23" s="2"/>
      <c r="S23" s="2"/>
      <c r="T23" s="2"/>
      <c r="U23" s="429" t="s">
        <v>8586</v>
      </c>
      <c r="V23" s="430" t="s">
        <v>8097</v>
      </c>
      <c r="W23" s="70"/>
      <c r="X23" s="2"/>
      <c r="Y23" s="69"/>
      <c r="Z23" s="69"/>
      <c r="AB23" s="2"/>
      <c r="AC23" s="2"/>
      <c r="AD23" s="2"/>
      <c r="AE23" s="2"/>
      <c r="AF23" s="2"/>
    </row>
    <row r="24" spans="1:32" s="20" customFormat="1" ht="20.100000000000001" hidden="1" customHeight="1" x14ac:dyDescent="0.25">
      <c r="A24" s="417"/>
      <c r="B24" s="1"/>
      <c r="C24" s="1"/>
      <c r="D24" s="1"/>
      <c r="E24" s="1"/>
      <c r="F24" s="418"/>
      <c r="G24" s="419"/>
      <c r="H24" s="420"/>
      <c r="I24" s="419"/>
      <c r="J24" s="419"/>
      <c r="K24" s="2"/>
      <c r="L24" s="2"/>
      <c r="M24" s="2"/>
      <c r="N24" s="104"/>
      <c r="O24" s="104"/>
      <c r="P24" s="104"/>
      <c r="Q24" s="104"/>
      <c r="R24" s="2"/>
      <c r="S24" s="2"/>
      <c r="T24" s="2"/>
      <c r="U24" s="429" t="s">
        <v>8587</v>
      </c>
      <c r="V24" s="430" t="s">
        <v>8588</v>
      </c>
      <c r="W24" s="70"/>
      <c r="X24" s="2"/>
      <c r="Y24" s="69"/>
      <c r="Z24" s="69"/>
      <c r="AB24" s="2"/>
      <c r="AC24" s="2"/>
      <c r="AD24" s="2"/>
      <c r="AE24" s="2"/>
      <c r="AF24" s="2"/>
    </row>
    <row r="25" spans="1:32" s="20" customFormat="1" ht="20.100000000000001" hidden="1" customHeight="1" x14ac:dyDescent="0.25">
      <c r="A25" s="417"/>
      <c r="B25" s="1"/>
      <c r="C25" s="1"/>
      <c r="D25" s="1"/>
      <c r="E25" s="1"/>
      <c r="F25" s="418"/>
      <c r="G25" s="419"/>
      <c r="H25" s="431"/>
      <c r="I25" s="419"/>
      <c r="J25" s="419"/>
      <c r="K25" s="2"/>
      <c r="L25" s="2"/>
      <c r="M25" s="2"/>
      <c r="N25" s="104"/>
      <c r="O25" s="104"/>
      <c r="P25" s="104"/>
      <c r="Q25" s="104"/>
      <c r="R25" s="2"/>
      <c r="S25" s="2"/>
      <c r="T25" s="2"/>
      <c r="U25" s="2"/>
      <c r="V25" s="2"/>
      <c r="W25" s="2"/>
      <c r="X25" s="70"/>
      <c r="Y25" s="70"/>
      <c r="Z25" s="70"/>
      <c r="AA25" s="2"/>
      <c r="AB25" s="2"/>
      <c r="AC25" s="2"/>
      <c r="AD25" s="2"/>
      <c r="AE25" s="2"/>
      <c r="AF25" s="2"/>
    </row>
    <row r="26" spans="1:32" s="20" customFormat="1" ht="20.100000000000001" hidden="1" customHeight="1" x14ac:dyDescent="0.25">
      <c r="A26" s="417"/>
      <c r="B26" s="1"/>
      <c r="C26" s="1"/>
      <c r="D26" s="1"/>
      <c r="E26" s="1"/>
      <c r="F26" s="418"/>
      <c r="G26" s="419"/>
      <c r="H26" s="420"/>
      <c r="I26" s="419"/>
      <c r="J26" s="419"/>
      <c r="K26" s="2"/>
      <c r="L26" s="2"/>
      <c r="M26" s="2"/>
      <c r="N26" s="104"/>
      <c r="O26" s="104"/>
      <c r="P26" s="104"/>
      <c r="Q26" s="104"/>
      <c r="R26" s="2"/>
      <c r="S26" s="2"/>
      <c r="T26" s="2"/>
      <c r="U26" s="2"/>
      <c r="V26" s="2"/>
      <c r="W26" s="2"/>
      <c r="X26" s="70"/>
      <c r="Y26" s="70"/>
      <c r="Z26" s="70"/>
      <c r="AA26" s="2"/>
      <c r="AB26" s="2"/>
      <c r="AC26" s="2"/>
      <c r="AD26" s="2"/>
      <c r="AE26" s="2"/>
      <c r="AF26" s="2"/>
    </row>
    <row r="27" spans="1:32" s="20" customFormat="1" ht="20.100000000000001" hidden="1" customHeight="1" x14ac:dyDescent="0.3">
      <c r="A27" s="417"/>
      <c r="B27" s="1"/>
      <c r="C27" s="1"/>
      <c r="D27" s="1"/>
      <c r="E27" s="1"/>
      <c r="F27" s="418"/>
      <c r="G27" s="419"/>
      <c r="H27" s="420"/>
      <c r="I27" s="419"/>
      <c r="J27" s="419"/>
      <c r="K27" s="2"/>
      <c r="L27" s="2"/>
      <c r="M27" s="2"/>
      <c r="N27" s="104"/>
      <c r="O27" s="2"/>
      <c r="P27" s="2"/>
      <c r="Q27" s="2"/>
      <c r="R27" s="2"/>
      <c r="S27" s="2"/>
      <c r="T27" s="2"/>
      <c r="U27" s="2"/>
      <c r="V27" s="432"/>
      <c r="W27" s="432"/>
      <c r="X27" s="70"/>
      <c r="Y27" s="70"/>
      <c r="Z27" s="70"/>
      <c r="AA27" s="2"/>
      <c r="AB27" s="2"/>
      <c r="AC27" s="2"/>
      <c r="AD27" s="2"/>
      <c r="AE27" s="2"/>
      <c r="AF27" s="2"/>
    </row>
    <row r="28" spans="1:32" s="20" customFormat="1" ht="20.100000000000001" hidden="1" customHeight="1" thickBot="1" x14ac:dyDescent="0.3">
      <c r="A28" s="417"/>
      <c r="B28" s="1"/>
      <c r="C28" s="1"/>
      <c r="D28" s="1"/>
      <c r="E28" s="1"/>
      <c r="F28" s="418"/>
      <c r="G28" s="419"/>
      <c r="H28" s="419"/>
      <c r="I28" s="419"/>
      <c r="J28" s="419"/>
      <c r="M28" s="2"/>
      <c r="N28" s="433" t="s">
        <v>5777</v>
      </c>
      <c r="O28" s="433" t="s">
        <v>8577</v>
      </c>
      <c r="P28" s="433" t="s">
        <v>8578</v>
      </c>
      <c r="Q28" s="433" t="s">
        <v>8591</v>
      </c>
      <c r="R28" s="433" t="s">
        <v>8592</v>
      </c>
      <c r="S28" s="433" t="s">
        <v>8575</v>
      </c>
      <c r="T28" s="423" t="s">
        <v>7035</v>
      </c>
      <c r="U28" s="423" t="s">
        <v>8537</v>
      </c>
      <c r="V28" s="424" t="s">
        <v>8589</v>
      </c>
      <c r="W28" s="424" t="s">
        <v>8590</v>
      </c>
      <c r="X28" s="434" t="s">
        <v>8000</v>
      </c>
      <c r="Y28" s="434" t="s">
        <v>8579</v>
      </c>
      <c r="Z28" s="434" t="s">
        <v>8580</v>
      </c>
      <c r="AA28" s="2"/>
      <c r="AB28" s="2"/>
      <c r="AC28" s="2"/>
      <c r="AD28" s="2"/>
      <c r="AE28" s="2"/>
      <c r="AF28" s="2"/>
    </row>
    <row r="29" spans="1:32" s="441" customFormat="1" ht="30" customHeight="1" x14ac:dyDescent="0.25">
      <c r="A29" s="435" t="s">
        <v>8576</v>
      </c>
      <c r="B29" s="436"/>
      <c r="C29" s="436"/>
      <c r="D29" s="436"/>
      <c r="E29" s="436"/>
      <c r="F29" s="437"/>
      <c r="G29" s="438" t="str">
        <f ca="1">HYPERLINK(Y29,U29)</f>
        <v>📂 (✓ ) Produtos técnicos</v>
      </c>
      <c r="H29" s="439"/>
      <c r="I29" s="440"/>
      <c r="J29" s="440"/>
      <c r="N29" s="442">
        <f>COUNTIF($A29:A$29,"x")</f>
        <v>1</v>
      </c>
      <c r="O29" s="442" t="s">
        <v>10</v>
      </c>
      <c r="P29" s="442" t="s">
        <v>10</v>
      </c>
      <c r="Q29" s="442">
        <f ca="1">SUMIF(N30:$N$633,N29,O30:$O$633)</f>
        <v>0</v>
      </c>
      <c r="R29" s="442">
        <f>SUMIF(N30:$N$633,N29,P30:$P$633)</f>
        <v>0</v>
      </c>
      <c r="S29" s="442">
        <f ca="1">Q29+R29</f>
        <v>0</v>
      </c>
      <c r="T29" s="443" t="s">
        <v>6533</v>
      </c>
      <c r="U29" s="443" t="str">
        <f ca="1">$T$4&amp;"("&amp; IF(S29=0,V$23,S29) &amp; ") " &amp; T29</f>
        <v>📂 (✓ ) Produtos técnicos</v>
      </c>
      <c r="V29" s="443" t="str">
        <f ca="1">IF(Q29&gt;0,$V$24&amp;Q29,"")</f>
        <v/>
      </c>
      <c r="W29" s="443" t="str">
        <f>IF(R29&gt;0,$V$24&amp;R29,"")</f>
        <v/>
      </c>
      <c r="X29" s="444" t="s">
        <v>6215</v>
      </c>
      <c r="Y29" s="445" t="str">
        <f>$V$19&amp;X29&amp;$V$20</f>
        <v>#'PT&amp;IA'!F2</v>
      </c>
      <c r="Z29" s="445"/>
      <c r="AA29" s="20"/>
      <c r="AB29" s="354"/>
      <c r="AC29" s="354"/>
      <c r="AD29" s="354"/>
      <c r="AE29" s="354"/>
      <c r="AF29" s="354"/>
    </row>
    <row r="30" spans="1:32" s="20" customFormat="1" ht="20.100000000000001" customHeight="1" outlineLevel="1" x14ac:dyDescent="0.25">
      <c r="A30" s="446"/>
      <c r="B30" s="1"/>
      <c r="C30" s="1"/>
      <c r="D30" s="1"/>
      <c r="E30" s="1"/>
      <c r="F30" s="447"/>
      <c r="G30" s="448" t="str">
        <f>'Validacao(1)'!C6</f>
        <v>Não foi informado o Nº CAS de algum dos ingredientes ativos</v>
      </c>
      <c r="H30" s="419"/>
      <c r="I30" s="419"/>
      <c r="J30" s="419"/>
      <c r="M30" s="2"/>
      <c r="N30" s="25">
        <f>COUNTIF($A$29:A30,"x")</f>
        <v>1</v>
      </c>
      <c r="O30" s="25">
        <f ca="1">'Validacao(1)'!B6</f>
        <v>0</v>
      </c>
      <c r="P30" s="25"/>
      <c r="Q30" s="25"/>
      <c r="R30" s="25"/>
      <c r="S30" s="25"/>
      <c r="T30" s="25"/>
      <c r="U30" s="25"/>
      <c r="V30" s="25"/>
      <c r="W30" s="25"/>
      <c r="X30" s="449"/>
      <c r="Y30" s="449"/>
      <c r="Z30" s="449"/>
      <c r="AB30" s="2"/>
      <c r="AC30" s="2"/>
      <c r="AD30" s="2"/>
      <c r="AE30" s="2"/>
      <c r="AF30" s="2"/>
    </row>
    <row r="31" spans="1:32" s="20" customFormat="1" ht="20.100000000000001" customHeight="1" outlineLevel="1" x14ac:dyDescent="0.25">
      <c r="A31" s="446"/>
      <c r="B31" s="1"/>
      <c r="C31" s="1"/>
      <c r="D31" s="1"/>
      <c r="E31" s="1"/>
      <c r="F31" s="447"/>
      <c r="G31" s="450" t="str">
        <f>'Validacao(1)'!C7</f>
        <v>Não foi informada a marca comercial para algum PT</v>
      </c>
      <c r="H31" s="419"/>
      <c r="I31" s="419"/>
      <c r="J31" s="419"/>
      <c r="M31" s="2"/>
      <c r="N31" s="25">
        <f>COUNTIF($A$29:A31,"x")</f>
        <v>1</v>
      </c>
      <c r="O31" s="25">
        <f ca="1">'Validacao(1)'!B7</f>
        <v>0</v>
      </c>
      <c r="P31" s="25"/>
      <c r="Q31" s="25"/>
      <c r="R31" s="25"/>
      <c r="S31" s="25"/>
      <c r="T31" s="25"/>
      <c r="U31" s="25"/>
      <c r="V31" s="25"/>
      <c r="W31" s="25"/>
      <c r="X31" s="449"/>
      <c r="Y31" s="449"/>
      <c r="Z31" s="449"/>
      <c r="AB31" s="2"/>
      <c r="AC31" s="2"/>
      <c r="AD31" s="2"/>
      <c r="AE31" s="2"/>
      <c r="AF31" s="2"/>
    </row>
    <row r="32" spans="1:32" s="20" customFormat="1" ht="20.100000000000001" customHeight="1" outlineLevel="1" x14ac:dyDescent="0.25">
      <c r="A32" s="446"/>
      <c r="B32" s="1"/>
      <c r="C32" s="1"/>
      <c r="D32" s="1"/>
      <c r="E32" s="1"/>
      <c r="F32" s="447"/>
      <c r="G32" s="450" t="str">
        <f>'Validacao(1)'!C8</f>
        <v>Não foi informado o nº de processo para algum PT</v>
      </c>
      <c r="H32" s="419"/>
      <c r="I32" s="419"/>
      <c r="J32" s="419"/>
      <c r="M32" s="2"/>
      <c r="N32" s="25">
        <f>COUNTIF($A$29:A32,"x")</f>
        <v>1</v>
      </c>
      <c r="O32" s="25">
        <f ca="1">'Validacao(1)'!B8</f>
        <v>0</v>
      </c>
      <c r="P32" s="25"/>
      <c r="Q32" s="25"/>
      <c r="R32" s="25"/>
      <c r="S32" s="25"/>
      <c r="T32" s="25"/>
      <c r="U32" s="25"/>
      <c r="V32" s="25"/>
      <c r="W32" s="25"/>
      <c r="X32" s="449"/>
      <c r="Y32" s="449"/>
      <c r="Z32" s="449"/>
      <c r="AB32" s="2"/>
      <c r="AC32" s="2"/>
      <c r="AD32" s="2"/>
      <c r="AE32" s="2"/>
      <c r="AF32" s="2"/>
    </row>
    <row r="33" spans="1:32" s="20" customFormat="1" ht="20.100000000000001" customHeight="1" outlineLevel="1" x14ac:dyDescent="0.25">
      <c r="A33" s="446"/>
      <c r="B33" s="1"/>
      <c r="C33" s="1"/>
      <c r="D33" s="1"/>
      <c r="E33" s="1"/>
      <c r="F33" s="447"/>
      <c r="G33" s="450" t="str">
        <f>'Validacao(1)'!C9</f>
        <v>Não foi preenchido o nº de registro para algum PT</v>
      </c>
      <c r="H33" s="419"/>
      <c r="I33" s="419"/>
      <c r="J33" s="419"/>
      <c r="M33" s="2"/>
      <c r="N33" s="25">
        <f>COUNTIF($A$29:A33,"x")</f>
        <v>1</v>
      </c>
      <c r="O33" s="25">
        <f ca="1">'Validacao(1)'!B9</f>
        <v>0</v>
      </c>
      <c r="P33" s="25"/>
      <c r="Q33" s="25"/>
      <c r="R33" s="25"/>
      <c r="S33" s="25"/>
      <c r="T33" s="25"/>
      <c r="U33" s="25"/>
      <c r="V33" s="25"/>
      <c r="W33" s="25"/>
      <c r="X33" s="449"/>
      <c r="Y33" s="449"/>
      <c r="Z33" s="449"/>
      <c r="AB33" s="2"/>
      <c r="AC33" s="2"/>
      <c r="AD33" s="2"/>
      <c r="AE33" s="2"/>
      <c r="AF33" s="2"/>
    </row>
    <row r="34" spans="1:32" s="20" customFormat="1" ht="20.100000000000001" customHeight="1" outlineLevel="1" x14ac:dyDescent="0.25">
      <c r="A34" s="446"/>
      <c r="B34" s="1"/>
      <c r="C34" s="1"/>
      <c r="D34" s="1"/>
      <c r="E34" s="1"/>
      <c r="F34" s="447"/>
      <c r="G34" s="450" t="str">
        <f>'Validacao(1)'!C10</f>
        <v>Existe PT cancelado</v>
      </c>
      <c r="H34" s="419"/>
      <c r="I34" s="419"/>
      <c r="J34" s="419"/>
      <c r="M34" s="2"/>
      <c r="N34" s="25">
        <f>COUNTIF($A$29:A34,"x")</f>
        <v>1</v>
      </c>
      <c r="O34" s="25">
        <f ca="1">'Validacao(1)'!B10</f>
        <v>0</v>
      </c>
      <c r="P34" s="25"/>
      <c r="Q34" s="25"/>
      <c r="R34" s="25"/>
      <c r="S34" s="25"/>
      <c r="T34" s="25"/>
      <c r="U34" s="25"/>
      <c r="V34" s="25"/>
      <c r="W34" s="25"/>
      <c r="X34" s="449"/>
      <c r="Y34" s="449"/>
      <c r="Z34" s="449"/>
      <c r="AB34" s="2"/>
      <c r="AC34" s="2"/>
      <c r="AD34" s="2"/>
      <c r="AE34" s="2"/>
      <c r="AF34" s="2"/>
    </row>
    <row r="35" spans="1:32" s="20" customFormat="1" ht="20.100000000000001" customHeight="1" outlineLevel="1" x14ac:dyDescent="0.25">
      <c r="A35" s="446"/>
      <c r="B35" s="1"/>
      <c r="C35" s="1"/>
      <c r="D35" s="1"/>
      <c r="E35" s="1"/>
      <c r="F35" s="447"/>
      <c r="G35" s="450" t="str">
        <f>'Validacao(1)'!C11</f>
        <v>Existe IA não cadastrado no índice de monografias</v>
      </c>
      <c r="H35" s="419"/>
      <c r="I35" s="419"/>
      <c r="J35" s="419"/>
      <c r="M35" s="2"/>
      <c r="N35" s="25">
        <f>COUNTIF($A$29:A35,"x")</f>
        <v>1</v>
      </c>
      <c r="O35" s="25">
        <f ca="1">'Validacao(1)'!B11</f>
        <v>0</v>
      </c>
      <c r="P35" s="25"/>
      <c r="Q35" s="25"/>
      <c r="R35" s="25"/>
      <c r="S35" s="25"/>
      <c r="T35" s="25"/>
      <c r="U35" s="25"/>
      <c r="V35" s="25"/>
      <c r="W35" s="25"/>
      <c r="X35" s="449"/>
      <c r="Y35" s="449"/>
      <c r="Z35" s="449"/>
      <c r="AB35" s="2"/>
      <c r="AC35" s="2"/>
      <c r="AD35" s="2"/>
      <c r="AE35" s="2"/>
      <c r="AF35" s="2"/>
    </row>
    <row r="36" spans="1:32" s="20" customFormat="1" ht="20.100000000000001" customHeight="1" outlineLevel="1" x14ac:dyDescent="0.25">
      <c r="A36" s="446"/>
      <c r="B36" s="1"/>
      <c r="C36" s="1"/>
      <c r="D36" s="1"/>
      <c r="E36" s="1"/>
      <c r="F36" s="447"/>
      <c r="G36" s="450" t="str">
        <f>'Validacao(1)'!C12</f>
        <v/>
      </c>
      <c r="H36" s="419"/>
      <c r="I36" s="419"/>
      <c r="J36" s="419"/>
      <c r="M36" s="2"/>
      <c r="N36" s="25">
        <f>COUNTIF($A$29:A36,"x")</f>
        <v>1</v>
      </c>
      <c r="O36" s="25">
        <f>'Validacao(1)'!B12</f>
        <v>0</v>
      </c>
      <c r="P36" s="25"/>
      <c r="Q36" s="25"/>
      <c r="R36" s="25"/>
      <c r="S36" s="25"/>
      <c r="T36" s="25"/>
      <c r="U36" s="25"/>
      <c r="V36" s="25"/>
      <c r="W36" s="25"/>
      <c r="X36" s="449"/>
      <c r="Y36" s="449"/>
      <c r="Z36" s="449"/>
      <c r="AB36" s="2"/>
      <c r="AC36" s="2"/>
      <c r="AD36" s="2"/>
      <c r="AE36" s="2"/>
      <c r="AF36" s="2"/>
    </row>
    <row r="37" spans="1:32" s="20" customFormat="1" ht="20.100000000000001" customHeight="1" outlineLevel="1" x14ac:dyDescent="0.25">
      <c r="A37" s="446"/>
      <c r="B37" s="1"/>
      <c r="C37" s="1"/>
      <c r="D37" s="1"/>
      <c r="E37" s="1"/>
      <c r="F37" s="447"/>
      <c r="G37" s="450" t="str">
        <f>'Validacao(1)'!C13</f>
        <v/>
      </c>
      <c r="H37" s="419"/>
      <c r="I37" s="419"/>
      <c r="J37" s="419"/>
      <c r="M37" s="2"/>
      <c r="N37" s="25">
        <f>COUNTIF($A$29:A37,"x")</f>
        <v>1</v>
      </c>
      <c r="O37" s="25">
        <f>'Validacao(1)'!B13</f>
        <v>0</v>
      </c>
      <c r="P37" s="25"/>
      <c r="Q37" s="25"/>
      <c r="R37" s="25"/>
      <c r="S37" s="25"/>
      <c r="T37" s="25"/>
      <c r="U37" s="25"/>
      <c r="V37" s="25"/>
      <c r="W37" s="25"/>
      <c r="X37" s="449"/>
      <c r="Y37" s="449"/>
      <c r="Z37" s="449"/>
      <c r="AB37" s="2"/>
      <c r="AC37" s="2"/>
      <c r="AD37" s="2"/>
      <c r="AE37" s="2"/>
      <c r="AF37" s="2"/>
    </row>
    <row r="38" spans="1:32" s="20" customFormat="1" ht="20.100000000000001" customHeight="1" outlineLevel="1" x14ac:dyDescent="0.25">
      <c r="A38" s="446"/>
      <c r="B38" s="1"/>
      <c r="C38" s="1"/>
      <c r="D38" s="1"/>
      <c r="E38" s="1"/>
      <c r="F38" s="447"/>
      <c r="G38" s="450" t="str">
        <f>'Validacao(1)'!C14</f>
        <v/>
      </c>
      <c r="H38" s="419"/>
      <c r="I38" s="419"/>
      <c r="J38" s="419"/>
      <c r="M38" s="2"/>
      <c r="N38" s="25">
        <f>COUNTIF($A$29:A38,"x")</f>
        <v>1</v>
      </c>
      <c r="O38" s="25">
        <f>'Validacao(1)'!B14</f>
        <v>0</v>
      </c>
      <c r="P38" s="25"/>
      <c r="Q38" s="25"/>
      <c r="R38" s="25"/>
      <c r="S38" s="25"/>
      <c r="T38" s="25"/>
      <c r="U38" s="25"/>
      <c r="V38" s="25"/>
      <c r="W38" s="25"/>
      <c r="X38" s="449"/>
      <c r="Y38" s="449"/>
      <c r="Z38" s="449"/>
      <c r="AB38" s="2"/>
      <c r="AC38" s="2"/>
      <c r="AD38" s="2"/>
      <c r="AE38" s="2"/>
      <c r="AF38" s="2"/>
    </row>
    <row r="39" spans="1:32" s="20" customFormat="1" ht="20.100000000000001" customHeight="1" outlineLevel="1" x14ac:dyDescent="0.25">
      <c r="A39" s="446"/>
      <c r="B39" s="1"/>
      <c r="C39" s="1"/>
      <c r="D39" s="1"/>
      <c r="E39" s="1"/>
      <c r="F39" s="447"/>
      <c r="G39" s="450" t="str">
        <f>'Validacao(1)'!C15</f>
        <v/>
      </c>
      <c r="H39" s="419"/>
      <c r="I39" s="419"/>
      <c r="J39" s="419"/>
      <c r="M39" s="2"/>
      <c r="N39" s="25">
        <f>COUNTIF($A$29:A39,"x")</f>
        <v>1</v>
      </c>
      <c r="O39" s="25">
        <f>'Validacao(1)'!B15</f>
        <v>0</v>
      </c>
      <c r="P39" s="25"/>
      <c r="Q39" s="25"/>
      <c r="R39" s="25"/>
      <c r="S39" s="25"/>
      <c r="T39" s="25"/>
      <c r="U39" s="25"/>
      <c r="V39" s="25"/>
      <c r="W39" s="25"/>
      <c r="X39" s="449"/>
      <c r="Y39" s="449"/>
      <c r="Z39" s="449"/>
      <c r="AB39" s="2"/>
      <c r="AC39" s="2"/>
      <c r="AD39" s="2"/>
      <c r="AE39" s="2"/>
      <c r="AF39" s="2"/>
    </row>
    <row r="40" spans="1:32" s="20" customFormat="1" ht="30" customHeight="1" x14ac:dyDescent="0.25">
      <c r="A40" s="446" t="s">
        <v>8576</v>
      </c>
      <c r="B40" s="1"/>
      <c r="C40" s="1"/>
      <c r="D40" s="1"/>
      <c r="E40" s="1"/>
      <c r="F40" s="418"/>
      <c r="G40" s="451" t="str">
        <f>HYPERLINK(Y40,U40)</f>
        <v>📂 (✓ ) Composição</v>
      </c>
      <c r="H40" s="419"/>
      <c r="I40" s="419"/>
      <c r="J40" s="419"/>
      <c r="M40" s="2"/>
      <c r="N40" s="442">
        <f>COUNTIF($A$29:A40,"x")</f>
        <v>2</v>
      </c>
      <c r="O40" s="442" t="s">
        <v>10</v>
      </c>
      <c r="P40" s="442" t="s">
        <v>10</v>
      </c>
      <c r="Q40" s="442">
        <f ca="1">SUMIF(N41:$N$633,N40,O41:$O$633)</f>
        <v>0</v>
      </c>
      <c r="R40" s="442">
        <f>SUMIF(N41:$N$633,N40,P41:$P$633)</f>
        <v>0</v>
      </c>
      <c r="S40" s="442">
        <v>0</v>
      </c>
      <c r="T40" s="443" t="s">
        <v>6126</v>
      </c>
      <c r="U40" s="443" t="str">
        <f>$T$4&amp;"("&amp; IF(S40=0,V$23,S40) &amp; ") " &amp; T40</f>
        <v>📂 (✓ ) Composição</v>
      </c>
      <c r="V40" s="443" t="str">
        <f ca="1">IF(Q40&gt;0,$V$24&amp;Q40,"")</f>
        <v/>
      </c>
      <c r="W40" s="443" t="str">
        <f>IF(R40&gt;0,$V$24&amp;R40,"")</f>
        <v/>
      </c>
      <c r="X40" s="444" t="s">
        <v>7064</v>
      </c>
      <c r="Y40" s="445" t="str">
        <f>$V$19&amp;X40&amp;$V$20</f>
        <v>#Composição!F2</v>
      </c>
      <c r="Z40" s="445"/>
      <c r="AB40" s="2"/>
      <c r="AC40" s="2"/>
      <c r="AD40" s="2"/>
      <c r="AE40" s="2"/>
      <c r="AF40" s="2"/>
    </row>
    <row r="41" spans="1:32" s="20" customFormat="1" ht="20.100000000000001" customHeight="1" outlineLevel="1" x14ac:dyDescent="0.25">
      <c r="A41" s="446"/>
      <c r="B41" s="1"/>
      <c r="C41" s="1"/>
      <c r="D41" s="1"/>
      <c r="E41" s="1"/>
      <c r="F41" s="447"/>
      <c r="G41" s="450" t="str">
        <f>'Validacao(1)'!C35</f>
        <v>Unidade de medida não preenchida</v>
      </c>
      <c r="H41" s="419"/>
      <c r="I41" s="419"/>
      <c r="J41" s="419"/>
      <c r="M41" s="2"/>
      <c r="N41" s="25">
        <f>COUNTIF($A$29:A41,"x")</f>
        <v>2</v>
      </c>
      <c r="O41" s="25">
        <f ca="1">'Validacao(1)'!B35</f>
        <v>0</v>
      </c>
      <c r="P41" s="25"/>
      <c r="Q41" s="25"/>
      <c r="R41" s="25"/>
      <c r="S41" s="25"/>
      <c r="T41" s="25"/>
      <c r="U41" s="25"/>
      <c r="V41" s="25"/>
      <c r="W41" s="25"/>
      <c r="X41" s="449"/>
      <c r="Y41" s="449"/>
      <c r="Z41" s="449"/>
      <c r="AB41" s="2"/>
      <c r="AC41" s="2"/>
      <c r="AD41" s="2"/>
      <c r="AE41" s="2"/>
      <c r="AF41" s="2"/>
    </row>
    <row r="42" spans="1:32" s="2" customFormat="1" ht="20.100000000000001" customHeight="1" outlineLevel="1" x14ac:dyDescent="0.25">
      <c r="A42" s="446"/>
      <c r="B42" s="1"/>
      <c r="C42" s="1"/>
      <c r="D42" s="1"/>
      <c r="E42" s="1"/>
      <c r="F42" s="447"/>
      <c r="G42" s="450" t="str">
        <f>'Validacao(1)'!C36</f>
        <v>Composição sem ingrediente ativo preenchido</v>
      </c>
      <c r="H42" s="419"/>
      <c r="I42" s="419"/>
      <c r="J42" s="419"/>
      <c r="K42" s="20"/>
      <c r="L42" s="20"/>
      <c r="N42" s="25">
        <f>COUNTIF($A$29:A42,"x")</f>
        <v>2</v>
      </c>
      <c r="O42" s="25">
        <f ca="1">'Validacao(1)'!B36</f>
        <v>0</v>
      </c>
      <c r="P42" s="25"/>
      <c r="Q42" s="25"/>
      <c r="R42" s="25"/>
      <c r="S42" s="25"/>
      <c r="T42" s="25"/>
      <c r="U42" s="25"/>
      <c r="V42" s="25"/>
      <c r="W42" s="25"/>
      <c r="X42" s="449"/>
      <c r="Y42" s="449"/>
      <c r="Z42" s="449"/>
      <c r="AA42" s="20"/>
    </row>
    <row r="43" spans="1:32" s="2" customFormat="1" ht="20.100000000000001" customHeight="1" outlineLevel="1" x14ac:dyDescent="0.25">
      <c r="A43" s="446"/>
      <c r="B43" s="1"/>
      <c r="C43" s="1"/>
      <c r="D43" s="1"/>
      <c r="E43" s="1"/>
      <c r="F43" s="447"/>
      <c r="G43" s="450" t="str">
        <f>'Validacao(1)'!C37</f>
        <v>Existe(m) componente(s) listado(s) no anexo da IN. 34/2019 - Lista de componentes não autorizados</v>
      </c>
      <c r="H43" s="419"/>
      <c r="I43" s="419"/>
      <c r="J43" s="419"/>
      <c r="K43" s="20"/>
      <c r="L43" s="20"/>
      <c r="N43" s="25">
        <f>COUNTIF($A$29:A43,"x")</f>
        <v>2</v>
      </c>
      <c r="O43" s="25">
        <f ca="1">'Validacao(1)'!B37</f>
        <v>0</v>
      </c>
      <c r="P43" s="25"/>
      <c r="Q43" s="25"/>
      <c r="R43" s="25"/>
      <c r="S43" s="25"/>
      <c r="T43" s="25"/>
      <c r="U43" s="25"/>
      <c r="V43" s="25"/>
      <c r="W43" s="25"/>
      <c r="X43" s="449"/>
      <c r="Y43" s="449"/>
      <c r="Z43" s="449"/>
      <c r="AA43" s="20"/>
    </row>
    <row r="44" spans="1:32" s="2" customFormat="1" ht="20.100000000000001" customHeight="1" outlineLevel="1" x14ac:dyDescent="0.25">
      <c r="A44" s="446"/>
      <c r="B44" s="1"/>
      <c r="C44" s="1"/>
      <c r="D44" s="1"/>
      <c r="E44" s="1"/>
      <c r="F44" s="447"/>
      <c r="G44" s="450" t="str">
        <f>'Validacao(1)'!C38</f>
        <v>Existe(m) componente(s) toxicologicamente relevante(s)</v>
      </c>
      <c r="H44" s="419"/>
      <c r="I44" s="419"/>
      <c r="J44" s="419"/>
      <c r="K44" s="20"/>
      <c r="L44" s="20"/>
      <c r="N44" s="25">
        <f>COUNTIF($A$29:A44,"x")</f>
        <v>2</v>
      </c>
      <c r="O44" s="25">
        <f ca="1">'Validacao(1)'!B38</f>
        <v>0</v>
      </c>
      <c r="P44" s="25"/>
      <c r="Q44" s="25"/>
      <c r="R44" s="25"/>
      <c r="S44" s="25"/>
      <c r="T44" s="25"/>
      <c r="U44" s="25"/>
      <c r="V44" s="25"/>
      <c r="W44" s="25"/>
      <c r="X44" s="449"/>
      <c r="Y44" s="449"/>
      <c r="Z44" s="449"/>
      <c r="AA44" s="20"/>
    </row>
    <row r="45" spans="1:32" s="2" customFormat="1" ht="20.100000000000001" customHeight="1" outlineLevel="1" x14ac:dyDescent="0.25">
      <c r="A45" s="446"/>
      <c r="B45" s="1"/>
      <c r="C45" s="1"/>
      <c r="D45" s="1"/>
      <c r="E45" s="1"/>
      <c r="F45" s="447"/>
      <c r="G45" s="450" t="str">
        <f>'Validacao(1)'!C39</f>
        <v>Concentração nominal não foi preenchida para todos os componentes</v>
      </c>
      <c r="H45" s="419"/>
      <c r="I45" s="419"/>
      <c r="J45" s="419"/>
      <c r="K45" s="20"/>
      <c r="L45" s="20"/>
      <c r="N45" s="25">
        <f>COUNTIF($A$29:A45,"x")</f>
        <v>2</v>
      </c>
      <c r="O45" s="25">
        <f ca="1">'Validacao(1)'!B39</f>
        <v>0</v>
      </c>
      <c r="P45" s="25"/>
      <c r="Q45" s="25"/>
      <c r="R45" s="25"/>
      <c r="S45" s="25"/>
      <c r="T45" s="25"/>
      <c r="U45" s="25"/>
      <c r="V45" s="25"/>
      <c r="W45" s="25"/>
      <c r="X45" s="449"/>
      <c r="Y45" s="449"/>
      <c r="Z45" s="449"/>
      <c r="AA45" s="20"/>
    </row>
    <row r="46" spans="1:32" s="2" customFormat="1" ht="20.100000000000001" customHeight="1" outlineLevel="1" x14ac:dyDescent="0.25">
      <c r="A46" s="446"/>
      <c r="B46" s="1"/>
      <c r="C46" s="1"/>
      <c r="D46" s="1"/>
      <c r="E46" s="1"/>
      <c r="F46" s="447"/>
      <c r="G46" s="450" t="str">
        <f>'Validacao(1)'!C40</f>
        <v>Limite mínimo não foi preenchida para todos os componentes</v>
      </c>
      <c r="H46" s="419"/>
      <c r="I46" s="419"/>
      <c r="J46" s="419"/>
      <c r="K46" s="20"/>
      <c r="L46" s="20"/>
      <c r="N46" s="25">
        <f>COUNTIF($A$29:A46,"x")</f>
        <v>2</v>
      </c>
      <c r="O46" s="25">
        <f ca="1">'Validacao(1)'!B40</f>
        <v>0</v>
      </c>
      <c r="P46" s="25"/>
      <c r="Q46" s="25"/>
      <c r="R46" s="25"/>
      <c r="S46" s="25"/>
      <c r="T46" s="25"/>
      <c r="U46" s="25"/>
      <c r="V46" s="25"/>
      <c r="W46" s="25"/>
      <c r="X46" s="449"/>
      <c r="Y46" s="449"/>
      <c r="Z46" s="449"/>
      <c r="AA46" s="20"/>
    </row>
    <row r="47" spans="1:32" s="2" customFormat="1" ht="20.100000000000001" customHeight="1" outlineLevel="1" x14ac:dyDescent="0.25">
      <c r="A47" s="446"/>
      <c r="B47" s="1"/>
      <c r="C47" s="1"/>
      <c r="D47" s="1"/>
      <c r="E47" s="1"/>
      <c r="F47" s="447"/>
      <c r="G47" s="450" t="str">
        <f>'Validacao(1)'!C41</f>
        <v>Limite máximo não foi preenchida para todos os componentes</v>
      </c>
      <c r="H47" s="419"/>
      <c r="I47" s="419"/>
      <c r="J47" s="419"/>
      <c r="K47" s="20"/>
      <c r="L47" s="20"/>
      <c r="N47" s="25">
        <f>COUNTIF($A$29:A47,"x")</f>
        <v>2</v>
      </c>
      <c r="O47" s="25">
        <f ca="1">'Validacao(1)'!B41</f>
        <v>0</v>
      </c>
      <c r="P47" s="25"/>
      <c r="Q47" s="25"/>
      <c r="R47" s="25"/>
      <c r="S47" s="25"/>
      <c r="T47" s="25"/>
      <c r="U47" s="25"/>
      <c r="V47" s="25"/>
      <c r="W47" s="25"/>
      <c r="X47" s="449"/>
      <c r="Y47" s="449"/>
      <c r="Z47" s="449"/>
      <c r="AA47" s="20"/>
    </row>
    <row r="48" spans="1:32" s="2" customFormat="1" ht="20.100000000000001" customHeight="1" outlineLevel="1" x14ac:dyDescent="0.25">
      <c r="A48" s="446"/>
      <c r="B48" s="1"/>
      <c r="C48" s="1"/>
      <c r="D48" s="1"/>
      <c r="E48" s="1"/>
      <c r="F48" s="447"/>
      <c r="G48" s="450" t="str">
        <f>'Validacao(1)'!C42</f>
        <v>Existe ativo declarado na aba PT&amp;IA que não consta na declaração de composição</v>
      </c>
      <c r="H48" s="419"/>
      <c r="I48" s="419"/>
      <c r="J48" s="419"/>
      <c r="K48" s="20"/>
      <c r="L48" s="20"/>
      <c r="N48" s="25">
        <f>COUNTIF($A$29:A48,"x")</f>
        <v>2</v>
      </c>
      <c r="O48" s="25">
        <f ca="1">'Validacao(1)'!B42</f>
        <v>0</v>
      </c>
      <c r="P48" s="25"/>
      <c r="Q48" s="25"/>
      <c r="R48" s="25"/>
      <c r="S48" s="25"/>
      <c r="T48" s="25"/>
      <c r="U48" s="25"/>
      <c r="V48" s="25"/>
      <c r="W48" s="25"/>
      <c r="X48" s="449"/>
      <c r="Y48" s="449"/>
      <c r="Z48" s="449"/>
      <c r="AA48" s="20"/>
    </row>
    <row r="49" spans="1:27" s="2" customFormat="1" ht="20.100000000000001" customHeight="1" outlineLevel="1" x14ac:dyDescent="0.25">
      <c r="A49" s="446"/>
      <c r="B49" s="1"/>
      <c r="C49" s="1"/>
      <c r="D49" s="1"/>
      <c r="E49" s="1"/>
      <c r="F49" s="447"/>
      <c r="G49" s="450" t="str">
        <f>'Validacao(1)'!C43</f>
        <v/>
      </c>
      <c r="H49" s="419"/>
      <c r="I49" s="419"/>
      <c r="J49" s="419"/>
      <c r="K49" s="20"/>
      <c r="L49" s="20"/>
      <c r="N49" s="25">
        <f>COUNTIF($A$29:A49,"x")</f>
        <v>2</v>
      </c>
      <c r="O49" s="25">
        <f>'Validacao(1)'!B43</f>
        <v>0</v>
      </c>
      <c r="P49" s="25"/>
      <c r="Q49" s="25"/>
      <c r="R49" s="25"/>
      <c r="S49" s="25"/>
      <c r="T49" s="25"/>
      <c r="U49" s="25"/>
      <c r="V49" s="25"/>
      <c r="W49" s="25"/>
      <c r="X49" s="449"/>
      <c r="Y49" s="449"/>
      <c r="Z49" s="449"/>
      <c r="AA49" s="20"/>
    </row>
    <row r="50" spans="1:27" s="2" customFormat="1" ht="20.100000000000001" customHeight="1" outlineLevel="1" x14ac:dyDescent="0.25">
      <c r="A50" s="446"/>
      <c r="B50" s="1"/>
      <c r="C50" s="1"/>
      <c r="D50" s="1"/>
      <c r="E50" s="1"/>
      <c r="F50" s="447"/>
      <c r="G50" s="450" t="str">
        <f>'Validacao(1)'!C44</f>
        <v/>
      </c>
      <c r="H50" s="419"/>
      <c r="I50" s="419"/>
      <c r="J50" s="419"/>
      <c r="K50" s="20"/>
      <c r="L50" s="20"/>
      <c r="N50" s="25">
        <f>COUNTIF($A$29:A50,"x")</f>
        <v>2</v>
      </c>
      <c r="O50" s="25">
        <f>'Validacao(1)'!B44</f>
        <v>0</v>
      </c>
      <c r="P50" s="25"/>
      <c r="Q50" s="25"/>
      <c r="R50" s="25"/>
      <c r="S50" s="25"/>
      <c r="T50" s="25"/>
      <c r="U50" s="25"/>
      <c r="V50" s="25"/>
      <c r="W50" s="25"/>
      <c r="X50" s="449"/>
      <c r="Y50" s="449"/>
      <c r="Z50" s="449"/>
      <c r="AA50" s="20"/>
    </row>
    <row r="51" spans="1:27" s="2" customFormat="1" ht="20.100000000000001" customHeight="1" outlineLevel="1" x14ac:dyDescent="0.25">
      <c r="A51" s="446"/>
      <c r="B51" s="1"/>
      <c r="C51" s="1"/>
      <c r="D51" s="1"/>
      <c r="E51" s="1"/>
      <c r="F51" s="447"/>
      <c r="G51" s="450" t="str">
        <f>'Validacao(1)'!C45</f>
        <v/>
      </c>
      <c r="H51" s="419"/>
      <c r="I51" s="419"/>
      <c r="J51" s="419"/>
      <c r="K51" s="20"/>
      <c r="L51" s="20"/>
      <c r="N51" s="25">
        <f>COUNTIF($A$29:A51,"x")</f>
        <v>2</v>
      </c>
      <c r="O51" s="25">
        <f>'Validacao(1)'!B45</f>
        <v>0</v>
      </c>
      <c r="P51" s="25"/>
      <c r="Q51" s="25"/>
      <c r="R51" s="25"/>
      <c r="S51" s="25"/>
      <c r="T51" s="25"/>
      <c r="U51" s="25"/>
      <c r="V51" s="25"/>
      <c r="W51" s="25"/>
      <c r="X51" s="449"/>
      <c r="Y51" s="449"/>
      <c r="Z51" s="449"/>
      <c r="AA51" s="20"/>
    </row>
    <row r="52" spans="1:27" s="2" customFormat="1" ht="20.100000000000001" customHeight="1" outlineLevel="1" x14ac:dyDescent="0.25">
      <c r="A52" s="446"/>
      <c r="B52" s="1"/>
      <c r="C52" s="1"/>
      <c r="D52" s="1"/>
      <c r="E52" s="1"/>
      <c r="F52" s="447"/>
      <c r="G52" s="450" t="str">
        <f>'Validacao(1)'!C46</f>
        <v/>
      </c>
      <c r="H52" s="419"/>
      <c r="I52" s="419"/>
      <c r="J52" s="419"/>
      <c r="K52" s="20"/>
      <c r="L52" s="20"/>
      <c r="N52" s="25">
        <f>COUNTIF($A$29:A52,"x")</f>
        <v>2</v>
      </c>
      <c r="O52" s="25">
        <f>'Validacao(1)'!B46</f>
        <v>0</v>
      </c>
      <c r="P52" s="25"/>
      <c r="Q52" s="25"/>
      <c r="R52" s="25"/>
      <c r="S52" s="25"/>
      <c r="T52" s="25"/>
      <c r="U52" s="25"/>
      <c r="V52" s="25"/>
      <c r="W52" s="25"/>
      <c r="X52" s="449"/>
      <c r="Y52" s="449"/>
      <c r="Z52" s="449"/>
      <c r="AA52" s="20"/>
    </row>
    <row r="53" spans="1:27" s="2" customFormat="1" ht="20.100000000000001" customHeight="1" outlineLevel="1" x14ac:dyDescent="0.25">
      <c r="A53" s="446"/>
      <c r="B53" s="1"/>
      <c r="C53" s="1"/>
      <c r="D53" s="1"/>
      <c r="E53" s="1"/>
      <c r="F53" s="447"/>
      <c r="G53" s="450" t="str">
        <f>'Validacao(1)'!C47</f>
        <v/>
      </c>
      <c r="H53" s="419"/>
      <c r="I53" s="419"/>
      <c r="J53" s="419"/>
      <c r="K53" s="20"/>
      <c r="L53" s="20"/>
      <c r="N53" s="25">
        <f>COUNTIF($A$29:A53,"x")</f>
        <v>2</v>
      </c>
      <c r="O53" s="25">
        <f>'Validacao(1)'!B47</f>
        <v>0</v>
      </c>
      <c r="P53" s="25"/>
      <c r="Q53" s="25"/>
      <c r="R53" s="25"/>
      <c r="S53" s="25"/>
      <c r="T53" s="25"/>
      <c r="U53" s="25"/>
      <c r="V53" s="25"/>
      <c r="W53" s="25"/>
      <c r="X53" s="449"/>
      <c r="Y53" s="449"/>
      <c r="Z53" s="449"/>
      <c r="AA53" s="20"/>
    </row>
    <row r="54" spans="1:27" s="2" customFormat="1" ht="30" customHeight="1" x14ac:dyDescent="0.25">
      <c r="A54" s="446" t="s">
        <v>8576</v>
      </c>
      <c r="B54" s="1"/>
      <c r="C54" s="1"/>
      <c r="D54" s="1"/>
      <c r="E54" s="1"/>
      <c r="F54" s="418"/>
      <c r="G54" s="451" t="str">
        <f ca="1">HYPERLINK(Y54,U54)</f>
        <v>📂 (✓ ) Certificados de análise</v>
      </c>
      <c r="H54" s="419"/>
      <c r="I54" s="419"/>
      <c r="J54" s="419"/>
      <c r="K54" s="20"/>
      <c r="L54" s="20"/>
      <c r="N54" s="442">
        <f>COUNTIF($A$29:A54,"x")</f>
        <v>3</v>
      </c>
      <c r="O54" s="442" t="s">
        <v>10</v>
      </c>
      <c r="P54" s="442" t="s">
        <v>10</v>
      </c>
      <c r="Q54" s="442">
        <f ca="1">SUMIF(N55:$N$633,N54,O55:$O$633)</f>
        <v>0</v>
      </c>
      <c r="R54" s="442">
        <f>SUMIF(N55:$N$633,N54,P55:$P$633)</f>
        <v>0</v>
      </c>
      <c r="S54" s="442">
        <f ca="1">Q54+R54</f>
        <v>0</v>
      </c>
      <c r="T54" s="443" t="s">
        <v>6534</v>
      </c>
      <c r="U54" s="443" t="str">
        <f ca="1">$T$4&amp;"("&amp; IF(S54=0,V$23,S54) &amp; ") " &amp; T54</f>
        <v>📂 (✓ ) Certificados de análise</v>
      </c>
      <c r="V54" s="443" t="str">
        <f ca="1">IF(Q54&gt;0,$V$24&amp;Q54,"")</f>
        <v/>
      </c>
      <c r="W54" s="443" t="str">
        <f>IF(R54&gt;0,$V$24&amp;R54,"")</f>
        <v/>
      </c>
      <c r="X54" s="444" t="s">
        <v>6158</v>
      </c>
      <c r="Y54" s="445" t="str">
        <f>$V$19&amp;X54&amp;$V$20</f>
        <v>#Certificados!F2</v>
      </c>
      <c r="Z54" s="445"/>
      <c r="AA54" s="20"/>
    </row>
    <row r="55" spans="1:27" s="2" customFormat="1" ht="20.100000000000001" customHeight="1" outlineLevel="1" x14ac:dyDescent="0.25">
      <c r="A55" s="446"/>
      <c r="B55" s="1"/>
      <c r="C55" s="1"/>
      <c r="D55" s="1"/>
      <c r="E55" s="1"/>
      <c r="F55" s="447"/>
      <c r="G55" s="450" t="str">
        <f>'Validacao(1)'!C66</f>
        <v>Possui certificado com data de fabricação não informada</v>
      </c>
      <c r="H55" s="419"/>
      <c r="I55" s="419"/>
      <c r="J55" s="419"/>
      <c r="K55" s="20"/>
      <c r="L55" s="20"/>
      <c r="N55" s="25">
        <f>COUNTIF($A$29:A55,"x")</f>
        <v>3</v>
      </c>
      <c r="O55" s="25">
        <f ca="1">'Validacao(1)'!B66</f>
        <v>0</v>
      </c>
      <c r="P55" s="25"/>
      <c r="Q55" s="25"/>
      <c r="R55" s="25"/>
      <c r="S55" s="25"/>
      <c r="T55" s="25"/>
      <c r="U55" s="25"/>
      <c r="V55" s="25"/>
      <c r="W55" s="25"/>
      <c r="X55" s="449"/>
      <c r="Y55" s="449"/>
      <c r="Z55" s="449"/>
      <c r="AA55" s="20"/>
    </row>
    <row r="56" spans="1:27" s="2" customFormat="1" ht="20.100000000000001" customHeight="1" outlineLevel="1" x14ac:dyDescent="0.25">
      <c r="A56" s="446"/>
      <c r="B56" s="1"/>
      <c r="C56" s="1"/>
      <c r="D56" s="1"/>
      <c r="E56" s="1"/>
      <c r="F56" s="447"/>
      <c r="G56" s="450" t="str">
        <f>'Validacao(1)'!C67</f>
        <v>Possui certificado com data de validade não informada</v>
      </c>
      <c r="H56" s="419"/>
      <c r="I56" s="419"/>
      <c r="J56" s="419"/>
      <c r="K56" s="20"/>
      <c r="L56" s="20"/>
      <c r="N56" s="25">
        <f>COUNTIF($A$29:A56,"x")</f>
        <v>3</v>
      </c>
      <c r="O56" s="25">
        <f ca="1">'Validacao(1)'!B67</f>
        <v>0</v>
      </c>
      <c r="P56" s="25"/>
      <c r="Q56" s="25"/>
      <c r="R56" s="25"/>
      <c r="S56" s="25"/>
      <c r="T56" s="25"/>
      <c r="U56" s="25"/>
      <c r="V56" s="25"/>
      <c r="W56" s="25"/>
      <c r="X56" s="449"/>
      <c r="Y56" s="449"/>
      <c r="Z56" s="449"/>
      <c r="AA56" s="20"/>
    </row>
    <row r="57" spans="1:27" s="2" customFormat="1" ht="20.100000000000001" customHeight="1" outlineLevel="1" x14ac:dyDescent="0.25">
      <c r="A57" s="446"/>
      <c r="B57" s="1"/>
      <c r="C57" s="1"/>
      <c r="D57" s="1"/>
      <c r="E57" s="1"/>
      <c r="F57" s="447"/>
      <c r="G57" s="450" t="str">
        <f>'Validacao(1)'!C68</f>
        <v>Possui certificado com data de análise não informada</v>
      </c>
      <c r="H57" s="419"/>
      <c r="I57" s="419"/>
      <c r="J57" s="419"/>
      <c r="K57" s="20"/>
      <c r="L57" s="20"/>
      <c r="N57" s="25">
        <f>COUNTIF($A$29:A57,"x")</f>
        <v>3</v>
      </c>
      <c r="O57" s="25">
        <f ca="1">'Validacao(1)'!B68</f>
        <v>0</v>
      </c>
      <c r="P57" s="25"/>
      <c r="Q57" s="25"/>
      <c r="R57" s="25"/>
      <c r="S57" s="25"/>
      <c r="T57" s="25"/>
      <c r="U57" s="25"/>
      <c r="V57" s="25"/>
      <c r="W57" s="25"/>
      <c r="X57" s="449"/>
      <c r="Y57" s="449"/>
      <c r="Z57" s="449"/>
      <c r="AA57" s="20"/>
    </row>
    <row r="58" spans="1:27" s="2" customFormat="1" ht="20.100000000000001" customHeight="1" outlineLevel="1" x14ac:dyDescent="0.25">
      <c r="A58" s="446"/>
      <c r="B58" s="1"/>
      <c r="C58" s="1"/>
      <c r="D58" s="1"/>
      <c r="E58" s="1"/>
      <c r="F58" s="447"/>
      <c r="G58" s="450" t="str">
        <f>'Validacao(1)'!C69</f>
        <v>Possui certificado com concentração não informada</v>
      </c>
      <c r="H58" s="419"/>
      <c r="I58" s="419"/>
      <c r="J58" s="419"/>
      <c r="K58" s="20"/>
      <c r="L58" s="20"/>
      <c r="N58" s="25">
        <f>COUNTIF($A$29:A58,"x")</f>
        <v>3</v>
      </c>
      <c r="O58" s="25">
        <f ca="1">'Validacao(1)'!B69</f>
        <v>0</v>
      </c>
      <c r="P58" s="25"/>
      <c r="Q58" s="25"/>
      <c r="R58" s="25"/>
      <c r="S58" s="25"/>
      <c r="T58" s="25"/>
      <c r="U58" s="25"/>
      <c r="V58" s="25"/>
      <c r="W58" s="25"/>
      <c r="X58" s="449"/>
      <c r="Y58" s="449"/>
      <c r="Z58" s="449"/>
      <c r="AA58" s="20"/>
    </row>
    <row r="59" spans="1:27" s="2" customFormat="1" ht="20.100000000000001" customHeight="1" outlineLevel="1" x14ac:dyDescent="0.25">
      <c r="A59" s="446"/>
      <c r="B59" s="1"/>
      <c r="C59" s="1"/>
      <c r="D59" s="1"/>
      <c r="E59" s="1"/>
      <c r="F59" s="447"/>
      <c r="G59" s="450" t="str">
        <f>'Validacao(1)'!C70</f>
        <v>Possui certificado com amostra vencida, porém de acordo a DCQQ. FALSO</v>
      </c>
      <c r="H59" s="419"/>
      <c r="I59" s="419"/>
      <c r="J59" s="419"/>
      <c r="K59" s="20"/>
      <c r="L59" s="20"/>
      <c r="N59" s="25">
        <f>COUNTIF($A$29:A59,"x")</f>
        <v>3</v>
      </c>
      <c r="O59" s="25">
        <f>'Validacao(1)'!B70</f>
        <v>0</v>
      </c>
      <c r="P59" s="25"/>
      <c r="Q59" s="25"/>
      <c r="R59" s="25"/>
      <c r="S59" s="25"/>
      <c r="T59" s="25"/>
      <c r="U59" s="25"/>
      <c r="V59" s="25"/>
      <c r="W59" s="25"/>
      <c r="X59" s="449"/>
      <c r="Y59" s="449"/>
      <c r="Z59" s="449"/>
      <c r="AA59" s="20"/>
    </row>
    <row r="60" spans="1:27" s="2" customFormat="1" ht="20.100000000000001" customHeight="1" outlineLevel="1" x14ac:dyDescent="0.25">
      <c r="A60" s="446"/>
      <c r="B60" s="1"/>
      <c r="C60" s="1"/>
      <c r="D60" s="1"/>
      <c r="E60" s="1"/>
      <c r="F60" s="447"/>
      <c r="G60" s="450" t="str">
        <f>'Validacao(1)'!C71</f>
        <v>Possui certificado com amostra vencida e em desacordo com a DCQQ. FALSO</v>
      </c>
      <c r="H60" s="419"/>
      <c r="I60" s="419"/>
      <c r="J60" s="419"/>
      <c r="K60" s="20"/>
      <c r="L60" s="20"/>
      <c r="N60" s="25">
        <f>COUNTIF($A$29:A60,"x")</f>
        <v>3</v>
      </c>
      <c r="O60" s="25">
        <f>'Validacao(1)'!B71</f>
        <v>0</v>
      </c>
      <c r="P60" s="25"/>
      <c r="Q60" s="25"/>
      <c r="R60" s="25"/>
      <c r="S60" s="25"/>
      <c r="T60" s="25"/>
      <c r="U60" s="25"/>
      <c r="V60" s="25"/>
      <c r="W60" s="25"/>
      <c r="X60" s="449"/>
      <c r="Y60" s="449"/>
      <c r="Z60" s="449"/>
      <c r="AA60" s="20"/>
    </row>
    <row r="61" spans="1:27" s="2" customFormat="1" ht="20.100000000000001" customHeight="1" outlineLevel="1" x14ac:dyDescent="0.25">
      <c r="A61" s="446"/>
      <c r="B61" s="1"/>
      <c r="C61" s="1"/>
      <c r="D61" s="1"/>
      <c r="E61" s="1"/>
      <c r="F61" s="447"/>
      <c r="G61" s="450" t="str">
        <f>'Validacao(1)'!C72</f>
        <v>Possui certificado sem validade, porém de acordo com a DCQQ. FALSO</v>
      </c>
      <c r="H61" s="419"/>
      <c r="I61" s="419"/>
      <c r="J61" s="419"/>
      <c r="K61" s="20"/>
      <c r="L61" s="20"/>
      <c r="N61" s="25">
        <f>COUNTIF($A$29:A61,"x")</f>
        <v>3</v>
      </c>
      <c r="O61" s="25">
        <f>'Validacao(1)'!B72</f>
        <v>0</v>
      </c>
      <c r="P61" s="25"/>
      <c r="Q61" s="25"/>
      <c r="R61" s="25"/>
      <c r="S61" s="25"/>
      <c r="T61" s="25"/>
      <c r="U61" s="25"/>
      <c r="V61" s="25"/>
      <c r="W61" s="25"/>
      <c r="X61" s="449"/>
      <c r="Y61" s="449"/>
      <c r="Z61" s="449"/>
      <c r="AA61" s="20"/>
    </row>
    <row r="62" spans="1:27" s="2" customFormat="1" ht="20.100000000000001" customHeight="1" outlineLevel="1" x14ac:dyDescent="0.25">
      <c r="A62" s="446"/>
      <c r="B62" s="1"/>
      <c r="C62" s="1"/>
      <c r="D62" s="1"/>
      <c r="E62" s="1"/>
      <c r="F62" s="447"/>
      <c r="G62" s="450" t="str">
        <f>'Validacao(1)'!C73</f>
        <v>Possui certificado sem validade e em desacordo com a DCQQ. FALSO</v>
      </c>
      <c r="H62" s="419"/>
      <c r="I62" s="419"/>
      <c r="J62" s="419"/>
      <c r="K62" s="20"/>
      <c r="L62" s="20"/>
      <c r="N62" s="25">
        <f>COUNTIF($A$29:A62,"x")</f>
        <v>3</v>
      </c>
      <c r="O62" s="25">
        <f>'Validacao(1)'!B73</f>
        <v>0</v>
      </c>
      <c r="P62" s="25"/>
      <c r="Q62" s="25"/>
      <c r="R62" s="25"/>
      <c r="S62" s="25"/>
      <c r="T62" s="25"/>
      <c r="U62" s="25"/>
      <c r="V62" s="25"/>
      <c r="W62" s="25"/>
      <c r="X62" s="449"/>
      <c r="Y62" s="449"/>
      <c r="Z62" s="449"/>
      <c r="AA62" s="20"/>
    </row>
    <row r="63" spans="1:27" s="2" customFormat="1" ht="20.100000000000001" customHeight="1" outlineLevel="1" x14ac:dyDescent="0.25">
      <c r="A63" s="446"/>
      <c r="B63" s="1"/>
      <c r="C63" s="1"/>
      <c r="D63" s="1"/>
      <c r="E63" s="1"/>
      <c r="F63" s="447"/>
      <c r="G63" s="450" t="str">
        <f>'Validacao(1)'!C74</f>
        <v>Possui certificado em desacordo com a DCQQ. FALSO</v>
      </c>
      <c r="H63" s="419"/>
      <c r="I63" s="419"/>
      <c r="J63" s="419"/>
      <c r="K63" s="20"/>
      <c r="L63" s="20"/>
      <c r="N63" s="25">
        <f>COUNTIF($A$29:A63,"x")</f>
        <v>3</v>
      </c>
      <c r="O63" s="25">
        <f>'Validacao(1)'!B74</f>
        <v>0</v>
      </c>
      <c r="P63" s="25"/>
      <c r="Q63" s="25"/>
      <c r="R63" s="25"/>
      <c r="S63" s="25"/>
      <c r="T63" s="25"/>
      <c r="U63" s="25"/>
      <c r="V63" s="25"/>
      <c r="W63" s="25"/>
      <c r="X63" s="449"/>
      <c r="Y63" s="449"/>
      <c r="Z63" s="449"/>
      <c r="AA63" s="20"/>
    </row>
    <row r="64" spans="1:27" s="2" customFormat="1" ht="20.100000000000001" customHeight="1" outlineLevel="1" x14ac:dyDescent="0.25">
      <c r="A64" s="446"/>
      <c r="B64" s="1"/>
      <c r="C64" s="1"/>
      <c r="D64" s="1"/>
      <c r="E64" s="1"/>
      <c r="F64" s="447"/>
      <c r="G64" s="452" t="str">
        <f ca="1">'Validacao(1)'!C75</f>
        <v>Possui certificado com tempo de validade superior ou igual a 2 anos. FALSO</v>
      </c>
      <c r="H64" s="419"/>
      <c r="I64" s="419"/>
      <c r="J64" s="419"/>
      <c r="K64" s="20"/>
      <c r="L64" s="20"/>
      <c r="N64" s="25">
        <f>COUNTIF($A$29:A64,"x")</f>
        <v>3</v>
      </c>
      <c r="O64" s="25">
        <f ca="1">'Validacao(1)'!B75</f>
        <v>0</v>
      </c>
      <c r="P64" s="25"/>
      <c r="Q64" s="25"/>
      <c r="R64" s="25"/>
      <c r="S64" s="25"/>
      <c r="T64" s="25"/>
      <c r="U64" s="25"/>
      <c r="V64" s="25"/>
      <c r="W64" s="25"/>
      <c r="X64" s="449"/>
      <c r="Y64" s="449"/>
      <c r="Z64" s="449"/>
      <c r="AA64" s="20"/>
    </row>
    <row r="65" spans="1:27" s="2" customFormat="1" ht="20.100000000000001" customHeight="1" outlineLevel="1" x14ac:dyDescent="0.25">
      <c r="A65" s="446"/>
      <c r="B65" s="1"/>
      <c r="C65" s="1"/>
      <c r="D65" s="1"/>
      <c r="E65" s="1"/>
      <c r="F65" s="447"/>
      <c r="G65" s="452" t="str">
        <f ca="1">'Validacao(1)'!C76</f>
        <v>Não foram apresentados os resultados para todos os IA. FALSO</v>
      </c>
      <c r="H65" s="419"/>
      <c r="I65" s="419"/>
      <c r="J65" s="419"/>
      <c r="K65" s="20"/>
      <c r="L65" s="20"/>
      <c r="N65" s="25">
        <f>COUNTIF($A$29:A65,"x")</f>
        <v>3</v>
      </c>
      <c r="O65" s="25">
        <f ca="1">'Validacao(1)'!B76</f>
        <v>0</v>
      </c>
      <c r="P65" s="25"/>
      <c r="Q65" s="25"/>
      <c r="R65" s="25"/>
      <c r="S65" s="25"/>
      <c r="T65" s="25"/>
      <c r="U65" s="25"/>
      <c r="V65" s="25"/>
      <c r="W65" s="25"/>
      <c r="X65" s="449"/>
      <c r="Y65" s="449"/>
      <c r="Z65" s="449"/>
      <c r="AA65" s="20"/>
    </row>
    <row r="66" spans="1:27" s="2" customFormat="1" ht="20.100000000000001" customHeight="1" outlineLevel="1" x14ac:dyDescent="0.25">
      <c r="A66" s="446"/>
      <c r="B66" s="1"/>
      <c r="C66" s="1"/>
      <c r="D66" s="1"/>
      <c r="E66" s="1"/>
      <c r="F66" s="447"/>
      <c r="G66" s="450" t="str">
        <f>'Validacao(1)'!C77</f>
        <v/>
      </c>
      <c r="H66" s="419"/>
      <c r="I66" s="419"/>
      <c r="J66" s="419"/>
      <c r="K66" s="20"/>
      <c r="L66" s="20"/>
      <c r="N66" s="25">
        <f>COUNTIF($A$29:A66,"x")</f>
        <v>3</v>
      </c>
      <c r="O66" s="25">
        <f>'Validacao(1)'!B77</f>
        <v>0</v>
      </c>
      <c r="P66" s="25"/>
      <c r="Q66" s="25"/>
      <c r="R66" s="25"/>
      <c r="S66" s="25"/>
      <c r="T66" s="25"/>
      <c r="U66" s="25"/>
      <c r="V66" s="25"/>
      <c r="W66" s="25"/>
      <c r="X66" s="449"/>
      <c r="Y66" s="449"/>
      <c r="Z66" s="449"/>
      <c r="AA66" s="20"/>
    </row>
    <row r="67" spans="1:27" s="2" customFormat="1" ht="20.100000000000001" customHeight="1" outlineLevel="1" x14ac:dyDescent="0.25">
      <c r="A67" s="446"/>
      <c r="B67" s="1"/>
      <c r="C67" s="1"/>
      <c r="D67" s="1"/>
      <c r="E67" s="1"/>
      <c r="F67" s="447"/>
      <c r="G67" s="450" t="str">
        <f>'Validacao(1)'!C78</f>
        <v/>
      </c>
      <c r="H67" s="419"/>
      <c r="I67" s="419"/>
      <c r="J67" s="419"/>
      <c r="K67" s="20"/>
      <c r="L67" s="20"/>
      <c r="N67" s="25">
        <f>COUNTIF($A$29:A67,"x")</f>
        <v>3</v>
      </c>
      <c r="O67" s="25">
        <f>'Validacao(1)'!B78</f>
        <v>0</v>
      </c>
      <c r="P67" s="25"/>
      <c r="Q67" s="25"/>
      <c r="R67" s="25"/>
      <c r="S67" s="25"/>
      <c r="T67" s="25"/>
      <c r="U67" s="25"/>
      <c r="V67" s="25"/>
      <c r="W67" s="25"/>
      <c r="X67" s="449"/>
      <c r="Y67" s="449"/>
      <c r="Z67" s="449"/>
      <c r="AA67" s="20"/>
    </row>
    <row r="68" spans="1:27" s="2" customFormat="1" ht="20.100000000000001" customHeight="1" outlineLevel="1" x14ac:dyDescent="0.25">
      <c r="A68" s="446"/>
      <c r="B68" s="1"/>
      <c r="C68" s="1"/>
      <c r="D68" s="1"/>
      <c r="E68" s="1"/>
      <c r="F68" s="447"/>
      <c r="G68" s="450" t="str">
        <f>'Validacao(1)'!C79</f>
        <v/>
      </c>
      <c r="H68" s="419"/>
      <c r="I68" s="419"/>
      <c r="J68" s="419"/>
      <c r="K68" s="20"/>
      <c r="L68" s="20"/>
      <c r="N68" s="25">
        <f>COUNTIF($A$29:A68,"x")</f>
        <v>3</v>
      </c>
      <c r="O68" s="25">
        <f>'Validacao(1)'!B79</f>
        <v>0</v>
      </c>
      <c r="P68" s="25"/>
      <c r="Q68" s="25"/>
      <c r="R68" s="25"/>
      <c r="S68" s="25"/>
      <c r="T68" s="25"/>
      <c r="U68" s="25"/>
      <c r="V68" s="25"/>
      <c r="W68" s="25"/>
      <c r="X68" s="449"/>
      <c r="Y68" s="449"/>
      <c r="Z68" s="449"/>
      <c r="AA68" s="20"/>
    </row>
    <row r="69" spans="1:27" s="2" customFormat="1" ht="20.100000000000001" customHeight="1" outlineLevel="1" x14ac:dyDescent="0.25">
      <c r="A69" s="446"/>
      <c r="B69" s="1"/>
      <c r="C69" s="1"/>
      <c r="D69" s="1"/>
      <c r="E69" s="1"/>
      <c r="F69" s="447"/>
      <c r="G69" s="450" t="str">
        <f>'Validacao(1)'!C80</f>
        <v/>
      </c>
      <c r="H69" s="419"/>
      <c r="I69" s="419"/>
      <c r="J69" s="419"/>
      <c r="K69" s="20"/>
      <c r="L69" s="20"/>
      <c r="N69" s="25">
        <f>COUNTIF($A$29:A69,"x")</f>
        <v>3</v>
      </c>
      <c r="O69" s="25">
        <f>'Validacao(1)'!B80</f>
        <v>0</v>
      </c>
      <c r="P69" s="25"/>
      <c r="Q69" s="25"/>
      <c r="R69" s="25"/>
      <c r="S69" s="25"/>
      <c r="T69" s="25"/>
      <c r="U69" s="25"/>
      <c r="V69" s="25"/>
      <c r="W69" s="25"/>
      <c r="X69" s="449"/>
      <c r="Y69" s="449"/>
      <c r="Z69" s="449"/>
      <c r="AA69" s="20"/>
    </row>
    <row r="70" spans="1:27" s="2" customFormat="1" ht="20.100000000000001" customHeight="1" outlineLevel="1" x14ac:dyDescent="0.25">
      <c r="A70" s="446"/>
      <c r="B70" s="1"/>
      <c r="C70" s="1"/>
      <c r="D70" s="1"/>
      <c r="E70" s="1"/>
      <c r="F70" s="447"/>
      <c r="G70" s="450" t="str">
        <f>'Validacao(1)'!C81</f>
        <v/>
      </c>
      <c r="H70" s="419"/>
      <c r="I70" s="419"/>
      <c r="J70" s="419"/>
      <c r="K70" s="20"/>
      <c r="L70" s="20"/>
      <c r="N70" s="25">
        <f>COUNTIF($A$29:A70,"x")</f>
        <v>3</v>
      </c>
      <c r="O70" s="25">
        <f>'Validacao(1)'!B81</f>
        <v>0</v>
      </c>
      <c r="P70" s="25"/>
      <c r="Q70" s="25"/>
      <c r="R70" s="25"/>
      <c r="S70" s="25"/>
      <c r="T70" s="25"/>
      <c r="U70" s="25"/>
      <c r="V70" s="25"/>
      <c r="W70" s="25"/>
      <c r="X70" s="449"/>
      <c r="Y70" s="449"/>
      <c r="Z70" s="449"/>
      <c r="AA70" s="20"/>
    </row>
    <row r="71" spans="1:27" s="2" customFormat="1" ht="30" customHeight="1" x14ac:dyDescent="0.25">
      <c r="A71" s="446" t="s">
        <v>8576</v>
      </c>
      <c r="B71" s="1"/>
      <c r="C71" s="1"/>
      <c r="D71" s="1"/>
      <c r="E71" s="1"/>
      <c r="F71" s="418"/>
      <c r="G71" s="451" t="str">
        <f ca="1">HYPERLINK(Y71,U71)</f>
        <v>📂 (✓ ) Estudos físico-químicos</v>
      </c>
      <c r="H71" s="419"/>
      <c r="I71" s="419"/>
      <c r="J71" s="419"/>
      <c r="K71" s="20"/>
      <c r="L71" s="20"/>
      <c r="N71" s="442">
        <f>COUNTIF($A$29:A71,"x")</f>
        <v>4</v>
      </c>
      <c r="O71" s="442" t="s">
        <v>10</v>
      </c>
      <c r="P71" s="442" t="s">
        <v>10</v>
      </c>
      <c r="Q71" s="442">
        <f ca="1">SUMIF(N72:$N$633,N71,O72:$O$633)</f>
        <v>0</v>
      </c>
      <c r="R71" s="442">
        <f>SUMIF(N72:$N$633,N71,P72:$P$633)</f>
        <v>0</v>
      </c>
      <c r="S71" s="442">
        <f ca="1">Q71+R71</f>
        <v>0</v>
      </c>
      <c r="T71" s="443" t="s">
        <v>16</v>
      </c>
      <c r="U71" s="443" t="str">
        <f ca="1">$T$4&amp;"("&amp; IF(S71=0,V$23,S71) &amp; ") " &amp; T71</f>
        <v>📂 (✓ ) Estudos físico-químicos</v>
      </c>
      <c r="V71" s="443" t="str">
        <f ca="1">IF(Q71&gt;0,$V$24&amp;Q71,"")</f>
        <v/>
      </c>
      <c r="W71" s="443" t="str">
        <f>IF(R71&gt;0,$V$24&amp;R71,"")</f>
        <v/>
      </c>
      <c r="X71" s="444" t="s">
        <v>6175</v>
      </c>
      <c r="Y71" s="445" t="str">
        <f>$V$19&amp;X71&amp;$V$20</f>
        <v>#'F&amp;Q'!F2</v>
      </c>
      <c r="Z71" s="445"/>
      <c r="AA71" s="20"/>
    </row>
    <row r="72" spans="1:27" s="2" customFormat="1" ht="20.100000000000001" customHeight="1" outlineLevel="1" x14ac:dyDescent="0.25">
      <c r="A72" s="446"/>
      <c r="B72" s="1"/>
      <c r="C72" s="1"/>
      <c r="D72" s="1"/>
      <c r="E72" s="1"/>
      <c r="F72" s="447"/>
      <c r="G72" s="450" t="str">
        <f>'Validacao(1)'!BC6</f>
        <v>Não foram apresentados todos os estudos exigidos pela RDC n. 294/19</v>
      </c>
      <c r="H72" s="20"/>
      <c r="I72" s="20"/>
      <c r="J72" s="419"/>
      <c r="K72" s="20"/>
      <c r="L72" s="20"/>
      <c r="N72" s="25">
        <f>COUNTIF($A$29:A72,"x")</f>
        <v>4</v>
      </c>
      <c r="O72" s="25">
        <f ca="1">'Validacao(1)'!BB6</f>
        <v>0</v>
      </c>
      <c r="P72" s="25"/>
      <c r="Q72" s="25"/>
      <c r="R72" s="25"/>
      <c r="S72" s="25"/>
      <c r="T72" s="25"/>
      <c r="U72" s="25"/>
      <c r="V72" s="25"/>
      <c r="W72" s="25"/>
      <c r="X72" s="449"/>
      <c r="Y72" s="449"/>
      <c r="Z72" s="449"/>
      <c r="AA72" s="20"/>
    </row>
    <row r="73" spans="1:27" s="2" customFormat="1" ht="20.100000000000001" customHeight="1" outlineLevel="1" x14ac:dyDescent="0.25">
      <c r="A73" s="446"/>
      <c r="B73" s="1"/>
      <c r="C73" s="1"/>
      <c r="D73" s="1"/>
      <c r="E73" s="1"/>
      <c r="F73" s="447"/>
      <c r="G73" s="450" t="str">
        <f>'Validacao(1)'!BC7</f>
        <v>A lista de estudos exigidos pela RDC n. 294/19 foi alterada</v>
      </c>
      <c r="H73" s="20"/>
      <c r="I73" s="20"/>
      <c r="J73" s="419"/>
      <c r="K73" s="20"/>
      <c r="L73" s="20"/>
      <c r="N73" s="25">
        <f>COUNTIF($A$29:A73,"x")</f>
        <v>4</v>
      </c>
      <c r="O73" s="25">
        <f ca="1">'Validacao(1)'!BB7</f>
        <v>0</v>
      </c>
      <c r="P73" s="25"/>
      <c r="Q73" s="25"/>
      <c r="R73" s="25"/>
      <c r="S73" s="25"/>
      <c r="T73" s="25"/>
      <c r="U73" s="25"/>
      <c r="V73" s="25"/>
      <c r="W73" s="25"/>
      <c r="X73" s="449"/>
      <c r="Y73" s="449"/>
      <c r="Z73" s="449"/>
      <c r="AA73" s="20"/>
    </row>
    <row r="74" spans="1:27" s="2" customFormat="1" ht="20.100000000000001" customHeight="1" outlineLevel="1" x14ac:dyDescent="0.25">
      <c r="A74" s="446"/>
      <c r="B74" s="1"/>
      <c r="C74" s="1"/>
      <c r="D74" s="1"/>
      <c r="E74" s="1"/>
      <c r="F74" s="447"/>
      <c r="G74" s="450" t="str">
        <f>'Validacao(1)'!BC8</f>
        <v/>
      </c>
      <c r="H74" s="20"/>
      <c r="I74" s="20"/>
      <c r="J74" s="419"/>
      <c r="K74" s="20"/>
      <c r="L74" s="20"/>
      <c r="N74" s="25">
        <f>COUNTIF($A$29:A74,"x")</f>
        <v>4</v>
      </c>
      <c r="O74" s="25">
        <f>'Validacao(1)'!BB8</f>
        <v>0</v>
      </c>
      <c r="P74" s="25"/>
      <c r="Q74" s="25"/>
      <c r="R74" s="25"/>
      <c r="S74" s="25"/>
      <c r="T74" s="25"/>
      <c r="U74" s="25"/>
      <c r="V74" s="25"/>
      <c r="W74" s="25"/>
      <c r="X74" s="449"/>
      <c r="Y74" s="449"/>
      <c r="Z74" s="449"/>
      <c r="AA74" s="20"/>
    </row>
    <row r="75" spans="1:27" s="2" customFormat="1" ht="20.100000000000001" customHeight="1" outlineLevel="1" x14ac:dyDescent="0.25">
      <c r="A75" s="446"/>
      <c r="B75" s="1"/>
      <c r="C75" s="1"/>
      <c r="D75" s="1"/>
      <c r="E75" s="1"/>
      <c r="F75" s="447"/>
      <c r="G75" s="450" t="str">
        <f>'Validacao(1)'!BC9</f>
        <v/>
      </c>
      <c r="H75" s="20"/>
      <c r="I75" s="20"/>
      <c r="J75" s="419"/>
      <c r="K75" s="20"/>
      <c r="L75" s="20"/>
      <c r="N75" s="25">
        <f>COUNTIF($A$29:A75,"x")</f>
        <v>4</v>
      </c>
      <c r="O75" s="25">
        <f>'Validacao(1)'!BB9</f>
        <v>0</v>
      </c>
      <c r="P75" s="25"/>
      <c r="Q75" s="25"/>
      <c r="R75" s="25"/>
      <c r="S75" s="25"/>
      <c r="T75" s="25"/>
      <c r="U75" s="25"/>
      <c r="V75" s="25"/>
      <c r="W75" s="25"/>
      <c r="X75" s="449"/>
      <c r="Y75" s="449"/>
      <c r="Z75" s="449"/>
      <c r="AA75" s="20"/>
    </row>
    <row r="76" spans="1:27" s="2" customFormat="1" ht="20.100000000000001" customHeight="1" outlineLevel="1" x14ac:dyDescent="0.25">
      <c r="A76" s="446"/>
      <c r="B76" s="1"/>
      <c r="C76" s="1"/>
      <c r="D76" s="1"/>
      <c r="E76" s="1"/>
      <c r="F76" s="447"/>
      <c r="G76" s="450" t="str">
        <f>'Validacao(1)'!BC10</f>
        <v/>
      </c>
      <c r="H76" s="20"/>
      <c r="I76" s="20"/>
      <c r="J76" s="419"/>
      <c r="K76" s="20"/>
      <c r="L76" s="20"/>
      <c r="N76" s="25">
        <f>COUNTIF($A$29:A76,"x")</f>
        <v>4</v>
      </c>
      <c r="O76" s="25">
        <f>'Validacao(1)'!BB10</f>
        <v>0</v>
      </c>
      <c r="P76" s="25"/>
      <c r="Q76" s="25"/>
      <c r="R76" s="25"/>
      <c r="S76" s="25"/>
      <c r="T76" s="25"/>
      <c r="U76" s="25"/>
      <c r="V76" s="25"/>
      <c r="W76" s="25"/>
      <c r="X76" s="449"/>
      <c r="Y76" s="449"/>
      <c r="Z76" s="449"/>
      <c r="AA76" s="20"/>
    </row>
    <row r="77" spans="1:27" s="2" customFormat="1" ht="20.100000000000001" customHeight="1" outlineLevel="1" x14ac:dyDescent="0.25">
      <c r="A77" s="446"/>
      <c r="B77" s="1"/>
      <c r="C77" s="1"/>
      <c r="D77" s="1"/>
      <c r="E77" s="1"/>
      <c r="F77" s="447"/>
      <c r="G77" s="450" t="str">
        <f>'Validacao(1)'!BC11</f>
        <v/>
      </c>
      <c r="H77" s="20"/>
      <c r="I77" s="20"/>
      <c r="J77" s="419"/>
      <c r="K77" s="20"/>
      <c r="L77" s="20"/>
      <c r="N77" s="25">
        <f>COUNTIF($A$29:A77,"x")</f>
        <v>4</v>
      </c>
      <c r="O77" s="25">
        <f>'Validacao(1)'!BB11</f>
        <v>0</v>
      </c>
      <c r="P77" s="25"/>
      <c r="Q77" s="25"/>
      <c r="R77" s="25"/>
      <c r="S77" s="25"/>
      <c r="T77" s="25"/>
      <c r="U77" s="25"/>
      <c r="V77" s="25"/>
      <c r="W77" s="25"/>
      <c r="X77" s="449"/>
      <c r="Y77" s="449"/>
      <c r="Z77" s="449"/>
      <c r="AA77" s="20"/>
    </row>
    <row r="78" spans="1:27" s="2" customFormat="1" ht="20.100000000000001" customHeight="1" outlineLevel="1" x14ac:dyDescent="0.25">
      <c r="A78" s="446"/>
      <c r="B78" s="1"/>
      <c r="C78" s="1"/>
      <c r="D78" s="1"/>
      <c r="E78" s="1"/>
      <c r="F78" s="447"/>
      <c r="G78" s="450" t="str">
        <f>'Validacao(1)'!BC12</f>
        <v/>
      </c>
      <c r="H78" s="20"/>
      <c r="I78" s="20"/>
      <c r="J78" s="419"/>
      <c r="K78" s="20"/>
      <c r="L78" s="20"/>
      <c r="N78" s="25">
        <f>COUNTIF($A$29:A78,"x")</f>
        <v>4</v>
      </c>
      <c r="O78" s="25">
        <f>'Validacao(1)'!BB12</f>
        <v>0</v>
      </c>
      <c r="P78" s="25"/>
      <c r="Q78" s="25"/>
      <c r="R78" s="25"/>
      <c r="S78" s="25"/>
      <c r="T78" s="25"/>
      <c r="U78" s="25"/>
      <c r="V78" s="25"/>
      <c r="W78" s="25"/>
      <c r="X78" s="449"/>
      <c r="Y78" s="449"/>
      <c r="Z78" s="449"/>
      <c r="AA78" s="20"/>
    </row>
    <row r="79" spans="1:27" s="2" customFormat="1" ht="20.100000000000001" customHeight="1" outlineLevel="1" x14ac:dyDescent="0.25">
      <c r="A79" s="446"/>
      <c r="B79" s="1"/>
      <c r="C79" s="1"/>
      <c r="D79" s="1"/>
      <c r="E79" s="1"/>
      <c r="F79" s="447"/>
      <c r="G79" s="450" t="str">
        <f>'Validacao(1)'!BC13</f>
        <v/>
      </c>
      <c r="H79" s="20"/>
      <c r="I79" s="20"/>
      <c r="J79" s="419"/>
      <c r="K79" s="20"/>
      <c r="L79" s="20"/>
      <c r="N79" s="25">
        <f>COUNTIF($A$29:A79,"x")</f>
        <v>4</v>
      </c>
      <c r="O79" s="25">
        <f>'Validacao(1)'!BB13</f>
        <v>0</v>
      </c>
      <c r="P79" s="25"/>
      <c r="Q79" s="25"/>
      <c r="R79" s="25"/>
      <c r="S79" s="25"/>
      <c r="T79" s="25"/>
      <c r="U79" s="25"/>
      <c r="V79" s="25"/>
      <c r="W79" s="25"/>
      <c r="X79" s="449"/>
      <c r="Y79" s="449"/>
      <c r="Z79" s="449"/>
      <c r="AA79" s="20"/>
    </row>
    <row r="80" spans="1:27" s="2" customFormat="1" ht="20.100000000000001" customHeight="1" outlineLevel="1" x14ac:dyDescent="0.25">
      <c r="A80" s="446"/>
      <c r="B80" s="1"/>
      <c r="C80" s="1"/>
      <c r="D80" s="1"/>
      <c r="E80" s="1"/>
      <c r="F80" s="447"/>
      <c r="G80" s="450" t="str">
        <f>'Validacao(1)'!BC14</f>
        <v/>
      </c>
      <c r="H80" s="20"/>
      <c r="I80" s="20"/>
      <c r="J80" s="419"/>
      <c r="K80" s="20"/>
      <c r="L80" s="20"/>
      <c r="N80" s="25">
        <f>COUNTIF($A$29:A80,"x")</f>
        <v>4</v>
      </c>
      <c r="O80" s="25">
        <f>'Validacao(1)'!BB14</f>
        <v>0</v>
      </c>
      <c r="P80" s="25"/>
      <c r="Q80" s="25"/>
      <c r="R80" s="25"/>
      <c r="S80" s="25"/>
      <c r="T80" s="25"/>
      <c r="U80" s="25"/>
      <c r="V80" s="25"/>
      <c r="W80" s="25"/>
      <c r="X80" s="449"/>
      <c r="Y80" s="449"/>
      <c r="Z80" s="449"/>
      <c r="AA80" s="20"/>
    </row>
    <row r="81" spans="1:27" s="2" customFormat="1" ht="20.100000000000001" customHeight="1" outlineLevel="1" x14ac:dyDescent="0.25">
      <c r="A81" s="446"/>
      <c r="B81" s="1"/>
      <c r="C81" s="1"/>
      <c r="D81" s="1"/>
      <c r="E81" s="1"/>
      <c r="F81" s="447"/>
      <c r="G81" s="450" t="str">
        <f>'Validacao(1)'!BC15</f>
        <v/>
      </c>
      <c r="H81" s="20"/>
      <c r="I81" s="20"/>
      <c r="J81" s="419"/>
      <c r="K81" s="20"/>
      <c r="L81" s="20"/>
      <c r="N81" s="25">
        <f>COUNTIF($A$29:A81,"x")</f>
        <v>4</v>
      </c>
      <c r="O81" s="25">
        <f>'Validacao(1)'!BB15</f>
        <v>0</v>
      </c>
      <c r="P81" s="25"/>
      <c r="Q81" s="25"/>
      <c r="R81" s="25"/>
      <c r="S81" s="25"/>
      <c r="T81" s="25"/>
      <c r="U81" s="25"/>
      <c r="V81" s="25"/>
      <c r="W81" s="25"/>
      <c r="X81" s="449"/>
      <c r="Y81" s="449"/>
      <c r="Z81" s="449"/>
      <c r="AA81" s="20"/>
    </row>
    <row r="82" spans="1:27" s="2" customFormat="1" ht="20.100000000000001" customHeight="1" outlineLevel="1" x14ac:dyDescent="0.25">
      <c r="A82" s="446"/>
      <c r="B82" s="1"/>
      <c r="C82" s="1"/>
      <c r="D82" s="1"/>
      <c r="E82" s="1"/>
      <c r="F82" s="447"/>
      <c r="G82" s="450" t="str">
        <f>'Validacao(1)'!BC16</f>
        <v/>
      </c>
      <c r="H82" s="20"/>
      <c r="I82" s="20"/>
      <c r="J82" s="419"/>
      <c r="K82" s="20"/>
      <c r="L82" s="20"/>
      <c r="N82" s="25">
        <f>COUNTIF($A$29:A82,"x")</f>
        <v>4</v>
      </c>
      <c r="O82" s="25">
        <f>'Validacao(1)'!BB16</f>
        <v>0</v>
      </c>
      <c r="P82" s="25"/>
      <c r="Q82" s="25"/>
      <c r="R82" s="25"/>
      <c r="S82" s="25"/>
      <c r="T82" s="25"/>
      <c r="U82" s="25"/>
      <c r="V82" s="25"/>
      <c r="W82" s="25"/>
      <c r="X82" s="449"/>
      <c r="Y82" s="449"/>
      <c r="Z82" s="449"/>
      <c r="AA82" s="20"/>
    </row>
    <row r="83" spans="1:27" s="2" customFormat="1" ht="20.100000000000001" customHeight="1" outlineLevel="1" x14ac:dyDescent="0.25">
      <c r="A83" s="446"/>
      <c r="B83" s="1"/>
      <c r="C83" s="1"/>
      <c r="D83" s="1"/>
      <c r="E83" s="1"/>
      <c r="F83" s="447"/>
      <c r="G83" s="450" t="str">
        <f>'Validacao(1)'!BC17</f>
        <v/>
      </c>
      <c r="H83" s="20"/>
      <c r="I83" s="20"/>
      <c r="J83" s="419"/>
      <c r="K83" s="20"/>
      <c r="L83" s="20"/>
      <c r="N83" s="25">
        <f>COUNTIF($A$29:A83,"x")</f>
        <v>4</v>
      </c>
      <c r="O83" s="25">
        <f>'Validacao(1)'!BB17</f>
        <v>0</v>
      </c>
      <c r="P83" s="25"/>
      <c r="Q83" s="25"/>
      <c r="R83" s="25"/>
      <c r="S83" s="25"/>
      <c r="T83" s="25"/>
      <c r="U83" s="25"/>
      <c r="V83" s="25"/>
      <c r="W83" s="25"/>
      <c r="X83" s="449"/>
      <c r="Y83" s="449"/>
      <c r="Z83" s="449"/>
      <c r="AA83" s="20"/>
    </row>
    <row r="84" spans="1:27" s="2" customFormat="1" ht="20.100000000000001" customHeight="1" outlineLevel="1" x14ac:dyDescent="0.25">
      <c r="A84" s="446"/>
      <c r="B84" s="1"/>
      <c r="C84" s="1"/>
      <c r="D84" s="1"/>
      <c r="E84" s="1"/>
      <c r="F84" s="447"/>
      <c r="G84" s="450" t="str">
        <f>'Validacao(1)'!BC18</f>
        <v/>
      </c>
      <c r="H84" s="20"/>
      <c r="I84" s="20"/>
      <c r="J84" s="419"/>
      <c r="K84" s="20"/>
      <c r="L84" s="20"/>
      <c r="N84" s="25">
        <f>COUNTIF($A$29:A84,"x")</f>
        <v>4</v>
      </c>
      <c r="O84" s="25">
        <f>'Validacao(1)'!BB18</f>
        <v>0</v>
      </c>
      <c r="P84" s="25"/>
      <c r="Q84" s="25"/>
      <c r="R84" s="25"/>
      <c r="S84" s="25"/>
      <c r="T84" s="25"/>
      <c r="U84" s="25"/>
      <c r="V84" s="25"/>
      <c r="W84" s="25"/>
      <c r="X84" s="449"/>
      <c r="Y84" s="449"/>
      <c r="Z84" s="449"/>
      <c r="AA84" s="20"/>
    </row>
    <row r="85" spans="1:27" s="2" customFormat="1" ht="20.100000000000001" customHeight="1" outlineLevel="1" x14ac:dyDescent="0.25">
      <c r="A85" s="446"/>
      <c r="B85" s="1"/>
      <c r="C85" s="1"/>
      <c r="D85" s="1"/>
      <c r="E85" s="1"/>
      <c r="F85" s="447"/>
      <c r="G85" s="450" t="str">
        <f>'Validacao(1)'!BC19</f>
        <v/>
      </c>
      <c r="H85" s="20"/>
      <c r="I85" s="20"/>
      <c r="J85" s="419"/>
      <c r="K85" s="20"/>
      <c r="L85" s="20"/>
      <c r="N85" s="25">
        <f>COUNTIF($A$29:A85,"x")</f>
        <v>4</v>
      </c>
      <c r="O85" s="25">
        <f>'Validacao(1)'!BB19</f>
        <v>0</v>
      </c>
      <c r="P85" s="25"/>
      <c r="Q85" s="25"/>
      <c r="R85" s="25"/>
      <c r="S85" s="25"/>
      <c r="T85" s="25"/>
      <c r="U85" s="25"/>
      <c r="V85" s="25"/>
      <c r="W85" s="25"/>
      <c r="X85" s="449"/>
      <c r="Y85" s="449"/>
      <c r="Z85" s="449"/>
      <c r="AA85" s="20"/>
    </row>
    <row r="86" spans="1:27" s="2" customFormat="1" ht="30" customHeight="1" x14ac:dyDescent="0.25">
      <c r="A86" s="446" t="s">
        <v>8576</v>
      </c>
      <c r="B86" s="1"/>
      <c r="C86" s="1"/>
      <c r="D86" s="1"/>
      <c r="E86" s="1"/>
      <c r="F86" s="418"/>
      <c r="G86" s="453" t="str">
        <f ca="1">U86</f>
        <v>📂 (✓ ) Toxicidade oral aguda (Up and Down)</v>
      </c>
      <c r="H86" s="454" t="str">
        <f>HYPERLINK(Y86,$V$17)</f>
        <v>Estudo (1)</v>
      </c>
      <c r="I86" s="455" t="str">
        <f>HYPERLINK(Z86,$V$18)</f>
        <v>Estudo (2)</v>
      </c>
      <c r="J86" s="419"/>
      <c r="K86" s="20"/>
      <c r="L86" s="20"/>
      <c r="N86" s="442">
        <f>COUNTIF($A$29:A86,"x")</f>
        <v>5</v>
      </c>
      <c r="O86" s="442" t="s">
        <v>10</v>
      </c>
      <c r="P86" s="442" t="s">
        <v>10</v>
      </c>
      <c r="Q86" s="442">
        <f ca="1">SUMIF(N87:$N$633,N86,O87:$O$633)</f>
        <v>0</v>
      </c>
      <c r="R86" s="442">
        <f ca="1">SUMIF(N87:$N$633,N86,P87:$P$633)</f>
        <v>0</v>
      </c>
      <c r="S86" s="442">
        <f ca="1">Q86+R86</f>
        <v>0</v>
      </c>
      <c r="T86" s="443" t="s">
        <v>6182</v>
      </c>
      <c r="U86" s="443" t="str">
        <f ca="1">$T$4&amp;"("&amp; IF(S86=0,V$23,S86) &amp; ") " &amp; T86</f>
        <v>📂 (✓ ) Toxicidade oral aguda (Up and Down)</v>
      </c>
      <c r="V86" s="443" t="str">
        <f ca="1">IF(Q86&gt;0,$V$24&amp;Q86,"")</f>
        <v/>
      </c>
      <c r="W86" s="443" t="str">
        <f ca="1">IF(R86&gt;0,$V$24&amp;R86,"")</f>
        <v/>
      </c>
      <c r="X86" s="444" t="s">
        <v>8561</v>
      </c>
      <c r="Y86" s="445" t="str">
        <f>$V$19 &amp; $X86 &amp; V$21 &amp; $V$22 &amp; $V$20</f>
        <v>#'Up&amp;Down(1)'!F2</v>
      </c>
      <c r="Z86" s="445" t="str">
        <f>$V$19 &amp; $X86 &amp; W$21 &amp; $V$22 &amp; $V$20</f>
        <v>#'Up&amp;Down(2)'!F2</v>
      </c>
      <c r="AA86" s="20"/>
    </row>
    <row r="87" spans="1:27" s="2" customFormat="1" ht="20.100000000000001" customHeight="1" outlineLevel="1" x14ac:dyDescent="0.25">
      <c r="A87" s="446"/>
      <c r="B87" s="1"/>
      <c r="C87" s="1"/>
      <c r="D87" s="1"/>
      <c r="E87" s="1"/>
      <c r="F87" s="447"/>
      <c r="G87" s="450" t="str">
        <f>'Validacao(1)'!BC41</f>
        <v>Não foi preenchido o código do estudo</v>
      </c>
      <c r="H87" s="456" t="str">
        <f t="shared" ref="H87:H120" ca="1" si="0">IF(O87=1,"x","")</f>
        <v/>
      </c>
      <c r="I87" s="456" t="str">
        <f t="shared" ref="I87:I120" ca="1" si="1">IF(P87=1,"x","")</f>
        <v/>
      </c>
      <c r="J87" s="419"/>
      <c r="K87" s="20"/>
      <c r="L87" s="20"/>
      <c r="N87" s="25">
        <f>COUNTIF($A$29:A87,"x")</f>
        <v>5</v>
      </c>
      <c r="O87" s="25">
        <f ca="1">'Validacao(1)'!BB41</f>
        <v>0</v>
      </c>
      <c r="P87" s="25">
        <f ca="1">'Validacao(2)'!BB41</f>
        <v>0</v>
      </c>
      <c r="Q87" s="25"/>
      <c r="R87" s="25"/>
      <c r="S87" s="25"/>
      <c r="T87" s="25"/>
      <c r="U87" s="25"/>
      <c r="V87" s="25"/>
      <c r="W87" s="25"/>
      <c r="X87" s="449"/>
      <c r="Y87" s="449"/>
      <c r="Z87" s="449"/>
      <c r="AA87" s="20"/>
    </row>
    <row r="88" spans="1:27" s="2" customFormat="1" ht="20.100000000000001" customHeight="1" outlineLevel="1" x14ac:dyDescent="0.25">
      <c r="A88" s="446"/>
      <c r="B88" s="1"/>
      <c r="C88" s="1"/>
      <c r="D88" s="1"/>
      <c r="E88" s="1"/>
      <c r="F88" s="447"/>
      <c r="G88" s="450" t="str">
        <f>'Validacao(1)'!BC42</f>
        <v>Não foi preenchido o nome do laboratório</v>
      </c>
      <c r="H88" s="456" t="str">
        <f t="shared" ca="1" si="0"/>
        <v/>
      </c>
      <c r="I88" s="456" t="str">
        <f t="shared" ca="1" si="1"/>
        <v/>
      </c>
      <c r="J88" s="419"/>
      <c r="K88" s="20"/>
      <c r="L88" s="20"/>
      <c r="N88" s="25">
        <f>COUNTIF($A$29:A88,"x")</f>
        <v>5</v>
      </c>
      <c r="O88" s="25">
        <f ca="1">'Validacao(1)'!BB42</f>
        <v>0</v>
      </c>
      <c r="P88" s="25">
        <f ca="1">'Validacao(2)'!BB42</f>
        <v>0</v>
      </c>
      <c r="Q88" s="25"/>
      <c r="R88" s="25"/>
      <c r="S88" s="25"/>
      <c r="T88" s="25"/>
      <c r="U88" s="25"/>
      <c r="V88" s="25"/>
      <c r="W88" s="25"/>
      <c r="X88" s="449"/>
      <c r="Y88" s="449"/>
      <c r="Z88" s="449"/>
      <c r="AA88" s="20"/>
    </row>
    <row r="89" spans="1:27" s="2" customFormat="1" ht="20.100000000000001" customHeight="1" outlineLevel="1" x14ac:dyDescent="0.25">
      <c r="A89" s="446"/>
      <c r="B89" s="1"/>
      <c r="C89" s="1"/>
      <c r="D89" s="1"/>
      <c r="E89" s="1"/>
      <c r="F89" s="447"/>
      <c r="G89" s="450" t="str">
        <f>'Validacao(1)'!BC43</f>
        <v>Não foi preenchido se o estudo foi conduzido em laboratório com BPL</v>
      </c>
      <c r="H89" s="456" t="str">
        <f t="shared" ca="1" si="0"/>
        <v/>
      </c>
      <c r="I89" s="456" t="str">
        <f t="shared" ca="1" si="1"/>
        <v/>
      </c>
      <c r="J89" s="419"/>
      <c r="K89" s="20"/>
      <c r="L89" s="20"/>
      <c r="N89" s="25">
        <f>COUNTIF($A$29:A89,"x")</f>
        <v>5</v>
      </c>
      <c r="O89" s="25">
        <f ca="1">'Validacao(1)'!BB43</f>
        <v>0</v>
      </c>
      <c r="P89" s="25">
        <f ca="1">'Validacao(2)'!BB43</f>
        <v>0</v>
      </c>
      <c r="Q89" s="25"/>
      <c r="R89" s="25"/>
      <c r="S89" s="25"/>
      <c r="T89" s="25"/>
      <c r="U89" s="25"/>
      <c r="V89" s="25"/>
      <c r="W89" s="25"/>
      <c r="X89" s="449"/>
      <c r="Y89" s="449"/>
      <c r="Z89" s="449"/>
      <c r="AA89" s="20"/>
    </row>
    <row r="90" spans="1:27" s="2" customFormat="1" ht="20.100000000000001" customHeight="1" outlineLevel="1" x14ac:dyDescent="0.25">
      <c r="A90" s="446"/>
      <c r="B90" s="1"/>
      <c r="C90" s="1"/>
      <c r="D90" s="1"/>
      <c r="E90" s="1"/>
      <c r="F90" s="447"/>
      <c r="G90" s="450" t="str">
        <f>'Validacao(1)'!BC44</f>
        <v>Não foi preenchido o protocolo</v>
      </c>
      <c r="H90" s="456" t="str">
        <f t="shared" ca="1" si="0"/>
        <v/>
      </c>
      <c r="I90" s="456" t="str">
        <f t="shared" ca="1" si="1"/>
        <v/>
      </c>
      <c r="J90" s="419"/>
      <c r="K90" s="20"/>
      <c r="L90" s="20"/>
      <c r="N90" s="25">
        <f>COUNTIF($A$29:A90,"x")</f>
        <v>5</v>
      </c>
      <c r="O90" s="25">
        <f ca="1">'Validacao(1)'!BB44</f>
        <v>0</v>
      </c>
      <c r="P90" s="25">
        <f ca="1">'Validacao(2)'!BB44</f>
        <v>0</v>
      </c>
      <c r="Q90" s="25"/>
      <c r="R90" s="25"/>
      <c r="S90" s="25"/>
      <c r="T90" s="25"/>
      <c r="U90" s="25"/>
      <c r="V90" s="25"/>
      <c r="W90" s="25"/>
      <c r="X90" s="449"/>
      <c r="Y90" s="449"/>
      <c r="Z90" s="449"/>
      <c r="AA90" s="20"/>
    </row>
    <row r="91" spans="1:27" s="2" customFormat="1" ht="20.100000000000001" customHeight="1" outlineLevel="1" x14ac:dyDescent="0.25">
      <c r="A91" s="446"/>
      <c r="B91" s="1"/>
      <c r="C91" s="1"/>
      <c r="D91" s="1"/>
      <c r="E91" s="1"/>
      <c r="F91" s="447"/>
      <c r="G91" s="450" t="str">
        <f>'Validacao(1)'!BC45</f>
        <v>Não foi preenchido a data de início</v>
      </c>
      <c r="H91" s="456" t="str">
        <f t="shared" ca="1" si="0"/>
        <v/>
      </c>
      <c r="I91" s="456" t="str">
        <f t="shared" ca="1" si="1"/>
        <v/>
      </c>
      <c r="J91" s="419"/>
      <c r="K91" s="20"/>
      <c r="L91" s="20"/>
      <c r="N91" s="25">
        <f>COUNTIF($A$29:A91,"x")</f>
        <v>5</v>
      </c>
      <c r="O91" s="25">
        <f ca="1">'Validacao(1)'!BB45</f>
        <v>0</v>
      </c>
      <c r="P91" s="25">
        <f ca="1">'Validacao(2)'!BB45</f>
        <v>0</v>
      </c>
      <c r="Q91" s="25"/>
      <c r="R91" s="25"/>
      <c r="S91" s="25"/>
      <c r="T91" s="25"/>
      <c r="U91" s="25"/>
      <c r="V91" s="25"/>
      <c r="W91" s="25"/>
      <c r="X91" s="449"/>
      <c r="Y91" s="449"/>
      <c r="Z91" s="449"/>
      <c r="AA91" s="20"/>
    </row>
    <row r="92" spans="1:27" s="2" customFormat="1" ht="20.100000000000001" customHeight="1" outlineLevel="1" x14ac:dyDescent="0.25">
      <c r="A92" s="446"/>
      <c r="B92" s="1"/>
      <c r="C92" s="1"/>
      <c r="D92" s="1"/>
      <c r="E92" s="1"/>
      <c r="F92" s="447"/>
      <c r="G92" s="450" t="str">
        <f>'Validacao(1)'!BC46</f>
        <v>Não foi preenchido a data de conclusão</v>
      </c>
      <c r="H92" s="456" t="str">
        <f t="shared" ca="1" si="0"/>
        <v/>
      </c>
      <c r="I92" s="456" t="str">
        <f t="shared" ca="1" si="1"/>
        <v/>
      </c>
      <c r="J92" s="419"/>
      <c r="K92" s="20"/>
      <c r="L92" s="20"/>
      <c r="N92" s="25">
        <f>COUNTIF($A$29:A92,"x")</f>
        <v>5</v>
      </c>
      <c r="O92" s="25">
        <f ca="1">'Validacao(1)'!BB46</f>
        <v>0</v>
      </c>
      <c r="P92" s="25">
        <f ca="1">'Validacao(2)'!BB46</f>
        <v>0</v>
      </c>
      <c r="Q92" s="25"/>
      <c r="R92" s="25"/>
      <c r="S92" s="25"/>
      <c r="T92" s="25"/>
      <c r="U92" s="25"/>
      <c r="V92" s="25"/>
      <c r="W92" s="25"/>
      <c r="X92" s="449"/>
      <c r="Y92" s="449"/>
      <c r="Z92" s="449"/>
      <c r="AA92" s="20"/>
    </row>
    <row r="93" spans="1:27" s="2" customFormat="1" ht="20.100000000000001" customHeight="1" outlineLevel="1" x14ac:dyDescent="0.25">
      <c r="A93" s="446"/>
      <c r="B93" s="1"/>
      <c r="C93" s="1"/>
      <c r="D93" s="1"/>
      <c r="E93" s="1"/>
      <c r="F93" s="447"/>
      <c r="G93" s="450" t="str">
        <f>'Validacao(1)'!BC47</f>
        <v xml:space="preserve">Não foi preenchido o código do certificado de análise </v>
      </c>
      <c r="H93" s="456" t="str">
        <f t="shared" ca="1" si="0"/>
        <v/>
      </c>
      <c r="I93" s="456" t="str">
        <f t="shared" ca="1" si="1"/>
        <v/>
      </c>
      <c r="J93" s="419"/>
      <c r="K93" s="20"/>
      <c r="L93" s="20"/>
      <c r="N93" s="25">
        <f>COUNTIF($A$29:A93,"x")</f>
        <v>5</v>
      </c>
      <c r="O93" s="25">
        <f ca="1">'Validacao(1)'!BB47</f>
        <v>0</v>
      </c>
      <c r="P93" s="25">
        <f ca="1">'Validacao(2)'!BB47</f>
        <v>0</v>
      </c>
      <c r="Q93" s="25"/>
      <c r="R93" s="25"/>
      <c r="S93" s="25"/>
      <c r="T93" s="25"/>
      <c r="U93" s="25"/>
      <c r="V93" s="25"/>
      <c r="W93" s="25"/>
      <c r="X93" s="449"/>
      <c r="Y93" s="449"/>
      <c r="Z93" s="449"/>
      <c r="AA93" s="20"/>
    </row>
    <row r="94" spans="1:27" s="2" customFormat="1" ht="20.100000000000001" customHeight="1" outlineLevel="1" x14ac:dyDescent="0.25">
      <c r="A94" s="446"/>
      <c r="B94" s="1"/>
      <c r="C94" s="1"/>
      <c r="D94" s="1"/>
      <c r="E94" s="1"/>
      <c r="F94" s="447"/>
      <c r="G94" s="450" t="str">
        <f>'Validacao(1)'!BC48</f>
        <v>Não foi preenchido a espécie</v>
      </c>
      <c r="H94" s="456" t="str">
        <f t="shared" ca="1" si="0"/>
        <v/>
      </c>
      <c r="I94" s="456" t="str">
        <f t="shared" ca="1" si="1"/>
        <v/>
      </c>
      <c r="J94" s="419"/>
      <c r="K94" s="20"/>
      <c r="L94" s="20"/>
      <c r="N94" s="25">
        <f>COUNTIF($A$29:A94,"x")</f>
        <v>5</v>
      </c>
      <c r="O94" s="25">
        <f ca="1">'Validacao(1)'!BB48</f>
        <v>0</v>
      </c>
      <c r="P94" s="25">
        <f ca="1">'Validacao(2)'!BB48</f>
        <v>0</v>
      </c>
      <c r="Q94" s="25"/>
      <c r="R94" s="25"/>
      <c r="S94" s="25"/>
      <c r="T94" s="25"/>
      <c r="U94" s="25"/>
      <c r="V94" s="25"/>
      <c r="W94" s="25"/>
      <c r="X94" s="449"/>
      <c r="Y94" s="449"/>
      <c r="Z94" s="449"/>
      <c r="AA94" s="20"/>
    </row>
    <row r="95" spans="1:27" s="2" customFormat="1" ht="20.100000000000001" customHeight="1" outlineLevel="1" x14ac:dyDescent="0.25">
      <c r="A95" s="446"/>
      <c r="B95" s="1"/>
      <c r="C95" s="1"/>
      <c r="D95" s="1"/>
      <c r="E95" s="1"/>
      <c r="F95" s="447"/>
      <c r="G95" s="450" t="str">
        <f>'Validacao(1)'!BC49</f>
        <v>Não foi preenchido a linhagem</v>
      </c>
      <c r="H95" s="456" t="str">
        <f t="shared" ca="1" si="0"/>
        <v/>
      </c>
      <c r="I95" s="456" t="str">
        <f t="shared" ca="1" si="1"/>
        <v/>
      </c>
      <c r="J95" s="419"/>
      <c r="K95" s="20"/>
      <c r="L95" s="20"/>
      <c r="N95" s="25">
        <f>COUNTIF($A$29:A95,"x")</f>
        <v>5</v>
      </c>
      <c r="O95" s="25">
        <f ca="1">'Validacao(1)'!BB49</f>
        <v>0</v>
      </c>
      <c r="P95" s="25">
        <f ca="1">'Validacao(2)'!BB49</f>
        <v>0</v>
      </c>
      <c r="Q95" s="25"/>
      <c r="R95" s="25"/>
      <c r="S95" s="25"/>
      <c r="T95" s="25"/>
      <c r="U95" s="25"/>
      <c r="V95" s="25"/>
      <c r="W95" s="25"/>
      <c r="X95" s="449"/>
      <c r="Y95" s="449"/>
      <c r="Z95" s="449"/>
      <c r="AA95" s="20"/>
    </row>
    <row r="96" spans="1:27" s="2" customFormat="1" ht="20.100000000000001" customHeight="1" outlineLevel="1" x14ac:dyDescent="0.25">
      <c r="A96" s="446"/>
      <c r="B96" s="1"/>
      <c r="C96" s="1"/>
      <c r="D96" s="1"/>
      <c r="E96" s="1"/>
      <c r="F96" s="447"/>
      <c r="G96" s="450" t="str">
        <f>'Validacao(1)'!BC50</f>
        <v>Não foi preenchido o sexo de algum dos animais</v>
      </c>
      <c r="H96" s="456" t="str">
        <f t="shared" ca="1" si="0"/>
        <v/>
      </c>
      <c r="I96" s="456" t="str">
        <f t="shared" ca="1" si="1"/>
        <v/>
      </c>
      <c r="J96" s="419"/>
      <c r="K96" s="20"/>
      <c r="L96" s="20"/>
      <c r="N96" s="25">
        <f>COUNTIF($A$29:A96,"x")</f>
        <v>5</v>
      </c>
      <c r="O96" s="25">
        <f ca="1">'Validacao(1)'!BB50</f>
        <v>0</v>
      </c>
      <c r="P96" s="25">
        <f ca="1">'Validacao(2)'!BB50</f>
        <v>0</v>
      </c>
      <c r="Q96" s="25"/>
      <c r="R96" s="25"/>
      <c r="S96" s="25"/>
      <c r="T96" s="25"/>
      <c r="U96" s="25"/>
      <c r="V96" s="25"/>
      <c r="W96" s="25"/>
      <c r="X96" s="449"/>
      <c r="Y96" s="449"/>
      <c r="Z96" s="449"/>
      <c r="AA96" s="20"/>
    </row>
    <row r="97" spans="1:27" s="2" customFormat="1" ht="20.100000000000001" customHeight="1" outlineLevel="1" x14ac:dyDescent="0.25">
      <c r="A97" s="446"/>
      <c r="B97" s="1"/>
      <c r="C97" s="1"/>
      <c r="D97" s="1"/>
      <c r="E97" s="1"/>
      <c r="F97" s="447"/>
      <c r="G97" s="450" t="str">
        <f>'Validacao(1)'!BC51</f>
        <v>Não foi preenchido o resultado de algum dos animais</v>
      </c>
      <c r="H97" s="456" t="str">
        <f t="shared" ca="1" si="0"/>
        <v/>
      </c>
      <c r="I97" s="456" t="str">
        <f t="shared" ca="1" si="1"/>
        <v/>
      </c>
      <c r="J97" s="419"/>
      <c r="K97" s="20"/>
      <c r="L97" s="20"/>
      <c r="N97" s="25">
        <f>COUNTIF($A$29:A97,"x")</f>
        <v>5</v>
      </c>
      <c r="O97" s="25">
        <f ca="1">'Validacao(1)'!BB51</f>
        <v>0</v>
      </c>
      <c r="P97" s="25">
        <f ca="1">'Validacao(2)'!BB51</f>
        <v>0</v>
      </c>
      <c r="Q97" s="25"/>
      <c r="R97" s="25"/>
      <c r="S97" s="25"/>
      <c r="T97" s="25"/>
      <c r="U97" s="25"/>
      <c r="V97" s="25"/>
      <c r="W97" s="25"/>
      <c r="X97" s="449"/>
      <c r="Y97" s="449"/>
      <c r="Z97" s="449"/>
      <c r="AA97" s="20"/>
    </row>
    <row r="98" spans="1:27" s="2" customFormat="1" ht="20.100000000000001" customHeight="1" outlineLevel="1" x14ac:dyDescent="0.25">
      <c r="A98" s="446"/>
      <c r="B98" s="1"/>
      <c r="C98" s="1"/>
      <c r="D98" s="1"/>
      <c r="E98" s="1"/>
      <c r="F98" s="447"/>
      <c r="G98" s="450">
        <f>'Validacao(1)'!BC52</f>
        <v>0</v>
      </c>
      <c r="H98" s="456" t="str">
        <f t="shared" si="0"/>
        <v/>
      </c>
      <c r="I98" s="456" t="str">
        <f t="shared" ca="1" si="1"/>
        <v/>
      </c>
      <c r="J98" s="419"/>
      <c r="K98" s="20"/>
      <c r="L98" s="20"/>
      <c r="N98" s="25">
        <f>COUNTIF($A$29:A98,"x")</f>
        <v>5</v>
      </c>
      <c r="O98" s="25">
        <f>'Validacao(1)'!BB52</f>
        <v>0</v>
      </c>
      <c r="P98" s="25">
        <f ca="1">'Validacao(2)'!BB52</f>
        <v>0</v>
      </c>
      <c r="Q98" s="25"/>
      <c r="R98" s="25"/>
      <c r="S98" s="25"/>
      <c r="T98" s="25"/>
      <c r="U98" s="25"/>
      <c r="V98" s="25"/>
      <c r="W98" s="25"/>
      <c r="X98" s="449"/>
      <c r="Y98" s="449"/>
      <c r="Z98" s="449"/>
      <c r="AA98" s="20"/>
    </row>
    <row r="99" spans="1:27" s="2" customFormat="1" ht="20.100000000000001" customHeight="1" outlineLevel="1" x14ac:dyDescent="0.25">
      <c r="A99" s="446"/>
      <c r="B99" s="1"/>
      <c r="C99" s="1"/>
      <c r="D99" s="1"/>
      <c r="E99" s="1"/>
      <c r="F99" s="447"/>
      <c r="G99" s="450">
        <f>'Validacao(1)'!BC53</f>
        <v>0</v>
      </c>
      <c r="H99" s="456" t="str">
        <f t="shared" si="0"/>
        <v/>
      </c>
      <c r="I99" s="456" t="str">
        <f t="shared" ca="1" si="1"/>
        <v/>
      </c>
      <c r="J99" s="419"/>
      <c r="K99" s="20"/>
      <c r="L99" s="20"/>
      <c r="N99" s="25">
        <f>COUNTIF($A$29:A99,"x")</f>
        <v>5</v>
      </c>
      <c r="O99" s="25">
        <f>'Validacao(1)'!BB53</f>
        <v>0</v>
      </c>
      <c r="P99" s="25">
        <f ca="1">'Validacao(2)'!BB53</f>
        <v>0</v>
      </c>
      <c r="Q99" s="25"/>
      <c r="R99" s="25"/>
      <c r="S99" s="25"/>
      <c r="T99" s="25"/>
      <c r="U99" s="25"/>
      <c r="V99" s="25"/>
      <c r="W99" s="25"/>
      <c r="X99" s="449"/>
      <c r="Y99" s="449"/>
      <c r="Z99" s="449"/>
      <c r="AA99" s="20"/>
    </row>
    <row r="100" spans="1:27" s="2" customFormat="1" ht="20.100000000000001" customHeight="1" outlineLevel="1" x14ac:dyDescent="0.25">
      <c r="A100" s="446"/>
      <c r="B100" s="1"/>
      <c r="C100" s="1"/>
      <c r="D100" s="1"/>
      <c r="E100" s="1"/>
      <c r="F100" s="447"/>
      <c r="G100" s="450" t="str">
        <f>'Validacao(1)'!BC54</f>
        <v>Não foi preenchida a justificativa pela escolha apenas de machos</v>
      </c>
      <c r="H100" s="456" t="str">
        <f t="shared" ca="1" si="0"/>
        <v/>
      </c>
      <c r="I100" s="456" t="str">
        <f t="shared" ca="1" si="1"/>
        <v/>
      </c>
      <c r="J100" s="419"/>
      <c r="K100" s="20"/>
      <c r="L100" s="20"/>
      <c r="N100" s="25">
        <f>COUNTIF($A$29:A100,"x")</f>
        <v>5</v>
      </c>
      <c r="O100" s="25">
        <f ca="1">'Validacao(1)'!BB54</f>
        <v>0</v>
      </c>
      <c r="P100" s="25">
        <f ca="1">'Validacao(2)'!BB54</f>
        <v>0</v>
      </c>
      <c r="Q100" s="25"/>
      <c r="R100" s="25"/>
      <c r="S100" s="25"/>
      <c r="T100" s="25"/>
      <c r="U100" s="25"/>
      <c r="V100" s="25"/>
      <c r="W100" s="25"/>
      <c r="X100" s="449"/>
      <c r="Y100" s="449"/>
      <c r="Z100" s="449"/>
      <c r="AA100" s="20"/>
    </row>
    <row r="101" spans="1:27" s="2" customFormat="1" ht="20.100000000000001" customHeight="1" outlineLevel="1" x14ac:dyDescent="0.25">
      <c r="A101" s="446"/>
      <c r="B101" s="1"/>
      <c r="C101" s="1"/>
      <c r="D101" s="1"/>
      <c r="E101" s="1"/>
      <c r="F101" s="447"/>
      <c r="G101" s="450" t="str">
        <f>'Validacao(1)'!BC55</f>
        <v>Não foi preenchido o critério de parada</v>
      </c>
      <c r="H101" s="456" t="str">
        <f t="shared" ca="1" si="0"/>
        <v/>
      </c>
      <c r="I101" s="456" t="str">
        <f t="shared" ca="1" si="1"/>
        <v/>
      </c>
      <c r="J101" s="419"/>
      <c r="K101" s="20"/>
      <c r="L101" s="20"/>
      <c r="N101" s="25">
        <f>COUNTIF($A$29:A101,"x")</f>
        <v>5</v>
      </c>
      <c r="O101" s="25">
        <f ca="1">'Validacao(1)'!BB55</f>
        <v>0</v>
      </c>
      <c r="P101" s="25">
        <f ca="1">'Validacao(2)'!BB55</f>
        <v>0</v>
      </c>
      <c r="Q101" s="25"/>
      <c r="R101" s="25"/>
      <c r="S101" s="25"/>
      <c r="T101" s="25"/>
      <c r="U101" s="25"/>
      <c r="V101" s="25"/>
      <c r="W101" s="25"/>
      <c r="X101" s="449"/>
      <c r="Y101" s="449"/>
      <c r="Z101" s="449"/>
      <c r="AA101" s="20"/>
    </row>
    <row r="102" spans="1:27" s="2" customFormat="1" ht="20.100000000000001" customHeight="1" outlineLevel="1" x14ac:dyDescent="0.25">
      <c r="A102" s="446"/>
      <c r="B102" s="1"/>
      <c r="C102" s="1"/>
      <c r="D102" s="1"/>
      <c r="E102" s="1"/>
      <c r="F102" s="447"/>
      <c r="G102" s="450" t="str">
        <f>'Validacao(1)'!BC56</f>
        <v>Não foi especificado o critério de parada</v>
      </c>
      <c r="H102" s="456" t="str">
        <f t="shared" ca="1" si="0"/>
        <v/>
      </c>
      <c r="I102" s="456" t="str">
        <f t="shared" ca="1" si="1"/>
        <v/>
      </c>
      <c r="J102" s="419"/>
      <c r="K102" s="20"/>
      <c r="L102" s="20"/>
      <c r="N102" s="25">
        <f>COUNTIF($A$29:A102,"x")</f>
        <v>5</v>
      </c>
      <c r="O102" s="25">
        <f ca="1">'Validacao(1)'!BB56</f>
        <v>0</v>
      </c>
      <c r="P102" s="25">
        <f ca="1">'Validacao(2)'!BB56</f>
        <v>0</v>
      </c>
      <c r="Q102" s="25"/>
      <c r="R102" s="25"/>
      <c r="S102" s="25"/>
      <c r="T102" s="25"/>
      <c r="U102" s="25"/>
      <c r="V102" s="25"/>
      <c r="W102" s="25"/>
      <c r="X102" s="449"/>
      <c r="Y102" s="449"/>
      <c r="Z102" s="449"/>
      <c r="AA102" s="20"/>
    </row>
    <row r="103" spans="1:27" s="2" customFormat="1" ht="20.100000000000001" customHeight="1" outlineLevel="1" x14ac:dyDescent="0.25">
      <c r="A103" s="446"/>
      <c r="B103" s="1"/>
      <c r="C103" s="1"/>
      <c r="D103" s="1"/>
      <c r="E103" s="1"/>
      <c r="F103" s="447"/>
      <c r="G103" s="450" t="str">
        <f>'Validacao(1)'!BC57</f>
        <v>Não foi preenchido se houve desvio ao protocolo</v>
      </c>
      <c r="H103" s="456" t="str">
        <f t="shared" ca="1" si="0"/>
        <v/>
      </c>
      <c r="I103" s="456" t="str">
        <f t="shared" ca="1" si="1"/>
        <v/>
      </c>
      <c r="J103" s="419"/>
      <c r="K103" s="20"/>
      <c r="L103" s="20"/>
      <c r="N103" s="25">
        <f>COUNTIF($A$29:A103,"x")</f>
        <v>5</v>
      </c>
      <c r="O103" s="25">
        <f ca="1">'Validacao(1)'!BB57</f>
        <v>0</v>
      </c>
      <c r="P103" s="25">
        <f ca="1">'Validacao(2)'!BB57</f>
        <v>0</v>
      </c>
      <c r="Q103" s="25"/>
      <c r="R103" s="25"/>
      <c r="S103" s="25"/>
      <c r="T103" s="25"/>
      <c r="U103" s="25"/>
      <c r="V103" s="25"/>
      <c r="W103" s="25"/>
      <c r="X103" s="449"/>
      <c r="Y103" s="449"/>
      <c r="Z103" s="449"/>
      <c r="AA103" s="20"/>
    </row>
    <row r="104" spans="1:27" s="2" customFormat="1" ht="20.100000000000001" customHeight="1" outlineLevel="1" x14ac:dyDescent="0.25">
      <c r="A104" s="446"/>
      <c r="B104" s="1"/>
      <c r="C104" s="1"/>
      <c r="D104" s="1"/>
      <c r="E104" s="1"/>
      <c r="F104" s="447"/>
      <c r="G104" s="450" t="str">
        <f>'Validacao(1)'!BC58</f>
        <v>Não foi preenchida a DL50 oral</v>
      </c>
      <c r="H104" s="456" t="str">
        <f t="shared" ca="1" si="0"/>
        <v/>
      </c>
      <c r="I104" s="456" t="str">
        <f t="shared" ca="1" si="1"/>
        <v/>
      </c>
      <c r="J104" s="419"/>
      <c r="K104" s="20"/>
      <c r="L104" s="20"/>
      <c r="N104" s="25">
        <f>COUNTIF($A$29:A104,"x")</f>
        <v>5</v>
      </c>
      <c r="O104" s="25">
        <f ca="1">'Validacao(1)'!BB58</f>
        <v>0</v>
      </c>
      <c r="P104" s="25">
        <f ca="1">'Validacao(2)'!BB58</f>
        <v>0</v>
      </c>
      <c r="Q104" s="25"/>
      <c r="R104" s="25"/>
      <c r="S104" s="25"/>
      <c r="T104" s="25"/>
      <c r="U104" s="25"/>
      <c r="V104" s="25"/>
      <c r="W104" s="25"/>
      <c r="X104" s="449"/>
      <c r="Y104" s="449"/>
      <c r="Z104" s="449"/>
      <c r="AA104" s="20"/>
    </row>
    <row r="105" spans="1:27" s="2" customFormat="1" ht="20.100000000000001" customHeight="1" outlineLevel="1" x14ac:dyDescent="0.25">
      <c r="A105" s="446"/>
      <c r="B105" s="1"/>
      <c r="C105" s="1"/>
      <c r="D105" s="1"/>
      <c r="E105" s="1"/>
      <c r="F105" s="447"/>
      <c r="G105" s="450" t="str">
        <f>'Validacao(1)'!BC59</f>
        <v>Não foi preenchida a conclusão</v>
      </c>
      <c r="H105" s="456" t="str">
        <f t="shared" ca="1" si="0"/>
        <v/>
      </c>
      <c r="I105" s="456" t="str">
        <f t="shared" ca="1" si="1"/>
        <v/>
      </c>
      <c r="J105" s="419"/>
      <c r="K105" s="20"/>
      <c r="L105" s="20"/>
      <c r="N105" s="25">
        <f>COUNTIF($A$29:A105,"x")</f>
        <v>5</v>
      </c>
      <c r="O105" s="25">
        <f ca="1">'Validacao(1)'!BB59</f>
        <v>0</v>
      </c>
      <c r="P105" s="25">
        <f ca="1">'Validacao(2)'!BB59</f>
        <v>0</v>
      </c>
      <c r="Q105" s="25"/>
      <c r="R105" s="25"/>
      <c r="S105" s="25"/>
      <c r="T105" s="25"/>
      <c r="U105" s="25"/>
      <c r="V105" s="25"/>
      <c r="W105" s="25"/>
      <c r="X105" s="449"/>
      <c r="Y105" s="449"/>
      <c r="Z105" s="449"/>
      <c r="AA105" s="20"/>
    </row>
    <row r="106" spans="1:27" s="2" customFormat="1" ht="20.100000000000001" customHeight="1" outlineLevel="1" x14ac:dyDescent="0.25">
      <c r="A106" s="446"/>
      <c r="B106" s="1"/>
      <c r="C106" s="1"/>
      <c r="D106" s="1"/>
      <c r="E106" s="1"/>
      <c r="F106" s="447"/>
      <c r="G106" s="450" t="str">
        <f>'Validacao(1)'!BC60</f>
        <v>Estudo conduzido em laboratório sem BPL</v>
      </c>
      <c r="H106" s="456" t="str">
        <f t="shared" ca="1" si="0"/>
        <v/>
      </c>
      <c r="I106" s="456" t="str">
        <f t="shared" ca="1" si="1"/>
        <v/>
      </c>
      <c r="J106" s="419"/>
      <c r="K106" s="20"/>
      <c r="L106" s="20"/>
      <c r="N106" s="25">
        <f>COUNTIF($A$29:A106,"x")</f>
        <v>5</v>
      </c>
      <c r="O106" s="25">
        <f ca="1">'Validacao(1)'!BB60</f>
        <v>0</v>
      </c>
      <c r="P106" s="25">
        <f ca="1">'Validacao(2)'!BB60</f>
        <v>0</v>
      </c>
      <c r="Q106" s="25"/>
      <c r="R106" s="25"/>
      <c r="S106" s="25"/>
      <c r="T106" s="25"/>
      <c r="U106" s="25"/>
      <c r="V106" s="25"/>
      <c r="W106" s="25"/>
      <c r="X106" s="449"/>
      <c r="Y106" s="449"/>
      <c r="Z106" s="449"/>
      <c r="AA106" s="20"/>
    </row>
    <row r="107" spans="1:27" s="2" customFormat="1" ht="20.100000000000001" customHeight="1" outlineLevel="1" x14ac:dyDescent="0.25">
      <c r="A107" s="446"/>
      <c r="B107" s="1"/>
      <c r="C107" s="1"/>
      <c r="D107" s="1"/>
      <c r="E107" s="1"/>
      <c r="F107" s="447"/>
      <c r="G107" s="450" t="str">
        <f>'Validacao(1)'!BC61</f>
        <v>Estudo conduzido apenas com machos (alerta apenas informativo)</v>
      </c>
      <c r="H107" s="456" t="str">
        <f t="shared" ca="1" si="0"/>
        <v/>
      </c>
      <c r="I107" s="456" t="str">
        <f t="shared" ca="1" si="1"/>
        <v/>
      </c>
      <c r="J107" s="419"/>
      <c r="K107" s="20"/>
      <c r="L107" s="20"/>
      <c r="N107" s="25">
        <f>COUNTIF($A$29:A107,"x")</f>
        <v>5</v>
      </c>
      <c r="O107" s="25">
        <f ca="1">'Validacao(1)'!BB61</f>
        <v>0</v>
      </c>
      <c r="P107" s="25">
        <f ca="1">'Validacao(2)'!BB61</f>
        <v>0</v>
      </c>
      <c r="Q107" s="25"/>
      <c r="R107" s="25"/>
      <c r="S107" s="25"/>
      <c r="T107" s="25"/>
      <c r="U107" s="25"/>
      <c r="V107" s="25"/>
      <c r="W107" s="25"/>
      <c r="X107" s="449"/>
      <c r="Y107" s="449"/>
      <c r="Z107" s="449"/>
      <c r="AA107" s="20"/>
    </row>
    <row r="108" spans="1:27" s="2" customFormat="1" ht="20.100000000000001" customHeight="1" outlineLevel="1" x14ac:dyDescent="0.25">
      <c r="A108" s="446"/>
      <c r="B108" s="1"/>
      <c r="C108" s="1"/>
      <c r="D108" s="1"/>
      <c r="E108" s="1"/>
      <c r="F108" s="447"/>
      <c r="G108" s="450" t="str">
        <f>'Validacao(1)'!BC62</f>
        <v>Foram descritos desvios ao protocolo</v>
      </c>
      <c r="H108" s="456" t="str">
        <f t="shared" ca="1" si="0"/>
        <v/>
      </c>
      <c r="I108" s="456" t="str">
        <f t="shared" ca="1" si="1"/>
        <v/>
      </c>
      <c r="J108" s="419"/>
      <c r="K108" s="20"/>
      <c r="L108" s="20"/>
      <c r="N108" s="25">
        <f>COUNTIF($A$29:A108,"x")</f>
        <v>5</v>
      </c>
      <c r="O108" s="25">
        <f ca="1">'Validacao(1)'!BB62</f>
        <v>0</v>
      </c>
      <c r="P108" s="25">
        <f ca="1">'Validacao(2)'!BB62</f>
        <v>0</v>
      </c>
      <c r="Q108" s="25"/>
      <c r="R108" s="25"/>
      <c r="S108" s="25"/>
      <c r="T108" s="25"/>
      <c r="U108" s="25"/>
      <c r="V108" s="25"/>
      <c r="W108" s="25"/>
      <c r="X108" s="449"/>
      <c r="Y108" s="449"/>
      <c r="Z108" s="449"/>
      <c r="AA108" s="20"/>
    </row>
    <row r="109" spans="1:27" s="2" customFormat="1" ht="20.100000000000001" customHeight="1" outlineLevel="1" x14ac:dyDescent="0.25">
      <c r="A109" s="446"/>
      <c r="B109" s="1"/>
      <c r="C109" s="1"/>
      <c r="D109" s="1"/>
      <c r="E109" s="1"/>
      <c r="F109" s="447"/>
      <c r="G109" s="450" t="str">
        <f>'Validacao(1)'!BC63</f>
        <v>Os desvios inteferiram nos resultados</v>
      </c>
      <c r="H109" s="456" t="str">
        <f t="shared" ca="1" si="0"/>
        <v/>
      </c>
      <c r="I109" s="456" t="str">
        <f t="shared" ca="1" si="1"/>
        <v/>
      </c>
      <c r="J109" s="419"/>
      <c r="K109" s="20"/>
      <c r="L109" s="20"/>
      <c r="N109" s="25">
        <f>COUNTIF($A$29:A109,"x")</f>
        <v>5</v>
      </c>
      <c r="O109" s="25">
        <f ca="1">'Validacao(1)'!BB63</f>
        <v>0</v>
      </c>
      <c r="P109" s="25">
        <f ca="1">'Validacao(2)'!BB63</f>
        <v>0</v>
      </c>
      <c r="Q109" s="25"/>
      <c r="R109" s="25"/>
      <c r="S109" s="25"/>
      <c r="T109" s="25"/>
      <c r="U109" s="25"/>
      <c r="V109" s="25"/>
      <c r="W109" s="25"/>
      <c r="X109" s="449"/>
      <c r="Y109" s="449"/>
      <c r="Z109" s="449"/>
      <c r="AA109" s="20"/>
    </row>
    <row r="110" spans="1:27" s="2" customFormat="1" ht="20.100000000000001" customHeight="1" outlineLevel="1" x14ac:dyDescent="0.25">
      <c r="A110" s="446"/>
      <c r="B110" s="1"/>
      <c r="C110" s="1"/>
      <c r="D110" s="1"/>
      <c r="E110" s="1"/>
      <c r="F110" s="447"/>
      <c r="G110" s="450" t="str">
        <f>'Validacao(1)'!BC64</f>
        <v>O certificado não foi preenchido na aba "Certificados"</v>
      </c>
      <c r="H110" s="456" t="str">
        <f t="shared" ca="1" si="0"/>
        <v/>
      </c>
      <c r="I110" s="456" t="str">
        <f t="shared" ca="1" si="1"/>
        <v/>
      </c>
      <c r="J110" s="419"/>
      <c r="K110" s="20"/>
      <c r="L110" s="20"/>
      <c r="N110" s="25">
        <f>COUNTIF($A$29:A110,"x")</f>
        <v>5</v>
      </c>
      <c r="O110" s="25">
        <f ca="1">'Validacao(1)'!BB64</f>
        <v>0</v>
      </c>
      <c r="P110" s="25">
        <f ca="1">'Validacao(2)'!BB64</f>
        <v>0</v>
      </c>
      <c r="Q110" s="25"/>
      <c r="R110" s="25"/>
      <c r="S110" s="25"/>
      <c r="T110" s="25"/>
      <c r="U110" s="25"/>
      <c r="V110" s="25"/>
      <c r="W110" s="25"/>
      <c r="X110" s="449"/>
      <c r="Y110" s="449"/>
      <c r="Z110" s="449"/>
      <c r="AA110" s="20"/>
    </row>
    <row r="111" spans="1:27" s="2" customFormat="1" ht="20.100000000000001" customHeight="1" outlineLevel="1" x14ac:dyDescent="0.25">
      <c r="A111" s="446"/>
      <c r="B111" s="1"/>
      <c r="C111" s="1"/>
      <c r="D111" s="1"/>
      <c r="E111" s="1"/>
      <c r="F111" s="447"/>
      <c r="G111" s="450" t="str">
        <f>'Validacao(1)'!BC65</f>
        <v>Estudo conduzido com amostra vencida</v>
      </c>
      <c r="H111" s="456" t="str">
        <f t="shared" ca="1" si="0"/>
        <v/>
      </c>
      <c r="I111" s="456" t="str">
        <f t="shared" ca="1" si="1"/>
        <v/>
      </c>
      <c r="J111" s="419"/>
      <c r="K111" s="20"/>
      <c r="L111" s="20"/>
      <c r="N111" s="25">
        <f>COUNTIF($A$29:A111,"x")</f>
        <v>5</v>
      </c>
      <c r="O111" s="25">
        <f ca="1">'Validacao(1)'!BB65</f>
        <v>0</v>
      </c>
      <c r="P111" s="25">
        <f ca="1">'Validacao(2)'!BB65</f>
        <v>0</v>
      </c>
      <c r="Q111" s="25"/>
      <c r="R111" s="25"/>
      <c r="S111" s="25"/>
      <c r="T111" s="25"/>
      <c r="U111" s="25"/>
      <c r="V111" s="25"/>
      <c r="W111" s="25"/>
      <c r="X111" s="449"/>
      <c r="Y111" s="449"/>
      <c r="Z111" s="449"/>
      <c r="AA111" s="20"/>
    </row>
    <row r="112" spans="1:27" s="2" customFormat="1" ht="20.100000000000001" customHeight="1" outlineLevel="1" x14ac:dyDescent="0.25">
      <c r="A112" s="446"/>
      <c r="B112" s="1"/>
      <c r="C112" s="1"/>
      <c r="D112" s="1"/>
      <c r="E112" s="1"/>
      <c r="F112" s="447"/>
      <c r="G112" s="450" t="str">
        <f>'Validacao(1)'!BC66</f>
        <v>Estudo conduzido com amostra fora da DCQQ</v>
      </c>
      <c r="H112" s="456" t="str">
        <f t="shared" ca="1" si="0"/>
        <v/>
      </c>
      <c r="I112" s="456" t="str">
        <f t="shared" ca="1" si="1"/>
        <v/>
      </c>
      <c r="J112" s="419"/>
      <c r="K112" s="20"/>
      <c r="L112" s="20"/>
      <c r="N112" s="25">
        <f>COUNTIF($A$29:A112,"x")</f>
        <v>5</v>
      </c>
      <c r="O112" s="25">
        <f ca="1">'Validacao(1)'!BB66</f>
        <v>0</v>
      </c>
      <c r="P112" s="25">
        <f ca="1">'Validacao(2)'!BB66</f>
        <v>0</v>
      </c>
      <c r="Q112" s="25"/>
      <c r="R112" s="25"/>
      <c r="S112" s="25"/>
      <c r="T112" s="25"/>
      <c r="U112" s="25"/>
      <c r="V112" s="25"/>
      <c r="W112" s="25"/>
      <c r="X112" s="449"/>
      <c r="Y112" s="449"/>
      <c r="Z112" s="449"/>
      <c r="AA112" s="20"/>
    </row>
    <row r="113" spans="1:27" s="2" customFormat="1" ht="20.100000000000001" customHeight="1" outlineLevel="1" x14ac:dyDescent="0.25">
      <c r="A113" s="446"/>
      <c r="B113" s="1"/>
      <c r="C113" s="1"/>
      <c r="D113" s="1"/>
      <c r="E113" s="1"/>
      <c r="F113" s="447"/>
      <c r="G113" s="450" t="str">
        <f>'Validacao(1)'!BC67</f>
        <v>Houve sinais de toxicidade nos animais</v>
      </c>
      <c r="H113" s="456" t="str">
        <f t="shared" ca="1" si="0"/>
        <v/>
      </c>
      <c r="I113" s="456" t="str">
        <f t="shared" ca="1" si="1"/>
        <v/>
      </c>
      <c r="J113" s="419"/>
      <c r="K113" s="20"/>
      <c r="L113" s="20"/>
      <c r="N113" s="25">
        <f>COUNTIF($A$29:A113,"x")</f>
        <v>5</v>
      </c>
      <c r="O113" s="25">
        <f ca="1">'Validacao(1)'!BB67</f>
        <v>0</v>
      </c>
      <c r="P113" s="25">
        <f ca="1">'Validacao(2)'!BB67</f>
        <v>0</v>
      </c>
      <c r="Q113" s="25"/>
      <c r="R113" s="25"/>
      <c r="S113" s="25"/>
      <c r="T113" s="25"/>
      <c r="U113" s="25"/>
      <c r="V113" s="25"/>
      <c r="W113" s="25"/>
      <c r="X113" s="449"/>
      <c r="Y113" s="449"/>
      <c r="Z113" s="449"/>
      <c r="AA113" s="20"/>
    </row>
    <row r="114" spans="1:27" s="2" customFormat="1" ht="20.100000000000001" customHeight="1" outlineLevel="1" x14ac:dyDescent="0.25">
      <c r="A114" s="446"/>
      <c r="B114" s="1"/>
      <c r="C114" s="1"/>
      <c r="D114" s="1"/>
      <c r="E114" s="1"/>
      <c r="F114" s="447"/>
      <c r="G114" s="450" t="str">
        <f>'Validacao(1)'!BC68</f>
        <v/>
      </c>
      <c r="H114" s="456" t="str">
        <f t="shared" si="0"/>
        <v/>
      </c>
      <c r="I114" s="456" t="str">
        <f t="shared" si="1"/>
        <v/>
      </c>
      <c r="J114" s="419"/>
      <c r="K114" s="20"/>
      <c r="L114" s="20"/>
      <c r="N114" s="25">
        <f>COUNTIF($A$29:A114,"x")</f>
        <v>5</v>
      </c>
      <c r="O114" s="25">
        <f>'Validacao(1)'!BB68</f>
        <v>0</v>
      </c>
      <c r="P114" s="25">
        <f>'Validacao(2)'!BB68</f>
        <v>0</v>
      </c>
      <c r="Q114" s="25"/>
      <c r="R114" s="25"/>
      <c r="S114" s="25"/>
      <c r="T114" s="25"/>
      <c r="U114" s="25"/>
      <c r="V114" s="25"/>
      <c r="W114" s="25"/>
      <c r="X114" s="449"/>
      <c r="Y114" s="449"/>
      <c r="Z114" s="449"/>
      <c r="AA114" s="20"/>
    </row>
    <row r="115" spans="1:27" s="2" customFormat="1" ht="20.100000000000001" customHeight="1" outlineLevel="1" x14ac:dyDescent="0.25">
      <c r="A115" s="446"/>
      <c r="B115" s="1"/>
      <c r="C115" s="1"/>
      <c r="D115" s="1"/>
      <c r="E115" s="1"/>
      <c r="F115" s="447"/>
      <c r="G115" s="450" t="str">
        <f>'Validacao(1)'!BC69</f>
        <v/>
      </c>
      <c r="H115" s="456" t="str">
        <f t="shared" si="0"/>
        <v/>
      </c>
      <c r="I115" s="456" t="str">
        <f t="shared" si="1"/>
        <v/>
      </c>
      <c r="J115" s="419"/>
      <c r="K115" s="20"/>
      <c r="L115" s="20"/>
      <c r="N115" s="25">
        <f>COUNTIF($A$29:A115,"x")</f>
        <v>5</v>
      </c>
      <c r="O115" s="25">
        <f>'Validacao(1)'!BB69</f>
        <v>0</v>
      </c>
      <c r="P115" s="25">
        <f>'Validacao(2)'!BB69</f>
        <v>0</v>
      </c>
      <c r="Q115" s="25"/>
      <c r="R115" s="25"/>
      <c r="S115" s="25"/>
      <c r="T115" s="25"/>
      <c r="U115" s="25"/>
      <c r="V115" s="25"/>
      <c r="W115" s="25"/>
      <c r="X115" s="449"/>
      <c r="Y115" s="449"/>
      <c r="Z115" s="449"/>
      <c r="AA115" s="20"/>
    </row>
    <row r="116" spans="1:27" s="2" customFormat="1" ht="20.100000000000001" customHeight="1" outlineLevel="1" x14ac:dyDescent="0.25">
      <c r="A116" s="446"/>
      <c r="B116" s="1"/>
      <c r="C116" s="1"/>
      <c r="D116" s="1"/>
      <c r="E116" s="1"/>
      <c r="F116" s="447"/>
      <c r="G116" s="450" t="str">
        <f>'Validacao(1)'!BC70</f>
        <v/>
      </c>
      <c r="H116" s="456" t="str">
        <f t="shared" si="0"/>
        <v/>
      </c>
      <c r="I116" s="456" t="str">
        <f t="shared" si="1"/>
        <v/>
      </c>
      <c r="J116" s="419"/>
      <c r="K116" s="20"/>
      <c r="L116" s="20"/>
      <c r="N116" s="25">
        <f>COUNTIF($A$29:A116,"x")</f>
        <v>5</v>
      </c>
      <c r="O116" s="25">
        <f>'Validacao(1)'!BB70</f>
        <v>0</v>
      </c>
      <c r="P116" s="25">
        <f>'Validacao(2)'!BB70</f>
        <v>0</v>
      </c>
      <c r="Q116" s="25"/>
      <c r="R116" s="25"/>
      <c r="S116" s="25"/>
      <c r="T116" s="25"/>
      <c r="U116" s="25"/>
      <c r="V116" s="25"/>
      <c r="W116" s="25"/>
      <c r="X116" s="449"/>
      <c r="Y116" s="449"/>
      <c r="Z116" s="449"/>
      <c r="AA116" s="20"/>
    </row>
    <row r="117" spans="1:27" s="2" customFormat="1" ht="20.100000000000001" customHeight="1" outlineLevel="1" x14ac:dyDescent="0.25">
      <c r="A117" s="446"/>
      <c r="B117" s="1"/>
      <c r="C117" s="1"/>
      <c r="D117" s="1"/>
      <c r="E117" s="1"/>
      <c r="F117" s="447"/>
      <c r="G117" s="450" t="str">
        <f>'Validacao(1)'!BC71</f>
        <v/>
      </c>
      <c r="H117" s="456" t="str">
        <f t="shared" si="0"/>
        <v/>
      </c>
      <c r="I117" s="456" t="str">
        <f t="shared" si="1"/>
        <v/>
      </c>
      <c r="J117" s="419"/>
      <c r="K117" s="20"/>
      <c r="L117" s="20"/>
      <c r="N117" s="25">
        <f>COUNTIF($A$29:A117,"x")</f>
        <v>5</v>
      </c>
      <c r="O117" s="25">
        <f>'Validacao(1)'!BB71</f>
        <v>0</v>
      </c>
      <c r="P117" s="25">
        <f>'Validacao(2)'!BB71</f>
        <v>0</v>
      </c>
      <c r="Q117" s="25"/>
      <c r="R117" s="25"/>
      <c r="S117" s="25"/>
      <c r="T117" s="25"/>
      <c r="U117" s="25"/>
      <c r="V117" s="25"/>
      <c r="W117" s="25"/>
      <c r="X117" s="449"/>
      <c r="Y117" s="449"/>
      <c r="Z117" s="449"/>
      <c r="AA117" s="20"/>
    </row>
    <row r="118" spans="1:27" s="2" customFormat="1" ht="20.100000000000001" customHeight="1" outlineLevel="1" x14ac:dyDescent="0.25">
      <c r="A118" s="446"/>
      <c r="B118" s="1"/>
      <c r="C118" s="1"/>
      <c r="D118" s="1"/>
      <c r="E118" s="1"/>
      <c r="F118" s="447"/>
      <c r="G118" s="450" t="str">
        <f>'Validacao(1)'!BC72</f>
        <v/>
      </c>
      <c r="H118" s="456" t="str">
        <f t="shared" si="0"/>
        <v/>
      </c>
      <c r="I118" s="456" t="str">
        <f t="shared" si="1"/>
        <v/>
      </c>
      <c r="J118" s="419"/>
      <c r="K118" s="20"/>
      <c r="L118" s="20"/>
      <c r="N118" s="25">
        <f>COUNTIF($A$29:A118,"x")</f>
        <v>5</v>
      </c>
      <c r="O118" s="25">
        <f>'Validacao(1)'!BB72</f>
        <v>0</v>
      </c>
      <c r="P118" s="25">
        <f>'Validacao(2)'!BB72</f>
        <v>0</v>
      </c>
      <c r="Q118" s="25"/>
      <c r="R118" s="25"/>
      <c r="S118" s="25"/>
      <c r="T118" s="25"/>
      <c r="U118" s="25"/>
      <c r="V118" s="25"/>
      <c r="W118" s="25"/>
      <c r="X118" s="449"/>
      <c r="Y118" s="449"/>
      <c r="Z118" s="449"/>
      <c r="AA118" s="20"/>
    </row>
    <row r="119" spans="1:27" s="2" customFormat="1" ht="20.100000000000001" customHeight="1" outlineLevel="1" x14ac:dyDescent="0.25">
      <c r="A119" s="446"/>
      <c r="B119" s="1"/>
      <c r="C119" s="1"/>
      <c r="D119" s="1"/>
      <c r="E119" s="1"/>
      <c r="F119" s="447"/>
      <c r="G119" s="450" t="str">
        <f>'Validacao(1)'!BC73</f>
        <v/>
      </c>
      <c r="H119" s="456" t="str">
        <f t="shared" si="0"/>
        <v/>
      </c>
      <c r="I119" s="456" t="str">
        <f t="shared" si="1"/>
        <v/>
      </c>
      <c r="J119" s="419"/>
      <c r="K119" s="20"/>
      <c r="L119" s="20"/>
      <c r="N119" s="25">
        <f>COUNTIF($A$29:A119,"x")</f>
        <v>5</v>
      </c>
      <c r="O119" s="25">
        <f>'Validacao(1)'!BB73</f>
        <v>0</v>
      </c>
      <c r="P119" s="25">
        <f>'Validacao(2)'!BB73</f>
        <v>0</v>
      </c>
      <c r="Q119" s="25"/>
      <c r="R119" s="25"/>
      <c r="S119" s="25"/>
      <c r="T119" s="25"/>
      <c r="U119" s="25"/>
      <c r="V119" s="25"/>
      <c r="W119" s="25"/>
      <c r="X119" s="449"/>
      <c r="Y119" s="449"/>
      <c r="Z119" s="449"/>
      <c r="AA119" s="20"/>
    </row>
    <row r="120" spans="1:27" s="2" customFormat="1" ht="20.100000000000001" customHeight="1" outlineLevel="1" x14ac:dyDescent="0.25">
      <c r="A120" s="446"/>
      <c r="B120" s="1"/>
      <c r="C120" s="1"/>
      <c r="D120" s="1"/>
      <c r="E120" s="1"/>
      <c r="F120" s="447"/>
      <c r="G120" s="450" t="str">
        <f>'Validacao(1)'!BC74</f>
        <v/>
      </c>
      <c r="H120" s="456" t="str">
        <f t="shared" si="0"/>
        <v/>
      </c>
      <c r="I120" s="456" t="str">
        <f t="shared" si="1"/>
        <v/>
      </c>
      <c r="J120" s="419"/>
      <c r="K120" s="20"/>
      <c r="L120" s="20"/>
      <c r="N120" s="25">
        <f>COUNTIF($A$29:A120,"x")</f>
        <v>5</v>
      </c>
      <c r="O120" s="25">
        <f>'Validacao(1)'!BB74</f>
        <v>0</v>
      </c>
      <c r="P120" s="25">
        <f>'Validacao(2)'!BB74</f>
        <v>0</v>
      </c>
      <c r="Q120" s="25"/>
      <c r="R120" s="25"/>
      <c r="S120" s="25"/>
      <c r="T120" s="25"/>
      <c r="U120" s="25"/>
      <c r="V120" s="25"/>
      <c r="W120" s="25"/>
      <c r="X120" s="449"/>
      <c r="Y120" s="449"/>
      <c r="Z120" s="449"/>
      <c r="AA120" s="20"/>
    </row>
    <row r="121" spans="1:27" s="2" customFormat="1" ht="30" customHeight="1" x14ac:dyDescent="0.25">
      <c r="A121" s="446" t="s">
        <v>8576</v>
      </c>
      <c r="B121" s="1"/>
      <c r="C121" s="1"/>
      <c r="D121" s="1"/>
      <c r="E121" s="1"/>
      <c r="F121" s="418"/>
      <c r="G121" s="453" t="str">
        <f ca="1">U121</f>
        <v>📂 (✓ ) Toxicidade oral aguda (Outros protocolos)</v>
      </c>
      <c r="H121" s="454" t="str">
        <f>HYPERLINK(Y121,$V$17)</f>
        <v>Estudo (1)</v>
      </c>
      <c r="I121" s="455" t="str">
        <f>HYPERLINK(Z121,$V$18)</f>
        <v>Estudo (2)</v>
      </c>
      <c r="J121" s="419"/>
      <c r="K121" s="20"/>
      <c r="L121" s="20"/>
      <c r="N121" s="442">
        <f>COUNTIF($A$29:A121,"x")</f>
        <v>6</v>
      </c>
      <c r="O121" s="442" t="s">
        <v>10</v>
      </c>
      <c r="P121" s="442" t="s">
        <v>10</v>
      </c>
      <c r="Q121" s="442">
        <f ca="1">SUMIF(N122:$N$633,N121,O122:$O$633)</f>
        <v>0</v>
      </c>
      <c r="R121" s="442">
        <f ca="1">SUMIF(N122:$N$633,N121,P122:$P$633)</f>
        <v>0</v>
      </c>
      <c r="S121" s="442">
        <f ca="1">Q121+R121</f>
        <v>0</v>
      </c>
      <c r="T121" s="443" t="s">
        <v>6214</v>
      </c>
      <c r="U121" s="443" t="str">
        <f ca="1">$T$4&amp;"("&amp; IF(S121=0,V$23,S121) &amp; ") " &amp; T121</f>
        <v>📂 (✓ ) Toxicidade oral aguda (Outros protocolos)</v>
      </c>
      <c r="V121" s="443" t="str">
        <f ca="1">IF(Q121&gt;0,$V$24&amp;Q121,"")</f>
        <v/>
      </c>
      <c r="W121" s="443" t="str">
        <f ca="1">IF(R121&gt;0,$V$24&amp;R121,"")</f>
        <v/>
      </c>
      <c r="X121" s="444" t="s">
        <v>8569</v>
      </c>
      <c r="Y121" s="445" t="str">
        <f>$V$19 &amp; $X121 &amp; V$21 &amp; $V$22 &amp; $V$20</f>
        <v>#'Dl50_Oral(1)'!F2</v>
      </c>
      <c r="Z121" s="445" t="str">
        <f>$V$19 &amp; $X121 &amp; W$21 &amp; $V$22 &amp; $V$20</f>
        <v>#'Dl50_Oral(2)'!F2</v>
      </c>
      <c r="AA121" s="20"/>
    </row>
    <row r="122" spans="1:27" s="2" customFormat="1" ht="20.100000000000001" customHeight="1" outlineLevel="1" x14ac:dyDescent="0.25">
      <c r="A122" s="446"/>
      <c r="B122" s="1"/>
      <c r="C122" s="1"/>
      <c r="D122" s="1"/>
      <c r="E122" s="1"/>
      <c r="F122" s="447"/>
      <c r="G122" s="450" t="str">
        <f>'Validacao(1)'!BC76</f>
        <v>Não foi preenchido o código do estudo</v>
      </c>
      <c r="H122" s="456" t="str">
        <f t="shared" ref="H122:H151" ca="1" si="2">IF(O122=1,"x","")</f>
        <v/>
      </c>
      <c r="I122" s="456" t="str">
        <f t="shared" ref="I122:I151" ca="1" si="3">IF(P122=1,"x","")</f>
        <v/>
      </c>
      <c r="J122" s="419"/>
      <c r="K122" s="20"/>
      <c r="L122" s="20"/>
      <c r="N122" s="25">
        <f>COUNTIF($A$29:A122,"x")</f>
        <v>6</v>
      </c>
      <c r="O122" s="25">
        <f ca="1">'Validacao(1)'!BB76</f>
        <v>0</v>
      </c>
      <c r="P122" s="25">
        <f ca="1">'Validacao(2)'!BB76</f>
        <v>0</v>
      </c>
      <c r="Q122" s="25"/>
      <c r="R122" s="25"/>
      <c r="S122" s="25"/>
      <c r="T122" s="25"/>
      <c r="U122" s="25"/>
      <c r="V122" s="25"/>
      <c r="W122" s="25"/>
      <c r="X122" s="449"/>
      <c r="Y122" s="449"/>
      <c r="Z122" s="449"/>
      <c r="AA122" s="20"/>
    </row>
    <row r="123" spans="1:27" s="2" customFormat="1" ht="20.100000000000001" customHeight="1" outlineLevel="1" x14ac:dyDescent="0.25">
      <c r="A123" s="446"/>
      <c r="B123" s="1"/>
      <c r="C123" s="1"/>
      <c r="D123" s="1"/>
      <c r="E123" s="1"/>
      <c r="F123" s="447" t="s">
        <v>6554</v>
      </c>
      <c r="G123" s="450" t="str">
        <f>'Validacao(1)'!BC77</f>
        <v>Não foi preenchido o nome do laboratório</v>
      </c>
      <c r="H123" s="456" t="str">
        <f t="shared" ca="1" si="2"/>
        <v/>
      </c>
      <c r="I123" s="456" t="str">
        <f t="shared" ca="1" si="3"/>
        <v/>
      </c>
      <c r="J123" s="419"/>
      <c r="K123" s="20"/>
      <c r="L123" s="20"/>
      <c r="N123" s="25">
        <f>COUNTIF($A$29:A123,"x")</f>
        <v>6</v>
      </c>
      <c r="O123" s="25">
        <f ca="1">'Validacao(1)'!BB77</f>
        <v>0</v>
      </c>
      <c r="P123" s="25">
        <f ca="1">'Validacao(2)'!BB77</f>
        <v>0</v>
      </c>
      <c r="Q123" s="25"/>
      <c r="R123" s="25"/>
      <c r="S123" s="25"/>
      <c r="T123" s="25"/>
      <c r="U123" s="25"/>
      <c r="V123" s="25"/>
      <c r="W123" s="25"/>
      <c r="X123" s="449"/>
      <c r="Y123" s="449"/>
      <c r="Z123" s="449"/>
      <c r="AA123" s="20"/>
    </row>
    <row r="124" spans="1:27" s="2" customFormat="1" ht="20.100000000000001" customHeight="1" outlineLevel="1" x14ac:dyDescent="0.25">
      <c r="A124" s="446"/>
      <c r="B124" s="1"/>
      <c r="C124" s="1"/>
      <c r="D124" s="1"/>
      <c r="E124" s="1"/>
      <c r="F124" s="447" t="s">
        <v>6555</v>
      </c>
      <c r="G124" s="450" t="str">
        <f>'Validacao(1)'!BC78</f>
        <v>Não foi preenchido se o estudo foi conduzido em laboratório com BPL</v>
      </c>
      <c r="H124" s="456" t="str">
        <f t="shared" ca="1" si="2"/>
        <v/>
      </c>
      <c r="I124" s="456" t="str">
        <f t="shared" ca="1" si="3"/>
        <v/>
      </c>
      <c r="J124" s="419"/>
      <c r="K124" s="20"/>
      <c r="L124" s="20"/>
      <c r="N124" s="25">
        <f>COUNTIF($A$29:A124,"x")</f>
        <v>6</v>
      </c>
      <c r="O124" s="25">
        <f ca="1">'Validacao(1)'!BB78</f>
        <v>0</v>
      </c>
      <c r="P124" s="25">
        <f ca="1">'Validacao(2)'!BB78</f>
        <v>0</v>
      </c>
      <c r="Q124" s="25"/>
      <c r="R124" s="25"/>
      <c r="S124" s="25"/>
      <c r="T124" s="25"/>
      <c r="U124" s="25"/>
      <c r="V124" s="25"/>
      <c r="W124" s="25"/>
      <c r="X124" s="449"/>
      <c r="Y124" s="449"/>
      <c r="Z124" s="449"/>
      <c r="AA124" s="20"/>
    </row>
    <row r="125" spans="1:27" s="2" customFormat="1" ht="20.100000000000001" customHeight="1" outlineLevel="1" x14ac:dyDescent="0.25">
      <c r="A125" s="446"/>
      <c r="B125" s="1"/>
      <c r="C125" s="1"/>
      <c r="D125" s="1"/>
      <c r="E125" s="1"/>
      <c r="F125" s="447" t="s">
        <v>6556</v>
      </c>
      <c r="G125" s="450" t="str">
        <f>'Validacao(1)'!BC79</f>
        <v>Não foi preenchido o protocolo</v>
      </c>
      <c r="H125" s="456" t="str">
        <f t="shared" ca="1" si="2"/>
        <v/>
      </c>
      <c r="I125" s="456" t="str">
        <f t="shared" ca="1" si="3"/>
        <v/>
      </c>
      <c r="J125" s="419"/>
      <c r="K125" s="20"/>
      <c r="L125" s="20"/>
      <c r="N125" s="25">
        <f>COUNTIF($A$29:A125,"x")</f>
        <v>6</v>
      </c>
      <c r="O125" s="25">
        <f ca="1">'Validacao(1)'!BB79</f>
        <v>0</v>
      </c>
      <c r="P125" s="25">
        <f ca="1">'Validacao(2)'!BB79</f>
        <v>0</v>
      </c>
      <c r="Q125" s="25"/>
      <c r="R125" s="25"/>
      <c r="S125" s="25"/>
      <c r="T125" s="25"/>
      <c r="U125" s="25"/>
      <c r="V125" s="25"/>
      <c r="W125" s="25"/>
      <c r="X125" s="449"/>
      <c r="Y125" s="449"/>
      <c r="Z125" s="449"/>
      <c r="AA125" s="20"/>
    </row>
    <row r="126" spans="1:27" s="2" customFormat="1" ht="20.100000000000001" customHeight="1" outlineLevel="1" x14ac:dyDescent="0.25">
      <c r="A126" s="446"/>
      <c r="B126" s="1"/>
      <c r="C126" s="1"/>
      <c r="D126" s="1"/>
      <c r="E126" s="1"/>
      <c r="F126" s="447" t="s">
        <v>6557</v>
      </c>
      <c r="G126" s="450" t="str">
        <f>'Validacao(1)'!BC80</f>
        <v>Não foi preenchido a data de início</v>
      </c>
      <c r="H126" s="456" t="str">
        <f t="shared" ca="1" si="2"/>
        <v/>
      </c>
      <c r="I126" s="456" t="str">
        <f t="shared" ca="1" si="3"/>
        <v/>
      </c>
      <c r="J126" s="419"/>
      <c r="K126" s="20"/>
      <c r="L126" s="20"/>
      <c r="N126" s="25">
        <f>COUNTIF($A$29:A126,"x")</f>
        <v>6</v>
      </c>
      <c r="O126" s="25">
        <f ca="1">'Validacao(1)'!BB80</f>
        <v>0</v>
      </c>
      <c r="P126" s="25">
        <f ca="1">'Validacao(2)'!BB80</f>
        <v>0</v>
      </c>
      <c r="Q126" s="25"/>
      <c r="R126" s="25"/>
      <c r="S126" s="25"/>
      <c r="T126" s="25"/>
      <c r="U126" s="25"/>
      <c r="V126" s="25"/>
      <c r="W126" s="25"/>
      <c r="X126" s="449"/>
      <c r="Y126" s="449"/>
      <c r="Z126" s="449"/>
      <c r="AA126" s="20"/>
    </row>
    <row r="127" spans="1:27" s="2" customFormat="1" ht="20.100000000000001" customHeight="1" outlineLevel="1" x14ac:dyDescent="0.25">
      <c r="A127" s="446"/>
      <c r="B127" s="1"/>
      <c r="C127" s="1"/>
      <c r="D127" s="1"/>
      <c r="E127" s="1"/>
      <c r="F127" s="447" t="s">
        <v>6558</v>
      </c>
      <c r="G127" s="450" t="str">
        <f>'Validacao(1)'!BC81</f>
        <v>Não foi preenchido a data de conclusão</v>
      </c>
      <c r="H127" s="456" t="str">
        <f t="shared" ca="1" si="2"/>
        <v/>
      </c>
      <c r="I127" s="456" t="str">
        <f t="shared" ca="1" si="3"/>
        <v/>
      </c>
      <c r="J127" s="419"/>
      <c r="K127" s="20"/>
      <c r="L127" s="20"/>
      <c r="N127" s="25">
        <f>COUNTIF($A$29:A127,"x")</f>
        <v>6</v>
      </c>
      <c r="O127" s="25">
        <f ca="1">'Validacao(1)'!BB81</f>
        <v>0</v>
      </c>
      <c r="P127" s="25">
        <f ca="1">'Validacao(2)'!BB81</f>
        <v>0</v>
      </c>
      <c r="Q127" s="25"/>
      <c r="R127" s="25"/>
      <c r="S127" s="25"/>
      <c r="T127" s="25"/>
      <c r="U127" s="25"/>
      <c r="V127" s="25"/>
      <c r="W127" s="25"/>
      <c r="X127" s="449"/>
      <c r="Y127" s="449"/>
      <c r="Z127" s="449"/>
      <c r="AA127" s="20"/>
    </row>
    <row r="128" spans="1:27" s="2" customFormat="1" ht="20.100000000000001" customHeight="1" outlineLevel="1" x14ac:dyDescent="0.25">
      <c r="A128" s="446"/>
      <c r="B128" s="1"/>
      <c r="C128" s="1"/>
      <c r="D128" s="1"/>
      <c r="E128" s="1"/>
      <c r="F128" s="447" t="s">
        <v>6559</v>
      </c>
      <c r="G128" s="450" t="str">
        <f>'Validacao(1)'!BC82</f>
        <v xml:space="preserve">Não foi preenchido o código do certificado de análise </v>
      </c>
      <c r="H128" s="456" t="str">
        <f t="shared" ca="1" si="2"/>
        <v/>
      </c>
      <c r="I128" s="456" t="str">
        <f t="shared" ca="1" si="3"/>
        <v/>
      </c>
      <c r="J128" s="419"/>
      <c r="K128" s="20"/>
      <c r="L128" s="20"/>
      <c r="N128" s="25">
        <f>COUNTIF($A$29:A128,"x")</f>
        <v>6</v>
      </c>
      <c r="O128" s="25">
        <f ca="1">'Validacao(1)'!BB82</f>
        <v>0</v>
      </c>
      <c r="P128" s="25">
        <f ca="1">'Validacao(2)'!BB82</f>
        <v>0</v>
      </c>
      <c r="Q128" s="25"/>
      <c r="R128" s="25"/>
      <c r="S128" s="25"/>
      <c r="T128" s="25"/>
      <c r="U128" s="25"/>
      <c r="V128" s="25"/>
      <c r="W128" s="25"/>
      <c r="X128" s="449"/>
      <c r="Y128" s="449"/>
      <c r="Z128" s="449"/>
      <c r="AA128" s="20"/>
    </row>
    <row r="129" spans="1:27" s="2" customFormat="1" ht="20.100000000000001" customHeight="1" outlineLevel="1" x14ac:dyDescent="0.25">
      <c r="A129" s="446"/>
      <c r="B129" s="1"/>
      <c r="C129" s="1"/>
      <c r="D129" s="1"/>
      <c r="E129" s="1"/>
      <c r="F129" s="447" t="s">
        <v>6560</v>
      </c>
      <c r="G129" s="450" t="str">
        <f>'Validacao(1)'!BC83</f>
        <v>Não foi preenchido a espécie</v>
      </c>
      <c r="H129" s="456" t="str">
        <f t="shared" ca="1" si="2"/>
        <v/>
      </c>
      <c r="I129" s="456" t="str">
        <f t="shared" ca="1" si="3"/>
        <v/>
      </c>
      <c r="J129" s="419"/>
      <c r="K129" s="20"/>
      <c r="L129" s="20"/>
      <c r="N129" s="25">
        <f>COUNTIF($A$29:A129,"x")</f>
        <v>6</v>
      </c>
      <c r="O129" s="25">
        <f ca="1">'Validacao(1)'!BB83</f>
        <v>0</v>
      </c>
      <c r="P129" s="25">
        <f ca="1">'Validacao(2)'!BB83</f>
        <v>0</v>
      </c>
      <c r="Q129" s="25"/>
      <c r="R129" s="25"/>
      <c r="S129" s="25"/>
      <c r="T129" s="25"/>
      <c r="U129" s="25"/>
      <c r="V129" s="25"/>
      <c r="W129" s="25"/>
      <c r="X129" s="449"/>
      <c r="Y129" s="449"/>
      <c r="Z129" s="449"/>
      <c r="AA129" s="20"/>
    </row>
    <row r="130" spans="1:27" s="2" customFormat="1" ht="20.100000000000001" customHeight="1" outlineLevel="1" x14ac:dyDescent="0.25">
      <c r="A130" s="446"/>
      <c r="B130" s="1"/>
      <c r="C130" s="1"/>
      <c r="D130" s="1"/>
      <c r="E130" s="1"/>
      <c r="F130" s="447" t="s">
        <v>6561</v>
      </c>
      <c r="G130" s="450" t="str">
        <f>'Validacao(1)'!BC84</f>
        <v>Não foi preenchida a mortalidade de machos para alguma das doses</v>
      </c>
      <c r="H130" s="456" t="str">
        <f t="shared" ca="1" si="2"/>
        <v/>
      </c>
      <c r="I130" s="456" t="str">
        <f t="shared" ca="1" si="3"/>
        <v/>
      </c>
      <c r="J130" s="419"/>
      <c r="K130" s="20"/>
      <c r="L130" s="20"/>
      <c r="N130" s="25">
        <f>COUNTIF($A$29:A130,"x")</f>
        <v>6</v>
      </c>
      <c r="O130" s="25">
        <f ca="1">'Validacao(1)'!BB84</f>
        <v>0</v>
      </c>
      <c r="P130" s="25">
        <f ca="1">'Validacao(2)'!BB84</f>
        <v>0</v>
      </c>
      <c r="Q130" s="25"/>
      <c r="R130" s="25"/>
      <c r="S130" s="25"/>
      <c r="T130" s="25"/>
      <c r="U130" s="25"/>
      <c r="V130" s="25"/>
      <c r="W130" s="25"/>
      <c r="X130" s="449"/>
      <c r="Y130" s="449"/>
      <c r="Z130" s="449"/>
      <c r="AA130" s="20"/>
    </row>
    <row r="131" spans="1:27" s="2" customFormat="1" ht="20.100000000000001" customHeight="1" outlineLevel="1" x14ac:dyDescent="0.25">
      <c r="A131" s="446"/>
      <c r="B131" s="1"/>
      <c r="C131" s="1"/>
      <c r="D131" s="1"/>
      <c r="E131" s="1"/>
      <c r="F131" s="447" t="s">
        <v>6562</v>
      </c>
      <c r="G131" s="450" t="str">
        <f>'Validacao(1)'!BC85</f>
        <v>Não foi preenchida a mortalidade de fêmeas para alguma das doses</v>
      </c>
      <c r="H131" s="456" t="str">
        <f t="shared" ca="1" si="2"/>
        <v/>
      </c>
      <c r="I131" s="456" t="str">
        <f t="shared" ca="1" si="3"/>
        <v/>
      </c>
      <c r="J131" s="419"/>
      <c r="K131" s="20"/>
      <c r="L131" s="20"/>
      <c r="N131" s="25">
        <f>COUNTIF($A$29:A131,"x")</f>
        <v>6</v>
      </c>
      <c r="O131" s="25">
        <f ca="1">'Validacao(1)'!BB85</f>
        <v>0</v>
      </c>
      <c r="P131" s="25">
        <f ca="1">'Validacao(2)'!BB85</f>
        <v>0</v>
      </c>
      <c r="Q131" s="25"/>
      <c r="R131" s="25"/>
      <c r="S131" s="25"/>
      <c r="T131" s="25"/>
      <c r="U131" s="25"/>
      <c r="V131" s="25"/>
      <c r="W131" s="25"/>
      <c r="X131" s="449"/>
      <c r="Y131" s="449"/>
      <c r="Z131" s="449"/>
      <c r="AA131" s="20"/>
    </row>
    <row r="132" spans="1:27" s="2" customFormat="1" ht="20.100000000000001" customHeight="1" outlineLevel="1" x14ac:dyDescent="0.25">
      <c r="A132" s="446"/>
      <c r="B132" s="1"/>
      <c r="C132" s="1"/>
      <c r="D132" s="1"/>
      <c r="E132" s="1"/>
      <c r="F132" s="447" t="s">
        <v>6563</v>
      </c>
      <c r="G132" s="450" t="str">
        <f>'Validacao(1)'!BC86</f>
        <v>Não foi preenchido se houve desvio ao protocolo</v>
      </c>
      <c r="H132" s="456" t="str">
        <f t="shared" ca="1" si="2"/>
        <v/>
      </c>
      <c r="I132" s="456" t="str">
        <f t="shared" ca="1" si="3"/>
        <v/>
      </c>
      <c r="J132" s="419"/>
      <c r="K132" s="20"/>
      <c r="L132" s="20"/>
      <c r="N132" s="25">
        <f>COUNTIF($A$29:A132,"x")</f>
        <v>6</v>
      </c>
      <c r="O132" s="25">
        <f ca="1">'Validacao(1)'!BB86</f>
        <v>0</v>
      </c>
      <c r="P132" s="25">
        <f ca="1">'Validacao(2)'!BB86</f>
        <v>0</v>
      </c>
      <c r="Q132" s="25"/>
      <c r="R132" s="25"/>
      <c r="S132" s="25"/>
      <c r="T132" s="25"/>
      <c r="U132" s="25"/>
      <c r="V132" s="25"/>
      <c r="W132" s="25"/>
      <c r="X132" s="449"/>
      <c r="Y132" s="449"/>
      <c r="Z132" s="449"/>
      <c r="AA132" s="20"/>
    </row>
    <row r="133" spans="1:27" s="2" customFormat="1" ht="20.100000000000001" customHeight="1" outlineLevel="1" x14ac:dyDescent="0.25">
      <c r="A133" s="446"/>
      <c r="B133" s="1"/>
      <c r="C133" s="1"/>
      <c r="D133" s="1"/>
      <c r="E133" s="1"/>
      <c r="F133" s="447" t="s">
        <v>6564</v>
      </c>
      <c r="G133" s="450" t="str">
        <f>'Validacao(1)'!BC87</f>
        <v>Não foi preenchida a DL50 oral</v>
      </c>
      <c r="H133" s="456" t="str">
        <f t="shared" ca="1" si="2"/>
        <v/>
      </c>
      <c r="I133" s="456" t="str">
        <f t="shared" ca="1" si="3"/>
        <v/>
      </c>
      <c r="J133" s="419"/>
      <c r="K133" s="20"/>
      <c r="L133" s="20"/>
      <c r="N133" s="25">
        <f>COUNTIF($A$29:A133,"x")</f>
        <v>6</v>
      </c>
      <c r="O133" s="25">
        <f ca="1">'Validacao(1)'!BB87</f>
        <v>0</v>
      </c>
      <c r="P133" s="25">
        <f ca="1">'Validacao(2)'!BB87</f>
        <v>0</v>
      </c>
      <c r="Q133" s="25"/>
      <c r="R133" s="25"/>
      <c r="S133" s="25"/>
      <c r="T133" s="25"/>
      <c r="U133" s="25"/>
      <c r="V133" s="25"/>
      <c r="W133" s="25"/>
      <c r="X133" s="449"/>
      <c r="Y133" s="449"/>
      <c r="Z133" s="449"/>
      <c r="AA133" s="20"/>
    </row>
    <row r="134" spans="1:27" s="2" customFormat="1" ht="20.100000000000001" customHeight="1" outlineLevel="1" x14ac:dyDescent="0.25">
      <c r="A134" s="446"/>
      <c r="B134" s="1"/>
      <c r="C134" s="1"/>
      <c r="D134" s="1"/>
      <c r="E134" s="1"/>
      <c r="F134" s="447" t="s">
        <v>6565</v>
      </c>
      <c r="G134" s="450" t="str">
        <f>'Validacao(1)'!BC88</f>
        <v>Não foi preenchida a conclusão</v>
      </c>
      <c r="H134" s="456" t="str">
        <f t="shared" ca="1" si="2"/>
        <v/>
      </c>
      <c r="I134" s="456" t="str">
        <f t="shared" ca="1" si="3"/>
        <v/>
      </c>
      <c r="J134" s="419"/>
      <c r="K134" s="20"/>
      <c r="L134" s="20"/>
      <c r="N134" s="25">
        <f>COUNTIF($A$29:A134,"x")</f>
        <v>6</v>
      </c>
      <c r="O134" s="25">
        <f ca="1">'Validacao(1)'!BB88</f>
        <v>0</v>
      </c>
      <c r="P134" s="25">
        <f ca="1">'Validacao(2)'!BB88</f>
        <v>0</v>
      </c>
      <c r="Q134" s="25"/>
      <c r="R134" s="25"/>
      <c r="S134" s="25"/>
      <c r="T134" s="25"/>
      <c r="U134" s="25"/>
      <c r="V134" s="25"/>
      <c r="W134" s="25"/>
      <c r="X134" s="449"/>
      <c r="Y134" s="449"/>
      <c r="Z134" s="449"/>
      <c r="AA134" s="20"/>
    </row>
    <row r="135" spans="1:27" s="2" customFormat="1" ht="20.100000000000001" customHeight="1" outlineLevel="1" x14ac:dyDescent="0.25">
      <c r="A135" s="446"/>
      <c r="B135" s="1"/>
      <c r="C135" s="1"/>
      <c r="D135" s="1"/>
      <c r="E135" s="1"/>
      <c r="F135" s="447" t="s">
        <v>6566</v>
      </c>
      <c r="G135" s="450" t="str">
        <f>'Validacao(1)'!BC89</f>
        <v>Estudo conduzido em laboratório sem BPL</v>
      </c>
      <c r="H135" s="456" t="str">
        <f t="shared" ca="1" si="2"/>
        <v/>
      </c>
      <c r="I135" s="456" t="str">
        <f t="shared" ca="1" si="3"/>
        <v/>
      </c>
      <c r="J135" s="419"/>
      <c r="K135" s="20"/>
      <c r="L135" s="20"/>
      <c r="N135" s="25">
        <f>COUNTIF($A$29:A135,"x")</f>
        <v>6</v>
      </c>
      <c r="O135" s="25">
        <f ca="1">'Validacao(1)'!BB89</f>
        <v>0</v>
      </c>
      <c r="P135" s="25">
        <f ca="1">'Validacao(2)'!BB89</f>
        <v>0</v>
      </c>
      <c r="Q135" s="25"/>
      <c r="R135" s="25"/>
      <c r="S135" s="25"/>
      <c r="T135" s="25"/>
      <c r="U135" s="25"/>
      <c r="V135" s="25"/>
      <c r="W135" s="25"/>
      <c r="X135" s="449"/>
      <c r="Y135" s="449"/>
      <c r="Z135" s="449"/>
      <c r="AA135" s="20"/>
    </row>
    <row r="136" spans="1:27" s="2" customFormat="1" ht="20.100000000000001" customHeight="1" outlineLevel="1" x14ac:dyDescent="0.25">
      <c r="A136" s="446"/>
      <c r="B136" s="1"/>
      <c r="C136" s="1"/>
      <c r="D136" s="1"/>
      <c r="E136" s="1"/>
      <c r="F136" s="447" t="s">
        <v>6567</v>
      </c>
      <c r="G136" s="450" t="str">
        <f>'Validacao(1)'!BC90</f>
        <v>Foram descritos desvios ao protocolo</v>
      </c>
      <c r="H136" s="456" t="str">
        <f t="shared" ca="1" si="2"/>
        <v/>
      </c>
      <c r="I136" s="456" t="str">
        <f t="shared" ca="1" si="3"/>
        <v/>
      </c>
      <c r="J136" s="419"/>
      <c r="K136" s="20"/>
      <c r="L136" s="20"/>
      <c r="N136" s="25">
        <f>COUNTIF($A$29:A136,"x")</f>
        <v>6</v>
      </c>
      <c r="O136" s="25">
        <f ca="1">'Validacao(1)'!BB90</f>
        <v>0</v>
      </c>
      <c r="P136" s="25">
        <f ca="1">'Validacao(2)'!BB90</f>
        <v>0</v>
      </c>
      <c r="Q136" s="25"/>
      <c r="R136" s="25"/>
      <c r="S136" s="25"/>
      <c r="T136" s="25"/>
      <c r="U136" s="25"/>
      <c r="V136" s="25"/>
      <c r="W136" s="25"/>
      <c r="X136" s="449"/>
      <c r="Y136" s="449"/>
      <c r="Z136" s="449"/>
      <c r="AA136" s="20"/>
    </row>
    <row r="137" spans="1:27" s="2" customFormat="1" ht="20.100000000000001" customHeight="1" outlineLevel="1" x14ac:dyDescent="0.25">
      <c r="A137" s="446"/>
      <c r="B137" s="1"/>
      <c r="C137" s="1"/>
      <c r="D137" s="1"/>
      <c r="E137" s="1"/>
      <c r="F137" s="447" t="s">
        <v>6568</v>
      </c>
      <c r="G137" s="450" t="str">
        <f>'Validacao(1)'!BC91</f>
        <v>Os desvios inteferiram nos resultados</v>
      </c>
      <c r="H137" s="456" t="str">
        <f t="shared" si="2"/>
        <v/>
      </c>
      <c r="I137" s="456" t="str">
        <f t="shared" si="3"/>
        <v/>
      </c>
      <c r="J137" s="419"/>
      <c r="K137" s="20"/>
      <c r="L137" s="20"/>
      <c r="N137" s="25">
        <f>COUNTIF($A$29:A137,"x")</f>
        <v>6</v>
      </c>
      <c r="O137" s="25">
        <f>'Validacao(1)'!BB91</f>
        <v>0</v>
      </c>
      <c r="P137" s="25">
        <f>'Validacao(2)'!BB91</f>
        <v>0</v>
      </c>
      <c r="Q137" s="25"/>
      <c r="R137" s="25"/>
      <c r="S137" s="25"/>
      <c r="T137" s="25"/>
      <c r="U137" s="25"/>
      <c r="V137" s="25"/>
      <c r="W137" s="25"/>
      <c r="X137" s="449"/>
      <c r="Y137" s="449"/>
      <c r="Z137" s="449"/>
      <c r="AA137" s="20"/>
    </row>
    <row r="138" spans="1:27" s="2" customFormat="1" ht="20.100000000000001" customHeight="1" outlineLevel="1" x14ac:dyDescent="0.25">
      <c r="A138" s="446"/>
      <c r="B138" s="1"/>
      <c r="C138" s="1"/>
      <c r="D138" s="1"/>
      <c r="E138" s="1"/>
      <c r="F138" s="447" t="s">
        <v>6569</v>
      </c>
      <c r="G138" s="450" t="str">
        <f>'Validacao(1)'!BC92</f>
        <v>O certificado não foi preenchido na aba "Certificados"</v>
      </c>
      <c r="H138" s="456" t="str">
        <f t="shared" ca="1" si="2"/>
        <v/>
      </c>
      <c r="I138" s="456" t="str">
        <f t="shared" ca="1" si="3"/>
        <v/>
      </c>
      <c r="J138" s="419"/>
      <c r="K138" s="20"/>
      <c r="L138" s="20"/>
      <c r="N138" s="25">
        <f>COUNTIF($A$29:A138,"x")</f>
        <v>6</v>
      </c>
      <c r="O138" s="25">
        <f ca="1">'Validacao(1)'!BB92</f>
        <v>0</v>
      </c>
      <c r="P138" s="25">
        <f ca="1">'Validacao(2)'!BB92</f>
        <v>0</v>
      </c>
      <c r="Q138" s="25"/>
      <c r="R138" s="25"/>
      <c r="S138" s="25"/>
      <c r="T138" s="25"/>
      <c r="U138" s="25"/>
      <c r="V138" s="25"/>
      <c r="W138" s="25"/>
      <c r="X138" s="449"/>
      <c r="Y138" s="449"/>
      <c r="Z138" s="449"/>
      <c r="AA138" s="20"/>
    </row>
    <row r="139" spans="1:27" s="2" customFormat="1" ht="20.100000000000001" customHeight="1" outlineLevel="1" x14ac:dyDescent="0.25">
      <c r="A139" s="446"/>
      <c r="B139" s="1"/>
      <c r="C139" s="1"/>
      <c r="D139" s="1"/>
      <c r="E139" s="1"/>
      <c r="F139" s="447" t="s">
        <v>6570</v>
      </c>
      <c r="G139" s="450" t="str">
        <f>'Validacao(1)'!BC93</f>
        <v>Estudo conduzido com amostra vencida</v>
      </c>
      <c r="H139" s="456" t="str">
        <f t="shared" ca="1" si="2"/>
        <v/>
      </c>
      <c r="I139" s="456" t="str">
        <f t="shared" ca="1" si="3"/>
        <v/>
      </c>
      <c r="J139" s="419"/>
      <c r="K139" s="20"/>
      <c r="L139" s="20"/>
      <c r="N139" s="25">
        <f>COUNTIF($A$29:A139,"x")</f>
        <v>6</v>
      </c>
      <c r="O139" s="25">
        <f ca="1">'Validacao(1)'!BB93</f>
        <v>0</v>
      </c>
      <c r="P139" s="25">
        <f ca="1">'Validacao(2)'!BB93</f>
        <v>0</v>
      </c>
      <c r="Q139" s="25"/>
      <c r="R139" s="25"/>
      <c r="S139" s="25"/>
      <c r="T139" s="25"/>
      <c r="U139" s="25"/>
      <c r="V139" s="25"/>
      <c r="W139" s="25"/>
      <c r="X139" s="449"/>
      <c r="Y139" s="449"/>
      <c r="Z139" s="449"/>
      <c r="AA139" s="20"/>
    </row>
    <row r="140" spans="1:27" s="2" customFormat="1" ht="20.100000000000001" customHeight="1" outlineLevel="1" x14ac:dyDescent="0.25">
      <c r="A140" s="446"/>
      <c r="B140" s="1"/>
      <c r="C140" s="1"/>
      <c r="D140" s="1"/>
      <c r="E140" s="1"/>
      <c r="F140" s="447" t="s">
        <v>6571</v>
      </c>
      <c r="G140" s="450" t="str">
        <f>'Validacao(1)'!BC94</f>
        <v>Estudo conduzido com amostra fora da DCQQ</v>
      </c>
      <c r="H140" s="456" t="str">
        <f t="shared" ca="1" si="2"/>
        <v/>
      </c>
      <c r="I140" s="456" t="str">
        <f t="shared" ca="1" si="3"/>
        <v/>
      </c>
      <c r="J140" s="419"/>
      <c r="K140" s="20"/>
      <c r="L140" s="20"/>
      <c r="N140" s="25">
        <f>COUNTIF($A$29:A140,"x")</f>
        <v>6</v>
      </c>
      <c r="O140" s="25">
        <f ca="1">'Validacao(1)'!BB94</f>
        <v>0</v>
      </c>
      <c r="P140" s="25">
        <f ca="1">'Validacao(2)'!BB94</f>
        <v>0</v>
      </c>
      <c r="Q140" s="25"/>
      <c r="R140" s="25"/>
      <c r="S140" s="25"/>
      <c r="T140" s="25"/>
      <c r="U140" s="25"/>
      <c r="V140" s="25"/>
      <c r="W140" s="25"/>
      <c r="X140" s="449"/>
      <c r="Y140" s="449"/>
      <c r="Z140" s="449"/>
      <c r="AA140" s="20"/>
    </row>
    <row r="141" spans="1:27" s="2" customFormat="1" ht="20.100000000000001" customHeight="1" outlineLevel="1" x14ac:dyDescent="0.25">
      <c r="A141" s="446"/>
      <c r="B141" s="1"/>
      <c r="C141" s="1"/>
      <c r="D141" s="1"/>
      <c r="E141" s="1"/>
      <c r="F141" s="447" t="s">
        <v>6572</v>
      </c>
      <c r="G141" s="450" t="str">
        <f>'Validacao(1)'!BC95</f>
        <v>Houve sinais de toxicidade nos animais</v>
      </c>
      <c r="H141" s="456" t="str">
        <f t="shared" ca="1" si="2"/>
        <v/>
      </c>
      <c r="I141" s="456" t="str">
        <f t="shared" ca="1" si="3"/>
        <v/>
      </c>
      <c r="J141" s="419"/>
      <c r="K141" s="20"/>
      <c r="L141" s="20"/>
      <c r="N141" s="25">
        <f>COUNTIF($A$29:A141,"x")</f>
        <v>6</v>
      </c>
      <c r="O141" s="25">
        <f ca="1">'Validacao(1)'!BB95</f>
        <v>0</v>
      </c>
      <c r="P141" s="25">
        <f ca="1">'Validacao(2)'!BB95</f>
        <v>0</v>
      </c>
      <c r="Q141" s="25"/>
      <c r="R141" s="25"/>
      <c r="S141" s="25"/>
      <c r="T141" s="25"/>
      <c r="U141" s="25"/>
      <c r="V141" s="25"/>
      <c r="W141" s="25"/>
      <c r="X141" s="449"/>
      <c r="Y141" s="449"/>
      <c r="Z141" s="449"/>
      <c r="AA141" s="20"/>
    </row>
    <row r="142" spans="1:27" s="2" customFormat="1" ht="20.100000000000001" customHeight="1" outlineLevel="1" x14ac:dyDescent="0.25">
      <c r="A142" s="446"/>
      <c r="B142" s="1"/>
      <c r="C142" s="1"/>
      <c r="D142" s="1"/>
      <c r="E142" s="1"/>
      <c r="F142" s="447" t="s">
        <v>6573</v>
      </c>
      <c r="G142" s="450" t="str">
        <f>'Validacao(1)'!BC96</f>
        <v/>
      </c>
      <c r="H142" s="456" t="str">
        <f t="shared" si="2"/>
        <v/>
      </c>
      <c r="I142" s="456" t="str">
        <f t="shared" si="3"/>
        <v/>
      </c>
      <c r="J142" s="419"/>
      <c r="K142" s="20"/>
      <c r="L142" s="20"/>
      <c r="N142" s="25">
        <f>COUNTIF($A$29:A142,"x")</f>
        <v>6</v>
      </c>
      <c r="O142" s="25">
        <f>'Validacao(1)'!BB96</f>
        <v>0</v>
      </c>
      <c r="P142" s="25">
        <f>'Validacao(2)'!BB96</f>
        <v>0</v>
      </c>
      <c r="Q142" s="25"/>
      <c r="R142" s="25"/>
      <c r="S142" s="25"/>
      <c r="T142" s="25"/>
      <c r="U142" s="25"/>
      <c r="V142" s="25"/>
      <c r="W142" s="25"/>
      <c r="X142" s="449"/>
      <c r="Y142" s="449"/>
      <c r="Z142" s="449"/>
      <c r="AA142" s="20"/>
    </row>
    <row r="143" spans="1:27" s="2" customFormat="1" ht="20.100000000000001" customHeight="1" outlineLevel="1" x14ac:dyDescent="0.25">
      <c r="A143" s="446"/>
      <c r="B143" s="1"/>
      <c r="C143" s="1"/>
      <c r="D143" s="1"/>
      <c r="E143" s="1"/>
      <c r="F143" s="447" t="s">
        <v>6574</v>
      </c>
      <c r="G143" s="450" t="str">
        <f>'Validacao(1)'!BC97</f>
        <v/>
      </c>
      <c r="H143" s="456" t="str">
        <f t="shared" si="2"/>
        <v/>
      </c>
      <c r="I143" s="456" t="str">
        <f t="shared" si="3"/>
        <v/>
      </c>
      <c r="J143" s="419"/>
      <c r="K143" s="20"/>
      <c r="L143" s="20"/>
      <c r="N143" s="25">
        <f>COUNTIF($A$29:A143,"x")</f>
        <v>6</v>
      </c>
      <c r="O143" s="25">
        <f>'Validacao(1)'!BB97</f>
        <v>0</v>
      </c>
      <c r="P143" s="25">
        <f>'Validacao(2)'!BB97</f>
        <v>0</v>
      </c>
      <c r="Q143" s="25"/>
      <c r="R143" s="25"/>
      <c r="S143" s="25"/>
      <c r="T143" s="25"/>
      <c r="U143" s="25"/>
      <c r="V143" s="25"/>
      <c r="W143" s="25"/>
      <c r="X143" s="449"/>
      <c r="Y143" s="449"/>
      <c r="Z143" s="449"/>
      <c r="AA143" s="20"/>
    </row>
    <row r="144" spans="1:27" s="2" customFormat="1" ht="20.100000000000001" customHeight="1" outlineLevel="1" x14ac:dyDescent="0.25">
      <c r="A144" s="446"/>
      <c r="B144" s="1"/>
      <c r="C144" s="1"/>
      <c r="D144" s="1"/>
      <c r="E144" s="1"/>
      <c r="F144" s="447" t="s">
        <v>6575</v>
      </c>
      <c r="G144" s="450" t="str">
        <f>'Validacao(1)'!BC98</f>
        <v/>
      </c>
      <c r="H144" s="456" t="str">
        <f t="shared" si="2"/>
        <v/>
      </c>
      <c r="I144" s="456" t="str">
        <f t="shared" si="3"/>
        <v/>
      </c>
      <c r="J144" s="419"/>
      <c r="K144" s="20"/>
      <c r="L144" s="20"/>
      <c r="N144" s="25">
        <f>COUNTIF($A$29:A144,"x")</f>
        <v>6</v>
      </c>
      <c r="O144" s="25">
        <f>'Validacao(1)'!BB98</f>
        <v>0</v>
      </c>
      <c r="P144" s="25">
        <f>'Validacao(2)'!BB98</f>
        <v>0</v>
      </c>
      <c r="Q144" s="25"/>
      <c r="R144" s="25"/>
      <c r="S144" s="25"/>
      <c r="T144" s="25"/>
      <c r="U144" s="25"/>
      <c r="V144" s="25"/>
      <c r="W144" s="25"/>
      <c r="X144" s="449"/>
      <c r="Y144" s="449"/>
      <c r="Z144" s="449"/>
      <c r="AA144" s="20"/>
    </row>
    <row r="145" spans="1:27" s="2" customFormat="1" ht="20.100000000000001" customHeight="1" outlineLevel="1" x14ac:dyDescent="0.25">
      <c r="A145" s="446"/>
      <c r="B145" s="1"/>
      <c r="C145" s="1"/>
      <c r="D145" s="1"/>
      <c r="E145" s="1"/>
      <c r="F145" s="447" t="s">
        <v>6576</v>
      </c>
      <c r="G145" s="450" t="str">
        <f>'Validacao(1)'!BC99</f>
        <v/>
      </c>
      <c r="H145" s="456" t="str">
        <f t="shared" si="2"/>
        <v/>
      </c>
      <c r="I145" s="456" t="str">
        <f t="shared" si="3"/>
        <v/>
      </c>
      <c r="J145" s="419"/>
      <c r="K145" s="20"/>
      <c r="L145" s="20"/>
      <c r="N145" s="25">
        <f>COUNTIF($A$29:A145,"x")</f>
        <v>6</v>
      </c>
      <c r="O145" s="25">
        <f>'Validacao(1)'!BB99</f>
        <v>0</v>
      </c>
      <c r="P145" s="25">
        <f>'Validacao(2)'!BB99</f>
        <v>0</v>
      </c>
      <c r="Q145" s="25"/>
      <c r="R145" s="25"/>
      <c r="S145" s="25"/>
      <c r="T145" s="25"/>
      <c r="U145" s="25"/>
      <c r="V145" s="25"/>
      <c r="W145" s="25"/>
      <c r="X145" s="449"/>
      <c r="Y145" s="449"/>
      <c r="Z145" s="449"/>
      <c r="AA145" s="20"/>
    </row>
    <row r="146" spans="1:27" s="2" customFormat="1" ht="20.100000000000001" customHeight="1" outlineLevel="1" x14ac:dyDescent="0.25">
      <c r="A146" s="446"/>
      <c r="B146" s="1"/>
      <c r="C146" s="1"/>
      <c r="D146" s="1"/>
      <c r="E146" s="1"/>
      <c r="F146" s="447" t="s">
        <v>6577</v>
      </c>
      <c r="G146" s="450" t="str">
        <f>'Validacao(1)'!BC100</f>
        <v/>
      </c>
      <c r="H146" s="456" t="str">
        <f t="shared" si="2"/>
        <v/>
      </c>
      <c r="I146" s="456" t="str">
        <f t="shared" si="3"/>
        <v/>
      </c>
      <c r="J146" s="419"/>
      <c r="K146" s="20"/>
      <c r="L146" s="20"/>
      <c r="N146" s="25">
        <f>COUNTIF($A$29:A146,"x")</f>
        <v>6</v>
      </c>
      <c r="O146" s="25">
        <f>'Validacao(1)'!BB100</f>
        <v>0</v>
      </c>
      <c r="P146" s="25">
        <f>'Validacao(2)'!BB100</f>
        <v>0</v>
      </c>
      <c r="Q146" s="25"/>
      <c r="R146" s="25"/>
      <c r="S146" s="25"/>
      <c r="T146" s="25"/>
      <c r="U146" s="25"/>
      <c r="V146" s="25"/>
      <c r="W146" s="25"/>
      <c r="X146" s="449"/>
      <c r="Y146" s="449"/>
      <c r="Z146" s="449"/>
      <c r="AA146" s="20"/>
    </row>
    <row r="147" spans="1:27" s="2" customFormat="1" ht="20.100000000000001" customHeight="1" outlineLevel="1" x14ac:dyDescent="0.25">
      <c r="A147" s="446"/>
      <c r="B147" s="1"/>
      <c r="C147" s="1"/>
      <c r="D147" s="1"/>
      <c r="E147" s="1"/>
      <c r="F147" s="447" t="s">
        <v>6578</v>
      </c>
      <c r="G147" s="450" t="str">
        <f>'Validacao(1)'!BC101</f>
        <v/>
      </c>
      <c r="H147" s="456" t="str">
        <f t="shared" si="2"/>
        <v/>
      </c>
      <c r="I147" s="456" t="str">
        <f t="shared" si="3"/>
        <v/>
      </c>
      <c r="J147" s="419"/>
      <c r="K147" s="20"/>
      <c r="L147" s="20"/>
      <c r="N147" s="25">
        <f>COUNTIF($A$29:A147,"x")</f>
        <v>6</v>
      </c>
      <c r="O147" s="25">
        <f>'Validacao(1)'!BB101</f>
        <v>0</v>
      </c>
      <c r="P147" s="25">
        <f>'Validacao(2)'!BB101</f>
        <v>0</v>
      </c>
      <c r="Q147" s="25"/>
      <c r="R147" s="25"/>
      <c r="S147" s="25"/>
      <c r="T147" s="25"/>
      <c r="U147" s="25"/>
      <c r="V147" s="25"/>
      <c r="W147" s="25"/>
      <c r="X147" s="449"/>
      <c r="Y147" s="449"/>
      <c r="Z147" s="449"/>
      <c r="AA147" s="20"/>
    </row>
    <row r="148" spans="1:27" s="2" customFormat="1" ht="20.100000000000001" customHeight="1" outlineLevel="1" x14ac:dyDescent="0.25">
      <c r="A148" s="446"/>
      <c r="B148" s="1"/>
      <c r="C148" s="1"/>
      <c r="D148" s="1"/>
      <c r="E148" s="1"/>
      <c r="F148" s="447" t="s">
        <v>6579</v>
      </c>
      <c r="G148" s="450" t="str">
        <f>'Validacao(1)'!BC102</f>
        <v/>
      </c>
      <c r="H148" s="456" t="str">
        <f t="shared" si="2"/>
        <v/>
      </c>
      <c r="I148" s="456" t="str">
        <f t="shared" si="3"/>
        <v/>
      </c>
      <c r="J148" s="419"/>
      <c r="K148" s="20"/>
      <c r="L148" s="20"/>
      <c r="N148" s="25">
        <f>COUNTIF($A$29:A148,"x")</f>
        <v>6</v>
      </c>
      <c r="O148" s="25">
        <f>'Validacao(1)'!BB102</f>
        <v>0</v>
      </c>
      <c r="P148" s="25">
        <f>'Validacao(2)'!BB102</f>
        <v>0</v>
      </c>
      <c r="Q148" s="25"/>
      <c r="R148" s="25"/>
      <c r="S148" s="25"/>
      <c r="T148" s="25"/>
      <c r="U148" s="25"/>
      <c r="V148" s="25"/>
      <c r="W148" s="25"/>
      <c r="X148" s="449"/>
      <c r="Y148" s="449"/>
      <c r="Z148" s="449"/>
      <c r="AA148" s="20"/>
    </row>
    <row r="149" spans="1:27" s="2" customFormat="1" ht="20.100000000000001" customHeight="1" outlineLevel="1" x14ac:dyDescent="0.25">
      <c r="A149" s="446"/>
      <c r="B149" s="1"/>
      <c r="C149" s="1"/>
      <c r="D149" s="1"/>
      <c r="E149" s="1"/>
      <c r="F149" s="447" t="s">
        <v>6580</v>
      </c>
      <c r="G149" s="450" t="str">
        <f>'Validacao(1)'!BC103</f>
        <v/>
      </c>
      <c r="H149" s="456" t="str">
        <f t="shared" si="2"/>
        <v/>
      </c>
      <c r="I149" s="456" t="str">
        <f t="shared" si="3"/>
        <v/>
      </c>
      <c r="J149" s="419"/>
      <c r="K149" s="20"/>
      <c r="L149" s="20"/>
      <c r="N149" s="25">
        <f>COUNTIF($A$29:A149,"x")</f>
        <v>6</v>
      </c>
      <c r="O149" s="25">
        <f>'Validacao(1)'!BB103</f>
        <v>0</v>
      </c>
      <c r="P149" s="25">
        <f>'Validacao(2)'!BB103</f>
        <v>0</v>
      </c>
      <c r="Q149" s="25"/>
      <c r="R149" s="25"/>
      <c r="S149" s="25"/>
      <c r="T149" s="25"/>
      <c r="U149" s="25"/>
      <c r="V149" s="25"/>
      <c r="W149" s="25"/>
      <c r="X149" s="449"/>
      <c r="Y149" s="449"/>
      <c r="Z149" s="449"/>
      <c r="AA149" s="20"/>
    </row>
    <row r="150" spans="1:27" s="2" customFormat="1" ht="20.100000000000001" customHeight="1" outlineLevel="1" x14ac:dyDescent="0.25">
      <c r="A150" s="446"/>
      <c r="B150" s="1"/>
      <c r="C150" s="1"/>
      <c r="D150" s="1"/>
      <c r="E150" s="1"/>
      <c r="F150" s="447" t="s">
        <v>6581</v>
      </c>
      <c r="G150" s="450" t="str">
        <f>'Validacao(1)'!BC104</f>
        <v/>
      </c>
      <c r="H150" s="456" t="str">
        <f t="shared" si="2"/>
        <v/>
      </c>
      <c r="I150" s="456" t="str">
        <f t="shared" si="3"/>
        <v/>
      </c>
      <c r="J150" s="419"/>
      <c r="K150" s="20"/>
      <c r="L150" s="20"/>
      <c r="N150" s="25">
        <f>COUNTIF($A$29:A150,"x")</f>
        <v>6</v>
      </c>
      <c r="O150" s="25">
        <f>'Validacao(1)'!BB104</f>
        <v>0</v>
      </c>
      <c r="P150" s="25">
        <f>'Validacao(2)'!BB104</f>
        <v>0</v>
      </c>
      <c r="Q150" s="25"/>
      <c r="R150" s="25"/>
      <c r="S150" s="25"/>
      <c r="T150" s="25"/>
      <c r="U150" s="25"/>
      <c r="V150" s="25"/>
      <c r="W150" s="25"/>
      <c r="X150" s="449"/>
      <c r="Y150" s="449"/>
      <c r="Z150" s="449"/>
      <c r="AA150" s="20"/>
    </row>
    <row r="151" spans="1:27" s="2" customFormat="1" ht="20.100000000000001" customHeight="1" outlineLevel="1" x14ac:dyDescent="0.25">
      <c r="A151" s="446"/>
      <c r="B151" s="1"/>
      <c r="C151" s="1"/>
      <c r="D151" s="1"/>
      <c r="E151" s="1"/>
      <c r="F151" s="447" t="s">
        <v>6582</v>
      </c>
      <c r="G151" s="450" t="str">
        <f>'Validacao(1)'!BC105</f>
        <v/>
      </c>
      <c r="H151" s="456" t="str">
        <f t="shared" si="2"/>
        <v/>
      </c>
      <c r="I151" s="456" t="str">
        <f t="shared" si="3"/>
        <v/>
      </c>
      <c r="J151" s="419"/>
      <c r="K151" s="20"/>
      <c r="L151" s="20"/>
      <c r="N151" s="25">
        <f>COUNTIF($A$29:A151,"x")</f>
        <v>6</v>
      </c>
      <c r="O151" s="25">
        <f>'Validacao(1)'!BB105</f>
        <v>0</v>
      </c>
      <c r="P151" s="25">
        <f>'Validacao(2)'!BB105</f>
        <v>0</v>
      </c>
      <c r="Q151" s="25"/>
      <c r="R151" s="25"/>
      <c r="S151" s="25"/>
      <c r="T151" s="25"/>
      <c r="U151" s="25"/>
      <c r="V151" s="25"/>
      <c r="W151" s="25"/>
      <c r="X151" s="449"/>
      <c r="Y151" s="449"/>
      <c r="Z151" s="449"/>
      <c r="AA151" s="20"/>
    </row>
    <row r="152" spans="1:27" s="2" customFormat="1" ht="30" customHeight="1" x14ac:dyDescent="0.25">
      <c r="A152" s="446" t="s">
        <v>8576</v>
      </c>
      <c r="B152" s="1"/>
      <c r="C152" s="1"/>
      <c r="D152" s="1"/>
      <c r="E152" s="1"/>
      <c r="F152" s="418"/>
      <c r="G152" s="453" t="str">
        <f ca="1">U152</f>
        <v>📂 (✓ ) Toxicidade cutânea aguda (DL50 cutânea)</v>
      </c>
      <c r="H152" s="454" t="str">
        <f>HYPERLINK(Y152,$V$17)</f>
        <v>Estudo (1)</v>
      </c>
      <c r="I152" s="455" t="str">
        <f>HYPERLINK(Z152,$V$18)</f>
        <v>Estudo (2)</v>
      </c>
      <c r="J152" s="419"/>
      <c r="K152" s="20"/>
      <c r="L152" s="20"/>
      <c r="N152" s="442">
        <f>COUNTIF($A$29:A152,"x")</f>
        <v>7</v>
      </c>
      <c r="O152" s="442" t="s">
        <v>10</v>
      </c>
      <c r="P152" s="442" t="s">
        <v>10</v>
      </c>
      <c r="Q152" s="442">
        <f ca="1">SUMIF(N153:$N$633,N152,O153:$O$633)</f>
        <v>0</v>
      </c>
      <c r="R152" s="442">
        <f ca="1">SUMIF(N153:$N$633,N152,P153:$P$633)</f>
        <v>0</v>
      </c>
      <c r="S152" s="442">
        <f ca="1">Q152+R152</f>
        <v>0</v>
      </c>
      <c r="T152" s="443" t="s">
        <v>6072</v>
      </c>
      <c r="U152" s="443" t="str">
        <f ca="1">$T$4&amp;"("&amp; IF(S152=0,V$23,S152) &amp; ") " &amp; T152</f>
        <v>📂 (✓ ) Toxicidade cutânea aguda (DL50 cutânea)</v>
      </c>
      <c r="V152" s="443" t="str">
        <f ca="1">IF(Q152&gt;0,$V$24&amp;Q152,"")</f>
        <v/>
      </c>
      <c r="W152" s="443" t="str">
        <f ca="1">IF(R152&gt;0,$V$24&amp;R152,"")</f>
        <v/>
      </c>
      <c r="X152" s="444" t="s">
        <v>8568</v>
      </c>
      <c r="Y152" s="445" t="str">
        <f>$V$19 &amp; $X152 &amp; V$21 &amp; $V$22 &amp; $V$20</f>
        <v>#'Dl50_Cutanea(1)'!F2</v>
      </c>
      <c r="Z152" s="445" t="str">
        <f>$V$19 &amp; $X152 &amp; W$21 &amp; $V$22 &amp; $V$20</f>
        <v>#'Dl50_Cutanea(2)'!F2</v>
      </c>
      <c r="AA152" s="20"/>
    </row>
    <row r="153" spans="1:27" s="2" customFormat="1" ht="20.100000000000001" customHeight="1" outlineLevel="1" x14ac:dyDescent="0.25">
      <c r="A153" s="446"/>
      <c r="B153" s="1"/>
      <c r="C153" s="1"/>
      <c r="D153" s="1"/>
      <c r="E153" s="1"/>
      <c r="F153" s="447" t="s">
        <v>6583</v>
      </c>
      <c r="G153" s="450" t="str">
        <f>'Validacao(1)'!BC122</f>
        <v>Não foi preenchido o código do estudo</v>
      </c>
      <c r="H153" s="456" t="str">
        <f t="shared" ref="H153:H183" ca="1" si="4">IF(O153=1,"x","")</f>
        <v/>
      </c>
      <c r="I153" s="456" t="str">
        <f t="shared" ref="I153:I183" ca="1" si="5">IF(P153=1,"x","")</f>
        <v/>
      </c>
      <c r="J153" s="419"/>
      <c r="K153" s="20"/>
      <c r="L153" s="20"/>
      <c r="N153" s="25">
        <f>COUNTIF($A$29:A153,"x")</f>
        <v>7</v>
      </c>
      <c r="O153" s="25">
        <f ca="1">'Validacao(1)'!BB122</f>
        <v>0</v>
      </c>
      <c r="P153" s="25">
        <f ca="1">'Validacao(2)'!BB122</f>
        <v>0</v>
      </c>
      <c r="Q153" s="25"/>
      <c r="R153" s="25"/>
      <c r="S153" s="25"/>
      <c r="T153" s="25"/>
      <c r="U153" s="25"/>
      <c r="V153" s="25"/>
      <c r="W153" s="25"/>
      <c r="X153" s="449"/>
      <c r="Y153" s="449"/>
      <c r="Z153" s="449"/>
      <c r="AA153" s="20"/>
    </row>
    <row r="154" spans="1:27" s="2" customFormat="1" ht="20.100000000000001" customHeight="1" outlineLevel="1" x14ac:dyDescent="0.25">
      <c r="A154" s="446"/>
      <c r="B154" s="1"/>
      <c r="C154" s="1"/>
      <c r="D154" s="1"/>
      <c r="E154" s="1"/>
      <c r="F154" s="447" t="s">
        <v>6584</v>
      </c>
      <c r="G154" s="450" t="str">
        <f>'Validacao(1)'!BC123</f>
        <v>Não foi preenchido o título do estudo (alerta informativo - as validações só funcionam após o preenchimento deste campo)</v>
      </c>
      <c r="H154" s="456" t="str">
        <f t="shared" ca="1" si="4"/>
        <v/>
      </c>
      <c r="I154" s="456" t="str">
        <f t="shared" ca="1" si="5"/>
        <v/>
      </c>
      <c r="J154" s="419"/>
      <c r="K154" s="20"/>
      <c r="L154" s="20"/>
      <c r="N154" s="25">
        <f>COUNTIF($A$29:A154,"x")</f>
        <v>7</v>
      </c>
      <c r="O154" s="25">
        <f ca="1">'Validacao(1)'!BB123</f>
        <v>0</v>
      </c>
      <c r="P154" s="25">
        <f ca="1">'Validacao(2)'!BB123</f>
        <v>0</v>
      </c>
      <c r="Q154" s="25"/>
      <c r="R154" s="25"/>
      <c r="S154" s="25"/>
      <c r="T154" s="25"/>
      <c r="U154" s="25"/>
      <c r="V154" s="25"/>
      <c r="W154" s="25"/>
      <c r="X154" s="449"/>
      <c r="Y154" s="449"/>
      <c r="Z154" s="449"/>
      <c r="AA154" s="20"/>
    </row>
    <row r="155" spans="1:27" s="2" customFormat="1" ht="20.100000000000001" customHeight="1" outlineLevel="1" x14ac:dyDescent="0.25">
      <c r="A155" s="446"/>
      <c r="B155" s="1"/>
      <c r="C155" s="1"/>
      <c r="D155" s="1"/>
      <c r="E155" s="1"/>
      <c r="F155" s="447" t="s">
        <v>6585</v>
      </c>
      <c r="G155" s="450" t="str">
        <f>'Validacao(1)'!BC124</f>
        <v>Não foi preenchido o nome do laboratório</v>
      </c>
      <c r="H155" s="456" t="str">
        <f t="shared" ca="1" si="4"/>
        <v/>
      </c>
      <c r="I155" s="456" t="str">
        <f t="shared" ca="1" si="5"/>
        <v/>
      </c>
      <c r="J155" s="419"/>
      <c r="K155" s="20"/>
      <c r="L155" s="20"/>
      <c r="N155" s="25">
        <f>COUNTIF($A$29:A155,"x")</f>
        <v>7</v>
      </c>
      <c r="O155" s="25">
        <f ca="1">'Validacao(1)'!BB124</f>
        <v>0</v>
      </c>
      <c r="P155" s="25">
        <f ca="1">'Validacao(2)'!BB124</f>
        <v>0</v>
      </c>
      <c r="Q155" s="25"/>
      <c r="R155" s="25"/>
      <c r="S155" s="25"/>
      <c r="T155" s="25"/>
      <c r="U155" s="25"/>
      <c r="V155" s="25"/>
      <c r="W155" s="25"/>
      <c r="X155" s="449"/>
      <c r="Y155" s="449"/>
      <c r="Z155" s="449"/>
      <c r="AA155" s="20"/>
    </row>
    <row r="156" spans="1:27" s="2" customFormat="1" ht="20.100000000000001" customHeight="1" outlineLevel="1" x14ac:dyDescent="0.25">
      <c r="A156" s="446"/>
      <c r="B156" s="1"/>
      <c r="C156" s="1"/>
      <c r="D156" s="1"/>
      <c r="E156" s="1"/>
      <c r="F156" s="447" t="s">
        <v>6586</v>
      </c>
      <c r="G156" s="450" t="str">
        <f>'Validacao(1)'!BC125</f>
        <v>Não foi preenchido se o estudo foi conduzido em laboratório com BPL</v>
      </c>
      <c r="H156" s="456" t="str">
        <f t="shared" ca="1" si="4"/>
        <v/>
      </c>
      <c r="I156" s="456" t="str">
        <f t="shared" ca="1" si="5"/>
        <v/>
      </c>
      <c r="J156" s="419"/>
      <c r="K156" s="20"/>
      <c r="L156" s="20"/>
      <c r="N156" s="25">
        <f>COUNTIF($A$29:A156,"x")</f>
        <v>7</v>
      </c>
      <c r="O156" s="25">
        <f ca="1">'Validacao(1)'!BB125</f>
        <v>0</v>
      </c>
      <c r="P156" s="25">
        <f ca="1">'Validacao(2)'!BB125</f>
        <v>0</v>
      </c>
      <c r="Q156" s="25"/>
      <c r="R156" s="25"/>
      <c r="S156" s="25"/>
      <c r="T156" s="25"/>
      <c r="U156" s="25"/>
      <c r="V156" s="25"/>
      <c r="W156" s="25"/>
      <c r="X156" s="449"/>
      <c r="Y156" s="449"/>
      <c r="Z156" s="449"/>
      <c r="AA156" s="20"/>
    </row>
    <row r="157" spans="1:27" s="2" customFormat="1" ht="20.100000000000001" customHeight="1" outlineLevel="1" x14ac:dyDescent="0.25">
      <c r="A157" s="446"/>
      <c r="B157" s="1"/>
      <c r="C157" s="1"/>
      <c r="D157" s="1"/>
      <c r="E157" s="1"/>
      <c r="F157" s="447" t="s">
        <v>6587</v>
      </c>
      <c r="G157" s="450" t="str">
        <f>'Validacao(1)'!BC126</f>
        <v>Não foi preenchido o protocolo</v>
      </c>
      <c r="H157" s="456" t="str">
        <f t="shared" ca="1" si="4"/>
        <v/>
      </c>
      <c r="I157" s="456" t="str">
        <f t="shared" ca="1" si="5"/>
        <v/>
      </c>
      <c r="J157" s="419"/>
      <c r="K157" s="20"/>
      <c r="L157" s="20"/>
      <c r="N157" s="25">
        <f>COUNTIF($A$29:A157,"x")</f>
        <v>7</v>
      </c>
      <c r="O157" s="25">
        <f ca="1">'Validacao(1)'!BB126</f>
        <v>0</v>
      </c>
      <c r="P157" s="25">
        <f ca="1">'Validacao(2)'!BB126</f>
        <v>0</v>
      </c>
      <c r="Q157" s="25"/>
      <c r="R157" s="25"/>
      <c r="S157" s="25"/>
      <c r="T157" s="25"/>
      <c r="U157" s="25"/>
      <c r="V157" s="25"/>
      <c r="W157" s="25"/>
      <c r="X157" s="449"/>
      <c r="Y157" s="449"/>
      <c r="Z157" s="449"/>
      <c r="AA157" s="20"/>
    </row>
    <row r="158" spans="1:27" s="2" customFormat="1" ht="20.100000000000001" customHeight="1" outlineLevel="1" x14ac:dyDescent="0.25">
      <c r="A158" s="446"/>
      <c r="B158" s="1"/>
      <c r="C158" s="1"/>
      <c r="D158" s="1"/>
      <c r="E158" s="1"/>
      <c r="F158" s="447" t="s">
        <v>6588</v>
      </c>
      <c r="G158" s="450" t="str">
        <f>'Validacao(1)'!BC127</f>
        <v>Não foi preenchido a data de início</v>
      </c>
      <c r="H158" s="456" t="str">
        <f t="shared" ca="1" si="4"/>
        <v/>
      </c>
      <c r="I158" s="456" t="str">
        <f t="shared" ca="1" si="5"/>
        <v/>
      </c>
      <c r="J158" s="419"/>
      <c r="K158" s="20"/>
      <c r="L158" s="20"/>
      <c r="N158" s="25">
        <f>COUNTIF($A$29:A158,"x")</f>
        <v>7</v>
      </c>
      <c r="O158" s="25">
        <f ca="1">'Validacao(1)'!BB127</f>
        <v>0</v>
      </c>
      <c r="P158" s="25">
        <f ca="1">'Validacao(2)'!BB127</f>
        <v>0</v>
      </c>
      <c r="Q158" s="25"/>
      <c r="R158" s="25"/>
      <c r="S158" s="25"/>
      <c r="T158" s="25"/>
      <c r="U158" s="25"/>
      <c r="V158" s="25"/>
      <c r="W158" s="25"/>
      <c r="X158" s="449"/>
      <c r="Y158" s="449"/>
      <c r="Z158" s="449"/>
      <c r="AA158" s="20"/>
    </row>
    <row r="159" spans="1:27" s="2" customFormat="1" ht="20.100000000000001" customHeight="1" outlineLevel="1" x14ac:dyDescent="0.25">
      <c r="A159" s="446"/>
      <c r="B159" s="1"/>
      <c r="C159" s="1"/>
      <c r="D159" s="1"/>
      <c r="E159" s="1"/>
      <c r="F159" s="447" t="s">
        <v>6589</v>
      </c>
      <c r="G159" s="450" t="str">
        <f>'Validacao(1)'!BC128</f>
        <v>Não foi preenchido a data de conclusão</v>
      </c>
      <c r="H159" s="456" t="str">
        <f t="shared" ca="1" si="4"/>
        <v/>
      </c>
      <c r="I159" s="456" t="str">
        <f t="shared" ca="1" si="5"/>
        <v/>
      </c>
      <c r="J159" s="419"/>
      <c r="K159" s="20"/>
      <c r="L159" s="20"/>
      <c r="N159" s="25">
        <f>COUNTIF($A$29:A159,"x")</f>
        <v>7</v>
      </c>
      <c r="O159" s="25">
        <f ca="1">'Validacao(1)'!BB128</f>
        <v>0</v>
      </c>
      <c r="P159" s="25">
        <f ca="1">'Validacao(2)'!BB128</f>
        <v>0</v>
      </c>
      <c r="Q159" s="25"/>
      <c r="R159" s="25"/>
      <c r="S159" s="25"/>
      <c r="T159" s="25"/>
      <c r="U159" s="25"/>
      <c r="V159" s="25"/>
      <c r="W159" s="25"/>
      <c r="X159" s="449"/>
      <c r="Y159" s="449"/>
      <c r="Z159" s="449"/>
      <c r="AA159" s="20"/>
    </row>
    <row r="160" spans="1:27" s="2" customFormat="1" ht="20.100000000000001" customHeight="1" outlineLevel="1" x14ac:dyDescent="0.25">
      <c r="A160" s="446"/>
      <c r="B160" s="1"/>
      <c r="C160" s="1"/>
      <c r="D160" s="1"/>
      <c r="E160" s="1"/>
      <c r="F160" s="447" t="s">
        <v>6590</v>
      </c>
      <c r="G160" s="450" t="str">
        <f>'Validacao(1)'!BC129</f>
        <v xml:space="preserve">Não foi preenchido o código do certificado de análise </v>
      </c>
      <c r="H160" s="456" t="str">
        <f t="shared" ca="1" si="4"/>
        <v/>
      </c>
      <c r="I160" s="456" t="str">
        <f t="shared" ca="1" si="5"/>
        <v/>
      </c>
      <c r="J160" s="419"/>
      <c r="K160" s="20"/>
      <c r="L160" s="20"/>
      <c r="N160" s="25">
        <f>COUNTIF($A$29:A160,"x")</f>
        <v>7</v>
      </c>
      <c r="O160" s="25">
        <f ca="1">'Validacao(1)'!BB129</f>
        <v>0</v>
      </c>
      <c r="P160" s="25">
        <f ca="1">'Validacao(2)'!BB129</f>
        <v>0</v>
      </c>
      <c r="Q160" s="25"/>
      <c r="R160" s="25"/>
      <c r="S160" s="25"/>
      <c r="T160" s="25"/>
      <c r="U160" s="25"/>
      <c r="V160" s="25"/>
      <c r="W160" s="25"/>
      <c r="X160" s="449"/>
      <c r="Y160" s="449"/>
      <c r="Z160" s="449"/>
      <c r="AA160" s="20"/>
    </row>
    <row r="161" spans="1:27" s="2" customFormat="1" ht="20.100000000000001" customHeight="1" outlineLevel="1" x14ac:dyDescent="0.25">
      <c r="A161" s="446"/>
      <c r="B161" s="1"/>
      <c r="C161" s="1"/>
      <c r="D161" s="1"/>
      <c r="E161" s="1"/>
      <c r="F161" s="447" t="s">
        <v>6591</v>
      </c>
      <c r="G161" s="450" t="str">
        <f>'Validacao(1)'!BC130</f>
        <v>Não foi preenchido a espécie</v>
      </c>
      <c r="H161" s="456" t="str">
        <f t="shared" ca="1" si="4"/>
        <v/>
      </c>
      <c r="I161" s="456" t="str">
        <f t="shared" ca="1" si="5"/>
        <v/>
      </c>
      <c r="J161" s="419"/>
      <c r="K161" s="20"/>
      <c r="L161" s="20"/>
      <c r="N161" s="25">
        <f>COUNTIF($A$29:A161,"x")</f>
        <v>7</v>
      </c>
      <c r="O161" s="25">
        <f ca="1">'Validacao(1)'!BB130</f>
        <v>0</v>
      </c>
      <c r="P161" s="25">
        <f ca="1">'Validacao(2)'!BB130</f>
        <v>0</v>
      </c>
      <c r="Q161" s="25"/>
      <c r="R161" s="25"/>
      <c r="S161" s="25"/>
      <c r="T161" s="25"/>
      <c r="U161" s="25"/>
      <c r="V161" s="25"/>
      <c r="W161" s="25"/>
      <c r="X161" s="449"/>
      <c r="Y161" s="449"/>
      <c r="Z161" s="449"/>
      <c r="AA161" s="20"/>
    </row>
    <row r="162" spans="1:27" s="2" customFormat="1" ht="20.100000000000001" customHeight="1" outlineLevel="1" x14ac:dyDescent="0.25">
      <c r="A162" s="446"/>
      <c r="B162" s="1"/>
      <c r="C162" s="1"/>
      <c r="D162" s="1"/>
      <c r="E162" s="1"/>
      <c r="F162" s="447" t="s">
        <v>6592</v>
      </c>
      <c r="G162" s="450" t="str">
        <f>'Validacao(1)'!BC131</f>
        <v>Não foi preenchida a mortalidade de machos para alguma das doses</v>
      </c>
      <c r="H162" s="456" t="str">
        <f t="shared" ca="1" si="4"/>
        <v/>
      </c>
      <c r="I162" s="456" t="str">
        <f t="shared" ca="1" si="5"/>
        <v/>
      </c>
      <c r="J162" s="419"/>
      <c r="K162" s="20"/>
      <c r="L162" s="20"/>
      <c r="N162" s="25">
        <f>COUNTIF($A$29:A162,"x")</f>
        <v>7</v>
      </c>
      <c r="O162" s="25">
        <f ca="1">'Validacao(1)'!BB131</f>
        <v>0</v>
      </c>
      <c r="P162" s="25">
        <f ca="1">'Validacao(2)'!BB131</f>
        <v>0</v>
      </c>
      <c r="Q162" s="25"/>
      <c r="R162" s="25"/>
      <c r="S162" s="25"/>
      <c r="T162" s="25"/>
      <c r="U162" s="25"/>
      <c r="V162" s="25"/>
      <c r="W162" s="25"/>
      <c r="X162" s="449"/>
      <c r="Y162" s="449"/>
      <c r="Z162" s="449"/>
      <c r="AA162" s="20"/>
    </row>
    <row r="163" spans="1:27" s="2" customFormat="1" ht="20.100000000000001" customHeight="1" outlineLevel="1" x14ac:dyDescent="0.25">
      <c r="A163" s="446"/>
      <c r="B163" s="1"/>
      <c r="C163" s="1"/>
      <c r="D163" s="1"/>
      <c r="E163" s="1"/>
      <c r="F163" s="447" t="s">
        <v>6593</v>
      </c>
      <c r="G163" s="450" t="str">
        <f>'Validacao(1)'!BC132</f>
        <v>Não foi preenchida a mortalidade de fêmeas para alguma das doses</v>
      </c>
      <c r="H163" s="456" t="str">
        <f t="shared" ca="1" si="4"/>
        <v/>
      </c>
      <c r="I163" s="456" t="str">
        <f t="shared" ca="1" si="5"/>
        <v/>
      </c>
      <c r="J163" s="419"/>
      <c r="K163" s="20"/>
      <c r="L163" s="20"/>
      <c r="N163" s="25">
        <f>COUNTIF($A$29:A163,"x")</f>
        <v>7</v>
      </c>
      <c r="O163" s="25">
        <f ca="1">'Validacao(1)'!BB132</f>
        <v>0</v>
      </c>
      <c r="P163" s="25">
        <f ca="1">'Validacao(2)'!BB132</f>
        <v>0</v>
      </c>
      <c r="Q163" s="25"/>
      <c r="R163" s="25"/>
      <c r="S163" s="25"/>
      <c r="T163" s="25"/>
      <c r="U163" s="25"/>
      <c r="V163" s="25"/>
      <c r="W163" s="25"/>
      <c r="X163" s="449"/>
      <c r="Y163" s="449"/>
      <c r="Z163" s="449"/>
      <c r="AA163" s="20"/>
    </row>
    <row r="164" spans="1:27" s="2" customFormat="1" ht="20.100000000000001" customHeight="1" outlineLevel="1" x14ac:dyDescent="0.25">
      <c r="A164" s="446"/>
      <c r="B164" s="1"/>
      <c r="C164" s="1"/>
      <c r="D164" s="1"/>
      <c r="E164" s="1"/>
      <c r="F164" s="447" t="s">
        <v>6594</v>
      </c>
      <c r="G164" s="450" t="str">
        <f>'Validacao(1)'!BC133</f>
        <v>Não foi preenchido se houve desvio ao protocolo</v>
      </c>
      <c r="H164" s="456" t="str">
        <f t="shared" ca="1" si="4"/>
        <v/>
      </c>
      <c r="I164" s="456" t="str">
        <f t="shared" ca="1" si="5"/>
        <v/>
      </c>
      <c r="J164" s="419"/>
      <c r="K164" s="20"/>
      <c r="L164" s="20"/>
      <c r="N164" s="25">
        <f>COUNTIF($A$29:A164,"x")</f>
        <v>7</v>
      </c>
      <c r="O164" s="25">
        <f ca="1">'Validacao(1)'!BB133</f>
        <v>0</v>
      </c>
      <c r="P164" s="25">
        <f ca="1">'Validacao(2)'!BB133</f>
        <v>0</v>
      </c>
      <c r="Q164" s="25"/>
      <c r="R164" s="25"/>
      <c r="S164" s="25"/>
      <c r="T164" s="25"/>
      <c r="U164" s="25"/>
      <c r="V164" s="25"/>
      <c r="W164" s="25"/>
      <c r="X164" s="449"/>
      <c r="Y164" s="449"/>
      <c r="Z164" s="449"/>
      <c r="AA164" s="20"/>
    </row>
    <row r="165" spans="1:27" s="2" customFormat="1" ht="20.100000000000001" customHeight="1" outlineLevel="1" x14ac:dyDescent="0.25">
      <c r="A165" s="446"/>
      <c r="B165" s="1"/>
      <c r="C165" s="1"/>
      <c r="D165" s="1"/>
      <c r="E165" s="1"/>
      <c r="F165" s="447" t="s">
        <v>6595</v>
      </c>
      <c r="G165" s="450" t="str">
        <f>'Validacao(1)'!BC134</f>
        <v/>
      </c>
      <c r="H165" s="456" t="str">
        <f t="shared" si="4"/>
        <v/>
      </c>
      <c r="I165" s="456" t="str">
        <f t="shared" ca="1" si="5"/>
        <v/>
      </c>
      <c r="J165" s="419"/>
      <c r="K165" s="20"/>
      <c r="L165" s="20"/>
      <c r="N165" s="25">
        <f>COUNTIF($A$29:A165,"x")</f>
        <v>7</v>
      </c>
      <c r="O165" s="25">
        <f>'Validacao(1)'!BB134</f>
        <v>0</v>
      </c>
      <c r="P165" s="25">
        <f ca="1">'Validacao(2)'!BB134</f>
        <v>0</v>
      </c>
      <c r="Q165" s="25"/>
      <c r="R165" s="25"/>
      <c r="S165" s="25"/>
      <c r="T165" s="25"/>
      <c r="U165" s="25"/>
      <c r="V165" s="25"/>
      <c r="W165" s="25"/>
      <c r="X165" s="449"/>
      <c r="Y165" s="449"/>
      <c r="Z165" s="449"/>
      <c r="AA165" s="20"/>
    </row>
    <row r="166" spans="1:27" s="2" customFormat="1" ht="20.100000000000001" customHeight="1" outlineLevel="1" x14ac:dyDescent="0.25">
      <c r="A166" s="446"/>
      <c r="B166" s="1"/>
      <c r="C166" s="1"/>
      <c r="D166" s="1"/>
      <c r="E166" s="1"/>
      <c r="F166" s="447" t="s">
        <v>6596</v>
      </c>
      <c r="G166" s="450" t="str">
        <f>'Validacao(1)'!BC135</f>
        <v>Não foi preenchida a DL50 cutânea</v>
      </c>
      <c r="H166" s="456" t="str">
        <f t="shared" ca="1" si="4"/>
        <v/>
      </c>
      <c r="I166" s="456" t="str">
        <f t="shared" ca="1" si="5"/>
        <v/>
      </c>
      <c r="J166" s="419"/>
      <c r="K166" s="20"/>
      <c r="L166" s="20"/>
      <c r="N166" s="25">
        <f>COUNTIF($A$29:A166,"x")</f>
        <v>7</v>
      </c>
      <c r="O166" s="25">
        <f ca="1">'Validacao(1)'!BB135</f>
        <v>0</v>
      </c>
      <c r="P166" s="25">
        <f ca="1">'Validacao(2)'!BB135</f>
        <v>0</v>
      </c>
      <c r="Q166" s="25"/>
      <c r="R166" s="25"/>
      <c r="S166" s="25"/>
      <c r="T166" s="25"/>
      <c r="U166" s="25"/>
      <c r="V166" s="25"/>
      <c r="W166" s="25"/>
      <c r="X166" s="449"/>
      <c r="Y166" s="449"/>
      <c r="Z166" s="449"/>
      <c r="AA166" s="20"/>
    </row>
    <row r="167" spans="1:27" s="2" customFormat="1" ht="20.100000000000001" customHeight="1" outlineLevel="1" x14ac:dyDescent="0.25">
      <c r="A167" s="446"/>
      <c r="B167" s="1"/>
      <c r="C167" s="1"/>
      <c r="D167" s="1"/>
      <c r="E167" s="1"/>
      <c r="F167" s="447" t="s">
        <v>6597</v>
      </c>
      <c r="G167" s="450" t="str">
        <f>'Validacao(1)'!BC136</f>
        <v>Não foi preenchida a conclusão</v>
      </c>
      <c r="H167" s="456" t="str">
        <f t="shared" ca="1" si="4"/>
        <v/>
      </c>
      <c r="I167" s="456" t="str">
        <f t="shared" ca="1" si="5"/>
        <v/>
      </c>
      <c r="J167" s="419"/>
      <c r="K167" s="20"/>
      <c r="L167" s="20"/>
      <c r="N167" s="25">
        <f>COUNTIF($A$29:A167,"x")</f>
        <v>7</v>
      </c>
      <c r="O167" s="25">
        <f ca="1">'Validacao(1)'!BB136</f>
        <v>0</v>
      </c>
      <c r="P167" s="25">
        <f ca="1">'Validacao(2)'!BB136</f>
        <v>0</v>
      </c>
      <c r="Q167" s="25"/>
      <c r="R167" s="25"/>
      <c r="S167" s="25"/>
      <c r="T167" s="25"/>
      <c r="U167" s="25"/>
      <c r="V167" s="25"/>
      <c r="W167" s="25"/>
      <c r="X167" s="449"/>
      <c r="Y167" s="449"/>
      <c r="Z167" s="449"/>
      <c r="AA167" s="20"/>
    </row>
    <row r="168" spans="1:27" s="2" customFormat="1" ht="20.100000000000001" customHeight="1" outlineLevel="1" x14ac:dyDescent="0.25">
      <c r="A168" s="446"/>
      <c r="B168" s="1"/>
      <c r="C168" s="1"/>
      <c r="D168" s="1"/>
      <c r="E168" s="1"/>
      <c r="F168" s="447" t="s">
        <v>6598</v>
      </c>
      <c r="G168" s="450" t="str">
        <f>'Validacao(1)'!BC137</f>
        <v>Foi solicitada a dispensa de apresentação do estudo</v>
      </c>
      <c r="H168" s="456" t="str">
        <f t="shared" ca="1" si="4"/>
        <v/>
      </c>
      <c r="I168" s="456" t="str">
        <f t="shared" ca="1" si="5"/>
        <v/>
      </c>
      <c r="J168" s="419"/>
      <c r="K168" s="20"/>
      <c r="L168" s="20"/>
      <c r="N168" s="25">
        <f>COUNTIF($A$29:A168,"x")</f>
        <v>7</v>
      </c>
      <c r="O168" s="25">
        <f ca="1">'Validacao(1)'!BB137</f>
        <v>0</v>
      </c>
      <c r="P168" s="25">
        <f ca="1">'Validacao(2)'!BB137</f>
        <v>0</v>
      </c>
      <c r="Q168" s="25"/>
      <c r="R168" s="25"/>
      <c r="S168" s="25"/>
      <c r="T168" s="25"/>
      <c r="U168" s="25"/>
      <c r="V168" s="25"/>
      <c r="W168" s="25"/>
      <c r="X168" s="449"/>
      <c r="Y168" s="449"/>
      <c r="Z168" s="449"/>
      <c r="AA168" s="20"/>
    </row>
    <row r="169" spans="1:27" s="2" customFormat="1" ht="20.100000000000001" customHeight="1" outlineLevel="1" x14ac:dyDescent="0.25">
      <c r="A169" s="446"/>
      <c r="B169" s="1"/>
      <c r="C169" s="1"/>
      <c r="D169" s="1"/>
      <c r="E169" s="1"/>
      <c r="F169" s="447" t="s">
        <v>6599</v>
      </c>
      <c r="G169" s="450" t="str">
        <f>'Validacao(1)'!BC138</f>
        <v>Estudo conduzido em laboratório sem BPL</v>
      </c>
      <c r="H169" s="456" t="str">
        <f t="shared" ca="1" si="4"/>
        <v/>
      </c>
      <c r="I169" s="456" t="str">
        <f t="shared" ca="1" si="5"/>
        <v/>
      </c>
      <c r="J169" s="419"/>
      <c r="K169" s="20"/>
      <c r="L169" s="20"/>
      <c r="N169" s="25">
        <f>COUNTIF($A$29:A169,"x")</f>
        <v>7</v>
      </c>
      <c r="O169" s="25">
        <f ca="1">'Validacao(1)'!BB138</f>
        <v>0</v>
      </c>
      <c r="P169" s="25">
        <f ca="1">'Validacao(2)'!BB138</f>
        <v>0</v>
      </c>
      <c r="Q169" s="25"/>
      <c r="R169" s="25"/>
      <c r="S169" s="25"/>
      <c r="T169" s="25"/>
      <c r="U169" s="25"/>
      <c r="V169" s="25"/>
      <c r="W169" s="25"/>
      <c r="X169" s="449"/>
      <c r="Y169" s="449"/>
      <c r="Z169" s="449"/>
      <c r="AA169" s="20"/>
    </row>
    <row r="170" spans="1:27" s="2" customFormat="1" ht="20.100000000000001" customHeight="1" outlineLevel="1" x14ac:dyDescent="0.25">
      <c r="A170" s="446"/>
      <c r="B170" s="1"/>
      <c r="C170" s="1"/>
      <c r="D170" s="1"/>
      <c r="E170" s="1"/>
      <c r="F170" s="447" t="s">
        <v>6600</v>
      </c>
      <c r="G170" s="450" t="str">
        <f>'Validacao(1)'!BC139</f>
        <v>Foram descritos desvios ao protocolo</v>
      </c>
      <c r="H170" s="456" t="str">
        <f t="shared" ca="1" si="4"/>
        <v/>
      </c>
      <c r="I170" s="456" t="str">
        <f t="shared" ca="1" si="5"/>
        <v/>
      </c>
      <c r="J170" s="419"/>
      <c r="K170" s="20"/>
      <c r="L170" s="20"/>
      <c r="N170" s="25">
        <f>COUNTIF($A$29:A170,"x")</f>
        <v>7</v>
      </c>
      <c r="O170" s="25">
        <f ca="1">'Validacao(1)'!BB139</f>
        <v>0</v>
      </c>
      <c r="P170" s="25">
        <f ca="1">'Validacao(2)'!BB139</f>
        <v>0</v>
      </c>
      <c r="Q170" s="25"/>
      <c r="R170" s="25"/>
      <c r="S170" s="25"/>
      <c r="T170" s="25"/>
      <c r="U170" s="25"/>
      <c r="V170" s="25"/>
      <c r="W170" s="25"/>
      <c r="X170" s="449"/>
      <c r="Y170" s="449"/>
      <c r="Z170" s="449"/>
      <c r="AA170" s="20"/>
    </row>
    <row r="171" spans="1:27" s="2" customFormat="1" ht="20.100000000000001" customHeight="1" outlineLevel="1" x14ac:dyDescent="0.25">
      <c r="A171" s="446"/>
      <c r="B171" s="1"/>
      <c r="C171" s="1"/>
      <c r="D171" s="1"/>
      <c r="E171" s="1"/>
      <c r="F171" s="447" t="s">
        <v>6601</v>
      </c>
      <c r="G171" s="450" t="str">
        <f>'Validacao(1)'!BC140</f>
        <v>Os desvios inteferiram nos resultados</v>
      </c>
      <c r="H171" s="456" t="str">
        <f t="shared" ca="1" si="4"/>
        <v/>
      </c>
      <c r="I171" s="456" t="str">
        <f t="shared" ca="1" si="5"/>
        <v/>
      </c>
      <c r="J171" s="419"/>
      <c r="K171" s="20"/>
      <c r="L171" s="20"/>
      <c r="N171" s="25">
        <f>COUNTIF($A$29:A171,"x")</f>
        <v>7</v>
      </c>
      <c r="O171" s="25">
        <f ca="1">'Validacao(1)'!BB140</f>
        <v>0</v>
      </c>
      <c r="P171" s="25">
        <f ca="1">'Validacao(2)'!BB140</f>
        <v>0</v>
      </c>
      <c r="Q171" s="25"/>
      <c r="R171" s="25"/>
      <c r="S171" s="25"/>
      <c r="T171" s="25"/>
      <c r="U171" s="25"/>
      <c r="V171" s="25"/>
      <c r="W171" s="25"/>
      <c r="X171" s="449"/>
      <c r="Y171" s="449"/>
      <c r="Z171" s="449"/>
      <c r="AA171" s="20"/>
    </row>
    <row r="172" spans="1:27" s="2" customFormat="1" ht="20.100000000000001" customHeight="1" outlineLevel="1" x14ac:dyDescent="0.25">
      <c r="A172" s="446"/>
      <c r="B172" s="1"/>
      <c r="C172" s="1"/>
      <c r="D172" s="1"/>
      <c r="E172" s="1"/>
      <c r="F172" s="447" t="s">
        <v>6602</v>
      </c>
      <c r="G172" s="450" t="str">
        <f>'Validacao(1)'!BC141</f>
        <v>O certificado não foi preenchido na aba "Certificados"</v>
      </c>
      <c r="H172" s="456" t="str">
        <f t="shared" ca="1" si="4"/>
        <v/>
      </c>
      <c r="I172" s="456" t="str">
        <f t="shared" ca="1" si="5"/>
        <v/>
      </c>
      <c r="J172" s="419"/>
      <c r="K172" s="20"/>
      <c r="L172" s="20"/>
      <c r="N172" s="25">
        <f>COUNTIF($A$29:A172,"x")</f>
        <v>7</v>
      </c>
      <c r="O172" s="25">
        <f ca="1">'Validacao(1)'!BB141</f>
        <v>0</v>
      </c>
      <c r="P172" s="25">
        <f ca="1">'Validacao(2)'!BB141</f>
        <v>0</v>
      </c>
      <c r="Q172" s="25"/>
      <c r="R172" s="25"/>
      <c r="S172" s="25"/>
      <c r="T172" s="25"/>
      <c r="U172" s="25"/>
      <c r="V172" s="25"/>
      <c r="W172" s="25"/>
      <c r="X172" s="449"/>
      <c r="Y172" s="449"/>
      <c r="Z172" s="449"/>
      <c r="AA172" s="20"/>
    </row>
    <row r="173" spans="1:27" s="2" customFormat="1" ht="20.100000000000001" customHeight="1" outlineLevel="1" x14ac:dyDescent="0.25">
      <c r="A173" s="446"/>
      <c r="B173" s="1"/>
      <c r="C173" s="1"/>
      <c r="D173" s="1"/>
      <c r="E173" s="1"/>
      <c r="F173" s="447" t="s">
        <v>6603</v>
      </c>
      <c r="G173" s="450" t="str">
        <f>'Validacao(1)'!BC142</f>
        <v>Estudo conduzido com amostra vencida</v>
      </c>
      <c r="H173" s="456" t="str">
        <f t="shared" ca="1" si="4"/>
        <v/>
      </c>
      <c r="I173" s="456" t="str">
        <f t="shared" ca="1" si="5"/>
        <v/>
      </c>
      <c r="J173" s="419"/>
      <c r="K173" s="20"/>
      <c r="L173" s="20"/>
      <c r="N173" s="25">
        <f>COUNTIF($A$29:A173,"x")</f>
        <v>7</v>
      </c>
      <c r="O173" s="25">
        <f ca="1">'Validacao(1)'!BB142</f>
        <v>0</v>
      </c>
      <c r="P173" s="25">
        <f ca="1">'Validacao(2)'!BB142</f>
        <v>0</v>
      </c>
      <c r="Q173" s="25"/>
      <c r="R173" s="25"/>
      <c r="S173" s="25"/>
      <c r="T173" s="25"/>
      <c r="U173" s="25"/>
      <c r="V173" s="25"/>
      <c r="W173" s="25"/>
      <c r="X173" s="449"/>
      <c r="Y173" s="449"/>
      <c r="Z173" s="449"/>
      <c r="AA173" s="20"/>
    </row>
    <row r="174" spans="1:27" s="2" customFormat="1" ht="20.100000000000001" customHeight="1" outlineLevel="1" x14ac:dyDescent="0.25">
      <c r="A174" s="446"/>
      <c r="B174" s="1"/>
      <c r="C174" s="1"/>
      <c r="D174" s="1"/>
      <c r="E174" s="1"/>
      <c r="F174" s="447" t="s">
        <v>6604</v>
      </c>
      <c r="G174" s="450" t="str">
        <f>'Validacao(1)'!BC143</f>
        <v>Estudo conduzido com amostra fora da DCQQ</v>
      </c>
      <c r="H174" s="456" t="str">
        <f t="shared" ca="1" si="4"/>
        <v/>
      </c>
      <c r="I174" s="456" t="str">
        <f t="shared" ca="1" si="5"/>
        <v/>
      </c>
      <c r="J174" s="419"/>
      <c r="K174" s="20"/>
      <c r="L174" s="20"/>
      <c r="N174" s="25">
        <f>COUNTIF($A$29:A174,"x")</f>
        <v>7</v>
      </c>
      <c r="O174" s="25">
        <f ca="1">'Validacao(1)'!BB143</f>
        <v>0</v>
      </c>
      <c r="P174" s="25">
        <f ca="1">'Validacao(2)'!BB143</f>
        <v>0</v>
      </c>
      <c r="Q174" s="25"/>
      <c r="R174" s="25"/>
      <c r="S174" s="25"/>
      <c r="T174" s="25"/>
      <c r="U174" s="25"/>
      <c r="V174" s="25"/>
      <c r="W174" s="25"/>
      <c r="X174" s="449"/>
      <c r="Y174" s="449"/>
      <c r="Z174" s="449"/>
      <c r="AA174" s="20"/>
    </row>
    <row r="175" spans="1:27" s="2" customFormat="1" ht="20.100000000000001" customHeight="1" outlineLevel="1" x14ac:dyDescent="0.25">
      <c r="A175" s="446"/>
      <c r="B175" s="1"/>
      <c r="C175" s="1"/>
      <c r="D175" s="1"/>
      <c r="E175" s="1"/>
      <c r="F175" s="447" t="s">
        <v>6605</v>
      </c>
      <c r="G175" s="450" t="str">
        <f>'Validacao(1)'!BC144</f>
        <v>Houve sinais de toxicidade nos animais</v>
      </c>
      <c r="H175" s="456" t="str">
        <f t="shared" ca="1" si="4"/>
        <v/>
      </c>
      <c r="I175" s="456" t="str">
        <f t="shared" ca="1" si="5"/>
        <v/>
      </c>
      <c r="J175" s="419"/>
      <c r="K175" s="20"/>
      <c r="L175" s="20"/>
      <c r="N175" s="25">
        <f>COUNTIF($A$29:A175,"x")</f>
        <v>7</v>
      </c>
      <c r="O175" s="25">
        <f ca="1">'Validacao(1)'!BB144</f>
        <v>0</v>
      </c>
      <c r="P175" s="25">
        <f ca="1">'Validacao(2)'!BB144</f>
        <v>0</v>
      </c>
      <c r="Q175" s="25"/>
      <c r="R175" s="25"/>
      <c r="S175" s="25"/>
      <c r="T175" s="25"/>
      <c r="U175" s="25"/>
      <c r="V175" s="25"/>
      <c r="W175" s="25"/>
      <c r="X175" s="449"/>
      <c r="Y175" s="449"/>
      <c r="Z175" s="449"/>
      <c r="AA175" s="20"/>
    </row>
    <row r="176" spans="1:27" s="2" customFormat="1" ht="20.100000000000001" customHeight="1" outlineLevel="1" x14ac:dyDescent="0.25">
      <c r="A176" s="446"/>
      <c r="B176" s="1"/>
      <c r="C176" s="1"/>
      <c r="D176" s="1"/>
      <c r="E176" s="1"/>
      <c r="F176" s="447" t="s">
        <v>6606</v>
      </c>
      <c r="G176" s="450" t="str">
        <f>'Validacao(1)'!BC145</f>
        <v/>
      </c>
      <c r="H176" s="456" t="str">
        <f t="shared" si="4"/>
        <v/>
      </c>
      <c r="I176" s="456" t="str">
        <f t="shared" si="5"/>
        <v/>
      </c>
      <c r="J176" s="419"/>
      <c r="K176" s="20"/>
      <c r="L176" s="20"/>
      <c r="N176" s="25">
        <f>COUNTIF($A$29:A176,"x")</f>
        <v>7</v>
      </c>
      <c r="O176" s="25">
        <f>'Validacao(1)'!BB145</f>
        <v>0</v>
      </c>
      <c r="P176" s="25">
        <f>'Validacao(2)'!BB145</f>
        <v>0</v>
      </c>
      <c r="Q176" s="25"/>
      <c r="R176" s="25"/>
      <c r="S176" s="25"/>
      <c r="T176" s="25"/>
      <c r="U176" s="25"/>
      <c r="V176" s="25"/>
      <c r="W176" s="25"/>
      <c r="X176" s="449"/>
      <c r="Y176" s="449"/>
      <c r="Z176" s="449"/>
      <c r="AA176" s="20"/>
    </row>
    <row r="177" spans="1:27" s="2" customFormat="1" ht="20.100000000000001" customHeight="1" outlineLevel="1" x14ac:dyDescent="0.25">
      <c r="A177" s="446"/>
      <c r="B177" s="1"/>
      <c r="C177" s="1"/>
      <c r="D177" s="1"/>
      <c r="E177" s="1"/>
      <c r="F177" s="447" t="s">
        <v>6607</v>
      </c>
      <c r="G177" s="450" t="str">
        <f>'Validacao(1)'!BC146</f>
        <v/>
      </c>
      <c r="H177" s="456" t="str">
        <f t="shared" si="4"/>
        <v/>
      </c>
      <c r="I177" s="456" t="str">
        <f t="shared" si="5"/>
        <v/>
      </c>
      <c r="J177" s="419"/>
      <c r="K177" s="20"/>
      <c r="L177" s="20"/>
      <c r="N177" s="25">
        <f>COUNTIF($A$29:A177,"x")</f>
        <v>7</v>
      </c>
      <c r="O177" s="25">
        <f>'Validacao(1)'!BB146</f>
        <v>0</v>
      </c>
      <c r="P177" s="25">
        <f>'Validacao(2)'!BB146</f>
        <v>0</v>
      </c>
      <c r="Q177" s="25"/>
      <c r="R177" s="25"/>
      <c r="S177" s="25"/>
      <c r="T177" s="25"/>
      <c r="U177" s="25"/>
      <c r="V177" s="25"/>
      <c r="W177" s="25"/>
      <c r="X177" s="449"/>
      <c r="Y177" s="449"/>
      <c r="Z177" s="449"/>
      <c r="AA177" s="20"/>
    </row>
    <row r="178" spans="1:27" s="2" customFormat="1" ht="20.100000000000001" customHeight="1" outlineLevel="1" x14ac:dyDescent="0.25">
      <c r="A178" s="446"/>
      <c r="B178" s="1"/>
      <c r="C178" s="1"/>
      <c r="D178" s="1"/>
      <c r="E178" s="1"/>
      <c r="F178" s="447" t="s">
        <v>6608</v>
      </c>
      <c r="G178" s="450" t="str">
        <f>'Validacao(1)'!BC147</f>
        <v/>
      </c>
      <c r="H178" s="456" t="str">
        <f t="shared" si="4"/>
        <v/>
      </c>
      <c r="I178" s="456" t="str">
        <f t="shared" si="5"/>
        <v/>
      </c>
      <c r="J178" s="419"/>
      <c r="K178" s="20"/>
      <c r="L178" s="20"/>
      <c r="N178" s="25">
        <f>COUNTIF($A$29:A178,"x")</f>
        <v>7</v>
      </c>
      <c r="O178" s="25">
        <f>'Validacao(1)'!BB147</f>
        <v>0</v>
      </c>
      <c r="P178" s="25">
        <f>'Validacao(2)'!BB147</f>
        <v>0</v>
      </c>
      <c r="Q178" s="25"/>
      <c r="R178" s="25"/>
      <c r="S178" s="25"/>
      <c r="T178" s="25"/>
      <c r="U178" s="25"/>
      <c r="V178" s="25"/>
      <c r="W178" s="25"/>
      <c r="X178" s="449"/>
      <c r="Y178" s="449"/>
      <c r="Z178" s="449"/>
      <c r="AA178" s="20"/>
    </row>
    <row r="179" spans="1:27" s="2" customFormat="1" ht="20.100000000000001" customHeight="1" outlineLevel="1" x14ac:dyDescent="0.25">
      <c r="A179" s="446"/>
      <c r="B179" s="1"/>
      <c r="C179" s="1"/>
      <c r="D179" s="1"/>
      <c r="E179" s="1"/>
      <c r="F179" s="447" t="s">
        <v>6609</v>
      </c>
      <c r="G179" s="450" t="str">
        <f>'Validacao(1)'!BC148</f>
        <v/>
      </c>
      <c r="H179" s="456" t="str">
        <f t="shared" si="4"/>
        <v/>
      </c>
      <c r="I179" s="456" t="str">
        <f t="shared" si="5"/>
        <v/>
      </c>
      <c r="J179" s="419"/>
      <c r="K179" s="20"/>
      <c r="L179" s="20"/>
      <c r="N179" s="25">
        <f>COUNTIF($A$29:A179,"x")</f>
        <v>7</v>
      </c>
      <c r="O179" s="25">
        <f>'Validacao(1)'!BB148</f>
        <v>0</v>
      </c>
      <c r="P179" s="25">
        <f>'Validacao(2)'!BB148</f>
        <v>0</v>
      </c>
      <c r="Q179" s="25"/>
      <c r="R179" s="25"/>
      <c r="S179" s="25"/>
      <c r="T179" s="25"/>
      <c r="U179" s="25"/>
      <c r="V179" s="25"/>
      <c r="W179" s="25"/>
      <c r="X179" s="449"/>
      <c r="Y179" s="449"/>
      <c r="Z179" s="449"/>
      <c r="AA179" s="20"/>
    </row>
    <row r="180" spans="1:27" s="2" customFormat="1" ht="20.100000000000001" customHeight="1" outlineLevel="1" x14ac:dyDescent="0.25">
      <c r="A180" s="446"/>
      <c r="B180" s="1"/>
      <c r="C180" s="1"/>
      <c r="D180" s="1"/>
      <c r="E180" s="1"/>
      <c r="F180" s="447" t="s">
        <v>6610</v>
      </c>
      <c r="G180" s="450" t="str">
        <f>'Validacao(1)'!BC149</f>
        <v/>
      </c>
      <c r="H180" s="456" t="str">
        <f t="shared" si="4"/>
        <v/>
      </c>
      <c r="I180" s="456" t="str">
        <f t="shared" si="5"/>
        <v/>
      </c>
      <c r="J180" s="419"/>
      <c r="K180" s="20"/>
      <c r="L180" s="20"/>
      <c r="N180" s="25">
        <f>COUNTIF($A$29:A180,"x")</f>
        <v>7</v>
      </c>
      <c r="O180" s="25">
        <f>'Validacao(1)'!BB149</f>
        <v>0</v>
      </c>
      <c r="P180" s="25">
        <f>'Validacao(2)'!BB149</f>
        <v>0</v>
      </c>
      <c r="Q180" s="25"/>
      <c r="R180" s="25"/>
      <c r="S180" s="25"/>
      <c r="T180" s="25"/>
      <c r="U180" s="25"/>
      <c r="V180" s="25"/>
      <c r="W180" s="25"/>
      <c r="X180" s="449"/>
      <c r="Y180" s="449"/>
      <c r="Z180" s="449"/>
      <c r="AA180" s="20"/>
    </row>
    <row r="181" spans="1:27" s="2" customFormat="1" ht="20.100000000000001" customHeight="1" outlineLevel="1" x14ac:dyDescent="0.25">
      <c r="A181" s="446"/>
      <c r="B181" s="1"/>
      <c r="C181" s="1"/>
      <c r="D181" s="1"/>
      <c r="E181" s="1"/>
      <c r="F181" s="447" t="s">
        <v>6611</v>
      </c>
      <c r="G181" s="450" t="str">
        <f>'Validacao(1)'!BC150</f>
        <v/>
      </c>
      <c r="H181" s="456" t="str">
        <f t="shared" si="4"/>
        <v/>
      </c>
      <c r="I181" s="456" t="str">
        <f t="shared" si="5"/>
        <v/>
      </c>
      <c r="J181" s="419"/>
      <c r="K181" s="20"/>
      <c r="L181" s="20"/>
      <c r="N181" s="25">
        <f>COUNTIF($A$29:A181,"x")</f>
        <v>7</v>
      </c>
      <c r="O181" s="25">
        <f>'Validacao(1)'!BB150</f>
        <v>0</v>
      </c>
      <c r="P181" s="25">
        <f>'Validacao(2)'!BB150</f>
        <v>0</v>
      </c>
      <c r="Q181" s="25"/>
      <c r="R181" s="25"/>
      <c r="S181" s="25"/>
      <c r="T181" s="25"/>
      <c r="U181" s="25"/>
      <c r="V181" s="25"/>
      <c r="W181" s="25"/>
      <c r="X181" s="449"/>
      <c r="Y181" s="449"/>
      <c r="Z181" s="449"/>
      <c r="AA181" s="20"/>
    </row>
    <row r="182" spans="1:27" s="2" customFormat="1" ht="20.100000000000001" customHeight="1" outlineLevel="1" x14ac:dyDescent="0.25">
      <c r="A182" s="446"/>
      <c r="B182" s="1"/>
      <c r="C182" s="1"/>
      <c r="D182" s="1"/>
      <c r="E182" s="1"/>
      <c r="F182" s="447" t="s">
        <v>6612</v>
      </c>
      <c r="G182" s="450" t="str">
        <f>'Validacao(1)'!BC151</f>
        <v/>
      </c>
      <c r="H182" s="456" t="str">
        <f t="shared" si="4"/>
        <v/>
      </c>
      <c r="I182" s="456" t="str">
        <f t="shared" si="5"/>
        <v/>
      </c>
      <c r="J182" s="419"/>
      <c r="K182" s="20"/>
      <c r="L182" s="20"/>
      <c r="N182" s="25">
        <f>COUNTIF($A$29:A182,"x")</f>
        <v>7</v>
      </c>
      <c r="O182" s="25">
        <f>'Validacao(1)'!BB151</f>
        <v>0</v>
      </c>
      <c r="P182" s="25">
        <f>'Validacao(2)'!BB151</f>
        <v>0</v>
      </c>
      <c r="Q182" s="25"/>
      <c r="R182" s="25"/>
      <c r="S182" s="25"/>
      <c r="T182" s="25"/>
      <c r="U182" s="25"/>
      <c r="V182" s="25"/>
      <c r="W182" s="25"/>
      <c r="X182" s="449"/>
      <c r="Y182" s="449"/>
      <c r="Z182" s="449"/>
      <c r="AA182" s="20"/>
    </row>
    <row r="183" spans="1:27" s="2" customFormat="1" ht="20.100000000000001" customHeight="1" outlineLevel="1" x14ac:dyDescent="0.25">
      <c r="A183" s="446"/>
      <c r="B183" s="1"/>
      <c r="C183" s="1"/>
      <c r="D183" s="1"/>
      <c r="E183" s="1"/>
      <c r="F183" s="447" t="s">
        <v>6613</v>
      </c>
      <c r="G183" s="450" t="str">
        <f>'Validacao(1)'!BC152</f>
        <v/>
      </c>
      <c r="H183" s="456" t="str">
        <f t="shared" si="4"/>
        <v/>
      </c>
      <c r="I183" s="456" t="str">
        <f t="shared" si="5"/>
        <v/>
      </c>
      <c r="J183" s="419"/>
      <c r="K183" s="20"/>
      <c r="L183" s="20"/>
      <c r="N183" s="25">
        <f>COUNTIF($A$29:A183,"x")</f>
        <v>7</v>
      </c>
      <c r="O183" s="25">
        <f>'Validacao(1)'!BB152</f>
        <v>0</v>
      </c>
      <c r="P183" s="25">
        <f>'Validacao(2)'!BB152</f>
        <v>0</v>
      </c>
      <c r="Q183" s="25"/>
      <c r="R183" s="25"/>
      <c r="S183" s="25"/>
      <c r="T183" s="25"/>
      <c r="U183" s="25"/>
      <c r="V183" s="25"/>
      <c r="W183" s="25"/>
      <c r="X183" s="449"/>
      <c r="Y183" s="449"/>
      <c r="Z183" s="449"/>
      <c r="AA183" s="20"/>
    </row>
    <row r="184" spans="1:27" s="2" customFormat="1" ht="30" customHeight="1" x14ac:dyDescent="0.25">
      <c r="A184" s="446" t="s">
        <v>8576</v>
      </c>
      <c r="B184" s="1"/>
      <c r="C184" s="1"/>
      <c r="D184" s="1"/>
      <c r="E184" s="1"/>
      <c r="F184" s="418"/>
      <c r="G184" s="457" t="str">
        <f ca="1">U184</f>
        <v>📂 (✓ ) Toxicidade inalatória  aguda (CL50 inalatória)</v>
      </c>
      <c r="H184" s="454" t="str">
        <f>HYPERLINK(Y184,$V$17)</f>
        <v>Estudo (1)</v>
      </c>
      <c r="I184" s="455" t="str">
        <f>HYPERLINK(Z184,$V$18)</f>
        <v>Estudo (2)</v>
      </c>
      <c r="J184" s="419"/>
      <c r="K184" s="20"/>
      <c r="L184" s="20"/>
      <c r="N184" s="442">
        <f>COUNTIF($A$29:A184,"x")</f>
        <v>8</v>
      </c>
      <c r="O184" s="442" t="s">
        <v>10</v>
      </c>
      <c r="P184" s="442" t="s">
        <v>10</v>
      </c>
      <c r="Q184" s="442">
        <f ca="1">SUMIF(N185:$N$633,N184,O185:$O$633)</f>
        <v>0</v>
      </c>
      <c r="R184" s="442">
        <f ca="1">SUMIF(N185:$N$633,N184,P185:$P$633)</f>
        <v>0</v>
      </c>
      <c r="S184" s="442">
        <f ca="1">Q184+R184</f>
        <v>0</v>
      </c>
      <c r="T184" s="443" t="s">
        <v>6074</v>
      </c>
      <c r="U184" s="443" t="str">
        <f ca="1">$T$4&amp;"("&amp; IF(S184=0,V$23,S184) &amp; ") " &amp; T184</f>
        <v>📂 (✓ ) Toxicidade inalatória  aguda (CL50 inalatória)</v>
      </c>
      <c r="V184" s="443" t="str">
        <f ca="1">IF(Q184&gt;0,$V$24&amp;Q184,"")</f>
        <v/>
      </c>
      <c r="W184" s="443" t="str">
        <f ca="1">IF(R184&gt;0,$V$24&amp;R184,"")</f>
        <v/>
      </c>
      <c r="X184" s="444" t="s">
        <v>8567</v>
      </c>
      <c r="Y184" s="445" t="str">
        <f>$V$19 &amp; $X184 &amp; V$21 &amp; $V$22 &amp; $V$20</f>
        <v>#'CL50(1)'!F2</v>
      </c>
      <c r="Z184" s="445" t="str">
        <f>$V$19 &amp; $X184 &amp; W$21 &amp; $V$22 &amp; $V$20</f>
        <v>#'CL50(2)'!F2</v>
      </c>
      <c r="AA184" s="20"/>
    </row>
    <row r="185" spans="1:27" s="2" customFormat="1" ht="20.100000000000001" customHeight="1" outlineLevel="1" x14ac:dyDescent="0.25">
      <c r="A185" s="446"/>
      <c r="B185" s="1"/>
      <c r="C185" s="1"/>
      <c r="D185" s="1"/>
      <c r="E185" s="1"/>
      <c r="F185" s="447" t="s">
        <v>6614</v>
      </c>
      <c r="G185" s="450" t="str">
        <f>'Validacao(1)'!BC161</f>
        <v>Foi solicitada dispensa de apresentação, mas não foi apresentada qualquer justificativa</v>
      </c>
      <c r="H185" s="456" t="str">
        <f t="shared" ref="H185:H224" ca="1" si="6">IF(O185=1,"x","")</f>
        <v/>
      </c>
      <c r="I185" s="456" t="str">
        <f t="shared" ref="I185:I224" ca="1" si="7">IF(P185=1,"x","")</f>
        <v/>
      </c>
      <c r="J185" s="419"/>
      <c r="K185" s="20"/>
      <c r="L185" s="20"/>
      <c r="N185" s="25">
        <f>COUNTIF($A$29:A185,"x")</f>
        <v>8</v>
      </c>
      <c r="O185" s="25">
        <f ca="1">'Validacao(1)'!BB161</f>
        <v>0</v>
      </c>
      <c r="P185" s="25">
        <f ca="1">'Validacao(2)'!BB161</f>
        <v>0</v>
      </c>
      <c r="Q185" s="25"/>
      <c r="R185" s="25"/>
      <c r="S185" s="25"/>
      <c r="T185" s="25"/>
      <c r="U185" s="25"/>
      <c r="V185" s="25"/>
      <c r="W185" s="25"/>
      <c r="X185" s="449"/>
      <c r="Y185" s="449"/>
      <c r="Z185" s="449"/>
      <c r="AA185" s="20"/>
    </row>
    <row r="186" spans="1:27" s="2" customFormat="1" ht="20.100000000000001" customHeight="1" outlineLevel="1" x14ac:dyDescent="0.25">
      <c r="A186" s="446"/>
      <c r="B186" s="1"/>
      <c r="C186" s="1"/>
      <c r="D186" s="1"/>
      <c r="E186" s="1"/>
      <c r="F186" s="447" t="s">
        <v>6615</v>
      </c>
      <c r="G186" s="450" t="str">
        <f>'Validacao(1)'!BC162</f>
        <v>Não foi preenchido o título do estudo (alerta informativo - as validações só funcionam após o preenchimento deste campo)</v>
      </c>
      <c r="H186" s="456" t="str">
        <f t="shared" ca="1" si="6"/>
        <v/>
      </c>
      <c r="I186" s="456" t="str">
        <f t="shared" ca="1" si="7"/>
        <v/>
      </c>
      <c r="J186" s="419"/>
      <c r="K186" s="20"/>
      <c r="L186" s="20"/>
      <c r="N186" s="25">
        <f>COUNTIF($A$29:A186,"x")</f>
        <v>8</v>
      </c>
      <c r="O186" s="25">
        <f ca="1">'Validacao(1)'!BB162</f>
        <v>0</v>
      </c>
      <c r="P186" s="25">
        <f ca="1">'Validacao(2)'!BB162</f>
        <v>0</v>
      </c>
      <c r="Q186" s="25"/>
      <c r="R186" s="25"/>
      <c r="S186" s="25"/>
      <c r="T186" s="25"/>
      <c r="U186" s="25"/>
      <c r="V186" s="25"/>
      <c r="W186" s="25"/>
      <c r="X186" s="449"/>
      <c r="Y186" s="449"/>
      <c r="Z186" s="449"/>
      <c r="AA186" s="20"/>
    </row>
    <row r="187" spans="1:27" s="2" customFormat="1" ht="20.100000000000001" customHeight="1" outlineLevel="1" x14ac:dyDescent="0.25">
      <c r="A187" s="446"/>
      <c r="B187" s="1"/>
      <c r="C187" s="1"/>
      <c r="D187" s="1"/>
      <c r="E187" s="1"/>
      <c r="F187" s="447" t="s">
        <v>6616</v>
      </c>
      <c r="G187" s="450" t="str">
        <f>'Validacao(1)'!BC163</f>
        <v>Não foi preenchido o código do estudo</v>
      </c>
      <c r="H187" s="456" t="str">
        <f t="shared" ca="1" si="6"/>
        <v/>
      </c>
      <c r="I187" s="456" t="str">
        <f t="shared" ca="1" si="7"/>
        <v/>
      </c>
      <c r="J187" s="419"/>
      <c r="K187" s="20"/>
      <c r="L187" s="20"/>
      <c r="N187" s="25">
        <f>COUNTIF($A$29:A187,"x")</f>
        <v>8</v>
      </c>
      <c r="O187" s="25">
        <f ca="1">'Validacao(1)'!BB163</f>
        <v>0</v>
      </c>
      <c r="P187" s="25">
        <f ca="1">'Validacao(2)'!BB163</f>
        <v>0</v>
      </c>
      <c r="Q187" s="25"/>
      <c r="R187" s="25"/>
      <c r="S187" s="25"/>
      <c r="T187" s="25"/>
      <c r="U187" s="25"/>
      <c r="V187" s="25"/>
      <c r="W187" s="25"/>
      <c r="X187" s="449"/>
      <c r="Y187" s="449"/>
      <c r="Z187" s="449"/>
      <c r="AA187" s="20"/>
    </row>
    <row r="188" spans="1:27" s="2" customFormat="1" ht="20.100000000000001" customHeight="1" outlineLevel="1" x14ac:dyDescent="0.25">
      <c r="A188" s="446"/>
      <c r="B188" s="1"/>
      <c r="C188" s="1"/>
      <c r="D188" s="1"/>
      <c r="E188" s="1"/>
      <c r="F188" s="447" t="s">
        <v>6617</v>
      </c>
      <c r="G188" s="450" t="str">
        <f>'Validacao(1)'!BC164</f>
        <v>Não foi preenchido o nome do laboratório</v>
      </c>
      <c r="H188" s="456" t="str">
        <f t="shared" ca="1" si="6"/>
        <v/>
      </c>
      <c r="I188" s="456" t="str">
        <f t="shared" ca="1" si="7"/>
        <v/>
      </c>
      <c r="J188" s="419"/>
      <c r="K188" s="20"/>
      <c r="L188" s="20"/>
      <c r="N188" s="25">
        <f>COUNTIF($A$29:A188,"x")</f>
        <v>8</v>
      </c>
      <c r="O188" s="25">
        <f ca="1">'Validacao(1)'!BB164</f>
        <v>0</v>
      </c>
      <c r="P188" s="25">
        <f ca="1">'Validacao(2)'!BB164</f>
        <v>0</v>
      </c>
      <c r="Q188" s="25"/>
      <c r="R188" s="25"/>
      <c r="S188" s="25"/>
      <c r="T188" s="25"/>
      <c r="U188" s="25"/>
      <c r="V188" s="25"/>
      <c r="W188" s="25"/>
      <c r="X188" s="449"/>
      <c r="Y188" s="449"/>
      <c r="Z188" s="449"/>
      <c r="AA188" s="20"/>
    </row>
    <row r="189" spans="1:27" s="2" customFormat="1" ht="20.100000000000001" customHeight="1" outlineLevel="1" x14ac:dyDescent="0.25">
      <c r="A189" s="446"/>
      <c r="B189" s="1"/>
      <c r="C189" s="1"/>
      <c r="D189" s="1"/>
      <c r="E189" s="1"/>
      <c r="F189" s="447" t="s">
        <v>6618</v>
      </c>
      <c r="G189" s="450" t="str">
        <f>'Validacao(1)'!BC165</f>
        <v>Não foi preenchido se o estudo foi conduzido em laboratório com BPL</v>
      </c>
      <c r="H189" s="456" t="str">
        <f t="shared" ca="1" si="6"/>
        <v/>
      </c>
      <c r="I189" s="456" t="str">
        <f t="shared" ca="1" si="7"/>
        <v/>
      </c>
      <c r="J189" s="419"/>
      <c r="K189" s="20"/>
      <c r="L189" s="20"/>
      <c r="N189" s="25">
        <f>COUNTIF($A$29:A189,"x")</f>
        <v>8</v>
      </c>
      <c r="O189" s="25">
        <f ca="1">'Validacao(1)'!BB165</f>
        <v>0</v>
      </c>
      <c r="P189" s="25">
        <f ca="1">'Validacao(2)'!BB165</f>
        <v>0</v>
      </c>
      <c r="Q189" s="25"/>
      <c r="R189" s="25"/>
      <c r="S189" s="25"/>
      <c r="T189" s="25"/>
      <c r="U189" s="25"/>
      <c r="V189" s="25"/>
      <c r="W189" s="25"/>
      <c r="X189" s="449"/>
      <c r="Y189" s="449"/>
      <c r="Z189" s="449"/>
      <c r="AA189" s="20"/>
    </row>
    <row r="190" spans="1:27" s="2" customFormat="1" ht="20.100000000000001" customHeight="1" outlineLevel="1" x14ac:dyDescent="0.25">
      <c r="A190" s="446"/>
      <c r="B190" s="1"/>
      <c r="C190" s="1"/>
      <c r="D190" s="1"/>
      <c r="E190" s="1"/>
      <c r="F190" s="447" t="s">
        <v>6619</v>
      </c>
      <c r="G190" s="450" t="str">
        <f>'Validacao(1)'!BC166</f>
        <v>Não foi preenchido o protocolo</v>
      </c>
      <c r="H190" s="456" t="str">
        <f t="shared" ca="1" si="6"/>
        <v/>
      </c>
      <c r="I190" s="456" t="str">
        <f t="shared" ca="1" si="7"/>
        <v/>
      </c>
      <c r="J190" s="419"/>
      <c r="K190" s="20"/>
      <c r="L190" s="20"/>
      <c r="N190" s="25">
        <f>COUNTIF($A$29:A190,"x")</f>
        <v>8</v>
      </c>
      <c r="O190" s="25">
        <f ca="1">'Validacao(1)'!BB166</f>
        <v>0</v>
      </c>
      <c r="P190" s="25">
        <f ca="1">'Validacao(2)'!BB166</f>
        <v>0</v>
      </c>
      <c r="Q190" s="25"/>
      <c r="R190" s="25"/>
      <c r="S190" s="25"/>
      <c r="T190" s="25"/>
      <c r="U190" s="25"/>
      <c r="V190" s="25"/>
      <c r="W190" s="25"/>
      <c r="X190" s="449"/>
      <c r="Y190" s="449"/>
      <c r="Z190" s="449"/>
      <c r="AA190" s="20"/>
    </row>
    <row r="191" spans="1:27" s="2" customFormat="1" ht="20.100000000000001" customHeight="1" outlineLevel="1" x14ac:dyDescent="0.25">
      <c r="A191" s="446"/>
      <c r="B191" s="1"/>
      <c r="C191" s="1"/>
      <c r="D191" s="1"/>
      <c r="E191" s="1"/>
      <c r="F191" s="447" t="s">
        <v>6620</v>
      </c>
      <c r="G191" s="450" t="str">
        <f>'Validacao(1)'!BC167</f>
        <v>Não foi preenchido a data de início</v>
      </c>
      <c r="H191" s="456" t="str">
        <f t="shared" ca="1" si="6"/>
        <v/>
      </c>
      <c r="I191" s="456" t="str">
        <f t="shared" ca="1" si="7"/>
        <v/>
      </c>
      <c r="J191" s="419"/>
      <c r="K191" s="20"/>
      <c r="L191" s="20"/>
      <c r="N191" s="25">
        <f>COUNTIF($A$29:A191,"x")</f>
        <v>8</v>
      </c>
      <c r="O191" s="25">
        <f ca="1">'Validacao(1)'!BB167</f>
        <v>0</v>
      </c>
      <c r="P191" s="25">
        <f ca="1">'Validacao(2)'!BB167</f>
        <v>0</v>
      </c>
      <c r="Q191" s="25"/>
      <c r="R191" s="25"/>
      <c r="S191" s="25"/>
      <c r="T191" s="25"/>
      <c r="U191" s="25"/>
      <c r="V191" s="25"/>
      <c r="W191" s="25"/>
      <c r="X191" s="449"/>
      <c r="Y191" s="449"/>
      <c r="Z191" s="449"/>
      <c r="AA191" s="20"/>
    </row>
    <row r="192" spans="1:27" s="2" customFormat="1" ht="20.100000000000001" customHeight="1" outlineLevel="1" x14ac:dyDescent="0.25">
      <c r="A192" s="446"/>
      <c r="B192" s="1"/>
      <c r="C192" s="1"/>
      <c r="D192" s="1"/>
      <c r="E192" s="1"/>
      <c r="F192" s="447" t="s">
        <v>6621</v>
      </c>
      <c r="G192" s="450" t="str">
        <f>'Validacao(1)'!BC168</f>
        <v>Não foi preenchido a data de conclusão</v>
      </c>
      <c r="H192" s="456" t="str">
        <f t="shared" ca="1" si="6"/>
        <v/>
      </c>
      <c r="I192" s="456" t="str">
        <f t="shared" ca="1" si="7"/>
        <v/>
      </c>
      <c r="J192" s="419"/>
      <c r="K192" s="20"/>
      <c r="L192" s="20"/>
      <c r="N192" s="25">
        <f>COUNTIF($A$29:A192,"x")</f>
        <v>8</v>
      </c>
      <c r="O192" s="25">
        <f ca="1">'Validacao(1)'!BB168</f>
        <v>0</v>
      </c>
      <c r="P192" s="25">
        <f ca="1">'Validacao(2)'!BB168</f>
        <v>0</v>
      </c>
      <c r="Q192" s="25"/>
      <c r="R192" s="25"/>
      <c r="S192" s="25"/>
      <c r="T192" s="25"/>
      <c r="U192" s="25"/>
      <c r="V192" s="25"/>
      <c r="W192" s="25"/>
      <c r="X192" s="449"/>
      <c r="Y192" s="449"/>
      <c r="Z192" s="449"/>
      <c r="AA192" s="20"/>
    </row>
    <row r="193" spans="1:27" s="2" customFormat="1" ht="20.100000000000001" customHeight="1" outlineLevel="1" x14ac:dyDescent="0.25">
      <c r="A193" s="446"/>
      <c r="B193" s="1"/>
      <c r="C193" s="1"/>
      <c r="D193" s="1"/>
      <c r="E193" s="1"/>
      <c r="F193" s="447" t="s">
        <v>6622</v>
      </c>
      <c r="G193" s="450" t="str">
        <f>'Validacao(1)'!BC169</f>
        <v xml:space="preserve">Não foi preenchido o código do certificado de análise </v>
      </c>
      <c r="H193" s="456" t="str">
        <f t="shared" ca="1" si="6"/>
        <v/>
      </c>
      <c r="I193" s="456" t="str">
        <f t="shared" ca="1" si="7"/>
        <v/>
      </c>
      <c r="J193" s="419"/>
      <c r="K193" s="20"/>
      <c r="L193" s="20"/>
      <c r="N193" s="25">
        <f>COUNTIF($A$29:A193,"x")</f>
        <v>8</v>
      </c>
      <c r="O193" s="25">
        <f ca="1">'Validacao(1)'!BB169</f>
        <v>0</v>
      </c>
      <c r="P193" s="25">
        <f ca="1">'Validacao(2)'!BB169</f>
        <v>0</v>
      </c>
      <c r="Q193" s="25"/>
      <c r="R193" s="25"/>
      <c r="S193" s="25"/>
      <c r="T193" s="25"/>
      <c r="U193" s="25"/>
      <c r="V193" s="25"/>
      <c r="W193" s="25"/>
      <c r="X193" s="449"/>
      <c r="Y193" s="449"/>
      <c r="Z193" s="449"/>
      <c r="AA193" s="20"/>
    </row>
    <row r="194" spans="1:27" s="2" customFormat="1" ht="20.100000000000001" customHeight="1" outlineLevel="1" x14ac:dyDescent="0.25">
      <c r="A194" s="446"/>
      <c r="B194" s="1"/>
      <c r="C194" s="1"/>
      <c r="D194" s="1"/>
      <c r="E194" s="1"/>
      <c r="F194" s="447" t="s">
        <v>6623</v>
      </c>
      <c r="G194" s="450" t="str">
        <f>'Validacao(1)'!BC170</f>
        <v>Não foi preenchido a espécie</v>
      </c>
      <c r="H194" s="456" t="str">
        <f t="shared" ca="1" si="6"/>
        <v/>
      </c>
      <c r="I194" s="456" t="str">
        <f t="shared" ca="1" si="7"/>
        <v/>
      </c>
      <c r="J194" s="419"/>
      <c r="K194" s="20"/>
      <c r="L194" s="20"/>
      <c r="N194" s="25">
        <f>COUNTIF($A$29:A194,"x")</f>
        <v>8</v>
      </c>
      <c r="O194" s="25">
        <f ca="1">'Validacao(1)'!BB170</f>
        <v>0</v>
      </c>
      <c r="P194" s="25">
        <f ca="1">'Validacao(2)'!BB170</f>
        <v>0</v>
      </c>
      <c r="Q194" s="25"/>
      <c r="R194" s="25"/>
      <c r="S194" s="25"/>
      <c r="T194" s="25"/>
      <c r="U194" s="25"/>
      <c r="V194" s="25"/>
      <c r="W194" s="25"/>
      <c r="X194" s="449"/>
      <c r="Y194" s="449"/>
      <c r="Z194" s="449"/>
      <c r="AA194" s="20"/>
    </row>
    <row r="195" spans="1:27" s="2" customFormat="1" ht="20.100000000000001" customHeight="1" outlineLevel="1" x14ac:dyDescent="0.25">
      <c r="A195" s="446"/>
      <c r="B195" s="1"/>
      <c r="C195" s="1"/>
      <c r="D195" s="1"/>
      <c r="E195" s="1"/>
      <c r="F195" s="447" t="s">
        <v>6624</v>
      </c>
      <c r="G195" s="450" t="str">
        <f>'Validacao(1)'!BC171</f>
        <v>Não foi preenchido o tempo de exposição</v>
      </c>
      <c r="H195" s="456" t="str">
        <f t="shared" ca="1" si="6"/>
        <v/>
      </c>
      <c r="I195" s="456" t="str">
        <f t="shared" ca="1" si="7"/>
        <v/>
      </c>
      <c r="J195" s="419"/>
      <c r="K195" s="20"/>
      <c r="L195" s="20"/>
      <c r="N195" s="25">
        <f>COUNTIF($A$29:A195,"x")</f>
        <v>8</v>
      </c>
      <c r="O195" s="25">
        <f ca="1">'Validacao(1)'!BB171</f>
        <v>0</v>
      </c>
      <c r="P195" s="25">
        <f ca="1">'Validacao(2)'!BB171</f>
        <v>0</v>
      </c>
      <c r="Q195" s="25"/>
      <c r="R195" s="25"/>
      <c r="S195" s="25"/>
      <c r="T195" s="25"/>
      <c r="U195" s="25"/>
      <c r="V195" s="25"/>
      <c r="W195" s="25"/>
      <c r="X195" s="449"/>
      <c r="Y195" s="449"/>
      <c r="Z195" s="449"/>
      <c r="AA195" s="20"/>
    </row>
    <row r="196" spans="1:27" s="2" customFormat="1" ht="20.100000000000001" customHeight="1" outlineLevel="1" x14ac:dyDescent="0.25">
      <c r="A196" s="446"/>
      <c r="B196" s="1"/>
      <c r="C196" s="1"/>
      <c r="D196" s="1"/>
      <c r="E196" s="1"/>
      <c r="F196" s="447" t="s">
        <v>6625</v>
      </c>
      <c r="G196" s="450" t="str">
        <f>'Validacao(1)'!BC172</f>
        <v>Não foi preenchida a mortalidade de machos para alguma das concentrações</v>
      </c>
      <c r="H196" s="456" t="str">
        <f t="shared" ca="1" si="6"/>
        <v/>
      </c>
      <c r="I196" s="456" t="str">
        <f t="shared" ca="1" si="7"/>
        <v/>
      </c>
      <c r="J196" s="419"/>
      <c r="K196" s="20"/>
      <c r="L196" s="20"/>
      <c r="N196" s="25">
        <f>COUNTIF($A$29:A196,"x")</f>
        <v>8</v>
      </c>
      <c r="O196" s="25">
        <f ca="1">'Validacao(1)'!BB172</f>
        <v>0</v>
      </c>
      <c r="P196" s="25">
        <f ca="1">'Validacao(2)'!BB172</f>
        <v>0</v>
      </c>
      <c r="Q196" s="25"/>
      <c r="R196" s="25"/>
      <c r="S196" s="25"/>
      <c r="T196" s="25"/>
      <c r="U196" s="25"/>
      <c r="V196" s="25"/>
      <c r="W196" s="25"/>
      <c r="X196" s="449"/>
      <c r="Y196" s="449"/>
      <c r="Z196" s="449"/>
      <c r="AA196" s="20"/>
    </row>
    <row r="197" spans="1:27" s="2" customFormat="1" ht="20.100000000000001" customHeight="1" outlineLevel="1" x14ac:dyDescent="0.25">
      <c r="A197" s="446"/>
      <c r="B197" s="1"/>
      <c r="C197" s="1"/>
      <c r="D197" s="1"/>
      <c r="E197" s="1"/>
      <c r="F197" s="447" t="s">
        <v>6626</v>
      </c>
      <c r="G197" s="450" t="str">
        <f>'Validacao(1)'!BC173</f>
        <v>Não foi preenchida a mortalidade de fêmeas para alguma das concentrações</v>
      </c>
      <c r="H197" s="456" t="str">
        <f t="shared" ca="1" si="6"/>
        <v/>
      </c>
      <c r="I197" s="456" t="str">
        <f t="shared" ca="1" si="7"/>
        <v/>
      </c>
      <c r="J197" s="419"/>
      <c r="K197" s="20"/>
      <c r="L197" s="20"/>
      <c r="N197" s="25">
        <f>COUNTIF($A$29:A197,"x")</f>
        <v>8</v>
      </c>
      <c r="O197" s="25">
        <f ca="1">'Validacao(1)'!BB173</f>
        <v>0</v>
      </c>
      <c r="P197" s="25">
        <f ca="1">'Validacao(2)'!BB173</f>
        <v>0</v>
      </c>
      <c r="Q197" s="25"/>
      <c r="R197" s="25"/>
      <c r="S197" s="25"/>
      <c r="T197" s="25"/>
      <c r="U197" s="25"/>
      <c r="V197" s="25"/>
      <c r="W197" s="25"/>
      <c r="X197" s="449"/>
      <c r="Y197" s="449"/>
      <c r="Z197" s="449"/>
      <c r="AA197" s="20"/>
    </row>
    <row r="198" spans="1:27" s="2" customFormat="1" ht="20.100000000000001" customHeight="1" outlineLevel="1" x14ac:dyDescent="0.25">
      <c r="A198" s="446"/>
      <c r="B198" s="1"/>
      <c r="C198" s="1"/>
      <c r="D198" s="1"/>
      <c r="E198" s="1"/>
      <c r="F198" s="447" t="s">
        <v>6627</v>
      </c>
      <c r="G198" s="450" t="str">
        <f>'Validacao(1)'!BC174</f>
        <v>Não foi preenchido o MMAD para alguma das concentrações</v>
      </c>
      <c r="H198" s="456" t="str">
        <f t="shared" ca="1" si="6"/>
        <v/>
      </c>
      <c r="I198" s="456" t="str">
        <f t="shared" ca="1" si="7"/>
        <v/>
      </c>
      <c r="J198" s="419"/>
      <c r="K198" s="20"/>
      <c r="L198" s="20"/>
      <c r="N198" s="25">
        <f>COUNTIF($A$29:A198,"x")</f>
        <v>8</v>
      </c>
      <c r="O198" s="25">
        <f ca="1">'Validacao(1)'!BB174</f>
        <v>0</v>
      </c>
      <c r="P198" s="25">
        <f ca="1">'Validacao(2)'!BB174</f>
        <v>0</v>
      </c>
      <c r="Q198" s="25"/>
      <c r="R198" s="25"/>
      <c r="S198" s="25"/>
      <c r="T198" s="25"/>
      <c r="U198" s="25"/>
      <c r="V198" s="25"/>
      <c r="W198" s="25"/>
      <c r="X198" s="449"/>
      <c r="Y198" s="449"/>
      <c r="Z198" s="449"/>
      <c r="AA198" s="20"/>
    </row>
    <row r="199" spans="1:27" s="2" customFormat="1" ht="20.100000000000001" customHeight="1" outlineLevel="1" x14ac:dyDescent="0.25">
      <c r="A199" s="446"/>
      <c r="B199" s="1"/>
      <c r="C199" s="1"/>
      <c r="D199" s="1"/>
      <c r="E199" s="1"/>
      <c r="F199" s="447" t="s">
        <v>6628</v>
      </c>
      <c r="G199" s="450" t="str">
        <f>'Validacao(1)'!BC175</f>
        <v>Não foi preenchido o GSD para alguma das concentrações</v>
      </c>
      <c r="H199" s="456" t="str">
        <f t="shared" ca="1" si="6"/>
        <v/>
      </c>
      <c r="I199" s="456" t="str">
        <f t="shared" ca="1" si="7"/>
        <v/>
      </c>
      <c r="J199" s="419"/>
      <c r="K199" s="20"/>
      <c r="L199" s="20"/>
      <c r="N199" s="25">
        <f>COUNTIF($A$29:A199,"x")</f>
        <v>8</v>
      </c>
      <c r="O199" s="25">
        <f ca="1">'Validacao(1)'!BB175</f>
        <v>0</v>
      </c>
      <c r="P199" s="25">
        <f ca="1">'Validacao(2)'!BB175</f>
        <v>0</v>
      </c>
      <c r="Q199" s="25"/>
      <c r="R199" s="25"/>
      <c r="S199" s="25"/>
      <c r="T199" s="25"/>
      <c r="U199" s="25"/>
      <c r="V199" s="25"/>
      <c r="W199" s="25"/>
      <c r="X199" s="449"/>
      <c r="Y199" s="449"/>
      <c r="Z199" s="449"/>
      <c r="AA199" s="20"/>
    </row>
    <row r="200" spans="1:27" s="2" customFormat="1" ht="20.100000000000001" customHeight="1" outlineLevel="1" x14ac:dyDescent="0.25">
      <c r="A200" s="446"/>
      <c r="B200" s="1"/>
      <c r="C200" s="1"/>
      <c r="D200" s="1"/>
      <c r="E200" s="1"/>
      <c r="F200" s="447" t="s">
        <v>6629</v>
      </c>
      <c r="G200" s="450" t="str">
        <f>'Validacao(1)'!BC176</f>
        <v>Não foi preenchido se houve desvio ao protocolo</v>
      </c>
      <c r="H200" s="456" t="str">
        <f t="shared" ca="1" si="6"/>
        <v/>
      </c>
      <c r="I200" s="456" t="str">
        <f t="shared" ca="1" si="7"/>
        <v/>
      </c>
      <c r="J200" s="419"/>
      <c r="K200" s="20"/>
      <c r="L200" s="20"/>
      <c r="N200" s="25">
        <f>COUNTIF($A$29:A200,"x")</f>
        <v>8</v>
      </c>
      <c r="O200" s="25">
        <f ca="1">'Validacao(1)'!BB176</f>
        <v>0</v>
      </c>
      <c r="P200" s="25">
        <f ca="1">'Validacao(2)'!BB176</f>
        <v>0</v>
      </c>
      <c r="Q200" s="25"/>
      <c r="R200" s="25"/>
      <c r="S200" s="25"/>
      <c r="T200" s="25"/>
      <c r="U200" s="25"/>
      <c r="V200" s="25"/>
      <c r="W200" s="25"/>
      <c r="X200" s="449"/>
      <c r="Y200" s="449"/>
      <c r="Z200" s="449"/>
      <c r="AA200" s="20"/>
    </row>
    <row r="201" spans="1:27" s="2" customFormat="1" ht="20.100000000000001" customHeight="1" outlineLevel="1" x14ac:dyDescent="0.25">
      <c r="A201" s="446"/>
      <c r="B201" s="1"/>
      <c r="C201" s="1"/>
      <c r="D201" s="1"/>
      <c r="E201" s="1"/>
      <c r="F201" s="447" t="s">
        <v>6630</v>
      </c>
      <c r="G201" s="450" t="str">
        <f>'Validacao(1)'!BC177</f>
        <v>Não foi preenchida a CL50 inalatória</v>
      </c>
      <c r="H201" s="456" t="str">
        <f t="shared" ca="1" si="6"/>
        <v/>
      </c>
      <c r="I201" s="456" t="str">
        <f t="shared" ca="1" si="7"/>
        <v/>
      </c>
      <c r="J201" s="419"/>
      <c r="K201" s="20"/>
      <c r="L201" s="20"/>
      <c r="N201" s="25">
        <f>COUNTIF($A$29:A201,"x")</f>
        <v>8</v>
      </c>
      <c r="O201" s="25">
        <f ca="1">'Validacao(1)'!BB177</f>
        <v>0</v>
      </c>
      <c r="P201" s="25">
        <f ca="1">'Validacao(2)'!BB177</f>
        <v>0</v>
      </c>
      <c r="Q201" s="25"/>
      <c r="R201" s="25"/>
      <c r="S201" s="25"/>
      <c r="T201" s="25"/>
      <c r="U201" s="25"/>
      <c r="V201" s="25"/>
      <c r="W201" s="25"/>
      <c r="X201" s="449"/>
      <c r="Y201" s="449"/>
      <c r="Z201" s="449"/>
      <c r="AA201" s="20"/>
    </row>
    <row r="202" spans="1:27" s="2" customFormat="1" ht="20.100000000000001" customHeight="1" outlineLevel="1" x14ac:dyDescent="0.25">
      <c r="A202" s="446"/>
      <c r="B202" s="1"/>
      <c r="C202" s="1"/>
      <c r="D202" s="1"/>
      <c r="E202" s="1"/>
      <c r="F202" s="447" t="s">
        <v>6631</v>
      </c>
      <c r="G202" s="450" t="str">
        <f>'Validacao(1)'!BC178</f>
        <v>Não foi preenchida a conclusão</v>
      </c>
      <c r="H202" s="456" t="str">
        <f t="shared" ca="1" si="6"/>
        <v/>
      </c>
      <c r="I202" s="456" t="str">
        <f t="shared" ca="1" si="7"/>
        <v/>
      </c>
      <c r="J202" s="419"/>
      <c r="K202" s="20"/>
      <c r="L202" s="20"/>
      <c r="N202" s="25">
        <f>COUNTIF($A$29:A202,"x")</f>
        <v>8</v>
      </c>
      <c r="O202" s="25">
        <f ca="1">'Validacao(1)'!BB178</f>
        <v>0</v>
      </c>
      <c r="P202" s="25">
        <f ca="1">'Validacao(2)'!BB178</f>
        <v>0</v>
      </c>
      <c r="Q202" s="25"/>
      <c r="R202" s="25"/>
      <c r="S202" s="25"/>
      <c r="T202" s="25"/>
      <c r="U202" s="25"/>
      <c r="V202" s="25"/>
      <c r="W202" s="25"/>
      <c r="X202" s="449"/>
      <c r="Y202" s="449"/>
      <c r="Z202" s="449"/>
      <c r="AA202" s="20"/>
    </row>
    <row r="203" spans="1:27" s="2" customFormat="1" ht="20.100000000000001" customHeight="1" outlineLevel="1" x14ac:dyDescent="0.25">
      <c r="A203" s="446"/>
      <c r="B203" s="1"/>
      <c r="C203" s="1"/>
      <c r="D203" s="1"/>
      <c r="E203" s="1"/>
      <c r="F203" s="447" t="s">
        <v>6632</v>
      </c>
      <c r="G203" s="450" t="str">
        <f>'Validacao(1)'!BC179</f>
        <v>Foi solicitada dispensa de apresentação</v>
      </c>
      <c r="H203" s="456" t="str">
        <f t="shared" ca="1" si="6"/>
        <v/>
      </c>
      <c r="I203" s="456" t="str">
        <f t="shared" ca="1" si="7"/>
        <v/>
      </c>
      <c r="J203" s="419"/>
      <c r="K203" s="20"/>
      <c r="L203" s="20"/>
      <c r="N203" s="25">
        <f>COUNTIF($A$29:A203,"x")</f>
        <v>8</v>
      </c>
      <c r="O203" s="25">
        <f ca="1">'Validacao(1)'!BB179</f>
        <v>0</v>
      </c>
      <c r="P203" s="25">
        <f ca="1">'Validacao(2)'!BB179</f>
        <v>0</v>
      </c>
      <c r="Q203" s="25"/>
      <c r="R203" s="25"/>
      <c r="S203" s="25"/>
      <c r="T203" s="25"/>
      <c r="U203" s="25"/>
      <c r="V203" s="25"/>
      <c r="W203" s="25"/>
      <c r="X203" s="449"/>
      <c r="Y203" s="449"/>
      <c r="Z203" s="449"/>
      <c r="AA203" s="20"/>
    </row>
    <row r="204" spans="1:27" s="2" customFormat="1" ht="20.100000000000001" customHeight="1" outlineLevel="1" x14ac:dyDescent="0.25">
      <c r="A204" s="446"/>
      <c r="B204" s="1"/>
      <c r="C204" s="1"/>
      <c r="D204" s="1"/>
      <c r="E204" s="1"/>
      <c r="F204" s="447" t="s">
        <v>6633</v>
      </c>
      <c r="G204" s="450" t="str">
        <f>'Validacao(1)'!BC180</f>
        <v>Estudo conduzido em laboratório sem BPL</v>
      </c>
      <c r="H204" s="456" t="str">
        <f t="shared" ca="1" si="6"/>
        <v/>
      </c>
      <c r="I204" s="456" t="str">
        <f t="shared" ca="1" si="7"/>
        <v/>
      </c>
      <c r="J204" s="419"/>
      <c r="K204" s="20"/>
      <c r="L204" s="20"/>
      <c r="N204" s="25">
        <f>COUNTIF($A$29:A204,"x")</f>
        <v>8</v>
      </c>
      <c r="O204" s="25">
        <f ca="1">'Validacao(1)'!BB180</f>
        <v>0</v>
      </c>
      <c r="P204" s="25">
        <f ca="1">'Validacao(2)'!BB180</f>
        <v>0</v>
      </c>
      <c r="Q204" s="25"/>
      <c r="R204" s="25"/>
      <c r="S204" s="25"/>
      <c r="T204" s="25"/>
      <c r="U204" s="25"/>
      <c r="V204" s="25"/>
      <c r="W204" s="25"/>
      <c r="X204" s="449"/>
      <c r="Y204" s="449"/>
      <c r="Z204" s="449"/>
      <c r="AA204" s="20"/>
    </row>
    <row r="205" spans="1:27" s="2" customFormat="1" ht="20.100000000000001" customHeight="1" outlineLevel="1" x14ac:dyDescent="0.25">
      <c r="A205" s="446"/>
      <c r="B205" s="1"/>
      <c r="C205" s="1"/>
      <c r="D205" s="1"/>
      <c r="E205" s="1"/>
      <c r="F205" s="447" t="s">
        <v>6634</v>
      </c>
      <c r="G205" s="450" t="str">
        <f>'Validacao(1)'!BC181</f>
        <v>Tempo de exposição inferior a 4 horas</v>
      </c>
      <c r="H205" s="456" t="str">
        <f t="shared" ca="1" si="6"/>
        <v/>
      </c>
      <c r="I205" s="456" t="str">
        <f t="shared" ca="1" si="7"/>
        <v/>
      </c>
      <c r="J205" s="419"/>
      <c r="K205" s="20"/>
      <c r="L205" s="20"/>
      <c r="N205" s="25">
        <f>COUNTIF($A$29:A205,"x")</f>
        <v>8</v>
      </c>
      <c r="O205" s="25">
        <f ca="1">'Validacao(1)'!BB181</f>
        <v>0</v>
      </c>
      <c r="P205" s="25">
        <f ca="1">'Validacao(2)'!BB181</f>
        <v>0</v>
      </c>
      <c r="Q205" s="25"/>
      <c r="R205" s="25"/>
      <c r="S205" s="25"/>
      <c r="T205" s="25"/>
      <c r="U205" s="25"/>
      <c r="V205" s="25"/>
      <c r="W205" s="25"/>
      <c r="X205" s="449"/>
      <c r="Y205" s="449"/>
      <c r="Z205" s="449"/>
      <c r="AA205" s="20"/>
    </row>
    <row r="206" spans="1:27" s="2" customFormat="1" ht="20.100000000000001" customHeight="1" outlineLevel="1" x14ac:dyDescent="0.25">
      <c r="A206" s="446"/>
      <c r="B206" s="1"/>
      <c r="C206" s="1"/>
      <c r="D206" s="1"/>
      <c r="E206" s="1"/>
      <c r="F206" s="447" t="s">
        <v>6635</v>
      </c>
      <c r="G206" s="450" t="str">
        <f>'Validacao(1)'!BC182</f>
        <v>MMAD menor do que 1 micrometros</v>
      </c>
      <c r="H206" s="456" t="str">
        <f t="shared" ca="1" si="6"/>
        <v/>
      </c>
      <c r="I206" s="456" t="str">
        <f t="shared" ca="1" si="7"/>
        <v/>
      </c>
      <c r="J206" s="419"/>
      <c r="K206" s="20"/>
      <c r="L206" s="20"/>
      <c r="N206" s="25">
        <f>COUNTIF($A$29:A206,"x")</f>
        <v>8</v>
      </c>
      <c r="O206" s="25">
        <f ca="1">'Validacao(1)'!BB182</f>
        <v>0</v>
      </c>
      <c r="P206" s="25">
        <f ca="1">'Validacao(2)'!BB182</f>
        <v>0</v>
      </c>
      <c r="Q206" s="25"/>
      <c r="R206" s="25"/>
      <c r="S206" s="25"/>
      <c r="T206" s="25"/>
      <c r="U206" s="25"/>
      <c r="V206" s="25"/>
      <c r="W206" s="25"/>
      <c r="X206" s="449"/>
      <c r="Y206" s="449"/>
      <c r="Z206" s="449"/>
      <c r="AA206" s="20"/>
    </row>
    <row r="207" spans="1:27" s="2" customFormat="1" ht="20.100000000000001" customHeight="1" outlineLevel="1" x14ac:dyDescent="0.25">
      <c r="A207" s="446"/>
      <c r="B207" s="1"/>
      <c r="C207" s="1"/>
      <c r="D207" s="1"/>
      <c r="E207" s="1"/>
      <c r="F207" s="447" t="s">
        <v>6636</v>
      </c>
      <c r="G207" s="450" t="str">
        <f>'Validacao(1)'!BC183</f>
        <v>MMAD maior do que 4 micrometros</v>
      </c>
      <c r="H207" s="456" t="str">
        <f t="shared" ca="1" si="6"/>
        <v/>
      </c>
      <c r="I207" s="456" t="str">
        <f t="shared" ca="1" si="7"/>
        <v/>
      </c>
      <c r="J207" s="419"/>
      <c r="K207" s="20"/>
      <c r="L207" s="20"/>
      <c r="N207" s="25">
        <f>COUNTIF($A$29:A207,"x")</f>
        <v>8</v>
      </c>
      <c r="O207" s="25">
        <f ca="1">'Validacao(1)'!BB183</f>
        <v>0</v>
      </c>
      <c r="P207" s="25">
        <f ca="1">'Validacao(2)'!BB183</f>
        <v>0</v>
      </c>
      <c r="Q207" s="25"/>
      <c r="R207" s="25"/>
      <c r="S207" s="25"/>
      <c r="T207" s="25"/>
      <c r="U207" s="25"/>
      <c r="V207" s="25"/>
      <c r="W207" s="25"/>
      <c r="X207" s="449"/>
      <c r="Y207" s="449"/>
      <c r="Z207" s="449"/>
      <c r="AA207" s="20"/>
    </row>
    <row r="208" spans="1:27" s="2" customFormat="1" ht="20.100000000000001" customHeight="1" outlineLevel="1" x14ac:dyDescent="0.25">
      <c r="A208" s="446"/>
      <c r="B208" s="1"/>
      <c r="C208" s="1"/>
      <c r="D208" s="1"/>
      <c r="E208" s="1"/>
      <c r="F208" s="447" t="s">
        <v>6637</v>
      </c>
      <c r="G208" s="450" t="str">
        <f>'Validacao(1)'!BC184</f>
        <v>GSD menor do que 1,5 micrometros</v>
      </c>
      <c r="H208" s="456" t="str">
        <f t="shared" ca="1" si="6"/>
        <v/>
      </c>
      <c r="I208" s="456" t="str">
        <f t="shared" ca="1" si="7"/>
        <v/>
      </c>
      <c r="J208" s="419"/>
      <c r="K208" s="20"/>
      <c r="L208" s="20"/>
      <c r="N208" s="25">
        <f>COUNTIF($A$29:A208,"x")</f>
        <v>8</v>
      </c>
      <c r="O208" s="25">
        <f ca="1">'Validacao(1)'!BB184</f>
        <v>0</v>
      </c>
      <c r="P208" s="25">
        <f ca="1">'Validacao(2)'!BB184</f>
        <v>0</v>
      </c>
      <c r="Q208" s="25"/>
      <c r="R208" s="25"/>
      <c r="S208" s="25"/>
      <c r="T208" s="25"/>
      <c r="U208" s="25"/>
      <c r="V208" s="25"/>
      <c r="W208" s="25"/>
      <c r="X208" s="449"/>
      <c r="Y208" s="449"/>
      <c r="Z208" s="449"/>
      <c r="AA208" s="20"/>
    </row>
    <row r="209" spans="1:27" s="2" customFormat="1" ht="20.100000000000001" customHeight="1" outlineLevel="1" x14ac:dyDescent="0.25">
      <c r="A209" s="446"/>
      <c r="B209" s="1"/>
      <c r="C209" s="1"/>
      <c r="D209" s="1"/>
      <c r="E209" s="1"/>
      <c r="F209" s="447" t="s">
        <v>6638</v>
      </c>
      <c r="G209" s="450" t="str">
        <f>'Validacao(1)'!BC185</f>
        <v>GSD maior do que 3</v>
      </c>
      <c r="H209" s="456" t="str">
        <f t="shared" ca="1" si="6"/>
        <v/>
      </c>
      <c r="I209" s="456" t="str">
        <f t="shared" ca="1" si="7"/>
        <v/>
      </c>
      <c r="J209" s="419"/>
      <c r="K209" s="20"/>
      <c r="L209" s="20"/>
      <c r="N209" s="25">
        <f>COUNTIF($A$29:A209,"x")</f>
        <v>8</v>
      </c>
      <c r="O209" s="25">
        <f ca="1">'Validacao(1)'!BB185</f>
        <v>0</v>
      </c>
      <c r="P209" s="25">
        <f ca="1">'Validacao(2)'!BB185</f>
        <v>0</v>
      </c>
      <c r="Q209" s="25"/>
      <c r="R209" s="25"/>
      <c r="S209" s="25"/>
      <c r="T209" s="25"/>
      <c r="U209" s="25"/>
      <c r="V209" s="25"/>
      <c r="W209" s="25"/>
      <c r="X209" s="449"/>
      <c r="Y209" s="449"/>
      <c r="Z209" s="449"/>
      <c r="AA209" s="20"/>
    </row>
    <row r="210" spans="1:27" s="2" customFormat="1" ht="20.100000000000001" customHeight="1" outlineLevel="1" x14ac:dyDescent="0.25">
      <c r="A210" s="446"/>
      <c r="B210" s="1"/>
      <c r="C210" s="1"/>
      <c r="D210" s="1"/>
      <c r="E210" s="1"/>
      <c r="F210" s="447" t="s">
        <v>6639</v>
      </c>
      <c r="G210" s="450" t="str">
        <f>'Validacao(1)'!BC186</f>
        <v>Foram descritos desvios ao protocolo</v>
      </c>
      <c r="H210" s="456" t="str">
        <f t="shared" ca="1" si="6"/>
        <v/>
      </c>
      <c r="I210" s="456" t="str">
        <f t="shared" ca="1" si="7"/>
        <v/>
      </c>
      <c r="J210" s="419"/>
      <c r="K210" s="20"/>
      <c r="L210" s="20"/>
      <c r="N210" s="25">
        <f>COUNTIF($A$29:A210,"x")</f>
        <v>8</v>
      </c>
      <c r="O210" s="25">
        <f ca="1">'Validacao(1)'!BB186</f>
        <v>0</v>
      </c>
      <c r="P210" s="25">
        <f ca="1">'Validacao(2)'!BB186</f>
        <v>0</v>
      </c>
      <c r="Q210" s="25"/>
      <c r="R210" s="25"/>
      <c r="S210" s="25"/>
      <c r="T210" s="25"/>
      <c r="U210" s="25"/>
      <c r="V210" s="25"/>
      <c r="W210" s="25"/>
      <c r="X210" s="449"/>
      <c r="Y210" s="449"/>
      <c r="Z210" s="449"/>
      <c r="AA210" s="20"/>
    </row>
    <row r="211" spans="1:27" s="2" customFormat="1" ht="20.100000000000001" customHeight="1" outlineLevel="1" x14ac:dyDescent="0.25">
      <c r="A211" s="446"/>
      <c r="B211" s="1"/>
      <c r="C211" s="1"/>
      <c r="D211" s="1"/>
      <c r="E211" s="1"/>
      <c r="F211" s="447" t="s">
        <v>6640</v>
      </c>
      <c r="G211" s="450" t="str">
        <f>'Validacao(1)'!BC187</f>
        <v>Os desvios inteferiram nos resultados</v>
      </c>
      <c r="H211" s="456" t="str">
        <f t="shared" ca="1" si="6"/>
        <v/>
      </c>
      <c r="I211" s="456" t="str">
        <f t="shared" ca="1" si="7"/>
        <v/>
      </c>
      <c r="J211" s="419"/>
      <c r="K211" s="20"/>
      <c r="L211" s="20"/>
      <c r="N211" s="25">
        <f>COUNTIF($A$29:A211,"x")</f>
        <v>8</v>
      </c>
      <c r="O211" s="25">
        <f ca="1">'Validacao(1)'!BB187</f>
        <v>0</v>
      </c>
      <c r="P211" s="25">
        <f ca="1">'Validacao(2)'!BB187</f>
        <v>0</v>
      </c>
      <c r="Q211" s="25"/>
      <c r="R211" s="25"/>
      <c r="S211" s="25"/>
      <c r="T211" s="25"/>
      <c r="U211" s="25"/>
      <c r="V211" s="25"/>
      <c r="W211" s="25"/>
      <c r="X211" s="449"/>
      <c r="Y211" s="449"/>
      <c r="Z211" s="449"/>
      <c r="AA211" s="20"/>
    </row>
    <row r="212" spans="1:27" s="2" customFormat="1" ht="20.100000000000001" customHeight="1" outlineLevel="1" x14ac:dyDescent="0.25">
      <c r="A212" s="446"/>
      <c r="B212" s="1"/>
      <c r="C212" s="1"/>
      <c r="D212" s="1"/>
      <c r="E212" s="1"/>
      <c r="F212" s="447" t="s">
        <v>6641</v>
      </c>
      <c r="G212" s="450" t="str">
        <f>'Validacao(1)'!BC188</f>
        <v>O certificado não foi preenchido na aba "Certificados"</v>
      </c>
      <c r="H212" s="456" t="str">
        <f t="shared" ca="1" si="6"/>
        <v/>
      </c>
      <c r="I212" s="456" t="str">
        <f t="shared" ca="1" si="7"/>
        <v/>
      </c>
      <c r="J212" s="419"/>
      <c r="K212" s="20"/>
      <c r="L212" s="20"/>
      <c r="N212" s="25">
        <f>COUNTIF($A$29:A212,"x")</f>
        <v>8</v>
      </c>
      <c r="O212" s="25">
        <f ca="1">'Validacao(1)'!BB188</f>
        <v>0</v>
      </c>
      <c r="P212" s="25">
        <f ca="1">'Validacao(2)'!BB188</f>
        <v>0</v>
      </c>
      <c r="Q212" s="25"/>
      <c r="R212" s="25"/>
      <c r="S212" s="25"/>
      <c r="T212" s="25"/>
      <c r="U212" s="25"/>
      <c r="V212" s="25"/>
      <c r="W212" s="25"/>
      <c r="X212" s="449"/>
      <c r="Y212" s="449"/>
      <c r="Z212" s="449"/>
      <c r="AA212" s="20"/>
    </row>
    <row r="213" spans="1:27" s="2" customFormat="1" ht="20.100000000000001" customHeight="1" outlineLevel="1" x14ac:dyDescent="0.25">
      <c r="A213" s="446"/>
      <c r="B213" s="1"/>
      <c r="C213" s="1"/>
      <c r="D213" s="1"/>
      <c r="E213" s="1"/>
      <c r="F213" s="447" t="s">
        <v>6642</v>
      </c>
      <c r="G213" s="450" t="str">
        <f>'Validacao(1)'!BC189</f>
        <v>Estudo conduzido com amostra vencida</v>
      </c>
      <c r="H213" s="456" t="str">
        <f t="shared" ca="1" si="6"/>
        <v/>
      </c>
      <c r="I213" s="456" t="str">
        <f t="shared" ca="1" si="7"/>
        <v/>
      </c>
      <c r="J213" s="419"/>
      <c r="K213" s="20"/>
      <c r="L213" s="20"/>
      <c r="N213" s="25">
        <f>COUNTIF($A$29:A213,"x")</f>
        <v>8</v>
      </c>
      <c r="O213" s="25">
        <f ca="1">'Validacao(1)'!BB189</f>
        <v>0</v>
      </c>
      <c r="P213" s="25">
        <f ca="1">'Validacao(2)'!BB189</f>
        <v>0</v>
      </c>
      <c r="Q213" s="25"/>
      <c r="R213" s="25"/>
      <c r="S213" s="25"/>
      <c r="T213" s="25"/>
      <c r="U213" s="25"/>
      <c r="V213" s="25"/>
      <c r="W213" s="25"/>
      <c r="X213" s="449"/>
      <c r="Y213" s="449"/>
      <c r="Z213" s="449"/>
      <c r="AA213" s="20"/>
    </row>
    <row r="214" spans="1:27" s="2" customFormat="1" ht="20.100000000000001" customHeight="1" outlineLevel="1" x14ac:dyDescent="0.25">
      <c r="A214" s="446"/>
      <c r="B214" s="1"/>
      <c r="C214" s="1"/>
      <c r="D214" s="1"/>
      <c r="E214" s="1"/>
      <c r="F214" s="447" t="s">
        <v>6643</v>
      </c>
      <c r="G214" s="450" t="str">
        <f>'Validacao(1)'!BC190</f>
        <v>Estudo conduzido com amostra fora da DCQQ</v>
      </c>
      <c r="H214" s="456" t="str">
        <f t="shared" ca="1" si="6"/>
        <v/>
      </c>
      <c r="I214" s="456" t="str">
        <f t="shared" ca="1" si="7"/>
        <v/>
      </c>
      <c r="J214" s="419"/>
      <c r="K214" s="20"/>
      <c r="L214" s="20"/>
      <c r="N214" s="25">
        <f>COUNTIF($A$29:A214,"x")</f>
        <v>8</v>
      </c>
      <c r="O214" s="25">
        <f ca="1">'Validacao(1)'!BB190</f>
        <v>0</v>
      </c>
      <c r="P214" s="25">
        <f ca="1">'Validacao(2)'!BB190</f>
        <v>0</v>
      </c>
      <c r="Q214" s="25"/>
      <c r="R214" s="25"/>
      <c r="S214" s="25"/>
      <c r="T214" s="25"/>
      <c r="U214" s="25"/>
      <c r="V214" s="25"/>
      <c r="W214" s="25"/>
      <c r="X214" s="449"/>
      <c r="Y214" s="449"/>
      <c r="Z214" s="449"/>
      <c r="AA214" s="20"/>
    </row>
    <row r="215" spans="1:27" s="2" customFormat="1" ht="20.100000000000001" customHeight="1" outlineLevel="1" x14ac:dyDescent="0.25">
      <c r="A215" s="446"/>
      <c r="B215" s="1"/>
      <c r="C215" s="1"/>
      <c r="D215" s="1"/>
      <c r="E215" s="1"/>
      <c r="F215" s="447" t="s">
        <v>6644</v>
      </c>
      <c r="G215" s="450" t="str">
        <f>'Validacao(1)'!BC191</f>
        <v>Houve sinais de toxicidade nos animais</v>
      </c>
      <c r="H215" s="456" t="str">
        <f t="shared" ca="1" si="6"/>
        <v/>
      </c>
      <c r="I215" s="456" t="str">
        <f t="shared" ca="1" si="7"/>
        <v/>
      </c>
      <c r="J215" s="419"/>
      <c r="K215" s="20"/>
      <c r="L215" s="20"/>
      <c r="N215" s="25">
        <f>COUNTIF($A$29:A215,"x")</f>
        <v>8</v>
      </c>
      <c r="O215" s="25">
        <f ca="1">'Validacao(1)'!BB191</f>
        <v>0</v>
      </c>
      <c r="P215" s="25">
        <f ca="1">'Validacao(2)'!BB191</f>
        <v>0</v>
      </c>
      <c r="Q215" s="25"/>
      <c r="R215" s="25"/>
      <c r="S215" s="25"/>
      <c r="T215" s="25"/>
      <c r="U215" s="25"/>
      <c r="V215" s="25"/>
      <c r="W215" s="25"/>
      <c r="X215" s="449"/>
      <c r="Y215" s="449"/>
      <c r="Z215" s="449"/>
      <c r="AA215" s="20"/>
    </row>
    <row r="216" spans="1:27" s="2" customFormat="1" ht="20.100000000000001" customHeight="1" outlineLevel="1" x14ac:dyDescent="0.25">
      <c r="A216" s="446"/>
      <c r="B216" s="1"/>
      <c r="C216" s="1"/>
      <c r="D216" s="1"/>
      <c r="E216" s="1"/>
      <c r="F216" s="447" t="s">
        <v>6645</v>
      </c>
      <c r="G216" s="450" t="str">
        <f>'Validacao(1)'!BC192</f>
        <v/>
      </c>
      <c r="H216" s="456" t="str">
        <f t="shared" si="6"/>
        <v/>
      </c>
      <c r="I216" s="456" t="str">
        <f t="shared" si="7"/>
        <v/>
      </c>
      <c r="J216" s="419"/>
      <c r="K216" s="20"/>
      <c r="L216" s="20"/>
      <c r="N216" s="25">
        <f>COUNTIF($A$29:A216,"x")</f>
        <v>8</v>
      </c>
      <c r="O216" s="25">
        <f>'Validacao(1)'!BB192</f>
        <v>0</v>
      </c>
      <c r="P216" s="25">
        <f>'Validacao(2)'!BB192</f>
        <v>0</v>
      </c>
      <c r="Q216" s="25"/>
      <c r="R216" s="25"/>
      <c r="S216" s="25"/>
      <c r="T216" s="25"/>
      <c r="U216" s="25"/>
      <c r="V216" s="25"/>
      <c r="W216" s="25"/>
      <c r="X216" s="449"/>
      <c r="Y216" s="449"/>
      <c r="Z216" s="449"/>
      <c r="AA216" s="20"/>
    </row>
    <row r="217" spans="1:27" s="2" customFormat="1" ht="20.100000000000001" customHeight="1" outlineLevel="1" x14ac:dyDescent="0.25">
      <c r="A217" s="446"/>
      <c r="B217" s="1"/>
      <c r="C217" s="1"/>
      <c r="D217" s="1"/>
      <c r="E217" s="1"/>
      <c r="F217" s="447" t="s">
        <v>6646</v>
      </c>
      <c r="G217" s="450" t="str">
        <f>'Validacao(1)'!BC193</f>
        <v/>
      </c>
      <c r="H217" s="456" t="str">
        <f t="shared" si="6"/>
        <v/>
      </c>
      <c r="I217" s="456" t="str">
        <f t="shared" si="7"/>
        <v/>
      </c>
      <c r="J217" s="419"/>
      <c r="K217" s="20"/>
      <c r="L217" s="20"/>
      <c r="N217" s="25">
        <f>COUNTIF($A$29:A217,"x")</f>
        <v>8</v>
      </c>
      <c r="O217" s="25">
        <f>'Validacao(1)'!BB193</f>
        <v>0</v>
      </c>
      <c r="P217" s="25">
        <f>'Validacao(2)'!BB193</f>
        <v>0</v>
      </c>
      <c r="Q217" s="25"/>
      <c r="R217" s="25"/>
      <c r="S217" s="25"/>
      <c r="T217" s="25"/>
      <c r="U217" s="25"/>
      <c r="V217" s="25"/>
      <c r="W217" s="25"/>
      <c r="X217" s="449"/>
      <c r="Y217" s="449"/>
      <c r="Z217" s="449"/>
      <c r="AA217" s="20"/>
    </row>
    <row r="218" spans="1:27" s="2" customFormat="1" ht="20.100000000000001" customHeight="1" outlineLevel="1" x14ac:dyDescent="0.25">
      <c r="A218" s="446"/>
      <c r="B218" s="1"/>
      <c r="C218" s="1"/>
      <c r="D218" s="1"/>
      <c r="E218" s="1"/>
      <c r="F218" s="447" t="s">
        <v>6647</v>
      </c>
      <c r="G218" s="450" t="str">
        <f>'Validacao(1)'!BC194</f>
        <v/>
      </c>
      <c r="H218" s="456" t="str">
        <f t="shared" si="6"/>
        <v/>
      </c>
      <c r="I218" s="456" t="str">
        <f t="shared" si="7"/>
        <v/>
      </c>
      <c r="J218" s="419"/>
      <c r="K218" s="20"/>
      <c r="L218" s="20"/>
      <c r="N218" s="25">
        <f>COUNTIF($A$29:A218,"x")</f>
        <v>8</v>
      </c>
      <c r="O218" s="25">
        <f>'Validacao(1)'!BB194</f>
        <v>0</v>
      </c>
      <c r="P218" s="25">
        <f>'Validacao(2)'!BB194</f>
        <v>0</v>
      </c>
      <c r="Q218" s="25"/>
      <c r="R218" s="25"/>
      <c r="S218" s="25"/>
      <c r="T218" s="25"/>
      <c r="U218" s="25"/>
      <c r="V218" s="25"/>
      <c r="W218" s="25"/>
      <c r="X218" s="449"/>
      <c r="Y218" s="449"/>
      <c r="Z218" s="449"/>
      <c r="AA218" s="20"/>
    </row>
    <row r="219" spans="1:27" s="2" customFormat="1" ht="20.100000000000001" customHeight="1" outlineLevel="1" x14ac:dyDescent="0.25">
      <c r="A219" s="446"/>
      <c r="B219" s="1"/>
      <c r="C219" s="1"/>
      <c r="D219" s="1"/>
      <c r="E219" s="1"/>
      <c r="F219" s="447" t="s">
        <v>6648</v>
      </c>
      <c r="G219" s="450" t="str">
        <f>'Validacao(1)'!BC195</f>
        <v/>
      </c>
      <c r="H219" s="456" t="str">
        <f t="shared" si="6"/>
        <v/>
      </c>
      <c r="I219" s="456" t="str">
        <f t="shared" si="7"/>
        <v/>
      </c>
      <c r="J219" s="419"/>
      <c r="K219" s="20"/>
      <c r="L219" s="20"/>
      <c r="N219" s="25">
        <f>COUNTIF($A$29:A219,"x")</f>
        <v>8</v>
      </c>
      <c r="O219" s="25">
        <f>'Validacao(1)'!BB195</f>
        <v>0</v>
      </c>
      <c r="P219" s="25">
        <f>'Validacao(2)'!BB195</f>
        <v>0</v>
      </c>
      <c r="Q219" s="25"/>
      <c r="R219" s="25"/>
      <c r="S219" s="25"/>
      <c r="T219" s="25"/>
      <c r="U219" s="25"/>
      <c r="V219" s="25"/>
      <c r="W219" s="25"/>
      <c r="X219" s="449"/>
      <c r="Y219" s="449"/>
      <c r="Z219" s="449"/>
      <c r="AA219" s="20"/>
    </row>
    <row r="220" spans="1:27" s="2" customFormat="1" ht="20.100000000000001" customHeight="1" outlineLevel="1" x14ac:dyDescent="0.25">
      <c r="A220" s="446"/>
      <c r="B220" s="1"/>
      <c r="C220" s="1"/>
      <c r="D220" s="1"/>
      <c r="E220" s="1"/>
      <c r="F220" s="447" t="s">
        <v>6649</v>
      </c>
      <c r="G220" s="450" t="str">
        <f>'Validacao(1)'!BC196</f>
        <v/>
      </c>
      <c r="H220" s="456" t="str">
        <f t="shared" si="6"/>
        <v/>
      </c>
      <c r="I220" s="456" t="str">
        <f t="shared" si="7"/>
        <v/>
      </c>
      <c r="J220" s="419"/>
      <c r="K220" s="20"/>
      <c r="L220" s="20"/>
      <c r="N220" s="25">
        <f>COUNTIF($A$29:A220,"x")</f>
        <v>8</v>
      </c>
      <c r="O220" s="25">
        <f>'Validacao(1)'!BB196</f>
        <v>0</v>
      </c>
      <c r="P220" s="25">
        <f>'Validacao(2)'!BB196</f>
        <v>0</v>
      </c>
      <c r="Q220" s="25"/>
      <c r="R220" s="25"/>
      <c r="S220" s="25"/>
      <c r="T220" s="25"/>
      <c r="U220" s="25"/>
      <c r="V220" s="25"/>
      <c r="W220" s="25"/>
      <c r="X220" s="449"/>
      <c r="Y220" s="449"/>
      <c r="Z220" s="449"/>
      <c r="AA220" s="20"/>
    </row>
    <row r="221" spans="1:27" s="2" customFormat="1" ht="20.100000000000001" customHeight="1" outlineLevel="1" x14ac:dyDescent="0.25">
      <c r="A221" s="446"/>
      <c r="B221" s="1"/>
      <c r="C221" s="1"/>
      <c r="D221" s="1"/>
      <c r="E221" s="1"/>
      <c r="F221" s="447" t="s">
        <v>6650</v>
      </c>
      <c r="G221" s="450" t="str">
        <f>'Validacao(1)'!BC197</f>
        <v/>
      </c>
      <c r="H221" s="456" t="str">
        <f t="shared" si="6"/>
        <v/>
      </c>
      <c r="I221" s="456" t="str">
        <f t="shared" si="7"/>
        <v/>
      </c>
      <c r="J221" s="419"/>
      <c r="K221" s="20"/>
      <c r="L221" s="20"/>
      <c r="N221" s="25">
        <f>COUNTIF($A$29:A221,"x")</f>
        <v>8</v>
      </c>
      <c r="O221" s="25">
        <f>'Validacao(1)'!BB197</f>
        <v>0</v>
      </c>
      <c r="P221" s="25">
        <f>'Validacao(2)'!BB197</f>
        <v>0</v>
      </c>
      <c r="Q221" s="25"/>
      <c r="R221" s="25"/>
      <c r="S221" s="25"/>
      <c r="T221" s="25"/>
      <c r="U221" s="25"/>
      <c r="V221" s="25"/>
      <c r="W221" s="25"/>
      <c r="X221" s="449"/>
      <c r="Y221" s="449"/>
      <c r="Z221" s="449"/>
      <c r="AA221" s="20"/>
    </row>
    <row r="222" spans="1:27" s="2" customFormat="1" ht="20.100000000000001" customHeight="1" outlineLevel="1" x14ac:dyDescent="0.25">
      <c r="A222" s="446"/>
      <c r="B222" s="1"/>
      <c r="C222" s="1"/>
      <c r="D222" s="1"/>
      <c r="E222" s="1"/>
      <c r="F222" s="447" t="s">
        <v>6651</v>
      </c>
      <c r="G222" s="450" t="str">
        <f>'Validacao(1)'!BC198</f>
        <v/>
      </c>
      <c r="H222" s="456" t="str">
        <f t="shared" si="6"/>
        <v/>
      </c>
      <c r="I222" s="456" t="str">
        <f t="shared" si="7"/>
        <v/>
      </c>
      <c r="J222" s="419"/>
      <c r="K222" s="20"/>
      <c r="L222" s="20"/>
      <c r="N222" s="25">
        <f>COUNTIF($A$29:A222,"x")</f>
        <v>8</v>
      </c>
      <c r="O222" s="25">
        <f>'Validacao(1)'!BB198</f>
        <v>0</v>
      </c>
      <c r="P222" s="25">
        <f>'Validacao(2)'!BB198</f>
        <v>0</v>
      </c>
      <c r="Q222" s="25"/>
      <c r="R222" s="25"/>
      <c r="S222" s="25"/>
      <c r="T222" s="25"/>
      <c r="U222" s="25"/>
      <c r="V222" s="25"/>
      <c r="W222" s="25"/>
      <c r="X222" s="449"/>
      <c r="Y222" s="449"/>
      <c r="Z222" s="449"/>
      <c r="AA222" s="20"/>
    </row>
    <row r="223" spans="1:27" s="2" customFormat="1" ht="20.100000000000001" customHeight="1" outlineLevel="1" x14ac:dyDescent="0.25">
      <c r="A223" s="446"/>
      <c r="B223" s="1"/>
      <c r="C223" s="1"/>
      <c r="D223" s="1"/>
      <c r="E223" s="1"/>
      <c r="F223" s="447" t="s">
        <v>6652</v>
      </c>
      <c r="G223" s="450" t="str">
        <f>'Validacao(1)'!BC199</f>
        <v/>
      </c>
      <c r="H223" s="456" t="str">
        <f t="shared" si="6"/>
        <v/>
      </c>
      <c r="I223" s="456" t="str">
        <f t="shared" si="7"/>
        <v/>
      </c>
      <c r="J223" s="419"/>
      <c r="K223" s="20"/>
      <c r="L223" s="20"/>
      <c r="N223" s="25">
        <f>COUNTIF($A$29:A223,"x")</f>
        <v>8</v>
      </c>
      <c r="O223" s="25">
        <f>'Validacao(1)'!BB199</f>
        <v>0</v>
      </c>
      <c r="P223" s="25">
        <f>'Validacao(2)'!BB199</f>
        <v>0</v>
      </c>
      <c r="Q223" s="25"/>
      <c r="R223" s="25"/>
      <c r="S223" s="25"/>
      <c r="T223" s="25"/>
      <c r="U223" s="25"/>
      <c r="V223" s="25"/>
      <c r="W223" s="25"/>
      <c r="X223" s="449"/>
      <c r="Y223" s="449"/>
      <c r="Z223" s="449"/>
      <c r="AA223" s="20"/>
    </row>
    <row r="224" spans="1:27" s="2" customFormat="1" ht="20.100000000000001" customHeight="1" outlineLevel="1" x14ac:dyDescent="0.25">
      <c r="A224" s="446"/>
      <c r="B224" s="1"/>
      <c r="C224" s="1"/>
      <c r="D224" s="1"/>
      <c r="E224" s="1"/>
      <c r="F224" s="447" t="s">
        <v>6653</v>
      </c>
      <c r="G224" s="450" t="str">
        <f>'Validacao(1)'!BC200</f>
        <v/>
      </c>
      <c r="H224" s="456" t="str">
        <f t="shared" si="6"/>
        <v/>
      </c>
      <c r="I224" s="456" t="str">
        <f t="shared" si="7"/>
        <v/>
      </c>
      <c r="J224" s="419"/>
      <c r="K224" s="20"/>
      <c r="L224" s="20"/>
      <c r="N224" s="25">
        <f>COUNTIF($A$29:A224,"x")</f>
        <v>8</v>
      </c>
      <c r="O224" s="25">
        <f>'Validacao(1)'!BB200</f>
        <v>0</v>
      </c>
      <c r="P224" s="25">
        <f>'Validacao(2)'!BB200</f>
        <v>0</v>
      </c>
      <c r="Q224" s="25"/>
      <c r="R224" s="25"/>
      <c r="S224" s="25"/>
      <c r="T224" s="25"/>
      <c r="U224" s="25"/>
      <c r="V224" s="25"/>
      <c r="W224" s="25"/>
      <c r="X224" s="449"/>
      <c r="Y224" s="449"/>
      <c r="Z224" s="449"/>
      <c r="AA224" s="20"/>
    </row>
    <row r="225" spans="1:27" s="2" customFormat="1" ht="30" customHeight="1" x14ac:dyDescent="0.25">
      <c r="A225" s="446" t="s">
        <v>8576</v>
      </c>
      <c r="B225" s="1"/>
      <c r="C225" s="1"/>
      <c r="D225" s="1"/>
      <c r="E225" s="1"/>
      <c r="F225" s="418"/>
      <c r="G225" s="453" t="str">
        <f ca="1">U225</f>
        <v>📂 (✓ ) Corrosão/irritação ocular</v>
      </c>
      <c r="H225" s="454" t="str">
        <f>HYPERLINK(Y225,$V$17)</f>
        <v>Estudo (1)</v>
      </c>
      <c r="I225" s="455" t="str">
        <f>HYPERLINK(Z225,$V$18)</f>
        <v>Estudo (2)</v>
      </c>
      <c r="J225" s="419"/>
      <c r="K225" s="20"/>
      <c r="L225" s="20"/>
      <c r="N225" s="442">
        <f>COUNTIF($A$29:A225,"x")</f>
        <v>9</v>
      </c>
      <c r="O225" s="442" t="s">
        <v>10</v>
      </c>
      <c r="P225" s="442" t="s">
        <v>10</v>
      </c>
      <c r="Q225" s="442">
        <f ca="1">SUMIF(N226:$N$633,N225,O226:$O$633)</f>
        <v>0</v>
      </c>
      <c r="R225" s="442">
        <f ca="1">SUMIF(N226:$N$633,N225,P226:$P$633)</f>
        <v>0</v>
      </c>
      <c r="S225" s="442">
        <f ca="1">Q225+R225</f>
        <v>0</v>
      </c>
      <c r="T225" s="443" t="s">
        <v>27</v>
      </c>
      <c r="U225" s="443" t="str">
        <f ca="1">$T$4&amp;"("&amp; IF(S225=0,V$23,S225) &amp; ") " &amp; T225</f>
        <v>📂 (✓ ) Corrosão/irritação ocular</v>
      </c>
      <c r="V225" s="443" t="str">
        <f ca="1">IF(Q225&gt;0,$V$24&amp;Q225,"")</f>
        <v/>
      </c>
      <c r="W225" s="443" t="str">
        <f ca="1">IF(R225&gt;0,$V$24&amp;R225,"")</f>
        <v/>
      </c>
      <c r="X225" s="444" t="s">
        <v>8566</v>
      </c>
      <c r="Y225" s="445" t="str">
        <f>$V$19 &amp; $X225 &amp; V$21 &amp; $V$22 &amp; $V$20</f>
        <v>#'Irritacao_Ocular(1)'!F2</v>
      </c>
      <c r="Z225" s="445" t="str">
        <f>$V$19 &amp; $X225 &amp; W$21 &amp; $V$22 &amp; $V$20</f>
        <v>#'Irritacao_Ocular(2)'!F2</v>
      </c>
      <c r="AA225" s="20"/>
    </row>
    <row r="226" spans="1:27" s="2" customFormat="1" ht="20.100000000000001" customHeight="1" outlineLevel="1" x14ac:dyDescent="0.25">
      <c r="A226" s="446"/>
      <c r="B226" s="1"/>
      <c r="C226" s="1"/>
      <c r="D226" s="1"/>
      <c r="E226" s="1"/>
      <c r="F226" s="447" t="s">
        <v>6654</v>
      </c>
      <c r="G226" s="450" t="str">
        <f>'Validacao(1)'!BC203</f>
        <v>Foi solicitada dispensa de apresentação, mas não foi apresentada qualquer justificativa</v>
      </c>
      <c r="H226" s="456" t="str">
        <f t="shared" ref="H226:H267" ca="1" si="8">IF(O226=1,"x","")</f>
        <v/>
      </c>
      <c r="I226" s="456" t="str">
        <f t="shared" ref="I226:I267" ca="1" si="9">IF(P226=1,"x","")</f>
        <v/>
      </c>
      <c r="J226" s="419"/>
      <c r="K226" s="20"/>
      <c r="L226" s="20"/>
      <c r="N226" s="25">
        <f>COUNTIF($A$29:A226,"x")</f>
        <v>9</v>
      </c>
      <c r="O226" s="25">
        <f ca="1">'Validacao(1)'!BB203</f>
        <v>0</v>
      </c>
      <c r="P226" s="25">
        <f ca="1">'Validacao(2)'!BB203</f>
        <v>0</v>
      </c>
      <c r="Q226" s="25"/>
      <c r="R226" s="25"/>
      <c r="S226" s="25"/>
      <c r="T226" s="25"/>
      <c r="U226" s="25"/>
      <c r="V226" s="25"/>
      <c r="W226" s="25"/>
      <c r="X226" s="449"/>
      <c r="Y226" s="449"/>
      <c r="Z226" s="449"/>
      <c r="AA226" s="20"/>
    </row>
    <row r="227" spans="1:27" s="2" customFormat="1" ht="20.100000000000001" customHeight="1" outlineLevel="1" x14ac:dyDescent="0.25">
      <c r="A227" s="446"/>
      <c r="B227" s="1"/>
      <c r="C227" s="1"/>
      <c r="D227" s="1"/>
      <c r="E227" s="1"/>
      <c r="F227" s="447" t="s">
        <v>6655</v>
      </c>
      <c r="G227" s="450" t="str">
        <f>'Validacao(1)'!BC204</f>
        <v>Não foi preenchido o código do estudo</v>
      </c>
      <c r="H227" s="456" t="str">
        <f t="shared" ca="1" si="8"/>
        <v/>
      </c>
      <c r="I227" s="456" t="str">
        <f t="shared" ca="1" si="9"/>
        <v/>
      </c>
      <c r="J227" s="419"/>
      <c r="K227" s="20"/>
      <c r="L227" s="20"/>
      <c r="N227" s="25">
        <f>COUNTIF($A$29:A227,"x")</f>
        <v>9</v>
      </c>
      <c r="O227" s="25">
        <f ca="1">'Validacao(1)'!BB204</f>
        <v>0</v>
      </c>
      <c r="P227" s="25">
        <f ca="1">'Validacao(2)'!BB204</f>
        <v>0</v>
      </c>
      <c r="Q227" s="25"/>
      <c r="R227" s="25"/>
      <c r="S227" s="25"/>
      <c r="T227" s="25"/>
      <c r="U227" s="25"/>
      <c r="V227" s="25"/>
      <c r="W227" s="25"/>
      <c r="X227" s="449"/>
      <c r="Y227" s="449"/>
      <c r="Z227" s="449"/>
      <c r="AA227" s="20"/>
    </row>
    <row r="228" spans="1:27" s="2" customFormat="1" ht="20.100000000000001" customHeight="1" outlineLevel="1" x14ac:dyDescent="0.25">
      <c r="A228" s="446"/>
      <c r="B228" s="1"/>
      <c r="C228" s="1"/>
      <c r="D228" s="1"/>
      <c r="E228" s="1"/>
      <c r="F228" s="447" t="s">
        <v>6656</v>
      </c>
      <c r="G228" s="450" t="str">
        <f>'Validacao(1)'!BC205</f>
        <v>Não foi preenchido o nome do laboratório</v>
      </c>
      <c r="H228" s="456" t="str">
        <f t="shared" ca="1" si="8"/>
        <v/>
      </c>
      <c r="I228" s="456" t="str">
        <f t="shared" ca="1" si="9"/>
        <v/>
      </c>
      <c r="J228" s="419"/>
      <c r="K228" s="20"/>
      <c r="L228" s="20"/>
      <c r="N228" s="25">
        <f>COUNTIF($A$29:A228,"x")</f>
        <v>9</v>
      </c>
      <c r="O228" s="25">
        <f ca="1">'Validacao(1)'!BB205</f>
        <v>0</v>
      </c>
      <c r="P228" s="25">
        <f ca="1">'Validacao(2)'!BB205</f>
        <v>0</v>
      </c>
      <c r="Q228" s="25"/>
      <c r="R228" s="25"/>
      <c r="S228" s="25"/>
      <c r="T228" s="25"/>
      <c r="U228" s="25"/>
      <c r="V228" s="25"/>
      <c r="W228" s="25"/>
      <c r="X228" s="449"/>
      <c r="Y228" s="449"/>
      <c r="Z228" s="449"/>
      <c r="AA228" s="20"/>
    </row>
    <row r="229" spans="1:27" s="2" customFormat="1" ht="20.100000000000001" customHeight="1" outlineLevel="1" x14ac:dyDescent="0.25">
      <c r="A229" s="446"/>
      <c r="B229" s="1"/>
      <c r="C229" s="1"/>
      <c r="D229" s="1"/>
      <c r="E229" s="1"/>
      <c r="F229" s="447" t="s">
        <v>6657</v>
      </c>
      <c r="G229" s="450" t="str">
        <f>'Validacao(1)'!BC206</f>
        <v>Não foi preenchido se o estudo foi conduzido em laboratório com BPL</v>
      </c>
      <c r="H229" s="456" t="str">
        <f t="shared" ca="1" si="8"/>
        <v/>
      </c>
      <c r="I229" s="456" t="str">
        <f t="shared" ca="1" si="9"/>
        <v/>
      </c>
      <c r="J229" s="419"/>
      <c r="K229" s="20"/>
      <c r="L229" s="20"/>
      <c r="N229" s="25">
        <f>COUNTIF($A$29:A229,"x")</f>
        <v>9</v>
      </c>
      <c r="O229" s="25">
        <f ca="1">'Validacao(1)'!BB206</f>
        <v>0</v>
      </c>
      <c r="P229" s="25">
        <f ca="1">'Validacao(2)'!BB206</f>
        <v>0</v>
      </c>
      <c r="Q229" s="25"/>
      <c r="R229" s="25"/>
      <c r="S229" s="25"/>
      <c r="T229" s="25"/>
      <c r="U229" s="25"/>
      <c r="V229" s="25"/>
      <c r="W229" s="25"/>
      <c r="X229" s="449"/>
      <c r="Y229" s="449"/>
      <c r="Z229" s="449"/>
      <c r="AA229" s="20"/>
    </row>
    <row r="230" spans="1:27" s="2" customFormat="1" ht="20.100000000000001" customHeight="1" outlineLevel="1" x14ac:dyDescent="0.25">
      <c r="A230" s="446"/>
      <c r="B230" s="1"/>
      <c r="C230" s="1"/>
      <c r="D230" s="1"/>
      <c r="E230" s="1"/>
      <c r="F230" s="447" t="s">
        <v>6658</v>
      </c>
      <c r="G230" s="450" t="str">
        <f>'Validacao(1)'!BC207</f>
        <v>Não foi preenchido o protocolo</v>
      </c>
      <c r="H230" s="456" t="str">
        <f t="shared" ca="1" si="8"/>
        <v/>
      </c>
      <c r="I230" s="456" t="str">
        <f t="shared" ca="1" si="9"/>
        <v/>
      </c>
      <c r="J230" s="419"/>
      <c r="K230" s="20"/>
      <c r="L230" s="20"/>
      <c r="N230" s="25">
        <f>COUNTIF($A$29:A230,"x")</f>
        <v>9</v>
      </c>
      <c r="O230" s="25">
        <f ca="1">'Validacao(1)'!BB207</f>
        <v>0</v>
      </c>
      <c r="P230" s="25">
        <f ca="1">'Validacao(2)'!BB207</f>
        <v>0</v>
      </c>
      <c r="Q230" s="25"/>
      <c r="R230" s="25"/>
      <c r="S230" s="25"/>
      <c r="T230" s="25"/>
      <c r="U230" s="25"/>
      <c r="V230" s="25"/>
      <c r="W230" s="25"/>
      <c r="X230" s="449"/>
      <c r="Y230" s="449"/>
      <c r="Z230" s="449"/>
      <c r="AA230" s="20"/>
    </row>
    <row r="231" spans="1:27" s="2" customFormat="1" ht="20.100000000000001" customHeight="1" outlineLevel="1" x14ac:dyDescent="0.25">
      <c r="A231" s="446"/>
      <c r="B231" s="1"/>
      <c r="C231" s="1"/>
      <c r="D231" s="1"/>
      <c r="E231" s="1"/>
      <c r="F231" s="447" t="s">
        <v>6659</v>
      </c>
      <c r="G231" s="450" t="str">
        <f>'Validacao(1)'!BC208</f>
        <v>Não foi preenchido a data de início</v>
      </c>
      <c r="H231" s="456" t="str">
        <f t="shared" ca="1" si="8"/>
        <v/>
      </c>
      <c r="I231" s="456" t="str">
        <f t="shared" ca="1" si="9"/>
        <v/>
      </c>
      <c r="J231" s="419"/>
      <c r="K231" s="20"/>
      <c r="L231" s="20"/>
      <c r="N231" s="25">
        <f>COUNTIF($A$29:A231,"x")</f>
        <v>9</v>
      </c>
      <c r="O231" s="25">
        <f ca="1">'Validacao(1)'!BB208</f>
        <v>0</v>
      </c>
      <c r="P231" s="25">
        <f ca="1">'Validacao(2)'!BB208</f>
        <v>0</v>
      </c>
      <c r="Q231" s="25"/>
      <c r="R231" s="25"/>
      <c r="S231" s="25"/>
      <c r="T231" s="25"/>
      <c r="U231" s="25"/>
      <c r="V231" s="25"/>
      <c r="W231" s="25"/>
      <c r="X231" s="449"/>
      <c r="Y231" s="449"/>
      <c r="Z231" s="449"/>
      <c r="AA231" s="20"/>
    </row>
    <row r="232" spans="1:27" s="2" customFormat="1" ht="20.100000000000001" customHeight="1" outlineLevel="1" x14ac:dyDescent="0.25">
      <c r="A232" s="446"/>
      <c r="B232" s="1"/>
      <c r="C232" s="1"/>
      <c r="D232" s="1"/>
      <c r="E232" s="1"/>
      <c r="F232" s="447" t="s">
        <v>6660</v>
      </c>
      <c r="G232" s="450" t="str">
        <f>'Validacao(1)'!BC209</f>
        <v>Não foi preenchido a data de conclusão</v>
      </c>
      <c r="H232" s="456" t="str">
        <f t="shared" ca="1" si="8"/>
        <v/>
      </c>
      <c r="I232" s="456" t="str">
        <f t="shared" ca="1" si="9"/>
        <v/>
      </c>
      <c r="J232" s="419"/>
      <c r="K232" s="20"/>
      <c r="L232" s="20"/>
      <c r="N232" s="25">
        <f>COUNTIF($A$29:A232,"x")</f>
        <v>9</v>
      </c>
      <c r="O232" s="25">
        <f ca="1">'Validacao(1)'!BB209</f>
        <v>0</v>
      </c>
      <c r="P232" s="25">
        <f ca="1">'Validacao(2)'!BB209</f>
        <v>0</v>
      </c>
      <c r="Q232" s="25"/>
      <c r="R232" s="25"/>
      <c r="S232" s="25"/>
      <c r="T232" s="25"/>
      <c r="U232" s="25"/>
      <c r="V232" s="25"/>
      <c r="W232" s="25"/>
      <c r="X232" s="449"/>
      <c r="Y232" s="449"/>
      <c r="Z232" s="449"/>
      <c r="AA232" s="20"/>
    </row>
    <row r="233" spans="1:27" s="2" customFormat="1" ht="20.100000000000001" customHeight="1" outlineLevel="1" x14ac:dyDescent="0.25">
      <c r="A233" s="446"/>
      <c r="B233" s="1"/>
      <c r="C233" s="1"/>
      <c r="D233" s="1"/>
      <c r="E233" s="1"/>
      <c r="F233" s="447" t="s">
        <v>6661</v>
      </c>
      <c r="G233" s="450" t="str">
        <f>'Validacao(1)'!BC210</f>
        <v xml:space="preserve">Não foi preenchido o código do certificado de análise </v>
      </c>
      <c r="H233" s="456" t="str">
        <f t="shared" ca="1" si="8"/>
        <v/>
      </c>
      <c r="I233" s="456" t="str">
        <f t="shared" ca="1" si="9"/>
        <v/>
      </c>
      <c r="J233" s="419"/>
      <c r="K233" s="20"/>
      <c r="L233" s="20"/>
      <c r="N233" s="25">
        <f>COUNTIF($A$29:A233,"x")</f>
        <v>9</v>
      </c>
      <c r="O233" s="25">
        <f ca="1">'Validacao(1)'!BB210</f>
        <v>0</v>
      </c>
      <c r="P233" s="25">
        <f ca="1">'Validacao(2)'!BB210</f>
        <v>0</v>
      </c>
      <c r="Q233" s="25"/>
      <c r="R233" s="25"/>
      <c r="S233" s="25"/>
      <c r="T233" s="25"/>
      <c r="U233" s="25"/>
      <c r="V233" s="25"/>
      <c r="W233" s="25"/>
      <c r="X233" s="449"/>
      <c r="Y233" s="449"/>
      <c r="Z233" s="449"/>
      <c r="AA233" s="20"/>
    </row>
    <row r="234" spans="1:27" s="2" customFormat="1" ht="20.100000000000001" customHeight="1" outlineLevel="1" x14ac:dyDescent="0.25">
      <c r="A234" s="446"/>
      <c r="B234" s="1"/>
      <c r="C234" s="1"/>
      <c r="D234" s="1"/>
      <c r="E234" s="1"/>
      <c r="F234" s="447" t="s">
        <v>6662</v>
      </c>
      <c r="G234" s="450" t="str">
        <f>'Validacao(1)'!BC211</f>
        <v>Não foi preenchido a espécie</v>
      </c>
      <c r="H234" s="456" t="str">
        <f t="shared" ca="1" si="8"/>
        <v/>
      </c>
      <c r="I234" s="456" t="str">
        <f t="shared" ca="1" si="9"/>
        <v/>
      </c>
      <c r="J234" s="419"/>
      <c r="K234" s="20"/>
      <c r="L234" s="20"/>
      <c r="N234" s="25">
        <f>COUNTIF($A$29:A234,"x")</f>
        <v>9</v>
      </c>
      <c r="O234" s="25">
        <f ca="1">'Validacao(1)'!BB211</f>
        <v>0</v>
      </c>
      <c r="P234" s="25">
        <f ca="1">'Validacao(2)'!BB211</f>
        <v>0</v>
      </c>
      <c r="Q234" s="25"/>
      <c r="R234" s="25"/>
      <c r="S234" s="25"/>
      <c r="T234" s="25"/>
      <c r="U234" s="25"/>
      <c r="V234" s="25"/>
      <c r="W234" s="25"/>
      <c r="X234" s="449"/>
      <c r="Y234" s="449"/>
      <c r="Z234" s="449"/>
      <c r="AA234" s="20"/>
    </row>
    <row r="235" spans="1:27" s="2" customFormat="1" ht="20.100000000000001" customHeight="1" outlineLevel="1" x14ac:dyDescent="0.25">
      <c r="A235" s="446"/>
      <c r="B235" s="1"/>
      <c r="C235" s="1"/>
      <c r="D235" s="1"/>
      <c r="E235" s="1"/>
      <c r="F235" s="447" t="s">
        <v>6663</v>
      </c>
      <c r="G235" s="450" t="str">
        <f>'Validacao(1)'!BC212</f>
        <v>Não foi preenchida a dose utilizada</v>
      </c>
      <c r="H235" s="456" t="str">
        <f t="shared" ca="1" si="8"/>
        <v/>
      </c>
      <c r="I235" s="456" t="str">
        <f t="shared" ca="1" si="9"/>
        <v/>
      </c>
      <c r="J235" s="419"/>
      <c r="K235" s="20"/>
      <c r="L235" s="20"/>
      <c r="N235" s="25">
        <f>COUNTIF($A$29:A235,"x")</f>
        <v>9</v>
      </c>
      <c r="O235" s="25">
        <f ca="1">'Validacao(1)'!BB212</f>
        <v>0</v>
      </c>
      <c r="P235" s="25">
        <f ca="1">'Validacao(2)'!BB212</f>
        <v>0</v>
      </c>
      <c r="Q235" s="25"/>
      <c r="R235" s="25"/>
      <c r="S235" s="25"/>
      <c r="T235" s="25"/>
      <c r="U235" s="25"/>
      <c r="V235" s="25"/>
      <c r="W235" s="25"/>
      <c r="X235" s="449"/>
      <c r="Y235" s="449"/>
      <c r="Z235" s="449"/>
      <c r="AA235" s="20"/>
    </row>
    <row r="236" spans="1:27" s="2" customFormat="1" ht="20.100000000000001" customHeight="1" outlineLevel="1" x14ac:dyDescent="0.25">
      <c r="A236" s="446"/>
      <c r="B236" s="1"/>
      <c r="C236" s="1"/>
      <c r="D236" s="1"/>
      <c r="E236" s="1"/>
      <c r="F236" s="447" t="s">
        <v>6664</v>
      </c>
      <c r="G236" s="450" t="str">
        <f>'Validacao(1)'!BC213</f>
        <v>Não foi preenchida a unidade de medida da dose</v>
      </c>
      <c r="H236" s="456" t="str">
        <f t="shared" ca="1" si="8"/>
        <v/>
      </c>
      <c r="I236" s="456" t="str">
        <f t="shared" ca="1" si="9"/>
        <v/>
      </c>
      <c r="J236" s="419"/>
      <c r="K236" s="20"/>
      <c r="L236" s="20"/>
      <c r="N236" s="25">
        <f>COUNTIF($A$29:A236,"x")</f>
        <v>9</v>
      </c>
      <c r="O236" s="25">
        <f ca="1">'Validacao(1)'!BB213</f>
        <v>0</v>
      </c>
      <c r="P236" s="25">
        <f ca="1">'Validacao(2)'!BB213</f>
        <v>0</v>
      </c>
      <c r="Q236" s="25"/>
      <c r="R236" s="25"/>
      <c r="S236" s="25"/>
      <c r="T236" s="25"/>
      <c r="U236" s="25"/>
      <c r="V236" s="25"/>
      <c r="W236" s="25"/>
      <c r="X236" s="449"/>
      <c r="Y236" s="449"/>
      <c r="Z236" s="449"/>
      <c r="AA236" s="20"/>
    </row>
    <row r="237" spans="1:27" s="2" customFormat="1" ht="20.100000000000001" customHeight="1" outlineLevel="1" x14ac:dyDescent="0.25">
      <c r="A237" s="446"/>
      <c r="B237" s="1"/>
      <c r="C237" s="1"/>
      <c r="D237" s="1"/>
      <c r="E237" s="1"/>
      <c r="F237" s="447" t="s">
        <v>6665</v>
      </c>
      <c r="G237" s="450" t="str">
        <f>'Validacao(1)'!BC214</f>
        <v>Não foi preenchido se houve lavagem do olho tratado</v>
      </c>
      <c r="H237" s="456" t="str">
        <f t="shared" ca="1" si="8"/>
        <v/>
      </c>
      <c r="I237" s="456" t="str">
        <f t="shared" ca="1" si="9"/>
        <v/>
      </c>
      <c r="J237" s="419"/>
      <c r="K237" s="20"/>
      <c r="L237" s="20"/>
      <c r="N237" s="25">
        <f>COUNTIF($A$29:A237,"x")</f>
        <v>9</v>
      </c>
      <c r="O237" s="25">
        <f ca="1">'Validacao(1)'!BB214</f>
        <v>0</v>
      </c>
      <c r="P237" s="25">
        <f ca="1">'Validacao(2)'!BB214</f>
        <v>0</v>
      </c>
      <c r="Q237" s="25"/>
      <c r="R237" s="25"/>
      <c r="S237" s="25"/>
      <c r="T237" s="25"/>
      <c r="U237" s="25"/>
      <c r="V237" s="25"/>
      <c r="W237" s="25"/>
      <c r="X237" s="449"/>
      <c r="Y237" s="449"/>
      <c r="Z237" s="449"/>
      <c r="AA237" s="20"/>
    </row>
    <row r="238" spans="1:27" s="2" customFormat="1" ht="20.100000000000001" customHeight="1" outlineLevel="1" x14ac:dyDescent="0.25">
      <c r="A238" s="446"/>
      <c r="B238" s="1"/>
      <c r="C238" s="1"/>
      <c r="D238" s="1"/>
      <c r="E238" s="1"/>
      <c r="F238" s="447" t="s">
        <v>6666</v>
      </c>
      <c r="G238" s="450" t="str">
        <f>'Validacao(1)'!BC215</f>
        <v>Não foi preenchido o tempo de exposição até a lavagem</v>
      </c>
      <c r="H238" s="456" t="str">
        <f t="shared" ca="1" si="8"/>
        <v/>
      </c>
      <c r="I238" s="456" t="str">
        <f t="shared" ca="1" si="9"/>
        <v/>
      </c>
      <c r="J238" s="419"/>
      <c r="K238" s="20"/>
      <c r="L238" s="20"/>
      <c r="N238" s="25">
        <f>COUNTIF($A$29:A238,"x")</f>
        <v>9</v>
      </c>
      <c r="O238" s="25">
        <f ca="1">'Validacao(1)'!BB215</f>
        <v>0</v>
      </c>
      <c r="P238" s="25">
        <f ca="1">'Validacao(2)'!BB215</f>
        <v>0</v>
      </c>
      <c r="Q238" s="25"/>
      <c r="R238" s="25"/>
      <c r="S238" s="25"/>
      <c r="T238" s="25"/>
      <c r="U238" s="25"/>
      <c r="V238" s="25"/>
      <c r="W238" s="25"/>
      <c r="X238" s="449"/>
      <c r="Y238" s="449"/>
      <c r="Z238" s="449"/>
      <c r="AA238" s="20"/>
    </row>
    <row r="239" spans="1:27" s="2" customFormat="1" ht="20.100000000000001" customHeight="1" outlineLevel="1" x14ac:dyDescent="0.25">
      <c r="A239" s="446"/>
      <c r="B239" s="1"/>
      <c r="C239" s="1"/>
      <c r="D239" s="1"/>
      <c r="E239" s="1"/>
      <c r="F239" s="447" t="s">
        <v>6667</v>
      </c>
      <c r="G239" s="450" t="str">
        <f>'Validacao(1)'!BC216</f>
        <v>Não foi preenchido se a substância causou corrosão no olho</v>
      </c>
      <c r="H239" s="456" t="str">
        <f t="shared" ca="1" si="8"/>
        <v/>
      </c>
      <c r="I239" s="456" t="str">
        <f t="shared" ca="1" si="9"/>
        <v/>
      </c>
      <c r="J239" s="419"/>
      <c r="K239" s="20"/>
      <c r="L239" s="20"/>
      <c r="N239" s="25">
        <f>COUNTIF($A$29:A239,"x")</f>
        <v>9</v>
      </c>
      <c r="O239" s="25">
        <f ca="1">'Validacao(1)'!BB216</f>
        <v>0</v>
      </c>
      <c r="P239" s="25">
        <f ca="1">'Validacao(2)'!BB216</f>
        <v>0</v>
      </c>
      <c r="Q239" s="25"/>
      <c r="R239" s="25"/>
      <c r="S239" s="25"/>
      <c r="T239" s="25"/>
      <c r="U239" s="25"/>
      <c r="V239" s="25"/>
      <c r="W239" s="25"/>
      <c r="X239" s="449"/>
      <c r="Y239" s="449"/>
      <c r="Z239" s="449"/>
      <c r="AA239" s="20"/>
    </row>
    <row r="240" spans="1:27" s="2" customFormat="1" ht="20.100000000000001" customHeight="1" outlineLevel="1" x14ac:dyDescent="0.25">
      <c r="A240" s="446"/>
      <c r="B240" s="1"/>
      <c r="C240" s="1"/>
      <c r="D240" s="1"/>
      <c r="E240" s="1"/>
      <c r="F240" s="447" t="s">
        <v>6668</v>
      </c>
      <c r="G240" s="450" t="str">
        <f>'Validacao(1)'!BC217</f>
        <v>Não foi preenchido o sexo para algum dos animais</v>
      </c>
      <c r="H240" s="456" t="str">
        <f t="shared" ca="1" si="8"/>
        <v/>
      </c>
      <c r="I240" s="456" t="str">
        <f t="shared" ca="1" si="9"/>
        <v/>
      </c>
      <c r="J240" s="419"/>
      <c r="K240" s="20"/>
      <c r="L240" s="20"/>
      <c r="N240" s="25">
        <f>COUNTIF($A$29:A240,"x")</f>
        <v>9</v>
      </c>
      <c r="O240" s="25">
        <f ca="1">'Validacao(1)'!BB217</f>
        <v>0</v>
      </c>
      <c r="P240" s="25">
        <f ca="1">'Validacao(2)'!BB217</f>
        <v>0</v>
      </c>
      <c r="Q240" s="25"/>
      <c r="R240" s="25"/>
      <c r="S240" s="25"/>
      <c r="T240" s="25"/>
      <c r="U240" s="25"/>
      <c r="V240" s="25"/>
      <c r="W240" s="25"/>
      <c r="X240" s="449"/>
      <c r="Y240" s="449"/>
      <c r="Z240" s="449"/>
      <c r="AA240" s="20"/>
    </row>
    <row r="241" spans="1:27" s="2" customFormat="1" ht="20.100000000000001" customHeight="1" outlineLevel="1" x14ac:dyDescent="0.25">
      <c r="A241" s="446"/>
      <c r="B241" s="1"/>
      <c r="C241" s="1"/>
      <c r="D241" s="1"/>
      <c r="E241" s="1"/>
      <c r="F241" s="447" t="s">
        <v>6669</v>
      </c>
      <c r="G241" s="450" t="str">
        <f>'Validacao(1)'!BC218</f>
        <v>Não foi  preenchida a tabela de resultados completa</v>
      </c>
      <c r="H241" s="456" t="str">
        <f t="shared" ca="1" si="8"/>
        <v/>
      </c>
      <c r="I241" s="456" t="str">
        <f t="shared" ca="1" si="9"/>
        <v/>
      </c>
      <c r="J241" s="419"/>
      <c r="K241" s="20"/>
      <c r="L241" s="20"/>
      <c r="N241" s="25">
        <f>COUNTIF($A$29:A241,"x")</f>
        <v>9</v>
      </c>
      <c r="O241" s="25">
        <f ca="1">'Validacao(1)'!BB218</f>
        <v>0</v>
      </c>
      <c r="P241" s="25">
        <f ca="1">'Validacao(2)'!BB218</f>
        <v>0</v>
      </c>
      <c r="Q241" s="25"/>
      <c r="R241" s="25"/>
      <c r="S241" s="25"/>
      <c r="T241" s="25"/>
      <c r="U241" s="25"/>
      <c r="V241" s="25"/>
      <c r="W241" s="25"/>
      <c r="X241" s="449"/>
      <c r="Y241" s="449"/>
      <c r="Z241" s="449"/>
      <c r="AA241" s="20"/>
    </row>
    <row r="242" spans="1:27" s="2" customFormat="1" ht="20.100000000000001" customHeight="1" outlineLevel="1" x14ac:dyDescent="0.25">
      <c r="A242" s="446"/>
      <c r="B242" s="1"/>
      <c r="C242" s="1"/>
      <c r="D242" s="1"/>
      <c r="E242" s="1"/>
      <c r="F242" s="447" t="s">
        <v>6670</v>
      </c>
      <c r="G242" s="450" t="str">
        <f>'Validacao(1)'!BC219</f>
        <v>Não foi assinalada a opção sobre as lesões encontradas</v>
      </c>
      <c r="H242" s="456" t="str">
        <f t="shared" ca="1" si="8"/>
        <v/>
      </c>
      <c r="I242" s="456" t="str">
        <f t="shared" ca="1" si="9"/>
        <v/>
      </c>
      <c r="J242" s="419"/>
      <c r="K242" s="20"/>
      <c r="L242" s="20"/>
      <c r="N242" s="25">
        <f>COUNTIF($A$29:A242,"x")</f>
        <v>9</v>
      </c>
      <c r="O242" s="25">
        <f ca="1">'Validacao(1)'!BB219</f>
        <v>0</v>
      </c>
      <c r="P242" s="25">
        <f ca="1">'Validacao(2)'!BB219</f>
        <v>0</v>
      </c>
      <c r="Q242" s="25"/>
      <c r="R242" s="25"/>
      <c r="S242" s="25"/>
      <c r="T242" s="25"/>
      <c r="U242" s="25"/>
      <c r="V242" s="25"/>
      <c r="W242" s="25"/>
      <c r="X242" s="449"/>
      <c r="Y242" s="449"/>
      <c r="Z242" s="449"/>
      <c r="AA242" s="20"/>
    </row>
    <row r="243" spans="1:27" s="2" customFormat="1" ht="20.100000000000001" customHeight="1" outlineLevel="1" x14ac:dyDescent="0.25">
      <c r="A243" s="446"/>
      <c r="B243" s="1"/>
      <c r="C243" s="1"/>
      <c r="D243" s="1"/>
      <c r="E243" s="1"/>
      <c r="F243" s="447" t="s">
        <v>6671</v>
      </c>
      <c r="G243" s="450" t="str">
        <f>'Validacao(1)'!BC220</f>
        <v>Não foi preenchido o detalhamento das lesões</v>
      </c>
      <c r="H243" s="456" t="str">
        <f t="shared" ca="1" si="8"/>
        <v/>
      </c>
      <c r="I243" s="456" t="str">
        <f t="shared" ca="1" si="9"/>
        <v/>
      </c>
      <c r="J243" s="419"/>
      <c r="K243" s="20"/>
      <c r="L243" s="20"/>
      <c r="N243" s="25">
        <f>COUNTIF($A$29:A243,"x")</f>
        <v>9</v>
      </c>
      <c r="O243" s="25">
        <f ca="1">'Validacao(1)'!BB220</f>
        <v>0</v>
      </c>
      <c r="P243" s="25">
        <f ca="1">'Validacao(2)'!BB220</f>
        <v>0</v>
      </c>
      <c r="Q243" s="25"/>
      <c r="R243" s="25"/>
      <c r="S243" s="25"/>
      <c r="T243" s="25"/>
      <c r="U243" s="25"/>
      <c r="V243" s="25"/>
      <c r="W243" s="25"/>
      <c r="X243" s="449"/>
      <c r="Y243" s="449"/>
      <c r="Z243" s="449"/>
      <c r="AA243" s="20"/>
    </row>
    <row r="244" spans="1:27" s="2" customFormat="1" ht="20.100000000000001" customHeight="1" outlineLevel="1" x14ac:dyDescent="0.25">
      <c r="A244" s="446"/>
      <c r="B244" s="1"/>
      <c r="C244" s="1"/>
      <c r="D244" s="1"/>
      <c r="E244" s="1"/>
      <c r="F244" s="447" t="s">
        <v>6672</v>
      </c>
      <c r="G244" s="450" t="str">
        <f>'Validacao(1)'!BC221</f>
        <v>Não foi preenchido se houve desvio ao protocolo</v>
      </c>
      <c r="H244" s="456" t="str">
        <f t="shared" ca="1" si="8"/>
        <v/>
      </c>
      <c r="I244" s="456" t="str">
        <f t="shared" ca="1" si="9"/>
        <v/>
      </c>
      <c r="J244" s="419"/>
      <c r="K244" s="20"/>
      <c r="L244" s="20"/>
      <c r="N244" s="25">
        <f>COUNTIF($A$29:A244,"x")</f>
        <v>9</v>
      </c>
      <c r="O244" s="25">
        <f ca="1">'Validacao(1)'!BB221</f>
        <v>0</v>
      </c>
      <c r="P244" s="25">
        <f ca="1">'Validacao(2)'!BB221</f>
        <v>0</v>
      </c>
      <c r="Q244" s="25"/>
      <c r="R244" s="25"/>
      <c r="S244" s="25"/>
      <c r="T244" s="25"/>
      <c r="U244" s="25"/>
      <c r="V244" s="25"/>
      <c r="W244" s="25"/>
      <c r="X244" s="449"/>
      <c r="Y244" s="449"/>
      <c r="Z244" s="449"/>
      <c r="AA244" s="20"/>
    </row>
    <row r="245" spans="1:27" s="2" customFormat="1" ht="20.100000000000001" customHeight="1" outlineLevel="1" x14ac:dyDescent="0.25">
      <c r="A245" s="446"/>
      <c r="B245" s="1"/>
      <c r="C245" s="1"/>
      <c r="D245" s="1"/>
      <c r="E245" s="1"/>
      <c r="F245" s="447" t="s">
        <v>6673</v>
      </c>
      <c r="G245" s="450" t="str">
        <f>'Validacao(1)'!BC222</f>
        <v>Não foi preenchida a conclusão</v>
      </c>
      <c r="H245" s="456" t="str">
        <f t="shared" ca="1" si="8"/>
        <v/>
      </c>
      <c r="I245" s="456" t="str">
        <f t="shared" ca="1" si="9"/>
        <v/>
      </c>
      <c r="J245" s="419"/>
      <c r="K245" s="20"/>
      <c r="L245" s="20"/>
      <c r="N245" s="25">
        <f>COUNTIF($A$29:A245,"x")</f>
        <v>9</v>
      </c>
      <c r="O245" s="25">
        <f ca="1">'Validacao(1)'!BB222</f>
        <v>0</v>
      </c>
      <c r="P245" s="25">
        <f ca="1">'Validacao(2)'!BB222</f>
        <v>0</v>
      </c>
      <c r="Q245" s="25"/>
      <c r="R245" s="25"/>
      <c r="S245" s="25"/>
      <c r="T245" s="25"/>
      <c r="U245" s="25"/>
      <c r="V245" s="25"/>
      <c r="W245" s="25"/>
      <c r="X245" s="449"/>
      <c r="Y245" s="449"/>
      <c r="Z245" s="449"/>
      <c r="AA245" s="20"/>
    </row>
    <row r="246" spans="1:27" s="2" customFormat="1" ht="20.100000000000001" customHeight="1" outlineLevel="1" x14ac:dyDescent="0.25">
      <c r="A246" s="446"/>
      <c r="B246" s="1"/>
      <c r="C246" s="1"/>
      <c r="D246" s="1"/>
      <c r="E246" s="1"/>
      <c r="F246" s="447" t="s">
        <v>6674</v>
      </c>
      <c r="G246" s="450" t="str">
        <f>'Validacao(1)'!BC223</f>
        <v>Foi solicitada dispensa de apresentação</v>
      </c>
      <c r="H246" s="456" t="str">
        <f t="shared" ca="1" si="8"/>
        <v/>
      </c>
      <c r="I246" s="456" t="str">
        <f t="shared" ca="1" si="9"/>
        <v/>
      </c>
      <c r="J246" s="419"/>
      <c r="K246" s="20"/>
      <c r="L246" s="20"/>
      <c r="N246" s="25">
        <f>COUNTIF($A$29:A246,"x")</f>
        <v>9</v>
      </c>
      <c r="O246" s="25">
        <f ca="1">'Validacao(1)'!BB223</f>
        <v>0</v>
      </c>
      <c r="P246" s="25">
        <f ca="1">'Validacao(2)'!BB223</f>
        <v>0</v>
      </c>
      <c r="Q246" s="25"/>
      <c r="R246" s="25"/>
      <c r="S246" s="25"/>
      <c r="T246" s="25"/>
      <c r="U246" s="25"/>
      <c r="V246" s="25"/>
      <c r="W246" s="25"/>
      <c r="X246" s="449"/>
      <c r="Y246" s="449"/>
      <c r="Z246" s="449"/>
      <c r="AA246" s="20"/>
    </row>
    <row r="247" spans="1:27" s="2" customFormat="1" ht="20.100000000000001" customHeight="1" outlineLevel="1" x14ac:dyDescent="0.25">
      <c r="A247" s="446"/>
      <c r="B247" s="1"/>
      <c r="C247" s="1"/>
      <c r="D247" s="1"/>
      <c r="E247" s="1"/>
      <c r="F247" s="447" t="s">
        <v>6675</v>
      </c>
      <c r="G247" s="450" t="str">
        <f>'Validacao(1)'!BC224</f>
        <v>Estudo conduzido em laboratório sem BPL</v>
      </c>
      <c r="H247" s="456" t="str">
        <f t="shared" ca="1" si="8"/>
        <v/>
      </c>
      <c r="I247" s="456" t="str">
        <f t="shared" ca="1" si="9"/>
        <v/>
      </c>
      <c r="J247" s="419"/>
      <c r="K247" s="20"/>
      <c r="L247" s="20"/>
      <c r="N247" s="25">
        <f>COUNTIF($A$29:A247,"x")</f>
        <v>9</v>
      </c>
      <c r="O247" s="25">
        <f ca="1">'Validacao(1)'!BB224</f>
        <v>0</v>
      </c>
      <c r="P247" s="25">
        <f ca="1">'Validacao(2)'!BB224</f>
        <v>0</v>
      </c>
      <c r="Q247" s="25"/>
      <c r="R247" s="25"/>
      <c r="S247" s="25"/>
      <c r="T247" s="25"/>
      <c r="U247" s="25"/>
      <c r="V247" s="25"/>
      <c r="W247" s="25"/>
      <c r="X247" s="449"/>
      <c r="Y247" s="449"/>
      <c r="Z247" s="449"/>
      <c r="AA247" s="20"/>
    </row>
    <row r="248" spans="1:27" s="2" customFormat="1" ht="20.100000000000001" customHeight="1" outlineLevel="1" x14ac:dyDescent="0.25">
      <c r="A248" s="446"/>
      <c r="B248" s="1"/>
      <c r="C248" s="1"/>
      <c r="D248" s="1"/>
      <c r="E248" s="1"/>
      <c r="F248" s="447" t="s">
        <v>6676</v>
      </c>
      <c r="G248" s="450" t="str">
        <f>'Validacao(1)'!BC225</f>
        <v>A lavagem dos olhos foi preenchida como "Não relatado"</v>
      </c>
      <c r="H248" s="456" t="str">
        <f t="shared" ca="1" si="8"/>
        <v/>
      </c>
      <c r="I248" s="456" t="str">
        <f t="shared" ca="1" si="9"/>
        <v/>
      </c>
      <c r="J248" s="419"/>
      <c r="K248" s="20"/>
      <c r="L248" s="20"/>
      <c r="N248" s="25">
        <f>COUNTIF($A$29:A248,"x")</f>
        <v>9</v>
      </c>
      <c r="O248" s="25">
        <f ca="1">'Validacao(1)'!BB225</f>
        <v>0</v>
      </c>
      <c r="P248" s="25">
        <f ca="1">'Validacao(2)'!BB225</f>
        <v>0</v>
      </c>
      <c r="Q248" s="25"/>
      <c r="R248" s="25"/>
      <c r="S248" s="25"/>
      <c r="T248" s="25"/>
      <c r="U248" s="25"/>
      <c r="V248" s="25"/>
      <c r="W248" s="25"/>
      <c r="X248" s="449"/>
      <c r="Y248" s="449"/>
      <c r="Z248" s="449"/>
      <c r="AA248" s="20"/>
    </row>
    <row r="249" spans="1:27" s="2" customFormat="1" ht="20.100000000000001" customHeight="1" outlineLevel="1" x14ac:dyDescent="0.25">
      <c r="A249" s="446"/>
      <c r="B249" s="1"/>
      <c r="C249" s="1"/>
      <c r="D249" s="1"/>
      <c r="E249" s="1"/>
      <c r="F249" s="447" t="s">
        <v>6677</v>
      </c>
      <c r="G249" s="450" t="str">
        <f>'Validacao(1)'!BC226</f>
        <v>Tempo de lavagem do olho inferior ao mínimo do protocolo (24 horas: líquidos; 1 hora: sólidos)</v>
      </c>
      <c r="H249" s="456" t="str">
        <f t="shared" ca="1" si="8"/>
        <v/>
      </c>
      <c r="I249" s="456" t="str">
        <f t="shared" ca="1" si="9"/>
        <v/>
      </c>
      <c r="J249" s="419"/>
      <c r="K249" s="20"/>
      <c r="L249" s="20"/>
      <c r="N249" s="25">
        <f>COUNTIF($A$29:A249,"x")</f>
        <v>9</v>
      </c>
      <c r="O249" s="25">
        <f ca="1">'Validacao(1)'!BB226</f>
        <v>0</v>
      </c>
      <c r="P249" s="25">
        <f ca="1">'Validacao(2)'!BB226</f>
        <v>0</v>
      </c>
      <c r="Q249" s="25"/>
      <c r="R249" s="25"/>
      <c r="S249" s="25"/>
      <c r="T249" s="25"/>
      <c r="U249" s="25"/>
      <c r="V249" s="25"/>
      <c r="W249" s="25"/>
      <c r="X249" s="449"/>
      <c r="Y249" s="449"/>
      <c r="Z249" s="449"/>
      <c r="AA249" s="20"/>
    </row>
    <row r="250" spans="1:27" s="2" customFormat="1" ht="20.100000000000001" customHeight="1" outlineLevel="1" x14ac:dyDescent="0.25">
      <c r="A250" s="446"/>
      <c r="B250" s="1"/>
      <c r="C250" s="1"/>
      <c r="D250" s="1"/>
      <c r="E250" s="1"/>
      <c r="F250" s="447" t="s">
        <v>6678</v>
      </c>
      <c r="G250" s="450" t="str">
        <f>'Validacao(1)'!BC227</f>
        <v>Foram descritos desvios ao protocolo</v>
      </c>
      <c r="H250" s="456" t="str">
        <f t="shared" ca="1" si="8"/>
        <v/>
      </c>
      <c r="I250" s="456" t="str">
        <f t="shared" ca="1" si="9"/>
        <v/>
      </c>
      <c r="J250" s="419"/>
      <c r="K250" s="20"/>
      <c r="L250" s="20"/>
      <c r="N250" s="25">
        <f>COUNTIF($A$29:A250,"x")</f>
        <v>9</v>
      </c>
      <c r="O250" s="25">
        <f ca="1">'Validacao(1)'!BB227</f>
        <v>0</v>
      </c>
      <c r="P250" s="25">
        <f ca="1">'Validacao(2)'!BB227</f>
        <v>0</v>
      </c>
      <c r="Q250" s="25"/>
      <c r="R250" s="25"/>
      <c r="S250" s="25"/>
      <c r="T250" s="25"/>
      <c r="U250" s="25"/>
      <c r="V250" s="25"/>
      <c r="W250" s="25"/>
      <c r="X250" s="449"/>
      <c r="Y250" s="449"/>
      <c r="Z250" s="449"/>
      <c r="AA250" s="20"/>
    </row>
    <row r="251" spans="1:27" s="2" customFormat="1" ht="20.100000000000001" customHeight="1" outlineLevel="1" x14ac:dyDescent="0.25">
      <c r="A251" s="446"/>
      <c r="B251" s="1"/>
      <c r="C251" s="1"/>
      <c r="D251" s="1"/>
      <c r="E251" s="1"/>
      <c r="F251" s="447" t="s">
        <v>6679</v>
      </c>
      <c r="G251" s="450" t="str">
        <f>'Validacao(1)'!BC228</f>
        <v>Os desvios inteferiram nos resultados</v>
      </c>
      <c r="H251" s="456" t="str">
        <f t="shared" ca="1" si="8"/>
        <v/>
      </c>
      <c r="I251" s="456" t="str">
        <f t="shared" ca="1" si="9"/>
        <v/>
      </c>
      <c r="J251" s="419"/>
      <c r="K251" s="20"/>
      <c r="L251" s="20"/>
      <c r="N251" s="25">
        <f>COUNTIF($A$29:A251,"x")</f>
        <v>9</v>
      </c>
      <c r="O251" s="25">
        <f ca="1">'Validacao(1)'!BB228</f>
        <v>0</v>
      </c>
      <c r="P251" s="25">
        <f ca="1">'Validacao(2)'!BB228</f>
        <v>0</v>
      </c>
      <c r="Q251" s="25"/>
      <c r="R251" s="25"/>
      <c r="S251" s="25"/>
      <c r="T251" s="25"/>
      <c r="U251" s="25"/>
      <c r="V251" s="25"/>
      <c r="W251" s="25"/>
      <c r="X251" s="449"/>
      <c r="Y251" s="449"/>
      <c r="Z251" s="449"/>
      <c r="AA251" s="20"/>
    </row>
    <row r="252" spans="1:27" s="2" customFormat="1" ht="20.100000000000001" customHeight="1" outlineLevel="1" x14ac:dyDescent="0.25">
      <c r="A252" s="446"/>
      <c r="B252" s="1"/>
      <c r="C252" s="1"/>
      <c r="D252" s="1"/>
      <c r="E252" s="1"/>
      <c r="F252" s="447" t="s">
        <v>6680</v>
      </c>
      <c r="G252" s="450" t="str">
        <f>'Validacao(1)'!BC229</f>
        <v>O certificado não foi preenchido na aba "Certificados"</v>
      </c>
      <c r="H252" s="456" t="str">
        <f t="shared" ca="1" si="8"/>
        <v/>
      </c>
      <c r="I252" s="456" t="str">
        <f t="shared" ca="1" si="9"/>
        <v/>
      </c>
      <c r="J252" s="419"/>
      <c r="K252" s="20"/>
      <c r="L252" s="20"/>
      <c r="N252" s="25">
        <f>COUNTIF($A$29:A252,"x")</f>
        <v>9</v>
      </c>
      <c r="O252" s="25">
        <f ca="1">'Validacao(1)'!BB229</f>
        <v>0</v>
      </c>
      <c r="P252" s="25">
        <f ca="1">'Validacao(2)'!BB229</f>
        <v>0</v>
      </c>
      <c r="Q252" s="25"/>
      <c r="R252" s="25"/>
      <c r="S252" s="25"/>
      <c r="T252" s="25"/>
      <c r="U252" s="25"/>
      <c r="V252" s="25"/>
      <c r="W252" s="25"/>
      <c r="X252" s="449"/>
      <c r="Y252" s="449"/>
      <c r="Z252" s="449"/>
      <c r="AA252" s="20"/>
    </row>
    <row r="253" spans="1:27" s="2" customFormat="1" ht="20.100000000000001" customHeight="1" outlineLevel="1" x14ac:dyDescent="0.25">
      <c r="A253" s="446"/>
      <c r="B253" s="1"/>
      <c r="C253" s="1"/>
      <c r="D253" s="1"/>
      <c r="E253" s="1"/>
      <c r="F253" s="447" t="s">
        <v>6681</v>
      </c>
      <c r="G253" s="450" t="str">
        <f>'Validacao(1)'!BC230</f>
        <v>Estudo conduzido com amostra vencida</v>
      </c>
      <c r="H253" s="456" t="str">
        <f t="shared" ca="1" si="8"/>
        <v/>
      </c>
      <c r="I253" s="456" t="str">
        <f t="shared" ca="1" si="9"/>
        <v/>
      </c>
      <c r="J253" s="419"/>
      <c r="K253" s="20"/>
      <c r="L253" s="20"/>
      <c r="N253" s="25">
        <f>COUNTIF($A$29:A253,"x")</f>
        <v>9</v>
      </c>
      <c r="O253" s="25">
        <f ca="1">'Validacao(1)'!BB230</f>
        <v>0</v>
      </c>
      <c r="P253" s="25">
        <f ca="1">'Validacao(2)'!BB230</f>
        <v>0</v>
      </c>
      <c r="Q253" s="25"/>
      <c r="R253" s="25"/>
      <c r="S253" s="25"/>
      <c r="T253" s="25"/>
      <c r="U253" s="25"/>
      <c r="V253" s="25"/>
      <c r="W253" s="25"/>
      <c r="X253" s="449"/>
      <c r="Y253" s="449"/>
      <c r="Z253" s="449"/>
      <c r="AA253" s="20"/>
    </row>
    <row r="254" spans="1:27" s="2" customFormat="1" ht="20.100000000000001" customHeight="1" outlineLevel="1" x14ac:dyDescent="0.25">
      <c r="A254" s="446"/>
      <c r="B254" s="1"/>
      <c r="C254" s="1"/>
      <c r="D254" s="1"/>
      <c r="E254" s="1"/>
      <c r="F254" s="447" t="s">
        <v>6682</v>
      </c>
      <c r="G254" s="450" t="str">
        <f>'Validacao(1)'!BC231</f>
        <v>Estudo conduzido com amostra fora da DCQQ</v>
      </c>
      <c r="H254" s="456" t="str">
        <f t="shared" ca="1" si="8"/>
        <v/>
      </c>
      <c r="I254" s="456" t="str">
        <f t="shared" ca="1" si="9"/>
        <v/>
      </c>
      <c r="J254" s="419"/>
      <c r="K254" s="20"/>
      <c r="L254" s="20"/>
      <c r="N254" s="25">
        <f>COUNTIF($A$29:A254,"x")</f>
        <v>9</v>
      </c>
      <c r="O254" s="25">
        <f ca="1">'Validacao(1)'!BB231</f>
        <v>0</v>
      </c>
      <c r="P254" s="25">
        <f ca="1">'Validacao(2)'!BB231</f>
        <v>0</v>
      </c>
      <c r="Q254" s="25"/>
      <c r="R254" s="25"/>
      <c r="S254" s="25"/>
      <c r="T254" s="25"/>
      <c r="U254" s="25"/>
      <c r="V254" s="25"/>
      <c r="W254" s="25"/>
      <c r="X254" s="449"/>
      <c r="Y254" s="449"/>
      <c r="Z254" s="449"/>
      <c r="AA254" s="20"/>
    </row>
    <row r="255" spans="1:27" s="2" customFormat="1" ht="20.100000000000001" customHeight="1" outlineLevel="1" x14ac:dyDescent="0.25">
      <c r="A255" s="446"/>
      <c r="B255" s="1"/>
      <c r="C255" s="1"/>
      <c r="D255" s="1"/>
      <c r="E255" s="1"/>
      <c r="F255" s="447" t="s">
        <v>6683</v>
      </c>
      <c r="G255" s="450" t="str">
        <f>'Validacao(1)'!BC232</f>
        <v>A opção assinalada para "lesões encontradas" não corresponde a opção sugerida</v>
      </c>
      <c r="H255" s="456" t="str">
        <f t="shared" ca="1" si="8"/>
        <v/>
      </c>
      <c r="I255" s="456" t="str">
        <f t="shared" ca="1" si="9"/>
        <v/>
      </c>
      <c r="J255" s="419"/>
      <c r="K255" s="20"/>
      <c r="L255" s="20"/>
      <c r="N255" s="25">
        <f>COUNTIF($A$29:A255,"x")</f>
        <v>9</v>
      </c>
      <c r="O255" s="25">
        <f ca="1">'Validacao(1)'!BB232</f>
        <v>0</v>
      </c>
      <c r="P255" s="25">
        <f ca="1">'Validacao(2)'!BB232</f>
        <v>0</v>
      </c>
      <c r="Q255" s="25"/>
      <c r="R255" s="25"/>
      <c r="S255" s="25"/>
      <c r="T255" s="25"/>
      <c r="U255" s="25"/>
      <c r="V255" s="25"/>
      <c r="W255" s="25"/>
      <c r="X255" s="449"/>
      <c r="Y255" s="449"/>
      <c r="Z255" s="449"/>
      <c r="AA255" s="20"/>
    </row>
    <row r="256" spans="1:27" s="2" customFormat="1" ht="20.100000000000001" customHeight="1" outlineLevel="1" x14ac:dyDescent="0.25">
      <c r="A256" s="446"/>
      <c r="B256" s="1"/>
      <c r="C256" s="1"/>
      <c r="D256" s="1"/>
      <c r="E256" s="1"/>
      <c r="F256" s="447" t="s">
        <v>6684</v>
      </c>
      <c r="G256" s="450" t="str">
        <f>'Validacao(1)'!BC233</f>
        <v>Foi assinalada mais de uma opção em "lesões encontradas"</v>
      </c>
      <c r="H256" s="456" t="str">
        <f t="shared" ca="1" si="8"/>
        <v/>
      </c>
      <c r="I256" s="456" t="str">
        <f t="shared" ca="1" si="9"/>
        <v/>
      </c>
      <c r="J256" s="419"/>
      <c r="K256" s="20"/>
      <c r="L256" s="20"/>
      <c r="N256" s="25">
        <f>COUNTIF($A$29:A256,"x")</f>
        <v>9</v>
      </c>
      <c r="O256" s="25">
        <f ca="1">'Validacao(1)'!BB233</f>
        <v>0</v>
      </c>
      <c r="P256" s="25">
        <f ca="1">'Validacao(2)'!BB233</f>
        <v>0</v>
      </c>
      <c r="Q256" s="25"/>
      <c r="R256" s="25"/>
      <c r="S256" s="25"/>
      <c r="T256" s="25"/>
      <c r="U256" s="25"/>
      <c r="V256" s="25"/>
      <c r="W256" s="25"/>
      <c r="X256" s="449"/>
      <c r="Y256" s="449"/>
      <c r="Z256" s="449"/>
      <c r="AA256" s="20"/>
    </row>
    <row r="257" spans="1:27" s="2" customFormat="1" ht="20.100000000000001" customHeight="1" outlineLevel="1" x14ac:dyDescent="0.25">
      <c r="A257" s="446"/>
      <c r="B257" s="1"/>
      <c r="C257" s="1"/>
      <c r="D257" s="1"/>
      <c r="E257" s="1"/>
      <c r="F257" s="447" t="s">
        <v>6685</v>
      </c>
      <c r="G257" s="450" t="str">
        <f>'Validacao(1)'!BC234</f>
        <v/>
      </c>
      <c r="H257" s="456" t="str">
        <f t="shared" si="8"/>
        <v/>
      </c>
      <c r="I257" s="456" t="str">
        <f t="shared" si="9"/>
        <v/>
      </c>
      <c r="J257" s="419"/>
      <c r="K257" s="20"/>
      <c r="L257" s="20"/>
      <c r="N257" s="25">
        <f>COUNTIF($A$29:A257,"x")</f>
        <v>9</v>
      </c>
      <c r="O257" s="25">
        <f>'Validacao(1)'!BB234</f>
        <v>0</v>
      </c>
      <c r="P257" s="25">
        <f>'Validacao(2)'!BB234</f>
        <v>0</v>
      </c>
      <c r="Q257" s="25"/>
      <c r="R257" s="25"/>
      <c r="S257" s="25"/>
      <c r="T257" s="25"/>
      <c r="U257" s="25"/>
      <c r="V257" s="25"/>
      <c r="W257" s="25"/>
      <c r="X257" s="449"/>
      <c r="Y257" s="449"/>
      <c r="Z257" s="449"/>
      <c r="AA257" s="20"/>
    </row>
    <row r="258" spans="1:27" s="2" customFormat="1" ht="20.100000000000001" customHeight="1" outlineLevel="1" x14ac:dyDescent="0.25">
      <c r="A258" s="446"/>
      <c r="B258" s="1"/>
      <c r="C258" s="1"/>
      <c r="D258" s="1"/>
      <c r="E258" s="1"/>
      <c r="F258" s="447" t="s">
        <v>6686</v>
      </c>
      <c r="G258" s="450" t="str">
        <f>'Validacao(1)'!BC235</f>
        <v/>
      </c>
      <c r="H258" s="456" t="str">
        <f t="shared" si="8"/>
        <v/>
      </c>
      <c r="I258" s="456" t="str">
        <f t="shared" si="9"/>
        <v/>
      </c>
      <c r="J258" s="419"/>
      <c r="K258" s="20"/>
      <c r="L258" s="20"/>
      <c r="N258" s="25">
        <f>COUNTIF($A$29:A258,"x")</f>
        <v>9</v>
      </c>
      <c r="O258" s="25">
        <f>'Validacao(1)'!BB235</f>
        <v>0</v>
      </c>
      <c r="P258" s="25">
        <f>'Validacao(2)'!BB235</f>
        <v>0</v>
      </c>
      <c r="Q258" s="25"/>
      <c r="R258" s="25"/>
      <c r="S258" s="25"/>
      <c r="T258" s="25"/>
      <c r="U258" s="25"/>
      <c r="V258" s="25"/>
      <c r="W258" s="25"/>
      <c r="X258" s="449"/>
      <c r="Y258" s="449"/>
      <c r="Z258" s="449"/>
      <c r="AA258" s="20"/>
    </row>
    <row r="259" spans="1:27" s="2" customFormat="1" ht="20.100000000000001" customHeight="1" outlineLevel="1" x14ac:dyDescent="0.25">
      <c r="A259" s="446"/>
      <c r="B259" s="1"/>
      <c r="C259" s="1"/>
      <c r="D259" s="1"/>
      <c r="E259" s="1"/>
      <c r="F259" s="447" t="s">
        <v>6687</v>
      </c>
      <c r="G259" s="450" t="str">
        <f>'Validacao(1)'!BC236</f>
        <v/>
      </c>
      <c r="H259" s="456" t="str">
        <f t="shared" si="8"/>
        <v/>
      </c>
      <c r="I259" s="456" t="str">
        <f t="shared" si="9"/>
        <v/>
      </c>
      <c r="J259" s="419"/>
      <c r="K259" s="20"/>
      <c r="L259" s="20"/>
      <c r="N259" s="25">
        <f>COUNTIF($A$29:A259,"x")</f>
        <v>9</v>
      </c>
      <c r="O259" s="25">
        <f>'Validacao(1)'!BB236</f>
        <v>0</v>
      </c>
      <c r="P259" s="25">
        <f>'Validacao(2)'!BB236</f>
        <v>0</v>
      </c>
      <c r="Q259" s="25"/>
      <c r="R259" s="25"/>
      <c r="S259" s="25"/>
      <c r="T259" s="25"/>
      <c r="U259" s="25"/>
      <c r="V259" s="25"/>
      <c r="W259" s="25"/>
      <c r="X259" s="449"/>
      <c r="Y259" s="449"/>
      <c r="Z259" s="449"/>
      <c r="AA259" s="20"/>
    </row>
    <row r="260" spans="1:27" s="2" customFormat="1" ht="20.100000000000001" customHeight="1" outlineLevel="1" x14ac:dyDescent="0.25">
      <c r="A260" s="446"/>
      <c r="B260" s="1"/>
      <c r="C260" s="1"/>
      <c r="D260" s="1"/>
      <c r="E260" s="1"/>
      <c r="F260" s="447" t="s">
        <v>6688</v>
      </c>
      <c r="G260" s="450" t="str">
        <f>'Validacao(1)'!BC237</f>
        <v/>
      </c>
      <c r="H260" s="456" t="str">
        <f t="shared" si="8"/>
        <v/>
      </c>
      <c r="I260" s="456" t="str">
        <f t="shared" si="9"/>
        <v/>
      </c>
      <c r="J260" s="419"/>
      <c r="K260" s="20"/>
      <c r="L260" s="20"/>
      <c r="N260" s="25">
        <f>COUNTIF($A$29:A260,"x")</f>
        <v>9</v>
      </c>
      <c r="O260" s="25">
        <f>'Validacao(1)'!BB237</f>
        <v>0</v>
      </c>
      <c r="P260" s="25">
        <f>'Validacao(2)'!BB237</f>
        <v>0</v>
      </c>
      <c r="Q260" s="25"/>
      <c r="R260" s="25"/>
      <c r="S260" s="25"/>
      <c r="T260" s="25"/>
      <c r="U260" s="25"/>
      <c r="V260" s="25"/>
      <c r="W260" s="25"/>
      <c r="X260" s="449"/>
      <c r="Y260" s="449"/>
      <c r="Z260" s="449"/>
      <c r="AA260" s="20"/>
    </row>
    <row r="261" spans="1:27" s="2" customFormat="1" ht="20.100000000000001" customHeight="1" outlineLevel="1" x14ac:dyDescent="0.25">
      <c r="A261" s="446"/>
      <c r="B261" s="1"/>
      <c r="C261" s="1"/>
      <c r="D261" s="1"/>
      <c r="E261" s="1"/>
      <c r="F261" s="447" t="s">
        <v>6689</v>
      </c>
      <c r="G261" s="450" t="str">
        <f>'Validacao(1)'!BC238</f>
        <v/>
      </c>
      <c r="H261" s="456" t="str">
        <f t="shared" si="8"/>
        <v/>
      </c>
      <c r="I261" s="456" t="str">
        <f t="shared" si="9"/>
        <v/>
      </c>
      <c r="J261" s="419"/>
      <c r="K261" s="20"/>
      <c r="L261" s="20"/>
      <c r="N261" s="25">
        <f>COUNTIF($A$29:A261,"x")</f>
        <v>9</v>
      </c>
      <c r="O261" s="25">
        <f>'Validacao(1)'!BB238</f>
        <v>0</v>
      </c>
      <c r="P261" s="25">
        <f>'Validacao(2)'!BB238</f>
        <v>0</v>
      </c>
      <c r="Q261" s="25"/>
      <c r="R261" s="25"/>
      <c r="S261" s="25"/>
      <c r="T261" s="25"/>
      <c r="U261" s="25"/>
      <c r="V261" s="25"/>
      <c r="W261" s="25"/>
      <c r="X261" s="449"/>
      <c r="Y261" s="449"/>
      <c r="Z261" s="449"/>
      <c r="AA261" s="20"/>
    </row>
    <row r="262" spans="1:27" s="2" customFormat="1" ht="20.100000000000001" customHeight="1" outlineLevel="1" x14ac:dyDescent="0.25">
      <c r="A262" s="446"/>
      <c r="B262" s="1"/>
      <c r="C262" s="1"/>
      <c r="D262" s="1"/>
      <c r="E262" s="1"/>
      <c r="F262" s="447" t="s">
        <v>6690</v>
      </c>
      <c r="G262" s="450" t="str">
        <f>'Validacao(1)'!BC239</f>
        <v/>
      </c>
      <c r="H262" s="456" t="str">
        <f t="shared" si="8"/>
        <v/>
      </c>
      <c r="I262" s="456" t="str">
        <f t="shared" si="9"/>
        <v/>
      </c>
      <c r="J262" s="419"/>
      <c r="K262" s="20"/>
      <c r="L262" s="20"/>
      <c r="N262" s="25">
        <f>COUNTIF($A$29:A262,"x")</f>
        <v>9</v>
      </c>
      <c r="O262" s="25">
        <f>'Validacao(1)'!BB239</f>
        <v>0</v>
      </c>
      <c r="P262" s="25">
        <f>'Validacao(2)'!BB239</f>
        <v>0</v>
      </c>
      <c r="Q262" s="25"/>
      <c r="R262" s="25"/>
      <c r="S262" s="25"/>
      <c r="T262" s="25"/>
      <c r="U262" s="25"/>
      <c r="V262" s="25"/>
      <c r="W262" s="25"/>
      <c r="X262" s="449"/>
      <c r="Y262" s="449"/>
      <c r="Z262" s="449"/>
      <c r="AA262" s="20"/>
    </row>
    <row r="263" spans="1:27" s="2" customFormat="1" ht="20.100000000000001" customHeight="1" outlineLevel="1" x14ac:dyDescent="0.25">
      <c r="A263" s="446"/>
      <c r="B263" s="1"/>
      <c r="C263" s="1"/>
      <c r="D263" s="1"/>
      <c r="E263" s="1"/>
      <c r="F263" s="447" t="s">
        <v>6691</v>
      </c>
      <c r="G263" s="450" t="str">
        <f>'Validacao(1)'!BC240</f>
        <v/>
      </c>
      <c r="H263" s="456" t="str">
        <f t="shared" si="8"/>
        <v/>
      </c>
      <c r="I263" s="456" t="str">
        <f t="shared" si="9"/>
        <v/>
      </c>
      <c r="J263" s="419"/>
      <c r="K263" s="20"/>
      <c r="L263" s="20"/>
      <c r="N263" s="25">
        <f>COUNTIF($A$29:A263,"x")</f>
        <v>9</v>
      </c>
      <c r="O263" s="25">
        <f>'Validacao(1)'!BB240</f>
        <v>0</v>
      </c>
      <c r="P263" s="25">
        <f>'Validacao(2)'!BB240</f>
        <v>0</v>
      </c>
      <c r="Q263" s="25"/>
      <c r="R263" s="25"/>
      <c r="S263" s="25"/>
      <c r="T263" s="25"/>
      <c r="U263" s="25"/>
      <c r="V263" s="25"/>
      <c r="W263" s="25"/>
      <c r="X263" s="449"/>
      <c r="Y263" s="449"/>
      <c r="Z263" s="449"/>
      <c r="AA263" s="20"/>
    </row>
    <row r="264" spans="1:27" s="2" customFormat="1" ht="20.100000000000001" customHeight="1" outlineLevel="1" x14ac:dyDescent="0.25">
      <c r="A264" s="446"/>
      <c r="B264" s="1"/>
      <c r="C264" s="1"/>
      <c r="D264" s="1"/>
      <c r="E264" s="1"/>
      <c r="F264" s="447" t="s">
        <v>6692</v>
      </c>
      <c r="G264" s="450" t="str">
        <f>'Validacao(1)'!BC241</f>
        <v/>
      </c>
      <c r="H264" s="456" t="str">
        <f t="shared" si="8"/>
        <v/>
      </c>
      <c r="I264" s="456" t="str">
        <f t="shared" si="9"/>
        <v/>
      </c>
      <c r="J264" s="419"/>
      <c r="K264" s="20"/>
      <c r="L264" s="20"/>
      <c r="N264" s="25">
        <f>COUNTIF($A$29:A264,"x")</f>
        <v>9</v>
      </c>
      <c r="O264" s="25">
        <f>'Validacao(1)'!BB241</f>
        <v>0</v>
      </c>
      <c r="P264" s="25">
        <f>'Validacao(2)'!BB241</f>
        <v>0</v>
      </c>
      <c r="Q264" s="25"/>
      <c r="R264" s="25"/>
      <c r="S264" s="25"/>
      <c r="T264" s="25"/>
      <c r="U264" s="25"/>
      <c r="V264" s="25"/>
      <c r="W264" s="25"/>
      <c r="X264" s="449"/>
      <c r="Y264" s="449"/>
      <c r="Z264" s="449"/>
      <c r="AA264" s="20"/>
    </row>
    <row r="265" spans="1:27" s="2" customFormat="1" ht="20.100000000000001" customHeight="1" outlineLevel="1" x14ac:dyDescent="0.25">
      <c r="A265" s="446"/>
      <c r="B265" s="1"/>
      <c r="C265" s="1"/>
      <c r="D265" s="1"/>
      <c r="E265" s="1"/>
      <c r="F265" s="447" t="s">
        <v>6693</v>
      </c>
      <c r="G265" s="450" t="str">
        <f>'Validacao(1)'!BC242</f>
        <v/>
      </c>
      <c r="H265" s="456" t="str">
        <f t="shared" si="8"/>
        <v/>
      </c>
      <c r="I265" s="456" t="str">
        <f t="shared" si="9"/>
        <v/>
      </c>
      <c r="J265" s="419"/>
      <c r="K265" s="20"/>
      <c r="L265" s="20"/>
      <c r="N265" s="25">
        <f>COUNTIF($A$29:A265,"x")</f>
        <v>9</v>
      </c>
      <c r="O265" s="25">
        <f>'Validacao(1)'!BB242</f>
        <v>0</v>
      </c>
      <c r="P265" s="25">
        <f>'Validacao(2)'!BB242</f>
        <v>0</v>
      </c>
      <c r="Q265" s="25"/>
      <c r="R265" s="25"/>
      <c r="S265" s="25"/>
      <c r="T265" s="25"/>
      <c r="U265" s="25"/>
      <c r="V265" s="25"/>
      <c r="W265" s="25"/>
      <c r="X265" s="449"/>
      <c r="Y265" s="449"/>
      <c r="Z265" s="449"/>
      <c r="AA265" s="20"/>
    </row>
    <row r="266" spans="1:27" s="2" customFormat="1" ht="20.100000000000001" customHeight="1" outlineLevel="1" x14ac:dyDescent="0.25">
      <c r="A266" s="446"/>
      <c r="B266" s="1"/>
      <c r="C266" s="1"/>
      <c r="D266" s="1"/>
      <c r="E266" s="1"/>
      <c r="F266" s="447" t="s">
        <v>6694</v>
      </c>
      <c r="G266" s="450" t="str">
        <f>'Validacao(1)'!BC243</f>
        <v/>
      </c>
      <c r="H266" s="456" t="str">
        <f t="shared" si="8"/>
        <v/>
      </c>
      <c r="I266" s="456" t="str">
        <f t="shared" si="9"/>
        <v/>
      </c>
      <c r="J266" s="419"/>
      <c r="K266" s="20"/>
      <c r="L266" s="20"/>
      <c r="N266" s="25">
        <f>COUNTIF($A$29:A266,"x")</f>
        <v>9</v>
      </c>
      <c r="O266" s="25">
        <f>'Validacao(1)'!BB243</f>
        <v>0</v>
      </c>
      <c r="P266" s="25">
        <f>'Validacao(2)'!BB243</f>
        <v>0</v>
      </c>
      <c r="Q266" s="25"/>
      <c r="R266" s="25"/>
      <c r="S266" s="25"/>
      <c r="T266" s="25"/>
      <c r="U266" s="25"/>
      <c r="V266" s="25"/>
      <c r="W266" s="25"/>
      <c r="X266" s="449"/>
      <c r="Y266" s="449"/>
      <c r="Z266" s="449"/>
      <c r="AA266" s="20"/>
    </row>
    <row r="267" spans="1:27" s="2" customFormat="1" ht="20.100000000000001" customHeight="1" outlineLevel="1" x14ac:dyDescent="0.25">
      <c r="A267" s="446"/>
      <c r="B267" s="1"/>
      <c r="C267" s="1"/>
      <c r="D267" s="1"/>
      <c r="E267" s="1"/>
      <c r="F267" s="447" t="s">
        <v>6695</v>
      </c>
      <c r="G267" s="450" t="str">
        <f>'Validacao(1)'!BC244</f>
        <v/>
      </c>
      <c r="H267" s="456" t="str">
        <f t="shared" si="8"/>
        <v/>
      </c>
      <c r="I267" s="456" t="str">
        <f t="shared" si="9"/>
        <v/>
      </c>
      <c r="J267" s="419"/>
      <c r="K267" s="20"/>
      <c r="L267" s="20"/>
      <c r="N267" s="25">
        <f>COUNTIF($A$29:A267,"x")</f>
        <v>9</v>
      </c>
      <c r="O267" s="25">
        <f>'Validacao(1)'!BB244</f>
        <v>0</v>
      </c>
      <c r="P267" s="25">
        <f>'Validacao(2)'!BB244</f>
        <v>0</v>
      </c>
      <c r="Q267" s="25"/>
      <c r="R267" s="25"/>
      <c r="S267" s="25"/>
      <c r="T267" s="25"/>
      <c r="U267" s="25"/>
      <c r="V267" s="25"/>
      <c r="W267" s="25"/>
      <c r="X267" s="449"/>
      <c r="Y267" s="449"/>
      <c r="Z267" s="449"/>
      <c r="AA267" s="20"/>
    </row>
    <row r="268" spans="1:27" s="2" customFormat="1" ht="30" customHeight="1" x14ac:dyDescent="0.25">
      <c r="A268" s="446" t="s">
        <v>8576</v>
      </c>
      <c r="B268" s="1"/>
      <c r="C268" s="1"/>
      <c r="D268" s="1"/>
      <c r="E268" s="1"/>
      <c r="F268" s="418"/>
      <c r="G268" s="453" t="str">
        <f ca="1">U268</f>
        <v>📂 (✓ ) Corrosão/irritação cutânea</v>
      </c>
      <c r="H268" s="454" t="str">
        <f>HYPERLINK(Y268,$V$17)</f>
        <v>Estudo (1)</v>
      </c>
      <c r="I268" s="455" t="str">
        <f>HYPERLINK(Z268,$V$18)</f>
        <v>Estudo (2)</v>
      </c>
      <c r="J268" s="419"/>
      <c r="K268" s="20"/>
      <c r="L268" s="20"/>
      <c r="N268" s="442">
        <f>COUNTIF($A$29:A268,"x")</f>
        <v>10</v>
      </c>
      <c r="O268" s="442" t="s">
        <v>10</v>
      </c>
      <c r="P268" s="442" t="s">
        <v>10</v>
      </c>
      <c r="Q268" s="442">
        <f ca="1">SUMIF(N269:$N$633,N268,O269:$O$633)</f>
        <v>0</v>
      </c>
      <c r="R268" s="442">
        <f ca="1">SUMIF(N269:$N$633,N268,P269:$P$633)</f>
        <v>0</v>
      </c>
      <c r="S268" s="442">
        <f ca="1">Q268+R268</f>
        <v>0</v>
      </c>
      <c r="T268" s="443" t="s">
        <v>26</v>
      </c>
      <c r="U268" s="443" t="str">
        <f ca="1">$T$4&amp;"("&amp; IF(S268=0,V$23,S268) &amp; ") " &amp; T268</f>
        <v>📂 (✓ ) Corrosão/irritação cutânea</v>
      </c>
      <c r="V268" s="443" t="str">
        <f ca="1">IF(Q268&gt;0,$V$24&amp;Q268,"")</f>
        <v/>
      </c>
      <c r="W268" s="443" t="str">
        <f ca="1">IF(R268&gt;0,$V$24&amp;R268,"")</f>
        <v/>
      </c>
      <c r="X268" s="444" t="s">
        <v>8565</v>
      </c>
      <c r="Y268" s="445" t="str">
        <f>$V$19 &amp; $X268 &amp; V$21 &amp; $V$22 &amp; $V$20</f>
        <v>#'Irritacao_Cutanea(1)'!F2</v>
      </c>
      <c r="Z268" s="445" t="str">
        <f>$V$19 &amp; $X268 &amp; W$21 &amp; $V$22 &amp; $V$20</f>
        <v>#'Irritacao_Cutanea(2)'!F2</v>
      </c>
      <c r="AA268" s="20"/>
    </row>
    <row r="269" spans="1:27" s="2" customFormat="1" ht="20.100000000000001" customHeight="1" outlineLevel="1" x14ac:dyDescent="0.25">
      <c r="A269" s="446"/>
      <c r="B269" s="1"/>
      <c r="C269" s="1"/>
      <c r="D269" s="1"/>
      <c r="E269" s="1"/>
      <c r="F269" s="447" t="s">
        <v>6696</v>
      </c>
      <c r="G269" s="450" t="str">
        <f>'Validacao(1)'!BC252</f>
        <v>Foi solicitada dispensa de apresentação, mas não foi apresentada qualquer justificativa</v>
      </c>
      <c r="H269" s="456" t="str">
        <f t="shared" ref="H269:H310" ca="1" si="10">IF(O269=1,"x","")</f>
        <v/>
      </c>
      <c r="I269" s="456" t="str">
        <f t="shared" ref="I269:I310" ca="1" si="11">IF(P269=1,"x","")</f>
        <v/>
      </c>
      <c r="J269" s="419"/>
      <c r="K269" s="20"/>
      <c r="L269" s="20"/>
      <c r="N269" s="25">
        <f>COUNTIF($A$29:A269,"x")</f>
        <v>10</v>
      </c>
      <c r="O269" s="25">
        <f ca="1">'Validacao(1)'!BB252</f>
        <v>0</v>
      </c>
      <c r="P269" s="25">
        <f ca="1">'Validacao(2)'!BB252</f>
        <v>0</v>
      </c>
      <c r="Q269" s="25"/>
      <c r="R269" s="25"/>
      <c r="S269" s="25"/>
      <c r="T269" s="25"/>
      <c r="U269" s="25"/>
      <c r="V269" s="25"/>
      <c r="W269" s="25"/>
      <c r="X269" s="449"/>
      <c r="Y269" s="449"/>
      <c r="Z269" s="449"/>
      <c r="AA269" s="20"/>
    </row>
    <row r="270" spans="1:27" s="2" customFormat="1" ht="20.100000000000001" customHeight="1" outlineLevel="1" x14ac:dyDescent="0.25">
      <c r="A270" s="446"/>
      <c r="B270" s="1"/>
      <c r="C270" s="1"/>
      <c r="D270" s="1"/>
      <c r="E270" s="1"/>
      <c r="F270" s="447" t="s">
        <v>6697</v>
      </c>
      <c r="G270" s="450" t="str">
        <f>'Validacao(1)'!BC253</f>
        <v>Não foi preenchido o código do estudo</v>
      </c>
      <c r="H270" s="456" t="str">
        <f t="shared" ca="1" si="10"/>
        <v/>
      </c>
      <c r="I270" s="456" t="str">
        <f t="shared" ca="1" si="11"/>
        <v/>
      </c>
      <c r="J270" s="419"/>
      <c r="K270" s="20"/>
      <c r="L270" s="20"/>
      <c r="N270" s="25">
        <f>COUNTIF($A$29:A270,"x")</f>
        <v>10</v>
      </c>
      <c r="O270" s="25">
        <f ca="1">'Validacao(1)'!BB253</f>
        <v>0</v>
      </c>
      <c r="P270" s="25">
        <f ca="1">'Validacao(2)'!BB253</f>
        <v>0</v>
      </c>
      <c r="Q270" s="25"/>
      <c r="R270" s="25"/>
      <c r="S270" s="25"/>
      <c r="T270" s="25"/>
      <c r="U270" s="25"/>
      <c r="V270" s="25"/>
      <c r="W270" s="25"/>
      <c r="X270" s="449"/>
      <c r="Y270" s="449"/>
      <c r="Z270" s="449"/>
      <c r="AA270" s="20"/>
    </row>
    <row r="271" spans="1:27" s="2" customFormat="1" ht="20.100000000000001" customHeight="1" outlineLevel="1" x14ac:dyDescent="0.25">
      <c r="A271" s="446"/>
      <c r="B271" s="1"/>
      <c r="C271" s="1"/>
      <c r="D271" s="1"/>
      <c r="E271" s="1"/>
      <c r="F271" s="447" t="s">
        <v>6698</v>
      </c>
      <c r="G271" s="450" t="str">
        <f>'Validacao(1)'!BC254</f>
        <v>Não foi preenchido o nome do laboratório</v>
      </c>
      <c r="H271" s="456" t="str">
        <f t="shared" ca="1" si="10"/>
        <v/>
      </c>
      <c r="I271" s="456" t="str">
        <f t="shared" ca="1" si="11"/>
        <v/>
      </c>
      <c r="J271" s="419"/>
      <c r="K271" s="20"/>
      <c r="L271" s="20"/>
      <c r="N271" s="25">
        <f>COUNTIF($A$29:A271,"x")</f>
        <v>10</v>
      </c>
      <c r="O271" s="25">
        <f ca="1">'Validacao(1)'!BB254</f>
        <v>0</v>
      </c>
      <c r="P271" s="25">
        <f ca="1">'Validacao(2)'!BB254</f>
        <v>0</v>
      </c>
      <c r="Q271" s="25"/>
      <c r="R271" s="25"/>
      <c r="S271" s="25"/>
      <c r="T271" s="25"/>
      <c r="U271" s="25"/>
      <c r="V271" s="25"/>
      <c r="W271" s="25"/>
      <c r="X271" s="449"/>
      <c r="Y271" s="449"/>
      <c r="Z271" s="449"/>
      <c r="AA271" s="20"/>
    </row>
    <row r="272" spans="1:27" s="2" customFormat="1" ht="20.100000000000001" customHeight="1" outlineLevel="1" x14ac:dyDescent="0.25">
      <c r="A272" s="446"/>
      <c r="B272" s="1"/>
      <c r="C272" s="1"/>
      <c r="D272" s="1"/>
      <c r="E272" s="1"/>
      <c r="F272" s="447" t="s">
        <v>6699</v>
      </c>
      <c r="G272" s="450" t="str">
        <f>'Validacao(1)'!BC255</f>
        <v>Não foi preenchido se o estudo foi conduzido em laboratório com BPL</v>
      </c>
      <c r="H272" s="456" t="str">
        <f t="shared" ca="1" si="10"/>
        <v/>
      </c>
      <c r="I272" s="456" t="str">
        <f t="shared" ca="1" si="11"/>
        <v/>
      </c>
      <c r="J272" s="419"/>
      <c r="K272" s="20"/>
      <c r="L272" s="20"/>
      <c r="N272" s="25">
        <f>COUNTIF($A$29:A272,"x")</f>
        <v>10</v>
      </c>
      <c r="O272" s="25">
        <f ca="1">'Validacao(1)'!BB255</f>
        <v>0</v>
      </c>
      <c r="P272" s="25">
        <f ca="1">'Validacao(2)'!BB255</f>
        <v>0</v>
      </c>
      <c r="Q272" s="25"/>
      <c r="R272" s="25"/>
      <c r="S272" s="25"/>
      <c r="T272" s="25"/>
      <c r="U272" s="25"/>
      <c r="V272" s="25"/>
      <c r="W272" s="25"/>
      <c r="X272" s="449"/>
      <c r="Y272" s="449"/>
      <c r="Z272" s="449"/>
      <c r="AA272" s="20"/>
    </row>
    <row r="273" spans="1:27" s="2" customFormat="1" ht="20.100000000000001" customHeight="1" outlineLevel="1" x14ac:dyDescent="0.25">
      <c r="A273" s="446"/>
      <c r="B273" s="1"/>
      <c r="C273" s="1"/>
      <c r="D273" s="1"/>
      <c r="E273" s="1"/>
      <c r="F273" s="447" t="s">
        <v>6700</v>
      </c>
      <c r="G273" s="450" t="str">
        <f>'Validacao(1)'!BC256</f>
        <v>Não foi preenchido o protocolo</v>
      </c>
      <c r="H273" s="456" t="str">
        <f t="shared" ca="1" si="10"/>
        <v/>
      </c>
      <c r="I273" s="456" t="str">
        <f t="shared" ca="1" si="11"/>
        <v/>
      </c>
      <c r="J273" s="419"/>
      <c r="K273" s="20"/>
      <c r="L273" s="20"/>
      <c r="N273" s="25">
        <f>COUNTIF($A$29:A273,"x")</f>
        <v>10</v>
      </c>
      <c r="O273" s="25">
        <f ca="1">'Validacao(1)'!BB256</f>
        <v>0</v>
      </c>
      <c r="P273" s="25">
        <f ca="1">'Validacao(2)'!BB256</f>
        <v>0</v>
      </c>
      <c r="Q273" s="25"/>
      <c r="R273" s="25"/>
      <c r="S273" s="25"/>
      <c r="T273" s="25"/>
      <c r="U273" s="25"/>
      <c r="V273" s="25"/>
      <c r="W273" s="25"/>
      <c r="X273" s="449"/>
      <c r="Y273" s="449"/>
      <c r="Z273" s="449"/>
      <c r="AA273" s="20"/>
    </row>
    <row r="274" spans="1:27" s="2" customFormat="1" ht="20.100000000000001" customHeight="1" outlineLevel="1" x14ac:dyDescent="0.25">
      <c r="A274" s="446"/>
      <c r="B274" s="1"/>
      <c r="C274" s="1"/>
      <c r="D274" s="1"/>
      <c r="E274" s="1"/>
      <c r="F274" s="447" t="s">
        <v>6701</v>
      </c>
      <c r="G274" s="450" t="str">
        <f>'Validacao(1)'!BC257</f>
        <v>Não foi preenchido a data de início</v>
      </c>
      <c r="H274" s="456" t="str">
        <f t="shared" ca="1" si="10"/>
        <v/>
      </c>
      <c r="I274" s="456" t="str">
        <f t="shared" ca="1" si="11"/>
        <v/>
      </c>
      <c r="J274" s="419"/>
      <c r="K274" s="20"/>
      <c r="L274" s="20"/>
      <c r="N274" s="25">
        <f>COUNTIF($A$29:A274,"x")</f>
        <v>10</v>
      </c>
      <c r="O274" s="25">
        <f ca="1">'Validacao(1)'!BB257</f>
        <v>0</v>
      </c>
      <c r="P274" s="25">
        <f ca="1">'Validacao(2)'!BB257</f>
        <v>0</v>
      </c>
      <c r="Q274" s="25"/>
      <c r="R274" s="25"/>
      <c r="S274" s="25"/>
      <c r="T274" s="25"/>
      <c r="U274" s="25"/>
      <c r="V274" s="25"/>
      <c r="W274" s="25"/>
      <c r="X274" s="449"/>
      <c r="Y274" s="449"/>
      <c r="Z274" s="449"/>
      <c r="AA274" s="20"/>
    </row>
    <row r="275" spans="1:27" s="2" customFormat="1" ht="20.100000000000001" customHeight="1" outlineLevel="1" x14ac:dyDescent="0.25">
      <c r="A275" s="446"/>
      <c r="B275" s="1"/>
      <c r="C275" s="1"/>
      <c r="D275" s="1"/>
      <c r="E275" s="1"/>
      <c r="F275" s="447" t="s">
        <v>6702</v>
      </c>
      <c r="G275" s="450" t="str">
        <f>'Validacao(1)'!BC258</f>
        <v>Não foi preenchido a data de conclusão</v>
      </c>
      <c r="H275" s="456" t="str">
        <f t="shared" ca="1" si="10"/>
        <v/>
      </c>
      <c r="I275" s="456" t="str">
        <f t="shared" ca="1" si="11"/>
        <v/>
      </c>
      <c r="J275" s="419"/>
      <c r="K275" s="20"/>
      <c r="L275" s="20"/>
      <c r="N275" s="25">
        <f>COUNTIF($A$29:A275,"x")</f>
        <v>10</v>
      </c>
      <c r="O275" s="25">
        <f ca="1">'Validacao(1)'!BB258</f>
        <v>0</v>
      </c>
      <c r="P275" s="25">
        <f ca="1">'Validacao(2)'!BB258</f>
        <v>0</v>
      </c>
      <c r="Q275" s="25"/>
      <c r="R275" s="25"/>
      <c r="S275" s="25"/>
      <c r="T275" s="25"/>
      <c r="U275" s="25"/>
      <c r="V275" s="25"/>
      <c r="W275" s="25"/>
      <c r="X275" s="449"/>
      <c r="Y275" s="449"/>
      <c r="Z275" s="449"/>
      <c r="AA275" s="20"/>
    </row>
    <row r="276" spans="1:27" s="2" customFormat="1" ht="20.100000000000001" customHeight="1" outlineLevel="1" x14ac:dyDescent="0.25">
      <c r="A276" s="446"/>
      <c r="B276" s="1"/>
      <c r="C276" s="1"/>
      <c r="D276" s="1"/>
      <c r="E276" s="1"/>
      <c r="F276" s="447" t="s">
        <v>6703</v>
      </c>
      <c r="G276" s="450" t="str">
        <f>'Validacao(1)'!BC259</f>
        <v xml:space="preserve">Não foi preenchido o código do certificado de análise </v>
      </c>
      <c r="H276" s="456" t="str">
        <f t="shared" ca="1" si="10"/>
        <v/>
      </c>
      <c r="I276" s="456" t="str">
        <f t="shared" ca="1" si="11"/>
        <v/>
      </c>
      <c r="J276" s="419"/>
      <c r="K276" s="20"/>
      <c r="L276" s="20"/>
      <c r="N276" s="25">
        <f>COUNTIF($A$29:A276,"x")</f>
        <v>10</v>
      </c>
      <c r="O276" s="25">
        <f ca="1">'Validacao(1)'!BB259</f>
        <v>0</v>
      </c>
      <c r="P276" s="25">
        <f ca="1">'Validacao(2)'!BB259</f>
        <v>0</v>
      </c>
      <c r="Q276" s="25"/>
      <c r="R276" s="25"/>
      <c r="S276" s="25"/>
      <c r="T276" s="25"/>
      <c r="U276" s="25"/>
      <c r="V276" s="25"/>
      <c r="W276" s="25"/>
      <c r="X276" s="449"/>
      <c r="Y276" s="449"/>
      <c r="Z276" s="449"/>
      <c r="AA276" s="20"/>
    </row>
    <row r="277" spans="1:27" s="2" customFormat="1" ht="20.100000000000001" customHeight="1" outlineLevel="1" x14ac:dyDescent="0.25">
      <c r="A277" s="446"/>
      <c r="B277" s="1"/>
      <c r="C277" s="1"/>
      <c r="D277" s="1"/>
      <c r="E277" s="1"/>
      <c r="F277" s="447" t="s">
        <v>6704</v>
      </c>
      <c r="G277" s="450" t="str">
        <f>'Validacao(1)'!BC260</f>
        <v>Não foi preenchido a espécie</v>
      </c>
      <c r="H277" s="456" t="str">
        <f t="shared" ca="1" si="10"/>
        <v/>
      </c>
      <c r="I277" s="456" t="str">
        <f t="shared" ca="1" si="11"/>
        <v/>
      </c>
      <c r="J277" s="419"/>
      <c r="K277" s="20"/>
      <c r="L277" s="20"/>
      <c r="N277" s="25">
        <f>COUNTIF($A$29:A277,"x")</f>
        <v>10</v>
      </c>
      <c r="O277" s="25">
        <f ca="1">'Validacao(1)'!BB260</f>
        <v>0</v>
      </c>
      <c r="P277" s="25">
        <f ca="1">'Validacao(2)'!BB260</f>
        <v>0</v>
      </c>
      <c r="Q277" s="25"/>
      <c r="R277" s="25"/>
      <c r="S277" s="25"/>
      <c r="T277" s="25"/>
      <c r="U277" s="25"/>
      <c r="V277" s="25"/>
      <c r="W277" s="25"/>
      <c r="X277" s="449"/>
      <c r="Y277" s="449"/>
      <c r="Z277" s="449"/>
      <c r="AA277" s="20"/>
    </row>
    <row r="278" spans="1:27" s="2" customFormat="1" ht="20.100000000000001" customHeight="1" outlineLevel="1" x14ac:dyDescent="0.25">
      <c r="A278" s="446"/>
      <c r="B278" s="1"/>
      <c r="C278" s="1"/>
      <c r="D278" s="1"/>
      <c r="E278" s="1"/>
      <c r="F278" s="447" t="s">
        <v>6705</v>
      </c>
      <c r="G278" s="450" t="str">
        <f>'Validacao(1)'!BC261</f>
        <v>Não foi preenchida a dose utilizada</v>
      </c>
      <c r="H278" s="456" t="str">
        <f t="shared" ca="1" si="10"/>
        <v/>
      </c>
      <c r="I278" s="456" t="str">
        <f t="shared" ca="1" si="11"/>
        <v/>
      </c>
      <c r="J278" s="419"/>
      <c r="K278" s="20"/>
      <c r="L278" s="20"/>
      <c r="N278" s="25">
        <f>COUNTIF($A$29:A278,"x")</f>
        <v>10</v>
      </c>
      <c r="O278" s="25">
        <f ca="1">'Validacao(1)'!BB261</f>
        <v>0</v>
      </c>
      <c r="P278" s="25">
        <f ca="1">'Validacao(2)'!BB261</f>
        <v>0</v>
      </c>
      <c r="Q278" s="25"/>
      <c r="R278" s="25"/>
      <c r="S278" s="25"/>
      <c r="T278" s="25"/>
      <c r="U278" s="25"/>
      <c r="V278" s="25"/>
      <c r="W278" s="25"/>
      <c r="X278" s="449"/>
      <c r="Y278" s="449"/>
      <c r="Z278" s="449"/>
      <c r="AA278" s="20"/>
    </row>
    <row r="279" spans="1:27" s="2" customFormat="1" ht="20.100000000000001" customHeight="1" outlineLevel="1" x14ac:dyDescent="0.25">
      <c r="A279" s="446"/>
      <c r="B279" s="1"/>
      <c r="C279" s="1"/>
      <c r="D279" s="1"/>
      <c r="E279" s="1"/>
      <c r="F279" s="447" t="s">
        <v>6706</v>
      </c>
      <c r="G279" s="450" t="str">
        <f>'Validacao(1)'!BC262</f>
        <v>Não foi preenchida se houve diluição</v>
      </c>
      <c r="H279" s="456" t="str">
        <f t="shared" ca="1" si="10"/>
        <v/>
      </c>
      <c r="I279" s="456" t="str">
        <f t="shared" ca="1" si="11"/>
        <v/>
      </c>
      <c r="J279" s="419"/>
      <c r="K279" s="20"/>
      <c r="L279" s="20"/>
      <c r="N279" s="25">
        <f>COUNTIF($A$29:A279,"x")</f>
        <v>10</v>
      </c>
      <c r="O279" s="25">
        <f ca="1">'Validacao(1)'!BB262</f>
        <v>0</v>
      </c>
      <c r="P279" s="25">
        <f ca="1">'Validacao(2)'!BB262</f>
        <v>0</v>
      </c>
      <c r="Q279" s="25"/>
      <c r="R279" s="25"/>
      <c r="S279" s="25"/>
      <c r="T279" s="25"/>
      <c r="U279" s="25"/>
      <c r="V279" s="25"/>
      <c r="W279" s="25"/>
      <c r="X279" s="449"/>
      <c r="Y279" s="449"/>
      <c r="Z279" s="449"/>
      <c r="AA279" s="20"/>
    </row>
    <row r="280" spans="1:27" s="2" customFormat="1" ht="20.100000000000001" customHeight="1" outlineLevel="1" x14ac:dyDescent="0.25">
      <c r="A280" s="446"/>
      <c r="B280" s="1"/>
      <c r="C280" s="1"/>
      <c r="D280" s="1"/>
      <c r="E280" s="1"/>
      <c r="F280" s="447" t="s">
        <v>6707</v>
      </c>
      <c r="G280" s="450" t="str">
        <f>'Validacao(1)'!BC263</f>
        <v>Não foi preenchido o diluente</v>
      </c>
      <c r="H280" s="456" t="str">
        <f t="shared" ca="1" si="10"/>
        <v/>
      </c>
      <c r="I280" s="456" t="str">
        <f t="shared" ca="1" si="11"/>
        <v/>
      </c>
      <c r="J280" s="419"/>
      <c r="K280" s="20"/>
      <c r="L280" s="20"/>
      <c r="N280" s="25">
        <f>COUNTIF($A$29:A280,"x")</f>
        <v>10</v>
      </c>
      <c r="O280" s="25">
        <f ca="1">'Validacao(1)'!BB263</f>
        <v>0</v>
      </c>
      <c r="P280" s="25">
        <f ca="1">'Validacao(2)'!BB263</f>
        <v>0</v>
      </c>
      <c r="Q280" s="25"/>
      <c r="R280" s="25"/>
      <c r="S280" s="25"/>
      <c r="T280" s="25"/>
      <c r="U280" s="25"/>
      <c r="V280" s="25"/>
      <c r="W280" s="25"/>
      <c r="X280" s="449"/>
      <c r="Y280" s="449"/>
      <c r="Z280" s="449"/>
      <c r="AA280" s="20"/>
    </row>
    <row r="281" spans="1:27" s="2" customFormat="1" ht="20.100000000000001" customHeight="1" outlineLevel="1" x14ac:dyDescent="0.25">
      <c r="A281" s="446"/>
      <c r="B281" s="1"/>
      <c r="C281" s="1"/>
      <c r="D281" s="1"/>
      <c r="E281" s="1"/>
      <c r="F281" s="447" t="s">
        <v>6708</v>
      </c>
      <c r="G281" s="450" t="str">
        <f>'Validacao(1)'!BC264</f>
        <v>Não foi preenchido se houve lavagem da área tratada</v>
      </c>
      <c r="H281" s="456" t="str">
        <f t="shared" ca="1" si="10"/>
        <v/>
      </c>
      <c r="I281" s="456" t="str">
        <f t="shared" ca="1" si="11"/>
        <v/>
      </c>
      <c r="J281" s="419"/>
      <c r="K281" s="20"/>
      <c r="L281" s="20"/>
      <c r="N281" s="25">
        <f>COUNTIF($A$29:A281,"x")</f>
        <v>10</v>
      </c>
      <c r="O281" s="25">
        <f ca="1">'Validacao(1)'!BB264</f>
        <v>0</v>
      </c>
      <c r="P281" s="25">
        <f ca="1">'Validacao(2)'!BB264</f>
        <v>0</v>
      </c>
      <c r="Q281" s="25"/>
      <c r="R281" s="25"/>
      <c r="S281" s="25"/>
      <c r="T281" s="25"/>
      <c r="U281" s="25"/>
      <c r="V281" s="25"/>
      <c r="W281" s="25"/>
      <c r="X281" s="449"/>
      <c r="Y281" s="449"/>
      <c r="Z281" s="449"/>
      <c r="AA281" s="20"/>
    </row>
    <row r="282" spans="1:27" s="2" customFormat="1" ht="20.100000000000001" customHeight="1" outlineLevel="1" x14ac:dyDescent="0.25">
      <c r="A282" s="446"/>
      <c r="B282" s="1"/>
      <c r="C282" s="1"/>
      <c r="D282" s="1"/>
      <c r="E282" s="1"/>
      <c r="F282" s="447" t="s">
        <v>6709</v>
      </c>
      <c r="G282" s="450" t="str">
        <f>'Validacao(1)'!BC265</f>
        <v>Não foi preenchido o tempo de exposição até a lavagem</v>
      </c>
      <c r="H282" s="456" t="str">
        <f t="shared" ca="1" si="10"/>
        <v/>
      </c>
      <c r="I282" s="456" t="str">
        <f t="shared" ca="1" si="11"/>
        <v/>
      </c>
      <c r="J282" s="419"/>
      <c r="K282" s="20"/>
      <c r="L282" s="20"/>
      <c r="N282" s="25">
        <f>COUNTIF($A$29:A282,"x")</f>
        <v>10</v>
      </c>
      <c r="O282" s="25">
        <f ca="1">'Validacao(1)'!BB265</f>
        <v>0</v>
      </c>
      <c r="P282" s="25">
        <f ca="1">'Validacao(2)'!BB265</f>
        <v>0</v>
      </c>
      <c r="Q282" s="25"/>
      <c r="R282" s="25"/>
      <c r="S282" s="25"/>
      <c r="T282" s="25"/>
      <c r="U282" s="25"/>
      <c r="V282" s="25"/>
      <c r="W282" s="25"/>
      <c r="X282" s="449"/>
      <c r="Y282" s="449"/>
      <c r="Z282" s="449"/>
      <c r="AA282" s="20"/>
    </row>
    <row r="283" spans="1:27" s="2" customFormat="1" ht="20.100000000000001" customHeight="1" outlineLevel="1" x14ac:dyDescent="0.25">
      <c r="A283" s="446"/>
      <c r="B283" s="1"/>
      <c r="C283" s="1"/>
      <c r="D283" s="1"/>
      <c r="E283" s="1"/>
      <c r="F283" s="447" t="s">
        <v>6710</v>
      </c>
      <c r="G283" s="450" t="str">
        <f>'Validacao(1)'!BC266</f>
        <v>Não foi  preenchida a tabela de resultados completa</v>
      </c>
      <c r="H283" s="456" t="str">
        <f t="shared" ca="1" si="10"/>
        <v/>
      </c>
      <c r="I283" s="456" t="str">
        <f t="shared" ca="1" si="11"/>
        <v/>
      </c>
      <c r="J283" s="419"/>
      <c r="K283" s="20"/>
      <c r="L283" s="20"/>
      <c r="N283" s="25">
        <f>COUNTIF($A$29:A283,"x")</f>
        <v>10</v>
      </c>
      <c r="O283" s="25">
        <f ca="1">'Validacao(1)'!BB266</f>
        <v>0</v>
      </c>
      <c r="P283" s="25">
        <f ca="1">'Validacao(2)'!BB266</f>
        <v>0</v>
      </c>
      <c r="Q283" s="25"/>
      <c r="R283" s="25"/>
      <c r="S283" s="25"/>
      <c r="T283" s="25"/>
      <c r="U283" s="25"/>
      <c r="V283" s="25"/>
      <c r="W283" s="25"/>
      <c r="X283" s="449"/>
      <c r="Y283" s="449"/>
      <c r="Z283" s="449"/>
      <c r="AA283" s="20"/>
    </row>
    <row r="284" spans="1:27" s="2" customFormat="1" ht="20.100000000000001" customHeight="1" outlineLevel="1" x14ac:dyDescent="0.25">
      <c r="A284" s="446"/>
      <c r="B284" s="1"/>
      <c r="C284" s="1"/>
      <c r="D284" s="1"/>
      <c r="E284" s="1"/>
      <c r="F284" s="447" t="s">
        <v>6711</v>
      </c>
      <c r="G284" s="450" t="str">
        <f>'Validacao(1)'!BC267</f>
        <v>Não foi assinalada a opção sobre as lesões encontradas</v>
      </c>
      <c r="H284" s="456" t="str">
        <f t="shared" ca="1" si="10"/>
        <v/>
      </c>
      <c r="I284" s="456" t="str">
        <f t="shared" ca="1" si="11"/>
        <v/>
      </c>
      <c r="J284" s="419"/>
      <c r="K284" s="20"/>
      <c r="L284" s="20"/>
      <c r="N284" s="25">
        <f>COUNTIF($A$29:A284,"x")</f>
        <v>10</v>
      </c>
      <c r="O284" s="25">
        <f ca="1">'Validacao(1)'!BB267</f>
        <v>0</v>
      </c>
      <c r="P284" s="25">
        <f ca="1">'Validacao(2)'!BB267</f>
        <v>0</v>
      </c>
      <c r="Q284" s="25"/>
      <c r="R284" s="25"/>
      <c r="S284" s="25"/>
      <c r="T284" s="25"/>
      <c r="U284" s="25"/>
      <c r="V284" s="25"/>
      <c r="W284" s="25"/>
      <c r="X284" s="449"/>
      <c r="Y284" s="449"/>
      <c r="Z284" s="449"/>
      <c r="AA284" s="20"/>
    </row>
    <row r="285" spans="1:27" s="2" customFormat="1" ht="20.100000000000001" customHeight="1" outlineLevel="1" x14ac:dyDescent="0.25">
      <c r="A285" s="446"/>
      <c r="B285" s="1"/>
      <c r="C285" s="1"/>
      <c r="D285" s="1"/>
      <c r="E285" s="1"/>
      <c r="F285" s="447" t="s">
        <v>6712</v>
      </c>
      <c r="G285" s="450" t="str">
        <f>'Validacao(1)'!BC268</f>
        <v>Não foi preenchido o detalhamento das lesões</v>
      </c>
      <c r="H285" s="456" t="str">
        <f t="shared" ca="1" si="10"/>
        <v/>
      </c>
      <c r="I285" s="456" t="str">
        <f t="shared" ca="1" si="11"/>
        <v/>
      </c>
      <c r="J285" s="419"/>
      <c r="K285" s="20"/>
      <c r="L285" s="20"/>
      <c r="N285" s="25">
        <f>COUNTIF($A$29:A285,"x")</f>
        <v>10</v>
      </c>
      <c r="O285" s="25">
        <f ca="1">'Validacao(1)'!BB268</f>
        <v>0</v>
      </c>
      <c r="P285" s="25">
        <f ca="1">'Validacao(2)'!BB268</f>
        <v>0</v>
      </c>
      <c r="Q285" s="25"/>
      <c r="R285" s="25"/>
      <c r="S285" s="25"/>
      <c r="T285" s="25"/>
      <c r="U285" s="25"/>
      <c r="V285" s="25"/>
      <c r="W285" s="25"/>
      <c r="X285" s="449"/>
      <c r="Y285" s="449"/>
      <c r="Z285" s="449"/>
      <c r="AA285" s="20"/>
    </row>
    <row r="286" spans="1:27" s="2" customFormat="1" ht="20.100000000000001" customHeight="1" outlineLevel="1" x14ac:dyDescent="0.25">
      <c r="A286" s="446"/>
      <c r="B286" s="1"/>
      <c r="C286" s="1"/>
      <c r="D286" s="1"/>
      <c r="E286" s="1"/>
      <c r="F286" s="447" t="s">
        <v>6713</v>
      </c>
      <c r="G286" s="450" t="str">
        <f>'Validacao(1)'!BC269</f>
        <v>Não foi preenchido se houve desvio ao protocolo</v>
      </c>
      <c r="H286" s="456" t="str">
        <f t="shared" ca="1" si="10"/>
        <v/>
      </c>
      <c r="I286" s="456" t="str">
        <f t="shared" ca="1" si="11"/>
        <v/>
      </c>
      <c r="J286" s="419"/>
      <c r="K286" s="20"/>
      <c r="L286" s="20"/>
      <c r="N286" s="25">
        <f>COUNTIF($A$29:A286,"x")</f>
        <v>10</v>
      </c>
      <c r="O286" s="25">
        <f ca="1">'Validacao(1)'!BB269</f>
        <v>0</v>
      </c>
      <c r="P286" s="25">
        <f ca="1">'Validacao(2)'!BB269</f>
        <v>0</v>
      </c>
      <c r="Q286" s="25"/>
      <c r="R286" s="25"/>
      <c r="S286" s="25"/>
      <c r="T286" s="25"/>
      <c r="U286" s="25"/>
      <c r="V286" s="25"/>
      <c r="W286" s="25"/>
      <c r="X286" s="449"/>
      <c r="Y286" s="449"/>
      <c r="Z286" s="449"/>
      <c r="AA286" s="20"/>
    </row>
    <row r="287" spans="1:27" s="2" customFormat="1" ht="20.100000000000001" customHeight="1" outlineLevel="1" x14ac:dyDescent="0.25">
      <c r="A287" s="446"/>
      <c r="B287" s="1"/>
      <c r="C287" s="1"/>
      <c r="D287" s="1"/>
      <c r="E287" s="1"/>
      <c r="F287" s="447" t="s">
        <v>6714</v>
      </c>
      <c r="G287" s="450" t="str">
        <f>'Validacao(1)'!BC270</f>
        <v>Não foi preenchida a conclusão</v>
      </c>
      <c r="H287" s="456" t="str">
        <f t="shared" ca="1" si="10"/>
        <v/>
      </c>
      <c r="I287" s="456" t="str">
        <f t="shared" ca="1" si="11"/>
        <v/>
      </c>
      <c r="J287" s="419"/>
      <c r="K287" s="20"/>
      <c r="L287" s="20"/>
      <c r="N287" s="25">
        <f>COUNTIF($A$29:A287,"x")</f>
        <v>10</v>
      </c>
      <c r="O287" s="25">
        <f ca="1">'Validacao(1)'!BB270</f>
        <v>0</v>
      </c>
      <c r="P287" s="25">
        <f ca="1">'Validacao(2)'!BB270</f>
        <v>0</v>
      </c>
      <c r="Q287" s="25"/>
      <c r="R287" s="25"/>
      <c r="S287" s="25"/>
      <c r="T287" s="25"/>
      <c r="U287" s="25"/>
      <c r="V287" s="25"/>
      <c r="W287" s="25"/>
      <c r="X287" s="449"/>
      <c r="Y287" s="449"/>
      <c r="Z287" s="449"/>
      <c r="AA287" s="20"/>
    </row>
    <row r="288" spans="1:27" s="2" customFormat="1" ht="20.100000000000001" customHeight="1" outlineLevel="1" x14ac:dyDescent="0.25">
      <c r="A288" s="446"/>
      <c r="B288" s="1"/>
      <c r="C288" s="1"/>
      <c r="D288" s="1"/>
      <c r="E288" s="1"/>
      <c r="F288" s="447" t="s">
        <v>6715</v>
      </c>
      <c r="G288" s="450" t="str">
        <f>'Validacao(1)'!BC271</f>
        <v>A lavagem da área tratada foi preenchida como "Não relatado"</v>
      </c>
      <c r="H288" s="456" t="str">
        <f t="shared" ca="1" si="10"/>
        <v/>
      </c>
      <c r="I288" s="456" t="str">
        <f t="shared" ca="1" si="11"/>
        <v/>
      </c>
      <c r="J288" s="419"/>
      <c r="K288" s="20"/>
      <c r="L288" s="20"/>
      <c r="N288" s="25">
        <f>COUNTIF($A$29:A288,"x")</f>
        <v>10</v>
      </c>
      <c r="O288" s="25">
        <f ca="1">'Validacao(1)'!BB271</f>
        <v>0</v>
      </c>
      <c r="P288" s="25">
        <f ca="1">'Validacao(2)'!BB271</f>
        <v>0</v>
      </c>
      <c r="Q288" s="25"/>
      <c r="R288" s="25"/>
      <c r="S288" s="25"/>
      <c r="T288" s="25"/>
      <c r="U288" s="25"/>
      <c r="V288" s="25"/>
      <c r="W288" s="25"/>
      <c r="X288" s="449"/>
      <c r="Y288" s="449"/>
      <c r="Z288" s="449"/>
      <c r="AA288" s="20"/>
    </row>
    <row r="289" spans="1:27" s="2" customFormat="1" ht="20.100000000000001" customHeight="1" outlineLevel="1" x14ac:dyDescent="0.25">
      <c r="A289" s="446"/>
      <c r="B289" s="1"/>
      <c r="C289" s="1"/>
      <c r="D289" s="1"/>
      <c r="E289" s="1"/>
      <c r="F289" s="447" t="s">
        <v>6716</v>
      </c>
      <c r="G289" s="450" t="str">
        <f>'Validacao(1)'!BC272</f>
        <v>Tempo de lavagem da área tratada foi inferior a 4 horas</v>
      </c>
      <c r="H289" s="456" t="str">
        <f t="shared" ca="1" si="10"/>
        <v/>
      </c>
      <c r="I289" s="456" t="str">
        <f t="shared" ca="1" si="11"/>
        <v/>
      </c>
      <c r="J289" s="419"/>
      <c r="K289" s="20"/>
      <c r="L289" s="20"/>
      <c r="N289" s="25">
        <f>COUNTIF($A$29:A289,"x")</f>
        <v>10</v>
      </c>
      <c r="O289" s="25">
        <f ca="1">'Validacao(1)'!BB272</f>
        <v>0</v>
      </c>
      <c r="P289" s="25">
        <f ca="1">'Validacao(2)'!BB272</f>
        <v>0</v>
      </c>
      <c r="Q289" s="25"/>
      <c r="R289" s="25"/>
      <c r="S289" s="25"/>
      <c r="T289" s="25"/>
      <c r="U289" s="25"/>
      <c r="V289" s="25"/>
      <c r="W289" s="25"/>
      <c r="X289" s="449"/>
      <c r="Y289" s="449"/>
      <c r="Z289" s="449"/>
      <c r="AA289" s="20"/>
    </row>
    <row r="290" spans="1:27" s="2" customFormat="1" ht="20.100000000000001" customHeight="1" outlineLevel="1" x14ac:dyDescent="0.25">
      <c r="A290" s="446"/>
      <c r="B290" s="1"/>
      <c r="C290" s="1"/>
      <c r="D290" s="1"/>
      <c r="E290" s="1"/>
      <c r="F290" s="447" t="s">
        <v>6717</v>
      </c>
      <c r="G290" s="450" t="str">
        <f>'Validacao(1)'!BC273</f>
        <v>Foram descritos desvios ao protocolo</v>
      </c>
      <c r="H290" s="456" t="str">
        <f t="shared" ca="1" si="10"/>
        <v/>
      </c>
      <c r="I290" s="456" t="str">
        <f t="shared" ca="1" si="11"/>
        <v/>
      </c>
      <c r="J290" s="419"/>
      <c r="K290" s="20"/>
      <c r="L290" s="20"/>
      <c r="N290" s="25">
        <f>COUNTIF($A$29:A290,"x")</f>
        <v>10</v>
      </c>
      <c r="O290" s="25">
        <f ca="1">'Validacao(1)'!BB273</f>
        <v>0</v>
      </c>
      <c r="P290" s="25">
        <f ca="1">'Validacao(2)'!BB273</f>
        <v>0</v>
      </c>
      <c r="Q290" s="25"/>
      <c r="R290" s="25"/>
      <c r="S290" s="25"/>
      <c r="T290" s="25"/>
      <c r="U290" s="25"/>
      <c r="V290" s="25"/>
      <c r="W290" s="25"/>
      <c r="X290" s="449"/>
      <c r="Y290" s="449"/>
      <c r="Z290" s="449"/>
      <c r="AA290" s="20"/>
    </row>
    <row r="291" spans="1:27" s="2" customFormat="1" ht="20.100000000000001" customHeight="1" outlineLevel="1" x14ac:dyDescent="0.25">
      <c r="A291" s="446"/>
      <c r="B291" s="1"/>
      <c r="C291" s="1"/>
      <c r="D291" s="1"/>
      <c r="E291" s="1"/>
      <c r="F291" s="447" t="s">
        <v>6718</v>
      </c>
      <c r="G291" s="450" t="str">
        <f>'Validacao(1)'!BC274</f>
        <v>Os desvios inteferiram nos resultados</v>
      </c>
      <c r="H291" s="456" t="str">
        <f t="shared" ca="1" si="10"/>
        <v/>
      </c>
      <c r="I291" s="456" t="str">
        <f t="shared" ca="1" si="11"/>
        <v/>
      </c>
      <c r="J291" s="419"/>
      <c r="K291" s="20"/>
      <c r="L291" s="20"/>
      <c r="N291" s="25">
        <f>COUNTIF($A$29:A291,"x")</f>
        <v>10</v>
      </c>
      <c r="O291" s="25">
        <f ca="1">'Validacao(1)'!BB274</f>
        <v>0</v>
      </c>
      <c r="P291" s="25">
        <f ca="1">'Validacao(2)'!BB274</f>
        <v>0</v>
      </c>
      <c r="Q291" s="25"/>
      <c r="R291" s="25"/>
      <c r="S291" s="25"/>
      <c r="T291" s="25"/>
      <c r="U291" s="25"/>
      <c r="V291" s="25"/>
      <c r="W291" s="25"/>
      <c r="X291" s="449"/>
      <c r="Y291" s="449"/>
      <c r="Z291" s="449"/>
      <c r="AA291" s="20"/>
    </row>
    <row r="292" spans="1:27" s="2" customFormat="1" ht="20.100000000000001" customHeight="1" outlineLevel="1" x14ac:dyDescent="0.25">
      <c r="A292" s="446"/>
      <c r="B292" s="1"/>
      <c r="C292" s="1"/>
      <c r="D292" s="1"/>
      <c r="E292" s="1"/>
      <c r="F292" s="447" t="s">
        <v>6719</v>
      </c>
      <c r="G292" s="450" t="str">
        <f>'Validacao(1)'!BC275</f>
        <v>O certificado não foi preenchido na aba "Certificados"</v>
      </c>
      <c r="H292" s="456" t="str">
        <f t="shared" ca="1" si="10"/>
        <v/>
      </c>
      <c r="I292" s="456" t="str">
        <f t="shared" ca="1" si="11"/>
        <v/>
      </c>
      <c r="J292" s="419"/>
      <c r="K292" s="20"/>
      <c r="L292" s="20"/>
      <c r="N292" s="25">
        <f>COUNTIF($A$29:A292,"x")</f>
        <v>10</v>
      </c>
      <c r="O292" s="25">
        <f ca="1">'Validacao(1)'!BB275</f>
        <v>0</v>
      </c>
      <c r="P292" s="25">
        <f ca="1">'Validacao(2)'!BB275</f>
        <v>0</v>
      </c>
      <c r="Q292" s="25"/>
      <c r="R292" s="25"/>
      <c r="S292" s="25"/>
      <c r="T292" s="25"/>
      <c r="U292" s="25"/>
      <c r="V292" s="25"/>
      <c r="W292" s="25"/>
      <c r="X292" s="449"/>
      <c r="Y292" s="449"/>
      <c r="Z292" s="449"/>
      <c r="AA292" s="20"/>
    </row>
    <row r="293" spans="1:27" s="2" customFormat="1" ht="20.100000000000001" customHeight="1" outlineLevel="1" x14ac:dyDescent="0.25">
      <c r="A293" s="446"/>
      <c r="B293" s="1"/>
      <c r="C293" s="1"/>
      <c r="D293" s="1"/>
      <c r="E293" s="1"/>
      <c r="F293" s="447" t="s">
        <v>6720</v>
      </c>
      <c r="G293" s="450" t="str">
        <f>'Validacao(1)'!BC276</f>
        <v>Estudo conduzido com amostra vencida</v>
      </c>
      <c r="H293" s="456" t="str">
        <f t="shared" ca="1" si="10"/>
        <v/>
      </c>
      <c r="I293" s="456" t="str">
        <f t="shared" ca="1" si="11"/>
        <v/>
      </c>
      <c r="J293" s="419"/>
      <c r="K293" s="20"/>
      <c r="L293" s="20"/>
      <c r="N293" s="25">
        <f>COUNTIF($A$29:A293,"x")</f>
        <v>10</v>
      </c>
      <c r="O293" s="25">
        <f ca="1">'Validacao(1)'!BB276</f>
        <v>0</v>
      </c>
      <c r="P293" s="25">
        <f ca="1">'Validacao(2)'!BB276</f>
        <v>0</v>
      </c>
      <c r="Q293" s="25"/>
      <c r="R293" s="25"/>
      <c r="S293" s="25"/>
      <c r="T293" s="25"/>
      <c r="U293" s="25"/>
      <c r="V293" s="25"/>
      <c r="W293" s="25"/>
      <c r="X293" s="449"/>
      <c r="Y293" s="449"/>
      <c r="Z293" s="449"/>
      <c r="AA293" s="20"/>
    </row>
    <row r="294" spans="1:27" s="2" customFormat="1" ht="20.100000000000001" customHeight="1" outlineLevel="1" x14ac:dyDescent="0.25">
      <c r="A294" s="446"/>
      <c r="B294" s="1"/>
      <c r="C294" s="1"/>
      <c r="D294" s="1"/>
      <c r="E294" s="1"/>
      <c r="F294" s="447" t="s">
        <v>6721</v>
      </c>
      <c r="G294" s="450" t="str">
        <f>'Validacao(1)'!BC277</f>
        <v>Estudo conduzido com amostra fora da DCQQ</v>
      </c>
      <c r="H294" s="456" t="str">
        <f t="shared" ca="1" si="10"/>
        <v/>
      </c>
      <c r="I294" s="456" t="str">
        <f t="shared" ca="1" si="11"/>
        <v/>
      </c>
      <c r="J294" s="419"/>
      <c r="K294" s="20"/>
      <c r="L294" s="20"/>
      <c r="N294" s="25">
        <f>COUNTIF($A$29:A294,"x")</f>
        <v>10</v>
      </c>
      <c r="O294" s="25">
        <f ca="1">'Validacao(1)'!BB277</f>
        <v>0</v>
      </c>
      <c r="P294" s="25">
        <f ca="1">'Validacao(2)'!BB277</f>
        <v>0</v>
      </c>
      <c r="Q294" s="25"/>
      <c r="R294" s="25"/>
      <c r="S294" s="25"/>
      <c r="T294" s="25"/>
      <c r="U294" s="25"/>
      <c r="V294" s="25"/>
      <c r="W294" s="25"/>
      <c r="X294" s="449"/>
      <c r="Y294" s="449"/>
      <c r="Z294" s="449"/>
      <c r="AA294" s="20"/>
    </row>
    <row r="295" spans="1:27" s="2" customFormat="1" ht="20.100000000000001" customHeight="1" outlineLevel="1" x14ac:dyDescent="0.25">
      <c r="A295" s="446"/>
      <c r="B295" s="1"/>
      <c r="C295" s="1"/>
      <c r="D295" s="1"/>
      <c r="E295" s="1"/>
      <c r="F295" s="447" t="s">
        <v>6722</v>
      </c>
      <c r="G295" s="450" t="str">
        <f>'Validacao(1)'!BC278</f>
        <v>A opção assinalada para "lesões encontradas" não corresponde a opção sugerida</v>
      </c>
      <c r="H295" s="456" t="str">
        <f t="shared" ca="1" si="10"/>
        <v/>
      </c>
      <c r="I295" s="456" t="str">
        <f t="shared" ca="1" si="11"/>
        <v/>
      </c>
      <c r="J295" s="419"/>
      <c r="K295" s="20"/>
      <c r="L295" s="20"/>
      <c r="N295" s="25">
        <f>COUNTIF($A$29:A295,"x")</f>
        <v>10</v>
      </c>
      <c r="O295" s="25">
        <f ca="1">'Validacao(1)'!BB278</f>
        <v>0</v>
      </c>
      <c r="P295" s="25">
        <f ca="1">'Validacao(2)'!BB278</f>
        <v>0</v>
      </c>
      <c r="Q295" s="25"/>
      <c r="R295" s="25"/>
      <c r="S295" s="25"/>
      <c r="T295" s="25"/>
      <c r="U295" s="25"/>
      <c r="V295" s="25"/>
      <c r="W295" s="25"/>
      <c r="X295" s="449"/>
      <c r="Y295" s="449"/>
      <c r="Z295" s="449"/>
      <c r="AA295" s="20"/>
    </row>
    <row r="296" spans="1:27" s="2" customFormat="1" ht="20.100000000000001" customHeight="1" outlineLevel="1" x14ac:dyDescent="0.25">
      <c r="A296" s="446"/>
      <c r="B296" s="1"/>
      <c r="C296" s="1"/>
      <c r="D296" s="1"/>
      <c r="E296" s="1"/>
      <c r="F296" s="447" t="s">
        <v>6723</v>
      </c>
      <c r="G296" s="450" t="str">
        <f>'Validacao(1)'!BC279</f>
        <v>Foi assinalada mais de uma opção em "lesões encontradas"</v>
      </c>
      <c r="H296" s="456" t="str">
        <f t="shared" ca="1" si="10"/>
        <v/>
      </c>
      <c r="I296" s="456" t="str">
        <f t="shared" ca="1" si="11"/>
        <v/>
      </c>
      <c r="J296" s="419"/>
      <c r="K296" s="20"/>
      <c r="L296" s="20"/>
      <c r="N296" s="25">
        <f>COUNTIF($A$29:A296,"x")</f>
        <v>10</v>
      </c>
      <c r="O296" s="25">
        <f ca="1">'Validacao(1)'!BB279</f>
        <v>0</v>
      </c>
      <c r="P296" s="25">
        <f ca="1">'Validacao(2)'!BB279</f>
        <v>0</v>
      </c>
      <c r="Q296" s="25"/>
      <c r="R296" s="25"/>
      <c r="S296" s="25"/>
      <c r="T296" s="25"/>
      <c r="U296" s="25"/>
      <c r="V296" s="25"/>
      <c r="W296" s="25"/>
      <c r="X296" s="449"/>
      <c r="Y296" s="449"/>
      <c r="Z296" s="449"/>
      <c r="AA296" s="20"/>
    </row>
    <row r="297" spans="1:27" s="2" customFormat="1" ht="20.100000000000001" customHeight="1" outlineLevel="1" x14ac:dyDescent="0.25">
      <c r="A297" s="446"/>
      <c r="B297" s="1"/>
      <c r="C297" s="1"/>
      <c r="D297" s="1"/>
      <c r="E297" s="1"/>
      <c r="F297" s="447" t="s">
        <v>6724</v>
      </c>
      <c r="G297" s="450">
        <f>'Validacao(1)'!BC280</f>
        <v>0</v>
      </c>
      <c r="H297" s="456" t="str">
        <f t="shared" si="10"/>
        <v/>
      </c>
      <c r="I297" s="456" t="str">
        <f t="shared" si="11"/>
        <v/>
      </c>
      <c r="J297" s="419"/>
      <c r="K297" s="20"/>
      <c r="L297" s="20"/>
      <c r="N297" s="25">
        <f>COUNTIF($A$29:A297,"x")</f>
        <v>10</v>
      </c>
      <c r="O297" s="25">
        <f>'Validacao(1)'!BB280</f>
        <v>0</v>
      </c>
      <c r="P297" s="25">
        <f>'Validacao(2)'!BB280</f>
        <v>0</v>
      </c>
      <c r="Q297" s="25"/>
      <c r="R297" s="25"/>
      <c r="S297" s="25"/>
      <c r="T297" s="25"/>
      <c r="U297" s="25"/>
      <c r="V297" s="25"/>
      <c r="W297" s="25"/>
      <c r="X297" s="449"/>
      <c r="Y297" s="449"/>
      <c r="Z297" s="449"/>
      <c r="AA297" s="20"/>
    </row>
    <row r="298" spans="1:27" s="2" customFormat="1" ht="20.100000000000001" customHeight="1" outlineLevel="1" x14ac:dyDescent="0.25">
      <c r="A298" s="446"/>
      <c r="B298" s="1"/>
      <c r="C298" s="1"/>
      <c r="D298" s="1"/>
      <c r="E298" s="1"/>
      <c r="F298" s="447" t="s">
        <v>6725</v>
      </c>
      <c r="G298" s="450">
        <f>'Validacao(1)'!BC281</f>
        <v>0</v>
      </c>
      <c r="H298" s="456" t="str">
        <f t="shared" si="10"/>
        <v/>
      </c>
      <c r="I298" s="456" t="str">
        <f t="shared" si="11"/>
        <v/>
      </c>
      <c r="J298" s="419"/>
      <c r="K298" s="20"/>
      <c r="L298" s="20"/>
      <c r="N298" s="25">
        <f>COUNTIF($A$29:A298,"x")</f>
        <v>10</v>
      </c>
      <c r="O298" s="25">
        <f>'Validacao(1)'!BB281</f>
        <v>0</v>
      </c>
      <c r="P298" s="25">
        <f>'Validacao(2)'!BB281</f>
        <v>0</v>
      </c>
      <c r="Q298" s="25"/>
      <c r="R298" s="25"/>
      <c r="S298" s="25"/>
      <c r="T298" s="25"/>
      <c r="U298" s="25"/>
      <c r="V298" s="25"/>
      <c r="W298" s="25"/>
      <c r="X298" s="449"/>
      <c r="Y298" s="449"/>
      <c r="Z298" s="449"/>
      <c r="AA298" s="20"/>
    </row>
    <row r="299" spans="1:27" s="2" customFormat="1" ht="20.100000000000001" customHeight="1" outlineLevel="1" x14ac:dyDescent="0.25">
      <c r="A299" s="446"/>
      <c r="B299" s="1"/>
      <c r="C299" s="1"/>
      <c r="D299" s="1"/>
      <c r="E299" s="1"/>
      <c r="F299" s="447" t="s">
        <v>6726</v>
      </c>
      <c r="G299" s="450">
        <f>'Validacao(1)'!BC282</f>
        <v>0</v>
      </c>
      <c r="H299" s="456" t="str">
        <f t="shared" si="10"/>
        <v/>
      </c>
      <c r="I299" s="456" t="str">
        <f t="shared" si="11"/>
        <v/>
      </c>
      <c r="J299" s="419"/>
      <c r="K299" s="20"/>
      <c r="L299" s="20"/>
      <c r="N299" s="25">
        <f>COUNTIF($A$29:A299,"x")</f>
        <v>10</v>
      </c>
      <c r="O299" s="25">
        <f>'Validacao(1)'!BB282</f>
        <v>0</v>
      </c>
      <c r="P299" s="25">
        <f>'Validacao(2)'!BB282</f>
        <v>0</v>
      </c>
      <c r="Q299" s="25"/>
      <c r="R299" s="25"/>
      <c r="S299" s="25"/>
      <c r="T299" s="25"/>
      <c r="U299" s="25"/>
      <c r="V299" s="25"/>
      <c r="W299" s="25"/>
      <c r="X299" s="449"/>
      <c r="Y299" s="449"/>
      <c r="Z299" s="449"/>
      <c r="AA299" s="20"/>
    </row>
    <row r="300" spans="1:27" s="2" customFormat="1" ht="20.100000000000001" customHeight="1" outlineLevel="1" x14ac:dyDescent="0.25">
      <c r="A300" s="446"/>
      <c r="B300" s="1"/>
      <c r="C300" s="1"/>
      <c r="D300" s="1"/>
      <c r="E300" s="1"/>
      <c r="F300" s="447" t="s">
        <v>6727</v>
      </c>
      <c r="G300" s="450">
        <f>'Validacao(1)'!BC283</f>
        <v>0</v>
      </c>
      <c r="H300" s="456" t="str">
        <f t="shared" si="10"/>
        <v/>
      </c>
      <c r="I300" s="456" t="str">
        <f t="shared" si="11"/>
        <v/>
      </c>
      <c r="J300" s="419"/>
      <c r="K300" s="20"/>
      <c r="L300" s="20"/>
      <c r="N300" s="25">
        <f>COUNTIF($A$29:A300,"x")</f>
        <v>10</v>
      </c>
      <c r="O300" s="25">
        <f>'Validacao(1)'!BB283</f>
        <v>0</v>
      </c>
      <c r="P300" s="25">
        <f>'Validacao(2)'!BB283</f>
        <v>0</v>
      </c>
      <c r="Q300" s="25"/>
      <c r="R300" s="25"/>
      <c r="S300" s="25"/>
      <c r="T300" s="25"/>
      <c r="U300" s="25"/>
      <c r="V300" s="25"/>
      <c r="W300" s="25"/>
      <c r="X300" s="449"/>
      <c r="Y300" s="449"/>
      <c r="Z300" s="449"/>
      <c r="AA300" s="20"/>
    </row>
    <row r="301" spans="1:27" s="2" customFormat="1" ht="20.100000000000001" customHeight="1" outlineLevel="1" x14ac:dyDescent="0.25">
      <c r="A301" s="446"/>
      <c r="B301" s="1"/>
      <c r="C301" s="1"/>
      <c r="D301" s="1"/>
      <c r="E301" s="1"/>
      <c r="F301" s="447" t="s">
        <v>6728</v>
      </c>
      <c r="G301" s="450">
        <f>'Validacao(1)'!BC284</f>
        <v>0</v>
      </c>
      <c r="H301" s="456" t="str">
        <f t="shared" si="10"/>
        <v/>
      </c>
      <c r="I301" s="456" t="str">
        <f t="shared" si="11"/>
        <v/>
      </c>
      <c r="J301" s="419"/>
      <c r="K301" s="20"/>
      <c r="L301" s="20"/>
      <c r="N301" s="25">
        <f>COUNTIF($A$29:A301,"x")</f>
        <v>10</v>
      </c>
      <c r="O301" s="25">
        <f>'Validacao(1)'!BB284</f>
        <v>0</v>
      </c>
      <c r="P301" s="25">
        <f>'Validacao(2)'!BB284</f>
        <v>0</v>
      </c>
      <c r="Q301" s="25"/>
      <c r="R301" s="25"/>
      <c r="S301" s="25"/>
      <c r="T301" s="25"/>
      <c r="U301" s="25"/>
      <c r="V301" s="25"/>
      <c r="W301" s="25"/>
      <c r="X301" s="449"/>
      <c r="Y301" s="449"/>
      <c r="Z301" s="449"/>
      <c r="AA301" s="20"/>
    </row>
    <row r="302" spans="1:27" s="2" customFormat="1" ht="20.100000000000001" customHeight="1" outlineLevel="1" x14ac:dyDescent="0.25">
      <c r="A302" s="446"/>
      <c r="B302" s="1"/>
      <c r="C302" s="1"/>
      <c r="D302" s="1"/>
      <c r="E302" s="1"/>
      <c r="F302" s="447" t="s">
        <v>6729</v>
      </c>
      <c r="G302" s="450">
        <f>'Validacao(1)'!BC285</f>
        <v>0</v>
      </c>
      <c r="H302" s="456" t="str">
        <f t="shared" si="10"/>
        <v/>
      </c>
      <c r="I302" s="456" t="str">
        <f t="shared" si="11"/>
        <v/>
      </c>
      <c r="J302" s="419"/>
      <c r="K302" s="20"/>
      <c r="L302" s="20"/>
      <c r="N302" s="25">
        <f>COUNTIF($A$29:A302,"x")</f>
        <v>10</v>
      </c>
      <c r="O302" s="25">
        <f>'Validacao(1)'!BB285</f>
        <v>0</v>
      </c>
      <c r="P302" s="25">
        <f>'Validacao(2)'!BB285</f>
        <v>0</v>
      </c>
      <c r="Q302" s="25"/>
      <c r="R302" s="25"/>
      <c r="S302" s="25"/>
      <c r="T302" s="25"/>
      <c r="U302" s="25"/>
      <c r="V302" s="25"/>
      <c r="W302" s="25"/>
      <c r="X302" s="449"/>
      <c r="Y302" s="449"/>
      <c r="Z302" s="449"/>
      <c r="AA302" s="20"/>
    </row>
    <row r="303" spans="1:27" s="2" customFormat="1" ht="20.100000000000001" customHeight="1" outlineLevel="1" x14ac:dyDescent="0.25">
      <c r="A303" s="446"/>
      <c r="B303" s="1"/>
      <c r="C303" s="1"/>
      <c r="D303" s="1"/>
      <c r="E303" s="1"/>
      <c r="F303" s="447" t="s">
        <v>6730</v>
      </c>
      <c r="G303" s="450">
        <f>'Validacao(1)'!BC286</f>
        <v>0</v>
      </c>
      <c r="H303" s="456" t="str">
        <f t="shared" si="10"/>
        <v/>
      </c>
      <c r="I303" s="456" t="str">
        <f t="shared" si="11"/>
        <v/>
      </c>
      <c r="J303" s="419"/>
      <c r="K303" s="20"/>
      <c r="L303" s="20"/>
      <c r="N303" s="25">
        <f>COUNTIF($A$29:A303,"x")</f>
        <v>10</v>
      </c>
      <c r="O303" s="25">
        <f>'Validacao(1)'!BB286</f>
        <v>0</v>
      </c>
      <c r="P303" s="25">
        <f>'Validacao(2)'!BB286</f>
        <v>0</v>
      </c>
      <c r="Q303" s="25"/>
      <c r="R303" s="25"/>
      <c r="S303" s="25"/>
      <c r="T303" s="25"/>
      <c r="U303" s="25"/>
      <c r="V303" s="25"/>
      <c r="W303" s="25"/>
      <c r="X303" s="449"/>
      <c r="Y303" s="449"/>
      <c r="Z303" s="449"/>
      <c r="AA303" s="20"/>
    </row>
    <row r="304" spans="1:27" s="2" customFormat="1" ht="20.100000000000001" customHeight="1" outlineLevel="1" x14ac:dyDescent="0.25">
      <c r="A304" s="446"/>
      <c r="B304" s="1"/>
      <c r="C304" s="1"/>
      <c r="D304" s="1"/>
      <c r="E304" s="1"/>
      <c r="F304" s="447" t="s">
        <v>6731</v>
      </c>
      <c r="G304" s="450">
        <f>'Validacao(1)'!BC287</f>
        <v>0</v>
      </c>
      <c r="H304" s="456" t="str">
        <f t="shared" si="10"/>
        <v/>
      </c>
      <c r="I304" s="456" t="str">
        <f t="shared" si="11"/>
        <v/>
      </c>
      <c r="J304" s="419"/>
      <c r="K304" s="20"/>
      <c r="L304" s="20"/>
      <c r="N304" s="25">
        <f>COUNTIF($A$29:A304,"x")</f>
        <v>10</v>
      </c>
      <c r="O304" s="25">
        <f>'Validacao(1)'!BB287</f>
        <v>0</v>
      </c>
      <c r="P304" s="25">
        <f>'Validacao(2)'!BB287</f>
        <v>0</v>
      </c>
      <c r="Q304" s="25"/>
      <c r="R304" s="25"/>
      <c r="S304" s="25"/>
      <c r="T304" s="25"/>
      <c r="U304" s="25"/>
      <c r="V304" s="25"/>
      <c r="W304" s="25"/>
      <c r="X304" s="449"/>
      <c r="Y304" s="449"/>
      <c r="Z304" s="449"/>
      <c r="AA304" s="20"/>
    </row>
    <row r="305" spans="1:27" s="2" customFormat="1" ht="20.100000000000001" customHeight="1" outlineLevel="1" x14ac:dyDescent="0.25">
      <c r="A305" s="446"/>
      <c r="B305" s="1"/>
      <c r="C305" s="1"/>
      <c r="D305" s="1"/>
      <c r="E305" s="1"/>
      <c r="F305" s="447" t="s">
        <v>6732</v>
      </c>
      <c r="G305" s="450">
        <f>'Validacao(1)'!BC288</f>
        <v>0</v>
      </c>
      <c r="H305" s="456" t="str">
        <f t="shared" si="10"/>
        <v/>
      </c>
      <c r="I305" s="456" t="str">
        <f t="shared" si="11"/>
        <v/>
      </c>
      <c r="J305" s="419"/>
      <c r="K305" s="20"/>
      <c r="L305" s="20"/>
      <c r="N305" s="25">
        <f>COUNTIF($A$29:A305,"x")</f>
        <v>10</v>
      </c>
      <c r="O305" s="25">
        <f>'Validacao(1)'!BB288</f>
        <v>0</v>
      </c>
      <c r="P305" s="25">
        <f>'Validacao(2)'!BB288</f>
        <v>0</v>
      </c>
      <c r="Q305" s="25"/>
      <c r="R305" s="25"/>
      <c r="S305" s="25"/>
      <c r="T305" s="25"/>
      <c r="U305" s="25"/>
      <c r="V305" s="25"/>
      <c r="W305" s="25"/>
      <c r="X305" s="449"/>
      <c r="Y305" s="449"/>
      <c r="Z305" s="449"/>
      <c r="AA305" s="20"/>
    </row>
    <row r="306" spans="1:27" s="2" customFormat="1" ht="20.100000000000001" customHeight="1" outlineLevel="1" x14ac:dyDescent="0.25">
      <c r="A306" s="446"/>
      <c r="B306" s="1"/>
      <c r="C306" s="1"/>
      <c r="D306" s="1"/>
      <c r="E306" s="1"/>
      <c r="F306" s="447" t="s">
        <v>6733</v>
      </c>
      <c r="G306" s="450">
        <f>'Validacao(1)'!BC289</f>
        <v>0</v>
      </c>
      <c r="H306" s="456" t="str">
        <f t="shared" si="10"/>
        <v/>
      </c>
      <c r="I306" s="456" t="str">
        <f t="shared" si="11"/>
        <v/>
      </c>
      <c r="J306" s="419"/>
      <c r="K306" s="20"/>
      <c r="L306" s="20"/>
      <c r="N306" s="25">
        <f>COUNTIF($A$29:A306,"x")</f>
        <v>10</v>
      </c>
      <c r="O306" s="25">
        <f>'Validacao(1)'!BB289</f>
        <v>0</v>
      </c>
      <c r="P306" s="25">
        <f>'Validacao(2)'!BB289</f>
        <v>0</v>
      </c>
      <c r="Q306" s="25"/>
      <c r="R306" s="25"/>
      <c r="S306" s="25"/>
      <c r="T306" s="25"/>
      <c r="U306" s="25"/>
      <c r="V306" s="25"/>
      <c r="W306" s="25"/>
      <c r="X306" s="449"/>
      <c r="Y306" s="449"/>
      <c r="Z306" s="449"/>
      <c r="AA306" s="20"/>
    </row>
    <row r="307" spans="1:27" s="2" customFormat="1" ht="20.100000000000001" customHeight="1" outlineLevel="1" x14ac:dyDescent="0.25">
      <c r="A307" s="446"/>
      <c r="B307" s="1"/>
      <c r="C307" s="1"/>
      <c r="D307" s="1"/>
      <c r="E307" s="1"/>
      <c r="F307" s="447" t="s">
        <v>6734</v>
      </c>
      <c r="G307" s="450">
        <f>'Validacao(1)'!BC290</f>
        <v>0</v>
      </c>
      <c r="H307" s="456" t="str">
        <f t="shared" si="10"/>
        <v/>
      </c>
      <c r="I307" s="456" t="str">
        <f t="shared" si="11"/>
        <v/>
      </c>
      <c r="J307" s="419"/>
      <c r="K307" s="20"/>
      <c r="L307" s="20"/>
      <c r="N307" s="25">
        <f>COUNTIF($A$29:A307,"x")</f>
        <v>10</v>
      </c>
      <c r="O307" s="25">
        <f>'Validacao(1)'!BB290</f>
        <v>0</v>
      </c>
      <c r="P307" s="25">
        <f>'Validacao(2)'!BB290</f>
        <v>0</v>
      </c>
      <c r="Q307" s="25"/>
      <c r="R307" s="25"/>
      <c r="S307" s="25"/>
      <c r="T307" s="25"/>
      <c r="U307" s="25"/>
      <c r="V307" s="25"/>
      <c r="W307" s="25"/>
      <c r="X307" s="449"/>
      <c r="Y307" s="449"/>
      <c r="Z307" s="449"/>
      <c r="AA307" s="20"/>
    </row>
    <row r="308" spans="1:27" s="2" customFormat="1" ht="20.100000000000001" customHeight="1" outlineLevel="1" x14ac:dyDescent="0.25">
      <c r="A308" s="446"/>
      <c r="B308" s="1"/>
      <c r="C308" s="1"/>
      <c r="D308" s="1"/>
      <c r="E308" s="1"/>
      <c r="F308" s="447" t="s">
        <v>6735</v>
      </c>
      <c r="G308" s="450">
        <f>'Validacao(1)'!BC291</f>
        <v>0</v>
      </c>
      <c r="H308" s="456" t="str">
        <f t="shared" si="10"/>
        <v/>
      </c>
      <c r="I308" s="456" t="str">
        <f t="shared" si="11"/>
        <v/>
      </c>
      <c r="J308" s="419"/>
      <c r="K308" s="20"/>
      <c r="L308" s="20"/>
      <c r="N308" s="25">
        <f>COUNTIF($A$29:A308,"x")</f>
        <v>10</v>
      </c>
      <c r="O308" s="25">
        <f>'Validacao(1)'!BB291</f>
        <v>0</v>
      </c>
      <c r="P308" s="25">
        <f>'Validacao(2)'!BB291</f>
        <v>0</v>
      </c>
      <c r="Q308" s="25"/>
      <c r="R308" s="25"/>
      <c r="S308" s="25"/>
      <c r="T308" s="25"/>
      <c r="U308" s="25"/>
      <c r="V308" s="25"/>
      <c r="W308" s="25"/>
      <c r="X308" s="449"/>
      <c r="Y308" s="449"/>
      <c r="Z308" s="449"/>
      <c r="AA308" s="20"/>
    </row>
    <row r="309" spans="1:27" s="2" customFormat="1" ht="20.100000000000001" customHeight="1" outlineLevel="1" x14ac:dyDescent="0.25">
      <c r="A309" s="446"/>
      <c r="B309" s="1"/>
      <c r="C309" s="1"/>
      <c r="D309" s="1"/>
      <c r="E309" s="1"/>
      <c r="F309" s="447" t="s">
        <v>6736</v>
      </c>
      <c r="G309" s="450">
        <f>'Validacao(1)'!BC292</f>
        <v>0</v>
      </c>
      <c r="H309" s="456" t="str">
        <f t="shared" si="10"/>
        <v/>
      </c>
      <c r="I309" s="456" t="str">
        <f t="shared" si="11"/>
        <v/>
      </c>
      <c r="J309" s="419"/>
      <c r="K309" s="20"/>
      <c r="L309" s="20"/>
      <c r="N309" s="25">
        <f>COUNTIF($A$29:A309,"x")</f>
        <v>10</v>
      </c>
      <c r="O309" s="25">
        <f>'Validacao(1)'!BB292</f>
        <v>0</v>
      </c>
      <c r="P309" s="25">
        <f>'Validacao(2)'!BB292</f>
        <v>0</v>
      </c>
      <c r="Q309" s="25"/>
      <c r="R309" s="25"/>
      <c r="S309" s="25"/>
      <c r="T309" s="25"/>
      <c r="U309" s="25"/>
      <c r="V309" s="25"/>
      <c r="W309" s="25"/>
      <c r="X309" s="449"/>
      <c r="Y309" s="449"/>
      <c r="Z309" s="449"/>
      <c r="AA309" s="20"/>
    </row>
    <row r="310" spans="1:27" s="2" customFormat="1" ht="20.100000000000001" customHeight="1" outlineLevel="1" x14ac:dyDescent="0.25">
      <c r="A310" s="446"/>
      <c r="B310" s="1"/>
      <c r="C310" s="1"/>
      <c r="D310" s="1"/>
      <c r="E310" s="1"/>
      <c r="F310" s="447" t="s">
        <v>6737</v>
      </c>
      <c r="G310" s="450">
        <f>'Validacao(1)'!BC293</f>
        <v>0</v>
      </c>
      <c r="H310" s="456" t="str">
        <f t="shared" si="10"/>
        <v/>
      </c>
      <c r="I310" s="456" t="str">
        <f t="shared" si="11"/>
        <v/>
      </c>
      <c r="J310" s="419"/>
      <c r="K310" s="20"/>
      <c r="L310" s="20"/>
      <c r="N310" s="25">
        <f>COUNTIF($A$29:A310,"x")</f>
        <v>10</v>
      </c>
      <c r="O310" s="25">
        <f>'Validacao(1)'!BB293</f>
        <v>0</v>
      </c>
      <c r="P310" s="25">
        <f>'Validacao(2)'!BB293</f>
        <v>0</v>
      </c>
      <c r="Q310" s="25"/>
      <c r="R310" s="25"/>
      <c r="S310" s="25"/>
      <c r="T310" s="25"/>
      <c r="U310" s="25"/>
      <c r="V310" s="25"/>
      <c r="W310" s="25"/>
      <c r="X310" s="449"/>
      <c r="Y310" s="449"/>
      <c r="Z310" s="449"/>
      <c r="AA310" s="20"/>
    </row>
    <row r="311" spans="1:27" s="2" customFormat="1" ht="30" customHeight="1" x14ac:dyDescent="0.25">
      <c r="A311" s="446" t="s">
        <v>8576</v>
      </c>
      <c r="B311" s="1"/>
      <c r="C311" s="1"/>
      <c r="D311" s="1"/>
      <c r="E311" s="1"/>
      <c r="F311" s="418"/>
      <c r="G311" s="453" t="str">
        <f ca="1">U311</f>
        <v>📂 (✓ ) Sensibilização cutânea - LLNA</v>
      </c>
      <c r="H311" s="454" t="str">
        <f>HYPERLINK(Y311,$V$17)</f>
        <v>Estudo (1)</v>
      </c>
      <c r="I311" s="455" t="str">
        <f>HYPERLINK(Z311,$V$18)</f>
        <v>Estudo (2)</v>
      </c>
      <c r="J311" s="419"/>
      <c r="K311" s="20"/>
      <c r="L311" s="20"/>
      <c r="N311" s="442">
        <f>COUNTIF($A$29:A311,"x")</f>
        <v>11</v>
      </c>
      <c r="O311" s="442" t="s">
        <v>10</v>
      </c>
      <c r="P311" s="442" t="s">
        <v>10</v>
      </c>
      <c r="Q311" s="442">
        <f ca="1">SUMIF(N312:$N$633,N311,O312:$O$633)</f>
        <v>0</v>
      </c>
      <c r="R311" s="442">
        <f ca="1">SUMIF(N312:$N$633,N311,P312:$P$633)</f>
        <v>0</v>
      </c>
      <c r="S311" s="442">
        <f ca="1">Q311+R311</f>
        <v>0</v>
      </c>
      <c r="T311" s="443" t="s">
        <v>6119</v>
      </c>
      <c r="U311" s="443" t="str">
        <f ca="1">$T$4&amp;"("&amp; IF(S311=0,V$23,S311) &amp; ") " &amp; T311</f>
        <v>📂 (✓ ) Sensibilização cutânea - LLNA</v>
      </c>
      <c r="V311" s="443" t="str">
        <f ca="1">IF(Q311&gt;0,$V$24&amp;Q311,"")</f>
        <v/>
      </c>
      <c r="W311" s="443" t="str">
        <f ca="1">IF(R311&gt;0,$V$24&amp;R311,"")</f>
        <v/>
      </c>
      <c r="X311" s="444" t="s">
        <v>8564</v>
      </c>
      <c r="Y311" s="445" t="str">
        <f>$V$19 &amp; $X311 &amp; V$21 &amp; $V$22 &amp; $V$20</f>
        <v>#'LLNA(1)'!F2</v>
      </c>
      <c r="Z311" s="445" t="str">
        <f>$V$19 &amp; $X311 &amp; W$21 &amp; $V$22 &amp; $V$20</f>
        <v>#'LLNA(2)'!F2</v>
      </c>
      <c r="AA311" s="20"/>
    </row>
    <row r="312" spans="1:27" s="2" customFormat="1" ht="20.100000000000001" customHeight="1" outlineLevel="1" x14ac:dyDescent="0.25">
      <c r="A312" s="446"/>
      <c r="B312" s="1"/>
      <c r="C312" s="1"/>
      <c r="D312" s="1"/>
      <c r="E312" s="1"/>
      <c r="F312" s="447" t="s">
        <v>6738</v>
      </c>
      <c r="G312" s="450" t="str">
        <f>'Validacao(1)'!BC297</f>
        <v>Não foi preenchido o código do estudo</v>
      </c>
      <c r="H312" s="456" t="str">
        <f t="shared" ref="H312:H343" ca="1" si="12">IF(O312=1,"x","")</f>
        <v/>
      </c>
      <c r="I312" s="456" t="str">
        <f t="shared" ref="I312:I343" ca="1" si="13">IF(P312=1,"x","")</f>
        <v/>
      </c>
      <c r="J312" s="419"/>
      <c r="K312" s="20"/>
      <c r="L312" s="20"/>
      <c r="N312" s="25">
        <f>COUNTIF($A$29:A312,"x")</f>
        <v>11</v>
      </c>
      <c r="O312" s="25">
        <f ca="1">'Validacao(1)'!BB297</f>
        <v>0</v>
      </c>
      <c r="P312" s="25">
        <f ca="1">'Validacao(2)'!BB297</f>
        <v>0</v>
      </c>
      <c r="Q312" s="25"/>
      <c r="R312" s="25"/>
      <c r="S312" s="25"/>
      <c r="T312" s="25"/>
      <c r="U312" s="25"/>
      <c r="V312" s="25"/>
      <c r="W312" s="25"/>
      <c r="X312" s="449"/>
      <c r="Y312" s="449"/>
      <c r="Z312" s="449"/>
      <c r="AA312" s="20"/>
    </row>
    <row r="313" spans="1:27" s="2" customFormat="1" ht="20.100000000000001" customHeight="1" outlineLevel="1" x14ac:dyDescent="0.25">
      <c r="A313" s="446"/>
      <c r="B313" s="1"/>
      <c r="C313" s="1"/>
      <c r="D313" s="1"/>
      <c r="E313" s="1"/>
      <c r="F313" s="447" t="s">
        <v>6739</v>
      </c>
      <c r="G313" s="450" t="str">
        <f>'Validacao(1)'!BC298</f>
        <v>Não foi preenchido o nome do laboratório</v>
      </c>
      <c r="H313" s="456" t="str">
        <f t="shared" ca="1" si="12"/>
        <v/>
      </c>
      <c r="I313" s="456" t="str">
        <f t="shared" ca="1" si="13"/>
        <v/>
      </c>
      <c r="J313" s="419"/>
      <c r="K313" s="20"/>
      <c r="L313" s="20"/>
      <c r="N313" s="25">
        <f>COUNTIF($A$29:A313,"x")</f>
        <v>11</v>
      </c>
      <c r="O313" s="25">
        <f ca="1">'Validacao(1)'!BB298</f>
        <v>0</v>
      </c>
      <c r="P313" s="25">
        <f ca="1">'Validacao(2)'!BB298</f>
        <v>0</v>
      </c>
      <c r="Q313" s="25"/>
      <c r="R313" s="25"/>
      <c r="S313" s="25"/>
      <c r="T313" s="25"/>
      <c r="U313" s="25"/>
      <c r="V313" s="25"/>
      <c r="W313" s="25"/>
      <c r="X313" s="449"/>
      <c r="Y313" s="449"/>
      <c r="Z313" s="449"/>
      <c r="AA313" s="20"/>
    </row>
    <row r="314" spans="1:27" s="2" customFormat="1" ht="20.100000000000001" customHeight="1" outlineLevel="1" x14ac:dyDescent="0.25">
      <c r="A314" s="446"/>
      <c r="B314" s="1"/>
      <c r="C314" s="1"/>
      <c r="D314" s="1"/>
      <c r="E314" s="1"/>
      <c r="F314" s="447" t="s">
        <v>6740</v>
      </c>
      <c r="G314" s="450" t="str">
        <f>'Validacao(1)'!BC299</f>
        <v>Não foi preenchido se o estudo foi conduzido em laboratório com BPL</v>
      </c>
      <c r="H314" s="456" t="str">
        <f t="shared" ca="1" si="12"/>
        <v/>
      </c>
      <c r="I314" s="456" t="str">
        <f t="shared" ca="1" si="13"/>
        <v/>
      </c>
      <c r="J314" s="419"/>
      <c r="K314" s="20"/>
      <c r="L314" s="20"/>
      <c r="N314" s="25">
        <f>COUNTIF($A$29:A314,"x")</f>
        <v>11</v>
      </c>
      <c r="O314" s="25">
        <f ca="1">'Validacao(1)'!BB299</f>
        <v>0</v>
      </c>
      <c r="P314" s="25">
        <f ca="1">'Validacao(2)'!BB299</f>
        <v>0</v>
      </c>
      <c r="Q314" s="25"/>
      <c r="R314" s="25"/>
      <c r="S314" s="25"/>
      <c r="T314" s="25"/>
      <c r="U314" s="25"/>
      <c r="V314" s="25"/>
      <c r="W314" s="25"/>
      <c r="X314" s="449"/>
      <c r="Y314" s="449"/>
      <c r="Z314" s="449"/>
      <c r="AA314" s="20"/>
    </row>
    <row r="315" spans="1:27" s="2" customFormat="1" ht="20.100000000000001" customHeight="1" outlineLevel="1" x14ac:dyDescent="0.25">
      <c r="A315" s="446"/>
      <c r="B315" s="1"/>
      <c r="C315" s="1"/>
      <c r="D315" s="1"/>
      <c r="E315" s="1"/>
      <c r="F315" s="447" t="s">
        <v>6741</v>
      </c>
      <c r="G315" s="450" t="str">
        <f>'Validacao(1)'!BC300</f>
        <v>Não foi preenchido o protocolo</v>
      </c>
      <c r="H315" s="456" t="str">
        <f t="shared" ca="1" si="12"/>
        <v/>
      </c>
      <c r="I315" s="456" t="str">
        <f t="shared" ca="1" si="13"/>
        <v/>
      </c>
      <c r="J315" s="419"/>
      <c r="K315" s="20"/>
      <c r="L315" s="20"/>
      <c r="N315" s="25">
        <f>COUNTIF($A$29:A315,"x")</f>
        <v>11</v>
      </c>
      <c r="O315" s="25">
        <f ca="1">'Validacao(1)'!BB300</f>
        <v>0</v>
      </c>
      <c r="P315" s="25">
        <f ca="1">'Validacao(2)'!BB300</f>
        <v>0</v>
      </c>
      <c r="Q315" s="25"/>
      <c r="R315" s="25"/>
      <c r="S315" s="25"/>
      <c r="T315" s="25"/>
      <c r="U315" s="25"/>
      <c r="V315" s="25"/>
      <c r="W315" s="25"/>
      <c r="X315" s="449"/>
      <c r="Y315" s="449"/>
      <c r="Z315" s="449"/>
      <c r="AA315" s="20"/>
    </row>
    <row r="316" spans="1:27" s="2" customFormat="1" ht="20.100000000000001" customHeight="1" outlineLevel="1" x14ac:dyDescent="0.25">
      <c r="A316" s="446"/>
      <c r="B316" s="1"/>
      <c r="C316" s="1"/>
      <c r="D316" s="1"/>
      <c r="E316" s="1"/>
      <c r="F316" s="447" t="s">
        <v>6742</v>
      </c>
      <c r="G316" s="450" t="str">
        <f>'Validacao(1)'!BC301</f>
        <v>Não foi preenchido a data de início</v>
      </c>
      <c r="H316" s="456" t="str">
        <f t="shared" ca="1" si="12"/>
        <v/>
      </c>
      <c r="I316" s="456" t="str">
        <f t="shared" ca="1" si="13"/>
        <v/>
      </c>
      <c r="J316" s="419"/>
      <c r="K316" s="20"/>
      <c r="L316" s="20"/>
      <c r="N316" s="25">
        <f>COUNTIF($A$29:A316,"x")</f>
        <v>11</v>
      </c>
      <c r="O316" s="25">
        <f ca="1">'Validacao(1)'!BB301</f>
        <v>0</v>
      </c>
      <c r="P316" s="25">
        <f ca="1">'Validacao(2)'!BB301</f>
        <v>0</v>
      </c>
      <c r="Q316" s="25"/>
      <c r="R316" s="25"/>
      <c r="S316" s="25"/>
      <c r="T316" s="25"/>
      <c r="U316" s="25"/>
      <c r="V316" s="25"/>
      <c r="W316" s="25"/>
      <c r="X316" s="449"/>
      <c r="Y316" s="449"/>
      <c r="Z316" s="449"/>
      <c r="AA316" s="20"/>
    </row>
    <row r="317" spans="1:27" s="2" customFormat="1" ht="20.100000000000001" customHeight="1" outlineLevel="1" x14ac:dyDescent="0.25">
      <c r="A317" s="446"/>
      <c r="B317" s="1"/>
      <c r="C317" s="1"/>
      <c r="D317" s="1"/>
      <c r="E317" s="1"/>
      <c r="F317" s="447" t="s">
        <v>6743</v>
      </c>
      <c r="G317" s="450" t="str">
        <f>'Validacao(1)'!BC302</f>
        <v>Não foi preenchido a data de conclusão</v>
      </c>
      <c r="H317" s="456" t="str">
        <f t="shared" ca="1" si="12"/>
        <v/>
      </c>
      <c r="I317" s="456" t="str">
        <f t="shared" ca="1" si="13"/>
        <v/>
      </c>
      <c r="J317" s="419"/>
      <c r="K317" s="20"/>
      <c r="L317" s="20"/>
      <c r="N317" s="25">
        <f>COUNTIF($A$29:A317,"x")</f>
        <v>11</v>
      </c>
      <c r="O317" s="25">
        <f ca="1">'Validacao(1)'!BB302</f>
        <v>0</v>
      </c>
      <c r="P317" s="25">
        <f ca="1">'Validacao(2)'!BB302</f>
        <v>0</v>
      </c>
      <c r="Q317" s="25"/>
      <c r="R317" s="25"/>
      <c r="S317" s="25"/>
      <c r="T317" s="25"/>
      <c r="U317" s="25"/>
      <c r="V317" s="25"/>
      <c r="W317" s="25"/>
      <c r="X317" s="449"/>
      <c r="Y317" s="449"/>
      <c r="Z317" s="449"/>
      <c r="AA317" s="20"/>
    </row>
    <row r="318" spans="1:27" s="2" customFormat="1" ht="20.100000000000001" customHeight="1" outlineLevel="1" x14ac:dyDescent="0.25">
      <c r="A318" s="446"/>
      <c r="B318" s="1"/>
      <c r="C318" s="1"/>
      <c r="D318" s="1"/>
      <c r="E318" s="1"/>
      <c r="F318" s="447" t="s">
        <v>6744</v>
      </c>
      <c r="G318" s="450" t="str">
        <f>'Validacao(1)'!BC303</f>
        <v xml:space="preserve">Não foi preenchido o código do certificado de análise </v>
      </c>
      <c r="H318" s="456" t="str">
        <f t="shared" ca="1" si="12"/>
        <v/>
      </c>
      <c r="I318" s="456" t="str">
        <f t="shared" ca="1" si="13"/>
        <v/>
      </c>
      <c r="J318" s="419"/>
      <c r="K318" s="20"/>
      <c r="L318" s="20"/>
      <c r="N318" s="25">
        <f>COUNTIF($A$29:A318,"x")</f>
        <v>11</v>
      </c>
      <c r="O318" s="25">
        <f ca="1">'Validacao(1)'!BB303</f>
        <v>0</v>
      </c>
      <c r="P318" s="25">
        <f ca="1">'Validacao(2)'!BB303</f>
        <v>0</v>
      </c>
      <c r="Q318" s="25"/>
      <c r="R318" s="25"/>
      <c r="S318" s="25"/>
      <c r="T318" s="25"/>
      <c r="U318" s="25"/>
      <c r="V318" s="25"/>
      <c r="W318" s="25"/>
      <c r="X318" s="449"/>
      <c r="Y318" s="449"/>
      <c r="Z318" s="449"/>
      <c r="AA318" s="20"/>
    </row>
    <row r="319" spans="1:27" s="2" customFormat="1" ht="20.100000000000001" customHeight="1" outlineLevel="1" x14ac:dyDescent="0.25">
      <c r="A319" s="446"/>
      <c r="B319" s="1"/>
      <c r="C319" s="1"/>
      <c r="D319" s="1"/>
      <c r="E319" s="1"/>
      <c r="F319" s="447" t="s">
        <v>6745</v>
      </c>
      <c r="G319" s="450" t="str">
        <f>'Validacao(1)'!BC304</f>
        <v>Não foi preenchido a espécie</v>
      </c>
      <c r="H319" s="456" t="str">
        <f t="shared" ca="1" si="12"/>
        <v/>
      </c>
      <c r="I319" s="456" t="str">
        <f t="shared" ca="1" si="13"/>
        <v/>
      </c>
      <c r="J319" s="419"/>
      <c r="K319" s="20"/>
      <c r="L319" s="20"/>
      <c r="N319" s="25">
        <f>COUNTIF($A$29:A319,"x")</f>
        <v>11</v>
      </c>
      <c r="O319" s="25">
        <f ca="1">'Validacao(1)'!BB304</f>
        <v>0</v>
      </c>
      <c r="P319" s="25">
        <f ca="1">'Validacao(2)'!BB304</f>
        <v>0</v>
      </c>
      <c r="Q319" s="25"/>
      <c r="R319" s="25"/>
      <c r="S319" s="25"/>
      <c r="T319" s="25"/>
      <c r="U319" s="25"/>
      <c r="V319" s="25"/>
      <c r="W319" s="25"/>
      <c r="X319" s="449"/>
      <c r="Y319" s="449"/>
      <c r="Z319" s="449"/>
      <c r="AA319" s="20"/>
    </row>
    <row r="320" spans="1:27" s="2" customFormat="1" ht="20.100000000000001" customHeight="1" outlineLevel="1" x14ac:dyDescent="0.25">
      <c r="A320" s="446"/>
      <c r="B320" s="1"/>
      <c r="C320" s="1"/>
      <c r="D320" s="1"/>
      <c r="E320" s="1"/>
      <c r="F320" s="447" t="s">
        <v>6746</v>
      </c>
      <c r="G320" s="450" t="str">
        <f>'Validacao(1)'!BC305</f>
        <v>Não foi preenchido se o estudo definitivo foi conduzido com controle positivo</v>
      </c>
      <c r="H320" s="456" t="str">
        <f t="shared" ca="1" si="12"/>
        <v/>
      </c>
      <c r="I320" s="456" t="str">
        <f t="shared" ca="1" si="13"/>
        <v/>
      </c>
      <c r="J320" s="419"/>
      <c r="K320" s="20"/>
      <c r="L320" s="20"/>
      <c r="N320" s="25">
        <f>COUNTIF($A$29:A320,"x")</f>
        <v>11</v>
      </c>
      <c r="O320" s="25">
        <f ca="1">'Validacao(1)'!BB305</f>
        <v>0</v>
      </c>
      <c r="P320" s="25">
        <f ca="1">'Validacao(2)'!BB305</f>
        <v>0</v>
      </c>
      <c r="Q320" s="25"/>
      <c r="R320" s="25"/>
      <c r="S320" s="25"/>
      <c r="T320" s="25"/>
      <c r="U320" s="25"/>
      <c r="V320" s="25"/>
      <c r="W320" s="25"/>
      <c r="X320" s="449"/>
      <c r="Y320" s="449"/>
      <c r="Z320" s="449"/>
      <c r="AA320" s="20"/>
    </row>
    <row r="321" spans="1:27" s="2" customFormat="1" ht="20.100000000000001" customHeight="1" outlineLevel="1" x14ac:dyDescent="0.25">
      <c r="A321" s="446"/>
      <c r="B321" s="1"/>
      <c r="C321" s="1"/>
      <c r="D321" s="1"/>
      <c r="E321" s="1"/>
      <c r="F321" s="447" t="s">
        <v>6747</v>
      </c>
      <c r="G321" s="450" t="str">
        <f>'Validacao(1)'!BC306</f>
        <v>Não foi preenchido se foi realizado teste de confiabilidade</v>
      </c>
      <c r="H321" s="456" t="str">
        <f t="shared" ca="1" si="12"/>
        <v/>
      </c>
      <c r="I321" s="456" t="str">
        <f t="shared" ca="1" si="13"/>
        <v/>
      </c>
      <c r="J321" s="419"/>
      <c r="K321" s="20"/>
      <c r="L321" s="20"/>
      <c r="N321" s="25">
        <f>COUNTIF($A$29:A321,"x")</f>
        <v>11</v>
      </c>
      <c r="O321" s="25">
        <f ca="1">'Validacao(1)'!BB306</f>
        <v>0</v>
      </c>
      <c r="P321" s="25">
        <f ca="1">'Validacao(2)'!BB306</f>
        <v>0</v>
      </c>
      <c r="Q321" s="25"/>
      <c r="R321" s="25"/>
      <c r="S321" s="25"/>
      <c r="T321" s="25"/>
      <c r="U321" s="25"/>
      <c r="V321" s="25"/>
      <c r="W321" s="25"/>
      <c r="X321" s="449"/>
      <c r="Y321" s="449"/>
      <c r="Z321" s="449"/>
      <c r="AA321" s="20"/>
    </row>
    <row r="322" spans="1:27" s="2" customFormat="1" ht="20.100000000000001" customHeight="1" outlineLevel="1" x14ac:dyDescent="0.25">
      <c r="A322" s="446"/>
      <c r="B322" s="1"/>
      <c r="C322" s="1"/>
      <c r="D322" s="1"/>
      <c r="E322" s="1"/>
      <c r="F322" s="447" t="s">
        <v>6748</v>
      </c>
      <c r="G322" s="450" t="str">
        <f>'Validacao(1)'!BC307</f>
        <v>Não foi preenchida a data de conclusão do teste de confiabilidade</v>
      </c>
      <c r="H322" s="456" t="str">
        <f t="shared" ca="1" si="12"/>
        <v/>
      </c>
      <c r="I322" s="456" t="str">
        <f t="shared" ca="1" si="13"/>
        <v/>
      </c>
      <c r="J322" s="419"/>
      <c r="K322" s="20"/>
      <c r="L322" s="20"/>
      <c r="N322" s="25">
        <f>COUNTIF($A$29:A322,"x")</f>
        <v>11</v>
      </c>
      <c r="O322" s="25">
        <f ca="1">'Validacao(1)'!BB307</f>
        <v>0</v>
      </c>
      <c r="P322" s="25">
        <f ca="1">'Validacao(2)'!BB307</f>
        <v>0</v>
      </c>
      <c r="Q322" s="25"/>
      <c r="R322" s="25"/>
      <c r="S322" s="25"/>
      <c r="T322" s="25"/>
      <c r="U322" s="25"/>
      <c r="V322" s="25"/>
      <c r="W322" s="25"/>
      <c r="X322" s="449"/>
      <c r="Y322" s="449"/>
      <c r="Z322" s="449"/>
      <c r="AA322" s="20"/>
    </row>
    <row r="323" spans="1:27" s="2" customFormat="1" ht="20.100000000000001" customHeight="1" outlineLevel="1" x14ac:dyDescent="0.25">
      <c r="A323" s="446"/>
      <c r="B323" s="1"/>
      <c r="C323" s="1"/>
      <c r="D323" s="1"/>
      <c r="E323" s="1"/>
      <c r="F323" s="447" t="s">
        <v>6749</v>
      </c>
      <c r="G323" s="450" t="str">
        <f>'Validacao(1)'!BC308</f>
        <v>Não foi preenchido a justificativa pela não apresentação do teste de confiabilidade</v>
      </c>
      <c r="H323" s="456" t="str">
        <f t="shared" ca="1" si="12"/>
        <v/>
      </c>
      <c r="I323" s="456" t="str">
        <f t="shared" ca="1" si="13"/>
        <v/>
      </c>
      <c r="J323" s="419"/>
      <c r="K323" s="20"/>
      <c r="L323" s="20"/>
      <c r="N323" s="25">
        <f>COUNTIF($A$29:A323,"x")</f>
        <v>11</v>
      </c>
      <c r="O323" s="25">
        <f ca="1">'Validacao(1)'!BB308</f>
        <v>0</v>
      </c>
      <c r="P323" s="25">
        <f ca="1">'Validacao(2)'!BB308</f>
        <v>0</v>
      </c>
      <c r="Q323" s="25"/>
      <c r="R323" s="25"/>
      <c r="S323" s="25"/>
      <c r="T323" s="25"/>
      <c r="U323" s="25"/>
      <c r="V323" s="25"/>
      <c r="W323" s="25"/>
      <c r="X323" s="449"/>
      <c r="Y323" s="449"/>
      <c r="Z323" s="449"/>
      <c r="AA323" s="20"/>
    </row>
    <row r="324" spans="1:27" s="2" customFormat="1" ht="20.100000000000001" customHeight="1" outlineLevel="1" x14ac:dyDescent="0.25">
      <c r="A324" s="446"/>
      <c r="B324" s="1"/>
      <c r="C324" s="1"/>
      <c r="D324" s="1"/>
      <c r="E324" s="1"/>
      <c r="F324" s="447" t="s">
        <v>6750</v>
      </c>
      <c r="G324" s="450" t="str">
        <f>'Validacao(1)'!BC309</f>
        <v>Não foi preenchido se foi conduzido teste preliminar</v>
      </c>
      <c r="H324" s="456" t="str">
        <f t="shared" ca="1" si="12"/>
        <v/>
      </c>
      <c r="I324" s="456" t="str">
        <f t="shared" ca="1" si="13"/>
        <v/>
      </c>
      <c r="J324" s="419"/>
      <c r="K324" s="20"/>
      <c r="L324" s="20"/>
      <c r="N324" s="25">
        <f>COUNTIF($A$29:A324,"x")</f>
        <v>11</v>
      </c>
      <c r="O324" s="25">
        <f ca="1">'Validacao(1)'!BB309</f>
        <v>0</v>
      </c>
      <c r="P324" s="25">
        <f ca="1">'Validacao(2)'!BB309</f>
        <v>0</v>
      </c>
      <c r="Q324" s="25"/>
      <c r="R324" s="25"/>
      <c r="S324" s="25"/>
      <c r="T324" s="25"/>
      <c r="U324" s="25"/>
      <c r="V324" s="25"/>
      <c r="W324" s="25"/>
      <c r="X324" s="449"/>
      <c r="Y324" s="449"/>
      <c r="Z324" s="449"/>
      <c r="AA324" s="20"/>
    </row>
    <row r="325" spans="1:27" s="2" customFormat="1" ht="20.100000000000001" customHeight="1" outlineLevel="1" x14ac:dyDescent="0.25">
      <c r="A325" s="446"/>
      <c r="B325" s="1"/>
      <c r="C325" s="1"/>
      <c r="D325" s="1"/>
      <c r="E325" s="1"/>
      <c r="F325" s="447" t="s">
        <v>6751</v>
      </c>
      <c r="G325" s="450" t="str">
        <f>'Validacao(1)'!BC310</f>
        <v>Não foi preenchido o número de animais para alguma das doses</v>
      </c>
      <c r="H325" s="456" t="str">
        <f t="shared" ca="1" si="12"/>
        <v/>
      </c>
      <c r="I325" s="456" t="str">
        <f t="shared" ca="1" si="13"/>
        <v/>
      </c>
      <c r="J325" s="419"/>
      <c r="K325" s="20"/>
      <c r="L325" s="20"/>
      <c r="N325" s="25">
        <f>COUNTIF($A$29:A325,"x")</f>
        <v>11</v>
      </c>
      <c r="O325" s="25">
        <f ca="1">'Validacao(1)'!BB310</f>
        <v>0</v>
      </c>
      <c r="P325" s="25">
        <f ca="1">'Validacao(2)'!BB310</f>
        <v>0</v>
      </c>
      <c r="Q325" s="25"/>
      <c r="R325" s="25"/>
      <c r="S325" s="25"/>
      <c r="T325" s="25"/>
      <c r="U325" s="25"/>
      <c r="V325" s="25"/>
      <c r="W325" s="25"/>
      <c r="X325" s="449"/>
      <c r="Y325" s="449"/>
      <c r="Z325" s="449"/>
      <c r="AA325" s="20"/>
    </row>
    <row r="326" spans="1:27" s="2" customFormat="1" ht="20.100000000000001" customHeight="1" outlineLevel="1" x14ac:dyDescent="0.25">
      <c r="A326" s="446"/>
      <c r="B326" s="1"/>
      <c r="C326" s="1"/>
      <c r="D326" s="1"/>
      <c r="E326" s="1"/>
      <c r="F326" s="447" t="s">
        <v>6752</v>
      </c>
      <c r="G326" s="450" t="str">
        <f>'Validacao(1)'!BC311</f>
        <v>Não foi preenchido o teste de solubilidade</v>
      </c>
      <c r="H326" s="456" t="str">
        <f t="shared" ca="1" si="12"/>
        <v/>
      </c>
      <c r="I326" s="456" t="str">
        <f t="shared" ca="1" si="13"/>
        <v/>
      </c>
      <c r="J326" s="419"/>
      <c r="K326" s="20"/>
      <c r="L326" s="20"/>
      <c r="N326" s="25">
        <f>COUNTIF($A$29:A326,"x")</f>
        <v>11</v>
      </c>
      <c r="O326" s="25">
        <f ca="1">'Validacao(1)'!BB311</f>
        <v>0</v>
      </c>
      <c r="P326" s="25">
        <f ca="1">'Validacao(2)'!BB311</f>
        <v>0</v>
      </c>
      <c r="Q326" s="25"/>
      <c r="R326" s="25"/>
      <c r="S326" s="25"/>
      <c r="T326" s="25"/>
      <c r="U326" s="25"/>
      <c r="V326" s="25"/>
      <c r="W326" s="25"/>
      <c r="X326" s="449"/>
      <c r="Y326" s="449"/>
      <c r="Z326" s="449"/>
      <c r="AA326" s="20"/>
    </row>
    <row r="327" spans="1:27" s="2" customFormat="1" ht="20.100000000000001" customHeight="1" outlineLevel="1" x14ac:dyDescent="0.25">
      <c r="A327" s="446"/>
      <c r="B327" s="1"/>
      <c r="C327" s="1"/>
      <c r="D327" s="1"/>
      <c r="E327" s="1"/>
      <c r="F327" s="447" t="s">
        <v>6753</v>
      </c>
      <c r="G327" s="450" t="str">
        <f>'Validacao(1)'!BC312</f>
        <v>Não foi preenchido se houve aumento da espessura de orelha (teste preliminar)</v>
      </c>
      <c r="H327" s="456" t="str">
        <f t="shared" ca="1" si="12"/>
        <v/>
      </c>
      <c r="I327" s="456" t="str">
        <f t="shared" ca="1" si="13"/>
        <v/>
      </c>
      <c r="J327" s="419"/>
      <c r="K327" s="20"/>
      <c r="L327" s="20"/>
      <c r="N327" s="25">
        <f>COUNTIF($A$29:A327,"x")</f>
        <v>11</v>
      </c>
      <c r="O327" s="25">
        <f ca="1">'Validacao(1)'!BB312</f>
        <v>0</v>
      </c>
      <c r="P327" s="25">
        <f ca="1">'Validacao(2)'!BB312</f>
        <v>0</v>
      </c>
      <c r="Q327" s="25"/>
      <c r="R327" s="25"/>
      <c r="S327" s="25"/>
      <c r="T327" s="25"/>
      <c r="U327" s="25"/>
      <c r="V327" s="25"/>
      <c r="W327" s="25"/>
      <c r="X327" s="449"/>
      <c r="Y327" s="449"/>
      <c r="Z327" s="449"/>
      <c r="AA327" s="20"/>
    </row>
    <row r="328" spans="1:27" s="2" customFormat="1" ht="20.100000000000001" customHeight="1" outlineLevel="1" x14ac:dyDescent="0.25">
      <c r="A328" s="446"/>
      <c r="B328" s="1"/>
      <c r="C328" s="1"/>
      <c r="D328" s="1"/>
      <c r="E328" s="1"/>
      <c r="F328" s="447" t="s">
        <v>6754</v>
      </c>
      <c r="G328" s="450" t="str">
        <f>'Validacao(1)'!BC313</f>
        <v>Não foi preenchido se houve aumento eritema superior a 3 (teste preliminar)</v>
      </c>
      <c r="H328" s="456" t="str">
        <f t="shared" ca="1" si="12"/>
        <v/>
      </c>
      <c r="I328" s="456" t="str">
        <f t="shared" ca="1" si="13"/>
        <v/>
      </c>
      <c r="J328" s="419"/>
      <c r="K328" s="20"/>
      <c r="L328" s="20"/>
      <c r="N328" s="25">
        <f>COUNTIF($A$29:A328,"x")</f>
        <v>11</v>
      </c>
      <c r="O328" s="25">
        <f ca="1">'Validacao(1)'!BB313</f>
        <v>0</v>
      </c>
      <c r="P328" s="25">
        <f ca="1">'Validacao(2)'!BB313</f>
        <v>0</v>
      </c>
      <c r="Q328" s="25"/>
      <c r="R328" s="25"/>
      <c r="S328" s="25"/>
      <c r="T328" s="25"/>
      <c r="U328" s="25"/>
      <c r="V328" s="25"/>
      <c r="W328" s="25"/>
      <c r="X328" s="449"/>
      <c r="Y328" s="449"/>
      <c r="Z328" s="449"/>
      <c r="AA328" s="20"/>
    </row>
    <row r="329" spans="1:27" s="2" customFormat="1" ht="20.100000000000001" customHeight="1" outlineLevel="1" x14ac:dyDescent="0.25">
      <c r="A329" s="446"/>
      <c r="B329" s="1"/>
      <c r="C329" s="1"/>
      <c r="D329" s="1"/>
      <c r="E329" s="1"/>
      <c r="F329" s="447" t="s">
        <v>6755</v>
      </c>
      <c r="G329" s="450" t="str">
        <f>'Validacao(1)'!BC314</f>
        <v>Não foi preenchido o resultado do teste preliminar</v>
      </c>
      <c r="H329" s="456" t="str">
        <f t="shared" ca="1" si="12"/>
        <v/>
      </c>
      <c r="I329" s="456" t="str">
        <f t="shared" ca="1" si="13"/>
        <v/>
      </c>
      <c r="J329" s="419"/>
      <c r="K329" s="20"/>
      <c r="L329" s="20"/>
      <c r="N329" s="25">
        <f>COUNTIF($A$29:A329,"x")</f>
        <v>11</v>
      </c>
      <c r="O329" s="25">
        <f ca="1">'Validacao(1)'!BB314</f>
        <v>0</v>
      </c>
      <c r="P329" s="25">
        <f ca="1">'Validacao(2)'!BB314</f>
        <v>0</v>
      </c>
      <c r="Q329" s="25"/>
      <c r="R329" s="25"/>
      <c r="S329" s="25"/>
      <c r="T329" s="25"/>
      <c r="U329" s="25"/>
      <c r="V329" s="25"/>
      <c r="W329" s="25"/>
      <c r="X329" s="449"/>
      <c r="Y329" s="449"/>
      <c r="Z329" s="449"/>
      <c r="AA329" s="20"/>
    </row>
    <row r="330" spans="1:27" s="2" customFormat="1" ht="20.100000000000001" customHeight="1" outlineLevel="1" x14ac:dyDescent="0.25">
      <c r="A330" s="446"/>
      <c r="B330" s="1"/>
      <c r="C330" s="1"/>
      <c r="D330" s="1"/>
      <c r="E330" s="1"/>
      <c r="F330" s="447" t="s">
        <v>6756</v>
      </c>
      <c r="G330" s="450" t="str">
        <f>'Validacao(1)'!BC315</f>
        <v>Não foi preenchido o tipo de abordagem do teste definitivo</v>
      </c>
      <c r="H330" s="456" t="str">
        <f t="shared" ca="1" si="12"/>
        <v/>
      </c>
      <c r="I330" s="456" t="str">
        <f t="shared" ca="1" si="13"/>
        <v/>
      </c>
      <c r="J330" s="419"/>
      <c r="K330" s="20"/>
      <c r="L330" s="20"/>
      <c r="N330" s="25">
        <f>COUNTIF($A$29:A330,"x")</f>
        <v>11</v>
      </c>
      <c r="O330" s="25">
        <f ca="1">'Validacao(1)'!BB315</f>
        <v>0</v>
      </c>
      <c r="P330" s="25">
        <f ca="1">'Validacao(2)'!BB315</f>
        <v>0</v>
      </c>
      <c r="Q330" s="25"/>
      <c r="R330" s="25"/>
      <c r="S330" s="25"/>
      <c r="T330" s="25"/>
      <c r="U330" s="25"/>
      <c r="V330" s="25"/>
      <c r="W330" s="25"/>
      <c r="X330" s="449"/>
      <c r="Y330" s="449"/>
      <c r="Z330" s="449"/>
      <c r="AA330" s="20"/>
    </row>
    <row r="331" spans="1:27" s="2" customFormat="1" ht="20.100000000000001" customHeight="1" outlineLevel="1" x14ac:dyDescent="0.25">
      <c r="A331" s="446"/>
      <c r="B331" s="1"/>
      <c r="C331" s="1"/>
      <c r="D331" s="1"/>
      <c r="E331" s="1"/>
      <c r="F331" s="447" t="s">
        <v>6757</v>
      </c>
      <c r="G331" s="450" t="str">
        <f>'Validacao(1)'!BC316</f>
        <v>Não foi preenchido o sexo dos animais do teste definitivo</v>
      </c>
      <c r="H331" s="456" t="str">
        <f t="shared" ca="1" si="12"/>
        <v/>
      </c>
      <c r="I331" s="456" t="str">
        <f t="shared" ca="1" si="13"/>
        <v/>
      </c>
      <c r="J331" s="419"/>
      <c r="K331" s="20"/>
      <c r="L331" s="20"/>
      <c r="N331" s="25">
        <f>COUNTIF($A$29:A331,"x")</f>
        <v>11</v>
      </c>
      <c r="O331" s="25">
        <f ca="1">'Validacao(1)'!BB316</f>
        <v>0</v>
      </c>
      <c r="P331" s="25">
        <f ca="1">'Validacao(2)'!BB316</f>
        <v>0</v>
      </c>
      <c r="Q331" s="25"/>
      <c r="R331" s="25"/>
      <c r="S331" s="25"/>
      <c r="T331" s="25"/>
      <c r="U331" s="25"/>
      <c r="V331" s="25"/>
      <c r="W331" s="25"/>
      <c r="X331" s="449"/>
      <c r="Y331" s="449"/>
      <c r="Z331" s="449"/>
      <c r="AA331" s="20"/>
    </row>
    <row r="332" spans="1:27" s="2" customFormat="1" ht="20.100000000000001" customHeight="1" outlineLevel="1" x14ac:dyDescent="0.25">
      <c r="A332" s="446"/>
      <c r="B332" s="1"/>
      <c r="C332" s="1"/>
      <c r="D332" s="1"/>
      <c r="E332" s="1"/>
      <c r="F332" s="447" t="s">
        <v>6758</v>
      </c>
      <c r="G332" s="450" t="str">
        <f>'Validacao(1)'!BC317</f>
        <v>Não foram preenchidos os resultados do teste definitivo</v>
      </c>
      <c r="H332" s="456" t="str">
        <f t="shared" ca="1" si="12"/>
        <v/>
      </c>
      <c r="I332" s="456" t="str">
        <f t="shared" ca="1" si="13"/>
        <v/>
      </c>
      <c r="J332" s="419"/>
      <c r="K332" s="20"/>
      <c r="L332" s="20"/>
      <c r="N332" s="25">
        <f>COUNTIF($A$29:A332,"x")</f>
        <v>11</v>
      </c>
      <c r="O332" s="25">
        <f ca="1">'Validacao(1)'!BB317</f>
        <v>0</v>
      </c>
      <c r="P332" s="25">
        <f ca="1">'Validacao(2)'!BB317</f>
        <v>0</v>
      </c>
      <c r="Q332" s="25"/>
      <c r="R332" s="25"/>
      <c r="S332" s="25"/>
      <c r="T332" s="25"/>
      <c r="U332" s="25"/>
      <c r="V332" s="25"/>
      <c r="W332" s="25"/>
      <c r="X332" s="449"/>
      <c r="Y332" s="449"/>
      <c r="Z332" s="449"/>
      <c r="AA332" s="20"/>
    </row>
    <row r="333" spans="1:27" s="2" customFormat="1" ht="20.100000000000001" customHeight="1" outlineLevel="1" x14ac:dyDescent="0.25">
      <c r="A333" s="446"/>
      <c r="B333" s="1"/>
      <c r="C333" s="1"/>
      <c r="D333" s="1"/>
      <c r="E333" s="1"/>
      <c r="F333" s="447" t="s">
        <v>6759</v>
      </c>
      <c r="G333" s="450" t="str">
        <f>'Validacao(1)'!BC318</f>
        <v>Não foi preenchido se houve desvio ao protocolo</v>
      </c>
      <c r="H333" s="456" t="str">
        <f t="shared" ca="1" si="12"/>
        <v/>
      </c>
      <c r="I333" s="456" t="str">
        <f t="shared" ca="1" si="13"/>
        <v/>
      </c>
      <c r="J333" s="419"/>
      <c r="K333" s="20"/>
      <c r="L333" s="20"/>
      <c r="N333" s="25">
        <f>COUNTIF($A$29:A333,"x")</f>
        <v>11</v>
      </c>
      <c r="O333" s="25">
        <f ca="1">'Validacao(1)'!BB318</f>
        <v>0</v>
      </c>
      <c r="P333" s="25">
        <f ca="1">'Validacao(2)'!BB318</f>
        <v>0</v>
      </c>
      <c r="Q333" s="25"/>
      <c r="R333" s="25"/>
      <c r="S333" s="25"/>
      <c r="T333" s="25"/>
      <c r="U333" s="25"/>
      <c r="V333" s="25"/>
      <c r="W333" s="25"/>
      <c r="X333" s="449"/>
      <c r="Y333" s="449"/>
      <c r="Z333" s="449"/>
      <c r="AA333" s="20"/>
    </row>
    <row r="334" spans="1:27" s="2" customFormat="1" ht="20.100000000000001" customHeight="1" outlineLevel="1" x14ac:dyDescent="0.25">
      <c r="A334" s="446"/>
      <c r="B334" s="1"/>
      <c r="C334" s="1"/>
      <c r="D334" s="1"/>
      <c r="E334" s="1"/>
      <c r="F334" s="447" t="s">
        <v>6760</v>
      </c>
      <c r="G334" s="450" t="str">
        <f>'Validacao(1)'!BC319</f>
        <v>Não foi preenchida a conclusão</v>
      </c>
      <c r="H334" s="456" t="str">
        <f t="shared" ca="1" si="12"/>
        <v/>
      </c>
      <c r="I334" s="456" t="str">
        <f t="shared" ca="1" si="13"/>
        <v/>
      </c>
      <c r="J334" s="419"/>
      <c r="K334" s="20"/>
      <c r="L334" s="20"/>
      <c r="N334" s="25">
        <f>COUNTIF($A$29:A334,"x")</f>
        <v>11</v>
      </c>
      <c r="O334" s="25">
        <f ca="1">'Validacao(1)'!BB319</f>
        <v>0</v>
      </c>
      <c r="P334" s="25">
        <f ca="1">'Validacao(2)'!BB319</f>
        <v>0</v>
      </c>
      <c r="Q334" s="25"/>
      <c r="R334" s="25"/>
      <c r="S334" s="25"/>
      <c r="T334" s="25"/>
      <c r="U334" s="25"/>
      <c r="V334" s="25"/>
      <c r="W334" s="25"/>
      <c r="X334" s="449"/>
      <c r="Y334" s="449"/>
      <c r="Z334" s="449"/>
      <c r="AA334" s="20"/>
    </row>
    <row r="335" spans="1:27" s="2" customFormat="1" ht="20.100000000000001" customHeight="1" outlineLevel="1" x14ac:dyDescent="0.25">
      <c r="A335" s="446"/>
      <c r="B335" s="1"/>
      <c r="C335" s="1"/>
      <c r="D335" s="1"/>
      <c r="E335" s="1"/>
      <c r="F335" s="447" t="s">
        <v>6761</v>
      </c>
      <c r="G335" s="450" t="str">
        <f>'Validacao(1)'!BC320</f>
        <v>Estudo conduzido em laboratório sem BPL</v>
      </c>
      <c r="H335" s="456" t="str">
        <f t="shared" ca="1" si="12"/>
        <v/>
      </c>
      <c r="I335" s="456" t="str">
        <f t="shared" ca="1" si="13"/>
        <v/>
      </c>
      <c r="J335" s="419"/>
      <c r="K335" s="20"/>
      <c r="L335" s="20"/>
      <c r="N335" s="25">
        <f>COUNTIF($A$29:A335,"x")</f>
        <v>11</v>
      </c>
      <c r="O335" s="25">
        <f ca="1">'Validacao(1)'!BB320</f>
        <v>0</v>
      </c>
      <c r="P335" s="25">
        <f ca="1">'Validacao(2)'!BB320</f>
        <v>0</v>
      </c>
      <c r="Q335" s="25"/>
      <c r="R335" s="25"/>
      <c r="S335" s="25"/>
      <c r="T335" s="25"/>
      <c r="U335" s="25"/>
      <c r="V335" s="25"/>
      <c r="W335" s="25"/>
      <c r="X335" s="449"/>
      <c r="Y335" s="449"/>
      <c r="Z335" s="449"/>
      <c r="AA335" s="20"/>
    </row>
    <row r="336" spans="1:27" s="2" customFormat="1" ht="20.100000000000001" customHeight="1" outlineLevel="1" x14ac:dyDescent="0.25">
      <c r="A336" s="446"/>
      <c r="B336" s="1"/>
      <c r="C336" s="1"/>
      <c r="D336" s="1"/>
      <c r="E336" s="1"/>
      <c r="F336" s="447" t="s">
        <v>6762</v>
      </c>
      <c r="G336" s="450" t="str">
        <f>'Validacao(1)'!BC321</f>
        <v>Estudo sem controle positivo e sem teste de confiabilidade</v>
      </c>
      <c r="H336" s="456" t="str">
        <f t="shared" ca="1" si="12"/>
        <v/>
      </c>
      <c r="I336" s="456" t="str">
        <f t="shared" ca="1" si="13"/>
        <v/>
      </c>
      <c r="J336" s="419"/>
      <c r="K336" s="20"/>
      <c r="L336" s="20"/>
      <c r="N336" s="25">
        <f>COUNTIF($A$29:A336,"x")</f>
        <v>11</v>
      </c>
      <c r="O336" s="25">
        <f ca="1">'Validacao(1)'!BB321</f>
        <v>0</v>
      </c>
      <c r="P336" s="25">
        <f ca="1">'Validacao(2)'!BB321</f>
        <v>0</v>
      </c>
      <c r="Q336" s="25"/>
      <c r="R336" s="25"/>
      <c r="S336" s="25"/>
      <c r="T336" s="25"/>
      <c r="U336" s="25"/>
      <c r="V336" s="25"/>
      <c r="W336" s="25"/>
      <c r="X336" s="449"/>
      <c r="Y336" s="449"/>
      <c r="Z336" s="449"/>
      <c r="AA336" s="20"/>
    </row>
    <row r="337" spans="1:27" s="2" customFormat="1" ht="20.100000000000001" customHeight="1" outlineLevel="1" x14ac:dyDescent="0.25">
      <c r="A337" s="446"/>
      <c r="B337" s="1"/>
      <c r="C337" s="1"/>
      <c r="D337" s="1"/>
      <c r="E337" s="1"/>
      <c r="F337" s="447" t="s">
        <v>6763</v>
      </c>
      <c r="G337" s="450" t="str">
        <f>'Validacao(1)'!BC322</f>
        <v>Teste de confiabilidade realizado há mais de 6 meses</v>
      </c>
      <c r="H337" s="456" t="str">
        <f t="shared" ca="1" si="12"/>
        <v/>
      </c>
      <c r="I337" s="456" t="str">
        <f t="shared" ca="1" si="13"/>
        <v/>
      </c>
      <c r="J337" s="419"/>
      <c r="K337" s="20"/>
      <c r="L337" s="20"/>
      <c r="N337" s="25">
        <f>COUNTIF($A$29:A337,"x")</f>
        <v>11</v>
      </c>
      <c r="O337" s="25">
        <f ca="1">'Validacao(1)'!BB322</f>
        <v>0</v>
      </c>
      <c r="P337" s="25">
        <f ca="1">'Validacao(2)'!BB322</f>
        <v>0</v>
      </c>
      <c r="Q337" s="25"/>
      <c r="R337" s="25"/>
      <c r="S337" s="25"/>
      <c r="T337" s="25"/>
      <c r="U337" s="25"/>
      <c r="V337" s="25"/>
      <c r="W337" s="25"/>
      <c r="X337" s="449"/>
      <c r="Y337" s="449"/>
      <c r="Z337" s="449"/>
      <c r="AA337" s="20"/>
    </row>
    <row r="338" spans="1:27" s="2" customFormat="1" ht="20.100000000000001" customHeight="1" outlineLevel="1" x14ac:dyDescent="0.25">
      <c r="A338" s="446"/>
      <c r="B338" s="1"/>
      <c r="C338" s="1"/>
      <c r="D338" s="1"/>
      <c r="E338" s="1"/>
      <c r="F338" s="447" t="s">
        <v>6764</v>
      </c>
      <c r="G338" s="450" t="str">
        <f>'Validacao(1)'!BC323</f>
        <v>Teste de confiabilidade realizado após a conclusão do estudo</v>
      </c>
      <c r="H338" s="456" t="str">
        <f t="shared" ca="1" si="12"/>
        <v/>
      </c>
      <c r="I338" s="456" t="str">
        <f t="shared" ca="1" si="13"/>
        <v/>
      </c>
      <c r="J338" s="419"/>
      <c r="K338" s="20"/>
      <c r="L338" s="20"/>
      <c r="N338" s="25">
        <f>COUNTIF($A$29:A338,"x")</f>
        <v>11</v>
      </c>
      <c r="O338" s="25">
        <f ca="1">'Validacao(1)'!BB323</f>
        <v>0</v>
      </c>
      <c r="P338" s="25">
        <f ca="1">'Validacao(2)'!BB323</f>
        <v>0</v>
      </c>
      <c r="Q338" s="25"/>
      <c r="R338" s="25"/>
      <c r="S338" s="25"/>
      <c r="T338" s="25"/>
      <c r="U338" s="25"/>
      <c r="V338" s="25"/>
      <c r="W338" s="25"/>
      <c r="X338" s="449"/>
      <c r="Y338" s="449"/>
      <c r="Z338" s="449"/>
      <c r="AA338" s="20"/>
    </row>
    <row r="339" spans="1:27" s="2" customFormat="1" ht="20.100000000000001" customHeight="1" outlineLevel="1" x14ac:dyDescent="0.25">
      <c r="A339" s="446"/>
      <c r="B339" s="1"/>
      <c r="C339" s="1"/>
      <c r="D339" s="1"/>
      <c r="E339" s="1"/>
      <c r="F339" s="447" t="s">
        <v>6765</v>
      </c>
      <c r="G339" s="450" t="str">
        <f>'Validacao(1)'!BC324</f>
        <v>A substância não foi testada a 100% no teste preliminar (líquido)</v>
      </c>
      <c r="H339" s="456" t="str">
        <f t="shared" ca="1" si="12"/>
        <v/>
      </c>
      <c r="I339" s="456" t="str">
        <f t="shared" ca="1" si="13"/>
        <v/>
      </c>
      <c r="J339" s="419"/>
      <c r="K339" s="20"/>
      <c r="L339" s="20"/>
      <c r="N339" s="25">
        <f>COUNTIF($A$29:A339,"x")</f>
        <v>11</v>
      </c>
      <c r="O339" s="25">
        <f ca="1">'Validacao(1)'!BB324</f>
        <v>0</v>
      </c>
      <c r="P339" s="25">
        <f ca="1">'Validacao(2)'!BB324</f>
        <v>0</v>
      </c>
      <c r="Q339" s="25"/>
      <c r="R339" s="25"/>
      <c r="S339" s="25"/>
      <c r="T339" s="25"/>
      <c r="U339" s="25"/>
      <c r="V339" s="25"/>
      <c r="W339" s="25"/>
      <c r="X339" s="449"/>
      <c r="Y339" s="449"/>
      <c r="Z339" s="449"/>
      <c r="AA339" s="20"/>
    </row>
    <row r="340" spans="1:27" s="2" customFormat="1" ht="20.100000000000001" customHeight="1" outlineLevel="1" x14ac:dyDescent="0.25">
      <c r="A340" s="446"/>
      <c r="B340" s="1"/>
      <c r="C340" s="1"/>
      <c r="D340" s="1"/>
      <c r="E340" s="1"/>
      <c r="F340" s="447" t="s">
        <v>6766</v>
      </c>
      <c r="G340" s="450" t="str">
        <f>'Validacao(1)'!BC325</f>
        <v>Houve animal com espessura da orelha maior ou igual a 25% (preliminar)</v>
      </c>
      <c r="H340" s="456" t="str">
        <f t="shared" ca="1" si="12"/>
        <v/>
      </c>
      <c r="I340" s="456" t="str">
        <f t="shared" ca="1" si="13"/>
        <v/>
      </c>
      <c r="J340" s="419"/>
      <c r="K340" s="20"/>
      <c r="L340" s="20"/>
      <c r="N340" s="25">
        <f>COUNTIF($A$29:A340,"x")</f>
        <v>11</v>
      </c>
      <c r="O340" s="25">
        <f ca="1">'Validacao(1)'!BB325</f>
        <v>0</v>
      </c>
      <c r="P340" s="25">
        <f ca="1">'Validacao(2)'!BB325</f>
        <v>0</v>
      </c>
      <c r="Q340" s="25"/>
      <c r="R340" s="25"/>
      <c r="S340" s="25"/>
      <c r="T340" s="25"/>
      <c r="U340" s="25"/>
      <c r="V340" s="25"/>
      <c r="W340" s="25"/>
      <c r="X340" s="449"/>
      <c r="Y340" s="449"/>
      <c r="Z340" s="449"/>
      <c r="AA340" s="20"/>
    </row>
    <row r="341" spans="1:27" s="2" customFormat="1" ht="20.100000000000001" customHeight="1" outlineLevel="1" x14ac:dyDescent="0.25">
      <c r="A341" s="446"/>
      <c r="B341" s="1"/>
      <c r="C341" s="1"/>
      <c r="D341" s="1"/>
      <c r="E341" s="1"/>
      <c r="F341" s="447" t="s">
        <v>6767</v>
      </c>
      <c r="G341" s="450" t="str">
        <f>'Validacao(1)'!BC326</f>
        <v>Houve animal com eritema maior ou igual a 3 (preliminar)</v>
      </c>
      <c r="H341" s="456" t="str">
        <f t="shared" ca="1" si="12"/>
        <v/>
      </c>
      <c r="I341" s="456" t="str">
        <f t="shared" ca="1" si="13"/>
        <v/>
      </c>
      <c r="J341" s="419"/>
      <c r="K341" s="20"/>
      <c r="L341" s="20"/>
      <c r="N341" s="25">
        <f>COUNTIF($A$29:A341,"x")</f>
        <v>11</v>
      </c>
      <c r="O341" s="25">
        <f ca="1">'Validacao(1)'!BB326</f>
        <v>0</v>
      </c>
      <c r="P341" s="25">
        <f ca="1">'Validacao(2)'!BB326</f>
        <v>0</v>
      </c>
      <c r="Q341" s="25"/>
      <c r="R341" s="25"/>
      <c r="S341" s="25"/>
      <c r="T341" s="25"/>
      <c r="U341" s="25"/>
      <c r="V341" s="25"/>
      <c r="W341" s="25"/>
      <c r="X341" s="449"/>
      <c r="Y341" s="449"/>
      <c r="Z341" s="449"/>
      <c r="AA341" s="20"/>
    </row>
    <row r="342" spans="1:27" s="2" customFormat="1" ht="20.100000000000001" customHeight="1" outlineLevel="1" x14ac:dyDescent="0.25">
      <c r="A342" s="446"/>
      <c r="B342" s="1"/>
      <c r="C342" s="1"/>
      <c r="D342" s="1"/>
      <c r="E342" s="1"/>
      <c r="F342" s="447" t="s">
        <v>6768</v>
      </c>
      <c r="G342" s="450" t="str">
        <f>'Validacao(1)'!BC327</f>
        <v>Controle positivo apresentou Índice de estimulação (SI) abaixo do valor de protocolo</v>
      </c>
      <c r="H342" s="456" t="str">
        <f t="shared" ca="1" si="12"/>
        <v/>
      </c>
      <c r="I342" s="456" t="str">
        <f t="shared" ca="1" si="13"/>
        <v/>
      </c>
      <c r="J342" s="419"/>
      <c r="K342" s="20"/>
      <c r="L342" s="20"/>
      <c r="N342" s="25">
        <f>COUNTIF($A$29:A342,"x")</f>
        <v>11</v>
      </c>
      <c r="O342" s="25">
        <f ca="1">'Validacao(1)'!BB327</f>
        <v>0</v>
      </c>
      <c r="P342" s="25">
        <f ca="1">'Validacao(2)'!BB327</f>
        <v>0</v>
      </c>
      <c r="Q342" s="25"/>
      <c r="R342" s="25"/>
      <c r="S342" s="25"/>
      <c r="T342" s="25"/>
      <c r="U342" s="25"/>
      <c r="V342" s="25"/>
      <c r="W342" s="25"/>
      <c r="X342" s="449"/>
      <c r="Y342" s="449"/>
      <c r="Z342" s="449"/>
      <c r="AA342" s="20"/>
    </row>
    <row r="343" spans="1:27" s="2" customFormat="1" ht="20.100000000000001" customHeight="1" outlineLevel="1" x14ac:dyDescent="0.25">
      <c r="A343" s="446"/>
      <c r="B343" s="1"/>
      <c r="C343" s="1"/>
      <c r="D343" s="1"/>
      <c r="E343" s="1"/>
      <c r="F343" s="447" t="s">
        <v>6769</v>
      </c>
      <c r="G343" s="450" t="str">
        <f>'Validacao(1)'!BC328</f>
        <v>A avaliação da espessura de orelha no teste preliminar foi informada como não relatada</v>
      </c>
      <c r="H343" s="456" t="str">
        <f t="shared" ca="1" si="12"/>
        <v/>
      </c>
      <c r="I343" s="456" t="str">
        <f t="shared" ca="1" si="13"/>
        <v/>
      </c>
      <c r="J343" s="419"/>
      <c r="K343" s="20"/>
      <c r="L343" s="20"/>
      <c r="N343" s="25">
        <f>COUNTIF($A$29:A343,"x")</f>
        <v>11</v>
      </c>
      <c r="O343" s="25">
        <f ca="1">'Validacao(1)'!BB328</f>
        <v>0</v>
      </c>
      <c r="P343" s="25">
        <f ca="1">'Validacao(2)'!BB328</f>
        <v>0</v>
      </c>
      <c r="Q343" s="25"/>
      <c r="R343" s="25"/>
      <c r="S343" s="25"/>
      <c r="T343" s="25"/>
      <c r="U343" s="25"/>
      <c r="V343" s="25"/>
      <c r="W343" s="25"/>
      <c r="X343" s="449"/>
      <c r="Y343" s="449"/>
      <c r="Z343" s="449"/>
      <c r="AA343" s="20"/>
    </row>
    <row r="344" spans="1:27" s="2" customFormat="1" ht="20.100000000000001" customHeight="1" outlineLevel="1" x14ac:dyDescent="0.25">
      <c r="A344" s="446"/>
      <c r="B344" s="1"/>
      <c r="C344" s="1"/>
      <c r="D344" s="1"/>
      <c r="E344" s="1"/>
      <c r="F344" s="447" t="s">
        <v>6770</v>
      </c>
      <c r="G344" s="450" t="str">
        <f>'Validacao(1)'!BC329</f>
        <v>A avaliação do eritema no teste preliminar foi informada como não relatada</v>
      </c>
      <c r="H344" s="456" t="str">
        <f t="shared" ref="H344:H362" ca="1" si="14">IF(O344=1,"x","")</f>
        <v/>
      </c>
      <c r="I344" s="456" t="str">
        <f t="shared" ref="I344:I362" ca="1" si="15">IF(P344=1,"x","")</f>
        <v/>
      </c>
      <c r="J344" s="419"/>
      <c r="K344" s="20"/>
      <c r="L344" s="20"/>
      <c r="N344" s="25">
        <f>COUNTIF($A$29:A344,"x")</f>
        <v>11</v>
      </c>
      <c r="O344" s="25">
        <f ca="1">'Validacao(1)'!BB329</f>
        <v>0</v>
      </c>
      <c r="P344" s="25">
        <f ca="1">'Validacao(2)'!BB329</f>
        <v>0</v>
      </c>
      <c r="Q344" s="25"/>
      <c r="R344" s="25"/>
      <c r="S344" s="25"/>
      <c r="T344" s="25"/>
      <c r="U344" s="25"/>
      <c r="V344" s="25"/>
      <c r="W344" s="25"/>
      <c r="X344" s="449"/>
      <c r="Y344" s="449"/>
      <c r="Z344" s="449"/>
      <c r="AA344" s="20"/>
    </row>
    <row r="345" spans="1:27" s="2" customFormat="1" ht="20.100000000000001" customHeight="1" outlineLevel="1" x14ac:dyDescent="0.25">
      <c r="A345" s="446"/>
      <c r="B345" s="1"/>
      <c r="C345" s="1"/>
      <c r="D345" s="1"/>
      <c r="E345" s="1"/>
      <c r="F345" s="447" t="s">
        <v>6771</v>
      </c>
      <c r="G345" s="450" t="str">
        <f>'Validacao(1)'!BC330</f>
        <v>Não foi realizado teste preliminar e a substância não foi testada a 100% no teste definitivo</v>
      </c>
      <c r="H345" s="456" t="str">
        <f t="shared" ca="1" si="14"/>
        <v/>
      </c>
      <c r="I345" s="456" t="str">
        <f t="shared" ca="1" si="15"/>
        <v/>
      </c>
      <c r="J345" s="419"/>
      <c r="K345" s="20"/>
      <c r="L345" s="20"/>
      <c r="N345" s="25">
        <f>COUNTIF($A$29:A345,"x")</f>
        <v>11</v>
      </c>
      <c r="O345" s="25">
        <f ca="1">'Validacao(1)'!BB330</f>
        <v>0</v>
      </c>
      <c r="P345" s="25">
        <f ca="1">'Validacao(2)'!BB330</f>
        <v>0</v>
      </c>
      <c r="Q345" s="25"/>
      <c r="R345" s="25"/>
      <c r="S345" s="25"/>
      <c r="T345" s="25"/>
      <c r="U345" s="25"/>
      <c r="V345" s="25"/>
      <c r="W345" s="25"/>
      <c r="X345" s="449"/>
      <c r="Y345" s="449"/>
      <c r="Z345" s="449"/>
      <c r="AA345" s="20"/>
    </row>
    <row r="346" spans="1:27" s="2" customFormat="1" ht="20.100000000000001" customHeight="1" outlineLevel="1" x14ac:dyDescent="0.25">
      <c r="A346" s="446"/>
      <c r="B346" s="1"/>
      <c r="C346" s="1"/>
      <c r="D346" s="1"/>
      <c r="E346" s="1"/>
      <c r="F346" s="447" t="s">
        <v>6772</v>
      </c>
      <c r="G346" s="450" t="str">
        <f>'Validacao(1)'!BC331</f>
        <v>Foram descritos desvios ao protocolo</v>
      </c>
      <c r="H346" s="456" t="str">
        <f t="shared" ca="1" si="14"/>
        <v/>
      </c>
      <c r="I346" s="456" t="str">
        <f t="shared" ca="1" si="15"/>
        <v/>
      </c>
      <c r="J346" s="419"/>
      <c r="K346" s="20"/>
      <c r="L346" s="20"/>
      <c r="N346" s="25">
        <f>COUNTIF($A$29:A346,"x")</f>
        <v>11</v>
      </c>
      <c r="O346" s="25">
        <f ca="1">'Validacao(1)'!BB331</f>
        <v>0</v>
      </c>
      <c r="P346" s="25">
        <f ca="1">'Validacao(2)'!BB331</f>
        <v>0</v>
      </c>
      <c r="Q346" s="25"/>
      <c r="R346" s="25"/>
      <c r="S346" s="25"/>
      <c r="T346" s="25"/>
      <c r="U346" s="25"/>
      <c r="V346" s="25"/>
      <c r="W346" s="25"/>
      <c r="X346" s="449"/>
      <c r="Y346" s="449"/>
      <c r="Z346" s="449"/>
      <c r="AA346" s="20"/>
    </row>
    <row r="347" spans="1:27" s="2" customFormat="1" ht="20.100000000000001" customHeight="1" outlineLevel="1" x14ac:dyDescent="0.25">
      <c r="A347" s="446"/>
      <c r="B347" s="1"/>
      <c r="C347" s="1"/>
      <c r="D347" s="1"/>
      <c r="E347" s="1"/>
      <c r="F347" s="447" t="s">
        <v>6773</v>
      </c>
      <c r="G347" s="450" t="str">
        <f>'Validacao(1)'!BC332</f>
        <v>Os desvios inteferiram nos resultados</v>
      </c>
      <c r="H347" s="456" t="str">
        <f t="shared" ca="1" si="14"/>
        <v/>
      </c>
      <c r="I347" s="456" t="str">
        <f t="shared" ca="1" si="15"/>
        <v/>
      </c>
      <c r="J347" s="419"/>
      <c r="K347" s="20"/>
      <c r="L347" s="20"/>
      <c r="N347" s="25">
        <f>COUNTIF($A$29:A347,"x")</f>
        <v>11</v>
      </c>
      <c r="O347" s="25">
        <f ca="1">'Validacao(1)'!BB332</f>
        <v>0</v>
      </c>
      <c r="P347" s="25">
        <f ca="1">'Validacao(2)'!BB332</f>
        <v>0</v>
      </c>
      <c r="Q347" s="25"/>
      <c r="R347" s="25"/>
      <c r="S347" s="25"/>
      <c r="T347" s="25"/>
      <c r="U347" s="25"/>
      <c r="V347" s="25"/>
      <c r="W347" s="25"/>
      <c r="X347" s="449"/>
      <c r="Y347" s="449"/>
      <c r="Z347" s="449"/>
      <c r="AA347" s="20"/>
    </row>
    <row r="348" spans="1:27" s="2" customFormat="1" ht="20.100000000000001" customHeight="1" outlineLevel="1" x14ac:dyDescent="0.25">
      <c r="A348" s="446"/>
      <c r="B348" s="1"/>
      <c r="C348" s="1"/>
      <c r="D348" s="1"/>
      <c r="E348" s="1"/>
      <c r="F348" s="447" t="s">
        <v>6774</v>
      </c>
      <c r="G348" s="450" t="str">
        <f>'Validacao(1)'!BC333</f>
        <v>O certificado não foi preenchido na aba "Certificados"</v>
      </c>
      <c r="H348" s="456" t="str">
        <f t="shared" ca="1" si="14"/>
        <v/>
      </c>
      <c r="I348" s="456" t="str">
        <f t="shared" ca="1" si="15"/>
        <v/>
      </c>
      <c r="J348" s="419"/>
      <c r="K348" s="20"/>
      <c r="L348" s="20"/>
      <c r="N348" s="25">
        <f>COUNTIF($A$29:A348,"x")</f>
        <v>11</v>
      </c>
      <c r="O348" s="25">
        <f ca="1">'Validacao(1)'!BB333</f>
        <v>0</v>
      </c>
      <c r="P348" s="25">
        <f ca="1">'Validacao(2)'!BB333</f>
        <v>0</v>
      </c>
      <c r="Q348" s="25"/>
      <c r="R348" s="25"/>
      <c r="S348" s="25"/>
      <c r="T348" s="25"/>
      <c r="U348" s="25"/>
      <c r="V348" s="25"/>
      <c r="W348" s="25"/>
      <c r="X348" s="449"/>
      <c r="Y348" s="449"/>
      <c r="Z348" s="449"/>
      <c r="AA348" s="20"/>
    </row>
    <row r="349" spans="1:27" s="2" customFormat="1" ht="20.100000000000001" customHeight="1" outlineLevel="1" x14ac:dyDescent="0.25">
      <c r="A349" s="446"/>
      <c r="B349" s="1"/>
      <c r="C349" s="1"/>
      <c r="D349" s="1"/>
      <c r="E349" s="1"/>
      <c r="F349" s="447" t="s">
        <v>6775</v>
      </c>
      <c r="G349" s="450" t="str">
        <f>'Validacao(1)'!BC334</f>
        <v>Estudo conduzido com amostra vencida</v>
      </c>
      <c r="H349" s="456" t="str">
        <f t="shared" ca="1" si="14"/>
        <v/>
      </c>
      <c r="I349" s="456" t="str">
        <f t="shared" ca="1" si="15"/>
        <v/>
      </c>
      <c r="J349" s="419"/>
      <c r="K349" s="20"/>
      <c r="L349" s="20"/>
      <c r="N349" s="25">
        <f>COUNTIF($A$29:A349,"x")</f>
        <v>11</v>
      </c>
      <c r="O349" s="25">
        <f ca="1">'Validacao(1)'!BB334</f>
        <v>0</v>
      </c>
      <c r="P349" s="25">
        <f ca="1">'Validacao(2)'!BB334</f>
        <v>0</v>
      </c>
      <c r="Q349" s="25"/>
      <c r="R349" s="25"/>
      <c r="S349" s="25"/>
      <c r="T349" s="25"/>
      <c r="U349" s="25"/>
      <c r="V349" s="25"/>
      <c r="W349" s="25"/>
      <c r="X349" s="449"/>
      <c r="Y349" s="449"/>
      <c r="Z349" s="449"/>
      <c r="AA349" s="20"/>
    </row>
    <row r="350" spans="1:27" s="2" customFormat="1" ht="20.100000000000001" customHeight="1" outlineLevel="1" x14ac:dyDescent="0.25">
      <c r="A350" s="446"/>
      <c r="B350" s="1"/>
      <c r="C350" s="1"/>
      <c r="D350" s="1"/>
      <c r="E350" s="1"/>
      <c r="F350" s="447" t="s">
        <v>6776</v>
      </c>
      <c r="G350" s="450" t="str">
        <f>'Validacao(1)'!BC335</f>
        <v>Estudo conduzido com amostra fora da DCQQ</v>
      </c>
      <c r="H350" s="456" t="str">
        <f t="shared" ca="1" si="14"/>
        <v/>
      </c>
      <c r="I350" s="456" t="str">
        <f t="shared" ca="1" si="15"/>
        <v/>
      </c>
      <c r="J350" s="419"/>
      <c r="K350" s="20"/>
      <c r="L350" s="20"/>
      <c r="N350" s="25">
        <f>COUNTIF($A$29:A350,"x")</f>
        <v>11</v>
      </c>
      <c r="O350" s="25">
        <f ca="1">'Validacao(1)'!BB335</f>
        <v>0</v>
      </c>
      <c r="P350" s="25">
        <f ca="1">'Validacao(2)'!BB335</f>
        <v>0</v>
      </c>
      <c r="Q350" s="25"/>
      <c r="R350" s="25"/>
      <c r="S350" s="25"/>
      <c r="T350" s="25"/>
      <c r="U350" s="25"/>
      <c r="V350" s="25"/>
      <c r="W350" s="25"/>
      <c r="X350" s="449"/>
      <c r="Y350" s="449"/>
      <c r="Z350" s="449"/>
      <c r="AA350" s="20"/>
    </row>
    <row r="351" spans="1:27" s="2" customFormat="1" ht="20.100000000000001" customHeight="1" outlineLevel="1" x14ac:dyDescent="0.25">
      <c r="A351" s="446"/>
      <c r="B351" s="1"/>
      <c r="C351" s="1"/>
      <c r="D351" s="1"/>
      <c r="E351" s="1"/>
      <c r="F351" s="447" t="s">
        <v>6777</v>
      </c>
      <c r="G351" s="450" t="str">
        <f>'Validacao(1)'!BC336</f>
        <v>A maior dose do teste definitivo não foi investigada no teste preliminar</v>
      </c>
      <c r="H351" s="456" t="str">
        <f t="shared" ca="1" si="14"/>
        <v/>
      </c>
      <c r="I351" s="456" t="str">
        <f t="shared" ca="1" si="15"/>
        <v/>
      </c>
      <c r="J351" s="419"/>
      <c r="K351" s="20"/>
      <c r="L351" s="20"/>
      <c r="N351" s="25">
        <f>COUNTIF($A$29:A351,"x")</f>
        <v>11</v>
      </c>
      <c r="O351" s="25">
        <f ca="1">'Validacao(1)'!BB336</f>
        <v>0</v>
      </c>
      <c r="P351" s="25">
        <f ca="1">'Validacao(2)'!BB336</f>
        <v>0</v>
      </c>
      <c r="Q351" s="25"/>
      <c r="R351" s="25"/>
      <c r="S351" s="25"/>
      <c r="T351" s="25"/>
      <c r="U351" s="25"/>
      <c r="V351" s="25"/>
      <c r="W351" s="25"/>
      <c r="X351" s="449"/>
      <c r="Y351" s="449"/>
      <c r="Z351" s="449"/>
      <c r="AA351" s="20"/>
    </row>
    <row r="352" spans="1:27" s="2" customFormat="1" ht="20.100000000000001" customHeight="1" outlineLevel="1" x14ac:dyDescent="0.25">
      <c r="A352" s="446"/>
      <c r="B352" s="1"/>
      <c r="C352" s="1"/>
      <c r="D352" s="1"/>
      <c r="E352" s="1"/>
      <c r="F352" s="447" t="s">
        <v>6778</v>
      </c>
      <c r="G352" s="450" t="str">
        <f>'Validacao(1)'!BC337</f>
        <v/>
      </c>
      <c r="H352" s="456" t="str">
        <f t="shared" si="14"/>
        <v/>
      </c>
      <c r="I352" s="456" t="str">
        <f t="shared" si="15"/>
        <v/>
      </c>
      <c r="J352" s="419"/>
      <c r="K352" s="20"/>
      <c r="L352" s="20"/>
      <c r="N352" s="25">
        <f>COUNTIF($A$29:A352,"x")</f>
        <v>11</v>
      </c>
      <c r="O352" s="25">
        <f>'Validacao(1)'!BB337</f>
        <v>0</v>
      </c>
      <c r="P352" s="25">
        <f>'Validacao(2)'!BB337</f>
        <v>0</v>
      </c>
      <c r="Q352" s="25"/>
      <c r="R352" s="25"/>
      <c r="S352" s="25"/>
      <c r="T352" s="25"/>
      <c r="U352" s="25"/>
      <c r="V352" s="25"/>
      <c r="W352" s="25"/>
      <c r="X352" s="449"/>
      <c r="Y352" s="449"/>
      <c r="Z352" s="449"/>
      <c r="AA352" s="20"/>
    </row>
    <row r="353" spans="1:27" s="2" customFormat="1" ht="20.100000000000001" customHeight="1" outlineLevel="1" x14ac:dyDescent="0.25">
      <c r="A353" s="446"/>
      <c r="B353" s="1"/>
      <c r="C353" s="1"/>
      <c r="D353" s="1"/>
      <c r="E353" s="1"/>
      <c r="F353" s="447" t="s">
        <v>6779</v>
      </c>
      <c r="G353" s="450" t="str">
        <f>'Validacao(1)'!BC338</f>
        <v/>
      </c>
      <c r="H353" s="456" t="str">
        <f t="shared" si="14"/>
        <v/>
      </c>
      <c r="I353" s="456" t="str">
        <f t="shared" si="15"/>
        <v/>
      </c>
      <c r="J353" s="419"/>
      <c r="K353" s="20"/>
      <c r="L353" s="20"/>
      <c r="N353" s="25">
        <f>COUNTIF($A$29:A353,"x")</f>
        <v>11</v>
      </c>
      <c r="O353" s="25">
        <f>'Validacao(1)'!BB338</f>
        <v>0</v>
      </c>
      <c r="P353" s="25">
        <f>'Validacao(2)'!BB338</f>
        <v>0</v>
      </c>
      <c r="Q353" s="25"/>
      <c r="R353" s="25"/>
      <c r="S353" s="25"/>
      <c r="T353" s="25"/>
      <c r="U353" s="25"/>
      <c r="V353" s="25"/>
      <c r="W353" s="25"/>
      <c r="X353" s="449"/>
      <c r="Y353" s="449"/>
      <c r="Z353" s="449"/>
      <c r="AA353" s="20"/>
    </row>
    <row r="354" spans="1:27" s="2" customFormat="1" ht="20.100000000000001" customHeight="1" outlineLevel="1" x14ac:dyDescent="0.25">
      <c r="A354" s="446"/>
      <c r="B354" s="1"/>
      <c r="C354" s="1"/>
      <c r="D354" s="1"/>
      <c r="E354" s="1"/>
      <c r="F354" s="447" t="s">
        <v>6780</v>
      </c>
      <c r="G354" s="450" t="str">
        <f>'Validacao(1)'!BC339</f>
        <v/>
      </c>
      <c r="H354" s="456" t="str">
        <f t="shared" si="14"/>
        <v/>
      </c>
      <c r="I354" s="456" t="str">
        <f t="shared" si="15"/>
        <v/>
      </c>
      <c r="J354" s="419"/>
      <c r="K354" s="20"/>
      <c r="L354" s="20"/>
      <c r="N354" s="25">
        <f>COUNTIF($A$29:A354,"x")</f>
        <v>11</v>
      </c>
      <c r="O354" s="25">
        <f>'Validacao(1)'!BB339</f>
        <v>0</v>
      </c>
      <c r="P354" s="25">
        <f>'Validacao(2)'!BB339</f>
        <v>0</v>
      </c>
      <c r="Q354" s="25"/>
      <c r="R354" s="25"/>
      <c r="S354" s="25"/>
      <c r="T354" s="25"/>
      <c r="U354" s="25"/>
      <c r="V354" s="25"/>
      <c r="W354" s="25"/>
      <c r="X354" s="449"/>
      <c r="Y354" s="449"/>
      <c r="Z354" s="449"/>
      <c r="AA354" s="20"/>
    </row>
    <row r="355" spans="1:27" s="2" customFormat="1" ht="20.100000000000001" customHeight="1" outlineLevel="1" x14ac:dyDescent="0.25">
      <c r="A355" s="446"/>
      <c r="B355" s="1"/>
      <c r="C355" s="1"/>
      <c r="D355" s="1"/>
      <c r="E355" s="1"/>
      <c r="F355" s="447" t="s">
        <v>6781</v>
      </c>
      <c r="G355" s="450" t="str">
        <f>'Validacao(1)'!BC340</f>
        <v/>
      </c>
      <c r="H355" s="456" t="str">
        <f t="shared" si="14"/>
        <v/>
      </c>
      <c r="I355" s="456" t="str">
        <f t="shared" si="15"/>
        <v/>
      </c>
      <c r="J355" s="419"/>
      <c r="K355" s="20"/>
      <c r="L355" s="20"/>
      <c r="N355" s="25">
        <f>COUNTIF($A$29:A355,"x")</f>
        <v>11</v>
      </c>
      <c r="O355" s="25">
        <f>'Validacao(1)'!BB340</f>
        <v>0</v>
      </c>
      <c r="P355" s="25">
        <f>'Validacao(2)'!BB340</f>
        <v>0</v>
      </c>
      <c r="Q355" s="25"/>
      <c r="R355" s="25"/>
      <c r="S355" s="25"/>
      <c r="T355" s="25"/>
      <c r="U355" s="25"/>
      <c r="V355" s="25"/>
      <c r="W355" s="25"/>
      <c r="X355" s="449"/>
      <c r="Y355" s="449"/>
      <c r="Z355" s="449"/>
      <c r="AA355" s="20"/>
    </row>
    <row r="356" spans="1:27" s="2" customFormat="1" ht="20.100000000000001" customHeight="1" outlineLevel="1" x14ac:dyDescent="0.25">
      <c r="A356" s="446"/>
      <c r="B356" s="1"/>
      <c r="C356" s="1"/>
      <c r="D356" s="1"/>
      <c r="E356" s="1"/>
      <c r="F356" s="447" t="s">
        <v>6782</v>
      </c>
      <c r="G356" s="450" t="str">
        <f>'Validacao(1)'!BC341</f>
        <v/>
      </c>
      <c r="H356" s="456" t="str">
        <f t="shared" si="14"/>
        <v/>
      </c>
      <c r="I356" s="456" t="str">
        <f t="shared" si="15"/>
        <v/>
      </c>
      <c r="J356" s="419"/>
      <c r="K356" s="20"/>
      <c r="L356" s="20"/>
      <c r="N356" s="25">
        <f>COUNTIF($A$29:A356,"x")</f>
        <v>11</v>
      </c>
      <c r="O356" s="25">
        <f>'Validacao(1)'!BB341</f>
        <v>0</v>
      </c>
      <c r="P356" s="25">
        <f>'Validacao(2)'!BB341</f>
        <v>0</v>
      </c>
      <c r="Q356" s="25"/>
      <c r="R356" s="25"/>
      <c r="S356" s="25"/>
      <c r="T356" s="25"/>
      <c r="U356" s="25"/>
      <c r="V356" s="25"/>
      <c r="W356" s="25"/>
      <c r="X356" s="449"/>
      <c r="Y356" s="449"/>
      <c r="Z356" s="449"/>
      <c r="AA356" s="20"/>
    </row>
    <row r="357" spans="1:27" s="2" customFormat="1" ht="20.100000000000001" customHeight="1" outlineLevel="1" x14ac:dyDescent="0.25">
      <c r="A357" s="446"/>
      <c r="B357" s="1"/>
      <c r="C357" s="1"/>
      <c r="D357" s="1"/>
      <c r="E357" s="1"/>
      <c r="F357" s="447" t="s">
        <v>6783</v>
      </c>
      <c r="G357" s="450" t="str">
        <f>'Validacao(1)'!BC342</f>
        <v/>
      </c>
      <c r="H357" s="456" t="str">
        <f t="shared" si="14"/>
        <v/>
      </c>
      <c r="I357" s="456" t="str">
        <f t="shared" si="15"/>
        <v/>
      </c>
      <c r="J357" s="419"/>
      <c r="K357" s="20"/>
      <c r="L357" s="20"/>
      <c r="N357" s="25">
        <f>COUNTIF($A$29:A357,"x")</f>
        <v>11</v>
      </c>
      <c r="O357" s="25">
        <f>'Validacao(1)'!BB342</f>
        <v>0</v>
      </c>
      <c r="P357" s="25">
        <f>'Validacao(2)'!BB342</f>
        <v>0</v>
      </c>
      <c r="Q357" s="25"/>
      <c r="R357" s="25"/>
      <c r="S357" s="25"/>
      <c r="T357" s="25"/>
      <c r="U357" s="25"/>
      <c r="V357" s="25"/>
      <c r="W357" s="25"/>
      <c r="X357" s="449"/>
      <c r="Y357" s="449"/>
      <c r="Z357" s="449"/>
      <c r="AA357" s="20"/>
    </row>
    <row r="358" spans="1:27" s="2" customFormat="1" ht="20.100000000000001" customHeight="1" outlineLevel="1" x14ac:dyDescent="0.25">
      <c r="A358" s="446"/>
      <c r="B358" s="1"/>
      <c r="C358" s="1"/>
      <c r="D358" s="1"/>
      <c r="E358" s="1"/>
      <c r="F358" s="447" t="s">
        <v>6784</v>
      </c>
      <c r="G358" s="450" t="str">
        <f>'Validacao(1)'!BC343</f>
        <v/>
      </c>
      <c r="H358" s="456" t="str">
        <f t="shared" si="14"/>
        <v/>
      </c>
      <c r="I358" s="456" t="str">
        <f t="shared" si="15"/>
        <v/>
      </c>
      <c r="J358" s="419"/>
      <c r="K358" s="20"/>
      <c r="L358" s="20"/>
      <c r="N358" s="25">
        <f>COUNTIF($A$29:A358,"x")</f>
        <v>11</v>
      </c>
      <c r="O358" s="25">
        <f>'Validacao(1)'!BB343</f>
        <v>0</v>
      </c>
      <c r="P358" s="25">
        <f>'Validacao(2)'!BB343</f>
        <v>0</v>
      </c>
      <c r="Q358" s="25"/>
      <c r="R358" s="25"/>
      <c r="S358" s="25"/>
      <c r="T358" s="25"/>
      <c r="U358" s="25"/>
      <c r="V358" s="25"/>
      <c r="W358" s="25"/>
      <c r="X358" s="449"/>
      <c r="Y358" s="449"/>
      <c r="Z358" s="449"/>
      <c r="AA358" s="20"/>
    </row>
    <row r="359" spans="1:27" s="2" customFormat="1" ht="20.100000000000001" customHeight="1" outlineLevel="1" x14ac:dyDescent="0.25">
      <c r="A359" s="446"/>
      <c r="B359" s="1"/>
      <c r="C359" s="1"/>
      <c r="D359" s="1"/>
      <c r="E359" s="1"/>
      <c r="F359" s="447" t="s">
        <v>6785</v>
      </c>
      <c r="G359" s="450" t="str">
        <f>'Validacao(1)'!BC344</f>
        <v/>
      </c>
      <c r="H359" s="456" t="str">
        <f t="shared" si="14"/>
        <v/>
      </c>
      <c r="I359" s="456" t="str">
        <f t="shared" si="15"/>
        <v/>
      </c>
      <c r="J359" s="419"/>
      <c r="K359" s="20"/>
      <c r="L359" s="20"/>
      <c r="N359" s="25">
        <f>COUNTIF($A$29:A359,"x")</f>
        <v>11</v>
      </c>
      <c r="O359" s="25">
        <f>'Validacao(1)'!BB344</f>
        <v>0</v>
      </c>
      <c r="P359" s="25">
        <f>'Validacao(2)'!BB344</f>
        <v>0</v>
      </c>
      <c r="Q359" s="25"/>
      <c r="R359" s="25"/>
      <c r="S359" s="25"/>
      <c r="T359" s="25"/>
      <c r="U359" s="25"/>
      <c r="V359" s="25"/>
      <c r="W359" s="25"/>
      <c r="X359" s="449"/>
      <c r="Y359" s="449"/>
      <c r="Z359" s="449"/>
      <c r="AA359" s="20"/>
    </row>
    <row r="360" spans="1:27" s="2" customFormat="1" ht="20.100000000000001" customHeight="1" outlineLevel="1" x14ac:dyDescent="0.25">
      <c r="A360" s="446"/>
      <c r="B360" s="1"/>
      <c r="C360" s="1"/>
      <c r="D360" s="1"/>
      <c r="E360" s="1"/>
      <c r="F360" s="447" t="s">
        <v>6786</v>
      </c>
      <c r="G360" s="450" t="str">
        <f>'Validacao(1)'!BC345</f>
        <v/>
      </c>
      <c r="H360" s="456" t="str">
        <f t="shared" si="14"/>
        <v/>
      </c>
      <c r="I360" s="456" t="str">
        <f t="shared" si="15"/>
        <v/>
      </c>
      <c r="J360" s="419"/>
      <c r="K360" s="20"/>
      <c r="L360" s="20"/>
      <c r="N360" s="25">
        <f>COUNTIF($A$29:A360,"x")</f>
        <v>11</v>
      </c>
      <c r="O360" s="25">
        <f>'Validacao(1)'!BB345</f>
        <v>0</v>
      </c>
      <c r="P360" s="25">
        <f>'Validacao(2)'!BB345</f>
        <v>0</v>
      </c>
      <c r="Q360" s="25"/>
      <c r="R360" s="25"/>
      <c r="S360" s="25"/>
      <c r="T360" s="25"/>
      <c r="U360" s="25"/>
      <c r="V360" s="25"/>
      <c r="W360" s="25"/>
      <c r="X360" s="449"/>
      <c r="Y360" s="449"/>
      <c r="Z360" s="449"/>
      <c r="AA360" s="20"/>
    </row>
    <row r="361" spans="1:27" s="2" customFormat="1" ht="20.100000000000001" customHeight="1" outlineLevel="1" x14ac:dyDescent="0.25">
      <c r="A361" s="446"/>
      <c r="B361" s="1"/>
      <c r="C361" s="1"/>
      <c r="D361" s="1"/>
      <c r="E361" s="1"/>
      <c r="F361" s="447" t="s">
        <v>6787</v>
      </c>
      <c r="G361" s="450" t="str">
        <f>'Validacao(1)'!BC346</f>
        <v/>
      </c>
      <c r="H361" s="456" t="str">
        <f t="shared" si="14"/>
        <v/>
      </c>
      <c r="I361" s="456" t="str">
        <f t="shared" si="15"/>
        <v/>
      </c>
      <c r="J361" s="419"/>
      <c r="K361" s="20"/>
      <c r="L361" s="20"/>
      <c r="N361" s="25">
        <f>COUNTIF($A$29:A361,"x")</f>
        <v>11</v>
      </c>
      <c r="O361" s="25">
        <f>'Validacao(1)'!BB346</f>
        <v>0</v>
      </c>
      <c r="P361" s="25">
        <f>'Validacao(2)'!BB346</f>
        <v>0</v>
      </c>
      <c r="Q361" s="25"/>
      <c r="R361" s="25"/>
      <c r="S361" s="25"/>
      <c r="T361" s="25"/>
      <c r="U361" s="25"/>
      <c r="V361" s="25"/>
      <c r="W361" s="25"/>
      <c r="X361" s="449"/>
      <c r="Y361" s="449"/>
      <c r="Z361" s="449"/>
      <c r="AA361" s="20"/>
    </row>
    <row r="362" spans="1:27" s="2" customFormat="1" ht="20.100000000000001" customHeight="1" outlineLevel="1" x14ac:dyDescent="0.25">
      <c r="A362" s="446"/>
      <c r="B362" s="1"/>
      <c r="C362" s="1"/>
      <c r="D362" s="1"/>
      <c r="E362" s="1"/>
      <c r="F362" s="447" t="s">
        <v>6788</v>
      </c>
      <c r="G362" s="450" t="str">
        <f>'Validacao(1)'!BC347</f>
        <v/>
      </c>
      <c r="H362" s="456" t="str">
        <f t="shared" si="14"/>
        <v/>
      </c>
      <c r="I362" s="456" t="str">
        <f t="shared" si="15"/>
        <v/>
      </c>
      <c r="J362" s="419"/>
      <c r="K362" s="20"/>
      <c r="L362" s="20"/>
      <c r="N362" s="25">
        <f>COUNTIF($A$29:A362,"x")</f>
        <v>11</v>
      </c>
      <c r="O362" s="25">
        <f>'Validacao(1)'!BB347</f>
        <v>0</v>
      </c>
      <c r="P362" s="25">
        <f>'Validacao(2)'!BB347</f>
        <v>0</v>
      </c>
      <c r="Q362" s="25"/>
      <c r="R362" s="25"/>
      <c r="S362" s="25"/>
      <c r="T362" s="25"/>
      <c r="U362" s="25"/>
      <c r="V362" s="25"/>
      <c r="W362" s="25"/>
      <c r="X362" s="449"/>
      <c r="Y362" s="449"/>
      <c r="Z362" s="449"/>
      <c r="AA362" s="20"/>
    </row>
    <row r="363" spans="1:27" s="2" customFormat="1" ht="30" customHeight="1" x14ac:dyDescent="0.25">
      <c r="A363" s="446" t="s">
        <v>8576</v>
      </c>
      <c r="B363" s="1"/>
      <c r="C363" s="1"/>
      <c r="D363" s="1"/>
      <c r="E363" s="1"/>
      <c r="F363" s="418"/>
      <c r="G363" s="453" t="str">
        <f ca="1">U363</f>
        <v>📂 (✓ ) Sensibilização cutânea - Buehler/Maximização</v>
      </c>
      <c r="H363" s="454" t="str">
        <f>HYPERLINK(Y363,$V$17)</f>
        <v>Estudo (1)</v>
      </c>
      <c r="I363" s="455" t="str">
        <f>HYPERLINK(Z363,$V$18)</f>
        <v>Estudo (2)</v>
      </c>
      <c r="J363" s="419"/>
      <c r="K363" s="20"/>
      <c r="L363" s="20"/>
      <c r="N363" s="442">
        <f>COUNTIF($A$29:A363,"x")</f>
        <v>12</v>
      </c>
      <c r="O363" s="442" t="s">
        <v>10</v>
      </c>
      <c r="P363" s="442" t="s">
        <v>10</v>
      </c>
      <c r="Q363" s="442">
        <f ca="1">SUMIF(N364:$N$633,N363,O364:$O$633)</f>
        <v>0</v>
      </c>
      <c r="R363" s="442">
        <f ca="1">SUMIF(N364:$N$633,N363,P364:$P$633)</f>
        <v>0</v>
      </c>
      <c r="S363" s="442">
        <f ca="1">Q363+R363</f>
        <v>0</v>
      </c>
      <c r="T363" s="443" t="s">
        <v>6329</v>
      </c>
      <c r="U363" s="443" t="str">
        <f ca="1">$T$4&amp;"("&amp; IF(S363=0,V$23,S363) &amp; ") " &amp; T363</f>
        <v>📂 (✓ ) Sensibilização cutânea - Buehler/Maximização</v>
      </c>
      <c r="V363" s="443" t="str">
        <f ca="1">IF(Q363&gt;0,$V$24&amp;Q363,"")</f>
        <v/>
      </c>
      <c r="W363" s="443" t="str">
        <f ca="1">IF(R363&gt;0,$V$24&amp;R363,"")</f>
        <v/>
      </c>
      <c r="X363" s="444" t="s">
        <v>8563</v>
      </c>
      <c r="Y363" s="445" t="str">
        <f>$V$19 &amp; $X363 &amp; V$21 &amp; $V$22 &amp; $V$20</f>
        <v>#'Sensibilizacao(1)'!F2</v>
      </c>
      <c r="Z363" s="445" t="str">
        <f>$V$19 &amp; $X363 &amp; W$21 &amp; $V$22 &amp; $V$20</f>
        <v>#'Sensibilizacao(2)'!F2</v>
      </c>
      <c r="AA363" s="20"/>
    </row>
    <row r="364" spans="1:27" s="2" customFormat="1" ht="20.100000000000001" customHeight="1" outlineLevel="1" x14ac:dyDescent="0.25">
      <c r="A364" s="446"/>
      <c r="B364" s="1"/>
      <c r="C364" s="1"/>
      <c r="D364" s="1"/>
      <c r="E364" s="1"/>
      <c r="F364" s="447" t="s">
        <v>6789</v>
      </c>
      <c r="G364" s="450" t="str">
        <f>'Validacao(1)'!BC367</f>
        <v>Não foi preenchido o código do estudo</v>
      </c>
      <c r="H364" s="456" t="str">
        <f t="shared" ref="H364:H395" ca="1" si="16">IF(O364=1,"x","")</f>
        <v/>
      </c>
      <c r="I364" s="456" t="str">
        <f t="shared" ref="I364:I395" ca="1" si="17">IF(P364=1,"x","")</f>
        <v/>
      </c>
      <c r="J364" s="419"/>
      <c r="K364" s="20"/>
      <c r="L364" s="20"/>
      <c r="N364" s="25">
        <f>COUNTIF($A$29:A364,"x")</f>
        <v>12</v>
      </c>
      <c r="O364" s="25">
        <f ca="1">'Validacao(1)'!BB367</f>
        <v>0</v>
      </c>
      <c r="P364" s="25">
        <f ca="1">'Validacao(2)'!BB367</f>
        <v>0</v>
      </c>
      <c r="Q364" s="25"/>
      <c r="R364" s="25"/>
      <c r="S364" s="25"/>
      <c r="T364" s="25"/>
      <c r="U364" s="25"/>
      <c r="V364" s="25"/>
      <c r="W364" s="25"/>
      <c r="X364" s="449"/>
      <c r="Y364" s="449"/>
      <c r="Z364" s="449"/>
      <c r="AA364" s="20"/>
    </row>
    <row r="365" spans="1:27" s="2" customFormat="1" ht="20.100000000000001" customHeight="1" outlineLevel="1" x14ac:dyDescent="0.25">
      <c r="A365" s="446"/>
      <c r="B365" s="1"/>
      <c r="C365" s="1"/>
      <c r="D365" s="1"/>
      <c r="E365" s="1"/>
      <c r="F365" s="447" t="s">
        <v>6790</v>
      </c>
      <c r="G365" s="450" t="str">
        <f>'Validacao(1)'!BC368</f>
        <v>Não foi preenchido o nome do laboratório</v>
      </c>
      <c r="H365" s="456" t="str">
        <f t="shared" ca="1" si="16"/>
        <v/>
      </c>
      <c r="I365" s="456" t="str">
        <f t="shared" ca="1" si="17"/>
        <v/>
      </c>
      <c r="J365" s="419"/>
      <c r="K365" s="20"/>
      <c r="L365" s="20"/>
      <c r="N365" s="25">
        <f>COUNTIF($A$29:A365,"x")</f>
        <v>12</v>
      </c>
      <c r="O365" s="25">
        <f ca="1">'Validacao(1)'!BB368</f>
        <v>0</v>
      </c>
      <c r="P365" s="25">
        <f ca="1">'Validacao(2)'!BB368</f>
        <v>0</v>
      </c>
      <c r="Q365" s="25"/>
      <c r="R365" s="25"/>
      <c r="S365" s="25"/>
      <c r="T365" s="25"/>
      <c r="U365" s="25"/>
      <c r="V365" s="25"/>
      <c r="W365" s="25"/>
      <c r="X365" s="449"/>
      <c r="Y365" s="449"/>
      <c r="Z365" s="449"/>
      <c r="AA365" s="20"/>
    </row>
    <row r="366" spans="1:27" s="2" customFormat="1" ht="20.100000000000001" customHeight="1" outlineLevel="1" x14ac:dyDescent="0.25">
      <c r="A366" s="446"/>
      <c r="B366" s="1"/>
      <c r="C366" s="1"/>
      <c r="D366" s="1"/>
      <c r="E366" s="1"/>
      <c r="F366" s="447" t="s">
        <v>6791</v>
      </c>
      <c r="G366" s="450" t="str">
        <f>'Validacao(1)'!BC369</f>
        <v>Não foi preenchido se o estudo foi conduzido em laboratório com BPL</v>
      </c>
      <c r="H366" s="456" t="str">
        <f t="shared" ca="1" si="16"/>
        <v/>
      </c>
      <c r="I366" s="456" t="str">
        <f t="shared" ca="1" si="17"/>
        <v/>
      </c>
      <c r="J366" s="419"/>
      <c r="K366" s="20"/>
      <c r="L366" s="20"/>
      <c r="N366" s="25">
        <f>COUNTIF($A$29:A366,"x")</f>
        <v>12</v>
      </c>
      <c r="O366" s="25">
        <f ca="1">'Validacao(1)'!BB369</f>
        <v>0</v>
      </c>
      <c r="P366" s="25">
        <f ca="1">'Validacao(2)'!BB369</f>
        <v>0</v>
      </c>
      <c r="Q366" s="25"/>
      <c r="R366" s="25"/>
      <c r="S366" s="25"/>
      <c r="T366" s="25"/>
      <c r="U366" s="25"/>
      <c r="V366" s="25"/>
      <c r="W366" s="25"/>
      <c r="X366" s="449"/>
      <c r="Y366" s="449"/>
      <c r="Z366" s="449"/>
      <c r="AA366" s="20"/>
    </row>
    <row r="367" spans="1:27" s="2" customFormat="1" ht="20.100000000000001" customHeight="1" outlineLevel="1" x14ac:dyDescent="0.25">
      <c r="A367" s="446"/>
      <c r="B367" s="1"/>
      <c r="C367" s="1"/>
      <c r="D367" s="1"/>
      <c r="E367" s="1"/>
      <c r="F367" s="447" t="s">
        <v>6792</v>
      </c>
      <c r="G367" s="450" t="str">
        <f>'Validacao(1)'!BC370</f>
        <v>Não foi preenchido o protocolo</v>
      </c>
      <c r="H367" s="456" t="str">
        <f t="shared" ca="1" si="16"/>
        <v/>
      </c>
      <c r="I367" s="456" t="str">
        <f t="shared" ca="1" si="17"/>
        <v/>
      </c>
      <c r="J367" s="419"/>
      <c r="K367" s="20"/>
      <c r="L367" s="20"/>
      <c r="N367" s="25">
        <f>COUNTIF($A$29:A367,"x")</f>
        <v>12</v>
      </c>
      <c r="O367" s="25">
        <f ca="1">'Validacao(1)'!BB370</f>
        <v>0</v>
      </c>
      <c r="P367" s="25">
        <f ca="1">'Validacao(2)'!BB370</f>
        <v>0</v>
      </c>
      <c r="Q367" s="25"/>
      <c r="R367" s="25"/>
      <c r="S367" s="25"/>
      <c r="T367" s="25"/>
      <c r="U367" s="25"/>
      <c r="V367" s="25"/>
      <c r="W367" s="25"/>
      <c r="X367" s="449"/>
      <c r="Y367" s="449"/>
      <c r="Z367" s="449"/>
      <c r="AA367" s="20"/>
    </row>
    <row r="368" spans="1:27" s="2" customFormat="1" ht="20.100000000000001" customHeight="1" outlineLevel="1" x14ac:dyDescent="0.25">
      <c r="A368" s="446"/>
      <c r="B368" s="1"/>
      <c r="C368" s="1"/>
      <c r="D368" s="1"/>
      <c r="E368" s="1"/>
      <c r="F368" s="447" t="s">
        <v>6793</v>
      </c>
      <c r="G368" s="450" t="str">
        <f>'Validacao(1)'!BC371</f>
        <v>Não foi preenchido a data de início</v>
      </c>
      <c r="H368" s="456" t="str">
        <f t="shared" ca="1" si="16"/>
        <v/>
      </c>
      <c r="I368" s="456" t="str">
        <f t="shared" ca="1" si="17"/>
        <v/>
      </c>
      <c r="J368" s="419"/>
      <c r="K368" s="20"/>
      <c r="L368" s="20"/>
      <c r="N368" s="25">
        <f>COUNTIF($A$29:A368,"x")</f>
        <v>12</v>
      </c>
      <c r="O368" s="25">
        <f ca="1">'Validacao(1)'!BB371</f>
        <v>0</v>
      </c>
      <c r="P368" s="25">
        <f ca="1">'Validacao(2)'!BB371</f>
        <v>0</v>
      </c>
      <c r="Q368" s="25"/>
      <c r="R368" s="25"/>
      <c r="S368" s="25"/>
      <c r="T368" s="25"/>
      <c r="U368" s="25"/>
      <c r="V368" s="25"/>
      <c r="W368" s="25"/>
      <c r="X368" s="449"/>
      <c r="Y368" s="449"/>
      <c r="Z368" s="449"/>
      <c r="AA368" s="20"/>
    </row>
    <row r="369" spans="1:27" s="2" customFormat="1" ht="20.100000000000001" customHeight="1" outlineLevel="1" x14ac:dyDescent="0.25">
      <c r="A369" s="446"/>
      <c r="B369" s="1"/>
      <c r="C369" s="1"/>
      <c r="D369" s="1"/>
      <c r="E369" s="1"/>
      <c r="F369" s="447" t="s">
        <v>6794</v>
      </c>
      <c r="G369" s="450" t="str">
        <f>'Validacao(1)'!BC372</f>
        <v>Não foi preenchido a data de conclusão</v>
      </c>
      <c r="H369" s="456" t="str">
        <f t="shared" ca="1" si="16"/>
        <v/>
      </c>
      <c r="I369" s="456" t="str">
        <f t="shared" ca="1" si="17"/>
        <v/>
      </c>
      <c r="J369" s="419"/>
      <c r="K369" s="20"/>
      <c r="L369" s="20"/>
      <c r="N369" s="25">
        <f>COUNTIF($A$29:A369,"x")</f>
        <v>12</v>
      </c>
      <c r="O369" s="25">
        <f ca="1">'Validacao(1)'!BB372</f>
        <v>0</v>
      </c>
      <c r="P369" s="25">
        <f ca="1">'Validacao(2)'!BB372</f>
        <v>0</v>
      </c>
      <c r="Q369" s="25"/>
      <c r="R369" s="25"/>
      <c r="S369" s="25"/>
      <c r="T369" s="25"/>
      <c r="U369" s="25"/>
      <c r="V369" s="25"/>
      <c r="W369" s="25"/>
      <c r="X369" s="449"/>
      <c r="Y369" s="449"/>
      <c r="Z369" s="449"/>
      <c r="AA369" s="20"/>
    </row>
    <row r="370" spans="1:27" s="2" customFormat="1" ht="20.100000000000001" customHeight="1" outlineLevel="1" x14ac:dyDescent="0.25">
      <c r="A370" s="446"/>
      <c r="B370" s="1"/>
      <c r="C370" s="1"/>
      <c r="D370" s="1"/>
      <c r="E370" s="1"/>
      <c r="F370" s="447" t="s">
        <v>6795</v>
      </c>
      <c r="G370" s="450" t="str">
        <f>'Validacao(1)'!BC373</f>
        <v xml:space="preserve">Não foi preenchido o código do certificado de análise </v>
      </c>
      <c r="H370" s="456" t="str">
        <f t="shared" ca="1" si="16"/>
        <v/>
      </c>
      <c r="I370" s="456" t="str">
        <f t="shared" ca="1" si="17"/>
        <v/>
      </c>
      <c r="J370" s="419"/>
      <c r="K370" s="20"/>
      <c r="L370" s="20"/>
      <c r="N370" s="25">
        <f>COUNTIF($A$29:A370,"x")</f>
        <v>12</v>
      </c>
      <c r="O370" s="25">
        <f ca="1">'Validacao(1)'!BB373</f>
        <v>0</v>
      </c>
      <c r="P370" s="25">
        <f ca="1">'Validacao(2)'!BB373</f>
        <v>0</v>
      </c>
      <c r="Q370" s="25"/>
      <c r="R370" s="25"/>
      <c r="S370" s="25"/>
      <c r="T370" s="25"/>
      <c r="U370" s="25"/>
      <c r="V370" s="25"/>
      <c r="W370" s="25"/>
      <c r="X370" s="449"/>
      <c r="Y370" s="449"/>
      <c r="Z370" s="449"/>
      <c r="AA370" s="20"/>
    </row>
    <row r="371" spans="1:27" s="2" customFormat="1" ht="20.100000000000001" customHeight="1" outlineLevel="1" x14ac:dyDescent="0.25">
      <c r="A371" s="446"/>
      <c r="B371" s="1"/>
      <c r="C371" s="1"/>
      <c r="D371" s="1"/>
      <c r="E371" s="1"/>
      <c r="F371" s="447" t="s">
        <v>6796</v>
      </c>
      <c r="G371" s="450" t="str">
        <f>'Validacao(1)'!BC374</f>
        <v>Não foi preenchido a espécie</v>
      </c>
      <c r="H371" s="456" t="str">
        <f t="shared" ca="1" si="16"/>
        <v/>
      </c>
      <c r="I371" s="456" t="str">
        <f t="shared" ca="1" si="17"/>
        <v/>
      </c>
      <c r="J371" s="419"/>
      <c r="K371" s="20"/>
      <c r="L371" s="20"/>
      <c r="N371" s="25">
        <f>COUNTIF($A$29:A371,"x")</f>
        <v>12</v>
      </c>
      <c r="O371" s="25">
        <f ca="1">'Validacao(1)'!BB374</f>
        <v>0</v>
      </c>
      <c r="P371" s="25">
        <f ca="1">'Validacao(2)'!BB374</f>
        <v>0</v>
      </c>
      <c r="Q371" s="25"/>
      <c r="R371" s="25"/>
      <c r="S371" s="25"/>
      <c r="T371" s="25"/>
      <c r="U371" s="25"/>
      <c r="V371" s="25"/>
      <c r="W371" s="25"/>
      <c r="X371" s="449"/>
      <c r="Y371" s="449"/>
      <c r="Z371" s="449"/>
      <c r="AA371" s="20"/>
    </row>
    <row r="372" spans="1:27" s="2" customFormat="1" ht="20.100000000000001" customHeight="1" outlineLevel="1" x14ac:dyDescent="0.25">
      <c r="A372" s="446"/>
      <c r="B372" s="1"/>
      <c r="C372" s="1"/>
      <c r="D372" s="1"/>
      <c r="E372" s="1"/>
      <c r="F372" s="447" t="s">
        <v>6797</v>
      </c>
      <c r="G372" s="450" t="str">
        <f>'Validacao(1)'!BC375</f>
        <v>Não foi preenchido o método utilizado</v>
      </c>
      <c r="H372" s="456" t="str">
        <f t="shared" ca="1" si="16"/>
        <v/>
      </c>
      <c r="I372" s="456" t="str">
        <f t="shared" ca="1" si="17"/>
        <v/>
      </c>
      <c r="J372" s="419"/>
      <c r="K372" s="20"/>
      <c r="L372" s="20"/>
      <c r="N372" s="25">
        <f>COUNTIF($A$29:A372,"x")</f>
        <v>12</v>
      </c>
      <c r="O372" s="25">
        <f ca="1">'Validacao(1)'!BB375</f>
        <v>0</v>
      </c>
      <c r="P372" s="25">
        <f ca="1">'Validacao(2)'!BB375</f>
        <v>0</v>
      </c>
      <c r="Q372" s="25"/>
      <c r="R372" s="25"/>
      <c r="S372" s="25"/>
      <c r="T372" s="25"/>
      <c r="U372" s="25"/>
      <c r="V372" s="25"/>
      <c r="W372" s="25"/>
      <c r="X372" s="449"/>
      <c r="Y372" s="449"/>
      <c r="Z372" s="449"/>
      <c r="AA372" s="20"/>
    </row>
    <row r="373" spans="1:27" s="2" customFormat="1" ht="20.100000000000001" customHeight="1" outlineLevel="1" x14ac:dyDescent="0.25">
      <c r="A373" s="446"/>
      <c r="B373" s="1"/>
      <c r="C373" s="1"/>
      <c r="D373" s="1"/>
      <c r="E373" s="1"/>
      <c r="F373" s="447" t="s">
        <v>6798</v>
      </c>
      <c r="G373" s="450" t="str">
        <f>'Validacao(1)'!BC376</f>
        <v>Não foi preenchido se houve teste de confiabilidade</v>
      </c>
      <c r="H373" s="456" t="str">
        <f t="shared" ca="1" si="16"/>
        <v/>
      </c>
      <c r="I373" s="456" t="str">
        <f t="shared" ca="1" si="17"/>
        <v/>
      </c>
      <c r="J373" s="419"/>
      <c r="K373" s="20"/>
      <c r="L373" s="20"/>
      <c r="N373" s="25">
        <f>COUNTIF($A$29:A373,"x")</f>
        <v>12</v>
      </c>
      <c r="O373" s="25">
        <f ca="1">'Validacao(1)'!BB376</f>
        <v>0</v>
      </c>
      <c r="P373" s="25">
        <f ca="1">'Validacao(2)'!BB376</f>
        <v>0</v>
      </c>
      <c r="Q373" s="25"/>
      <c r="R373" s="25"/>
      <c r="S373" s="25"/>
      <c r="T373" s="25"/>
      <c r="U373" s="25"/>
      <c r="V373" s="25"/>
      <c r="W373" s="25"/>
      <c r="X373" s="449"/>
      <c r="Y373" s="449"/>
      <c r="Z373" s="449"/>
      <c r="AA373" s="20"/>
    </row>
    <row r="374" spans="1:27" s="2" customFormat="1" ht="20.100000000000001" customHeight="1" outlineLevel="1" x14ac:dyDescent="0.25">
      <c r="A374" s="446"/>
      <c r="B374" s="1"/>
      <c r="C374" s="1"/>
      <c r="D374" s="1"/>
      <c r="E374" s="1"/>
      <c r="F374" s="447" t="s">
        <v>6799</v>
      </c>
      <c r="G374" s="450" t="str">
        <f>'Validacao(1)'!BC377</f>
        <v>Não foi preenchida a data de conclusão do teste de confiabilidade</v>
      </c>
      <c r="H374" s="456" t="str">
        <f t="shared" ca="1" si="16"/>
        <v/>
      </c>
      <c r="I374" s="456" t="str">
        <f t="shared" ca="1" si="17"/>
        <v/>
      </c>
      <c r="J374" s="419"/>
      <c r="K374" s="20"/>
      <c r="L374" s="20"/>
      <c r="N374" s="25">
        <f>COUNTIF($A$29:A374,"x")</f>
        <v>12</v>
      </c>
      <c r="O374" s="25">
        <f ca="1">'Validacao(1)'!BB377</f>
        <v>0</v>
      </c>
      <c r="P374" s="25">
        <f ca="1">'Validacao(2)'!BB377</f>
        <v>0</v>
      </c>
      <c r="Q374" s="25"/>
      <c r="R374" s="25"/>
      <c r="S374" s="25"/>
      <c r="T374" s="25"/>
      <c r="U374" s="25"/>
      <c r="V374" s="25"/>
      <c r="W374" s="25"/>
      <c r="X374" s="449"/>
      <c r="Y374" s="449"/>
      <c r="Z374" s="449"/>
      <c r="AA374" s="20"/>
    </row>
    <row r="375" spans="1:27" s="2" customFormat="1" ht="20.100000000000001" customHeight="1" outlineLevel="1" x14ac:dyDescent="0.25">
      <c r="A375" s="446"/>
      <c r="B375" s="1"/>
      <c r="C375" s="1"/>
      <c r="D375" s="1"/>
      <c r="E375" s="1"/>
      <c r="F375" s="447" t="s">
        <v>6800</v>
      </c>
      <c r="G375" s="450" t="str">
        <f>'Validacao(1)'!BC378</f>
        <v>Não foi preenchida a dose de injeção intradérmica para algum dos animais</v>
      </c>
      <c r="H375" s="456" t="str">
        <f t="shared" ca="1" si="16"/>
        <v/>
      </c>
      <c r="I375" s="456" t="str">
        <f t="shared" ca="1" si="17"/>
        <v/>
      </c>
      <c r="J375" s="419"/>
      <c r="K375" s="20"/>
      <c r="L375" s="20"/>
      <c r="N375" s="25">
        <f>COUNTIF($A$29:A375,"x")</f>
        <v>12</v>
      </c>
      <c r="O375" s="25">
        <f ca="1">'Validacao(1)'!BB378</f>
        <v>0</v>
      </c>
      <c r="P375" s="25">
        <f ca="1">'Validacao(2)'!BB378</f>
        <v>0</v>
      </c>
      <c r="Q375" s="25"/>
      <c r="R375" s="25"/>
      <c r="S375" s="25"/>
      <c r="T375" s="25"/>
      <c r="U375" s="25"/>
      <c r="V375" s="25"/>
      <c r="W375" s="25"/>
      <c r="X375" s="449"/>
      <c r="Y375" s="449"/>
      <c r="Z375" s="449"/>
      <c r="AA375" s="20"/>
    </row>
    <row r="376" spans="1:27" s="2" customFormat="1" ht="20.100000000000001" customHeight="1" outlineLevel="1" x14ac:dyDescent="0.25">
      <c r="A376" s="446"/>
      <c r="B376" s="1"/>
      <c r="C376" s="1"/>
      <c r="D376" s="1"/>
      <c r="E376" s="1"/>
      <c r="F376" s="447" t="s">
        <v>6801</v>
      </c>
      <c r="G376" s="450" t="str">
        <f>'Validacao(1)'!BC379</f>
        <v>Não foi preenchida a dose de aplicação tópica para algum dos animais</v>
      </c>
      <c r="H376" s="456" t="str">
        <f t="shared" ca="1" si="16"/>
        <v/>
      </c>
      <c r="I376" s="456" t="str">
        <f t="shared" ca="1" si="17"/>
        <v/>
      </c>
      <c r="J376" s="419"/>
      <c r="K376" s="20"/>
      <c r="L376" s="20"/>
      <c r="N376" s="25">
        <f>COUNTIF($A$29:A376,"x")</f>
        <v>12</v>
      </c>
      <c r="O376" s="25">
        <f ca="1">'Validacao(1)'!BB379</f>
        <v>0</v>
      </c>
      <c r="P376" s="25">
        <f ca="1">'Validacao(2)'!BB379</f>
        <v>0</v>
      </c>
      <c r="Q376" s="25"/>
      <c r="R376" s="25"/>
      <c r="S376" s="25"/>
      <c r="T376" s="25"/>
      <c r="U376" s="25"/>
      <c r="V376" s="25"/>
      <c r="W376" s="25"/>
      <c r="X376" s="449"/>
      <c r="Y376" s="449"/>
      <c r="Z376" s="449"/>
      <c r="AA376" s="20"/>
    </row>
    <row r="377" spans="1:27" s="2" customFormat="1" ht="20.100000000000001" customHeight="1" outlineLevel="1" x14ac:dyDescent="0.25">
      <c r="A377" s="446"/>
      <c r="B377" s="1"/>
      <c r="C377" s="1"/>
      <c r="D377" s="1"/>
      <c r="E377" s="1"/>
      <c r="F377" s="447" t="s">
        <v>6802</v>
      </c>
      <c r="G377" s="450" t="str">
        <f>'Validacao(1)'!BC380</f>
        <v>Não foi preenchido o resultado do teste preliminar</v>
      </c>
      <c r="H377" s="456" t="str">
        <f t="shared" ca="1" si="16"/>
        <v/>
      </c>
      <c r="I377" s="456" t="str">
        <f t="shared" ca="1" si="17"/>
        <v/>
      </c>
      <c r="J377" s="419"/>
      <c r="K377" s="20"/>
      <c r="L377" s="20"/>
      <c r="N377" s="25">
        <f>COUNTIF($A$29:A377,"x")</f>
        <v>12</v>
      </c>
      <c r="O377" s="25">
        <f ca="1">'Validacao(1)'!BB380</f>
        <v>0</v>
      </c>
      <c r="P377" s="25">
        <f ca="1">'Validacao(2)'!BB380</f>
        <v>0</v>
      </c>
      <c r="Q377" s="25"/>
      <c r="R377" s="25"/>
      <c r="S377" s="25"/>
      <c r="T377" s="25"/>
      <c r="U377" s="25"/>
      <c r="V377" s="25"/>
      <c r="W377" s="25"/>
      <c r="X377" s="449"/>
      <c r="Y377" s="449"/>
      <c r="Z377" s="449"/>
      <c r="AA377" s="20"/>
    </row>
    <row r="378" spans="1:27" s="2" customFormat="1" ht="20.100000000000001" customHeight="1" outlineLevel="1" x14ac:dyDescent="0.25">
      <c r="A378" s="446"/>
      <c r="B378" s="1"/>
      <c r="C378" s="1"/>
      <c r="D378" s="1"/>
      <c r="E378" s="1"/>
      <c r="F378" s="447" t="s">
        <v>6803</v>
      </c>
      <c r="G378" s="450" t="str">
        <f>'Validacao(1)'!BC381</f>
        <v>Não foi preenchida a dose de injeção intradérmica escolhida para indução (preliminar)</v>
      </c>
      <c r="H378" s="456" t="str">
        <f t="shared" ca="1" si="16"/>
        <v/>
      </c>
      <c r="I378" s="456" t="str">
        <f t="shared" ca="1" si="17"/>
        <v/>
      </c>
      <c r="J378" s="419"/>
      <c r="K378" s="20"/>
      <c r="L378" s="20"/>
      <c r="N378" s="25">
        <f>COUNTIF($A$29:A378,"x")</f>
        <v>12</v>
      </c>
      <c r="O378" s="25">
        <f ca="1">'Validacao(1)'!BB381</f>
        <v>0</v>
      </c>
      <c r="P378" s="25">
        <f ca="1">'Validacao(2)'!BB381</f>
        <v>0</v>
      </c>
      <c r="Q378" s="25"/>
      <c r="R378" s="25"/>
      <c r="S378" s="25"/>
      <c r="T378" s="25"/>
      <c r="U378" s="25"/>
      <c r="V378" s="25"/>
      <c r="W378" s="25"/>
      <c r="X378" s="449"/>
      <c r="Y378" s="449"/>
      <c r="Z378" s="449"/>
      <c r="AA378" s="20"/>
    </row>
    <row r="379" spans="1:27" s="2" customFormat="1" ht="20.100000000000001" customHeight="1" outlineLevel="1" x14ac:dyDescent="0.25">
      <c r="A379" s="446"/>
      <c r="B379" s="1"/>
      <c r="C379" s="1"/>
      <c r="D379" s="1"/>
      <c r="E379" s="1"/>
      <c r="F379" s="447" t="s">
        <v>6804</v>
      </c>
      <c r="G379" s="450" t="str">
        <f>'Validacao(1)'!BC382</f>
        <v>Não foi preenchida a dose de aplicação tópica escolhida para indução (preliminar)</v>
      </c>
      <c r="H379" s="456" t="str">
        <f t="shared" ca="1" si="16"/>
        <v/>
      </c>
      <c r="I379" s="456" t="str">
        <f t="shared" ca="1" si="17"/>
        <v/>
      </c>
      <c r="J379" s="419"/>
      <c r="K379" s="20"/>
      <c r="L379" s="20"/>
      <c r="N379" s="25">
        <f>COUNTIF($A$29:A379,"x")</f>
        <v>12</v>
      </c>
      <c r="O379" s="25">
        <f ca="1">'Validacao(1)'!BB382</f>
        <v>0</v>
      </c>
      <c r="P379" s="25">
        <f ca="1">'Validacao(2)'!BB382</f>
        <v>0</v>
      </c>
      <c r="Q379" s="25"/>
      <c r="R379" s="25"/>
      <c r="S379" s="25"/>
      <c r="T379" s="25"/>
      <c r="U379" s="25"/>
      <c r="V379" s="25"/>
      <c r="W379" s="25"/>
      <c r="X379" s="449"/>
      <c r="Y379" s="449"/>
      <c r="Z379" s="449"/>
      <c r="AA379" s="20"/>
    </row>
    <row r="380" spans="1:27" s="2" customFormat="1" ht="20.100000000000001" customHeight="1" outlineLevel="1" x14ac:dyDescent="0.25">
      <c r="A380" s="446"/>
      <c r="B380" s="1"/>
      <c r="C380" s="1"/>
      <c r="D380" s="1"/>
      <c r="E380" s="1"/>
      <c r="F380" s="447" t="s">
        <v>6805</v>
      </c>
      <c r="G380" s="450" t="str">
        <f>'Validacao(1)'!BC383</f>
        <v>Não foi preenchida a dose escolhida para o desafio (preliminar)</v>
      </c>
      <c r="H380" s="456" t="str">
        <f t="shared" ca="1" si="16"/>
        <v/>
      </c>
      <c r="I380" s="456" t="str">
        <f t="shared" ca="1" si="17"/>
        <v/>
      </c>
      <c r="J380" s="419"/>
      <c r="K380" s="20"/>
      <c r="L380" s="20"/>
      <c r="N380" s="25">
        <f>COUNTIF($A$29:A380,"x")</f>
        <v>12</v>
      </c>
      <c r="O380" s="25">
        <f ca="1">'Validacao(1)'!BB383</f>
        <v>0</v>
      </c>
      <c r="P380" s="25">
        <f ca="1">'Validacao(2)'!BB383</f>
        <v>0</v>
      </c>
      <c r="Q380" s="25"/>
      <c r="R380" s="25"/>
      <c r="S380" s="25"/>
      <c r="T380" s="25"/>
      <c r="U380" s="25"/>
      <c r="V380" s="25"/>
      <c r="W380" s="25"/>
      <c r="X380" s="449"/>
      <c r="Y380" s="449"/>
      <c r="Z380" s="449"/>
      <c r="AA380" s="20"/>
    </row>
    <row r="381" spans="1:27" s="2" customFormat="1" ht="20.100000000000001" customHeight="1" outlineLevel="1" x14ac:dyDescent="0.25">
      <c r="A381" s="446"/>
      <c r="B381" s="1"/>
      <c r="C381" s="1"/>
      <c r="D381" s="1"/>
      <c r="E381" s="1"/>
      <c r="F381" s="447" t="s">
        <v>6806</v>
      </c>
      <c r="G381" s="450" t="str">
        <f>'Validacao(1)'!BC384</f>
        <v>Não foi preenchido o nº de animais do grupo controle negativo</v>
      </c>
      <c r="H381" s="456" t="str">
        <f t="shared" ca="1" si="16"/>
        <v/>
      </c>
      <c r="I381" s="456" t="str">
        <f t="shared" ca="1" si="17"/>
        <v/>
      </c>
      <c r="J381" s="419"/>
      <c r="K381" s="20"/>
      <c r="L381" s="20"/>
      <c r="N381" s="25">
        <f>COUNTIF($A$29:A381,"x")</f>
        <v>12</v>
      </c>
      <c r="O381" s="25">
        <f ca="1">'Validacao(1)'!BB384</f>
        <v>0</v>
      </c>
      <c r="P381" s="25">
        <f ca="1">'Validacao(2)'!BB384</f>
        <v>0</v>
      </c>
      <c r="Q381" s="25"/>
      <c r="R381" s="25"/>
      <c r="S381" s="25"/>
      <c r="T381" s="25"/>
      <c r="U381" s="25"/>
      <c r="V381" s="25"/>
      <c r="W381" s="25"/>
      <c r="X381" s="449"/>
      <c r="Y381" s="449"/>
      <c r="Z381" s="449"/>
      <c r="AA381" s="20"/>
    </row>
    <row r="382" spans="1:27" s="2" customFormat="1" ht="20.100000000000001" customHeight="1" outlineLevel="1" x14ac:dyDescent="0.25">
      <c r="A382" s="446"/>
      <c r="B382" s="1"/>
      <c r="C382" s="1"/>
      <c r="D382" s="1"/>
      <c r="E382" s="1"/>
      <c r="F382" s="447" t="s">
        <v>6807</v>
      </c>
      <c r="G382" s="450" t="str">
        <f>'Validacao(1)'!BC385</f>
        <v xml:space="preserve">Não foi preenchido o nº de animais do grupo testado </v>
      </c>
      <c r="H382" s="456" t="str">
        <f t="shared" ca="1" si="16"/>
        <v/>
      </c>
      <c r="I382" s="456" t="str">
        <f t="shared" ca="1" si="17"/>
        <v/>
      </c>
      <c r="J382" s="419"/>
      <c r="K382" s="20"/>
      <c r="L382" s="20"/>
      <c r="N382" s="25">
        <f>COUNTIF($A$29:A382,"x")</f>
        <v>12</v>
      </c>
      <c r="O382" s="25">
        <f ca="1">'Validacao(1)'!BB385</f>
        <v>0</v>
      </c>
      <c r="P382" s="25">
        <f ca="1">'Validacao(2)'!BB385</f>
        <v>0</v>
      </c>
      <c r="Q382" s="25"/>
      <c r="R382" s="25"/>
      <c r="S382" s="25"/>
      <c r="T382" s="25"/>
      <c r="U382" s="25"/>
      <c r="V382" s="25"/>
      <c r="W382" s="25"/>
      <c r="X382" s="449"/>
      <c r="Y382" s="449"/>
      <c r="Z382" s="449"/>
      <c r="AA382" s="20"/>
    </row>
    <row r="383" spans="1:27" s="2" customFormat="1" ht="20.100000000000001" customHeight="1" outlineLevel="1" x14ac:dyDescent="0.25">
      <c r="A383" s="446"/>
      <c r="B383" s="1"/>
      <c r="C383" s="1"/>
      <c r="D383" s="1"/>
      <c r="E383" s="1"/>
      <c r="F383" s="447" t="s">
        <v>6808</v>
      </c>
      <c r="G383" s="450" t="str">
        <f>'Validacao(1)'!BC386</f>
        <v>Não foi preenchida a dose de injeção intradérmica da indução</v>
      </c>
      <c r="H383" s="456" t="str">
        <f t="shared" ca="1" si="16"/>
        <v/>
      </c>
      <c r="I383" s="456" t="str">
        <f t="shared" ca="1" si="17"/>
        <v/>
      </c>
      <c r="J383" s="419"/>
      <c r="K383" s="20"/>
      <c r="L383" s="20"/>
      <c r="N383" s="25">
        <f>COUNTIF($A$29:A383,"x")</f>
        <v>12</v>
      </c>
      <c r="O383" s="25">
        <f ca="1">'Validacao(1)'!BB386</f>
        <v>0</v>
      </c>
      <c r="P383" s="25">
        <f ca="1">'Validacao(2)'!BB386</f>
        <v>0</v>
      </c>
      <c r="Q383" s="25"/>
      <c r="R383" s="25"/>
      <c r="S383" s="25"/>
      <c r="T383" s="25"/>
      <c r="U383" s="25"/>
      <c r="V383" s="25"/>
      <c r="W383" s="25"/>
      <c r="X383" s="449"/>
      <c r="Y383" s="449"/>
      <c r="Z383" s="449"/>
      <c r="AA383" s="20"/>
    </row>
    <row r="384" spans="1:27" s="2" customFormat="1" ht="20.100000000000001" customHeight="1" outlineLevel="1" x14ac:dyDescent="0.25">
      <c r="A384" s="446"/>
      <c r="B384" s="1"/>
      <c r="C384" s="1"/>
      <c r="D384" s="1"/>
      <c r="E384" s="1"/>
      <c r="F384" s="447" t="s">
        <v>6809</v>
      </c>
      <c r="G384" s="450" t="str">
        <f>'Validacao(1)'!BC387</f>
        <v>Não foi preenchida a dose de aplicação tópica da indução</v>
      </c>
      <c r="H384" s="456" t="str">
        <f t="shared" ca="1" si="16"/>
        <v/>
      </c>
      <c r="I384" s="456" t="str">
        <f t="shared" ca="1" si="17"/>
        <v/>
      </c>
      <c r="J384" s="419"/>
      <c r="K384" s="20"/>
      <c r="L384" s="20"/>
      <c r="N384" s="25">
        <f>COUNTIF($A$29:A384,"x")</f>
        <v>12</v>
      </c>
      <c r="O384" s="25">
        <f ca="1">'Validacao(1)'!BB387</f>
        <v>0</v>
      </c>
      <c r="P384" s="25">
        <f ca="1">'Validacao(2)'!BB387</f>
        <v>0</v>
      </c>
      <c r="Q384" s="25"/>
      <c r="R384" s="25"/>
      <c r="S384" s="25"/>
      <c r="T384" s="25"/>
      <c r="U384" s="25"/>
      <c r="V384" s="25"/>
      <c r="W384" s="25"/>
      <c r="X384" s="449"/>
      <c r="Y384" s="449"/>
      <c r="Z384" s="449"/>
      <c r="AA384" s="20"/>
    </row>
    <row r="385" spans="1:27" s="2" customFormat="1" ht="20.100000000000001" customHeight="1" outlineLevel="1" x14ac:dyDescent="0.25">
      <c r="A385" s="446"/>
      <c r="B385" s="1"/>
      <c r="C385" s="1"/>
      <c r="D385" s="1"/>
      <c r="E385" s="1"/>
      <c r="F385" s="447" t="s">
        <v>6810</v>
      </c>
      <c r="G385" s="450" t="str">
        <f>'Validacao(1)'!BC388</f>
        <v>Não foi preenchida a justificativa entre a diferença da dose escolhida para a indução e a dose aplicada</v>
      </c>
      <c r="H385" s="456" t="str">
        <f t="shared" ca="1" si="16"/>
        <v/>
      </c>
      <c r="I385" s="456" t="str">
        <f t="shared" ca="1" si="17"/>
        <v/>
      </c>
      <c r="J385" s="419"/>
      <c r="K385" s="20"/>
      <c r="L385" s="20"/>
      <c r="N385" s="25">
        <f>COUNTIF($A$29:A385,"x")</f>
        <v>12</v>
      </c>
      <c r="O385" s="25">
        <f ca="1">'Validacao(1)'!BB388</f>
        <v>0</v>
      </c>
      <c r="P385" s="25">
        <f ca="1">'Validacao(2)'!BB388</f>
        <v>0</v>
      </c>
      <c r="Q385" s="25"/>
      <c r="R385" s="25"/>
      <c r="S385" s="25"/>
      <c r="T385" s="25"/>
      <c r="U385" s="25"/>
      <c r="V385" s="25"/>
      <c r="W385" s="25"/>
      <c r="X385" s="449"/>
      <c r="Y385" s="449"/>
      <c r="Z385" s="449"/>
      <c r="AA385" s="20"/>
    </row>
    <row r="386" spans="1:27" s="2" customFormat="1" ht="20.100000000000001" customHeight="1" outlineLevel="1" x14ac:dyDescent="0.25">
      <c r="A386" s="446"/>
      <c r="B386" s="1"/>
      <c r="C386" s="1"/>
      <c r="D386" s="1"/>
      <c r="E386" s="1"/>
      <c r="F386" s="447" t="s">
        <v>6811</v>
      </c>
      <c r="G386" s="450" t="str">
        <f>'Validacao(1)'!BC389</f>
        <v>Não foi preenchida a dose do desafio</v>
      </c>
      <c r="H386" s="456" t="str">
        <f t="shared" ca="1" si="16"/>
        <v/>
      </c>
      <c r="I386" s="456" t="str">
        <f t="shared" ca="1" si="17"/>
        <v/>
      </c>
      <c r="J386" s="419"/>
      <c r="K386" s="20"/>
      <c r="L386" s="20"/>
      <c r="N386" s="25">
        <f>COUNTIF($A$29:A386,"x")</f>
        <v>12</v>
      </c>
      <c r="O386" s="25">
        <f ca="1">'Validacao(1)'!BB389</f>
        <v>0</v>
      </c>
      <c r="P386" s="25">
        <f ca="1">'Validacao(2)'!BB389</f>
        <v>0</v>
      </c>
      <c r="Q386" s="25"/>
      <c r="R386" s="25"/>
      <c r="S386" s="25"/>
      <c r="T386" s="25"/>
      <c r="U386" s="25"/>
      <c r="V386" s="25"/>
      <c r="W386" s="25"/>
      <c r="X386" s="449"/>
      <c r="Y386" s="449"/>
      <c r="Z386" s="449"/>
      <c r="AA386" s="20"/>
    </row>
    <row r="387" spans="1:27" s="2" customFormat="1" ht="20.100000000000001" customHeight="1" outlineLevel="1" x14ac:dyDescent="0.25">
      <c r="A387" s="446"/>
      <c r="B387" s="1"/>
      <c r="C387" s="1"/>
      <c r="D387" s="1"/>
      <c r="E387" s="1"/>
      <c r="F387" s="447" t="s">
        <v>6812</v>
      </c>
      <c r="G387" s="450" t="str">
        <f>'Validacao(1)'!BC390</f>
        <v>Não foi preenchida a justificativa entre a diferença da dose escolhida para o desafio e a dose aplicada</v>
      </c>
      <c r="H387" s="456" t="str">
        <f t="shared" ca="1" si="16"/>
        <v/>
      </c>
      <c r="I387" s="456" t="str">
        <f t="shared" ca="1" si="17"/>
        <v/>
      </c>
      <c r="J387" s="419"/>
      <c r="K387" s="20"/>
      <c r="L387" s="20"/>
      <c r="N387" s="25">
        <f>COUNTIF($A$29:A387,"x")</f>
        <v>12</v>
      </c>
      <c r="O387" s="25">
        <f ca="1">'Validacao(1)'!BB390</f>
        <v>0</v>
      </c>
      <c r="P387" s="25">
        <f ca="1">'Validacao(2)'!BB390</f>
        <v>0</v>
      </c>
      <c r="Q387" s="25"/>
      <c r="R387" s="25"/>
      <c r="S387" s="25"/>
      <c r="T387" s="25"/>
      <c r="U387" s="25"/>
      <c r="V387" s="25"/>
      <c r="W387" s="25"/>
      <c r="X387" s="449"/>
      <c r="Y387" s="449"/>
      <c r="Z387" s="449"/>
      <c r="AA387" s="20"/>
    </row>
    <row r="388" spans="1:27" s="2" customFormat="1" ht="20.100000000000001" customHeight="1" outlineLevel="1" x14ac:dyDescent="0.25">
      <c r="A388" s="446"/>
      <c r="B388" s="1"/>
      <c r="C388" s="1"/>
      <c r="D388" s="1"/>
      <c r="E388" s="1"/>
      <c r="F388" s="447" t="s">
        <v>6813</v>
      </c>
      <c r="G388" s="450" t="str">
        <f>'Validacao(1)'!BC391</f>
        <v>Não foi preenchido o intervalo entre a indução e o desafio</v>
      </c>
      <c r="H388" s="456" t="str">
        <f t="shared" ca="1" si="16"/>
        <v/>
      </c>
      <c r="I388" s="456" t="str">
        <f t="shared" ca="1" si="17"/>
        <v/>
      </c>
      <c r="J388" s="419"/>
      <c r="K388" s="20"/>
      <c r="L388" s="20"/>
      <c r="N388" s="25">
        <f>COUNTIF($A$29:A388,"x")</f>
        <v>12</v>
      </c>
      <c r="O388" s="25">
        <f ca="1">'Validacao(1)'!BB391</f>
        <v>0</v>
      </c>
      <c r="P388" s="25">
        <f ca="1">'Validacao(2)'!BB391</f>
        <v>0</v>
      </c>
      <c r="Q388" s="25"/>
      <c r="R388" s="25"/>
      <c r="S388" s="25"/>
      <c r="T388" s="25"/>
      <c r="U388" s="25"/>
      <c r="V388" s="25"/>
      <c r="W388" s="25"/>
      <c r="X388" s="449"/>
      <c r="Y388" s="449"/>
      <c r="Z388" s="449"/>
      <c r="AA388" s="20"/>
    </row>
    <row r="389" spans="1:27" s="2" customFormat="1" ht="20.100000000000001" customHeight="1" outlineLevel="1" x14ac:dyDescent="0.25">
      <c r="A389" s="446"/>
      <c r="B389" s="1"/>
      <c r="C389" s="1"/>
      <c r="D389" s="1"/>
      <c r="E389" s="1"/>
      <c r="F389" s="447" t="s">
        <v>6814</v>
      </c>
      <c r="G389" s="450" t="str">
        <f>'Validacao(1)'!BC392</f>
        <v>Não foram preenchidas as alterações clínicas observadas no desafio</v>
      </c>
      <c r="H389" s="456" t="str">
        <f t="shared" ca="1" si="16"/>
        <v/>
      </c>
      <c r="I389" s="456" t="str">
        <f t="shared" ca="1" si="17"/>
        <v/>
      </c>
      <c r="J389" s="419"/>
      <c r="K389" s="20"/>
      <c r="L389" s="20"/>
      <c r="N389" s="25">
        <f>COUNTIF($A$29:A389,"x")</f>
        <v>12</v>
      </c>
      <c r="O389" s="25">
        <f ca="1">'Validacao(1)'!BB392</f>
        <v>0</v>
      </c>
      <c r="P389" s="25">
        <f ca="1">'Validacao(2)'!BB392</f>
        <v>0</v>
      </c>
      <c r="Q389" s="25"/>
      <c r="R389" s="25"/>
      <c r="S389" s="25"/>
      <c r="T389" s="25"/>
      <c r="U389" s="25"/>
      <c r="V389" s="25"/>
      <c r="W389" s="25"/>
      <c r="X389" s="449"/>
      <c r="Y389" s="449"/>
      <c r="Z389" s="449"/>
      <c r="AA389" s="20"/>
    </row>
    <row r="390" spans="1:27" s="2" customFormat="1" ht="20.100000000000001" customHeight="1" outlineLevel="1" x14ac:dyDescent="0.25">
      <c r="A390" s="446"/>
      <c r="B390" s="1"/>
      <c r="C390" s="1"/>
      <c r="D390" s="1"/>
      <c r="E390" s="1"/>
      <c r="F390" s="447" t="s">
        <v>6815</v>
      </c>
      <c r="G390" s="450" t="str">
        <f>'Validacao(1)'!BC393</f>
        <v>Não foi preenchida a taxa de sensibilização em 24h do desafio</v>
      </c>
      <c r="H390" s="456" t="str">
        <f t="shared" ca="1" si="16"/>
        <v/>
      </c>
      <c r="I390" s="456" t="str">
        <f t="shared" ca="1" si="17"/>
        <v/>
      </c>
      <c r="J390" s="419"/>
      <c r="K390" s="20"/>
      <c r="L390" s="20"/>
      <c r="N390" s="25">
        <f>COUNTIF($A$29:A390,"x")</f>
        <v>12</v>
      </c>
      <c r="O390" s="25">
        <f ca="1">'Validacao(1)'!BB393</f>
        <v>0</v>
      </c>
      <c r="P390" s="25">
        <f ca="1">'Validacao(2)'!BB393</f>
        <v>0</v>
      </c>
      <c r="Q390" s="25"/>
      <c r="R390" s="25"/>
      <c r="S390" s="25"/>
      <c r="T390" s="25"/>
      <c r="U390" s="25"/>
      <c r="V390" s="25"/>
      <c r="W390" s="25"/>
      <c r="X390" s="449"/>
      <c r="Y390" s="449"/>
      <c r="Z390" s="449"/>
      <c r="AA390" s="20"/>
    </row>
    <row r="391" spans="1:27" s="2" customFormat="1" ht="20.100000000000001" customHeight="1" outlineLevel="1" x14ac:dyDescent="0.25">
      <c r="A391" s="446"/>
      <c r="B391" s="1"/>
      <c r="C391" s="1"/>
      <c r="D391" s="1"/>
      <c r="E391" s="1"/>
      <c r="F391" s="447" t="s">
        <v>6816</v>
      </c>
      <c r="G391" s="450" t="str">
        <f>'Validacao(1)'!BC394</f>
        <v>Não foi preenchida a taxa de sensibilização em 48h do desafio</v>
      </c>
      <c r="H391" s="456" t="str">
        <f t="shared" ca="1" si="16"/>
        <v/>
      </c>
      <c r="I391" s="456" t="str">
        <f t="shared" ca="1" si="17"/>
        <v/>
      </c>
      <c r="J391" s="419"/>
      <c r="K391" s="20"/>
      <c r="L391" s="20"/>
      <c r="N391" s="25">
        <f>COUNTIF($A$29:A391,"x")</f>
        <v>12</v>
      </c>
      <c r="O391" s="25">
        <f ca="1">'Validacao(1)'!BB394</f>
        <v>0</v>
      </c>
      <c r="P391" s="25">
        <f ca="1">'Validacao(2)'!BB394</f>
        <v>0</v>
      </c>
      <c r="Q391" s="25"/>
      <c r="R391" s="25"/>
      <c r="S391" s="25"/>
      <c r="T391" s="25"/>
      <c r="U391" s="25"/>
      <c r="V391" s="25"/>
      <c r="W391" s="25"/>
      <c r="X391" s="449"/>
      <c r="Y391" s="449"/>
      <c r="Z391" s="449"/>
      <c r="AA391" s="20"/>
    </row>
    <row r="392" spans="1:27" s="2" customFormat="1" ht="20.100000000000001" customHeight="1" outlineLevel="1" x14ac:dyDescent="0.25">
      <c r="A392" s="446"/>
      <c r="B392" s="1"/>
      <c r="C392" s="1"/>
      <c r="D392" s="1"/>
      <c r="E392" s="1"/>
      <c r="F392" s="447" t="s">
        <v>6817</v>
      </c>
      <c r="G392" s="450" t="str">
        <f>'Validacao(1)'!BC395</f>
        <v>Não foi preenchido se houve redesafio</v>
      </c>
      <c r="H392" s="456" t="str">
        <f t="shared" ca="1" si="16"/>
        <v/>
      </c>
      <c r="I392" s="456" t="str">
        <f t="shared" ca="1" si="17"/>
        <v/>
      </c>
      <c r="J392" s="419"/>
      <c r="K392" s="20"/>
      <c r="L392" s="20"/>
      <c r="N392" s="25">
        <f>COUNTIF($A$29:A392,"x")</f>
        <v>12</v>
      </c>
      <c r="O392" s="25">
        <f ca="1">'Validacao(1)'!BB395</f>
        <v>0</v>
      </c>
      <c r="P392" s="25">
        <f ca="1">'Validacao(2)'!BB395</f>
        <v>0</v>
      </c>
      <c r="Q392" s="25"/>
      <c r="R392" s="25"/>
      <c r="S392" s="25"/>
      <c r="T392" s="25"/>
      <c r="U392" s="25"/>
      <c r="V392" s="25"/>
      <c r="W392" s="25"/>
      <c r="X392" s="449"/>
      <c r="Y392" s="449"/>
      <c r="Z392" s="449"/>
      <c r="AA392" s="20"/>
    </row>
    <row r="393" spans="1:27" s="2" customFormat="1" ht="20.100000000000001" customHeight="1" outlineLevel="1" x14ac:dyDescent="0.25">
      <c r="A393" s="446"/>
      <c r="B393" s="1"/>
      <c r="C393" s="1"/>
      <c r="D393" s="1"/>
      <c r="E393" s="1"/>
      <c r="F393" s="447" t="s">
        <v>6818</v>
      </c>
      <c r="G393" s="450" t="str">
        <f>'Validacao(1)'!BC396</f>
        <v>Não foi preenchido o intervalo entre o desafio e o redesafio</v>
      </c>
      <c r="H393" s="456" t="str">
        <f t="shared" ca="1" si="16"/>
        <v/>
      </c>
      <c r="I393" s="456" t="str">
        <f t="shared" ca="1" si="17"/>
        <v/>
      </c>
      <c r="J393" s="419"/>
      <c r="K393" s="20"/>
      <c r="L393" s="20"/>
      <c r="N393" s="25">
        <f>COUNTIF($A$29:A393,"x")</f>
        <v>12</v>
      </c>
      <c r="O393" s="25">
        <f ca="1">'Validacao(1)'!BB396</f>
        <v>0</v>
      </c>
      <c r="P393" s="25">
        <f ca="1">'Validacao(2)'!BB396</f>
        <v>0</v>
      </c>
      <c r="Q393" s="25"/>
      <c r="R393" s="25"/>
      <c r="S393" s="25"/>
      <c r="T393" s="25"/>
      <c r="U393" s="25"/>
      <c r="V393" s="25"/>
      <c r="W393" s="25"/>
      <c r="X393" s="449"/>
      <c r="Y393" s="449"/>
      <c r="Z393" s="449"/>
      <c r="AA393" s="20"/>
    </row>
    <row r="394" spans="1:27" s="2" customFormat="1" ht="20.100000000000001" customHeight="1" outlineLevel="1" x14ac:dyDescent="0.25">
      <c r="A394" s="446"/>
      <c r="B394" s="1"/>
      <c r="C394" s="1"/>
      <c r="D394" s="1"/>
      <c r="E394" s="1"/>
      <c r="F394" s="447" t="s">
        <v>6819</v>
      </c>
      <c r="G394" s="450" t="str">
        <f>'Validacao(1)'!BC397</f>
        <v>Não foi preenchida a dose do redesafio</v>
      </c>
      <c r="H394" s="456" t="str">
        <f t="shared" ca="1" si="16"/>
        <v/>
      </c>
      <c r="I394" s="456" t="str">
        <f t="shared" ca="1" si="17"/>
        <v/>
      </c>
      <c r="J394" s="419"/>
      <c r="K394" s="20"/>
      <c r="L394" s="20"/>
      <c r="N394" s="25">
        <f>COUNTIF($A$29:A394,"x")</f>
        <v>12</v>
      </c>
      <c r="O394" s="25">
        <f ca="1">'Validacao(1)'!BB397</f>
        <v>0</v>
      </c>
      <c r="P394" s="25">
        <f ca="1">'Validacao(2)'!BB397</f>
        <v>0</v>
      </c>
      <c r="Q394" s="25"/>
      <c r="R394" s="25"/>
      <c r="S394" s="25"/>
      <c r="T394" s="25"/>
      <c r="U394" s="25"/>
      <c r="V394" s="25"/>
      <c r="W394" s="25"/>
      <c r="X394" s="449"/>
      <c r="Y394" s="449"/>
      <c r="Z394" s="449"/>
      <c r="AA394" s="20"/>
    </row>
    <row r="395" spans="1:27" s="2" customFormat="1" ht="20.100000000000001" customHeight="1" outlineLevel="1" x14ac:dyDescent="0.25">
      <c r="A395" s="446"/>
      <c r="B395" s="1"/>
      <c r="C395" s="1"/>
      <c r="D395" s="1"/>
      <c r="E395" s="1"/>
      <c r="F395" s="447" t="s">
        <v>6820</v>
      </c>
      <c r="G395" s="450" t="str">
        <f>'Validacao(1)'!BC398</f>
        <v>Não foram preenchidas as alterações clínicas observadas no redesafio</v>
      </c>
      <c r="H395" s="456" t="str">
        <f t="shared" ca="1" si="16"/>
        <v/>
      </c>
      <c r="I395" s="456" t="str">
        <f t="shared" ca="1" si="17"/>
        <v/>
      </c>
      <c r="J395" s="419"/>
      <c r="K395" s="20"/>
      <c r="L395" s="20"/>
      <c r="N395" s="25">
        <f>COUNTIF($A$29:A395,"x")</f>
        <v>12</v>
      </c>
      <c r="O395" s="25">
        <f ca="1">'Validacao(1)'!BB398</f>
        <v>0</v>
      </c>
      <c r="P395" s="25">
        <f ca="1">'Validacao(2)'!BB398</f>
        <v>0</v>
      </c>
      <c r="Q395" s="25"/>
      <c r="R395" s="25"/>
      <c r="S395" s="25"/>
      <c r="T395" s="25"/>
      <c r="U395" s="25"/>
      <c r="V395" s="25"/>
      <c r="W395" s="25"/>
      <c r="X395" s="449"/>
      <c r="Y395" s="449"/>
      <c r="Z395" s="449"/>
      <c r="AA395" s="20"/>
    </row>
    <row r="396" spans="1:27" s="2" customFormat="1" ht="20.100000000000001" customHeight="1" outlineLevel="1" x14ac:dyDescent="0.25">
      <c r="A396" s="446"/>
      <c r="B396" s="1"/>
      <c r="C396" s="1"/>
      <c r="D396" s="1"/>
      <c r="E396" s="1"/>
      <c r="F396" s="447" t="s">
        <v>6821</v>
      </c>
      <c r="G396" s="450" t="str">
        <f>'Validacao(1)'!BC399</f>
        <v>Não foi preenchida a taxa de sensibilização em 24h do redesafio</v>
      </c>
      <c r="H396" s="456" t="str">
        <f t="shared" ref="H396:H427" ca="1" si="18">IF(O396=1,"x","")</f>
        <v/>
      </c>
      <c r="I396" s="456" t="str">
        <f t="shared" ref="I396:I427" ca="1" si="19">IF(P396=1,"x","")</f>
        <v/>
      </c>
      <c r="J396" s="419"/>
      <c r="K396" s="20"/>
      <c r="L396" s="20"/>
      <c r="N396" s="25">
        <f>COUNTIF($A$29:A396,"x")</f>
        <v>12</v>
      </c>
      <c r="O396" s="25">
        <f ca="1">'Validacao(1)'!BB399</f>
        <v>0</v>
      </c>
      <c r="P396" s="25">
        <f ca="1">'Validacao(2)'!BB399</f>
        <v>0</v>
      </c>
      <c r="Q396" s="25"/>
      <c r="R396" s="25"/>
      <c r="S396" s="25"/>
      <c r="T396" s="25"/>
      <c r="U396" s="25"/>
      <c r="V396" s="25"/>
      <c r="W396" s="25"/>
      <c r="X396" s="449"/>
      <c r="Y396" s="449"/>
      <c r="Z396" s="449"/>
      <c r="AA396" s="20"/>
    </row>
    <row r="397" spans="1:27" s="2" customFormat="1" ht="20.100000000000001" customHeight="1" outlineLevel="1" x14ac:dyDescent="0.25">
      <c r="A397" s="446"/>
      <c r="B397" s="1"/>
      <c r="C397" s="1"/>
      <c r="D397" s="1"/>
      <c r="E397" s="1"/>
      <c r="F397" s="447" t="s">
        <v>6822</v>
      </c>
      <c r="G397" s="450" t="str">
        <f>'Validacao(1)'!BC400</f>
        <v>Não foi preenchida a taxa de sensibilização em 48h do redesafio</v>
      </c>
      <c r="H397" s="456" t="str">
        <f t="shared" ca="1" si="18"/>
        <v/>
      </c>
      <c r="I397" s="456" t="str">
        <f t="shared" ca="1" si="19"/>
        <v/>
      </c>
      <c r="J397" s="419"/>
      <c r="K397" s="20"/>
      <c r="L397" s="20"/>
      <c r="N397" s="25">
        <f>COUNTIF($A$29:A397,"x")</f>
        <v>12</v>
      </c>
      <c r="O397" s="25">
        <f ca="1">'Validacao(1)'!BB400</f>
        <v>0</v>
      </c>
      <c r="P397" s="25">
        <f ca="1">'Validacao(2)'!BB400</f>
        <v>0</v>
      </c>
      <c r="Q397" s="25"/>
      <c r="R397" s="25"/>
      <c r="S397" s="25"/>
      <c r="T397" s="25"/>
      <c r="U397" s="25"/>
      <c r="V397" s="25"/>
      <c r="W397" s="25"/>
      <c r="X397" s="449"/>
      <c r="Y397" s="449"/>
      <c r="Z397" s="449"/>
      <c r="AA397" s="20"/>
    </row>
    <row r="398" spans="1:27" s="2" customFormat="1" ht="20.100000000000001" customHeight="1" outlineLevel="1" x14ac:dyDescent="0.25">
      <c r="A398" s="446"/>
      <c r="B398" s="1"/>
      <c r="C398" s="1"/>
      <c r="D398" s="1"/>
      <c r="E398" s="1"/>
      <c r="F398" s="447" t="s">
        <v>6823</v>
      </c>
      <c r="G398" s="450" t="str">
        <f>'Validacao(1)'!BC401</f>
        <v>Não foi preenchido se houve desvio ao protocolo</v>
      </c>
      <c r="H398" s="456" t="str">
        <f t="shared" ca="1" si="18"/>
        <v/>
      </c>
      <c r="I398" s="456" t="str">
        <f t="shared" ca="1" si="19"/>
        <v/>
      </c>
      <c r="J398" s="419"/>
      <c r="K398" s="20"/>
      <c r="L398" s="20"/>
      <c r="N398" s="25">
        <f>COUNTIF($A$29:A398,"x")</f>
        <v>12</v>
      </c>
      <c r="O398" s="25">
        <f ca="1">'Validacao(1)'!BB401</f>
        <v>0</v>
      </c>
      <c r="P398" s="25">
        <f ca="1">'Validacao(2)'!BB401</f>
        <v>0</v>
      </c>
      <c r="Q398" s="25"/>
      <c r="R398" s="25"/>
      <c r="S398" s="25"/>
      <c r="T398" s="25"/>
      <c r="U398" s="25"/>
      <c r="V398" s="25"/>
      <c r="W398" s="25"/>
      <c r="X398" s="449"/>
      <c r="Y398" s="449"/>
      <c r="Z398" s="449"/>
      <c r="AA398" s="20"/>
    </row>
    <row r="399" spans="1:27" s="2" customFormat="1" ht="20.100000000000001" customHeight="1" outlineLevel="1" x14ac:dyDescent="0.25">
      <c r="A399" s="446"/>
      <c r="B399" s="1"/>
      <c r="C399" s="1"/>
      <c r="D399" s="1"/>
      <c r="E399" s="1"/>
      <c r="F399" s="447" t="s">
        <v>6824</v>
      </c>
      <c r="G399" s="450" t="str">
        <f>'Validacao(1)'!BC402</f>
        <v>Não foi preenchida a conclusão</v>
      </c>
      <c r="H399" s="456" t="str">
        <f t="shared" ca="1" si="18"/>
        <v/>
      </c>
      <c r="I399" s="456" t="str">
        <f t="shared" ca="1" si="19"/>
        <v/>
      </c>
      <c r="J399" s="419"/>
      <c r="K399" s="20"/>
      <c r="L399" s="20"/>
      <c r="N399" s="25">
        <f>COUNTIF($A$29:A399,"x")</f>
        <v>12</v>
      </c>
      <c r="O399" s="25">
        <f ca="1">'Validacao(1)'!BB402</f>
        <v>0</v>
      </c>
      <c r="P399" s="25">
        <f ca="1">'Validacao(2)'!BB402</f>
        <v>0</v>
      </c>
      <c r="Q399" s="25"/>
      <c r="R399" s="25"/>
      <c r="S399" s="25"/>
      <c r="T399" s="25"/>
      <c r="U399" s="25"/>
      <c r="V399" s="25"/>
      <c r="W399" s="25"/>
      <c r="X399" s="449"/>
      <c r="Y399" s="449"/>
      <c r="Z399" s="449"/>
      <c r="AA399" s="20"/>
    </row>
    <row r="400" spans="1:27" s="2" customFormat="1" ht="20.100000000000001" customHeight="1" outlineLevel="1" x14ac:dyDescent="0.25">
      <c r="A400" s="446"/>
      <c r="B400" s="1"/>
      <c r="C400" s="1"/>
      <c r="D400" s="1"/>
      <c r="E400" s="1"/>
      <c r="F400" s="447" t="s">
        <v>6825</v>
      </c>
      <c r="G400" s="450" t="str">
        <f>'Validacao(1)'!BC403</f>
        <v>Estudo conduzido em laboratório sem BPL</v>
      </c>
      <c r="H400" s="456" t="str">
        <f t="shared" ca="1" si="18"/>
        <v/>
      </c>
      <c r="I400" s="456" t="str">
        <f t="shared" ca="1" si="19"/>
        <v/>
      </c>
      <c r="J400" s="419"/>
      <c r="K400" s="20"/>
      <c r="L400" s="20"/>
      <c r="N400" s="25">
        <f>COUNTIF($A$29:A400,"x")</f>
        <v>12</v>
      </c>
      <c r="O400" s="25">
        <f ca="1">'Validacao(1)'!BB403</f>
        <v>0</v>
      </c>
      <c r="P400" s="25">
        <f ca="1">'Validacao(2)'!BB403</f>
        <v>0</v>
      </c>
      <c r="Q400" s="25"/>
      <c r="R400" s="25"/>
      <c r="S400" s="25"/>
      <c r="T400" s="25"/>
      <c r="U400" s="25"/>
      <c r="V400" s="25"/>
      <c r="W400" s="25"/>
      <c r="X400" s="449"/>
      <c r="Y400" s="449"/>
      <c r="Z400" s="449"/>
      <c r="AA400" s="20"/>
    </row>
    <row r="401" spans="1:27" s="2" customFormat="1" ht="20.100000000000001" customHeight="1" outlineLevel="1" x14ac:dyDescent="0.25">
      <c r="A401" s="446"/>
      <c r="B401" s="1"/>
      <c r="C401" s="1"/>
      <c r="D401" s="1"/>
      <c r="E401" s="1"/>
      <c r="F401" s="447" t="s">
        <v>6826</v>
      </c>
      <c r="G401" s="450">
        <f>'Validacao(1)'!BC404</f>
        <v>0</v>
      </c>
      <c r="H401" s="456" t="str">
        <f t="shared" si="18"/>
        <v/>
      </c>
      <c r="I401" s="456" t="str">
        <f t="shared" si="19"/>
        <v/>
      </c>
      <c r="J401" s="419"/>
      <c r="K401" s="20"/>
      <c r="L401" s="20"/>
      <c r="N401" s="25">
        <f>COUNTIF($A$29:A401,"x")</f>
        <v>12</v>
      </c>
      <c r="O401" s="25">
        <f>'Validacao(1)'!BB404</f>
        <v>0</v>
      </c>
      <c r="P401" s="25">
        <f>'Validacao(2)'!BB404</f>
        <v>0</v>
      </c>
      <c r="Q401" s="25"/>
      <c r="R401" s="25"/>
      <c r="S401" s="25"/>
      <c r="T401" s="25"/>
      <c r="U401" s="25"/>
      <c r="V401" s="25"/>
      <c r="W401" s="25"/>
      <c r="X401" s="449"/>
      <c r="Y401" s="449"/>
      <c r="Z401" s="449"/>
      <c r="AA401" s="20"/>
    </row>
    <row r="402" spans="1:27" s="2" customFormat="1" ht="20.100000000000001" customHeight="1" outlineLevel="1" x14ac:dyDescent="0.25">
      <c r="A402" s="446"/>
      <c r="B402" s="1"/>
      <c r="C402" s="1"/>
      <c r="D402" s="1"/>
      <c r="E402" s="1"/>
      <c r="F402" s="447" t="s">
        <v>6827</v>
      </c>
      <c r="G402" s="450" t="str">
        <f>'Validacao(1)'!BC405</f>
        <v>Teste de confiabilidade superior a 6 meses da data do estudo</v>
      </c>
      <c r="H402" s="456" t="str">
        <f t="shared" ca="1" si="18"/>
        <v/>
      </c>
      <c r="I402" s="456" t="str">
        <f t="shared" ca="1" si="19"/>
        <v/>
      </c>
      <c r="J402" s="419"/>
      <c r="K402" s="20"/>
      <c r="L402" s="20"/>
      <c r="N402" s="25">
        <f>COUNTIF($A$29:A402,"x")</f>
        <v>12</v>
      </c>
      <c r="O402" s="25">
        <f ca="1">'Validacao(1)'!BB405</f>
        <v>0</v>
      </c>
      <c r="P402" s="25">
        <f ca="1">'Validacao(2)'!BB405</f>
        <v>0</v>
      </c>
      <c r="Q402" s="25"/>
      <c r="R402" s="25"/>
      <c r="S402" s="25"/>
      <c r="T402" s="25"/>
      <c r="U402" s="25"/>
      <c r="V402" s="25"/>
      <c r="W402" s="25"/>
      <c r="X402" s="449"/>
      <c r="Y402" s="449"/>
      <c r="Z402" s="449"/>
      <c r="AA402" s="20"/>
    </row>
    <row r="403" spans="1:27" s="2" customFormat="1" ht="20.100000000000001" customHeight="1" outlineLevel="1" x14ac:dyDescent="0.25">
      <c r="A403" s="446"/>
      <c r="B403" s="1"/>
      <c r="C403" s="1"/>
      <c r="D403" s="1"/>
      <c r="E403" s="1"/>
      <c r="F403" s="447" t="s">
        <v>6828</v>
      </c>
      <c r="G403" s="450" t="str">
        <f>'Validacao(1)'!BC406</f>
        <v>Teste de confiabilidade é posterior a data do estudo</v>
      </c>
      <c r="H403" s="456" t="str">
        <f t="shared" ca="1" si="18"/>
        <v/>
      </c>
      <c r="I403" s="456" t="str">
        <f t="shared" ca="1" si="19"/>
        <v/>
      </c>
      <c r="J403" s="419"/>
      <c r="K403" s="20"/>
      <c r="L403" s="20"/>
      <c r="N403" s="25">
        <f>COUNTIF($A$29:A403,"x")</f>
        <v>12</v>
      </c>
      <c r="O403" s="25">
        <f ca="1">'Validacao(1)'!BB406</f>
        <v>0</v>
      </c>
      <c r="P403" s="25">
        <f ca="1">'Validacao(2)'!BB406</f>
        <v>0</v>
      </c>
      <c r="Q403" s="25"/>
      <c r="R403" s="25"/>
      <c r="S403" s="25"/>
      <c r="T403" s="25"/>
      <c r="U403" s="25"/>
      <c r="V403" s="25"/>
      <c r="W403" s="25"/>
      <c r="X403" s="449"/>
      <c r="Y403" s="449"/>
      <c r="Z403" s="449"/>
      <c r="AA403" s="20"/>
    </row>
    <row r="404" spans="1:27" s="2" customFormat="1" ht="20.100000000000001" customHeight="1" outlineLevel="1" x14ac:dyDescent="0.25">
      <c r="A404" s="446"/>
      <c r="B404" s="1"/>
      <c r="C404" s="1"/>
      <c r="D404" s="1"/>
      <c r="E404" s="1"/>
      <c r="F404" s="447" t="s">
        <v>6829</v>
      </c>
      <c r="G404" s="450" t="str">
        <f>'Validacao(1)'!BC407</f>
        <v>A substância não foi testada a 100% (preliminar) (Aplicação tópica)</v>
      </c>
      <c r="H404" s="456" t="str">
        <f t="shared" ca="1" si="18"/>
        <v/>
      </c>
      <c r="I404" s="456" t="str">
        <f t="shared" ca="1" si="19"/>
        <v/>
      </c>
      <c r="J404" s="419"/>
      <c r="K404" s="20"/>
      <c r="L404" s="20"/>
      <c r="N404" s="25">
        <f>COUNTIF($A$29:A404,"x")</f>
        <v>12</v>
      </c>
      <c r="O404" s="25">
        <f ca="1">'Validacao(1)'!BB407</f>
        <v>0</v>
      </c>
      <c r="P404" s="25">
        <f ca="1">'Validacao(2)'!BB407</f>
        <v>0</v>
      </c>
      <c r="Q404" s="25"/>
      <c r="R404" s="25"/>
      <c r="S404" s="25"/>
      <c r="T404" s="25"/>
      <c r="U404" s="25"/>
      <c r="V404" s="25"/>
      <c r="W404" s="25"/>
      <c r="X404" s="449"/>
      <c r="Y404" s="449"/>
      <c r="Z404" s="449"/>
      <c r="AA404" s="20"/>
    </row>
    <row r="405" spans="1:27" s="2" customFormat="1" ht="20.100000000000001" customHeight="1" outlineLevel="1" x14ac:dyDescent="0.25">
      <c r="A405" s="446"/>
      <c r="B405" s="1"/>
      <c r="C405" s="1"/>
      <c r="D405" s="1"/>
      <c r="E405" s="1"/>
      <c r="F405" s="447" t="s">
        <v>6830</v>
      </c>
      <c r="G405" s="450" t="str">
        <f>'Validacao(1)'!BC408</f>
        <v>Nº de animais do controle negativo inferior a 10 (Buehler)</v>
      </c>
      <c r="H405" s="456" t="str">
        <f t="shared" ca="1" si="18"/>
        <v/>
      </c>
      <c r="I405" s="456" t="str">
        <f t="shared" ca="1" si="19"/>
        <v/>
      </c>
      <c r="J405" s="419"/>
      <c r="K405" s="20"/>
      <c r="L405" s="20"/>
      <c r="N405" s="25">
        <f>COUNTIF($A$29:A405,"x")</f>
        <v>12</v>
      </c>
      <c r="O405" s="25">
        <f ca="1">'Validacao(1)'!BB408</f>
        <v>0</v>
      </c>
      <c r="P405" s="25">
        <f ca="1">'Validacao(2)'!BB408</f>
        <v>0</v>
      </c>
      <c r="Q405" s="25"/>
      <c r="R405" s="25"/>
      <c r="S405" s="25"/>
      <c r="T405" s="25"/>
      <c r="U405" s="25"/>
      <c r="V405" s="25"/>
      <c r="W405" s="25"/>
      <c r="X405" s="449"/>
      <c r="Y405" s="449"/>
      <c r="Z405" s="449"/>
      <c r="AA405" s="20"/>
    </row>
    <row r="406" spans="1:27" s="2" customFormat="1" ht="20.100000000000001" customHeight="1" outlineLevel="1" x14ac:dyDescent="0.25">
      <c r="A406" s="446"/>
      <c r="B406" s="1"/>
      <c r="C406" s="1"/>
      <c r="D406" s="1"/>
      <c r="E406" s="1"/>
      <c r="F406" s="447" t="s">
        <v>6831</v>
      </c>
      <c r="G406" s="450" t="str">
        <f>'Validacao(1)'!BC409</f>
        <v>Nº de animais testados inferior a 20 (Buehler)</v>
      </c>
      <c r="H406" s="456" t="str">
        <f t="shared" ca="1" si="18"/>
        <v/>
      </c>
      <c r="I406" s="456" t="str">
        <f t="shared" ca="1" si="19"/>
        <v/>
      </c>
      <c r="J406" s="419"/>
      <c r="K406" s="20"/>
      <c r="L406" s="20"/>
      <c r="N406" s="25">
        <f>COUNTIF($A$29:A406,"x")</f>
        <v>12</v>
      </c>
      <c r="O406" s="25">
        <f ca="1">'Validacao(1)'!BB409</f>
        <v>0</v>
      </c>
      <c r="P406" s="25">
        <f ca="1">'Validacao(2)'!BB409</f>
        <v>0</v>
      </c>
      <c r="Q406" s="25"/>
      <c r="R406" s="25"/>
      <c r="S406" s="25"/>
      <c r="T406" s="25"/>
      <c r="U406" s="25"/>
      <c r="V406" s="25"/>
      <c r="W406" s="25"/>
      <c r="X406" s="449"/>
      <c r="Y406" s="449"/>
      <c r="Z406" s="449"/>
      <c r="AA406" s="20"/>
    </row>
    <row r="407" spans="1:27" s="2" customFormat="1" ht="20.100000000000001" customHeight="1" outlineLevel="1" x14ac:dyDescent="0.25">
      <c r="A407" s="446"/>
      <c r="B407" s="1"/>
      <c r="C407" s="1"/>
      <c r="D407" s="1"/>
      <c r="E407" s="1"/>
      <c r="F407" s="447" t="s">
        <v>6832</v>
      </c>
      <c r="G407" s="450" t="str">
        <f>'Validacao(1)'!BC410</f>
        <v>Taxa de sensibilização maior do que 15% (Buhler)</v>
      </c>
      <c r="H407" s="456" t="str">
        <f t="shared" ca="1" si="18"/>
        <v/>
      </c>
      <c r="I407" s="456" t="str">
        <f t="shared" ca="1" si="19"/>
        <v/>
      </c>
      <c r="J407" s="419"/>
      <c r="K407" s="20"/>
      <c r="L407" s="20"/>
      <c r="N407" s="25">
        <f>COUNTIF($A$29:A407,"x")</f>
        <v>12</v>
      </c>
      <c r="O407" s="25">
        <f ca="1">'Validacao(1)'!BB410</f>
        <v>0</v>
      </c>
      <c r="P407" s="25">
        <f ca="1">'Validacao(2)'!BB410</f>
        <v>0</v>
      </c>
      <c r="Q407" s="25"/>
      <c r="R407" s="25"/>
      <c r="S407" s="25"/>
      <c r="T407" s="25"/>
      <c r="U407" s="25"/>
      <c r="V407" s="25"/>
      <c r="W407" s="25"/>
      <c r="X407" s="449"/>
      <c r="Y407" s="449"/>
      <c r="Z407" s="449"/>
      <c r="AA407" s="20"/>
    </row>
    <row r="408" spans="1:27" s="2" customFormat="1" ht="20.100000000000001" customHeight="1" outlineLevel="1" x14ac:dyDescent="0.25">
      <c r="A408" s="446"/>
      <c r="B408" s="1"/>
      <c r="C408" s="1"/>
      <c r="D408" s="1"/>
      <c r="E408" s="1"/>
      <c r="F408" s="447" t="s">
        <v>6833</v>
      </c>
      <c r="G408" s="450" t="str">
        <f>'Validacao(1)'!BC411</f>
        <v>Nº de animais do controle negativo inferior a 5 (Maximização)</v>
      </c>
      <c r="H408" s="456" t="str">
        <f t="shared" ca="1" si="18"/>
        <v/>
      </c>
      <c r="I408" s="456" t="str">
        <f t="shared" ca="1" si="19"/>
        <v/>
      </c>
      <c r="J408" s="419"/>
      <c r="K408" s="20"/>
      <c r="L408" s="20"/>
      <c r="N408" s="25">
        <f>COUNTIF($A$29:A408,"x")</f>
        <v>12</v>
      </c>
      <c r="O408" s="25">
        <f ca="1">'Validacao(1)'!BB411</f>
        <v>0</v>
      </c>
      <c r="P408" s="25">
        <f ca="1">'Validacao(2)'!BB411</f>
        <v>0</v>
      </c>
      <c r="Q408" s="25"/>
      <c r="R408" s="25"/>
      <c r="S408" s="25"/>
      <c r="T408" s="25"/>
      <c r="U408" s="25"/>
      <c r="V408" s="25"/>
      <c r="W408" s="25"/>
      <c r="X408" s="449"/>
      <c r="Y408" s="449"/>
      <c r="Z408" s="449"/>
      <c r="AA408" s="20"/>
    </row>
    <row r="409" spans="1:27" s="2" customFormat="1" ht="20.100000000000001" customHeight="1" outlineLevel="1" x14ac:dyDescent="0.25">
      <c r="A409" s="446"/>
      <c r="B409" s="1"/>
      <c r="C409" s="1"/>
      <c r="D409" s="1"/>
      <c r="E409" s="1"/>
      <c r="F409" s="447" t="s">
        <v>6834</v>
      </c>
      <c r="G409" s="450" t="str">
        <f>'Validacao(1)'!BC412</f>
        <v>Nº de animais testados inferior a 10 (Maximização)</v>
      </c>
      <c r="H409" s="456" t="str">
        <f t="shared" ca="1" si="18"/>
        <v/>
      </c>
      <c r="I409" s="456" t="str">
        <f t="shared" ca="1" si="19"/>
        <v/>
      </c>
      <c r="J409" s="419"/>
      <c r="K409" s="20"/>
      <c r="L409" s="20"/>
      <c r="N409" s="25">
        <f>COUNTIF($A$29:A409,"x")</f>
        <v>12</v>
      </c>
      <c r="O409" s="25">
        <f ca="1">'Validacao(1)'!BB412</f>
        <v>0</v>
      </c>
      <c r="P409" s="25">
        <f ca="1">'Validacao(2)'!BB412</f>
        <v>0</v>
      </c>
      <c r="Q409" s="25"/>
      <c r="R409" s="25"/>
      <c r="S409" s="25"/>
      <c r="T409" s="25"/>
      <c r="U409" s="25"/>
      <c r="V409" s="25"/>
      <c r="W409" s="25"/>
      <c r="X409" s="449"/>
      <c r="Y409" s="449"/>
      <c r="Z409" s="449"/>
      <c r="AA409" s="20"/>
    </row>
    <row r="410" spans="1:27" s="2" customFormat="1" ht="20.100000000000001" customHeight="1" outlineLevel="1" x14ac:dyDescent="0.25">
      <c r="A410" s="446"/>
      <c r="B410" s="1"/>
      <c r="C410" s="1"/>
      <c r="D410" s="1"/>
      <c r="E410" s="1"/>
      <c r="F410" s="447" t="s">
        <v>6835</v>
      </c>
      <c r="G410" s="450" t="str">
        <f>'Validacao(1)'!BC413</f>
        <v>Taxa de sensibilização maior do que 30% (Maximização)</v>
      </c>
      <c r="H410" s="456" t="str">
        <f t="shared" ca="1" si="18"/>
        <v/>
      </c>
      <c r="I410" s="456" t="str">
        <f t="shared" ca="1" si="19"/>
        <v/>
      </c>
      <c r="J410" s="419"/>
      <c r="K410" s="20"/>
      <c r="L410" s="20"/>
      <c r="N410" s="25">
        <f>COUNTIF($A$29:A410,"x")</f>
        <v>12</v>
      </c>
      <c r="O410" s="25">
        <f ca="1">'Validacao(1)'!BB413</f>
        <v>0</v>
      </c>
      <c r="P410" s="25">
        <f ca="1">'Validacao(2)'!BB413</f>
        <v>0</v>
      </c>
      <c r="Q410" s="25"/>
      <c r="R410" s="25"/>
      <c r="S410" s="25"/>
      <c r="T410" s="25"/>
      <c r="U410" s="25"/>
      <c r="V410" s="25"/>
      <c r="W410" s="25"/>
      <c r="X410" s="449"/>
      <c r="Y410" s="449"/>
      <c r="Z410" s="449"/>
      <c r="AA410" s="20"/>
    </row>
    <row r="411" spans="1:27" s="2" customFormat="1" ht="20.100000000000001" customHeight="1" outlineLevel="1" x14ac:dyDescent="0.25">
      <c r="A411" s="446"/>
      <c r="B411" s="1"/>
      <c r="C411" s="1"/>
      <c r="D411" s="1"/>
      <c r="E411" s="1"/>
      <c r="F411" s="447" t="s">
        <v>6836</v>
      </c>
      <c r="G411" s="450" t="str">
        <f>'Validacao(1)'!BC414</f>
        <v>A dose administrada na indução foi diferente da dose escolhida no teste preliminar</v>
      </c>
      <c r="H411" s="456" t="str">
        <f t="shared" ca="1" si="18"/>
        <v/>
      </c>
      <c r="I411" s="456" t="str">
        <f t="shared" ca="1" si="19"/>
        <v/>
      </c>
      <c r="J411" s="419"/>
      <c r="K411" s="20"/>
      <c r="L411" s="20"/>
      <c r="N411" s="25">
        <f>COUNTIF($A$29:A411,"x")</f>
        <v>12</v>
      </c>
      <c r="O411" s="25">
        <f ca="1">'Validacao(1)'!BB414</f>
        <v>0</v>
      </c>
      <c r="P411" s="25">
        <f ca="1">'Validacao(2)'!BB414</f>
        <v>0</v>
      </c>
      <c r="Q411" s="25"/>
      <c r="R411" s="25"/>
      <c r="S411" s="25"/>
      <c r="T411" s="25"/>
      <c r="U411" s="25"/>
      <c r="V411" s="25"/>
      <c r="W411" s="25"/>
      <c r="X411" s="449"/>
      <c r="Y411" s="449"/>
      <c r="Z411" s="449"/>
      <c r="AA411" s="20"/>
    </row>
    <row r="412" spans="1:27" s="2" customFormat="1" ht="20.100000000000001" customHeight="1" outlineLevel="1" x14ac:dyDescent="0.25">
      <c r="A412" s="446"/>
      <c r="B412" s="1"/>
      <c r="C412" s="1"/>
      <c r="D412" s="1"/>
      <c r="E412" s="1"/>
      <c r="F412" s="447" t="s">
        <v>6837</v>
      </c>
      <c r="G412" s="450" t="str">
        <f>'Validacao(1)'!BC415</f>
        <v>A dose administrada no desafio foi diferente da dose escolhida no teste preliminar</v>
      </c>
      <c r="H412" s="456" t="str">
        <f t="shared" ca="1" si="18"/>
        <v/>
      </c>
      <c r="I412" s="456" t="str">
        <f t="shared" ca="1" si="19"/>
        <v/>
      </c>
      <c r="J412" s="419"/>
      <c r="K412" s="20"/>
      <c r="L412" s="20"/>
      <c r="N412" s="25">
        <f>COUNTIF($A$29:A412,"x")</f>
        <v>12</v>
      </c>
      <c r="O412" s="25">
        <f ca="1">'Validacao(1)'!BB415</f>
        <v>0</v>
      </c>
      <c r="P412" s="25">
        <f ca="1">'Validacao(2)'!BB415</f>
        <v>0</v>
      </c>
      <c r="Q412" s="25"/>
      <c r="R412" s="25"/>
      <c r="S412" s="25"/>
      <c r="T412" s="25"/>
      <c r="U412" s="25"/>
      <c r="V412" s="25"/>
      <c r="W412" s="25"/>
      <c r="X412" s="449"/>
      <c r="Y412" s="449"/>
      <c r="Z412" s="449"/>
      <c r="AA412" s="20"/>
    </row>
    <row r="413" spans="1:27" s="2" customFormat="1" ht="20.100000000000001" customHeight="1" outlineLevel="1" x14ac:dyDescent="0.25">
      <c r="A413" s="446"/>
      <c r="B413" s="1"/>
      <c r="C413" s="1"/>
      <c r="D413" s="1"/>
      <c r="E413" s="1"/>
      <c r="F413" s="447" t="s">
        <v>6838</v>
      </c>
      <c r="G413" s="450" t="str">
        <f>'Validacao(1)'!BC416</f>
        <v>Tempo entre última indução e desafio está fora do definido pelo protocolo (10 a 14 dias)</v>
      </c>
      <c r="H413" s="456" t="str">
        <f t="shared" ca="1" si="18"/>
        <v/>
      </c>
      <c r="I413" s="456" t="str">
        <f t="shared" ca="1" si="19"/>
        <v/>
      </c>
      <c r="J413" s="419"/>
      <c r="K413" s="20"/>
      <c r="L413" s="20"/>
      <c r="N413" s="25">
        <f>COUNTIF($A$29:A413,"x")</f>
        <v>12</v>
      </c>
      <c r="O413" s="25">
        <f ca="1">'Validacao(1)'!BB416</f>
        <v>0</v>
      </c>
      <c r="P413" s="25">
        <f ca="1">'Validacao(2)'!BB416</f>
        <v>0</v>
      </c>
      <c r="Q413" s="25"/>
      <c r="R413" s="25"/>
      <c r="S413" s="25"/>
      <c r="T413" s="25"/>
      <c r="U413" s="25"/>
      <c r="V413" s="25"/>
      <c r="W413" s="25"/>
      <c r="X413" s="449"/>
      <c r="Y413" s="449"/>
      <c r="Z413" s="449"/>
      <c r="AA413" s="20"/>
    </row>
    <row r="414" spans="1:27" s="2" customFormat="1" ht="20.100000000000001" customHeight="1" outlineLevel="1" x14ac:dyDescent="0.25">
      <c r="A414" s="446"/>
      <c r="B414" s="1"/>
      <c r="C414" s="1"/>
      <c r="D414" s="1"/>
      <c r="E414" s="1"/>
      <c r="F414" s="447" t="s">
        <v>6839</v>
      </c>
      <c r="G414" s="450" t="str">
        <f>'Validacao(1)'!BC417</f>
        <v>Tempo entre desafio e redesafio foi superior a 7 dias</v>
      </c>
      <c r="H414" s="456" t="str">
        <f t="shared" ca="1" si="18"/>
        <v/>
      </c>
      <c r="I414" s="456" t="str">
        <f t="shared" ca="1" si="19"/>
        <v/>
      </c>
      <c r="J414" s="419"/>
      <c r="K414" s="20"/>
      <c r="L414" s="20"/>
      <c r="N414" s="25">
        <f>COUNTIF($A$29:A414,"x")</f>
        <v>12</v>
      </c>
      <c r="O414" s="25">
        <f ca="1">'Validacao(1)'!BB417</f>
        <v>0</v>
      </c>
      <c r="P414" s="25">
        <f ca="1">'Validacao(2)'!BB417</f>
        <v>0</v>
      </c>
      <c r="Q414" s="25"/>
      <c r="R414" s="25"/>
      <c r="S414" s="25"/>
      <c r="T414" s="25"/>
      <c r="U414" s="25"/>
      <c r="V414" s="25"/>
      <c r="W414" s="25"/>
      <c r="X414" s="449"/>
      <c r="Y414" s="449"/>
      <c r="Z414" s="449"/>
      <c r="AA414" s="20"/>
    </row>
    <row r="415" spans="1:27" s="2" customFormat="1" ht="20.100000000000001" customHeight="1" outlineLevel="1" x14ac:dyDescent="0.25">
      <c r="A415" s="446"/>
      <c r="B415" s="1"/>
      <c r="C415" s="1"/>
      <c r="D415" s="1"/>
      <c r="E415" s="1"/>
      <c r="F415" s="447" t="s">
        <v>6840</v>
      </c>
      <c r="G415" s="450" t="str">
        <f>'Validacao(1)'!BC418</f>
        <v>Foram descritos desvios ao protocolo</v>
      </c>
      <c r="H415" s="456" t="str">
        <f t="shared" ca="1" si="18"/>
        <v/>
      </c>
      <c r="I415" s="456" t="str">
        <f t="shared" ca="1" si="19"/>
        <v/>
      </c>
      <c r="J415" s="419"/>
      <c r="K415" s="20"/>
      <c r="L415" s="20"/>
      <c r="N415" s="25">
        <f>COUNTIF($A$29:A415,"x")</f>
        <v>12</v>
      </c>
      <c r="O415" s="25">
        <f ca="1">'Validacao(1)'!BB418</f>
        <v>0</v>
      </c>
      <c r="P415" s="25">
        <f ca="1">'Validacao(2)'!BB418</f>
        <v>0</v>
      </c>
      <c r="Q415" s="25"/>
      <c r="R415" s="25"/>
      <c r="S415" s="25"/>
      <c r="T415" s="25"/>
      <c r="U415" s="25"/>
      <c r="V415" s="25"/>
      <c r="W415" s="25"/>
      <c r="X415" s="449"/>
      <c r="Y415" s="449"/>
      <c r="Z415" s="449"/>
      <c r="AA415" s="20"/>
    </row>
    <row r="416" spans="1:27" s="2" customFormat="1" ht="20.100000000000001" customHeight="1" outlineLevel="1" x14ac:dyDescent="0.25">
      <c r="A416" s="446"/>
      <c r="B416" s="1"/>
      <c r="C416" s="1"/>
      <c r="D416" s="1"/>
      <c r="E416" s="1"/>
      <c r="F416" s="447" t="s">
        <v>6841</v>
      </c>
      <c r="G416" s="450" t="str">
        <f>'Validacao(1)'!BC419</f>
        <v>Os desvios inteferiram nos resultados</v>
      </c>
      <c r="H416" s="456" t="str">
        <f t="shared" ca="1" si="18"/>
        <v/>
      </c>
      <c r="I416" s="456" t="str">
        <f t="shared" ca="1" si="19"/>
        <v/>
      </c>
      <c r="J416" s="419"/>
      <c r="K416" s="20"/>
      <c r="L416" s="20"/>
      <c r="N416" s="25">
        <f>COUNTIF($A$29:A416,"x")</f>
        <v>12</v>
      </c>
      <c r="O416" s="25">
        <f ca="1">'Validacao(1)'!BB419</f>
        <v>0</v>
      </c>
      <c r="P416" s="25">
        <f ca="1">'Validacao(2)'!BB419</f>
        <v>0</v>
      </c>
      <c r="Q416" s="25"/>
      <c r="R416" s="25"/>
      <c r="S416" s="25"/>
      <c r="T416" s="25"/>
      <c r="U416" s="25"/>
      <c r="V416" s="25"/>
      <c r="W416" s="25"/>
      <c r="X416" s="449"/>
      <c r="Y416" s="449"/>
      <c r="Z416" s="449"/>
      <c r="AA416" s="20"/>
    </row>
    <row r="417" spans="1:27" s="2" customFormat="1" ht="20.100000000000001" customHeight="1" outlineLevel="1" x14ac:dyDescent="0.25">
      <c r="A417" s="446"/>
      <c r="B417" s="1"/>
      <c r="C417" s="1"/>
      <c r="D417" s="1"/>
      <c r="E417" s="1"/>
      <c r="F417" s="447" t="s">
        <v>6842</v>
      </c>
      <c r="G417" s="450" t="str">
        <f>'Validacao(1)'!BC420</f>
        <v>Foi apresentada argumentação científica anexa ao estudo</v>
      </c>
      <c r="H417" s="456" t="str">
        <f t="shared" ca="1" si="18"/>
        <v/>
      </c>
      <c r="I417" s="456" t="str">
        <f t="shared" ca="1" si="19"/>
        <v/>
      </c>
      <c r="J417" s="419"/>
      <c r="K417" s="20"/>
      <c r="L417" s="20"/>
      <c r="N417" s="25">
        <f>COUNTIF($A$29:A417,"x")</f>
        <v>12</v>
      </c>
      <c r="O417" s="25">
        <f ca="1">'Validacao(1)'!BB420</f>
        <v>0</v>
      </c>
      <c r="P417" s="25">
        <f ca="1">'Validacao(2)'!BB420</f>
        <v>0</v>
      </c>
      <c r="Q417" s="25"/>
      <c r="R417" s="25"/>
      <c r="S417" s="25"/>
      <c r="T417" s="25"/>
      <c r="U417" s="25"/>
      <c r="V417" s="25"/>
      <c r="W417" s="25"/>
      <c r="X417" s="449"/>
      <c r="Y417" s="449"/>
      <c r="Z417" s="449"/>
      <c r="AA417" s="20"/>
    </row>
    <row r="418" spans="1:27" s="2" customFormat="1" ht="20.100000000000001" customHeight="1" outlineLevel="1" x14ac:dyDescent="0.25">
      <c r="A418" s="446"/>
      <c r="B418" s="1"/>
      <c r="C418" s="1"/>
      <c r="D418" s="1"/>
      <c r="E418" s="1"/>
      <c r="F418" s="447" t="s">
        <v>6843</v>
      </c>
      <c r="G418" s="450" t="str">
        <f>'Validacao(1)'!BC421</f>
        <v>O certificado não foi preenchido na aba "Certificados"</v>
      </c>
      <c r="H418" s="456" t="str">
        <f t="shared" ca="1" si="18"/>
        <v/>
      </c>
      <c r="I418" s="456" t="str">
        <f t="shared" ca="1" si="19"/>
        <v/>
      </c>
      <c r="J418" s="419"/>
      <c r="K418" s="20"/>
      <c r="L418" s="20"/>
      <c r="N418" s="25">
        <f>COUNTIF($A$29:A418,"x")</f>
        <v>12</v>
      </c>
      <c r="O418" s="25">
        <f ca="1">'Validacao(1)'!BB421</f>
        <v>0</v>
      </c>
      <c r="P418" s="25">
        <f ca="1">'Validacao(2)'!BB421</f>
        <v>0</v>
      </c>
      <c r="Q418" s="25"/>
      <c r="R418" s="25"/>
      <c r="S418" s="25"/>
      <c r="T418" s="25"/>
      <c r="U418" s="25"/>
      <c r="V418" s="25"/>
      <c r="W418" s="25"/>
      <c r="X418" s="449"/>
      <c r="Y418" s="449"/>
      <c r="Z418" s="449"/>
      <c r="AA418" s="20"/>
    </row>
    <row r="419" spans="1:27" s="2" customFormat="1" ht="20.100000000000001" customHeight="1" outlineLevel="1" x14ac:dyDescent="0.25">
      <c r="A419" s="446"/>
      <c r="B419" s="1"/>
      <c r="C419" s="1"/>
      <c r="D419" s="1"/>
      <c r="E419" s="1"/>
      <c r="F419" s="447" t="s">
        <v>6844</v>
      </c>
      <c r="G419" s="450" t="str">
        <f>'Validacao(1)'!BC422</f>
        <v>Estudo conduzido com amostra vencida</v>
      </c>
      <c r="H419" s="456" t="str">
        <f t="shared" ca="1" si="18"/>
        <v/>
      </c>
      <c r="I419" s="456" t="str">
        <f t="shared" ca="1" si="19"/>
        <v/>
      </c>
      <c r="J419" s="419"/>
      <c r="K419" s="20"/>
      <c r="L419" s="20"/>
      <c r="N419" s="25">
        <f>COUNTIF($A$29:A419,"x")</f>
        <v>12</v>
      </c>
      <c r="O419" s="25">
        <f ca="1">'Validacao(1)'!BB422</f>
        <v>0</v>
      </c>
      <c r="P419" s="25">
        <f ca="1">'Validacao(2)'!BB422</f>
        <v>0</v>
      </c>
      <c r="Q419" s="25"/>
      <c r="R419" s="25"/>
      <c r="S419" s="25"/>
      <c r="T419" s="25"/>
      <c r="U419" s="25"/>
      <c r="V419" s="25"/>
      <c r="W419" s="25"/>
      <c r="X419" s="449"/>
      <c r="Y419" s="449"/>
      <c r="Z419" s="449"/>
      <c r="AA419" s="20"/>
    </row>
    <row r="420" spans="1:27" s="2" customFormat="1" ht="20.100000000000001" customHeight="1" outlineLevel="1" x14ac:dyDescent="0.25">
      <c r="A420" s="446"/>
      <c r="B420" s="1"/>
      <c r="C420" s="1"/>
      <c r="D420" s="1"/>
      <c r="E420" s="1"/>
      <c r="F420" s="447" t="s">
        <v>6845</v>
      </c>
      <c r="G420" s="450" t="str">
        <f>'Validacao(1)'!BC423</f>
        <v>Estudo conduzido com amostra fora da DCQQ</v>
      </c>
      <c r="H420" s="456" t="str">
        <f t="shared" ca="1" si="18"/>
        <v/>
      </c>
      <c r="I420" s="456" t="str">
        <f t="shared" ca="1" si="19"/>
        <v/>
      </c>
      <c r="J420" s="419"/>
      <c r="K420" s="20"/>
      <c r="L420" s="20"/>
      <c r="N420" s="25">
        <f>COUNTIF($A$29:A420,"x")</f>
        <v>12</v>
      </c>
      <c r="O420" s="25">
        <f ca="1">'Validacao(1)'!BB423</f>
        <v>0</v>
      </c>
      <c r="P420" s="25">
        <f ca="1">'Validacao(2)'!BB423</f>
        <v>0</v>
      </c>
      <c r="Q420" s="25"/>
      <c r="R420" s="25"/>
      <c r="S420" s="25"/>
      <c r="T420" s="25"/>
      <c r="U420" s="25"/>
      <c r="V420" s="25"/>
      <c r="W420" s="25"/>
      <c r="X420" s="449"/>
      <c r="Y420" s="449"/>
      <c r="Z420" s="449"/>
      <c r="AA420" s="20"/>
    </row>
    <row r="421" spans="1:27" s="2" customFormat="1" ht="20.100000000000001" customHeight="1" outlineLevel="1" x14ac:dyDescent="0.25">
      <c r="A421" s="446"/>
      <c r="B421" s="1"/>
      <c r="C421" s="1"/>
      <c r="D421" s="1"/>
      <c r="E421" s="1"/>
      <c r="F421" s="447" t="s">
        <v>6846</v>
      </c>
      <c r="G421" s="450">
        <f>'Validacao(1)'!BC424</f>
        <v>0</v>
      </c>
      <c r="H421" s="456" t="str">
        <f t="shared" si="18"/>
        <v/>
      </c>
      <c r="I421" s="456" t="str">
        <f t="shared" si="19"/>
        <v/>
      </c>
      <c r="J421" s="419"/>
      <c r="K421" s="20"/>
      <c r="L421" s="20"/>
      <c r="N421" s="25">
        <f>COUNTIF($A$29:A421,"x")</f>
        <v>12</v>
      </c>
      <c r="O421" s="25">
        <f>'Validacao(1)'!BB424</f>
        <v>0</v>
      </c>
      <c r="P421" s="25">
        <f>'Validacao(2)'!BB424</f>
        <v>0</v>
      </c>
      <c r="Q421" s="25"/>
      <c r="R421" s="25"/>
      <c r="S421" s="25"/>
      <c r="T421" s="25"/>
      <c r="U421" s="25"/>
      <c r="V421" s="25"/>
      <c r="W421" s="25"/>
      <c r="X421" s="449"/>
      <c r="Y421" s="449"/>
      <c r="Z421" s="449"/>
      <c r="AA421" s="20"/>
    </row>
    <row r="422" spans="1:27" s="2" customFormat="1" ht="20.100000000000001" customHeight="1" outlineLevel="1" x14ac:dyDescent="0.25">
      <c r="A422" s="446"/>
      <c r="B422" s="1"/>
      <c r="C422" s="1"/>
      <c r="D422" s="1"/>
      <c r="E422" s="1"/>
      <c r="F422" s="447" t="s">
        <v>6847</v>
      </c>
      <c r="G422" s="450">
        <f>'Validacao(1)'!BC425</f>
        <v>0</v>
      </c>
      <c r="H422" s="456" t="str">
        <f t="shared" si="18"/>
        <v/>
      </c>
      <c r="I422" s="456" t="str">
        <f t="shared" si="19"/>
        <v/>
      </c>
      <c r="J422" s="419"/>
      <c r="K422" s="20"/>
      <c r="L422" s="20"/>
      <c r="N422" s="25">
        <f>COUNTIF($A$29:A422,"x")</f>
        <v>12</v>
      </c>
      <c r="O422" s="25">
        <f>'Validacao(1)'!BB425</f>
        <v>0</v>
      </c>
      <c r="P422" s="25">
        <f>'Validacao(2)'!BB425</f>
        <v>0</v>
      </c>
      <c r="Q422" s="25"/>
      <c r="R422" s="25"/>
      <c r="S422" s="25"/>
      <c r="T422" s="25"/>
      <c r="U422" s="25"/>
      <c r="V422" s="25"/>
      <c r="W422" s="25"/>
      <c r="X422" s="449"/>
      <c r="Y422" s="449"/>
      <c r="Z422" s="449"/>
      <c r="AA422" s="20"/>
    </row>
    <row r="423" spans="1:27" s="2" customFormat="1" ht="20.100000000000001" customHeight="1" outlineLevel="1" x14ac:dyDescent="0.25">
      <c r="A423" s="446"/>
      <c r="B423" s="1"/>
      <c r="C423" s="1"/>
      <c r="D423" s="1"/>
      <c r="E423" s="1"/>
      <c r="F423" s="447" t="s">
        <v>6848</v>
      </c>
      <c r="G423" s="450">
        <f>'Validacao(1)'!BC426</f>
        <v>0</v>
      </c>
      <c r="H423" s="456" t="str">
        <f t="shared" si="18"/>
        <v/>
      </c>
      <c r="I423" s="456" t="str">
        <f t="shared" si="19"/>
        <v/>
      </c>
      <c r="J423" s="419"/>
      <c r="K423" s="20"/>
      <c r="L423" s="20"/>
      <c r="N423" s="25">
        <f>COUNTIF($A$29:A423,"x")</f>
        <v>12</v>
      </c>
      <c r="O423" s="25">
        <f>'Validacao(1)'!BB426</f>
        <v>0</v>
      </c>
      <c r="P423" s="25">
        <f>'Validacao(2)'!BB426</f>
        <v>0</v>
      </c>
      <c r="Q423" s="25"/>
      <c r="R423" s="25"/>
      <c r="S423" s="25"/>
      <c r="T423" s="25"/>
      <c r="U423" s="25"/>
      <c r="V423" s="25"/>
      <c r="W423" s="25"/>
      <c r="X423" s="449"/>
      <c r="Y423" s="449"/>
      <c r="Z423" s="449"/>
      <c r="AA423" s="20"/>
    </row>
    <row r="424" spans="1:27" s="2" customFormat="1" ht="20.100000000000001" customHeight="1" outlineLevel="1" x14ac:dyDescent="0.25">
      <c r="A424" s="446"/>
      <c r="B424" s="1"/>
      <c r="C424" s="1"/>
      <c r="D424" s="1"/>
      <c r="E424" s="1"/>
      <c r="F424" s="447" t="s">
        <v>6849</v>
      </c>
      <c r="G424" s="450">
        <f>'Validacao(1)'!BC427</f>
        <v>0</v>
      </c>
      <c r="H424" s="456" t="str">
        <f t="shared" si="18"/>
        <v/>
      </c>
      <c r="I424" s="456" t="str">
        <f t="shared" si="19"/>
        <v/>
      </c>
      <c r="J424" s="419"/>
      <c r="K424" s="20"/>
      <c r="L424" s="20"/>
      <c r="N424" s="25">
        <f>COUNTIF($A$29:A424,"x")</f>
        <v>12</v>
      </c>
      <c r="O424" s="25">
        <f>'Validacao(1)'!BB427</f>
        <v>0</v>
      </c>
      <c r="P424" s="25">
        <f>'Validacao(2)'!BB427</f>
        <v>0</v>
      </c>
      <c r="Q424" s="25"/>
      <c r="R424" s="25"/>
      <c r="S424" s="25"/>
      <c r="T424" s="25"/>
      <c r="U424" s="25"/>
      <c r="V424" s="25"/>
      <c r="W424" s="25"/>
      <c r="X424" s="449"/>
      <c r="Y424" s="449"/>
      <c r="Z424" s="449"/>
      <c r="AA424" s="20"/>
    </row>
    <row r="425" spans="1:27" s="2" customFormat="1" ht="20.100000000000001" customHeight="1" outlineLevel="1" x14ac:dyDescent="0.25">
      <c r="A425" s="446"/>
      <c r="B425" s="1"/>
      <c r="C425" s="1"/>
      <c r="D425" s="1"/>
      <c r="E425" s="1"/>
      <c r="F425" s="447" t="s">
        <v>6850</v>
      </c>
      <c r="G425" s="450">
        <f>'Validacao(1)'!BC428</f>
        <v>0</v>
      </c>
      <c r="H425" s="456" t="str">
        <f t="shared" si="18"/>
        <v/>
      </c>
      <c r="I425" s="456" t="str">
        <f t="shared" si="19"/>
        <v/>
      </c>
      <c r="J425" s="419"/>
      <c r="K425" s="20"/>
      <c r="L425" s="20"/>
      <c r="N425" s="25">
        <f>COUNTIF($A$29:A425,"x")</f>
        <v>12</v>
      </c>
      <c r="O425" s="25">
        <f>'Validacao(1)'!BB428</f>
        <v>0</v>
      </c>
      <c r="P425" s="25">
        <f>'Validacao(2)'!BB428</f>
        <v>0</v>
      </c>
      <c r="Q425" s="25"/>
      <c r="R425" s="25"/>
      <c r="S425" s="25"/>
      <c r="T425" s="25"/>
      <c r="U425" s="25"/>
      <c r="V425" s="25"/>
      <c r="W425" s="25"/>
      <c r="X425" s="449"/>
      <c r="Y425" s="449"/>
      <c r="Z425" s="449"/>
      <c r="AA425" s="20"/>
    </row>
    <row r="426" spans="1:27" s="2" customFormat="1" ht="20.100000000000001" customHeight="1" outlineLevel="1" x14ac:dyDescent="0.25">
      <c r="A426" s="446"/>
      <c r="B426" s="1"/>
      <c r="C426" s="1"/>
      <c r="D426" s="1"/>
      <c r="E426" s="1"/>
      <c r="F426" s="447" t="s">
        <v>6851</v>
      </c>
      <c r="G426" s="450">
        <f>'Validacao(1)'!BC429</f>
        <v>0</v>
      </c>
      <c r="H426" s="456" t="str">
        <f t="shared" si="18"/>
        <v/>
      </c>
      <c r="I426" s="456" t="str">
        <f t="shared" si="19"/>
        <v/>
      </c>
      <c r="J426" s="419"/>
      <c r="K426" s="20"/>
      <c r="L426" s="20"/>
      <c r="N426" s="25">
        <f>COUNTIF($A$29:A426,"x")</f>
        <v>12</v>
      </c>
      <c r="O426" s="25">
        <f>'Validacao(1)'!BB429</f>
        <v>0</v>
      </c>
      <c r="P426" s="25">
        <f>'Validacao(2)'!BB429</f>
        <v>0</v>
      </c>
      <c r="Q426" s="25"/>
      <c r="R426" s="25"/>
      <c r="S426" s="25"/>
      <c r="T426" s="25"/>
      <c r="U426" s="25"/>
      <c r="V426" s="25"/>
      <c r="W426" s="25"/>
      <c r="X426" s="449"/>
      <c r="Y426" s="449"/>
      <c r="Z426" s="449"/>
      <c r="AA426" s="20"/>
    </row>
    <row r="427" spans="1:27" s="2" customFormat="1" ht="20.100000000000001" customHeight="1" outlineLevel="1" x14ac:dyDescent="0.25">
      <c r="A427" s="446"/>
      <c r="B427" s="1"/>
      <c r="C427" s="1"/>
      <c r="D427" s="1"/>
      <c r="E427" s="1"/>
      <c r="F427" s="447" t="s">
        <v>6852</v>
      </c>
      <c r="G427" s="450">
        <f>'Validacao(1)'!BC430</f>
        <v>0</v>
      </c>
      <c r="H427" s="456" t="str">
        <f t="shared" si="18"/>
        <v/>
      </c>
      <c r="I427" s="456" t="str">
        <f t="shared" si="19"/>
        <v/>
      </c>
      <c r="J427" s="419"/>
      <c r="K427" s="20"/>
      <c r="L427" s="20"/>
      <c r="N427" s="25">
        <f>COUNTIF($A$29:A427,"x")</f>
        <v>12</v>
      </c>
      <c r="O427" s="25">
        <f>'Validacao(1)'!BB430</f>
        <v>0</v>
      </c>
      <c r="P427" s="25">
        <f>'Validacao(2)'!BB430</f>
        <v>0</v>
      </c>
      <c r="Q427" s="25"/>
      <c r="R427" s="25"/>
      <c r="S427" s="25"/>
      <c r="T427" s="25"/>
      <c r="U427" s="25"/>
      <c r="V427" s="25"/>
      <c r="W427" s="25"/>
      <c r="X427" s="449"/>
      <c r="Y427" s="449"/>
      <c r="Z427" s="449"/>
      <c r="AA427" s="20"/>
    </row>
    <row r="428" spans="1:27" s="2" customFormat="1" ht="20.100000000000001" customHeight="1" outlineLevel="1" x14ac:dyDescent="0.25">
      <c r="A428" s="446"/>
      <c r="B428" s="1"/>
      <c r="C428" s="1"/>
      <c r="D428" s="1"/>
      <c r="E428" s="1"/>
      <c r="F428" s="447" t="s">
        <v>6853</v>
      </c>
      <c r="G428" s="450">
        <f>'Validacao(1)'!BC431</f>
        <v>0</v>
      </c>
      <c r="H428" s="456" t="str">
        <f t="shared" ref="H428:H435" si="20">IF(O428=1,"x","")</f>
        <v/>
      </c>
      <c r="I428" s="456" t="str">
        <f t="shared" ref="I428:I435" si="21">IF(P428=1,"x","")</f>
        <v/>
      </c>
      <c r="J428" s="419"/>
      <c r="K428" s="20"/>
      <c r="L428" s="20"/>
      <c r="N428" s="25">
        <f>COUNTIF($A$29:A428,"x")</f>
        <v>12</v>
      </c>
      <c r="O428" s="25">
        <f>'Validacao(1)'!BB431</f>
        <v>0</v>
      </c>
      <c r="P428" s="25">
        <f>'Validacao(2)'!BB431</f>
        <v>0</v>
      </c>
      <c r="Q428" s="25"/>
      <c r="R428" s="25"/>
      <c r="S428" s="25"/>
      <c r="T428" s="25"/>
      <c r="U428" s="25"/>
      <c r="V428" s="25"/>
      <c r="W428" s="25"/>
      <c r="X428" s="449"/>
      <c r="Y428" s="449"/>
      <c r="Z428" s="449"/>
      <c r="AA428" s="20"/>
    </row>
    <row r="429" spans="1:27" s="2" customFormat="1" ht="20.100000000000001" customHeight="1" outlineLevel="1" x14ac:dyDescent="0.25">
      <c r="A429" s="446"/>
      <c r="B429" s="1"/>
      <c r="C429" s="1"/>
      <c r="D429" s="1"/>
      <c r="E429" s="1"/>
      <c r="F429" s="447" t="s">
        <v>6854</v>
      </c>
      <c r="G429" s="450">
        <f>'Validacao(1)'!BC432</f>
        <v>0</v>
      </c>
      <c r="H429" s="456" t="str">
        <f t="shared" si="20"/>
        <v/>
      </c>
      <c r="I429" s="456" t="str">
        <f t="shared" si="21"/>
        <v/>
      </c>
      <c r="J429" s="419"/>
      <c r="K429" s="20"/>
      <c r="L429" s="20"/>
      <c r="N429" s="25">
        <f>COUNTIF($A$29:A429,"x")</f>
        <v>12</v>
      </c>
      <c r="O429" s="25">
        <f>'Validacao(1)'!BB432</f>
        <v>0</v>
      </c>
      <c r="P429" s="25">
        <f>'Validacao(2)'!BB432</f>
        <v>0</v>
      </c>
      <c r="Q429" s="25"/>
      <c r="R429" s="25"/>
      <c r="S429" s="25"/>
      <c r="T429" s="25"/>
      <c r="U429" s="25"/>
      <c r="V429" s="25"/>
      <c r="W429" s="25"/>
      <c r="X429" s="449"/>
      <c r="Y429" s="449"/>
      <c r="Z429" s="449"/>
      <c r="AA429" s="20"/>
    </row>
    <row r="430" spans="1:27" s="2" customFormat="1" ht="20.100000000000001" customHeight="1" outlineLevel="1" x14ac:dyDescent="0.25">
      <c r="A430" s="446"/>
      <c r="B430" s="1"/>
      <c r="C430" s="1"/>
      <c r="D430" s="1"/>
      <c r="E430" s="1"/>
      <c r="F430" s="447" t="s">
        <v>6855</v>
      </c>
      <c r="G430" s="450">
        <f>'Validacao(1)'!BC433</f>
        <v>0</v>
      </c>
      <c r="H430" s="456" t="str">
        <f t="shared" si="20"/>
        <v/>
      </c>
      <c r="I430" s="456" t="str">
        <f t="shared" si="21"/>
        <v/>
      </c>
      <c r="J430" s="419"/>
      <c r="K430" s="20"/>
      <c r="L430" s="20"/>
      <c r="N430" s="25">
        <f>COUNTIF($A$29:A430,"x")</f>
        <v>12</v>
      </c>
      <c r="O430" s="25">
        <f>'Validacao(1)'!BB433</f>
        <v>0</v>
      </c>
      <c r="P430" s="25">
        <f>'Validacao(2)'!BB433</f>
        <v>0</v>
      </c>
      <c r="Q430" s="25"/>
      <c r="R430" s="25"/>
      <c r="S430" s="25"/>
      <c r="T430" s="25"/>
      <c r="U430" s="25"/>
      <c r="V430" s="25"/>
      <c r="W430" s="25"/>
      <c r="X430" s="449"/>
      <c r="Y430" s="449"/>
      <c r="Z430" s="449"/>
      <c r="AA430" s="20"/>
    </row>
    <row r="431" spans="1:27" s="2" customFormat="1" ht="20.100000000000001" customHeight="1" outlineLevel="1" x14ac:dyDescent="0.25">
      <c r="A431" s="446"/>
      <c r="B431" s="1"/>
      <c r="C431" s="1"/>
      <c r="D431" s="1"/>
      <c r="E431" s="1"/>
      <c r="F431" s="447" t="s">
        <v>6856</v>
      </c>
      <c r="G431" s="450">
        <f>'Validacao(1)'!BC434</f>
        <v>0</v>
      </c>
      <c r="H431" s="456" t="str">
        <f t="shared" si="20"/>
        <v/>
      </c>
      <c r="I431" s="456" t="str">
        <f t="shared" si="21"/>
        <v/>
      </c>
      <c r="J431" s="419"/>
      <c r="K431" s="20"/>
      <c r="L431" s="20"/>
      <c r="N431" s="25">
        <f>COUNTIF($A$29:A431,"x")</f>
        <v>12</v>
      </c>
      <c r="O431" s="25">
        <f>'Validacao(1)'!BB434</f>
        <v>0</v>
      </c>
      <c r="P431" s="25">
        <f>'Validacao(2)'!BB434</f>
        <v>0</v>
      </c>
      <c r="Q431" s="25"/>
      <c r="R431" s="25"/>
      <c r="S431" s="25"/>
      <c r="T431" s="25"/>
      <c r="U431" s="25"/>
      <c r="V431" s="25"/>
      <c r="W431" s="25"/>
      <c r="X431" s="449"/>
      <c r="Y431" s="449"/>
      <c r="Z431" s="449"/>
      <c r="AA431" s="20"/>
    </row>
    <row r="432" spans="1:27" s="2" customFormat="1" ht="20.100000000000001" customHeight="1" outlineLevel="1" x14ac:dyDescent="0.25">
      <c r="A432" s="446"/>
      <c r="B432" s="1"/>
      <c r="C432" s="1"/>
      <c r="D432" s="1"/>
      <c r="E432" s="1"/>
      <c r="F432" s="447" t="s">
        <v>6857</v>
      </c>
      <c r="G432" s="450">
        <f>'Validacao(1)'!BC435</f>
        <v>0</v>
      </c>
      <c r="H432" s="456" t="str">
        <f t="shared" si="20"/>
        <v/>
      </c>
      <c r="I432" s="456" t="str">
        <f t="shared" si="21"/>
        <v/>
      </c>
      <c r="J432" s="419"/>
      <c r="K432" s="20"/>
      <c r="L432" s="20"/>
      <c r="N432" s="25">
        <f>COUNTIF($A$29:A432,"x")</f>
        <v>12</v>
      </c>
      <c r="O432" s="25">
        <f>'Validacao(1)'!BB435</f>
        <v>0</v>
      </c>
      <c r="P432" s="25">
        <f>'Validacao(2)'!BB435</f>
        <v>0</v>
      </c>
      <c r="Q432" s="25"/>
      <c r="R432" s="25"/>
      <c r="S432" s="25"/>
      <c r="T432" s="25"/>
      <c r="U432" s="25"/>
      <c r="V432" s="25"/>
      <c r="W432" s="25"/>
      <c r="X432" s="449"/>
      <c r="Y432" s="449"/>
      <c r="Z432" s="449"/>
      <c r="AA432" s="20"/>
    </row>
    <row r="433" spans="1:27" s="2" customFormat="1" ht="20.100000000000001" customHeight="1" outlineLevel="1" x14ac:dyDescent="0.25">
      <c r="A433" s="446"/>
      <c r="B433" s="1"/>
      <c r="C433" s="1"/>
      <c r="D433" s="1"/>
      <c r="E433" s="1"/>
      <c r="F433" s="447" t="s">
        <v>6858</v>
      </c>
      <c r="G433" s="450">
        <f>'Validacao(1)'!BC436</f>
        <v>0</v>
      </c>
      <c r="H433" s="456" t="str">
        <f t="shared" si="20"/>
        <v/>
      </c>
      <c r="I433" s="456" t="str">
        <f t="shared" si="21"/>
        <v/>
      </c>
      <c r="J433" s="419"/>
      <c r="K433" s="20"/>
      <c r="L433" s="20"/>
      <c r="N433" s="25">
        <f>COUNTIF($A$29:A433,"x")</f>
        <v>12</v>
      </c>
      <c r="O433" s="25">
        <f>'Validacao(1)'!BB436</f>
        <v>0</v>
      </c>
      <c r="P433" s="25">
        <f>'Validacao(2)'!BB436</f>
        <v>0</v>
      </c>
      <c r="Q433" s="25"/>
      <c r="R433" s="25"/>
      <c r="S433" s="25"/>
      <c r="T433" s="25"/>
      <c r="U433" s="25"/>
      <c r="V433" s="25"/>
      <c r="W433" s="25"/>
      <c r="X433" s="449"/>
      <c r="Y433" s="449"/>
      <c r="Z433" s="449"/>
      <c r="AA433" s="20"/>
    </row>
    <row r="434" spans="1:27" s="2" customFormat="1" ht="20.100000000000001" customHeight="1" outlineLevel="1" x14ac:dyDescent="0.25">
      <c r="A434" s="446"/>
      <c r="B434" s="1"/>
      <c r="C434" s="1"/>
      <c r="D434" s="1"/>
      <c r="E434" s="1"/>
      <c r="F434" s="447" t="s">
        <v>6859</v>
      </c>
      <c r="G434" s="450">
        <f>'Validacao(1)'!BC437</f>
        <v>0</v>
      </c>
      <c r="H434" s="456" t="str">
        <f t="shared" si="20"/>
        <v/>
      </c>
      <c r="I434" s="456" t="str">
        <f t="shared" si="21"/>
        <v/>
      </c>
      <c r="J434" s="419"/>
      <c r="K434" s="20"/>
      <c r="L434" s="20"/>
      <c r="N434" s="25">
        <f>COUNTIF($A$29:A434,"x")</f>
        <v>12</v>
      </c>
      <c r="O434" s="25">
        <f>'Validacao(1)'!BB437</f>
        <v>0</v>
      </c>
      <c r="P434" s="25">
        <f>'Validacao(2)'!BB437</f>
        <v>0</v>
      </c>
      <c r="Q434" s="25"/>
      <c r="R434" s="25"/>
      <c r="S434" s="25"/>
      <c r="T434" s="25"/>
      <c r="U434" s="25"/>
      <c r="V434" s="25"/>
      <c r="W434" s="25"/>
      <c r="X434" s="449"/>
      <c r="Y434" s="449"/>
      <c r="Z434" s="449"/>
      <c r="AA434" s="20"/>
    </row>
    <row r="435" spans="1:27" s="2" customFormat="1" ht="20.100000000000001" customHeight="1" outlineLevel="1" x14ac:dyDescent="0.25">
      <c r="A435" s="446"/>
      <c r="B435" s="1"/>
      <c r="C435" s="1"/>
      <c r="D435" s="1"/>
      <c r="E435" s="1"/>
      <c r="F435" s="447" t="s">
        <v>6860</v>
      </c>
      <c r="G435" s="450">
        <f>'Validacao(1)'!BC438</f>
        <v>0</v>
      </c>
      <c r="H435" s="456" t="str">
        <f t="shared" si="20"/>
        <v/>
      </c>
      <c r="I435" s="456" t="str">
        <f t="shared" si="21"/>
        <v/>
      </c>
      <c r="J435" s="419"/>
      <c r="K435" s="20"/>
      <c r="L435" s="20"/>
      <c r="N435" s="25">
        <f>COUNTIF($A$29:A435,"x")</f>
        <v>12</v>
      </c>
      <c r="O435" s="25">
        <f>'Validacao(1)'!BB438</f>
        <v>0</v>
      </c>
      <c r="P435" s="25">
        <f>'Validacao(2)'!BB438</f>
        <v>0</v>
      </c>
      <c r="Q435" s="25"/>
      <c r="R435" s="25"/>
      <c r="S435" s="25"/>
      <c r="T435" s="25"/>
      <c r="U435" s="25"/>
      <c r="V435" s="25"/>
      <c r="W435" s="25"/>
      <c r="X435" s="449"/>
      <c r="Y435" s="449"/>
      <c r="Z435" s="449"/>
      <c r="AA435" s="20"/>
    </row>
    <row r="436" spans="1:27" s="2" customFormat="1" ht="30" customHeight="1" x14ac:dyDescent="0.25">
      <c r="A436" s="446" t="s">
        <v>8576</v>
      </c>
      <c r="B436" s="1"/>
      <c r="C436" s="1"/>
      <c r="D436" s="1"/>
      <c r="E436" s="1"/>
      <c r="F436" s="418"/>
      <c r="G436" s="453" t="str">
        <f ca="1">U436</f>
        <v>📂 (✓ ) Mutação gênica em células bacterianas (teste de Ames)</v>
      </c>
      <c r="H436" s="454" t="str">
        <f>HYPERLINK(Y436,$V$17)</f>
        <v>Estudo (1)</v>
      </c>
      <c r="I436" s="455" t="str">
        <f>HYPERLINK(Z436,$V$18)</f>
        <v>Estudo (2)</v>
      </c>
      <c r="J436" s="419"/>
      <c r="K436" s="20"/>
      <c r="L436" s="20"/>
      <c r="N436" s="442">
        <f>COUNTIF($A$29:A436,"x")</f>
        <v>13</v>
      </c>
      <c r="O436" s="442" t="s">
        <v>10</v>
      </c>
      <c r="P436" s="442" t="s">
        <v>10</v>
      </c>
      <c r="Q436" s="442">
        <f ca="1">SUMIF(N437:$N$633,N436,O437:$O$633)</f>
        <v>0</v>
      </c>
      <c r="R436" s="442">
        <f ca="1">SUMIF(N437:$N$633,N436,P437:$P$633)</f>
        <v>0</v>
      </c>
      <c r="S436" s="442">
        <f ca="1">Q436+R436</f>
        <v>0</v>
      </c>
      <c r="T436" s="443" t="s">
        <v>29</v>
      </c>
      <c r="U436" s="443" t="str">
        <f ca="1">$T$4&amp;"("&amp; IF(S436=0,V$23,S436) &amp; ") " &amp; T436</f>
        <v>📂 (✓ ) Mutação gênica em células bacterianas (teste de Ames)</v>
      </c>
      <c r="V436" s="443" t="str">
        <f ca="1">IF(Q436&gt;0,$V$24&amp;Q436,"")</f>
        <v/>
      </c>
      <c r="W436" s="443" t="str">
        <f ca="1">IF(R436&gt;0,$V$24&amp;R436,"")</f>
        <v/>
      </c>
      <c r="X436" s="444" t="s">
        <v>8562</v>
      </c>
      <c r="Y436" s="445" t="str">
        <f>$V$19 &amp; $X436 &amp; V$21 &amp; $V$22 &amp; $V$20</f>
        <v>#'Ames(1)'!F2</v>
      </c>
      <c r="Z436" s="445" t="str">
        <f>$V$19 &amp; $X436 &amp; W$21 &amp; $V$22 &amp; $V$20</f>
        <v>#'Ames(2)'!F2</v>
      </c>
      <c r="AA436" s="20"/>
    </row>
    <row r="437" spans="1:27" s="2" customFormat="1" ht="20.100000000000001" customHeight="1" outlineLevel="1" x14ac:dyDescent="0.25">
      <c r="A437" s="446"/>
      <c r="B437" s="1"/>
      <c r="C437" s="1"/>
      <c r="D437" s="1"/>
      <c r="E437" s="1"/>
      <c r="F437" s="447" t="s">
        <v>6861</v>
      </c>
      <c r="G437" s="450" t="str">
        <f>'Validacao(1)'!DC4</f>
        <v>Não foi preenchido o código do estudo</v>
      </c>
      <c r="H437" s="456" t="str">
        <f t="shared" ref="H437:H468" ca="1" si="22">IF(O437=1,"x","")</f>
        <v/>
      </c>
      <c r="I437" s="456" t="str">
        <f t="shared" ref="I437:I468" ca="1" si="23">IF(P437=1,"x","")</f>
        <v/>
      </c>
      <c r="J437" s="419"/>
      <c r="K437" s="20"/>
      <c r="L437" s="20"/>
      <c r="N437" s="25">
        <f>COUNTIF($A$29:A437,"x")</f>
        <v>13</v>
      </c>
      <c r="O437" s="25">
        <f ca="1">'Validacao(1)'!DB4</f>
        <v>0</v>
      </c>
      <c r="P437" s="25">
        <f ca="1">'Validacao(2)'!DB4</f>
        <v>0</v>
      </c>
      <c r="Q437" s="25"/>
      <c r="R437" s="25"/>
      <c r="S437" s="25"/>
      <c r="T437" s="25"/>
      <c r="U437" s="25"/>
      <c r="V437" s="25"/>
      <c r="W437" s="25"/>
      <c r="X437" s="449"/>
      <c r="Y437" s="449"/>
      <c r="Z437" s="449"/>
      <c r="AA437" s="20"/>
    </row>
    <row r="438" spans="1:27" s="2" customFormat="1" ht="20.100000000000001" customHeight="1" outlineLevel="1" x14ac:dyDescent="0.25">
      <c r="A438" s="446"/>
      <c r="B438" s="1"/>
      <c r="C438" s="1"/>
      <c r="D438" s="1"/>
      <c r="E438" s="1"/>
      <c r="F438" s="447" t="s">
        <v>6862</v>
      </c>
      <c r="G438" s="450" t="str">
        <f>'Validacao(1)'!DC5</f>
        <v>Não foi preenchido o nome do laboratório</v>
      </c>
      <c r="H438" s="456" t="str">
        <f t="shared" ca="1" si="22"/>
        <v/>
      </c>
      <c r="I438" s="456" t="str">
        <f t="shared" ca="1" si="23"/>
        <v/>
      </c>
      <c r="J438" s="419"/>
      <c r="K438" s="20"/>
      <c r="L438" s="20"/>
      <c r="N438" s="25">
        <f>COUNTIF($A$29:A438,"x")</f>
        <v>13</v>
      </c>
      <c r="O438" s="25">
        <f ca="1">'Validacao(1)'!DB5</f>
        <v>0</v>
      </c>
      <c r="P438" s="25">
        <f ca="1">'Validacao(2)'!DB5</f>
        <v>0</v>
      </c>
      <c r="Q438" s="25"/>
      <c r="R438" s="25"/>
      <c r="S438" s="25"/>
      <c r="T438" s="25"/>
      <c r="U438" s="25"/>
      <c r="V438" s="25"/>
      <c r="W438" s="25"/>
      <c r="X438" s="449"/>
      <c r="Y438" s="449"/>
      <c r="Z438" s="449"/>
      <c r="AA438" s="20"/>
    </row>
    <row r="439" spans="1:27" s="2" customFormat="1" ht="20.100000000000001" customHeight="1" outlineLevel="1" x14ac:dyDescent="0.25">
      <c r="A439" s="446"/>
      <c r="B439" s="1"/>
      <c r="C439" s="1"/>
      <c r="D439" s="1"/>
      <c r="E439" s="1"/>
      <c r="F439" s="447" t="s">
        <v>6863</v>
      </c>
      <c r="G439" s="450" t="str">
        <f>'Validacao(1)'!DC6</f>
        <v>Não foi preenchido se o estudo foi conduzido em laboratório com BPL</v>
      </c>
      <c r="H439" s="456" t="str">
        <f t="shared" ca="1" si="22"/>
        <v/>
      </c>
      <c r="I439" s="456" t="str">
        <f t="shared" ca="1" si="23"/>
        <v/>
      </c>
      <c r="J439" s="419"/>
      <c r="K439" s="20"/>
      <c r="L439" s="20"/>
      <c r="N439" s="25">
        <f>COUNTIF($A$29:A439,"x")</f>
        <v>13</v>
      </c>
      <c r="O439" s="25">
        <f ca="1">'Validacao(1)'!DB6</f>
        <v>0</v>
      </c>
      <c r="P439" s="25">
        <f ca="1">'Validacao(2)'!DB6</f>
        <v>0</v>
      </c>
      <c r="Q439" s="25"/>
      <c r="R439" s="25"/>
      <c r="S439" s="25"/>
      <c r="T439" s="25"/>
      <c r="U439" s="25"/>
      <c r="V439" s="25"/>
      <c r="W439" s="25"/>
      <c r="X439" s="449"/>
      <c r="Y439" s="449"/>
      <c r="Z439" s="449"/>
      <c r="AA439" s="20"/>
    </row>
    <row r="440" spans="1:27" s="2" customFormat="1" ht="20.100000000000001" customHeight="1" outlineLevel="1" x14ac:dyDescent="0.25">
      <c r="A440" s="446"/>
      <c r="B440" s="1"/>
      <c r="C440" s="1"/>
      <c r="D440" s="1"/>
      <c r="E440" s="1"/>
      <c r="F440" s="447" t="s">
        <v>6864</v>
      </c>
      <c r="G440" s="450" t="str">
        <f>'Validacao(1)'!DC7</f>
        <v>Não foi preenchido o protocolo</v>
      </c>
      <c r="H440" s="456" t="str">
        <f t="shared" ca="1" si="22"/>
        <v/>
      </c>
      <c r="I440" s="456" t="str">
        <f t="shared" ca="1" si="23"/>
        <v/>
      </c>
      <c r="J440" s="419"/>
      <c r="K440" s="20"/>
      <c r="L440" s="20"/>
      <c r="N440" s="25">
        <f>COUNTIF($A$29:A440,"x")</f>
        <v>13</v>
      </c>
      <c r="O440" s="25">
        <f ca="1">'Validacao(1)'!DB7</f>
        <v>0</v>
      </c>
      <c r="P440" s="25">
        <f ca="1">'Validacao(2)'!DB7</f>
        <v>0</v>
      </c>
      <c r="Q440" s="25"/>
      <c r="R440" s="25"/>
      <c r="S440" s="25"/>
      <c r="T440" s="25"/>
      <c r="U440" s="25"/>
      <c r="V440" s="25"/>
      <c r="W440" s="25"/>
      <c r="X440" s="449"/>
      <c r="Y440" s="449"/>
      <c r="Z440" s="449"/>
      <c r="AA440" s="20"/>
    </row>
    <row r="441" spans="1:27" s="2" customFormat="1" ht="20.100000000000001" customHeight="1" outlineLevel="1" x14ac:dyDescent="0.25">
      <c r="A441" s="446"/>
      <c r="B441" s="1"/>
      <c r="C441" s="1"/>
      <c r="D441" s="1"/>
      <c r="E441" s="1"/>
      <c r="F441" s="447" t="s">
        <v>6865</v>
      </c>
      <c r="G441" s="450" t="str">
        <f>'Validacao(1)'!DC8</f>
        <v>Não foi preenchido a data de início</v>
      </c>
      <c r="H441" s="456" t="str">
        <f t="shared" ca="1" si="22"/>
        <v/>
      </c>
      <c r="I441" s="456" t="str">
        <f t="shared" ca="1" si="23"/>
        <v/>
      </c>
      <c r="J441" s="419"/>
      <c r="K441" s="20"/>
      <c r="L441" s="20"/>
      <c r="N441" s="25">
        <f>COUNTIF($A$29:A441,"x")</f>
        <v>13</v>
      </c>
      <c r="O441" s="25">
        <f ca="1">'Validacao(1)'!DB8</f>
        <v>0</v>
      </c>
      <c r="P441" s="25">
        <f ca="1">'Validacao(2)'!DB8</f>
        <v>0</v>
      </c>
      <c r="Q441" s="25"/>
      <c r="R441" s="25"/>
      <c r="S441" s="25"/>
      <c r="T441" s="25"/>
      <c r="U441" s="25"/>
      <c r="V441" s="25"/>
      <c r="W441" s="25"/>
      <c r="X441" s="449"/>
      <c r="Y441" s="449"/>
      <c r="Z441" s="449"/>
      <c r="AA441" s="20"/>
    </row>
    <row r="442" spans="1:27" s="2" customFormat="1" ht="20.100000000000001" customHeight="1" outlineLevel="1" x14ac:dyDescent="0.25">
      <c r="A442" s="446"/>
      <c r="B442" s="1"/>
      <c r="C442" s="1"/>
      <c r="D442" s="1"/>
      <c r="E442" s="1"/>
      <c r="F442" s="447" t="s">
        <v>6866</v>
      </c>
      <c r="G442" s="450" t="str">
        <f>'Validacao(1)'!DC9</f>
        <v>Não foi preenchido a data de conclusão</v>
      </c>
      <c r="H442" s="456" t="str">
        <f t="shared" ca="1" si="22"/>
        <v/>
      </c>
      <c r="I442" s="456" t="str">
        <f t="shared" ca="1" si="23"/>
        <v/>
      </c>
      <c r="J442" s="419"/>
      <c r="K442" s="20"/>
      <c r="L442" s="20"/>
      <c r="N442" s="25">
        <f>COUNTIF($A$29:A442,"x")</f>
        <v>13</v>
      </c>
      <c r="O442" s="25">
        <f ca="1">'Validacao(1)'!DB9</f>
        <v>0</v>
      </c>
      <c r="P442" s="25">
        <f ca="1">'Validacao(2)'!DB9</f>
        <v>0</v>
      </c>
      <c r="Q442" s="25"/>
      <c r="R442" s="25"/>
      <c r="S442" s="25"/>
      <c r="T442" s="25"/>
      <c r="U442" s="25"/>
      <c r="V442" s="25"/>
      <c r="W442" s="25"/>
      <c r="X442" s="449"/>
      <c r="Y442" s="449"/>
      <c r="Z442" s="449"/>
      <c r="AA442" s="20"/>
    </row>
    <row r="443" spans="1:27" s="2" customFormat="1" ht="20.100000000000001" customHeight="1" outlineLevel="1" x14ac:dyDescent="0.25">
      <c r="A443" s="446"/>
      <c r="B443" s="1"/>
      <c r="C443" s="1"/>
      <c r="D443" s="1"/>
      <c r="E443" s="1"/>
      <c r="F443" s="447" t="s">
        <v>6867</v>
      </c>
      <c r="G443" s="450" t="str">
        <f>'Validacao(1)'!DC10</f>
        <v xml:space="preserve">Não foi preenchido o código do certificado de análise </v>
      </c>
      <c r="H443" s="456" t="str">
        <f t="shared" ca="1" si="22"/>
        <v/>
      </c>
      <c r="I443" s="456" t="str">
        <f t="shared" ca="1" si="23"/>
        <v/>
      </c>
      <c r="J443" s="419"/>
      <c r="K443" s="20"/>
      <c r="L443" s="20"/>
      <c r="N443" s="25">
        <f>COUNTIF($A$29:A443,"x")</f>
        <v>13</v>
      </c>
      <c r="O443" s="25">
        <f ca="1">'Validacao(1)'!DB10</f>
        <v>0</v>
      </c>
      <c r="P443" s="25">
        <f ca="1">'Validacao(2)'!DB10</f>
        <v>0</v>
      </c>
      <c r="Q443" s="25"/>
      <c r="R443" s="25"/>
      <c r="S443" s="25"/>
      <c r="T443" s="25"/>
      <c r="U443" s="25"/>
      <c r="V443" s="25"/>
      <c r="W443" s="25"/>
      <c r="X443" s="449"/>
      <c r="Y443" s="449"/>
      <c r="Z443" s="449"/>
      <c r="AA443" s="20"/>
    </row>
    <row r="444" spans="1:27" s="2" customFormat="1" ht="20.100000000000001" customHeight="1" outlineLevel="1" x14ac:dyDescent="0.25">
      <c r="A444" s="446"/>
      <c r="B444" s="1"/>
      <c r="C444" s="1"/>
      <c r="D444" s="1"/>
      <c r="E444" s="1"/>
      <c r="F444" s="447" t="s">
        <v>6868</v>
      </c>
      <c r="G444" s="450" t="str">
        <f>'Validacao(1)'!DC11</f>
        <v>Não foi preenchida a unidade de medida da concentração</v>
      </c>
      <c r="H444" s="456" t="str">
        <f t="shared" ca="1" si="22"/>
        <v/>
      </c>
      <c r="I444" s="456" t="str">
        <f t="shared" ca="1" si="23"/>
        <v/>
      </c>
      <c r="J444" s="419"/>
      <c r="K444" s="20"/>
      <c r="L444" s="20"/>
      <c r="N444" s="25">
        <f>COUNTIF($A$29:A444,"x")</f>
        <v>13</v>
      </c>
      <c r="O444" s="25">
        <f ca="1">'Validacao(1)'!DB11</f>
        <v>0</v>
      </c>
      <c r="P444" s="25">
        <f ca="1">'Validacao(2)'!DB11</f>
        <v>0</v>
      </c>
      <c r="Q444" s="25"/>
      <c r="R444" s="25"/>
      <c r="S444" s="25"/>
      <c r="T444" s="25"/>
      <c r="U444" s="25"/>
      <c r="V444" s="25"/>
      <c r="W444" s="25"/>
      <c r="X444" s="449"/>
      <c r="Y444" s="449"/>
      <c r="Z444" s="449"/>
      <c r="AA444" s="20"/>
    </row>
    <row r="445" spans="1:27" s="2" customFormat="1" ht="20.100000000000001" customHeight="1" outlineLevel="1" x14ac:dyDescent="0.25">
      <c r="A445" s="446"/>
      <c r="B445" s="1"/>
      <c r="C445" s="1"/>
      <c r="D445" s="1"/>
      <c r="E445" s="1"/>
      <c r="F445" s="447" t="s">
        <v>6869</v>
      </c>
      <c r="G445" s="450" t="str">
        <f>'Validacao(1)'!DC12</f>
        <v>Não foi preenchido se no ensaio com ativação metabólica, o controle positivo testado foi o 2-aminoantraceno</v>
      </c>
      <c r="H445" s="456" t="str">
        <f t="shared" ca="1" si="22"/>
        <v/>
      </c>
      <c r="I445" s="456" t="str">
        <f t="shared" ca="1" si="23"/>
        <v/>
      </c>
      <c r="J445" s="419"/>
      <c r="K445" s="20"/>
      <c r="L445" s="20"/>
      <c r="N445" s="25">
        <f>COUNTIF($A$29:A445,"x")</f>
        <v>13</v>
      </c>
      <c r="O445" s="25">
        <f ca="1">'Validacao(1)'!DB12</f>
        <v>0</v>
      </c>
      <c r="P445" s="25">
        <f ca="1">'Validacao(2)'!DB12</f>
        <v>0</v>
      </c>
      <c r="Q445" s="25"/>
      <c r="R445" s="25"/>
      <c r="S445" s="25"/>
      <c r="T445" s="25"/>
      <c r="U445" s="25"/>
      <c r="V445" s="25"/>
      <c r="W445" s="25"/>
      <c r="X445" s="449"/>
      <c r="Y445" s="449"/>
      <c r="Z445" s="449"/>
      <c r="AA445" s="20"/>
    </row>
    <row r="446" spans="1:27" s="2" customFormat="1" ht="20.100000000000001" customHeight="1" outlineLevel="1" x14ac:dyDescent="0.25">
      <c r="A446" s="446"/>
      <c r="B446" s="1"/>
      <c r="C446" s="1"/>
      <c r="D446" s="1"/>
      <c r="E446" s="1"/>
      <c r="F446" s="447" t="s">
        <v>6870</v>
      </c>
      <c r="G446" s="450" t="str">
        <f>'Validacao(1)'!DC13</f>
        <v>Não foi preenchido se há outro mutágeno testado além do 2-aminoantraceno</v>
      </c>
      <c r="H446" s="456" t="str">
        <f t="shared" ca="1" si="22"/>
        <v/>
      </c>
      <c r="I446" s="456" t="str">
        <f t="shared" ca="1" si="23"/>
        <v/>
      </c>
      <c r="J446" s="419"/>
      <c r="K446" s="20"/>
      <c r="L446" s="20"/>
      <c r="N446" s="25">
        <f>COUNTIF($A$29:A446,"x")</f>
        <v>13</v>
      </c>
      <c r="O446" s="25">
        <f ca="1">'Validacao(1)'!DB13</f>
        <v>0</v>
      </c>
      <c r="P446" s="25">
        <f ca="1">'Validacao(2)'!DB13</f>
        <v>0</v>
      </c>
      <c r="Q446" s="25"/>
      <c r="R446" s="25"/>
      <c r="S446" s="25"/>
      <c r="T446" s="25"/>
      <c r="U446" s="25"/>
      <c r="V446" s="25"/>
      <c r="W446" s="25"/>
      <c r="X446" s="449"/>
      <c r="Y446" s="449"/>
      <c r="Z446" s="449"/>
      <c r="AA446" s="20"/>
    </row>
    <row r="447" spans="1:27" s="2" customFormat="1" ht="20.100000000000001" customHeight="1" outlineLevel="1" x14ac:dyDescent="0.25">
      <c r="A447" s="446"/>
      <c r="B447" s="1"/>
      <c r="C447" s="1"/>
      <c r="D447" s="1"/>
      <c r="E447" s="1"/>
      <c r="F447" s="447" t="s">
        <v>6871</v>
      </c>
      <c r="G447" s="450" t="str">
        <f>'Validacao(1)'!DC14</f>
        <v>Não preencheu qual foi o outro mutágeno testado além do 2-aminoantraceno</v>
      </c>
      <c r="H447" s="456" t="str">
        <f t="shared" ca="1" si="22"/>
        <v/>
      </c>
      <c r="I447" s="456" t="str">
        <f t="shared" ca="1" si="23"/>
        <v/>
      </c>
      <c r="J447" s="419"/>
      <c r="K447" s="20"/>
      <c r="L447" s="20"/>
      <c r="N447" s="25">
        <f>COUNTIF($A$29:A447,"x")</f>
        <v>13</v>
      </c>
      <c r="O447" s="25">
        <f ca="1">'Validacao(1)'!DB14</f>
        <v>0</v>
      </c>
      <c r="P447" s="25">
        <f ca="1">'Validacao(2)'!DB14</f>
        <v>0</v>
      </c>
      <c r="Q447" s="25"/>
      <c r="R447" s="25"/>
      <c r="S447" s="25"/>
      <c r="T447" s="25"/>
      <c r="U447" s="25"/>
      <c r="V447" s="25"/>
      <c r="W447" s="25"/>
      <c r="X447" s="449"/>
      <c r="Y447" s="449"/>
      <c r="Z447" s="449"/>
      <c r="AA447" s="20"/>
    </row>
    <row r="448" spans="1:27" s="2" customFormat="1" ht="20.100000000000001" customHeight="1" outlineLevel="1" x14ac:dyDescent="0.25">
      <c r="A448" s="446"/>
      <c r="B448" s="1"/>
      <c r="C448" s="1"/>
      <c r="D448" s="1"/>
      <c r="E448" s="1"/>
      <c r="F448" s="447" t="s">
        <v>6872</v>
      </c>
      <c r="G448" s="450" t="str">
        <f>'Validacao(1)'!DC15</f>
        <v>Não preencheu qual é o documento que comprova a eficácia do outro mutágeno</v>
      </c>
      <c r="H448" s="456" t="str">
        <f t="shared" ca="1" si="22"/>
        <v/>
      </c>
      <c r="I448" s="456" t="str">
        <f t="shared" ca="1" si="23"/>
        <v/>
      </c>
      <c r="J448" s="419"/>
      <c r="K448" s="20"/>
      <c r="L448" s="20"/>
      <c r="N448" s="25">
        <f>COUNTIF($A$29:A448,"x")</f>
        <v>13</v>
      </c>
      <c r="O448" s="25">
        <f ca="1">'Validacao(1)'!DB15</f>
        <v>0</v>
      </c>
      <c r="P448" s="25">
        <f ca="1">'Validacao(2)'!DB15</f>
        <v>0</v>
      </c>
      <c r="Q448" s="25"/>
      <c r="R448" s="25"/>
      <c r="S448" s="25"/>
      <c r="T448" s="25"/>
      <c r="U448" s="25"/>
      <c r="V448" s="25"/>
      <c r="W448" s="25"/>
      <c r="X448" s="449"/>
      <c r="Y448" s="449"/>
      <c r="Z448" s="449"/>
      <c r="AA448" s="20"/>
    </row>
    <row r="449" spans="1:27" s="2" customFormat="1" ht="20.100000000000001" customHeight="1" outlineLevel="1" x14ac:dyDescent="0.25">
      <c r="A449" s="446"/>
      <c r="B449" s="1"/>
      <c r="C449" s="1"/>
      <c r="D449" s="1"/>
      <c r="E449" s="1"/>
      <c r="F449" s="447" t="s">
        <v>6873</v>
      </c>
      <c r="G449" s="450" t="str">
        <f>'Validacao(1)'!DC16</f>
        <v>Não preencheu qual foi o método do controle histórico</v>
      </c>
      <c r="H449" s="456" t="str">
        <f t="shared" ca="1" si="22"/>
        <v/>
      </c>
      <c r="I449" s="456" t="str">
        <f t="shared" ca="1" si="23"/>
        <v/>
      </c>
      <c r="J449" s="419"/>
      <c r="K449" s="20"/>
      <c r="L449" s="20"/>
      <c r="N449" s="25">
        <f>COUNTIF($A$29:A449,"x")</f>
        <v>13</v>
      </c>
      <c r="O449" s="25">
        <f ca="1">'Validacao(1)'!DB16</f>
        <v>0</v>
      </c>
      <c r="P449" s="25">
        <f ca="1">'Validacao(2)'!DB16</f>
        <v>0</v>
      </c>
      <c r="Q449" s="25"/>
      <c r="R449" s="25"/>
      <c r="S449" s="25"/>
      <c r="T449" s="25"/>
      <c r="U449" s="25"/>
      <c r="V449" s="25"/>
      <c r="W449" s="25"/>
      <c r="X449" s="449"/>
      <c r="Y449" s="449"/>
      <c r="Z449" s="449"/>
      <c r="AA449" s="20"/>
    </row>
    <row r="450" spans="1:27" s="2" customFormat="1" ht="20.100000000000001" customHeight="1" outlineLevel="1" x14ac:dyDescent="0.25">
      <c r="A450" s="446"/>
      <c r="B450" s="1"/>
      <c r="C450" s="1"/>
      <c r="D450" s="1"/>
      <c r="E450" s="1"/>
      <c r="F450" s="447" t="s">
        <v>6874</v>
      </c>
      <c r="G450" s="450" t="str">
        <f>'Validacao(1)'!DC17</f>
        <v>Não preencheu o porquê o teste definitivo não foi conduzido em triplicata</v>
      </c>
      <c r="H450" s="456" t="str">
        <f t="shared" ca="1" si="22"/>
        <v/>
      </c>
      <c r="I450" s="456" t="str">
        <f t="shared" ca="1" si="23"/>
        <v/>
      </c>
      <c r="J450" s="419"/>
      <c r="K450" s="20"/>
      <c r="L450" s="20"/>
      <c r="N450" s="25">
        <f>COUNTIF($A$29:A450,"x")</f>
        <v>13</v>
      </c>
      <c r="O450" s="25">
        <f ca="1">'Validacao(1)'!DB17</f>
        <v>0</v>
      </c>
      <c r="P450" s="25">
        <f ca="1">'Validacao(2)'!DB17</f>
        <v>0</v>
      </c>
      <c r="Q450" s="25"/>
      <c r="R450" s="25"/>
      <c r="S450" s="25"/>
      <c r="T450" s="25"/>
      <c r="U450" s="25"/>
      <c r="V450" s="25"/>
      <c r="W450" s="25"/>
      <c r="X450" s="449"/>
      <c r="Y450" s="449"/>
      <c r="Z450" s="449"/>
      <c r="AA450" s="20"/>
    </row>
    <row r="451" spans="1:27" s="2" customFormat="1" ht="20.100000000000001" customHeight="1" outlineLevel="1" x14ac:dyDescent="0.25">
      <c r="A451" s="446"/>
      <c r="B451" s="1"/>
      <c r="C451" s="1"/>
      <c r="D451" s="1"/>
      <c r="E451" s="1"/>
      <c r="F451" s="447" t="s">
        <v>6875</v>
      </c>
      <c r="G451" s="450" t="str">
        <f>'Validacao(1)'!DC18</f>
        <v>Não preencheu o método utilizado</v>
      </c>
      <c r="H451" s="456" t="str">
        <f t="shared" ca="1" si="22"/>
        <v/>
      </c>
      <c r="I451" s="456" t="str">
        <f t="shared" ca="1" si="23"/>
        <v/>
      </c>
      <c r="J451" s="419"/>
      <c r="K451" s="20"/>
      <c r="L451" s="20"/>
      <c r="N451" s="25">
        <f>COUNTIF($A$29:A451,"x")</f>
        <v>13</v>
      </c>
      <c r="O451" s="25">
        <f ca="1">'Validacao(1)'!DB18</f>
        <v>0</v>
      </c>
      <c r="P451" s="25">
        <f ca="1">'Validacao(2)'!DB18</f>
        <v>0</v>
      </c>
      <c r="Q451" s="25"/>
      <c r="R451" s="25"/>
      <c r="S451" s="25"/>
      <c r="T451" s="25"/>
      <c r="U451" s="25"/>
      <c r="V451" s="25"/>
      <c r="W451" s="25"/>
      <c r="X451" s="449"/>
      <c r="Y451" s="449"/>
      <c r="Z451" s="449"/>
      <c r="AA451" s="20"/>
    </row>
    <row r="452" spans="1:27" s="2" customFormat="1" ht="20.100000000000001" customHeight="1" outlineLevel="1" x14ac:dyDescent="0.25">
      <c r="A452" s="446"/>
      <c r="B452" s="1"/>
      <c r="C452" s="1"/>
      <c r="D452" s="1"/>
      <c r="E452" s="1"/>
      <c r="F452" s="447" t="s">
        <v>6876</v>
      </c>
      <c r="G452" s="450" t="str">
        <f>'Validacao(1)'!DC19</f>
        <v>Não preencheu o ativador metabólico</v>
      </c>
      <c r="H452" s="456" t="str">
        <f t="shared" ca="1" si="22"/>
        <v/>
      </c>
      <c r="I452" s="456" t="str">
        <f t="shared" ca="1" si="23"/>
        <v/>
      </c>
      <c r="J452" s="419"/>
      <c r="K452" s="20"/>
      <c r="L452" s="20"/>
      <c r="N452" s="25">
        <f>COUNTIF($A$29:A452,"x")</f>
        <v>13</v>
      </c>
      <c r="O452" s="25">
        <f ca="1">'Validacao(1)'!DB19</f>
        <v>0</v>
      </c>
      <c r="P452" s="25">
        <f ca="1">'Validacao(2)'!DB19</f>
        <v>0</v>
      </c>
      <c r="Q452" s="25"/>
      <c r="R452" s="25"/>
      <c r="S452" s="25"/>
      <c r="T452" s="25"/>
      <c r="U452" s="25"/>
      <c r="V452" s="25"/>
      <c r="W452" s="25"/>
      <c r="X452" s="449"/>
      <c r="Y452" s="449"/>
      <c r="Z452" s="449"/>
      <c r="AA452" s="20"/>
    </row>
    <row r="453" spans="1:27" s="2" customFormat="1" ht="20.100000000000001" customHeight="1" outlineLevel="1" x14ac:dyDescent="0.25">
      <c r="A453" s="446"/>
      <c r="B453" s="1"/>
      <c r="C453" s="1"/>
      <c r="D453" s="1"/>
      <c r="E453" s="1"/>
      <c r="F453" s="447" t="s">
        <v>6877</v>
      </c>
      <c r="G453" s="450" t="str">
        <f>'Validacao(1)'!DC20</f>
        <v>Não preencheu se houve precipitação</v>
      </c>
      <c r="H453" s="456" t="str">
        <f t="shared" si="22"/>
        <v/>
      </c>
      <c r="I453" s="456" t="str">
        <f t="shared" si="23"/>
        <v/>
      </c>
      <c r="J453" s="419"/>
      <c r="K453" s="20"/>
      <c r="L453" s="20"/>
      <c r="N453" s="25">
        <f>COUNTIF($A$29:A453,"x")</f>
        <v>13</v>
      </c>
      <c r="O453" s="25">
        <f>'Validacao(1)'!DB20</f>
        <v>0</v>
      </c>
      <c r="P453" s="25">
        <f>'Validacao(2)'!DB20</f>
        <v>0</v>
      </c>
      <c r="Q453" s="25"/>
      <c r="R453" s="25"/>
      <c r="S453" s="25"/>
      <c r="T453" s="25"/>
      <c r="U453" s="25"/>
      <c r="V453" s="25"/>
      <c r="W453" s="25"/>
      <c r="X453" s="449"/>
      <c r="Y453" s="449"/>
      <c r="Z453" s="449"/>
      <c r="AA453" s="20"/>
    </row>
    <row r="454" spans="1:27" s="2" customFormat="1" ht="20.100000000000001" customHeight="1" outlineLevel="1" x14ac:dyDescent="0.25">
      <c r="A454" s="446"/>
      <c r="B454" s="1"/>
      <c r="C454" s="1"/>
      <c r="D454" s="1"/>
      <c r="E454" s="1"/>
      <c r="F454" s="447" t="s">
        <v>6878</v>
      </c>
      <c r="G454" s="450" t="str">
        <f>'Validacao(1)'!DC21</f>
        <v>Não preencheu a justificativa para a precipitação</v>
      </c>
      <c r="H454" s="456" t="str">
        <f t="shared" si="22"/>
        <v/>
      </c>
      <c r="I454" s="456" t="str">
        <f t="shared" si="23"/>
        <v/>
      </c>
      <c r="J454" s="419"/>
      <c r="K454" s="20"/>
      <c r="L454" s="20"/>
      <c r="N454" s="25">
        <f>COUNTIF($A$29:A454,"x")</f>
        <v>13</v>
      </c>
      <c r="O454" s="25">
        <f>'Validacao(1)'!DB21</f>
        <v>0</v>
      </c>
      <c r="P454" s="25">
        <f>'Validacao(2)'!DB21</f>
        <v>0</v>
      </c>
      <c r="Q454" s="25"/>
      <c r="R454" s="25"/>
      <c r="S454" s="25"/>
      <c r="T454" s="25"/>
      <c r="U454" s="25"/>
      <c r="V454" s="25"/>
      <c r="W454" s="25"/>
      <c r="X454" s="449"/>
      <c r="Y454" s="449"/>
      <c r="Z454" s="449"/>
      <c r="AA454" s="20"/>
    </row>
    <row r="455" spans="1:27" s="2" customFormat="1" ht="20.100000000000001" customHeight="1" outlineLevel="1" x14ac:dyDescent="0.25">
      <c r="A455" s="446"/>
      <c r="B455" s="1"/>
      <c r="C455" s="1"/>
      <c r="D455" s="1"/>
      <c r="E455" s="1"/>
      <c r="F455" s="447" t="s">
        <v>6879</v>
      </c>
      <c r="G455" s="450" t="str">
        <f>'Validacao(1)'!DC22</f>
        <v>Não preencheu sobre a situação do background</v>
      </c>
      <c r="H455" s="456" t="str">
        <f t="shared" si="22"/>
        <v/>
      </c>
      <c r="I455" s="456" t="str">
        <f t="shared" si="23"/>
        <v/>
      </c>
      <c r="J455" s="419"/>
      <c r="K455" s="20"/>
      <c r="L455" s="20"/>
      <c r="N455" s="25">
        <f>COUNTIF($A$29:A455,"x")</f>
        <v>13</v>
      </c>
      <c r="O455" s="25">
        <f>'Validacao(1)'!DB22</f>
        <v>0</v>
      </c>
      <c r="P455" s="25">
        <f>'Validacao(2)'!DB22</f>
        <v>0</v>
      </c>
      <c r="Q455" s="25"/>
      <c r="R455" s="25"/>
      <c r="S455" s="25"/>
      <c r="T455" s="25"/>
      <c r="U455" s="25"/>
      <c r="V455" s="25"/>
      <c r="W455" s="25"/>
      <c r="X455" s="449"/>
      <c r="Y455" s="449"/>
      <c r="Z455" s="449"/>
      <c r="AA455" s="20"/>
    </row>
    <row r="456" spans="1:27" s="2" customFormat="1" ht="20.100000000000001" customHeight="1" outlineLevel="1" x14ac:dyDescent="0.25">
      <c r="A456" s="446"/>
      <c r="B456" s="1"/>
      <c r="C456" s="1"/>
      <c r="D456" s="1"/>
      <c r="E456" s="1"/>
      <c r="F456" s="447" t="s">
        <v>6880</v>
      </c>
      <c r="G456" s="450" t="str">
        <f>'Validacao(1)'!DC23</f>
        <v>Não preencheu a justificativa para o background alterado</v>
      </c>
      <c r="H456" s="456" t="str">
        <f t="shared" si="22"/>
        <v/>
      </c>
      <c r="I456" s="456" t="str">
        <f t="shared" si="23"/>
        <v/>
      </c>
      <c r="J456" s="419"/>
      <c r="K456" s="20"/>
      <c r="L456" s="20"/>
      <c r="N456" s="25">
        <f>COUNTIF($A$29:A456,"x")</f>
        <v>13</v>
      </c>
      <c r="O456" s="25">
        <f>'Validacao(1)'!DB23</f>
        <v>0</v>
      </c>
      <c r="P456" s="25">
        <f>'Validacao(2)'!DB23</f>
        <v>0</v>
      </c>
      <c r="Q456" s="25"/>
      <c r="R456" s="25"/>
      <c r="S456" s="25"/>
      <c r="T456" s="25"/>
      <c r="U456" s="25"/>
      <c r="V456" s="25"/>
      <c r="W456" s="25"/>
      <c r="X456" s="449"/>
      <c r="Y456" s="449"/>
      <c r="Z456" s="449"/>
      <c r="AA456" s="20"/>
    </row>
    <row r="457" spans="1:27" s="2" customFormat="1" ht="20.100000000000001" customHeight="1" outlineLevel="1" x14ac:dyDescent="0.25">
      <c r="A457" s="446"/>
      <c r="B457" s="1"/>
      <c r="C457" s="1"/>
      <c r="D457" s="1"/>
      <c r="E457" s="1"/>
      <c r="F457" s="447" t="s">
        <v>6881</v>
      </c>
      <c r="G457" s="450" t="str">
        <f>'Validacao(1)'!DC24</f>
        <v>Não preencheu se houve perda de triplicata</v>
      </c>
      <c r="H457" s="456" t="str">
        <f t="shared" si="22"/>
        <v/>
      </c>
      <c r="I457" s="456" t="str">
        <f t="shared" si="23"/>
        <v/>
      </c>
      <c r="J457" s="419"/>
      <c r="K457" s="20"/>
      <c r="L457" s="20"/>
      <c r="N457" s="25">
        <f>COUNTIF($A$29:A457,"x")</f>
        <v>13</v>
      </c>
      <c r="O457" s="25">
        <f>'Validacao(1)'!DB24</f>
        <v>0</v>
      </c>
      <c r="P457" s="25">
        <f>'Validacao(2)'!DB24</f>
        <v>0</v>
      </c>
      <c r="Q457" s="25"/>
      <c r="R457" s="25"/>
      <c r="S457" s="25"/>
      <c r="T457" s="25"/>
      <c r="U457" s="25"/>
      <c r="V457" s="25"/>
      <c r="W457" s="25"/>
      <c r="X457" s="449"/>
      <c r="Y457" s="449"/>
      <c r="Z457" s="449"/>
      <c r="AA457" s="20"/>
    </row>
    <row r="458" spans="1:27" s="2" customFormat="1" ht="20.100000000000001" customHeight="1" outlineLevel="1" x14ac:dyDescent="0.25">
      <c r="A458" s="446"/>
      <c r="B458" s="1"/>
      <c r="C458" s="1"/>
      <c r="D458" s="1"/>
      <c r="E458" s="1"/>
      <c r="F458" s="447" t="s">
        <v>6882</v>
      </c>
      <c r="G458" s="450" t="str">
        <f>'Validacao(1)'!DC25</f>
        <v>Não preencheu a justificativa pela perda de triplicata</v>
      </c>
      <c r="H458" s="456" t="str">
        <f t="shared" si="22"/>
        <v/>
      </c>
      <c r="I458" s="456" t="str">
        <f t="shared" si="23"/>
        <v/>
      </c>
      <c r="J458" s="419"/>
      <c r="K458" s="20"/>
      <c r="L458" s="20"/>
      <c r="N458" s="25">
        <f>COUNTIF($A$29:A458,"x")</f>
        <v>13</v>
      </c>
      <c r="O458" s="25">
        <f>'Validacao(1)'!DB25</f>
        <v>0</v>
      </c>
      <c r="P458" s="25">
        <f>'Validacao(2)'!DB25</f>
        <v>0</v>
      </c>
      <c r="Q458" s="25"/>
      <c r="R458" s="25"/>
      <c r="S458" s="25"/>
      <c r="T458" s="25"/>
      <c r="U458" s="25"/>
      <c r="V458" s="25"/>
      <c r="W458" s="25"/>
      <c r="X458" s="449"/>
      <c r="Y458" s="449"/>
      <c r="Z458" s="449"/>
      <c r="AA458" s="20"/>
    </row>
    <row r="459" spans="1:27" s="2" customFormat="1" ht="20.100000000000001" customHeight="1" outlineLevel="1" x14ac:dyDescent="0.25">
      <c r="A459" s="446"/>
      <c r="B459" s="1"/>
      <c r="C459" s="1"/>
      <c r="D459" s="1"/>
      <c r="E459" s="1"/>
      <c r="F459" s="447" t="s">
        <v>6883</v>
      </c>
      <c r="G459" s="450" t="str">
        <f>'Validacao(1)'!DC26</f>
        <v>Não preencheu se houve estudo de complementação</v>
      </c>
      <c r="H459" s="456" t="str">
        <f t="shared" si="22"/>
        <v/>
      </c>
      <c r="I459" s="456" t="str">
        <f t="shared" si="23"/>
        <v/>
      </c>
      <c r="J459" s="419"/>
      <c r="K459" s="20"/>
      <c r="L459" s="20"/>
      <c r="N459" s="25">
        <f>COUNTIF($A$29:A459,"x")</f>
        <v>13</v>
      </c>
      <c r="O459" s="25">
        <f>'Validacao(1)'!DB26</f>
        <v>0</v>
      </c>
      <c r="P459" s="25">
        <f>'Validacao(2)'!DB26</f>
        <v>0</v>
      </c>
      <c r="Q459" s="25"/>
      <c r="R459" s="25"/>
      <c r="S459" s="25"/>
      <c r="T459" s="25"/>
      <c r="U459" s="25"/>
      <c r="V459" s="25"/>
      <c r="W459" s="25"/>
      <c r="X459" s="449"/>
      <c r="Y459" s="449"/>
      <c r="Z459" s="449"/>
      <c r="AA459" s="20"/>
    </row>
    <row r="460" spans="1:27" s="2" customFormat="1" ht="20.100000000000001" customHeight="1" outlineLevel="1" x14ac:dyDescent="0.25">
      <c r="A460" s="446"/>
      <c r="B460" s="1"/>
      <c r="C460" s="1"/>
      <c r="D460" s="1"/>
      <c r="E460" s="1"/>
      <c r="F460" s="447" t="s">
        <v>6884</v>
      </c>
      <c r="G460" s="450" t="str">
        <f>'Validacao(1)'!DC27</f>
        <v>Não preencheu quais cepas foram utilizadas no estudo de complementação</v>
      </c>
      <c r="H460" s="456" t="str">
        <f t="shared" si="22"/>
        <v/>
      </c>
      <c r="I460" s="456" t="str">
        <f t="shared" si="23"/>
        <v/>
      </c>
      <c r="J460" s="419"/>
      <c r="K460" s="20"/>
      <c r="L460" s="20"/>
      <c r="N460" s="25">
        <f>COUNTIF($A$29:A460,"x")</f>
        <v>13</v>
      </c>
      <c r="O460" s="25">
        <f>'Validacao(1)'!DB27</f>
        <v>0</v>
      </c>
      <c r="P460" s="25">
        <f>'Validacao(2)'!DB27</f>
        <v>0</v>
      </c>
      <c r="Q460" s="25"/>
      <c r="R460" s="25"/>
      <c r="S460" s="25"/>
      <c r="T460" s="25"/>
      <c r="U460" s="25"/>
      <c r="V460" s="25"/>
      <c r="W460" s="25"/>
      <c r="X460" s="449"/>
      <c r="Y460" s="449"/>
      <c r="Z460" s="449"/>
      <c r="AA460" s="20"/>
    </row>
    <row r="461" spans="1:27" s="2" customFormat="1" ht="20.100000000000001" customHeight="1" outlineLevel="1" x14ac:dyDescent="0.25">
      <c r="A461" s="446"/>
      <c r="B461" s="1"/>
      <c r="C461" s="1"/>
      <c r="D461" s="1"/>
      <c r="E461" s="1"/>
      <c r="F461" s="447" t="s">
        <v>6885</v>
      </c>
      <c r="G461" s="450" t="str">
        <f>'Validacao(1)'!DC28</f>
        <v>Não preencheu qual foi o motivo do estudo de complementação</v>
      </c>
      <c r="H461" s="456" t="str">
        <f t="shared" si="22"/>
        <v/>
      </c>
      <c r="I461" s="456" t="str">
        <f t="shared" si="23"/>
        <v/>
      </c>
      <c r="J461" s="419"/>
      <c r="K461" s="20"/>
      <c r="L461" s="20"/>
      <c r="N461" s="25">
        <f>COUNTIF($A$29:A461,"x")</f>
        <v>13</v>
      </c>
      <c r="O461" s="25">
        <f>'Validacao(1)'!DB28</f>
        <v>0</v>
      </c>
      <c r="P461" s="25">
        <f>'Validacao(2)'!DB28</f>
        <v>0</v>
      </c>
      <c r="Q461" s="25"/>
      <c r="R461" s="25"/>
      <c r="S461" s="25"/>
      <c r="T461" s="25"/>
      <c r="U461" s="25"/>
      <c r="V461" s="25"/>
      <c r="W461" s="25"/>
      <c r="X461" s="449"/>
      <c r="Y461" s="449"/>
      <c r="Z461" s="449"/>
      <c r="AA461" s="20"/>
    </row>
    <row r="462" spans="1:27" s="2" customFormat="1" ht="20.100000000000001" customHeight="1" outlineLevel="1" x14ac:dyDescent="0.25">
      <c r="A462" s="446"/>
      <c r="B462" s="1"/>
      <c r="C462" s="1"/>
      <c r="D462" s="1"/>
      <c r="E462" s="1"/>
      <c r="F462" s="447" t="s">
        <v>6886</v>
      </c>
      <c r="G462" s="450" t="str">
        <f>'Validacao(1)'!DC29</f>
        <v>Não preencheu se os resultados foram expressos em médias</v>
      </c>
      <c r="H462" s="456" t="str">
        <f t="shared" si="22"/>
        <v/>
      </c>
      <c r="I462" s="456" t="str">
        <f t="shared" si="23"/>
        <v/>
      </c>
      <c r="J462" s="419"/>
      <c r="K462" s="20"/>
      <c r="L462" s="20"/>
      <c r="N462" s="25">
        <f>COUNTIF($A$29:A462,"x")</f>
        <v>13</v>
      </c>
      <c r="O462" s="25">
        <f>'Validacao(1)'!DB29</f>
        <v>0</v>
      </c>
      <c r="P462" s="25">
        <f>'Validacao(2)'!DB29</f>
        <v>0</v>
      </c>
      <c r="Q462" s="25"/>
      <c r="R462" s="25"/>
      <c r="S462" s="25"/>
      <c r="T462" s="25"/>
      <c r="U462" s="25"/>
      <c r="V462" s="25"/>
      <c r="W462" s="25"/>
      <c r="X462" s="449"/>
      <c r="Y462" s="449"/>
      <c r="Z462" s="449"/>
      <c r="AA462" s="20"/>
    </row>
    <row r="463" spans="1:27" s="2" customFormat="1" ht="20.100000000000001" customHeight="1" outlineLevel="1" x14ac:dyDescent="0.25">
      <c r="A463" s="446"/>
      <c r="B463" s="1"/>
      <c r="C463" s="1"/>
      <c r="D463" s="1"/>
      <c r="E463" s="1"/>
      <c r="F463" s="447" t="s">
        <v>6887</v>
      </c>
      <c r="G463" s="450" t="str">
        <f>'Validacao(1)'!DC30</f>
        <v>Não preencheu os resultados das triplicatas</v>
      </c>
      <c r="H463" s="456" t="str">
        <f t="shared" si="22"/>
        <v/>
      </c>
      <c r="I463" s="456" t="str">
        <f t="shared" si="23"/>
        <v/>
      </c>
      <c r="J463" s="419"/>
      <c r="K463" s="20"/>
      <c r="L463" s="20"/>
      <c r="N463" s="25">
        <f>COUNTIF($A$29:A463,"x")</f>
        <v>13</v>
      </c>
      <c r="O463" s="25">
        <f>'Validacao(1)'!DB30</f>
        <v>0</v>
      </c>
      <c r="P463" s="25">
        <f>'Validacao(2)'!DB30</f>
        <v>0</v>
      </c>
      <c r="Q463" s="25"/>
      <c r="R463" s="25"/>
      <c r="S463" s="25"/>
      <c r="T463" s="25"/>
      <c r="U463" s="25"/>
      <c r="V463" s="25"/>
      <c r="W463" s="25"/>
      <c r="X463" s="449"/>
      <c r="Y463" s="449"/>
      <c r="Z463" s="449"/>
      <c r="AA463" s="20"/>
    </row>
    <row r="464" spans="1:27" s="2" customFormat="1" ht="20.100000000000001" customHeight="1" outlineLevel="1" x14ac:dyDescent="0.25">
      <c r="A464" s="446"/>
      <c r="B464" s="1"/>
      <c r="C464" s="1"/>
      <c r="D464" s="1"/>
      <c r="E464" s="1"/>
      <c r="F464" s="447" t="s">
        <v>6888</v>
      </c>
      <c r="G464" s="450" t="str">
        <f>'Validacao(1)'!DC31</f>
        <v>Não preencheu se houve correlação dose-resposta</v>
      </c>
      <c r="H464" s="456" t="str">
        <f t="shared" ca="1" si="22"/>
        <v/>
      </c>
      <c r="I464" s="456" t="str">
        <f t="shared" ca="1" si="23"/>
        <v/>
      </c>
      <c r="J464" s="419"/>
      <c r="K464" s="20"/>
      <c r="L464" s="20"/>
      <c r="N464" s="25">
        <f>COUNTIF($A$29:A464,"x")</f>
        <v>13</v>
      </c>
      <c r="O464" s="25">
        <f ca="1">'Validacao(1)'!DB31</f>
        <v>0</v>
      </c>
      <c r="P464" s="25">
        <f ca="1">'Validacao(2)'!DB31</f>
        <v>0</v>
      </c>
      <c r="Q464" s="25"/>
      <c r="R464" s="25"/>
      <c r="S464" s="25"/>
      <c r="T464" s="25"/>
      <c r="U464" s="25"/>
      <c r="V464" s="25"/>
      <c r="W464" s="25"/>
      <c r="X464" s="449"/>
      <c r="Y464" s="449"/>
      <c r="Z464" s="449"/>
      <c r="AA464" s="20"/>
    </row>
    <row r="465" spans="1:27" s="2" customFormat="1" ht="20.100000000000001" customHeight="1" outlineLevel="1" x14ac:dyDescent="0.25">
      <c r="A465" s="446"/>
      <c r="B465" s="1"/>
      <c r="C465" s="1"/>
      <c r="D465" s="1"/>
      <c r="E465" s="1"/>
      <c r="F465" s="447" t="s">
        <v>6889</v>
      </c>
      <c r="G465" s="450" t="str">
        <f>'Validacao(1)'!DC32</f>
        <v>Não preencheu se houve significância estatística</v>
      </c>
      <c r="H465" s="456" t="str">
        <f t="shared" ca="1" si="22"/>
        <v/>
      </c>
      <c r="I465" s="456" t="str">
        <f t="shared" ca="1" si="23"/>
        <v/>
      </c>
      <c r="J465" s="419"/>
      <c r="K465" s="20"/>
      <c r="L465" s="20"/>
      <c r="N465" s="25">
        <f>COUNTIF($A$29:A465,"x")</f>
        <v>13</v>
      </c>
      <c r="O465" s="25">
        <f ca="1">'Validacao(1)'!DB32</f>
        <v>0</v>
      </c>
      <c r="P465" s="25">
        <f ca="1">'Validacao(2)'!DB32</f>
        <v>0</v>
      </c>
      <c r="Q465" s="25"/>
      <c r="R465" s="25"/>
      <c r="S465" s="25"/>
      <c r="T465" s="25"/>
      <c r="U465" s="25"/>
      <c r="V465" s="25"/>
      <c r="W465" s="25"/>
      <c r="X465" s="449"/>
      <c r="Y465" s="449"/>
      <c r="Z465" s="449"/>
      <c r="AA465" s="20"/>
    </row>
    <row r="466" spans="1:27" s="2" customFormat="1" ht="20.100000000000001" customHeight="1" outlineLevel="1" x14ac:dyDescent="0.25">
      <c r="A466" s="446"/>
      <c r="B466" s="1"/>
      <c r="C466" s="1"/>
      <c r="D466" s="1"/>
      <c r="E466" s="1"/>
      <c r="F466" s="447" t="s">
        <v>6890</v>
      </c>
      <c r="G466" s="450" t="str">
        <f>'Validacao(1)'!DC33</f>
        <v>Não preencheu em quais cepas houve significância</v>
      </c>
      <c r="H466" s="456" t="str">
        <f t="shared" si="22"/>
        <v/>
      </c>
      <c r="I466" s="456" t="str">
        <f t="shared" si="23"/>
        <v/>
      </c>
      <c r="J466" s="419"/>
      <c r="K466" s="20"/>
      <c r="L466" s="20"/>
      <c r="N466" s="25">
        <f>COUNTIF($A$29:A466,"x")</f>
        <v>13</v>
      </c>
      <c r="O466" s="25">
        <f>'Validacao(1)'!DB33</f>
        <v>0</v>
      </c>
      <c r="P466" s="25">
        <f>'Validacao(2)'!DB33</f>
        <v>0</v>
      </c>
      <c r="Q466" s="25"/>
      <c r="R466" s="25"/>
      <c r="S466" s="25"/>
      <c r="T466" s="25"/>
      <c r="U466" s="25"/>
      <c r="V466" s="25"/>
      <c r="W466" s="25"/>
      <c r="X466" s="449"/>
      <c r="Y466" s="449"/>
      <c r="Z466" s="449"/>
      <c r="AA466" s="20"/>
    </row>
    <row r="467" spans="1:27" s="2" customFormat="1" ht="20.100000000000001" customHeight="1" outlineLevel="1" x14ac:dyDescent="0.25">
      <c r="A467" s="446"/>
      <c r="B467" s="1"/>
      <c r="C467" s="1"/>
      <c r="D467" s="1"/>
      <c r="E467" s="1"/>
      <c r="F467" s="447" t="s">
        <v>6891</v>
      </c>
      <c r="G467" s="450" t="str">
        <f>'Validacao(1)'!DC34</f>
        <v>Não preencheu se houve relevância biológica</v>
      </c>
      <c r="H467" s="456" t="str">
        <f t="shared" ca="1" si="22"/>
        <v/>
      </c>
      <c r="I467" s="456" t="str">
        <f t="shared" ca="1" si="23"/>
        <v/>
      </c>
      <c r="J467" s="419"/>
      <c r="K467" s="20"/>
      <c r="L467" s="20"/>
      <c r="N467" s="25">
        <f>COUNTIF($A$29:A467,"x")</f>
        <v>13</v>
      </c>
      <c r="O467" s="25">
        <f ca="1">'Validacao(1)'!DB34</f>
        <v>0</v>
      </c>
      <c r="P467" s="25">
        <f ca="1">'Validacao(2)'!DB34</f>
        <v>0</v>
      </c>
      <c r="Q467" s="25"/>
      <c r="R467" s="25"/>
      <c r="S467" s="25"/>
      <c r="T467" s="25"/>
      <c r="U467" s="25"/>
      <c r="V467" s="25"/>
      <c r="W467" s="25"/>
      <c r="X467" s="449"/>
      <c r="Y467" s="449"/>
      <c r="Z467" s="449"/>
      <c r="AA467" s="20"/>
    </row>
    <row r="468" spans="1:27" s="2" customFormat="1" ht="20.100000000000001" customHeight="1" outlineLevel="1" x14ac:dyDescent="0.25">
      <c r="A468" s="446"/>
      <c r="B468" s="1"/>
      <c r="C468" s="1"/>
      <c r="D468" s="1"/>
      <c r="E468" s="1"/>
      <c r="F468" s="447" t="s">
        <v>6892</v>
      </c>
      <c r="G468" s="450" t="str">
        <f>'Validacao(1)'!DC35</f>
        <v>Não foi preenchido se houve desvio ao protocolo</v>
      </c>
      <c r="H468" s="456" t="str">
        <f t="shared" ca="1" si="22"/>
        <v/>
      </c>
      <c r="I468" s="456" t="str">
        <f t="shared" ca="1" si="23"/>
        <v/>
      </c>
      <c r="J468" s="419"/>
      <c r="K468" s="20"/>
      <c r="L468" s="20"/>
      <c r="N468" s="25">
        <f>COUNTIF($A$29:A468,"x")</f>
        <v>13</v>
      </c>
      <c r="O468" s="25">
        <f ca="1">'Validacao(1)'!DB35</f>
        <v>0</v>
      </c>
      <c r="P468" s="25">
        <f ca="1">'Validacao(2)'!DB35</f>
        <v>0</v>
      </c>
      <c r="Q468" s="25"/>
      <c r="R468" s="25"/>
      <c r="S468" s="25"/>
      <c r="T468" s="25"/>
      <c r="U468" s="25"/>
      <c r="V468" s="25"/>
      <c r="W468" s="25"/>
      <c r="X468" s="449"/>
      <c r="Y468" s="449"/>
      <c r="Z468" s="449"/>
      <c r="AA468" s="20"/>
    </row>
    <row r="469" spans="1:27" s="2" customFormat="1" ht="20.100000000000001" customHeight="1" outlineLevel="1" x14ac:dyDescent="0.25">
      <c r="A469" s="446"/>
      <c r="B469" s="1"/>
      <c r="C469" s="1"/>
      <c r="D469" s="1"/>
      <c r="E469" s="1"/>
      <c r="F469" s="447" t="s">
        <v>6893</v>
      </c>
      <c r="G469" s="450">
        <f>'Validacao(1)'!DC36</f>
        <v>0</v>
      </c>
      <c r="H469" s="456" t="str">
        <f t="shared" ref="H469:H500" si="24">IF(O469=1,"x","")</f>
        <v/>
      </c>
      <c r="I469" s="456" t="str">
        <f t="shared" ref="I469:I500" si="25">IF(P469=1,"x","")</f>
        <v/>
      </c>
      <c r="J469" s="419"/>
      <c r="K469" s="20"/>
      <c r="L469" s="20"/>
      <c r="N469" s="25">
        <f>COUNTIF($A$29:A469,"x")</f>
        <v>13</v>
      </c>
      <c r="O469" s="25">
        <f>'Validacao(1)'!DB36</f>
        <v>0</v>
      </c>
      <c r="P469" s="25">
        <f>'Validacao(2)'!DB36</f>
        <v>0</v>
      </c>
      <c r="Q469" s="25"/>
      <c r="R469" s="25"/>
      <c r="S469" s="25"/>
      <c r="T469" s="25"/>
      <c r="U469" s="25"/>
      <c r="V469" s="25"/>
      <c r="W469" s="25"/>
      <c r="X469" s="449"/>
      <c r="Y469" s="449"/>
      <c r="Z469" s="449"/>
      <c r="AA469" s="20"/>
    </row>
    <row r="470" spans="1:27" s="2" customFormat="1" ht="20.100000000000001" customHeight="1" outlineLevel="1" x14ac:dyDescent="0.25">
      <c r="A470" s="446"/>
      <c r="B470" s="1"/>
      <c r="C470" s="1"/>
      <c r="D470" s="1"/>
      <c r="E470" s="1"/>
      <c r="F470" s="447" t="s">
        <v>6894</v>
      </c>
      <c r="G470" s="450" t="str">
        <f>'Validacao(1)'!DC37</f>
        <v>Não foi preenchida a conclusão</v>
      </c>
      <c r="H470" s="456" t="str">
        <f t="shared" ca="1" si="24"/>
        <v/>
      </c>
      <c r="I470" s="456" t="str">
        <f t="shared" ca="1" si="25"/>
        <v/>
      </c>
      <c r="J470" s="419"/>
      <c r="K470" s="20"/>
      <c r="L470" s="20"/>
      <c r="N470" s="25">
        <f>COUNTIF($A$29:A470,"x")</f>
        <v>13</v>
      </c>
      <c r="O470" s="25">
        <f ca="1">'Validacao(1)'!DB37</f>
        <v>0</v>
      </c>
      <c r="P470" s="25">
        <f ca="1">'Validacao(2)'!DB37</f>
        <v>0</v>
      </c>
      <c r="Q470" s="25"/>
      <c r="R470" s="25"/>
      <c r="S470" s="25"/>
      <c r="T470" s="25"/>
      <c r="U470" s="25"/>
      <c r="V470" s="25"/>
      <c r="W470" s="25"/>
      <c r="X470" s="449"/>
      <c r="Y470" s="449"/>
      <c r="Z470" s="449"/>
      <c r="AA470" s="20"/>
    </row>
    <row r="471" spans="1:27" s="2" customFormat="1" ht="20.100000000000001" customHeight="1" outlineLevel="1" x14ac:dyDescent="0.25">
      <c r="A471" s="446"/>
      <c r="B471" s="1"/>
      <c r="C471" s="1"/>
      <c r="D471" s="1"/>
      <c r="E471" s="1"/>
      <c r="F471" s="447" t="s">
        <v>6895</v>
      </c>
      <c r="G471" s="450" t="str">
        <f>'Validacao(1)'!DC38</f>
        <v>Estudo conduzido em laboratório sem BPL</v>
      </c>
      <c r="H471" s="456" t="str">
        <f t="shared" ca="1" si="24"/>
        <v/>
      </c>
      <c r="I471" s="456" t="str">
        <f t="shared" ca="1" si="25"/>
        <v/>
      </c>
      <c r="J471" s="419"/>
      <c r="K471" s="20"/>
      <c r="L471" s="20"/>
      <c r="N471" s="25">
        <f>COUNTIF($A$29:A471,"x")</f>
        <v>13</v>
      </c>
      <c r="O471" s="25">
        <f ca="1">'Validacao(1)'!DB38</f>
        <v>0</v>
      </c>
      <c r="P471" s="25">
        <f ca="1">'Validacao(2)'!DB38</f>
        <v>0</v>
      </c>
      <c r="Q471" s="25"/>
      <c r="R471" s="25"/>
      <c r="S471" s="25"/>
      <c r="T471" s="25"/>
      <c r="U471" s="25"/>
      <c r="V471" s="25"/>
      <c r="W471" s="25"/>
      <c r="X471" s="449"/>
      <c r="Y471" s="449"/>
      <c r="Z471" s="449"/>
      <c r="AA471" s="20"/>
    </row>
    <row r="472" spans="1:27" s="2" customFormat="1" ht="20.100000000000001" customHeight="1" outlineLevel="1" x14ac:dyDescent="0.25">
      <c r="A472" s="446"/>
      <c r="B472" s="1"/>
      <c r="C472" s="1"/>
      <c r="D472" s="1"/>
      <c r="E472" s="1"/>
      <c r="F472" s="447" t="s">
        <v>6896</v>
      </c>
      <c r="G472" s="450" t="str">
        <f>'Validacao(1)'!DC39</f>
        <v>Não efetuou a análise das características genéticas das cepas testadas.</v>
      </c>
      <c r="H472" s="456" t="str">
        <f t="shared" ca="1" si="24"/>
        <v/>
      </c>
      <c r="I472" s="456" t="str">
        <f t="shared" ca="1" si="25"/>
        <v/>
      </c>
      <c r="J472" s="419"/>
      <c r="K472" s="20"/>
      <c r="L472" s="20"/>
      <c r="N472" s="25">
        <f>COUNTIF($A$29:A472,"x")</f>
        <v>13</v>
      </c>
      <c r="O472" s="25">
        <f ca="1">'Validacao(1)'!DB39</f>
        <v>0</v>
      </c>
      <c r="P472" s="25">
        <f ca="1">'Validacao(2)'!DB39</f>
        <v>0</v>
      </c>
      <c r="Q472" s="25"/>
      <c r="R472" s="25"/>
      <c r="S472" s="25"/>
      <c r="T472" s="25"/>
      <c r="U472" s="25"/>
      <c r="V472" s="25"/>
      <c r="W472" s="25"/>
      <c r="X472" s="449"/>
      <c r="Y472" s="449"/>
      <c r="Z472" s="449"/>
      <c r="AA472" s="20"/>
    </row>
    <row r="473" spans="1:27" s="2" customFormat="1" ht="20.100000000000001" customHeight="1" outlineLevel="1" x14ac:dyDescent="0.25">
      <c r="A473" s="446"/>
      <c r="B473" s="1"/>
      <c r="C473" s="1"/>
      <c r="D473" s="1"/>
      <c r="E473" s="1"/>
      <c r="F473" s="447" t="s">
        <v>6897</v>
      </c>
      <c r="G473" s="450" t="str">
        <f>'Validacao(1)'!DC40</f>
        <v>A viabilidade celular das cepas não esteve entre 10^8 e 10^9 UFC/placa</v>
      </c>
      <c r="H473" s="456" t="str">
        <f t="shared" ca="1" si="24"/>
        <v/>
      </c>
      <c r="I473" s="456" t="str">
        <f t="shared" ca="1" si="25"/>
        <v/>
      </c>
      <c r="J473" s="419"/>
      <c r="K473" s="20"/>
      <c r="L473" s="20"/>
      <c r="N473" s="25">
        <f>COUNTIF($A$29:A473,"x")</f>
        <v>13</v>
      </c>
      <c r="O473" s="25">
        <f ca="1">'Validacao(1)'!DB40</f>
        <v>0</v>
      </c>
      <c r="P473" s="25">
        <f ca="1">'Validacao(2)'!DB40</f>
        <v>0</v>
      </c>
      <c r="Q473" s="25"/>
      <c r="R473" s="25"/>
      <c r="S473" s="25"/>
      <c r="T473" s="25"/>
      <c r="U473" s="25"/>
      <c r="V473" s="25"/>
      <c r="W473" s="25"/>
      <c r="X473" s="449"/>
      <c r="Y473" s="449"/>
      <c r="Z473" s="449"/>
      <c r="AA473" s="20"/>
    </row>
    <row r="474" spans="1:27" s="2" customFormat="1" ht="20.100000000000001" customHeight="1" outlineLevel="1" x14ac:dyDescent="0.25">
      <c r="A474" s="446"/>
      <c r="B474" s="1"/>
      <c r="C474" s="1"/>
      <c r="D474" s="1"/>
      <c r="E474" s="1"/>
      <c r="F474" s="447" t="s">
        <v>6898</v>
      </c>
      <c r="G474" s="450" t="str">
        <f>'Validacao(1)'!DC41</f>
        <v>No ensaio com ativação metabólica, o controle positivo testado não foi o 2-aminoantraceno</v>
      </c>
      <c r="H474" s="456" t="str">
        <f t="shared" ca="1" si="24"/>
        <v/>
      </c>
      <c r="I474" s="456" t="str">
        <f t="shared" ca="1" si="25"/>
        <v/>
      </c>
      <c r="J474" s="419"/>
      <c r="K474" s="20"/>
      <c r="L474" s="20"/>
      <c r="N474" s="25">
        <f>COUNTIF($A$29:A474,"x")</f>
        <v>13</v>
      </c>
      <c r="O474" s="25">
        <f ca="1">'Validacao(1)'!DB41</f>
        <v>0</v>
      </c>
      <c r="P474" s="25">
        <f ca="1">'Validacao(2)'!DB41</f>
        <v>0</v>
      </c>
      <c r="Q474" s="25"/>
      <c r="R474" s="25"/>
      <c r="S474" s="25"/>
      <c r="T474" s="25"/>
      <c r="U474" s="25"/>
      <c r="V474" s="25"/>
      <c r="W474" s="25"/>
      <c r="X474" s="449"/>
      <c r="Y474" s="449"/>
      <c r="Z474" s="449"/>
      <c r="AA474" s="20"/>
    </row>
    <row r="475" spans="1:27" s="2" customFormat="1" ht="20.100000000000001" customHeight="1" outlineLevel="1" x14ac:dyDescent="0.25">
      <c r="A475" s="446"/>
      <c r="B475" s="1"/>
      <c r="C475" s="1"/>
      <c r="D475" s="1"/>
      <c r="E475" s="1"/>
      <c r="F475" s="447" t="s">
        <v>6899</v>
      </c>
      <c r="G475" s="450" t="str">
        <f>'Validacao(1)'!DC42</f>
        <v>Não conduziu estudo ou apresentou certificado de análise da eficácia da fração S9 com outro mutágeno além do 2-aminoantraceno</v>
      </c>
      <c r="H475" s="456" t="str">
        <f t="shared" ca="1" si="24"/>
        <v/>
      </c>
      <c r="I475" s="456" t="str">
        <f t="shared" ca="1" si="25"/>
        <v/>
      </c>
      <c r="J475" s="419"/>
      <c r="K475" s="20"/>
      <c r="L475" s="20"/>
      <c r="N475" s="25">
        <f>COUNTIF($A$29:A475,"x")</f>
        <v>13</v>
      </c>
      <c r="O475" s="25">
        <f ca="1">'Validacao(1)'!DB42</f>
        <v>0</v>
      </c>
      <c r="P475" s="25">
        <f ca="1">'Validacao(2)'!DB42</f>
        <v>0</v>
      </c>
      <c r="Q475" s="25"/>
      <c r="R475" s="25"/>
      <c r="S475" s="25"/>
      <c r="T475" s="25"/>
      <c r="U475" s="25"/>
      <c r="V475" s="25"/>
      <c r="W475" s="25"/>
      <c r="X475" s="449"/>
      <c r="Y475" s="449"/>
      <c r="Z475" s="449"/>
      <c r="AA475" s="20"/>
    </row>
    <row r="476" spans="1:27" s="2" customFormat="1" ht="20.100000000000001" customHeight="1" outlineLevel="1" x14ac:dyDescent="0.25">
      <c r="A476" s="446"/>
      <c r="B476" s="1"/>
      <c r="C476" s="1"/>
      <c r="D476" s="1"/>
      <c r="E476" s="1"/>
      <c r="F476" s="447" t="s">
        <v>6900</v>
      </c>
      <c r="G476" s="450" t="str">
        <f>'Validacao(1)'!DC43</f>
        <v>Método diferente do controle histórico</v>
      </c>
      <c r="H476" s="456" t="str">
        <f t="shared" ca="1" si="24"/>
        <v/>
      </c>
      <c r="I476" s="456" t="str">
        <f t="shared" ca="1" si="25"/>
        <v/>
      </c>
      <c r="J476" s="419"/>
      <c r="K476" s="20"/>
      <c r="L476" s="20"/>
      <c r="N476" s="25">
        <f>COUNTIF($A$29:A476,"x")</f>
        <v>13</v>
      </c>
      <c r="O476" s="25">
        <f ca="1">'Validacao(1)'!DB43</f>
        <v>0</v>
      </c>
      <c r="P476" s="25">
        <f ca="1">'Validacao(2)'!DB43</f>
        <v>0</v>
      </c>
      <c r="Q476" s="25"/>
      <c r="R476" s="25"/>
      <c r="S476" s="25"/>
      <c r="T476" s="25"/>
      <c r="U476" s="25"/>
      <c r="V476" s="25"/>
      <c r="W476" s="25"/>
      <c r="X476" s="449"/>
      <c r="Y476" s="449"/>
      <c r="Z476" s="449"/>
      <c r="AA476" s="20"/>
    </row>
    <row r="477" spans="1:27" s="2" customFormat="1" ht="20.100000000000001" customHeight="1" outlineLevel="1" x14ac:dyDescent="0.25">
      <c r="A477" s="446"/>
      <c r="B477" s="1"/>
      <c r="C477" s="1"/>
      <c r="D477" s="1"/>
      <c r="E477" s="1"/>
      <c r="F477" s="447" t="s">
        <v>6901</v>
      </c>
      <c r="G477" s="450" t="str">
        <f>'Validacao(1)'!DC44</f>
        <v>Houve precipitação da amostra</v>
      </c>
      <c r="H477" s="456" t="str">
        <f t="shared" si="24"/>
        <v/>
      </c>
      <c r="I477" s="456" t="str">
        <f t="shared" si="25"/>
        <v/>
      </c>
      <c r="J477" s="419"/>
      <c r="K477" s="20"/>
      <c r="L477" s="20"/>
      <c r="N477" s="25">
        <f>COUNTIF($A$29:A477,"x")</f>
        <v>13</v>
      </c>
      <c r="O477" s="25">
        <f>'Validacao(1)'!DB44</f>
        <v>0</v>
      </c>
      <c r="P477" s="25">
        <f>'Validacao(2)'!DB44</f>
        <v>0</v>
      </c>
      <c r="Q477" s="25"/>
      <c r="R477" s="25"/>
      <c r="S477" s="25"/>
      <c r="T477" s="25"/>
      <c r="U477" s="25"/>
      <c r="V477" s="25"/>
      <c r="W477" s="25"/>
      <c r="X477" s="449"/>
      <c r="Y477" s="449"/>
      <c r="Z477" s="449"/>
      <c r="AA477" s="20"/>
    </row>
    <row r="478" spans="1:27" s="2" customFormat="1" ht="20.100000000000001" customHeight="1" outlineLevel="1" x14ac:dyDescent="0.25">
      <c r="A478" s="446"/>
      <c r="B478" s="1"/>
      <c r="C478" s="1"/>
      <c r="D478" s="1"/>
      <c r="E478" s="1"/>
      <c r="F478" s="447" t="s">
        <v>6902</v>
      </c>
      <c r="G478" s="450" t="str">
        <f>'Validacao(1)'!DC45</f>
        <v>Background estava alterado</v>
      </c>
      <c r="H478" s="456" t="str">
        <f t="shared" si="24"/>
        <v/>
      </c>
      <c r="I478" s="456" t="str">
        <f t="shared" si="25"/>
        <v/>
      </c>
      <c r="J478" s="419"/>
      <c r="K478" s="20"/>
      <c r="L478" s="20"/>
      <c r="N478" s="25">
        <f>COUNTIF($A$29:A478,"x")</f>
        <v>13</v>
      </c>
      <c r="O478" s="25">
        <f>'Validacao(1)'!DB45</f>
        <v>0</v>
      </c>
      <c r="P478" s="25">
        <f>'Validacao(2)'!DB45</f>
        <v>0</v>
      </c>
      <c r="Q478" s="25"/>
      <c r="R478" s="25"/>
      <c r="S478" s="25"/>
      <c r="T478" s="25"/>
      <c r="U478" s="25"/>
      <c r="V478" s="25"/>
      <c r="W478" s="25"/>
      <c r="X478" s="449"/>
      <c r="Y478" s="449"/>
      <c r="Z478" s="449"/>
      <c r="AA478" s="20"/>
    </row>
    <row r="479" spans="1:27" s="2" customFormat="1" ht="20.100000000000001" customHeight="1" outlineLevel="1" x14ac:dyDescent="0.25">
      <c r="A479" s="446"/>
      <c r="B479" s="1"/>
      <c r="C479" s="1"/>
      <c r="D479" s="1"/>
      <c r="E479" s="1"/>
      <c r="F479" s="447" t="s">
        <v>6903</v>
      </c>
      <c r="G479" s="450" t="str">
        <f>'Validacao(1)'!DC46</f>
        <v>Houve perda de cepa testada</v>
      </c>
      <c r="H479" s="456" t="str">
        <f t="shared" si="24"/>
        <v/>
      </c>
      <c r="I479" s="456" t="str">
        <f t="shared" si="25"/>
        <v/>
      </c>
      <c r="J479" s="419"/>
      <c r="K479" s="20"/>
      <c r="L479" s="20"/>
      <c r="N479" s="25">
        <f>COUNTIF($A$29:A479,"x")</f>
        <v>13</v>
      </c>
      <c r="O479" s="25">
        <f>'Validacao(1)'!DB46</f>
        <v>0</v>
      </c>
      <c r="P479" s="25">
        <f>'Validacao(2)'!DB46</f>
        <v>0</v>
      </c>
      <c r="Q479" s="25"/>
      <c r="R479" s="25"/>
      <c r="S479" s="25"/>
      <c r="T479" s="25"/>
      <c r="U479" s="25"/>
      <c r="V479" s="25"/>
      <c r="W479" s="25"/>
      <c r="X479" s="449"/>
      <c r="Y479" s="449"/>
      <c r="Z479" s="449"/>
      <c r="AA479" s="20"/>
    </row>
    <row r="480" spans="1:27" s="2" customFormat="1" ht="20.100000000000001" customHeight="1" outlineLevel="1" x14ac:dyDescent="0.25">
      <c r="A480" s="446"/>
      <c r="B480" s="1"/>
      <c r="C480" s="1"/>
      <c r="D480" s="1"/>
      <c r="E480" s="1"/>
      <c r="F480" s="447" t="s">
        <v>6904</v>
      </c>
      <c r="G480" s="450" t="str">
        <f>'Validacao(1)'!DC47</f>
        <v>Houve condução de estudo complementar</v>
      </c>
      <c r="H480" s="456" t="str">
        <f t="shared" si="24"/>
        <v/>
      </c>
      <c r="I480" s="456" t="str">
        <f t="shared" si="25"/>
        <v/>
      </c>
      <c r="J480" s="419"/>
      <c r="K480" s="20"/>
      <c r="L480" s="20"/>
      <c r="N480" s="25">
        <f>COUNTIF($A$29:A480,"x")</f>
        <v>13</v>
      </c>
      <c r="O480" s="25">
        <f>'Validacao(1)'!DB47</f>
        <v>0</v>
      </c>
      <c r="P480" s="25">
        <f>'Validacao(2)'!DB47</f>
        <v>0</v>
      </c>
      <c r="Q480" s="25"/>
      <c r="R480" s="25"/>
      <c r="S480" s="25"/>
      <c r="T480" s="25"/>
      <c r="U480" s="25"/>
      <c r="V480" s="25"/>
      <c r="W480" s="25"/>
      <c r="X480" s="449"/>
      <c r="Y480" s="449"/>
      <c r="Z480" s="449"/>
      <c r="AA480" s="20"/>
    </row>
    <row r="481" spans="1:27" s="2" customFormat="1" ht="20.100000000000001" customHeight="1" outlineLevel="1" x14ac:dyDescent="0.25">
      <c r="A481" s="446"/>
      <c r="B481" s="1"/>
      <c r="C481" s="1"/>
      <c r="D481" s="1"/>
      <c r="E481" s="1"/>
      <c r="F481" s="447" t="s">
        <v>6905</v>
      </c>
      <c r="G481" s="450" t="str">
        <f>'Validacao(1)'!DC48</f>
        <v xml:space="preserve">Não houve pelo menos 5 concentrações analisáveis para alguma das amostras </v>
      </c>
      <c r="H481" s="456" t="str">
        <f t="shared" ca="1" si="24"/>
        <v/>
      </c>
      <c r="I481" s="456" t="str">
        <f t="shared" ca="1" si="25"/>
        <v/>
      </c>
      <c r="J481" s="419"/>
      <c r="K481" s="20"/>
      <c r="L481" s="20"/>
      <c r="N481" s="25">
        <f>COUNTIF($A$29:A481,"x")</f>
        <v>13</v>
      </c>
      <c r="O481" s="25">
        <f ca="1">'Validacao(1)'!DB48</f>
        <v>0</v>
      </c>
      <c r="P481" s="25">
        <f ca="1">'Validacao(2)'!DB48</f>
        <v>0</v>
      </c>
      <c r="Q481" s="25"/>
      <c r="R481" s="25"/>
      <c r="S481" s="25"/>
      <c r="T481" s="25"/>
      <c r="U481" s="25"/>
      <c r="V481" s="25"/>
      <c r="W481" s="25"/>
      <c r="X481" s="449"/>
      <c r="Y481" s="449"/>
      <c r="Z481" s="449"/>
      <c r="AA481" s="20"/>
    </row>
    <row r="482" spans="1:27" s="2" customFormat="1" ht="20.100000000000001" customHeight="1" outlineLevel="1" x14ac:dyDescent="0.25">
      <c r="A482" s="446"/>
      <c r="B482" s="1"/>
      <c r="C482" s="1"/>
      <c r="D482" s="1"/>
      <c r="E482" s="1"/>
      <c r="F482" s="447" t="s">
        <v>6906</v>
      </c>
      <c r="G482" s="450" t="str">
        <f>'Validacao(1)'!DC49</f>
        <v>O Nº médio de revertentes do controle negativo está divergindo do controle histórico  - sem fração S9</v>
      </c>
      <c r="H482" s="456" t="str">
        <f t="shared" ca="1" si="24"/>
        <v/>
      </c>
      <c r="I482" s="456" t="str">
        <f t="shared" ca="1" si="25"/>
        <v/>
      </c>
      <c r="J482" s="419"/>
      <c r="K482" s="20"/>
      <c r="L482" s="20"/>
      <c r="N482" s="25">
        <f>COUNTIF($A$29:A482,"x")</f>
        <v>13</v>
      </c>
      <c r="O482" s="25">
        <f ca="1">'Validacao(1)'!DB49</f>
        <v>0</v>
      </c>
      <c r="P482" s="25">
        <f ca="1">'Validacao(2)'!DB49</f>
        <v>0</v>
      </c>
      <c r="Q482" s="25"/>
      <c r="R482" s="25"/>
      <c r="S482" s="25"/>
      <c r="T482" s="25"/>
      <c r="U482" s="25"/>
      <c r="V482" s="25"/>
      <c r="W482" s="25"/>
      <c r="X482" s="449"/>
      <c r="Y482" s="449"/>
      <c r="Z482" s="449"/>
      <c r="AA482" s="20"/>
    </row>
    <row r="483" spans="1:27" s="2" customFormat="1" ht="20.100000000000001" customHeight="1" outlineLevel="1" x14ac:dyDescent="0.25">
      <c r="A483" s="446"/>
      <c r="B483" s="1"/>
      <c r="C483" s="1"/>
      <c r="D483" s="1"/>
      <c r="E483" s="1"/>
      <c r="F483" s="447" t="s">
        <v>6907</v>
      </c>
      <c r="G483" s="450" t="str">
        <f>'Validacao(1)'!DC50</f>
        <v>O Nº médio de revertentes do controle negativo está divergindo do controle histórico - com fração S9</v>
      </c>
      <c r="H483" s="456" t="str">
        <f t="shared" ca="1" si="24"/>
        <v/>
      </c>
      <c r="I483" s="456" t="str">
        <f t="shared" ca="1" si="25"/>
        <v/>
      </c>
      <c r="J483" s="419"/>
      <c r="K483" s="20"/>
      <c r="L483" s="20"/>
      <c r="N483" s="25">
        <f>COUNTIF($A$29:A483,"x")</f>
        <v>13</v>
      </c>
      <c r="O483" s="25">
        <f ca="1">'Validacao(1)'!DB50</f>
        <v>0</v>
      </c>
      <c r="P483" s="25">
        <f ca="1">'Validacao(2)'!DB50</f>
        <v>0</v>
      </c>
      <c r="Q483" s="25"/>
      <c r="R483" s="25"/>
      <c r="S483" s="25"/>
      <c r="T483" s="25"/>
      <c r="U483" s="25"/>
      <c r="V483" s="25"/>
      <c r="W483" s="25"/>
      <c r="X483" s="449"/>
      <c r="Y483" s="449"/>
      <c r="Z483" s="449"/>
      <c r="AA483" s="20"/>
    </row>
    <row r="484" spans="1:27" s="2" customFormat="1" ht="20.100000000000001" customHeight="1" outlineLevel="1" x14ac:dyDescent="0.25">
      <c r="A484" s="446"/>
      <c r="B484" s="1"/>
      <c r="C484" s="1"/>
      <c r="D484" s="1"/>
      <c r="E484" s="1"/>
      <c r="F484" s="447" t="s">
        <v>6908</v>
      </c>
      <c r="G484" s="450" t="str">
        <f>'Validacao(1)'!DC51</f>
        <v>O Nº médio de revertentes controle positivo está divergindo do controle histórico - sem fração S9</v>
      </c>
      <c r="H484" s="456" t="str">
        <f t="shared" ca="1" si="24"/>
        <v/>
      </c>
      <c r="I484" s="456" t="str">
        <f t="shared" ca="1" si="25"/>
        <v/>
      </c>
      <c r="J484" s="419"/>
      <c r="K484" s="20"/>
      <c r="L484" s="20"/>
      <c r="N484" s="25">
        <f>COUNTIF($A$29:A484,"x")</f>
        <v>13</v>
      </c>
      <c r="O484" s="25">
        <f ca="1">'Validacao(1)'!DB51</f>
        <v>0</v>
      </c>
      <c r="P484" s="25">
        <f ca="1">'Validacao(2)'!DB51</f>
        <v>0</v>
      </c>
      <c r="Q484" s="25"/>
      <c r="R484" s="25"/>
      <c r="S484" s="25"/>
      <c r="T484" s="25"/>
      <c r="U484" s="25"/>
      <c r="V484" s="25"/>
      <c r="W484" s="25"/>
      <c r="X484" s="449"/>
      <c r="Y484" s="449"/>
      <c r="Z484" s="449"/>
      <c r="AA484" s="20"/>
    </row>
    <row r="485" spans="1:27" s="2" customFormat="1" ht="20.100000000000001" customHeight="1" outlineLevel="1" x14ac:dyDescent="0.25">
      <c r="A485" s="446"/>
      <c r="B485" s="1"/>
      <c r="C485" s="1"/>
      <c r="D485" s="1"/>
      <c r="E485" s="1"/>
      <c r="F485" s="447" t="s">
        <v>6909</v>
      </c>
      <c r="G485" s="450" t="str">
        <f>'Validacao(1)'!DC52</f>
        <v>O Nº médio de revertentes controle positivo está divergindo do controle histórico - com fração S9</v>
      </c>
      <c r="H485" s="456" t="str">
        <f t="shared" ca="1" si="24"/>
        <v/>
      </c>
      <c r="I485" s="456" t="str">
        <f t="shared" ca="1" si="25"/>
        <v/>
      </c>
      <c r="J485" s="419"/>
      <c r="K485" s="20"/>
      <c r="L485" s="20"/>
      <c r="N485" s="25">
        <f>COUNTIF($A$29:A485,"x")</f>
        <v>13</v>
      </c>
      <c r="O485" s="25">
        <f ca="1">'Validacao(1)'!DB52</f>
        <v>0</v>
      </c>
      <c r="P485" s="25">
        <f ca="1">'Validacao(2)'!DB52</f>
        <v>0</v>
      </c>
      <c r="Q485" s="25"/>
      <c r="R485" s="25"/>
      <c r="S485" s="25"/>
      <c r="T485" s="25"/>
      <c r="U485" s="25"/>
      <c r="V485" s="25"/>
      <c r="W485" s="25"/>
      <c r="X485" s="449"/>
      <c r="Y485" s="449"/>
      <c r="Z485" s="449"/>
      <c r="AA485" s="20"/>
    </row>
    <row r="486" spans="1:27" s="2" customFormat="1" ht="20.100000000000001" customHeight="1" outlineLevel="1" x14ac:dyDescent="0.25">
      <c r="A486" s="446"/>
      <c r="B486" s="1"/>
      <c r="C486" s="1"/>
      <c r="D486" s="1"/>
      <c r="E486" s="1"/>
      <c r="F486" s="447" t="s">
        <v>6910</v>
      </c>
      <c r="G486" s="450" t="str">
        <f>'Validacao(1)'!DC53</f>
        <v>Houve correlação dose-resposta positiva</v>
      </c>
      <c r="H486" s="456" t="str">
        <f t="shared" si="24"/>
        <v/>
      </c>
      <c r="I486" s="456" t="str">
        <f t="shared" si="25"/>
        <v/>
      </c>
      <c r="J486" s="419"/>
      <c r="K486" s="20"/>
      <c r="L486" s="20"/>
      <c r="N486" s="25">
        <f>COUNTIF($A$29:A486,"x")</f>
        <v>13</v>
      </c>
      <c r="O486" s="25">
        <f>'Validacao(1)'!DB53</f>
        <v>0</v>
      </c>
      <c r="P486" s="25">
        <f>'Validacao(2)'!DB53</f>
        <v>0</v>
      </c>
      <c r="Q486" s="25"/>
      <c r="R486" s="25"/>
      <c r="S486" s="25"/>
      <c r="T486" s="25"/>
      <c r="U486" s="25"/>
      <c r="V486" s="25"/>
      <c r="W486" s="25"/>
      <c r="X486" s="449"/>
      <c r="Y486" s="449"/>
      <c r="Z486" s="449"/>
      <c r="AA486" s="20"/>
    </row>
    <row r="487" spans="1:27" s="2" customFormat="1" ht="20.100000000000001" customHeight="1" outlineLevel="1" x14ac:dyDescent="0.25">
      <c r="A487" s="446"/>
      <c r="B487" s="1"/>
      <c r="C487" s="1"/>
      <c r="D487" s="1"/>
      <c r="E487" s="1"/>
      <c r="F487" s="447" t="s">
        <v>6911</v>
      </c>
      <c r="G487" s="450" t="str">
        <f>'Validacao(1)'!DC54</f>
        <v>Houve significância estatística</v>
      </c>
      <c r="H487" s="456" t="str">
        <f t="shared" si="24"/>
        <v/>
      </c>
      <c r="I487" s="456" t="str">
        <f t="shared" si="25"/>
        <v/>
      </c>
      <c r="J487" s="419"/>
      <c r="K487" s="20"/>
      <c r="L487" s="20"/>
      <c r="N487" s="25">
        <f>COUNTIF($A$29:A487,"x")</f>
        <v>13</v>
      </c>
      <c r="O487" s="25">
        <f>'Validacao(1)'!DB54</f>
        <v>0</v>
      </c>
      <c r="P487" s="25">
        <f>'Validacao(2)'!DB54</f>
        <v>0</v>
      </c>
      <c r="Q487" s="25"/>
      <c r="R487" s="25"/>
      <c r="S487" s="25"/>
      <c r="T487" s="25"/>
      <c r="U487" s="25"/>
      <c r="V487" s="25"/>
      <c r="W487" s="25"/>
      <c r="X487" s="449"/>
      <c r="Y487" s="449"/>
      <c r="Z487" s="449"/>
      <c r="AA487" s="20"/>
    </row>
    <row r="488" spans="1:27" s="2" customFormat="1" ht="20.100000000000001" customHeight="1" outlineLevel="1" x14ac:dyDescent="0.25">
      <c r="A488" s="446"/>
      <c r="B488" s="1"/>
      <c r="C488" s="1"/>
      <c r="D488" s="1"/>
      <c r="E488" s="1"/>
      <c r="F488" s="447" t="s">
        <v>6912</v>
      </c>
      <c r="G488" s="450" t="str">
        <f>'Validacao(1)'!DC55</f>
        <v>Houve significância estatística com relevância biológica</v>
      </c>
      <c r="H488" s="456" t="str">
        <f t="shared" ca="1" si="24"/>
        <v/>
      </c>
      <c r="I488" s="456" t="str">
        <f t="shared" ca="1" si="25"/>
        <v/>
      </c>
      <c r="J488" s="419"/>
      <c r="K488" s="20"/>
      <c r="L488" s="20"/>
      <c r="N488" s="25">
        <f>COUNTIF($A$29:A488,"x")</f>
        <v>13</v>
      </c>
      <c r="O488" s="25">
        <f ca="1">'Validacao(1)'!DB55</f>
        <v>0</v>
      </c>
      <c r="P488" s="25">
        <f ca="1">'Validacao(2)'!DB55</f>
        <v>0</v>
      </c>
      <c r="Q488" s="25"/>
      <c r="R488" s="25"/>
      <c r="S488" s="25"/>
      <c r="T488" s="25"/>
      <c r="U488" s="25"/>
      <c r="V488" s="25"/>
      <c r="W488" s="25"/>
      <c r="X488" s="449"/>
      <c r="Y488" s="449"/>
      <c r="Z488" s="449"/>
      <c r="AA488" s="20"/>
    </row>
    <row r="489" spans="1:27" s="2" customFormat="1" ht="20.100000000000001" customHeight="1" outlineLevel="1" x14ac:dyDescent="0.25">
      <c r="A489" s="446"/>
      <c r="B489" s="1"/>
      <c r="C489" s="1"/>
      <c r="D489" s="1"/>
      <c r="E489" s="1"/>
      <c r="F489" s="447" t="s">
        <v>6913</v>
      </c>
      <c r="G489" s="450" t="str">
        <f>'Validacao(1)'!DC56</f>
        <v>Foram descritos desvios ao protocolo</v>
      </c>
      <c r="H489" s="456" t="str">
        <f t="shared" ca="1" si="24"/>
        <v/>
      </c>
      <c r="I489" s="456" t="str">
        <f t="shared" ca="1" si="25"/>
        <v/>
      </c>
      <c r="J489" s="419"/>
      <c r="K489" s="20"/>
      <c r="L489" s="20"/>
      <c r="N489" s="25">
        <f>COUNTIF($A$29:A489,"x")</f>
        <v>13</v>
      </c>
      <c r="O489" s="25">
        <f ca="1">'Validacao(1)'!DB56</f>
        <v>0</v>
      </c>
      <c r="P489" s="25">
        <f ca="1">'Validacao(2)'!DB56</f>
        <v>0</v>
      </c>
      <c r="Q489" s="25"/>
      <c r="R489" s="25"/>
      <c r="S489" s="25"/>
      <c r="T489" s="25"/>
      <c r="U489" s="25"/>
      <c r="V489" s="25"/>
      <c r="W489" s="25"/>
      <c r="X489" s="449"/>
      <c r="Y489" s="449"/>
      <c r="Z489" s="449"/>
      <c r="AA489" s="20"/>
    </row>
    <row r="490" spans="1:27" s="2" customFormat="1" ht="20.100000000000001" customHeight="1" outlineLevel="1" x14ac:dyDescent="0.25">
      <c r="A490" s="446"/>
      <c r="B490" s="1"/>
      <c r="C490" s="1"/>
      <c r="D490" s="1"/>
      <c r="E490" s="1"/>
      <c r="F490" s="447" t="s">
        <v>6914</v>
      </c>
      <c r="G490" s="450" t="str">
        <f>'Validacao(1)'!DC57</f>
        <v>Os desvios inteferiram nos resultados</v>
      </c>
      <c r="H490" s="456" t="str">
        <f t="shared" ca="1" si="24"/>
        <v/>
      </c>
      <c r="I490" s="456" t="str">
        <f t="shared" ca="1" si="25"/>
        <v/>
      </c>
      <c r="J490" s="419"/>
      <c r="K490" s="20"/>
      <c r="L490" s="20"/>
      <c r="N490" s="25">
        <f>COUNTIF($A$29:A490,"x")</f>
        <v>13</v>
      </c>
      <c r="O490" s="25">
        <f ca="1">'Validacao(1)'!DB57</f>
        <v>0</v>
      </c>
      <c r="P490" s="25">
        <f ca="1">'Validacao(2)'!DB57</f>
        <v>0</v>
      </c>
      <c r="Q490" s="25"/>
      <c r="R490" s="25"/>
      <c r="S490" s="25"/>
      <c r="T490" s="25"/>
      <c r="U490" s="25"/>
      <c r="V490" s="25"/>
      <c r="W490" s="25"/>
      <c r="X490" s="449"/>
      <c r="Y490" s="449"/>
      <c r="Z490" s="449"/>
      <c r="AA490" s="20"/>
    </row>
    <row r="491" spans="1:27" s="2" customFormat="1" ht="20.100000000000001" customHeight="1" outlineLevel="1" x14ac:dyDescent="0.25">
      <c r="A491" s="446"/>
      <c r="B491" s="1"/>
      <c r="C491" s="1"/>
      <c r="D491" s="1"/>
      <c r="E491" s="1"/>
      <c r="F491" s="447" t="s">
        <v>6915</v>
      </c>
      <c r="G491" s="450" t="str">
        <f>'Validacao(1)'!DC58</f>
        <v>Foi apresentada argumentação científica anexa ao estudo</v>
      </c>
      <c r="H491" s="456" t="str">
        <f t="shared" si="24"/>
        <v/>
      </c>
      <c r="I491" s="456" t="str">
        <f t="shared" si="25"/>
        <v/>
      </c>
      <c r="J491" s="419"/>
      <c r="K491" s="20"/>
      <c r="L491" s="20"/>
      <c r="N491" s="25">
        <f>COUNTIF($A$29:A491,"x")</f>
        <v>13</v>
      </c>
      <c r="O491" s="25">
        <f>'Validacao(1)'!DB58</f>
        <v>0</v>
      </c>
      <c r="P491" s="25">
        <f>'Validacao(2)'!DB58</f>
        <v>0</v>
      </c>
      <c r="Q491" s="25"/>
      <c r="R491" s="25"/>
      <c r="S491" s="25"/>
      <c r="T491" s="25"/>
      <c r="U491" s="25"/>
      <c r="V491" s="25"/>
      <c r="W491" s="25"/>
      <c r="X491" s="449"/>
      <c r="Y491" s="449"/>
      <c r="Z491" s="449"/>
      <c r="AA491" s="20"/>
    </row>
    <row r="492" spans="1:27" s="2" customFormat="1" ht="20.100000000000001" customHeight="1" outlineLevel="1" x14ac:dyDescent="0.25">
      <c r="A492" s="446"/>
      <c r="B492" s="1"/>
      <c r="C492" s="1"/>
      <c r="D492" s="1"/>
      <c r="E492" s="1"/>
      <c r="F492" s="447" t="s">
        <v>6916</v>
      </c>
      <c r="G492" s="450" t="str">
        <f>'Validacao(1)'!DC59</f>
        <v>O certificado não foi preenchido na aba "Certificados"</v>
      </c>
      <c r="H492" s="456" t="str">
        <f t="shared" ca="1" si="24"/>
        <v/>
      </c>
      <c r="I492" s="456" t="str">
        <f t="shared" ca="1" si="25"/>
        <v/>
      </c>
      <c r="J492" s="419"/>
      <c r="K492" s="20"/>
      <c r="L492" s="20"/>
      <c r="N492" s="25">
        <f>COUNTIF($A$29:A492,"x")</f>
        <v>13</v>
      </c>
      <c r="O492" s="25">
        <f ca="1">'Validacao(1)'!DB59</f>
        <v>0</v>
      </c>
      <c r="P492" s="25">
        <f ca="1">'Validacao(2)'!DB59</f>
        <v>0</v>
      </c>
      <c r="Q492" s="25"/>
      <c r="R492" s="25"/>
      <c r="S492" s="25"/>
      <c r="T492" s="25"/>
      <c r="U492" s="25"/>
      <c r="V492" s="25"/>
      <c r="W492" s="25"/>
      <c r="X492" s="449"/>
      <c r="Y492" s="449"/>
      <c r="Z492" s="449"/>
      <c r="AA492" s="20"/>
    </row>
    <row r="493" spans="1:27" s="2" customFormat="1" ht="20.100000000000001" customHeight="1" outlineLevel="1" x14ac:dyDescent="0.25">
      <c r="A493" s="446"/>
      <c r="B493" s="1"/>
      <c r="C493" s="1"/>
      <c r="D493" s="1"/>
      <c r="E493" s="1"/>
      <c r="F493" s="447" t="s">
        <v>6917</v>
      </c>
      <c r="G493" s="450" t="str">
        <f>'Validacao(1)'!DC60</f>
        <v>Estudo conduzido com amostra vencida</v>
      </c>
      <c r="H493" s="456" t="str">
        <f t="shared" ca="1" si="24"/>
        <v/>
      </c>
      <c r="I493" s="456" t="str">
        <f t="shared" ca="1" si="25"/>
        <v/>
      </c>
      <c r="J493" s="419"/>
      <c r="K493" s="20"/>
      <c r="L493" s="20"/>
      <c r="N493" s="25">
        <f>COUNTIF($A$29:A493,"x")</f>
        <v>13</v>
      </c>
      <c r="O493" s="25">
        <f ca="1">'Validacao(1)'!DB60</f>
        <v>0</v>
      </c>
      <c r="P493" s="25">
        <f ca="1">'Validacao(2)'!DB60</f>
        <v>0</v>
      </c>
      <c r="Q493" s="25"/>
      <c r="R493" s="25"/>
      <c r="S493" s="25"/>
      <c r="T493" s="25"/>
      <c r="U493" s="25"/>
      <c r="V493" s="25"/>
      <c r="W493" s="25"/>
      <c r="X493" s="449"/>
      <c r="Y493" s="449"/>
      <c r="Z493" s="449"/>
      <c r="AA493" s="20"/>
    </row>
    <row r="494" spans="1:27" s="2" customFormat="1" ht="20.100000000000001" customHeight="1" outlineLevel="1" x14ac:dyDescent="0.25">
      <c r="A494" s="446"/>
      <c r="B494" s="1"/>
      <c r="C494" s="1"/>
      <c r="D494" s="1"/>
      <c r="E494" s="1"/>
      <c r="F494" s="447" t="s">
        <v>6918</v>
      </c>
      <c r="G494" s="450" t="str">
        <f>'Validacao(1)'!DC61</f>
        <v>Estudo conduzido com amostra fora da DCQQ</v>
      </c>
      <c r="H494" s="456" t="str">
        <f t="shared" ca="1" si="24"/>
        <v/>
      </c>
      <c r="I494" s="456" t="str">
        <f t="shared" ca="1" si="25"/>
        <v/>
      </c>
      <c r="J494" s="419"/>
      <c r="K494" s="20"/>
      <c r="L494" s="20"/>
      <c r="N494" s="25">
        <f>COUNTIF($A$29:A494,"x")</f>
        <v>13</v>
      </c>
      <c r="O494" s="25">
        <f ca="1">'Validacao(1)'!DB61</f>
        <v>0</v>
      </c>
      <c r="P494" s="25">
        <f ca="1">'Validacao(2)'!DB61</f>
        <v>0</v>
      </c>
      <c r="Q494" s="25"/>
      <c r="R494" s="25"/>
      <c r="S494" s="25"/>
      <c r="T494" s="25"/>
      <c r="U494" s="25"/>
      <c r="V494" s="25"/>
      <c r="W494" s="25"/>
      <c r="X494" s="449"/>
      <c r="Y494" s="449"/>
      <c r="Z494" s="449"/>
      <c r="AA494" s="20"/>
    </row>
    <row r="495" spans="1:27" s="2" customFormat="1" ht="20.100000000000001" customHeight="1" outlineLevel="1" x14ac:dyDescent="0.25">
      <c r="A495" s="446"/>
      <c r="B495" s="1"/>
      <c r="C495" s="1"/>
      <c r="D495" s="1"/>
      <c r="E495" s="1"/>
      <c r="F495" s="447" t="s">
        <v>6919</v>
      </c>
      <c r="G495" s="450" t="str">
        <f>'Validacao(1)'!DC62</f>
        <v/>
      </c>
      <c r="H495" s="456" t="str">
        <f t="shared" si="24"/>
        <v/>
      </c>
      <c r="I495" s="456" t="str">
        <f t="shared" si="25"/>
        <v/>
      </c>
      <c r="J495" s="419"/>
      <c r="K495" s="20"/>
      <c r="L495" s="20"/>
      <c r="N495" s="25">
        <f>COUNTIF($A$29:A495,"x")</f>
        <v>13</v>
      </c>
      <c r="O495" s="25">
        <f>'Validacao(1)'!DB62</f>
        <v>0</v>
      </c>
      <c r="P495" s="25">
        <f>'Validacao(2)'!DB62</f>
        <v>0</v>
      </c>
      <c r="Q495" s="25"/>
      <c r="R495" s="25"/>
      <c r="S495" s="25"/>
      <c r="T495" s="25"/>
      <c r="U495" s="25"/>
      <c r="V495" s="25"/>
      <c r="W495" s="25"/>
      <c r="X495" s="449"/>
      <c r="Y495" s="449"/>
      <c r="Z495" s="449"/>
      <c r="AA495" s="20"/>
    </row>
    <row r="496" spans="1:27" s="2" customFormat="1" ht="20.100000000000001" customHeight="1" outlineLevel="1" x14ac:dyDescent="0.25">
      <c r="A496" s="446"/>
      <c r="B496" s="1"/>
      <c r="C496" s="1"/>
      <c r="D496" s="1"/>
      <c r="E496" s="1"/>
      <c r="F496" s="447" t="s">
        <v>6920</v>
      </c>
      <c r="G496" s="450" t="str">
        <f>'Validacao(1)'!DC63</f>
        <v/>
      </c>
      <c r="H496" s="456" t="str">
        <f t="shared" si="24"/>
        <v/>
      </c>
      <c r="I496" s="456" t="str">
        <f t="shared" si="25"/>
        <v/>
      </c>
      <c r="J496" s="419"/>
      <c r="K496" s="20"/>
      <c r="L496" s="20"/>
      <c r="N496" s="25">
        <f>COUNTIF($A$29:A496,"x")</f>
        <v>13</v>
      </c>
      <c r="O496" s="25">
        <f>'Validacao(1)'!DB63</f>
        <v>0</v>
      </c>
      <c r="P496" s="25">
        <f>'Validacao(2)'!DB63</f>
        <v>0</v>
      </c>
      <c r="Q496" s="25"/>
      <c r="R496" s="25"/>
      <c r="S496" s="25"/>
      <c r="T496" s="25"/>
      <c r="U496" s="25"/>
      <c r="V496" s="25"/>
      <c r="W496" s="25"/>
      <c r="X496" s="449"/>
      <c r="Y496" s="449"/>
      <c r="Z496" s="449"/>
      <c r="AA496" s="20"/>
    </row>
    <row r="497" spans="1:27" s="2" customFormat="1" ht="20.100000000000001" customHeight="1" outlineLevel="1" x14ac:dyDescent="0.25">
      <c r="A497" s="446"/>
      <c r="B497" s="1"/>
      <c r="C497" s="1"/>
      <c r="D497" s="1"/>
      <c r="E497" s="1"/>
      <c r="F497" s="447" t="s">
        <v>6921</v>
      </c>
      <c r="G497" s="450" t="str">
        <f>'Validacao(1)'!DC64</f>
        <v/>
      </c>
      <c r="H497" s="456" t="str">
        <f t="shared" si="24"/>
        <v/>
      </c>
      <c r="I497" s="456" t="str">
        <f t="shared" si="25"/>
        <v/>
      </c>
      <c r="J497" s="419"/>
      <c r="K497" s="20"/>
      <c r="L497" s="20"/>
      <c r="N497" s="25">
        <f>COUNTIF($A$29:A497,"x")</f>
        <v>13</v>
      </c>
      <c r="O497" s="25">
        <f>'Validacao(1)'!DB64</f>
        <v>0</v>
      </c>
      <c r="P497" s="25">
        <f>'Validacao(2)'!DB64</f>
        <v>0</v>
      </c>
      <c r="Q497" s="25"/>
      <c r="R497" s="25"/>
      <c r="S497" s="25"/>
      <c r="T497" s="25"/>
      <c r="U497" s="25"/>
      <c r="V497" s="25"/>
      <c r="W497" s="25"/>
      <c r="X497" s="449"/>
      <c r="Y497" s="449"/>
      <c r="Z497" s="449"/>
      <c r="AA497" s="20"/>
    </row>
    <row r="498" spans="1:27" s="2" customFormat="1" ht="20.100000000000001" customHeight="1" outlineLevel="1" x14ac:dyDescent="0.25">
      <c r="A498" s="446"/>
      <c r="B498" s="1"/>
      <c r="C498" s="1"/>
      <c r="D498" s="1"/>
      <c r="E498" s="1"/>
      <c r="F498" s="447" t="s">
        <v>6922</v>
      </c>
      <c r="G498" s="450" t="str">
        <f>'Validacao(1)'!DC65</f>
        <v/>
      </c>
      <c r="H498" s="456" t="str">
        <f t="shared" si="24"/>
        <v/>
      </c>
      <c r="I498" s="456" t="str">
        <f t="shared" si="25"/>
        <v/>
      </c>
      <c r="J498" s="419"/>
      <c r="K498" s="20"/>
      <c r="L498" s="20"/>
      <c r="N498" s="25">
        <f>COUNTIF($A$29:A498,"x")</f>
        <v>13</v>
      </c>
      <c r="O498" s="25">
        <f>'Validacao(1)'!DB65</f>
        <v>0</v>
      </c>
      <c r="P498" s="25">
        <f>'Validacao(2)'!DB65</f>
        <v>0</v>
      </c>
      <c r="Q498" s="25"/>
      <c r="R498" s="25"/>
      <c r="S498" s="25"/>
      <c r="T498" s="25"/>
      <c r="U498" s="25"/>
      <c r="V498" s="25"/>
      <c r="W498" s="25"/>
      <c r="X498" s="449"/>
      <c r="Y498" s="449"/>
      <c r="Z498" s="449"/>
      <c r="AA498" s="20"/>
    </row>
    <row r="499" spans="1:27" s="2" customFormat="1" ht="20.100000000000001" customHeight="1" outlineLevel="1" x14ac:dyDescent="0.25">
      <c r="A499" s="446"/>
      <c r="B499" s="1"/>
      <c r="C499" s="1"/>
      <c r="D499" s="1"/>
      <c r="E499" s="1"/>
      <c r="F499" s="447" t="s">
        <v>6923</v>
      </c>
      <c r="G499" s="450" t="str">
        <f>'Validacao(1)'!DC66</f>
        <v/>
      </c>
      <c r="H499" s="456" t="str">
        <f t="shared" si="24"/>
        <v/>
      </c>
      <c r="I499" s="456" t="str">
        <f t="shared" si="25"/>
        <v/>
      </c>
      <c r="J499" s="419"/>
      <c r="K499" s="20"/>
      <c r="L499" s="20"/>
      <c r="N499" s="25">
        <f>COUNTIF($A$29:A499,"x")</f>
        <v>13</v>
      </c>
      <c r="O499" s="25">
        <f>'Validacao(1)'!DB66</f>
        <v>0</v>
      </c>
      <c r="P499" s="25">
        <f>'Validacao(2)'!DB66</f>
        <v>0</v>
      </c>
      <c r="Q499" s="25"/>
      <c r="R499" s="25"/>
      <c r="S499" s="25"/>
      <c r="T499" s="25"/>
      <c r="U499" s="25"/>
      <c r="V499" s="25"/>
      <c r="W499" s="25"/>
      <c r="X499" s="449"/>
      <c r="Y499" s="449"/>
      <c r="Z499" s="449"/>
      <c r="AA499" s="20"/>
    </row>
    <row r="500" spans="1:27" s="2" customFormat="1" ht="20.100000000000001" customHeight="1" outlineLevel="1" x14ac:dyDescent="0.25">
      <c r="A500" s="446"/>
      <c r="B500" s="1"/>
      <c r="C500" s="1"/>
      <c r="D500" s="1"/>
      <c r="E500" s="1"/>
      <c r="F500" s="447" t="s">
        <v>6924</v>
      </c>
      <c r="G500" s="450" t="str">
        <f>'Validacao(1)'!DC67</f>
        <v/>
      </c>
      <c r="H500" s="456" t="str">
        <f t="shared" si="24"/>
        <v/>
      </c>
      <c r="I500" s="456" t="str">
        <f t="shared" si="25"/>
        <v/>
      </c>
      <c r="J500" s="419"/>
      <c r="K500" s="20"/>
      <c r="L500" s="20"/>
      <c r="N500" s="25">
        <f>COUNTIF($A$29:A500,"x")</f>
        <v>13</v>
      </c>
      <c r="O500" s="25">
        <f>'Validacao(1)'!DB67</f>
        <v>0</v>
      </c>
      <c r="P500" s="25">
        <f>'Validacao(2)'!DB67</f>
        <v>0</v>
      </c>
      <c r="Q500" s="25"/>
      <c r="R500" s="25"/>
      <c r="S500" s="25"/>
      <c r="T500" s="25"/>
      <c r="U500" s="25"/>
      <c r="V500" s="25"/>
      <c r="W500" s="25"/>
      <c r="X500" s="449"/>
      <c r="Y500" s="449"/>
      <c r="Z500" s="449"/>
      <c r="AA500" s="20"/>
    </row>
    <row r="501" spans="1:27" s="2" customFormat="1" ht="20.100000000000001" customHeight="1" outlineLevel="1" x14ac:dyDescent="0.25">
      <c r="A501" s="446"/>
      <c r="B501" s="1"/>
      <c r="C501" s="1"/>
      <c r="D501" s="1"/>
      <c r="E501" s="1"/>
      <c r="F501" s="447" t="s">
        <v>6925</v>
      </c>
      <c r="G501" s="450" t="str">
        <f>'Validacao(1)'!DC68</f>
        <v/>
      </c>
      <c r="H501" s="456" t="str">
        <f t="shared" ref="H501:H506" si="26">IF(O501=1,"x","")</f>
        <v/>
      </c>
      <c r="I501" s="456" t="str">
        <f t="shared" ref="I501:I506" si="27">IF(P501=1,"x","")</f>
        <v/>
      </c>
      <c r="J501" s="419"/>
      <c r="K501" s="20"/>
      <c r="L501" s="20"/>
      <c r="N501" s="25">
        <f>COUNTIF($A$29:A501,"x")</f>
        <v>13</v>
      </c>
      <c r="O501" s="25">
        <f>'Validacao(1)'!DB68</f>
        <v>0</v>
      </c>
      <c r="P501" s="25">
        <f>'Validacao(2)'!DB68</f>
        <v>0</v>
      </c>
      <c r="Q501" s="25"/>
      <c r="R501" s="25"/>
      <c r="S501" s="25"/>
      <c r="T501" s="25"/>
      <c r="U501" s="25"/>
      <c r="V501" s="25"/>
      <c r="W501" s="25"/>
      <c r="X501" s="449"/>
      <c r="Y501" s="449"/>
      <c r="Z501" s="449"/>
      <c r="AA501" s="20"/>
    </row>
    <row r="502" spans="1:27" s="2" customFormat="1" ht="20.100000000000001" customHeight="1" outlineLevel="1" x14ac:dyDescent="0.25">
      <c r="A502" s="446"/>
      <c r="B502" s="1"/>
      <c r="C502" s="1"/>
      <c r="D502" s="1"/>
      <c r="E502" s="1"/>
      <c r="F502" s="447" t="s">
        <v>6926</v>
      </c>
      <c r="G502" s="450" t="str">
        <f>'Validacao(1)'!DC69</f>
        <v/>
      </c>
      <c r="H502" s="456" t="str">
        <f t="shared" si="26"/>
        <v/>
      </c>
      <c r="I502" s="456" t="str">
        <f t="shared" si="27"/>
        <v/>
      </c>
      <c r="J502" s="419"/>
      <c r="K502" s="20"/>
      <c r="L502" s="20"/>
      <c r="N502" s="25">
        <f>COUNTIF($A$29:A502,"x")</f>
        <v>13</v>
      </c>
      <c r="O502" s="25">
        <f>'Validacao(1)'!DB69</f>
        <v>0</v>
      </c>
      <c r="P502" s="25">
        <f>'Validacao(2)'!DB69</f>
        <v>0</v>
      </c>
      <c r="Q502" s="25"/>
      <c r="R502" s="25"/>
      <c r="S502" s="25"/>
      <c r="T502" s="25"/>
      <c r="U502" s="25"/>
      <c r="V502" s="25"/>
      <c r="W502" s="25"/>
      <c r="X502" s="449"/>
      <c r="Y502" s="449"/>
      <c r="Z502" s="449"/>
      <c r="AA502" s="20"/>
    </row>
    <row r="503" spans="1:27" s="2" customFormat="1" ht="20.100000000000001" customHeight="1" outlineLevel="1" x14ac:dyDescent="0.25">
      <c r="A503" s="446"/>
      <c r="B503" s="1"/>
      <c r="C503" s="1"/>
      <c r="D503" s="1"/>
      <c r="E503" s="1"/>
      <c r="F503" s="447" t="s">
        <v>6927</v>
      </c>
      <c r="G503" s="450" t="str">
        <f>'Validacao(1)'!DC70</f>
        <v/>
      </c>
      <c r="H503" s="456" t="str">
        <f t="shared" si="26"/>
        <v/>
      </c>
      <c r="I503" s="456" t="str">
        <f t="shared" si="27"/>
        <v/>
      </c>
      <c r="J503" s="419"/>
      <c r="K503" s="20"/>
      <c r="L503" s="20"/>
      <c r="N503" s="25">
        <f>COUNTIF($A$29:A503,"x")</f>
        <v>13</v>
      </c>
      <c r="O503" s="25">
        <f>'Validacao(1)'!DB70</f>
        <v>0</v>
      </c>
      <c r="P503" s="25">
        <f>'Validacao(2)'!DB70</f>
        <v>0</v>
      </c>
      <c r="Q503" s="25"/>
      <c r="R503" s="25"/>
      <c r="S503" s="25"/>
      <c r="T503" s="25"/>
      <c r="U503" s="25"/>
      <c r="V503" s="25"/>
      <c r="W503" s="25"/>
      <c r="X503" s="449"/>
      <c r="Y503" s="449"/>
      <c r="Z503" s="449"/>
      <c r="AA503" s="20"/>
    </row>
    <row r="504" spans="1:27" s="2" customFormat="1" ht="20.100000000000001" customHeight="1" outlineLevel="1" x14ac:dyDescent="0.25">
      <c r="A504" s="446"/>
      <c r="B504" s="1"/>
      <c r="C504" s="1"/>
      <c r="D504" s="1"/>
      <c r="E504" s="1"/>
      <c r="F504" s="447" t="s">
        <v>6928</v>
      </c>
      <c r="G504" s="450" t="str">
        <f>'Validacao(1)'!DC71</f>
        <v/>
      </c>
      <c r="H504" s="456" t="str">
        <f t="shared" si="26"/>
        <v/>
      </c>
      <c r="I504" s="456" t="str">
        <f t="shared" si="27"/>
        <v/>
      </c>
      <c r="J504" s="419"/>
      <c r="K504" s="20"/>
      <c r="L504" s="20"/>
      <c r="N504" s="25">
        <f>COUNTIF($A$29:A504,"x")</f>
        <v>13</v>
      </c>
      <c r="O504" s="25">
        <f>'Validacao(1)'!DB71</f>
        <v>0</v>
      </c>
      <c r="P504" s="25">
        <f>'Validacao(2)'!DB71</f>
        <v>0</v>
      </c>
      <c r="Q504" s="25"/>
      <c r="R504" s="25"/>
      <c r="S504" s="25"/>
      <c r="T504" s="25"/>
      <c r="U504" s="25"/>
      <c r="V504" s="25"/>
      <c r="W504" s="25"/>
      <c r="X504" s="449"/>
      <c r="Y504" s="449"/>
      <c r="Z504" s="449"/>
      <c r="AA504" s="20"/>
    </row>
    <row r="505" spans="1:27" s="2" customFormat="1" ht="20.100000000000001" customHeight="1" outlineLevel="1" x14ac:dyDescent="0.25">
      <c r="A505" s="446"/>
      <c r="B505" s="1"/>
      <c r="C505" s="1"/>
      <c r="D505" s="1"/>
      <c r="E505" s="1"/>
      <c r="F505" s="447" t="s">
        <v>6929</v>
      </c>
      <c r="G505" s="450" t="str">
        <f>'Validacao(1)'!DC72</f>
        <v/>
      </c>
      <c r="H505" s="456" t="str">
        <f t="shared" si="26"/>
        <v/>
      </c>
      <c r="I505" s="456" t="str">
        <f t="shared" si="27"/>
        <v/>
      </c>
      <c r="J505" s="419"/>
      <c r="K505" s="20"/>
      <c r="L505" s="20"/>
      <c r="N505" s="25">
        <f>COUNTIF($A$29:A505,"x")</f>
        <v>13</v>
      </c>
      <c r="O505" s="25">
        <f>'Validacao(1)'!DB72</f>
        <v>0</v>
      </c>
      <c r="P505" s="25">
        <f>'Validacao(2)'!DB72</f>
        <v>0</v>
      </c>
      <c r="Q505" s="25"/>
      <c r="R505" s="25"/>
      <c r="S505" s="25"/>
      <c r="T505" s="25"/>
      <c r="U505" s="25"/>
      <c r="V505" s="25"/>
      <c r="W505" s="25"/>
      <c r="X505" s="449"/>
      <c r="Y505" s="449"/>
      <c r="Z505" s="449"/>
      <c r="AA505" s="20"/>
    </row>
    <row r="506" spans="1:27" s="2" customFormat="1" ht="20.100000000000001" customHeight="1" outlineLevel="1" x14ac:dyDescent="0.25">
      <c r="A506" s="446"/>
      <c r="B506" s="1"/>
      <c r="C506" s="1"/>
      <c r="D506" s="1"/>
      <c r="E506" s="1"/>
      <c r="F506" s="447" t="s">
        <v>6930</v>
      </c>
      <c r="G506" s="450" t="str">
        <f>'Validacao(1)'!DC73</f>
        <v/>
      </c>
      <c r="H506" s="456" t="str">
        <f t="shared" si="26"/>
        <v/>
      </c>
      <c r="I506" s="456" t="str">
        <f t="shared" si="27"/>
        <v/>
      </c>
      <c r="J506" s="419"/>
      <c r="K506" s="20"/>
      <c r="L506" s="20"/>
      <c r="N506" s="25">
        <f>COUNTIF($A$29:A506,"x")</f>
        <v>13</v>
      </c>
      <c r="O506" s="25">
        <f>'Validacao(1)'!DB73</f>
        <v>0</v>
      </c>
      <c r="P506" s="25">
        <f>'Validacao(2)'!DB73</f>
        <v>0</v>
      </c>
      <c r="Q506" s="25"/>
      <c r="R506" s="25"/>
      <c r="S506" s="25"/>
      <c r="T506" s="25"/>
      <c r="U506" s="25"/>
      <c r="V506" s="25"/>
      <c r="W506" s="25"/>
      <c r="X506" s="449"/>
      <c r="Y506" s="449"/>
      <c r="Z506" s="449"/>
      <c r="AA506" s="20"/>
    </row>
    <row r="507" spans="1:27" s="2" customFormat="1" ht="30" customHeight="1" x14ac:dyDescent="0.25">
      <c r="A507" s="446" t="s">
        <v>8576</v>
      </c>
      <c r="B507" s="1"/>
      <c r="C507" s="1"/>
      <c r="D507" s="1"/>
      <c r="E507" s="1"/>
      <c r="F507" s="418"/>
      <c r="G507" s="453" t="str">
        <f ca="1">U507</f>
        <v>📂 (✓ ) Dano cromossômico em células de mamíferos (estudo de micronúcleo)</v>
      </c>
      <c r="H507" s="454" t="str">
        <f>HYPERLINK(Y507,$V$17)</f>
        <v>Estudo (1)</v>
      </c>
      <c r="I507" s="455" t="str">
        <f>HYPERLINK(Z507,$V$18)</f>
        <v>Estudo (2)</v>
      </c>
      <c r="J507" s="419"/>
      <c r="K507" s="20"/>
      <c r="L507" s="20"/>
      <c r="N507" s="442">
        <f>COUNTIF($A$29:A507,"x")</f>
        <v>14</v>
      </c>
      <c r="O507" s="442" t="s">
        <v>10</v>
      </c>
      <c r="P507" s="442" t="s">
        <v>10</v>
      </c>
      <c r="Q507" s="442">
        <f ca="1">SUMIF(N508:$N$633,N507,O508:$O$633)</f>
        <v>0</v>
      </c>
      <c r="R507" s="442">
        <f ca="1">SUMIF(N508:$N$633,N507,P508:$P$633)</f>
        <v>0</v>
      </c>
      <c r="S507" s="442">
        <f ca="1">Q507+R507</f>
        <v>0</v>
      </c>
      <c r="T507" s="443" t="s">
        <v>8595</v>
      </c>
      <c r="U507" s="443" t="str">
        <f ca="1">$T$4&amp;"("&amp; IF(S507=0,V$23,S507) &amp; ") " &amp; T507</f>
        <v>📂 (✓ ) Dano cromossômico em células de mamíferos (estudo de micronúcleo)</v>
      </c>
      <c r="V507" s="443" t="str">
        <f ca="1">IF(Q507&gt;0,$V$24&amp;Q507,"")</f>
        <v/>
      </c>
      <c r="W507" s="443" t="str">
        <f ca="1">IF(R507&gt;0,$V$24&amp;R507,"")</f>
        <v/>
      </c>
      <c r="X507" s="444" t="s">
        <v>8558</v>
      </c>
      <c r="Y507" s="445" t="str">
        <f>$V$19 &amp; $X507 &amp; V$21 &amp; $V$22 &amp; $V$20</f>
        <v>#'Micronucleo(1)'!F2</v>
      </c>
      <c r="Z507" s="445" t="str">
        <f>$V$19 &amp; $X507 &amp; W$21 &amp; $V$22 &amp; $V$20</f>
        <v>#'Micronucleo(2)'!F2</v>
      </c>
      <c r="AA507" s="20"/>
    </row>
    <row r="508" spans="1:27" s="2" customFormat="1" ht="20.100000000000001" customHeight="1" outlineLevel="1" x14ac:dyDescent="0.25">
      <c r="A508" s="446"/>
      <c r="B508" s="1"/>
      <c r="C508" s="1"/>
      <c r="D508" s="1"/>
      <c r="E508" s="1"/>
      <c r="F508" s="447" t="s">
        <v>6931</v>
      </c>
      <c r="G508" s="450" t="str">
        <f>'Validacao(1)'!DC103</f>
        <v>Não foi preenchido o código do estudo</v>
      </c>
      <c r="H508" s="456" t="str">
        <f t="shared" ref="H508:H539" ca="1" si="28">IF(O508=1,"x","")</f>
        <v/>
      </c>
      <c r="I508" s="456" t="str">
        <f t="shared" ref="I508:I539" ca="1" si="29">IF(P508=1,"x","")</f>
        <v/>
      </c>
      <c r="J508" s="419"/>
      <c r="K508" s="20"/>
      <c r="L508" s="20"/>
      <c r="N508" s="25">
        <f>COUNTIF($A$29:A508,"x")</f>
        <v>14</v>
      </c>
      <c r="O508" s="25">
        <f ca="1">'Validacao(1)'!DB103</f>
        <v>0</v>
      </c>
      <c r="P508" s="25">
        <f ca="1">'Validacao(2)'!DB103</f>
        <v>0</v>
      </c>
      <c r="Q508" s="25"/>
      <c r="R508" s="25"/>
      <c r="S508" s="25"/>
      <c r="T508" s="25"/>
      <c r="U508" s="25"/>
      <c r="V508" s="25"/>
      <c r="W508" s="25"/>
      <c r="X508" s="449"/>
      <c r="Y508" s="449"/>
      <c r="Z508" s="449"/>
      <c r="AA508" s="20"/>
    </row>
    <row r="509" spans="1:27" s="2" customFormat="1" ht="20.100000000000001" customHeight="1" outlineLevel="1" x14ac:dyDescent="0.25">
      <c r="A509" s="446"/>
      <c r="B509" s="1"/>
      <c r="C509" s="1"/>
      <c r="D509" s="1"/>
      <c r="E509" s="1"/>
      <c r="F509" s="447" t="s">
        <v>6932</v>
      </c>
      <c r="G509" s="450" t="str">
        <f>'Validacao(1)'!DC104</f>
        <v>Não foi preenchido o nome do laboratório</v>
      </c>
      <c r="H509" s="456" t="str">
        <f t="shared" ca="1" si="28"/>
        <v/>
      </c>
      <c r="I509" s="456" t="str">
        <f t="shared" ca="1" si="29"/>
        <v/>
      </c>
      <c r="J509" s="419"/>
      <c r="K509" s="20"/>
      <c r="L509" s="20"/>
      <c r="N509" s="25">
        <f>COUNTIF($A$29:A509,"x")</f>
        <v>14</v>
      </c>
      <c r="O509" s="25">
        <f ca="1">'Validacao(1)'!DB104</f>
        <v>0</v>
      </c>
      <c r="P509" s="25">
        <f ca="1">'Validacao(2)'!DB104</f>
        <v>0</v>
      </c>
      <c r="Q509" s="25"/>
      <c r="R509" s="25"/>
      <c r="S509" s="25"/>
      <c r="T509" s="25"/>
      <c r="U509" s="25"/>
      <c r="V509" s="25"/>
      <c r="W509" s="25"/>
      <c r="X509" s="449"/>
      <c r="Y509" s="449"/>
      <c r="Z509" s="449"/>
      <c r="AA509" s="20"/>
    </row>
    <row r="510" spans="1:27" s="2" customFormat="1" ht="20.100000000000001" customHeight="1" outlineLevel="1" x14ac:dyDescent="0.25">
      <c r="A510" s="446"/>
      <c r="B510" s="1"/>
      <c r="C510" s="1"/>
      <c r="D510" s="1"/>
      <c r="E510" s="1"/>
      <c r="F510" s="447" t="s">
        <v>6933</v>
      </c>
      <c r="G510" s="450" t="str">
        <f>'Validacao(1)'!DC105</f>
        <v>Não foi preenchido se o estudo foi conduzido em laboratório com BPL</v>
      </c>
      <c r="H510" s="456" t="str">
        <f t="shared" ca="1" si="28"/>
        <v/>
      </c>
      <c r="I510" s="456" t="str">
        <f t="shared" ca="1" si="29"/>
        <v/>
      </c>
      <c r="J510" s="419"/>
      <c r="K510" s="20"/>
      <c r="L510" s="20"/>
      <c r="N510" s="25">
        <f>COUNTIF($A$29:A510,"x")</f>
        <v>14</v>
      </c>
      <c r="O510" s="25">
        <f ca="1">'Validacao(1)'!DB105</f>
        <v>0</v>
      </c>
      <c r="P510" s="25">
        <f ca="1">'Validacao(2)'!DB105</f>
        <v>0</v>
      </c>
      <c r="Q510" s="25"/>
      <c r="R510" s="25"/>
      <c r="S510" s="25"/>
      <c r="T510" s="25"/>
      <c r="U510" s="25"/>
      <c r="V510" s="25"/>
      <c r="W510" s="25"/>
      <c r="X510" s="449"/>
      <c r="Y510" s="449"/>
      <c r="Z510" s="449"/>
      <c r="AA510" s="20"/>
    </row>
    <row r="511" spans="1:27" s="2" customFormat="1" ht="20.100000000000001" customHeight="1" outlineLevel="1" x14ac:dyDescent="0.25">
      <c r="A511" s="446"/>
      <c r="B511" s="1"/>
      <c r="C511" s="1"/>
      <c r="D511" s="1"/>
      <c r="E511" s="1"/>
      <c r="F511" s="447" t="s">
        <v>6934</v>
      </c>
      <c r="G511" s="450" t="str">
        <f>'Validacao(1)'!DC106</f>
        <v>Não foi preenchido o protocolo</v>
      </c>
      <c r="H511" s="456" t="str">
        <f t="shared" ca="1" si="28"/>
        <v/>
      </c>
      <c r="I511" s="456" t="str">
        <f t="shared" ca="1" si="29"/>
        <v/>
      </c>
      <c r="J511" s="419"/>
      <c r="K511" s="20"/>
      <c r="L511" s="20"/>
      <c r="N511" s="25">
        <f>COUNTIF($A$29:A511,"x")</f>
        <v>14</v>
      </c>
      <c r="O511" s="25">
        <f ca="1">'Validacao(1)'!DB106</f>
        <v>0</v>
      </c>
      <c r="P511" s="25">
        <f ca="1">'Validacao(2)'!DB106</f>
        <v>0</v>
      </c>
      <c r="Q511" s="25"/>
      <c r="R511" s="25"/>
      <c r="S511" s="25"/>
      <c r="T511" s="25"/>
      <c r="U511" s="25"/>
      <c r="V511" s="25"/>
      <c r="W511" s="25"/>
      <c r="X511" s="449"/>
      <c r="Y511" s="449"/>
      <c r="Z511" s="449"/>
      <c r="AA511" s="20"/>
    </row>
    <row r="512" spans="1:27" s="2" customFormat="1" ht="20.100000000000001" customHeight="1" outlineLevel="1" x14ac:dyDescent="0.25">
      <c r="A512" s="446"/>
      <c r="B512" s="1"/>
      <c r="C512" s="1"/>
      <c r="D512" s="1"/>
      <c r="E512" s="1"/>
      <c r="F512" s="447" t="s">
        <v>6935</v>
      </c>
      <c r="G512" s="450" t="str">
        <f>'Validacao(1)'!DC107</f>
        <v>Não foi preenchido a data de início</v>
      </c>
      <c r="H512" s="456" t="str">
        <f t="shared" ca="1" si="28"/>
        <v/>
      </c>
      <c r="I512" s="456" t="str">
        <f t="shared" ca="1" si="29"/>
        <v/>
      </c>
      <c r="J512" s="419"/>
      <c r="K512" s="20"/>
      <c r="L512" s="20"/>
      <c r="N512" s="25">
        <f>COUNTIF($A$29:A512,"x")</f>
        <v>14</v>
      </c>
      <c r="O512" s="25">
        <f ca="1">'Validacao(1)'!DB107</f>
        <v>0</v>
      </c>
      <c r="P512" s="25">
        <f ca="1">'Validacao(2)'!DB107</f>
        <v>0</v>
      </c>
      <c r="Q512" s="25"/>
      <c r="R512" s="25"/>
      <c r="S512" s="25"/>
      <c r="T512" s="25"/>
      <c r="U512" s="25"/>
      <c r="V512" s="25"/>
      <c r="W512" s="25"/>
      <c r="X512" s="449"/>
      <c r="Y512" s="449"/>
      <c r="Z512" s="449"/>
      <c r="AA512" s="20"/>
    </row>
    <row r="513" spans="1:27" s="2" customFormat="1" ht="20.100000000000001" customHeight="1" outlineLevel="1" x14ac:dyDescent="0.25">
      <c r="A513" s="446"/>
      <c r="B513" s="1"/>
      <c r="C513" s="1"/>
      <c r="D513" s="1"/>
      <c r="E513" s="1"/>
      <c r="F513" s="447" t="s">
        <v>6936</v>
      </c>
      <c r="G513" s="450" t="str">
        <f>'Validacao(1)'!DC108</f>
        <v>Não foi preenchido a data de conclusão</v>
      </c>
      <c r="H513" s="456" t="str">
        <f t="shared" ca="1" si="28"/>
        <v/>
      </c>
      <c r="I513" s="456" t="str">
        <f t="shared" ca="1" si="29"/>
        <v/>
      </c>
      <c r="J513" s="419"/>
      <c r="K513" s="20"/>
      <c r="L513" s="20"/>
      <c r="N513" s="25">
        <f>COUNTIF($A$29:A513,"x")</f>
        <v>14</v>
      </c>
      <c r="O513" s="25">
        <f ca="1">'Validacao(1)'!DB108</f>
        <v>0</v>
      </c>
      <c r="P513" s="25">
        <f ca="1">'Validacao(2)'!DB108</f>
        <v>0</v>
      </c>
      <c r="Q513" s="25"/>
      <c r="R513" s="25"/>
      <c r="S513" s="25"/>
      <c r="T513" s="25"/>
      <c r="U513" s="25"/>
      <c r="V513" s="25"/>
      <c r="W513" s="25"/>
      <c r="X513" s="449"/>
      <c r="Y513" s="449"/>
      <c r="Z513" s="449"/>
      <c r="AA513" s="20"/>
    </row>
    <row r="514" spans="1:27" s="2" customFormat="1" ht="20.100000000000001" customHeight="1" outlineLevel="1" x14ac:dyDescent="0.25">
      <c r="A514" s="446"/>
      <c r="B514" s="1"/>
      <c r="C514" s="1"/>
      <c r="D514" s="1"/>
      <c r="E514" s="1"/>
      <c r="F514" s="447" t="s">
        <v>6937</v>
      </c>
      <c r="G514" s="450" t="str">
        <f>'Validacao(1)'!DC109</f>
        <v xml:space="preserve">Não foi preenchido o código do certificado de análise </v>
      </c>
      <c r="H514" s="456" t="str">
        <f t="shared" ca="1" si="28"/>
        <v/>
      </c>
      <c r="I514" s="456" t="str">
        <f t="shared" ca="1" si="29"/>
        <v/>
      </c>
      <c r="J514" s="419"/>
      <c r="K514" s="20"/>
      <c r="L514" s="20"/>
      <c r="N514" s="25">
        <f>COUNTIF($A$29:A514,"x")</f>
        <v>14</v>
      </c>
      <c r="O514" s="25">
        <f ca="1">'Validacao(1)'!DB109</f>
        <v>0</v>
      </c>
      <c r="P514" s="25">
        <f ca="1">'Validacao(2)'!DB109</f>
        <v>0</v>
      </c>
      <c r="Q514" s="25"/>
      <c r="R514" s="25"/>
      <c r="S514" s="25"/>
      <c r="T514" s="25"/>
      <c r="U514" s="25"/>
      <c r="V514" s="25"/>
      <c r="W514" s="25"/>
      <c r="X514" s="449"/>
      <c r="Y514" s="449"/>
      <c r="Z514" s="449"/>
      <c r="AA514" s="20"/>
    </row>
    <row r="515" spans="1:27" s="2" customFormat="1" ht="20.100000000000001" customHeight="1" outlineLevel="1" x14ac:dyDescent="0.25">
      <c r="A515" s="446"/>
      <c r="B515" s="1"/>
      <c r="C515" s="1"/>
      <c r="D515" s="1"/>
      <c r="E515" s="1"/>
      <c r="F515" s="447" t="s">
        <v>6938</v>
      </c>
      <c r="G515" s="450" t="str">
        <f>'Validacao(1)'!DC110</f>
        <v>Não foi preenchida a espécie testada</v>
      </c>
      <c r="H515" s="456" t="str">
        <f t="shared" ca="1" si="28"/>
        <v/>
      </c>
      <c r="I515" s="456" t="str">
        <f t="shared" ca="1" si="29"/>
        <v/>
      </c>
      <c r="J515" s="419"/>
      <c r="K515" s="20"/>
      <c r="L515" s="20"/>
      <c r="N515" s="25">
        <f>COUNTIF($A$29:A515,"x")</f>
        <v>14</v>
      </c>
      <c r="O515" s="25">
        <f ca="1">'Validacao(1)'!DB110</f>
        <v>0</v>
      </c>
      <c r="P515" s="25">
        <f ca="1">'Validacao(2)'!DB110</f>
        <v>0</v>
      </c>
      <c r="Q515" s="25"/>
      <c r="R515" s="25"/>
      <c r="S515" s="25"/>
      <c r="T515" s="25"/>
      <c r="U515" s="25"/>
      <c r="V515" s="25"/>
      <c r="W515" s="25"/>
      <c r="X515" s="449"/>
      <c r="Y515" s="449"/>
      <c r="Z515" s="449"/>
      <c r="AA515" s="20"/>
    </row>
    <row r="516" spans="1:27" s="2" customFormat="1" ht="20.100000000000001" customHeight="1" outlineLevel="1" x14ac:dyDescent="0.25">
      <c r="A516" s="446"/>
      <c r="B516" s="1"/>
      <c r="C516" s="1"/>
      <c r="D516" s="1"/>
      <c r="E516" s="1"/>
      <c r="F516" s="447" t="s">
        <v>6939</v>
      </c>
      <c r="G516" s="450" t="str">
        <f>'Validacao(1)'!DC111</f>
        <v>Não foi preenchido o tipo de amostra</v>
      </c>
      <c r="H516" s="456" t="str">
        <f t="shared" ca="1" si="28"/>
        <v/>
      </c>
      <c r="I516" s="456" t="str">
        <f t="shared" ca="1" si="29"/>
        <v/>
      </c>
      <c r="J516" s="419"/>
      <c r="K516" s="20"/>
      <c r="L516" s="20"/>
      <c r="N516" s="25">
        <f>COUNTIF($A$29:A516,"x")</f>
        <v>14</v>
      </c>
      <c r="O516" s="25">
        <f ca="1">'Validacao(1)'!DB111</f>
        <v>0</v>
      </c>
      <c r="P516" s="25">
        <f ca="1">'Validacao(2)'!DB111</f>
        <v>0</v>
      </c>
      <c r="Q516" s="25"/>
      <c r="R516" s="25"/>
      <c r="S516" s="25"/>
      <c r="T516" s="25"/>
      <c r="U516" s="25"/>
      <c r="V516" s="25"/>
      <c r="W516" s="25"/>
      <c r="X516" s="449"/>
      <c r="Y516" s="449"/>
      <c r="Z516" s="449"/>
      <c r="AA516" s="20"/>
    </row>
    <row r="517" spans="1:27" s="2" customFormat="1" ht="20.100000000000001" customHeight="1" outlineLevel="1" x14ac:dyDescent="0.25">
      <c r="A517" s="446"/>
      <c r="B517" s="1"/>
      <c r="C517" s="1"/>
      <c r="D517" s="1"/>
      <c r="E517" s="1"/>
      <c r="F517" s="447" t="s">
        <v>6940</v>
      </c>
      <c r="G517" s="450" t="str">
        <f>'Validacao(1)'!DC112</f>
        <v>Não foi preenchida a via de administração</v>
      </c>
      <c r="H517" s="456" t="str">
        <f t="shared" ca="1" si="28"/>
        <v/>
      </c>
      <c r="I517" s="456" t="str">
        <f t="shared" ca="1" si="29"/>
        <v/>
      </c>
      <c r="J517" s="419"/>
      <c r="K517" s="20"/>
      <c r="L517" s="20"/>
      <c r="N517" s="25">
        <f>COUNTIF($A$29:A517,"x")</f>
        <v>14</v>
      </c>
      <c r="O517" s="25">
        <f ca="1">'Validacao(1)'!DB112</f>
        <v>0</v>
      </c>
      <c r="P517" s="25">
        <f ca="1">'Validacao(2)'!DB112</f>
        <v>0</v>
      </c>
      <c r="Q517" s="25"/>
      <c r="R517" s="25"/>
      <c r="S517" s="25"/>
      <c r="T517" s="25"/>
      <c r="U517" s="25"/>
      <c r="V517" s="25"/>
      <c r="W517" s="25"/>
      <c r="X517" s="449"/>
      <c r="Y517" s="449"/>
      <c r="Z517" s="449"/>
      <c r="AA517" s="20"/>
    </row>
    <row r="518" spans="1:27" s="2" customFormat="1" ht="20.100000000000001" customHeight="1" outlineLevel="1" x14ac:dyDescent="0.25">
      <c r="A518" s="446"/>
      <c r="B518" s="1"/>
      <c r="C518" s="1"/>
      <c r="D518" s="1"/>
      <c r="E518" s="1"/>
      <c r="F518" s="447" t="s">
        <v>6941</v>
      </c>
      <c r="G518" s="450" t="str">
        <f>'Validacao(1)'!DC113</f>
        <v>Não foi preenchida a quantidade de administrações da substância teste</v>
      </c>
      <c r="H518" s="456" t="str">
        <f t="shared" ca="1" si="28"/>
        <v/>
      </c>
      <c r="I518" s="456" t="str">
        <f t="shared" ca="1" si="29"/>
        <v/>
      </c>
      <c r="J518" s="419"/>
      <c r="K518" s="20"/>
      <c r="L518" s="20"/>
      <c r="N518" s="25">
        <f>COUNTIF($A$29:A518,"x")</f>
        <v>14</v>
      </c>
      <c r="O518" s="25">
        <f ca="1">'Validacao(1)'!DB113</f>
        <v>0</v>
      </c>
      <c r="P518" s="25">
        <f ca="1">'Validacao(2)'!DB113</f>
        <v>0</v>
      </c>
      <c r="Q518" s="25"/>
      <c r="R518" s="25"/>
      <c r="S518" s="25"/>
      <c r="T518" s="25"/>
      <c r="U518" s="25"/>
      <c r="V518" s="25"/>
      <c r="W518" s="25"/>
      <c r="X518" s="449"/>
      <c r="Y518" s="449"/>
      <c r="Z518" s="449"/>
      <c r="AA518" s="20"/>
    </row>
    <row r="519" spans="1:27" s="2" customFormat="1" ht="20.100000000000001" customHeight="1" outlineLevel="1" x14ac:dyDescent="0.25">
      <c r="A519" s="446"/>
      <c r="B519" s="1"/>
      <c r="C519" s="1"/>
      <c r="D519" s="1"/>
      <c r="E519" s="1"/>
      <c r="F519" s="447" t="s">
        <v>6942</v>
      </c>
      <c r="G519" s="450" t="str">
        <f>'Validacao(1)'!DC114</f>
        <v>Não foi preenchido o tempo de coleta após a última administração</v>
      </c>
      <c r="H519" s="456" t="str">
        <f t="shared" ca="1" si="28"/>
        <v/>
      </c>
      <c r="I519" s="456" t="str">
        <f t="shared" ca="1" si="29"/>
        <v/>
      </c>
      <c r="J519" s="419"/>
      <c r="K519" s="20"/>
      <c r="L519" s="20"/>
      <c r="N519" s="25">
        <f>COUNTIF($A$29:A519,"x")</f>
        <v>14</v>
      </c>
      <c r="O519" s="25">
        <f ca="1">'Validacao(1)'!DB114</f>
        <v>0</v>
      </c>
      <c r="P519" s="25">
        <f ca="1">'Validacao(2)'!DB114</f>
        <v>0</v>
      </c>
      <c r="Q519" s="25"/>
      <c r="R519" s="25"/>
      <c r="S519" s="25"/>
      <c r="T519" s="25"/>
      <c r="U519" s="25"/>
      <c r="V519" s="25"/>
      <c r="W519" s="25"/>
      <c r="X519" s="449"/>
      <c r="Y519" s="449"/>
      <c r="Z519" s="449"/>
      <c r="AA519" s="20"/>
    </row>
    <row r="520" spans="1:27" s="2" customFormat="1" ht="20.100000000000001" customHeight="1" outlineLevel="1" x14ac:dyDescent="0.25">
      <c r="A520" s="446"/>
      <c r="B520" s="1"/>
      <c r="C520" s="1"/>
      <c r="D520" s="1"/>
      <c r="E520" s="1"/>
      <c r="F520" s="447" t="s">
        <v>6943</v>
      </c>
      <c r="G520" s="450" t="str">
        <f>'Validacao(1)'!DC115</f>
        <v>Não foi preenchido o inícío da coleta</v>
      </c>
      <c r="H520" s="456" t="str">
        <f t="shared" ca="1" si="28"/>
        <v/>
      </c>
      <c r="I520" s="456" t="str">
        <f t="shared" ca="1" si="29"/>
        <v/>
      </c>
      <c r="J520" s="419"/>
      <c r="K520" s="20"/>
      <c r="L520" s="20"/>
      <c r="N520" s="25">
        <f>COUNTIF($A$29:A520,"x")</f>
        <v>14</v>
      </c>
      <c r="O520" s="25">
        <f ca="1">'Validacao(1)'!DB115</f>
        <v>0</v>
      </c>
      <c r="P520" s="25">
        <f ca="1">'Validacao(2)'!DB115</f>
        <v>0</v>
      </c>
      <c r="Q520" s="25"/>
      <c r="R520" s="25"/>
      <c r="S520" s="25"/>
      <c r="T520" s="25"/>
      <c r="U520" s="25"/>
      <c r="V520" s="25"/>
      <c r="W520" s="25"/>
      <c r="X520" s="449"/>
      <c r="Y520" s="449"/>
      <c r="Z520" s="449"/>
      <c r="AA520" s="20"/>
    </row>
    <row r="521" spans="1:27" s="2" customFormat="1" ht="20.100000000000001" customHeight="1" outlineLevel="1" x14ac:dyDescent="0.25">
      <c r="A521" s="446"/>
      <c r="B521" s="1"/>
      <c r="C521" s="1"/>
      <c r="D521" s="1"/>
      <c r="E521" s="1"/>
      <c r="F521" s="447" t="s">
        <v>6944</v>
      </c>
      <c r="G521" s="450" t="str">
        <f>'Validacao(1)'!DC116</f>
        <v>Não foi preenchido o fim da coleta</v>
      </c>
      <c r="H521" s="456" t="str">
        <f t="shared" ca="1" si="28"/>
        <v/>
      </c>
      <c r="I521" s="456" t="str">
        <f t="shared" ca="1" si="29"/>
        <v/>
      </c>
      <c r="J521" s="419"/>
      <c r="K521" s="20"/>
      <c r="L521" s="20"/>
      <c r="N521" s="25">
        <f>COUNTIF($A$29:A521,"x")</f>
        <v>14</v>
      </c>
      <c r="O521" s="25">
        <f ca="1">'Validacao(1)'!DB116</f>
        <v>0</v>
      </c>
      <c r="P521" s="25">
        <f ca="1">'Validacao(2)'!DB116</f>
        <v>0</v>
      </c>
      <c r="Q521" s="25"/>
      <c r="R521" s="25"/>
      <c r="S521" s="25"/>
      <c r="T521" s="25"/>
      <c r="U521" s="25"/>
      <c r="V521" s="25"/>
      <c r="W521" s="25"/>
      <c r="X521" s="449"/>
      <c r="Y521" s="449"/>
      <c r="Z521" s="449"/>
      <c r="AA521" s="20"/>
    </row>
    <row r="522" spans="1:27" s="2" customFormat="1" ht="20.100000000000001" customHeight="1" outlineLevel="1" x14ac:dyDescent="0.25">
      <c r="A522" s="446"/>
      <c r="B522" s="1"/>
      <c r="C522" s="1"/>
      <c r="D522" s="1"/>
      <c r="E522" s="1"/>
      <c r="F522" s="447" t="s">
        <v>6945</v>
      </c>
      <c r="G522" s="450" t="str">
        <f>'Validacao(1)'!DC117</f>
        <v>Não foi preenchido o tempo de coleta</v>
      </c>
      <c r="H522" s="456" t="str">
        <f t="shared" ca="1" si="28"/>
        <v/>
      </c>
      <c r="I522" s="456" t="str">
        <f t="shared" ca="1" si="29"/>
        <v/>
      </c>
      <c r="J522" s="419"/>
      <c r="K522" s="20"/>
      <c r="L522" s="20"/>
      <c r="N522" s="25">
        <f>COUNTIF($A$29:A522,"x")</f>
        <v>14</v>
      </c>
      <c r="O522" s="25">
        <f ca="1">'Validacao(1)'!DB117</f>
        <v>0</v>
      </c>
      <c r="P522" s="25">
        <f ca="1">'Validacao(2)'!DB117</f>
        <v>0</v>
      </c>
      <c r="Q522" s="25"/>
      <c r="R522" s="25"/>
      <c r="S522" s="25"/>
      <c r="T522" s="25"/>
      <c r="U522" s="25"/>
      <c r="V522" s="25"/>
      <c r="W522" s="25"/>
      <c r="X522" s="449"/>
      <c r="Y522" s="449"/>
      <c r="Z522" s="449"/>
      <c r="AA522" s="20"/>
    </row>
    <row r="523" spans="1:27" s="2" customFormat="1" ht="20.100000000000001" customHeight="1" outlineLevel="1" x14ac:dyDescent="0.25">
      <c r="A523" s="446"/>
      <c r="B523" s="1"/>
      <c r="C523" s="1"/>
      <c r="D523" s="1"/>
      <c r="E523" s="1"/>
      <c r="F523" s="447" t="s">
        <v>6946</v>
      </c>
      <c r="G523" s="450" t="str">
        <f>'Validacao(1)'!DC118</f>
        <v>Não foi preenchido o controle negativo</v>
      </c>
      <c r="H523" s="456" t="str">
        <f t="shared" ca="1" si="28"/>
        <v/>
      </c>
      <c r="I523" s="456" t="str">
        <f t="shared" ca="1" si="29"/>
        <v/>
      </c>
      <c r="J523" s="419"/>
      <c r="K523" s="20"/>
      <c r="L523" s="20"/>
      <c r="N523" s="25">
        <f>COUNTIF($A$29:A523,"x")</f>
        <v>14</v>
      </c>
      <c r="O523" s="25">
        <f ca="1">'Validacao(1)'!DB118</f>
        <v>0</v>
      </c>
      <c r="P523" s="25">
        <f ca="1">'Validacao(2)'!DB118</f>
        <v>0</v>
      </c>
      <c r="Q523" s="25"/>
      <c r="R523" s="25"/>
      <c r="S523" s="25"/>
      <c r="T523" s="25"/>
      <c r="U523" s="25"/>
      <c r="V523" s="25"/>
      <c r="W523" s="25"/>
      <c r="X523" s="449"/>
      <c r="Y523" s="449"/>
      <c r="Z523" s="449"/>
      <c r="AA523" s="20"/>
    </row>
    <row r="524" spans="1:27" s="2" customFormat="1" ht="20.100000000000001" customHeight="1" outlineLevel="1" x14ac:dyDescent="0.25">
      <c r="A524" s="446"/>
      <c r="B524" s="1"/>
      <c r="C524" s="1"/>
      <c r="D524" s="1"/>
      <c r="E524" s="1"/>
      <c r="F524" s="447" t="s">
        <v>6947</v>
      </c>
      <c r="G524" s="450" t="str">
        <f>'Validacao(1)'!DC119</f>
        <v>Não foi preenchido se o controle negativo foi testado mais de uma vez</v>
      </c>
      <c r="H524" s="456" t="str">
        <f t="shared" ca="1" si="28"/>
        <v/>
      </c>
      <c r="I524" s="456" t="str">
        <f t="shared" ca="1" si="29"/>
        <v/>
      </c>
      <c r="J524" s="419"/>
      <c r="K524" s="20"/>
      <c r="L524" s="20"/>
      <c r="N524" s="25">
        <f>COUNTIF($A$29:A524,"x")</f>
        <v>14</v>
      </c>
      <c r="O524" s="25">
        <f ca="1">'Validacao(1)'!DB119</f>
        <v>0</v>
      </c>
      <c r="P524" s="25">
        <f ca="1">'Validacao(2)'!DB119</f>
        <v>0</v>
      </c>
      <c r="Q524" s="25"/>
      <c r="R524" s="25"/>
      <c r="S524" s="25"/>
      <c r="T524" s="25"/>
      <c r="U524" s="25"/>
      <c r="V524" s="25"/>
      <c r="W524" s="25"/>
      <c r="X524" s="449"/>
      <c r="Y524" s="449"/>
      <c r="Z524" s="449"/>
      <c r="AA524" s="20"/>
    </row>
    <row r="525" spans="1:27" s="2" customFormat="1" ht="20.100000000000001" customHeight="1" outlineLevel="1" x14ac:dyDescent="0.25">
      <c r="A525" s="446"/>
      <c r="B525" s="1"/>
      <c r="C525" s="1"/>
      <c r="D525" s="1"/>
      <c r="E525" s="1"/>
      <c r="F525" s="447" t="s">
        <v>6948</v>
      </c>
      <c r="G525" s="450" t="str">
        <f>'Validacao(1)'!DC120</f>
        <v>Não foi preenchido o controle positivo</v>
      </c>
      <c r="H525" s="456" t="str">
        <f t="shared" ca="1" si="28"/>
        <v/>
      </c>
      <c r="I525" s="456" t="str">
        <f t="shared" ca="1" si="29"/>
        <v/>
      </c>
      <c r="J525" s="419"/>
      <c r="K525" s="20"/>
      <c r="L525" s="20"/>
      <c r="N525" s="25">
        <f>COUNTIF($A$29:A525,"x")</f>
        <v>14</v>
      </c>
      <c r="O525" s="25">
        <f ca="1">'Validacao(1)'!DB120</f>
        <v>0</v>
      </c>
      <c r="P525" s="25">
        <f ca="1">'Validacao(2)'!DB120</f>
        <v>0</v>
      </c>
      <c r="Q525" s="25"/>
      <c r="R525" s="25"/>
      <c r="S525" s="25"/>
      <c r="T525" s="25"/>
      <c r="U525" s="25"/>
      <c r="V525" s="25"/>
      <c r="W525" s="25"/>
      <c r="X525" s="449"/>
      <c r="Y525" s="449"/>
      <c r="Z525" s="449"/>
      <c r="AA525" s="20"/>
    </row>
    <row r="526" spans="1:27" s="2" customFormat="1" ht="20.100000000000001" customHeight="1" outlineLevel="1" x14ac:dyDescent="0.25">
      <c r="A526" s="446"/>
      <c r="B526" s="1"/>
      <c r="C526" s="1"/>
      <c r="D526" s="1"/>
      <c r="E526" s="1"/>
      <c r="F526" s="447" t="s">
        <v>6949</v>
      </c>
      <c r="G526" s="450" t="str">
        <f>'Validacao(1)'!DC121</f>
        <v>Não foi preenchida a dose do controle positivo</v>
      </c>
      <c r="H526" s="456" t="str">
        <f t="shared" ca="1" si="28"/>
        <v/>
      </c>
      <c r="I526" s="456" t="str">
        <f t="shared" ca="1" si="29"/>
        <v/>
      </c>
      <c r="J526" s="419"/>
      <c r="K526" s="20"/>
      <c r="L526" s="20"/>
      <c r="N526" s="25">
        <f>COUNTIF($A$29:A526,"x")</f>
        <v>14</v>
      </c>
      <c r="O526" s="25">
        <f ca="1">'Validacao(1)'!DB121</f>
        <v>0</v>
      </c>
      <c r="P526" s="25">
        <f ca="1">'Validacao(2)'!DB121</f>
        <v>0</v>
      </c>
      <c r="Q526" s="25"/>
      <c r="R526" s="25"/>
      <c r="S526" s="25"/>
      <c r="T526" s="25"/>
      <c r="U526" s="25"/>
      <c r="V526" s="25"/>
      <c r="W526" s="25"/>
      <c r="X526" s="449"/>
      <c r="Y526" s="449"/>
      <c r="Z526" s="449"/>
      <c r="AA526" s="20"/>
    </row>
    <row r="527" spans="1:27" s="2" customFormat="1" ht="20.100000000000001" customHeight="1" outlineLevel="1" x14ac:dyDescent="0.25">
      <c r="A527" s="446"/>
      <c r="B527" s="1"/>
      <c r="C527" s="1"/>
      <c r="D527" s="1"/>
      <c r="E527" s="1"/>
      <c r="F527" s="447" t="s">
        <v>6950</v>
      </c>
      <c r="G527" s="450" t="str">
        <f>'Validacao(1)'!DC122</f>
        <v>Não foi preenchido o método de análise</v>
      </c>
      <c r="H527" s="456" t="str">
        <f t="shared" ca="1" si="28"/>
        <v/>
      </c>
      <c r="I527" s="456" t="str">
        <f t="shared" ca="1" si="29"/>
        <v/>
      </c>
      <c r="J527" s="419"/>
      <c r="K527" s="20"/>
      <c r="L527" s="20"/>
      <c r="N527" s="25">
        <f>COUNTIF($A$29:A527,"x")</f>
        <v>14</v>
      </c>
      <c r="O527" s="25">
        <f ca="1">'Validacao(1)'!DB122</f>
        <v>0</v>
      </c>
      <c r="P527" s="25">
        <f ca="1">'Validacao(2)'!DB122</f>
        <v>0</v>
      </c>
      <c r="Q527" s="25"/>
      <c r="R527" s="25"/>
      <c r="S527" s="25"/>
      <c r="T527" s="25"/>
      <c r="U527" s="25"/>
      <c r="V527" s="25"/>
      <c r="W527" s="25"/>
      <c r="X527" s="449"/>
      <c r="Y527" s="449"/>
      <c r="Z527" s="449"/>
      <c r="AA527" s="20"/>
    </row>
    <row r="528" spans="1:27" s="2" customFormat="1" ht="20.100000000000001" customHeight="1" outlineLevel="1" x14ac:dyDescent="0.25">
      <c r="A528" s="446"/>
      <c r="B528" s="1"/>
      <c r="C528" s="1"/>
      <c r="D528" s="1"/>
      <c r="E528" s="1"/>
      <c r="F528" s="447" t="s">
        <v>6951</v>
      </c>
      <c r="G528" s="450" t="str">
        <f>'Validacao(1)'!DC123</f>
        <v>Não foi preenchido se foi conduzido teste preliminar</v>
      </c>
      <c r="H528" s="456" t="str">
        <f t="shared" ca="1" si="28"/>
        <v/>
      </c>
      <c r="I528" s="456" t="str">
        <f t="shared" ca="1" si="29"/>
        <v/>
      </c>
      <c r="J528" s="419"/>
      <c r="K528" s="20"/>
      <c r="L528" s="20"/>
      <c r="N528" s="25">
        <f>COUNTIF($A$29:A528,"x")</f>
        <v>14</v>
      </c>
      <c r="O528" s="25">
        <f ca="1">'Validacao(1)'!DB123</f>
        <v>0</v>
      </c>
      <c r="P528" s="25">
        <f ca="1">'Validacao(2)'!DB123</f>
        <v>0</v>
      </c>
      <c r="Q528" s="25"/>
      <c r="R528" s="25"/>
      <c r="S528" s="25"/>
      <c r="T528" s="25"/>
      <c r="U528" s="25"/>
      <c r="V528" s="25"/>
      <c r="W528" s="25"/>
      <c r="X528" s="449"/>
      <c r="Y528" s="449"/>
      <c r="Z528" s="449"/>
      <c r="AA528" s="20"/>
    </row>
    <row r="529" spans="1:27" s="2" customFormat="1" ht="20.100000000000001" customHeight="1" outlineLevel="1" x14ac:dyDescent="0.25">
      <c r="A529" s="446"/>
      <c r="B529" s="1"/>
      <c r="C529" s="1"/>
      <c r="D529" s="1"/>
      <c r="E529" s="1"/>
      <c r="F529" s="447" t="s">
        <v>6952</v>
      </c>
      <c r="G529" s="450" t="str">
        <f>'Validacao(1)'!DC124</f>
        <v>Não preencheu a mortalidade para algum animal (machos) - teste preliminar</v>
      </c>
      <c r="H529" s="456" t="str">
        <f t="shared" ca="1" si="28"/>
        <v/>
      </c>
      <c r="I529" s="456" t="str">
        <f t="shared" ca="1" si="29"/>
        <v/>
      </c>
      <c r="J529" s="419"/>
      <c r="K529" s="20"/>
      <c r="L529" s="20"/>
      <c r="N529" s="25">
        <f>COUNTIF($A$29:A529,"x")</f>
        <v>14</v>
      </c>
      <c r="O529" s="25">
        <f ca="1">'Validacao(1)'!DB124</f>
        <v>0</v>
      </c>
      <c r="P529" s="25">
        <f ca="1">'Validacao(2)'!DB124</f>
        <v>0</v>
      </c>
      <c r="Q529" s="25"/>
      <c r="R529" s="25"/>
      <c r="S529" s="25"/>
      <c r="T529" s="25"/>
      <c r="U529" s="25"/>
      <c r="V529" s="25"/>
      <c r="W529" s="25"/>
      <c r="X529" s="449"/>
      <c r="Y529" s="449"/>
      <c r="Z529" s="449"/>
      <c r="AA529" s="20"/>
    </row>
    <row r="530" spans="1:27" s="2" customFormat="1" ht="20.100000000000001" customHeight="1" outlineLevel="1" x14ac:dyDescent="0.25">
      <c r="A530" s="446"/>
      <c r="B530" s="1"/>
      <c r="C530" s="1"/>
      <c r="D530" s="1"/>
      <c r="E530" s="1"/>
      <c r="F530" s="447" t="s">
        <v>6953</v>
      </c>
      <c r="G530" s="450" t="str">
        <f>'Validacao(1)'!DC125</f>
        <v>Não preencheu a mortalidade para algum animal (fêmeas) - teste preliminar</v>
      </c>
      <c r="H530" s="456" t="str">
        <f t="shared" ca="1" si="28"/>
        <v/>
      </c>
      <c r="I530" s="456" t="str">
        <f t="shared" ca="1" si="29"/>
        <v/>
      </c>
      <c r="J530" s="419"/>
      <c r="K530" s="20"/>
      <c r="L530" s="20"/>
      <c r="N530" s="25">
        <f>COUNTIF($A$29:A530,"x")</f>
        <v>14</v>
      </c>
      <c r="O530" s="25">
        <f ca="1">'Validacao(1)'!DB125</f>
        <v>0</v>
      </c>
      <c r="P530" s="25">
        <f ca="1">'Validacao(2)'!DB125</f>
        <v>0</v>
      </c>
      <c r="Q530" s="25"/>
      <c r="R530" s="25"/>
      <c r="S530" s="25"/>
      <c r="T530" s="25"/>
      <c r="U530" s="25"/>
      <c r="V530" s="25"/>
      <c r="W530" s="25"/>
      <c r="X530" s="449"/>
      <c r="Y530" s="449"/>
      <c r="Z530" s="449"/>
      <c r="AA530" s="20"/>
    </row>
    <row r="531" spans="1:27" s="2" customFormat="1" ht="20.100000000000001" customHeight="1" outlineLevel="1" x14ac:dyDescent="0.25">
      <c r="A531" s="446"/>
      <c r="B531" s="1"/>
      <c r="C531" s="1"/>
      <c r="D531" s="1"/>
      <c r="E531" s="1"/>
      <c r="F531" s="447" t="s">
        <v>6954</v>
      </c>
      <c r="G531" s="450">
        <f>'Validacao(1)'!DC126</f>
        <v>0</v>
      </c>
      <c r="H531" s="456" t="str">
        <f t="shared" si="28"/>
        <v/>
      </c>
      <c r="I531" s="456" t="str">
        <f t="shared" si="29"/>
        <v/>
      </c>
      <c r="J531" s="419"/>
      <c r="K531" s="20"/>
      <c r="L531" s="20"/>
      <c r="N531" s="25">
        <f>COUNTIF($A$29:A531,"x")</f>
        <v>14</v>
      </c>
      <c r="O531" s="25">
        <f>'Validacao(1)'!DB126</f>
        <v>0</v>
      </c>
      <c r="P531" s="25">
        <f>'Validacao(2)'!DB126</f>
        <v>0</v>
      </c>
      <c r="Q531" s="25"/>
      <c r="R531" s="25"/>
      <c r="S531" s="25"/>
      <c r="T531" s="25"/>
      <c r="U531" s="25"/>
      <c r="V531" s="25"/>
      <c r="W531" s="25"/>
      <c r="X531" s="449"/>
      <c r="Y531" s="449"/>
      <c r="Z531" s="449"/>
      <c r="AA531" s="20"/>
    </row>
    <row r="532" spans="1:27" s="2" customFormat="1" ht="20.100000000000001" customHeight="1" outlineLevel="1" x14ac:dyDescent="0.25">
      <c r="A532" s="446"/>
      <c r="B532" s="1"/>
      <c r="C532" s="1"/>
      <c r="D532" s="1"/>
      <c r="E532" s="1"/>
      <c r="F532" s="447" t="s">
        <v>6955</v>
      </c>
      <c r="G532" s="450" t="str">
        <f>'Validacao(1)'!DC127</f>
        <v>Não preencheu se houve diferença entre os sexos</v>
      </c>
      <c r="H532" s="456" t="str">
        <f t="shared" ca="1" si="28"/>
        <v/>
      </c>
      <c r="I532" s="456" t="str">
        <f t="shared" ca="1" si="29"/>
        <v/>
      </c>
      <c r="J532" s="419"/>
      <c r="K532" s="20"/>
      <c r="L532" s="20"/>
      <c r="N532" s="25">
        <f>COUNTIF($A$29:A532,"x")</f>
        <v>14</v>
      </c>
      <c r="O532" s="25">
        <f ca="1">'Validacao(1)'!DB127</f>
        <v>0</v>
      </c>
      <c r="P532" s="25">
        <f ca="1">'Validacao(2)'!DB127</f>
        <v>0</v>
      </c>
      <c r="Q532" s="25"/>
      <c r="R532" s="25"/>
      <c r="S532" s="25"/>
      <c r="T532" s="25"/>
      <c r="U532" s="25"/>
      <c r="V532" s="25"/>
      <c r="W532" s="25"/>
      <c r="X532" s="449"/>
      <c r="Y532" s="449"/>
      <c r="Z532" s="449"/>
      <c r="AA532" s="20"/>
    </row>
    <row r="533" spans="1:27" s="2" customFormat="1" ht="20.100000000000001" customHeight="1" outlineLevel="1" x14ac:dyDescent="0.25">
      <c r="A533" s="446"/>
      <c r="B533" s="1"/>
      <c r="C533" s="1"/>
      <c r="D533" s="1"/>
      <c r="E533" s="1"/>
      <c r="F533" s="447" t="s">
        <v>6956</v>
      </c>
      <c r="G533" s="450" t="str">
        <f>'Validacao(1)'!DC128</f>
        <v>Não preencheu a DMT / DMT para machos</v>
      </c>
      <c r="H533" s="456" t="str">
        <f t="shared" ca="1" si="28"/>
        <v/>
      </c>
      <c r="I533" s="456" t="str">
        <f t="shared" ca="1" si="29"/>
        <v/>
      </c>
      <c r="J533" s="419"/>
      <c r="K533" s="20"/>
      <c r="L533" s="20"/>
      <c r="N533" s="25">
        <f>COUNTIF($A$29:A533,"x")</f>
        <v>14</v>
      </c>
      <c r="O533" s="25">
        <f ca="1">'Validacao(1)'!DB128</f>
        <v>0</v>
      </c>
      <c r="P533" s="25">
        <f ca="1">'Validacao(2)'!DB128</f>
        <v>0</v>
      </c>
      <c r="Q533" s="25"/>
      <c r="R533" s="25"/>
      <c r="S533" s="25"/>
      <c r="T533" s="25"/>
      <c r="U533" s="25"/>
      <c r="V533" s="25"/>
      <c r="W533" s="25"/>
      <c r="X533" s="449"/>
      <c r="Y533" s="449"/>
      <c r="Z533" s="449"/>
      <c r="AA533" s="20"/>
    </row>
    <row r="534" spans="1:27" s="2" customFormat="1" ht="20.100000000000001" customHeight="1" outlineLevel="1" x14ac:dyDescent="0.25">
      <c r="A534" s="446"/>
      <c r="B534" s="1"/>
      <c r="C534" s="1"/>
      <c r="D534" s="1"/>
      <c r="E534" s="1"/>
      <c r="F534" s="447" t="s">
        <v>6957</v>
      </c>
      <c r="G534" s="450" t="str">
        <f>'Validacao(1)'!DC129</f>
        <v>Não preencheu a DMT para fêmeas</v>
      </c>
      <c r="H534" s="456" t="str">
        <f t="shared" ca="1" si="28"/>
        <v/>
      </c>
      <c r="I534" s="456" t="str">
        <f t="shared" ca="1" si="29"/>
        <v/>
      </c>
      <c r="J534" s="419"/>
      <c r="K534" s="20"/>
      <c r="L534" s="20"/>
      <c r="N534" s="25">
        <f>COUNTIF($A$29:A534,"x")</f>
        <v>14</v>
      </c>
      <c r="O534" s="25">
        <f ca="1">'Validacao(1)'!DB129</f>
        <v>0</v>
      </c>
      <c r="P534" s="25">
        <f ca="1">'Validacao(2)'!DB129</f>
        <v>0</v>
      </c>
      <c r="Q534" s="25"/>
      <c r="R534" s="25"/>
      <c r="S534" s="25"/>
      <c r="T534" s="25"/>
      <c r="U534" s="25"/>
      <c r="V534" s="25"/>
      <c r="W534" s="25"/>
      <c r="X534" s="449"/>
      <c r="Y534" s="449"/>
      <c r="Z534" s="449"/>
      <c r="AA534" s="20"/>
    </row>
    <row r="535" spans="1:27" s="2" customFormat="1" ht="20.100000000000001" customHeight="1" outlineLevel="1" x14ac:dyDescent="0.25">
      <c r="A535" s="446"/>
      <c r="B535" s="1"/>
      <c r="C535" s="1"/>
      <c r="D535" s="1"/>
      <c r="E535" s="1"/>
      <c r="F535" s="447" t="s">
        <v>6958</v>
      </c>
      <c r="G535" s="450" t="str">
        <f>'Validacao(1)'!DC130</f>
        <v>Não preencheu se para a seleção de dose foi utilizado o estudo de DL50</v>
      </c>
      <c r="H535" s="456" t="str">
        <f t="shared" ca="1" si="28"/>
        <v/>
      </c>
      <c r="I535" s="456" t="str">
        <f t="shared" ca="1" si="29"/>
        <v/>
      </c>
      <c r="J535" s="419"/>
      <c r="K535" s="20"/>
      <c r="L535" s="20"/>
      <c r="N535" s="25">
        <f>COUNTIF($A$29:A535,"x")</f>
        <v>14</v>
      </c>
      <c r="O535" s="25">
        <f ca="1">'Validacao(1)'!DB130</f>
        <v>0</v>
      </c>
      <c r="P535" s="25">
        <f ca="1">'Validacao(2)'!DB130</f>
        <v>0</v>
      </c>
      <c r="Q535" s="25"/>
      <c r="R535" s="25"/>
      <c r="S535" s="25"/>
      <c r="T535" s="25"/>
      <c r="U535" s="25"/>
      <c r="V535" s="25"/>
      <c r="W535" s="25"/>
      <c r="X535" s="449"/>
      <c r="Y535" s="449"/>
      <c r="Z535" s="449"/>
      <c r="AA535" s="20"/>
    </row>
    <row r="536" spans="1:27" s="2" customFormat="1" ht="20.100000000000001" customHeight="1" outlineLevel="1" x14ac:dyDescent="0.25">
      <c r="A536" s="446"/>
      <c r="B536" s="1"/>
      <c r="C536" s="1"/>
      <c r="D536" s="1"/>
      <c r="E536" s="1"/>
      <c r="F536" s="447" t="s">
        <v>6959</v>
      </c>
      <c r="G536" s="450" t="str">
        <f>'Validacao(1)'!DC131</f>
        <v>Não preencheu justificativa por não ter utilizado o estudo deo DL50 para seleção da DMT</v>
      </c>
      <c r="H536" s="456" t="str">
        <f t="shared" ca="1" si="28"/>
        <v/>
      </c>
      <c r="I536" s="456" t="str">
        <f t="shared" ca="1" si="29"/>
        <v/>
      </c>
      <c r="J536" s="419"/>
      <c r="K536" s="20"/>
      <c r="L536" s="20"/>
      <c r="N536" s="25">
        <f>COUNTIF($A$29:A536,"x")</f>
        <v>14</v>
      </c>
      <c r="O536" s="25">
        <f ca="1">'Validacao(1)'!DB131</f>
        <v>0</v>
      </c>
      <c r="P536" s="25">
        <f ca="1">'Validacao(2)'!DB131</f>
        <v>0</v>
      </c>
      <c r="Q536" s="25"/>
      <c r="R536" s="25"/>
      <c r="S536" s="25"/>
      <c r="T536" s="25"/>
      <c r="U536" s="25"/>
      <c r="V536" s="25"/>
      <c r="W536" s="25"/>
      <c r="X536" s="449"/>
      <c r="Y536" s="449"/>
      <c r="Z536" s="449"/>
      <c r="AA536" s="20"/>
    </row>
    <row r="537" spans="1:27" s="2" customFormat="1" ht="20.100000000000001" customHeight="1" outlineLevel="1" x14ac:dyDescent="0.25">
      <c r="A537" s="446"/>
      <c r="B537" s="1"/>
      <c r="C537" s="1"/>
      <c r="D537" s="1"/>
      <c r="E537" s="1"/>
      <c r="F537" s="447" t="s">
        <v>6960</v>
      </c>
      <c r="G537" s="450" t="str">
        <f>'Validacao(1)'!DC132</f>
        <v>Não preencheu se o estudo de DL50 foi conduzido com a mesma espécie</v>
      </c>
      <c r="H537" s="456" t="str">
        <f t="shared" ca="1" si="28"/>
        <v/>
      </c>
      <c r="I537" s="456" t="str">
        <f t="shared" ca="1" si="29"/>
        <v/>
      </c>
      <c r="J537" s="419"/>
      <c r="K537" s="20"/>
      <c r="L537" s="20"/>
      <c r="N537" s="25">
        <f>COUNTIF($A$29:A537,"x")</f>
        <v>14</v>
      </c>
      <c r="O537" s="25">
        <f ca="1">'Validacao(1)'!DB132</f>
        <v>0</v>
      </c>
      <c r="P537" s="25">
        <f ca="1">'Validacao(2)'!DB132</f>
        <v>0</v>
      </c>
      <c r="Q537" s="25"/>
      <c r="R537" s="25"/>
      <c r="S537" s="25"/>
      <c r="T537" s="25"/>
      <c r="U537" s="25"/>
      <c r="V537" s="25"/>
      <c r="W537" s="25"/>
      <c r="X537" s="449"/>
      <c r="Y537" s="449"/>
      <c r="Z537" s="449"/>
      <c r="AA537" s="20"/>
    </row>
    <row r="538" spans="1:27" s="2" customFormat="1" ht="20.100000000000001" customHeight="1" outlineLevel="1" x14ac:dyDescent="0.25">
      <c r="A538" s="446"/>
      <c r="B538" s="1"/>
      <c r="C538" s="1"/>
      <c r="D538" s="1"/>
      <c r="E538" s="1"/>
      <c r="F538" s="447" t="s">
        <v>6961</v>
      </c>
      <c r="G538" s="450" t="str">
        <f>'Validacao(1)'!DC133</f>
        <v>Não preencheu o sexo dos animais do estudo de DL50</v>
      </c>
      <c r="H538" s="456" t="str">
        <f t="shared" ca="1" si="28"/>
        <v/>
      </c>
      <c r="I538" s="456" t="str">
        <f t="shared" ca="1" si="29"/>
        <v/>
      </c>
      <c r="J538" s="419"/>
      <c r="K538" s="20"/>
      <c r="L538" s="20"/>
      <c r="N538" s="25">
        <f>COUNTIF($A$29:A538,"x")</f>
        <v>14</v>
      </c>
      <c r="O538" s="25">
        <f ca="1">'Validacao(1)'!DB133</f>
        <v>0</v>
      </c>
      <c r="P538" s="25">
        <f ca="1">'Validacao(2)'!DB133</f>
        <v>0</v>
      </c>
      <c r="Q538" s="25"/>
      <c r="R538" s="25"/>
      <c r="S538" s="25"/>
      <c r="T538" s="25"/>
      <c r="U538" s="25"/>
      <c r="V538" s="25"/>
      <c r="W538" s="25"/>
      <c r="X538" s="449"/>
      <c r="Y538" s="449"/>
      <c r="Z538" s="449"/>
      <c r="AA538" s="20"/>
    </row>
    <row r="539" spans="1:27" s="2" customFormat="1" ht="20.100000000000001" customHeight="1" outlineLevel="1" x14ac:dyDescent="0.25">
      <c r="A539" s="446"/>
      <c r="B539" s="1"/>
      <c r="C539" s="1"/>
      <c r="D539" s="1"/>
      <c r="E539" s="1"/>
      <c r="F539" s="447" t="s">
        <v>6962</v>
      </c>
      <c r="G539" s="450" t="str">
        <f>'Validacao(1)'!DC134</f>
        <v>Não preencheu a DL50 encontrada / para machos</v>
      </c>
      <c r="H539" s="456" t="str">
        <f t="shared" ca="1" si="28"/>
        <v/>
      </c>
      <c r="I539" s="456" t="str">
        <f t="shared" ca="1" si="29"/>
        <v/>
      </c>
      <c r="J539" s="419"/>
      <c r="K539" s="20"/>
      <c r="L539" s="20"/>
      <c r="N539" s="25">
        <f>COUNTIF($A$29:A539,"x")</f>
        <v>14</v>
      </c>
      <c r="O539" s="25">
        <f ca="1">'Validacao(1)'!DB134</f>
        <v>0</v>
      </c>
      <c r="P539" s="25">
        <f ca="1">'Validacao(2)'!DB134</f>
        <v>0</v>
      </c>
      <c r="Q539" s="25"/>
      <c r="R539" s="25"/>
      <c r="S539" s="25"/>
      <c r="T539" s="25"/>
      <c r="U539" s="25"/>
      <c r="V539" s="25"/>
      <c r="W539" s="25"/>
      <c r="X539" s="449"/>
      <c r="Y539" s="449"/>
      <c r="Z539" s="449"/>
      <c r="AA539" s="20"/>
    </row>
    <row r="540" spans="1:27" s="2" customFormat="1" ht="20.100000000000001" customHeight="1" outlineLevel="1" x14ac:dyDescent="0.25">
      <c r="A540" s="446"/>
      <c r="B540" s="1"/>
      <c r="C540" s="1"/>
      <c r="D540" s="1"/>
      <c r="E540" s="1"/>
      <c r="F540" s="447" t="s">
        <v>6963</v>
      </c>
      <c r="G540" s="450" t="str">
        <f>'Validacao(1)'!DC135</f>
        <v>Não preencheu a dose mínima / para machos</v>
      </c>
      <c r="H540" s="456" t="str">
        <f t="shared" ref="H540:H571" ca="1" si="30">IF(O540=1,"x","")</f>
        <v/>
      </c>
      <c r="I540" s="456" t="str">
        <f t="shared" ref="I540:I571" ca="1" si="31">IF(P540=1,"x","")</f>
        <v/>
      </c>
      <c r="J540" s="419"/>
      <c r="K540" s="20"/>
      <c r="L540" s="20"/>
      <c r="N540" s="25">
        <f>COUNTIF($A$29:A540,"x")</f>
        <v>14</v>
      </c>
      <c r="O540" s="25">
        <f ca="1">'Validacao(1)'!DB135</f>
        <v>0</v>
      </c>
      <c r="P540" s="25">
        <f ca="1">'Validacao(2)'!DB135</f>
        <v>0</v>
      </c>
      <c r="Q540" s="25"/>
      <c r="R540" s="25"/>
      <c r="S540" s="25"/>
      <c r="T540" s="25"/>
      <c r="U540" s="25"/>
      <c r="V540" s="25"/>
      <c r="W540" s="25"/>
      <c r="X540" s="449"/>
      <c r="Y540" s="449"/>
      <c r="Z540" s="449"/>
      <c r="AA540" s="20"/>
    </row>
    <row r="541" spans="1:27" s="2" customFormat="1" ht="20.100000000000001" customHeight="1" outlineLevel="1" x14ac:dyDescent="0.25">
      <c r="A541" s="446"/>
      <c r="B541" s="1"/>
      <c r="C541" s="1"/>
      <c r="D541" s="1"/>
      <c r="E541" s="1"/>
      <c r="F541" s="447" t="s">
        <v>6964</v>
      </c>
      <c r="G541" s="450" t="str">
        <f>'Validacao(1)'!DC136</f>
        <v>Não preencheu a dose intermediária / para machos</v>
      </c>
      <c r="H541" s="456" t="str">
        <f t="shared" ca="1" si="30"/>
        <v/>
      </c>
      <c r="I541" s="456" t="str">
        <f t="shared" ca="1" si="31"/>
        <v/>
      </c>
      <c r="J541" s="419"/>
      <c r="K541" s="20"/>
      <c r="L541" s="20"/>
      <c r="N541" s="25">
        <f>COUNTIF($A$29:A541,"x")</f>
        <v>14</v>
      </c>
      <c r="O541" s="25">
        <f ca="1">'Validacao(1)'!DB136</f>
        <v>0</v>
      </c>
      <c r="P541" s="25">
        <f ca="1">'Validacao(2)'!DB136</f>
        <v>0</v>
      </c>
      <c r="Q541" s="25"/>
      <c r="R541" s="25"/>
      <c r="S541" s="25"/>
      <c r="T541" s="25"/>
      <c r="U541" s="25"/>
      <c r="V541" s="25"/>
      <c r="W541" s="25"/>
      <c r="X541" s="449"/>
      <c r="Y541" s="449"/>
      <c r="Z541" s="449"/>
      <c r="AA541" s="20"/>
    </row>
    <row r="542" spans="1:27" s="2" customFormat="1" ht="20.100000000000001" customHeight="1" outlineLevel="1" x14ac:dyDescent="0.25">
      <c r="A542" s="446"/>
      <c r="B542" s="1"/>
      <c r="C542" s="1"/>
      <c r="D542" s="1"/>
      <c r="E542" s="1"/>
      <c r="F542" s="447" t="s">
        <v>6965</v>
      </c>
      <c r="G542" s="450" t="str">
        <f>'Validacao(1)'!DC137</f>
        <v>Não preencheu a dose máxima / para machos</v>
      </c>
      <c r="H542" s="456" t="str">
        <f t="shared" ca="1" si="30"/>
        <v/>
      </c>
      <c r="I542" s="456" t="str">
        <f t="shared" ca="1" si="31"/>
        <v/>
      </c>
      <c r="J542" s="419"/>
      <c r="K542" s="20"/>
      <c r="L542" s="20"/>
      <c r="N542" s="25">
        <f>COUNTIF($A$29:A542,"x")</f>
        <v>14</v>
      </c>
      <c r="O542" s="25">
        <f ca="1">'Validacao(1)'!DB137</f>
        <v>0</v>
      </c>
      <c r="P542" s="25">
        <f ca="1">'Validacao(2)'!DB137</f>
        <v>0</v>
      </c>
      <c r="Q542" s="25"/>
      <c r="R542" s="25"/>
      <c r="S542" s="25"/>
      <c r="T542" s="25"/>
      <c r="U542" s="25"/>
      <c r="V542" s="25"/>
      <c r="W542" s="25"/>
      <c r="X542" s="449"/>
      <c r="Y542" s="449"/>
      <c r="Z542" s="449"/>
      <c r="AA542" s="20"/>
    </row>
    <row r="543" spans="1:27" s="2" customFormat="1" ht="20.100000000000001" customHeight="1" outlineLevel="1" x14ac:dyDescent="0.25">
      <c r="A543" s="446"/>
      <c r="B543" s="1"/>
      <c r="C543" s="1"/>
      <c r="D543" s="1"/>
      <c r="E543" s="1"/>
      <c r="F543" s="447" t="s">
        <v>6966</v>
      </c>
      <c r="G543" s="450" t="str">
        <f>'Validacao(1)'!DC138</f>
        <v>Não preencheu a DL50 encontrada para fêmeas</v>
      </c>
      <c r="H543" s="456" t="str">
        <f t="shared" ca="1" si="30"/>
        <v/>
      </c>
      <c r="I543" s="456" t="str">
        <f t="shared" ca="1" si="31"/>
        <v/>
      </c>
      <c r="J543" s="419"/>
      <c r="K543" s="20"/>
      <c r="L543" s="20"/>
      <c r="N543" s="25">
        <f>COUNTIF($A$29:A543,"x")</f>
        <v>14</v>
      </c>
      <c r="O543" s="25">
        <f ca="1">'Validacao(1)'!DB138</f>
        <v>0</v>
      </c>
      <c r="P543" s="25">
        <f ca="1">'Validacao(2)'!DB138</f>
        <v>0</v>
      </c>
      <c r="Q543" s="25"/>
      <c r="R543" s="25"/>
      <c r="S543" s="25"/>
      <c r="T543" s="25"/>
      <c r="U543" s="25"/>
      <c r="V543" s="25"/>
      <c r="W543" s="25"/>
      <c r="X543" s="449"/>
      <c r="Y543" s="449"/>
      <c r="Z543" s="449"/>
      <c r="AA543" s="20"/>
    </row>
    <row r="544" spans="1:27" s="2" customFormat="1" ht="20.100000000000001" customHeight="1" outlineLevel="1" x14ac:dyDescent="0.25">
      <c r="A544" s="446"/>
      <c r="B544" s="1"/>
      <c r="C544" s="1"/>
      <c r="D544" s="1"/>
      <c r="E544" s="1"/>
      <c r="F544" s="447" t="s">
        <v>6967</v>
      </c>
      <c r="G544" s="450" t="str">
        <f>'Validacao(1)'!DC139</f>
        <v>Não preencheu a dose mínima para fêmeas</v>
      </c>
      <c r="H544" s="456" t="str">
        <f t="shared" ca="1" si="30"/>
        <v/>
      </c>
      <c r="I544" s="456" t="str">
        <f t="shared" ca="1" si="31"/>
        <v/>
      </c>
      <c r="J544" s="419"/>
      <c r="K544" s="20"/>
      <c r="L544" s="20"/>
      <c r="N544" s="25">
        <f>COUNTIF($A$29:A544,"x")</f>
        <v>14</v>
      </c>
      <c r="O544" s="25">
        <f ca="1">'Validacao(1)'!DB139</f>
        <v>0</v>
      </c>
      <c r="P544" s="25">
        <f ca="1">'Validacao(2)'!DB139</f>
        <v>0</v>
      </c>
      <c r="Q544" s="25"/>
      <c r="R544" s="25"/>
      <c r="S544" s="25"/>
      <c r="T544" s="25"/>
      <c r="U544" s="25"/>
      <c r="V544" s="25"/>
      <c r="W544" s="25"/>
      <c r="X544" s="449"/>
      <c r="Y544" s="449"/>
      <c r="Z544" s="449"/>
      <c r="AA544" s="20"/>
    </row>
    <row r="545" spans="1:27" s="2" customFormat="1" ht="20.100000000000001" customHeight="1" outlineLevel="1" x14ac:dyDescent="0.25">
      <c r="A545" s="446"/>
      <c r="B545" s="1"/>
      <c r="C545" s="1"/>
      <c r="D545" s="1"/>
      <c r="E545" s="1"/>
      <c r="F545" s="447" t="s">
        <v>6968</v>
      </c>
      <c r="G545" s="450" t="str">
        <f>'Validacao(1)'!DC140</f>
        <v>Não preencheu a dose intermediária para fêmeas</v>
      </c>
      <c r="H545" s="456" t="str">
        <f t="shared" ca="1" si="30"/>
        <v/>
      </c>
      <c r="I545" s="456" t="str">
        <f t="shared" ca="1" si="31"/>
        <v/>
      </c>
      <c r="J545" s="419"/>
      <c r="K545" s="20"/>
      <c r="L545" s="20"/>
      <c r="N545" s="25">
        <f>COUNTIF($A$29:A545,"x")</f>
        <v>14</v>
      </c>
      <c r="O545" s="25">
        <f ca="1">'Validacao(1)'!DB140</f>
        <v>0</v>
      </c>
      <c r="P545" s="25">
        <f ca="1">'Validacao(2)'!DB140</f>
        <v>0</v>
      </c>
      <c r="Q545" s="25"/>
      <c r="R545" s="25"/>
      <c r="S545" s="25"/>
      <c r="T545" s="25"/>
      <c r="U545" s="25"/>
      <c r="V545" s="25"/>
      <c r="W545" s="25"/>
      <c r="X545" s="449"/>
      <c r="Y545" s="449"/>
      <c r="Z545" s="449"/>
      <c r="AA545" s="20"/>
    </row>
    <row r="546" spans="1:27" s="2" customFormat="1" ht="20.100000000000001" customHeight="1" outlineLevel="1" x14ac:dyDescent="0.25">
      <c r="A546" s="446"/>
      <c r="B546" s="1"/>
      <c r="C546" s="1"/>
      <c r="D546" s="1"/>
      <c r="E546" s="1"/>
      <c r="F546" s="447" t="s">
        <v>6969</v>
      </c>
      <c r="G546" s="450" t="str">
        <f>'Validacao(1)'!DC141</f>
        <v>Não preencheu a dose máxima para fêmeas</v>
      </c>
      <c r="H546" s="456" t="str">
        <f t="shared" ca="1" si="30"/>
        <v/>
      </c>
      <c r="I546" s="456" t="str">
        <f t="shared" ca="1" si="31"/>
        <v/>
      </c>
      <c r="J546" s="419"/>
      <c r="K546" s="20"/>
      <c r="L546" s="20"/>
      <c r="N546" s="25">
        <f>COUNTIF($A$29:A546,"x")</f>
        <v>14</v>
      </c>
      <c r="O546" s="25">
        <f ca="1">'Validacao(1)'!DB141</f>
        <v>0</v>
      </c>
      <c r="P546" s="25">
        <f ca="1">'Validacao(2)'!DB141</f>
        <v>0</v>
      </c>
      <c r="Q546" s="25"/>
      <c r="R546" s="25"/>
      <c r="S546" s="25"/>
      <c r="T546" s="25"/>
      <c r="U546" s="25"/>
      <c r="V546" s="25"/>
      <c r="W546" s="25"/>
      <c r="X546" s="449"/>
      <c r="Y546" s="449"/>
      <c r="Z546" s="449"/>
      <c r="AA546" s="20"/>
    </row>
    <row r="547" spans="1:27" s="2" customFormat="1" ht="20.100000000000001" customHeight="1" outlineLevel="1" x14ac:dyDescent="0.25">
      <c r="A547" s="446"/>
      <c r="B547" s="1"/>
      <c r="C547" s="1"/>
      <c r="D547" s="1"/>
      <c r="E547" s="1"/>
      <c r="F547" s="447" t="s">
        <v>6970</v>
      </c>
      <c r="G547" s="450" t="str">
        <f>'Validacao(1)'!DC142</f>
        <v>Não preencheu o sexo dos animais testados</v>
      </c>
      <c r="H547" s="456" t="str">
        <f t="shared" ca="1" si="30"/>
        <v/>
      </c>
      <c r="I547" s="456" t="str">
        <f t="shared" ca="1" si="31"/>
        <v/>
      </c>
      <c r="J547" s="419"/>
      <c r="K547" s="20"/>
      <c r="L547" s="20"/>
      <c r="N547" s="25">
        <f>COUNTIF($A$29:A547,"x")</f>
        <v>14</v>
      </c>
      <c r="O547" s="25">
        <f ca="1">'Validacao(1)'!DB142</f>
        <v>0</v>
      </c>
      <c r="P547" s="25">
        <f ca="1">'Validacao(2)'!DB142</f>
        <v>0</v>
      </c>
      <c r="Q547" s="25"/>
      <c r="R547" s="25"/>
      <c r="S547" s="25"/>
      <c r="T547" s="25"/>
      <c r="U547" s="25"/>
      <c r="V547" s="25"/>
      <c r="W547" s="25"/>
      <c r="X547" s="449"/>
      <c r="Y547" s="449"/>
      <c r="Z547" s="449"/>
      <c r="AA547" s="20"/>
    </row>
    <row r="548" spans="1:27" s="2" customFormat="1" ht="20.100000000000001" customHeight="1" outlineLevel="1" x14ac:dyDescent="0.25">
      <c r="A548" s="446"/>
      <c r="B548" s="1"/>
      <c r="C548" s="1"/>
      <c r="D548" s="1"/>
      <c r="E548" s="1"/>
      <c r="F548" s="447" t="s">
        <v>6971</v>
      </c>
      <c r="G548" s="450" t="str">
        <f>'Validacao(1)'!DC143</f>
        <v>Não preencheu a evidência de que a substância teste atingiu a medula</v>
      </c>
      <c r="H548" s="456" t="str">
        <f t="shared" ca="1" si="30"/>
        <v/>
      </c>
      <c r="I548" s="456" t="str">
        <f t="shared" ca="1" si="31"/>
        <v/>
      </c>
      <c r="J548" s="419"/>
      <c r="K548" s="20"/>
      <c r="L548" s="20"/>
      <c r="N548" s="25">
        <f>COUNTIF($A$29:A548,"x")</f>
        <v>14</v>
      </c>
      <c r="O548" s="25">
        <f ca="1">'Validacao(1)'!DB143</f>
        <v>0</v>
      </c>
      <c r="P548" s="25">
        <f ca="1">'Validacao(2)'!DB143</f>
        <v>0</v>
      </c>
      <c r="Q548" s="25"/>
      <c r="R548" s="25"/>
      <c r="S548" s="25"/>
      <c r="T548" s="25"/>
      <c r="U548" s="25"/>
      <c r="V548" s="25"/>
      <c r="W548" s="25"/>
      <c r="X548" s="449"/>
      <c r="Y548" s="449"/>
      <c r="Z548" s="449"/>
      <c r="AA548" s="20"/>
    </row>
    <row r="549" spans="1:27" s="2" customFormat="1" ht="20.100000000000001" customHeight="1" outlineLevel="1" x14ac:dyDescent="0.25">
      <c r="A549" s="446"/>
      <c r="B549" s="1"/>
      <c r="C549" s="1"/>
      <c r="D549" s="1"/>
      <c r="E549" s="1"/>
      <c r="F549" s="447" t="s">
        <v>6972</v>
      </c>
      <c r="G549" s="450" t="str">
        <f>'Validacao(1)'!DC144</f>
        <v>Não preencheu os dados estatísticos</v>
      </c>
      <c r="H549" s="456" t="str">
        <f ca="1">IF(O549=1,"x","")</f>
        <v/>
      </c>
      <c r="I549" s="456" t="str">
        <f t="shared" ca="1" si="31"/>
        <v/>
      </c>
      <c r="J549" s="419"/>
      <c r="K549" s="20"/>
      <c r="L549" s="20"/>
      <c r="N549" s="25">
        <f>COUNTIF($A$29:A549,"x")</f>
        <v>14</v>
      </c>
      <c r="O549" s="25">
        <f ca="1">'Validacao(1)'!DB144</f>
        <v>0</v>
      </c>
      <c r="P549" s="25">
        <f ca="1">'Validacao(2)'!DB144</f>
        <v>0</v>
      </c>
      <c r="Q549" s="25"/>
      <c r="R549" s="25"/>
      <c r="S549" s="25"/>
      <c r="T549" s="25"/>
      <c r="U549" s="25"/>
      <c r="V549" s="25"/>
      <c r="W549" s="25"/>
      <c r="X549" s="449"/>
      <c r="Y549" s="449"/>
      <c r="Z549" s="449"/>
      <c r="AA549" s="20"/>
    </row>
    <row r="550" spans="1:27" s="2" customFormat="1" ht="20.100000000000001" customHeight="1" outlineLevel="1" x14ac:dyDescent="0.25">
      <c r="A550" s="446"/>
      <c r="B550" s="1"/>
      <c r="C550" s="1"/>
      <c r="D550" s="1"/>
      <c r="E550" s="1"/>
      <c r="F550" s="447" t="s">
        <v>6973</v>
      </c>
      <c r="G550" s="450" t="str">
        <f>'Validacao(1)'!DC145</f>
        <v>Não preencheu se os controles concorrentes (CN e CP) estão dentro da faixa do controle histórico</v>
      </c>
      <c r="H550" s="456" t="str">
        <f t="shared" ca="1" si="30"/>
        <v/>
      </c>
      <c r="I550" s="456" t="str">
        <f t="shared" ca="1" si="31"/>
        <v/>
      </c>
      <c r="J550" s="419"/>
      <c r="K550" s="20"/>
      <c r="L550" s="20"/>
      <c r="N550" s="25">
        <f>COUNTIF($A$29:A550,"x")</f>
        <v>14</v>
      </c>
      <c r="O550" s="25">
        <f ca="1">'Validacao(1)'!DB145</f>
        <v>0</v>
      </c>
      <c r="P550" s="25">
        <f ca="1">'Validacao(2)'!DB145</f>
        <v>0</v>
      </c>
      <c r="Q550" s="25"/>
      <c r="R550" s="25"/>
      <c r="S550" s="25"/>
      <c r="T550" s="25"/>
      <c r="U550" s="25"/>
      <c r="V550" s="25"/>
      <c r="W550" s="25"/>
      <c r="X550" s="449"/>
      <c r="Y550" s="449"/>
      <c r="Z550" s="449"/>
      <c r="AA550" s="20"/>
    </row>
    <row r="551" spans="1:27" s="2" customFormat="1" ht="20.100000000000001" customHeight="1" outlineLevel="1" x14ac:dyDescent="0.25">
      <c r="A551" s="446"/>
      <c r="B551" s="1"/>
      <c r="C551" s="1"/>
      <c r="D551" s="1"/>
      <c r="E551" s="1"/>
      <c r="F551" s="447" t="s">
        <v>6974</v>
      </c>
      <c r="G551" s="450" t="str">
        <f>'Validacao(1)'!DC146</f>
        <v>Não preencheu se os grupos testados estão dentro da faixa do controle histórico</v>
      </c>
      <c r="H551" s="456" t="str">
        <f t="shared" ca="1" si="30"/>
        <v/>
      </c>
      <c r="I551" s="456" t="str">
        <f t="shared" ca="1" si="31"/>
        <v/>
      </c>
      <c r="J551" s="419"/>
      <c r="K551" s="20"/>
      <c r="L551" s="20"/>
      <c r="N551" s="25">
        <f>COUNTIF($A$29:A551,"x")</f>
        <v>14</v>
      </c>
      <c r="O551" s="25">
        <f ca="1">'Validacao(1)'!DB146</f>
        <v>0</v>
      </c>
      <c r="P551" s="25">
        <f ca="1">'Validacao(2)'!DB146</f>
        <v>0</v>
      </c>
      <c r="Q551" s="25"/>
      <c r="R551" s="25"/>
      <c r="S551" s="25"/>
      <c r="T551" s="25"/>
      <c r="U551" s="25"/>
      <c r="V551" s="25"/>
      <c r="W551" s="25"/>
      <c r="X551" s="449"/>
      <c r="Y551" s="449"/>
      <c r="Z551" s="449"/>
      <c r="AA551" s="20"/>
    </row>
    <row r="552" spans="1:27" s="2" customFormat="1" ht="20.100000000000001" customHeight="1" outlineLevel="1" x14ac:dyDescent="0.25">
      <c r="A552" s="446"/>
      <c r="B552" s="1"/>
      <c r="C552" s="1"/>
      <c r="D552" s="1"/>
      <c r="E552" s="1"/>
      <c r="F552" s="447" t="s">
        <v>6975</v>
      </c>
      <c r="G552" s="450" t="str">
        <f>'Validacao(1)'!DC147</f>
        <v>Não preencheu se houve aumento estatisticamente significante na frequência de EPMN</v>
      </c>
      <c r="H552" s="456" t="str">
        <f t="shared" ca="1" si="30"/>
        <v/>
      </c>
      <c r="I552" s="456" t="str">
        <f t="shared" ca="1" si="31"/>
        <v/>
      </c>
      <c r="J552" s="419"/>
      <c r="K552" s="20"/>
      <c r="L552" s="20"/>
      <c r="N552" s="25">
        <f>COUNTIF($A$29:A552,"x")</f>
        <v>14</v>
      </c>
      <c r="O552" s="25">
        <f ca="1">'Validacao(1)'!DB147</f>
        <v>0</v>
      </c>
      <c r="P552" s="25">
        <f ca="1">'Validacao(2)'!DB147</f>
        <v>0</v>
      </c>
      <c r="Q552" s="25"/>
      <c r="R552" s="25"/>
      <c r="S552" s="25"/>
      <c r="T552" s="25"/>
      <c r="U552" s="25"/>
      <c r="V552" s="25"/>
      <c r="W552" s="25"/>
      <c r="X552" s="449"/>
      <c r="Y552" s="449"/>
      <c r="Z552" s="449"/>
      <c r="AA552" s="20"/>
    </row>
    <row r="553" spans="1:27" s="2" customFormat="1" ht="20.100000000000001" customHeight="1" outlineLevel="1" x14ac:dyDescent="0.25">
      <c r="A553" s="446"/>
      <c r="B553" s="1"/>
      <c r="C553" s="1"/>
      <c r="D553" s="1"/>
      <c r="E553" s="1"/>
      <c r="F553" s="447" t="s">
        <v>6976</v>
      </c>
      <c r="G553" s="450" t="str">
        <f>'Validacao(1)'!DC148</f>
        <v>Não preencheu se houve relação dose-resposta para algum grupo testado</v>
      </c>
      <c r="H553" s="456" t="str">
        <f t="shared" ca="1" si="30"/>
        <v/>
      </c>
      <c r="I553" s="456" t="str">
        <f t="shared" ca="1" si="31"/>
        <v/>
      </c>
      <c r="J553" s="419"/>
      <c r="K553" s="20"/>
      <c r="L553" s="20"/>
      <c r="N553" s="25">
        <f>COUNTIF($A$29:A553,"x")</f>
        <v>14</v>
      </c>
      <c r="O553" s="25">
        <f ca="1">'Validacao(1)'!DB148</f>
        <v>0</v>
      </c>
      <c r="P553" s="25">
        <f ca="1">'Validacao(2)'!DB148</f>
        <v>0</v>
      </c>
      <c r="Q553" s="25"/>
      <c r="R553" s="25"/>
      <c r="S553" s="25"/>
      <c r="T553" s="25"/>
      <c r="U553" s="25"/>
      <c r="V553" s="25"/>
      <c r="W553" s="25"/>
      <c r="X553" s="449"/>
      <c r="Y553" s="449"/>
      <c r="Z553" s="449"/>
      <c r="AA553" s="20"/>
    </row>
    <row r="554" spans="1:27" s="2" customFormat="1" ht="20.100000000000001" customHeight="1" outlineLevel="1" x14ac:dyDescent="0.25">
      <c r="A554" s="446"/>
      <c r="B554" s="1"/>
      <c r="C554" s="1"/>
      <c r="D554" s="1"/>
      <c r="E554" s="1"/>
      <c r="F554" s="447" t="s">
        <v>6977</v>
      </c>
      <c r="G554" s="450" t="str">
        <f>'Validacao(1)'!DC149</f>
        <v>Não preencheu se algum dos resultados estava fora da faixa de controle histórico</v>
      </c>
      <c r="H554" s="456" t="str">
        <f t="shared" ca="1" si="30"/>
        <v/>
      </c>
      <c r="I554" s="456" t="str">
        <f t="shared" ca="1" si="31"/>
        <v/>
      </c>
      <c r="J554" s="419"/>
      <c r="K554" s="20"/>
      <c r="L554" s="20"/>
      <c r="N554" s="25">
        <f>COUNTIF($A$29:A554,"x")</f>
        <v>14</v>
      </c>
      <c r="O554" s="25">
        <f ca="1">'Validacao(1)'!DB149</f>
        <v>0</v>
      </c>
      <c r="P554" s="25">
        <f ca="1">'Validacao(2)'!DB149</f>
        <v>0</v>
      </c>
      <c r="Q554" s="25"/>
      <c r="R554" s="25"/>
      <c r="S554" s="25"/>
      <c r="T554" s="25"/>
      <c r="U554" s="25"/>
      <c r="V554" s="25"/>
      <c r="W554" s="25"/>
      <c r="X554" s="449"/>
      <c r="Y554" s="449"/>
      <c r="Z554" s="449"/>
      <c r="AA554" s="20"/>
    </row>
    <row r="555" spans="1:27" s="2" customFormat="1" ht="20.100000000000001" customHeight="1" outlineLevel="1" x14ac:dyDescent="0.25">
      <c r="A555" s="446"/>
      <c r="B555" s="1"/>
      <c r="C555" s="1"/>
      <c r="D555" s="1"/>
      <c r="E555" s="1"/>
      <c r="F555" s="447" t="s">
        <v>6978</v>
      </c>
      <c r="G555" s="450" t="str">
        <f>'Validacao(1)'!DC150</f>
        <v>Não preencheu as alterações clínicas para o teste definitivo</v>
      </c>
      <c r="H555" s="456" t="str">
        <f t="shared" ca="1" si="30"/>
        <v/>
      </c>
      <c r="I555" s="456" t="str">
        <f t="shared" ca="1" si="31"/>
        <v/>
      </c>
      <c r="J555" s="419"/>
      <c r="K555" s="20"/>
      <c r="L555" s="20"/>
      <c r="N555" s="25">
        <f>COUNTIF($A$29:A555,"x")</f>
        <v>14</v>
      </c>
      <c r="O555" s="25">
        <f ca="1">'Validacao(1)'!DB150</f>
        <v>0</v>
      </c>
      <c r="P555" s="25">
        <f ca="1">'Validacao(2)'!DB150</f>
        <v>0</v>
      </c>
      <c r="Q555" s="25"/>
      <c r="R555" s="25"/>
      <c r="S555" s="25"/>
      <c r="T555" s="25"/>
      <c r="U555" s="25"/>
      <c r="V555" s="25"/>
      <c r="W555" s="25"/>
      <c r="X555" s="449"/>
      <c r="Y555" s="449"/>
      <c r="Z555" s="449"/>
      <c r="AA555" s="20"/>
    </row>
    <row r="556" spans="1:27" s="2" customFormat="1" ht="20.100000000000001" customHeight="1" outlineLevel="1" x14ac:dyDescent="0.25">
      <c r="A556" s="446"/>
      <c r="B556" s="1"/>
      <c r="C556" s="1"/>
      <c r="D556" s="1"/>
      <c r="E556" s="1"/>
      <c r="F556" s="447" t="s">
        <v>6979</v>
      </c>
      <c r="G556" s="450" t="str">
        <f>'Validacao(1)'!DC151</f>
        <v>Não foi preenchido se houve desvio ao protocolo</v>
      </c>
      <c r="H556" s="456" t="str">
        <f t="shared" ca="1" si="30"/>
        <v/>
      </c>
      <c r="I556" s="456" t="str">
        <f t="shared" ca="1" si="31"/>
        <v/>
      </c>
      <c r="J556" s="419"/>
      <c r="K556" s="20"/>
      <c r="L556" s="20"/>
      <c r="N556" s="25">
        <f>COUNTIF($A$29:A556,"x")</f>
        <v>14</v>
      </c>
      <c r="O556" s="25">
        <f ca="1">'Validacao(1)'!DB151</f>
        <v>0</v>
      </c>
      <c r="P556" s="25">
        <f ca="1">'Validacao(2)'!DB151</f>
        <v>0</v>
      </c>
      <c r="Q556" s="25"/>
      <c r="R556" s="25"/>
      <c r="S556" s="25"/>
      <c r="T556" s="25"/>
      <c r="U556" s="25"/>
      <c r="V556" s="25"/>
      <c r="W556" s="25"/>
      <c r="X556" s="449"/>
      <c r="Y556" s="449"/>
      <c r="Z556" s="449"/>
      <c r="AA556" s="20"/>
    </row>
    <row r="557" spans="1:27" s="2" customFormat="1" ht="20.100000000000001" customHeight="1" outlineLevel="1" x14ac:dyDescent="0.25">
      <c r="A557" s="446"/>
      <c r="B557" s="1"/>
      <c r="C557" s="1"/>
      <c r="D557" s="1"/>
      <c r="E557" s="1"/>
      <c r="F557" s="447" t="s">
        <v>6980</v>
      </c>
      <c r="G557" s="450" t="str">
        <f>'Validacao(1)'!DC152</f>
        <v>Não foi preenchida a conclusão</v>
      </c>
      <c r="H557" s="456" t="str">
        <f t="shared" ca="1" si="30"/>
        <v/>
      </c>
      <c r="I557" s="456" t="str">
        <f t="shared" ca="1" si="31"/>
        <v/>
      </c>
      <c r="J557" s="419"/>
      <c r="K557" s="20"/>
      <c r="L557" s="20"/>
      <c r="N557" s="25">
        <f>COUNTIF($A$29:A557,"x")</f>
        <v>14</v>
      </c>
      <c r="O557" s="25">
        <f ca="1">'Validacao(1)'!DB152</f>
        <v>0</v>
      </c>
      <c r="P557" s="25">
        <f ca="1">'Validacao(2)'!DB152</f>
        <v>0</v>
      </c>
      <c r="Q557" s="25"/>
      <c r="R557" s="25"/>
      <c r="S557" s="25"/>
      <c r="T557" s="25"/>
      <c r="U557" s="25"/>
      <c r="V557" s="25"/>
      <c r="W557" s="25"/>
      <c r="X557" s="449"/>
      <c r="Y557" s="449"/>
      <c r="Z557" s="449"/>
      <c r="AA557" s="20"/>
    </row>
    <row r="558" spans="1:27" s="2" customFormat="1" ht="20.100000000000001" customHeight="1" outlineLevel="1" x14ac:dyDescent="0.25">
      <c r="A558" s="446"/>
      <c r="B558" s="1"/>
      <c r="C558" s="1"/>
      <c r="D558" s="1"/>
      <c r="E558" s="1"/>
      <c r="F558" s="447" t="s">
        <v>6981</v>
      </c>
      <c r="G558" s="450" t="str">
        <f>'Validacao(1)'!DC153</f>
        <v>Não foi informada a conclusão do estudo in vitro</v>
      </c>
      <c r="H558" s="456" t="str">
        <f t="shared" ca="1" si="30"/>
        <v/>
      </c>
      <c r="I558" s="456" t="str">
        <f t="shared" ca="1" si="31"/>
        <v/>
      </c>
      <c r="J558" s="419"/>
      <c r="K558" s="20"/>
      <c r="L558" s="20"/>
      <c r="N558" s="25">
        <f>COUNTIF($A$29:A558,"x")</f>
        <v>14</v>
      </c>
      <c r="O558" s="25">
        <f ca="1">'Validacao(1)'!DB153</f>
        <v>0</v>
      </c>
      <c r="P558" s="25">
        <f ca="1">'Validacao(2)'!DB153</f>
        <v>0</v>
      </c>
      <c r="Q558" s="25"/>
      <c r="R558" s="25"/>
      <c r="S558" s="25"/>
      <c r="T558" s="25"/>
      <c r="U558" s="25"/>
      <c r="V558" s="25"/>
      <c r="W558" s="25"/>
      <c r="X558" s="449"/>
      <c r="Y558" s="449"/>
      <c r="Z558" s="449"/>
      <c r="AA558" s="20"/>
    </row>
    <row r="559" spans="1:27" s="2" customFormat="1" ht="20.100000000000001" customHeight="1" outlineLevel="1" x14ac:dyDescent="0.25">
      <c r="A559" s="446"/>
      <c r="B559" s="1"/>
      <c r="C559" s="1"/>
      <c r="D559" s="1"/>
      <c r="E559" s="1"/>
      <c r="F559" s="447" t="s">
        <v>6982</v>
      </c>
      <c r="G559" s="450" t="str">
        <f>'Validacao(1)'!DC154</f>
        <v>Estudo conduzido em laboratório sem BPL</v>
      </c>
      <c r="H559" s="456" t="str">
        <f t="shared" ca="1" si="30"/>
        <v/>
      </c>
      <c r="I559" s="456" t="str">
        <f t="shared" ca="1" si="31"/>
        <v/>
      </c>
      <c r="J559" s="419"/>
      <c r="K559" s="20"/>
      <c r="L559" s="20"/>
      <c r="N559" s="25">
        <f>COUNTIF($A$29:A559,"x")</f>
        <v>14</v>
      </c>
      <c r="O559" s="25">
        <f ca="1">'Validacao(1)'!DB154</f>
        <v>0</v>
      </c>
      <c r="P559" s="25">
        <f ca="1">'Validacao(2)'!DB154</f>
        <v>0</v>
      </c>
      <c r="Q559" s="25"/>
      <c r="R559" s="25"/>
      <c r="S559" s="25"/>
      <c r="T559" s="25"/>
      <c r="U559" s="25"/>
      <c r="V559" s="25"/>
      <c r="W559" s="25"/>
      <c r="X559" s="449"/>
      <c r="Y559" s="449"/>
      <c r="Z559" s="449"/>
      <c r="AA559" s="20"/>
    </row>
    <row r="560" spans="1:27" s="2" customFormat="1" ht="20.100000000000001" customHeight="1" outlineLevel="1" x14ac:dyDescent="0.25">
      <c r="A560" s="446"/>
      <c r="B560" s="1"/>
      <c r="C560" s="1"/>
      <c r="D560" s="1"/>
      <c r="E560" s="1"/>
      <c r="F560" s="447" t="s">
        <v>6983</v>
      </c>
      <c r="G560" s="450" t="str">
        <f>'Validacao(1)'!DC155</f>
        <v>O tempo de coleta após a última administração está fora do protocolo.</v>
      </c>
      <c r="H560" s="456" t="str">
        <f t="shared" ca="1" si="30"/>
        <v/>
      </c>
      <c r="I560" s="456" t="str">
        <f t="shared" ca="1" si="31"/>
        <v/>
      </c>
      <c r="J560" s="419"/>
      <c r="K560" s="20"/>
      <c r="L560" s="20"/>
      <c r="N560" s="25">
        <f>COUNTIF($A$29:A560,"x")</f>
        <v>14</v>
      </c>
      <c r="O560" s="25">
        <f ca="1">'Validacao(1)'!DB155</f>
        <v>0</v>
      </c>
      <c r="P560" s="25">
        <f ca="1">'Validacao(2)'!DB155</f>
        <v>0</v>
      </c>
      <c r="Q560" s="25"/>
      <c r="R560" s="25"/>
      <c r="S560" s="25"/>
      <c r="T560" s="25"/>
      <c r="U560" s="25"/>
      <c r="V560" s="25"/>
      <c r="W560" s="25"/>
      <c r="X560" s="449"/>
      <c r="Y560" s="449"/>
      <c r="Z560" s="449"/>
      <c r="AA560" s="20"/>
    </row>
    <row r="561" spans="1:27" s="2" customFormat="1" ht="20.100000000000001" customHeight="1" outlineLevel="1" x14ac:dyDescent="0.25">
      <c r="A561" s="446"/>
      <c r="B561" s="1"/>
      <c r="C561" s="1"/>
      <c r="D561" s="1"/>
      <c r="E561" s="1"/>
      <c r="F561" s="447" t="s">
        <v>6984</v>
      </c>
      <c r="G561" s="450" t="str">
        <f>'Validacao(1)'!DC156</f>
        <v>Foi testado mais de um grupo controle negativo no teste definitivo</v>
      </c>
      <c r="H561" s="456" t="str">
        <f t="shared" ca="1" si="30"/>
        <v/>
      </c>
      <c r="I561" s="456" t="str">
        <f t="shared" ca="1" si="31"/>
        <v/>
      </c>
      <c r="J561" s="419"/>
      <c r="K561" s="20"/>
      <c r="L561" s="20"/>
      <c r="N561" s="25">
        <f>COUNTIF($A$29:A561,"x")</f>
        <v>14</v>
      </c>
      <c r="O561" s="25">
        <f ca="1">'Validacao(1)'!DB156</f>
        <v>0</v>
      </c>
      <c r="P561" s="25">
        <f ca="1">'Validacao(2)'!DB156</f>
        <v>0</v>
      </c>
      <c r="Q561" s="25"/>
      <c r="R561" s="25"/>
      <c r="S561" s="25"/>
      <c r="T561" s="25"/>
      <c r="U561" s="25"/>
      <c r="V561" s="25"/>
      <c r="W561" s="25"/>
      <c r="X561" s="449"/>
      <c r="Y561" s="449"/>
      <c r="Z561" s="449"/>
      <c r="AA561" s="20"/>
    </row>
    <row r="562" spans="1:27" s="2" customFormat="1" ht="20.100000000000001" customHeight="1" outlineLevel="1" x14ac:dyDescent="0.25">
      <c r="A562" s="446"/>
      <c r="B562" s="1"/>
      <c r="C562" s="1"/>
      <c r="D562" s="1"/>
      <c r="E562" s="1"/>
      <c r="F562" s="447" t="s">
        <v>6985</v>
      </c>
      <c r="G562" s="450">
        <f>'Validacao(1)'!DC157</f>
        <v>0</v>
      </c>
      <c r="H562" s="456" t="str">
        <f t="shared" si="30"/>
        <v/>
      </c>
      <c r="I562" s="456" t="str">
        <f t="shared" si="31"/>
        <v/>
      </c>
      <c r="J562" s="419"/>
      <c r="K562" s="20"/>
      <c r="L562" s="20"/>
      <c r="N562" s="25">
        <f>COUNTIF($A$29:A562,"x")</f>
        <v>14</v>
      </c>
      <c r="O562" s="25">
        <f>'Validacao(1)'!DB157</f>
        <v>0</v>
      </c>
      <c r="P562" s="25">
        <f>'Validacao(2)'!DB157</f>
        <v>0</v>
      </c>
      <c r="Q562" s="25"/>
      <c r="R562" s="25"/>
      <c r="S562" s="25"/>
      <c r="T562" s="25"/>
      <c r="U562" s="25"/>
      <c r="V562" s="25"/>
      <c r="W562" s="25"/>
      <c r="X562" s="449"/>
      <c r="Y562" s="449"/>
      <c r="Z562" s="449"/>
      <c r="AA562" s="20"/>
    </row>
    <row r="563" spans="1:27" s="2" customFormat="1" ht="20.100000000000001" customHeight="1" outlineLevel="1" x14ac:dyDescent="0.25">
      <c r="A563" s="446"/>
      <c r="B563" s="1"/>
      <c r="C563" s="1"/>
      <c r="D563" s="1"/>
      <c r="E563" s="1"/>
      <c r="F563" s="447" t="s">
        <v>6986</v>
      </c>
      <c r="G563" s="450" t="str">
        <f>'Validacao(1)'!DC158</f>
        <v>Não foi conduzido estudo preliminar e não foi testada a dose limite</v>
      </c>
      <c r="H563" s="456" t="str">
        <f t="shared" ca="1" si="30"/>
        <v/>
      </c>
      <c r="I563" s="456" t="str">
        <f t="shared" ca="1" si="31"/>
        <v/>
      </c>
      <c r="J563" s="419"/>
      <c r="K563" s="20"/>
      <c r="L563" s="20"/>
      <c r="N563" s="25">
        <f>COUNTIF($A$29:A563,"x")</f>
        <v>14</v>
      </c>
      <c r="O563" s="25">
        <f ca="1">'Validacao(1)'!DB158</f>
        <v>0</v>
      </c>
      <c r="P563" s="25">
        <f ca="1">'Validacao(2)'!DB158</f>
        <v>0</v>
      </c>
      <c r="Q563" s="25"/>
      <c r="R563" s="25"/>
      <c r="S563" s="25"/>
      <c r="T563" s="25"/>
      <c r="U563" s="25"/>
      <c r="V563" s="25"/>
      <c r="W563" s="25"/>
      <c r="X563" s="449"/>
      <c r="Y563" s="449"/>
      <c r="Z563" s="449"/>
      <c r="AA563" s="20"/>
    </row>
    <row r="564" spans="1:27" s="2" customFormat="1" ht="20.100000000000001" customHeight="1" outlineLevel="1" x14ac:dyDescent="0.25">
      <c r="A564" s="446"/>
      <c r="B564" s="1"/>
      <c r="C564" s="1"/>
      <c r="D564" s="1"/>
      <c r="E564" s="1"/>
      <c r="F564" s="447" t="s">
        <v>6987</v>
      </c>
      <c r="G564" s="450" t="str">
        <f>'Validacao(1)'!DC159</f>
        <v>A DMT não foi determinada e não foi utilizado estudo de DL50 para definição da dose teste</v>
      </c>
      <c r="H564" s="456" t="str">
        <f t="shared" ca="1" si="30"/>
        <v/>
      </c>
      <c r="I564" s="456" t="str">
        <f t="shared" ca="1" si="31"/>
        <v/>
      </c>
      <c r="J564" s="419"/>
      <c r="K564" s="20"/>
      <c r="L564" s="20"/>
      <c r="N564" s="25">
        <f>COUNTIF($A$29:A564,"x")</f>
        <v>14</v>
      </c>
      <c r="O564" s="25">
        <f ca="1">'Validacao(1)'!DB159</f>
        <v>0</v>
      </c>
      <c r="P564" s="25">
        <f ca="1">'Validacao(2)'!DB159</f>
        <v>0</v>
      </c>
      <c r="Q564" s="25"/>
      <c r="R564" s="25"/>
      <c r="S564" s="25"/>
      <c r="T564" s="25"/>
      <c r="U564" s="25"/>
      <c r="V564" s="25"/>
      <c r="W564" s="25"/>
      <c r="X564" s="449"/>
      <c r="Y564" s="449"/>
      <c r="Z564" s="449"/>
      <c r="AA564" s="20"/>
    </row>
    <row r="565" spans="1:27" s="2" customFormat="1" ht="20.100000000000001" customHeight="1" outlineLevel="1" x14ac:dyDescent="0.25">
      <c r="A565" s="446"/>
      <c r="B565" s="1"/>
      <c r="C565" s="1"/>
      <c r="D565" s="1"/>
      <c r="E565" s="1"/>
      <c r="F565" s="447" t="s">
        <v>6988</v>
      </c>
      <c r="G565" s="450" t="str">
        <f>'Validacao(1)'!DC160</f>
        <v>O estudo de DL50 não foi conduzido com a mesma espécie utilizada no teste definitivo</v>
      </c>
      <c r="H565" s="456" t="str">
        <f t="shared" ca="1" si="30"/>
        <v/>
      </c>
      <c r="I565" s="456" t="str">
        <f t="shared" ca="1" si="31"/>
        <v/>
      </c>
      <c r="J565" s="419"/>
      <c r="K565" s="20"/>
      <c r="L565" s="20"/>
      <c r="N565" s="25">
        <f>COUNTIF($A$29:A565,"x")</f>
        <v>14</v>
      </c>
      <c r="O565" s="25">
        <f ca="1">'Validacao(1)'!DB160</f>
        <v>0</v>
      </c>
      <c r="P565" s="25">
        <f ca="1">'Validacao(2)'!DB160</f>
        <v>0</v>
      </c>
      <c r="Q565" s="25"/>
      <c r="R565" s="25"/>
      <c r="S565" s="25"/>
      <c r="T565" s="25"/>
      <c r="U565" s="25"/>
      <c r="V565" s="25"/>
      <c r="W565" s="25"/>
      <c r="X565" s="449"/>
      <c r="Y565" s="449"/>
      <c r="Z565" s="449"/>
      <c r="AA565" s="20"/>
    </row>
    <row r="566" spans="1:27" s="2" customFormat="1" ht="20.100000000000001" customHeight="1" outlineLevel="1" x14ac:dyDescent="0.25">
      <c r="A566" s="446"/>
      <c r="B566" s="1"/>
      <c r="C566" s="1"/>
      <c r="D566" s="1"/>
      <c r="E566" s="1"/>
      <c r="F566" s="447" t="s">
        <v>6989</v>
      </c>
      <c r="G566" s="450" t="str">
        <f>'Validacao(1)'!DC161</f>
        <v>O sexo dos animais utilizados no estudo de DL50 não é o mesmo do sexo dos animais do estudo definitivo</v>
      </c>
      <c r="H566" s="456" t="str">
        <f t="shared" ca="1" si="30"/>
        <v/>
      </c>
      <c r="I566" s="456" t="str">
        <f t="shared" ca="1" si="31"/>
        <v/>
      </c>
      <c r="J566" s="419"/>
      <c r="K566" s="20"/>
      <c r="L566" s="20"/>
      <c r="N566" s="25">
        <f>COUNTIF($A$29:A566,"x")</f>
        <v>14</v>
      </c>
      <c r="O566" s="25">
        <f ca="1">'Validacao(1)'!DB161</f>
        <v>0</v>
      </c>
      <c r="P566" s="25">
        <f ca="1">'Validacao(2)'!DB161</f>
        <v>0</v>
      </c>
      <c r="Q566" s="25"/>
      <c r="R566" s="25"/>
      <c r="S566" s="25"/>
      <c r="T566" s="25"/>
      <c r="U566" s="25"/>
      <c r="V566" s="25"/>
      <c r="W566" s="25"/>
      <c r="X566" s="449"/>
      <c r="Y566" s="449"/>
      <c r="Z566" s="449"/>
      <c r="AA566" s="20"/>
    </row>
    <row r="567" spans="1:27" s="2" customFormat="1" ht="20.100000000000001" customHeight="1" outlineLevel="1" x14ac:dyDescent="0.25">
      <c r="A567" s="446"/>
      <c r="B567" s="1"/>
      <c r="C567" s="1"/>
      <c r="D567" s="1"/>
      <c r="E567" s="1"/>
      <c r="F567" s="447"/>
      <c r="G567" s="450" t="str">
        <f>'Validacao(1)'!DC162</f>
        <v>As doses escolhidas não correspondem a 80%, 50% e 25% da dose do teste de DL50</v>
      </c>
      <c r="H567" s="456" t="str">
        <f t="shared" ca="1" si="30"/>
        <v/>
      </c>
      <c r="I567" s="456" t="str">
        <f t="shared" ca="1" si="31"/>
        <v/>
      </c>
      <c r="J567" s="419"/>
      <c r="K567" s="20"/>
      <c r="L567" s="20"/>
      <c r="N567" s="25">
        <f>COUNTIF($A$29:A567,"x")</f>
        <v>14</v>
      </c>
      <c r="O567" s="25">
        <f ca="1">'Validacao(1)'!DB162</f>
        <v>0</v>
      </c>
      <c r="P567" s="25">
        <f ca="1">'Validacao(2)'!DB162</f>
        <v>0</v>
      </c>
      <c r="Q567" s="25"/>
      <c r="R567" s="25"/>
      <c r="S567" s="25"/>
      <c r="T567" s="25"/>
      <c r="U567" s="25"/>
      <c r="V567" s="25"/>
      <c r="W567" s="25"/>
      <c r="X567" s="449"/>
      <c r="Y567" s="449"/>
      <c r="Z567" s="449"/>
      <c r="AA567" s="20"/>
    </row>
    <row r="568" spans="1:27" s="2" customFormat="1" ht="20.100000000000001" customHeight="1" outlineLevel="1" x14ac:dyDescent="0.25">
      <c r="A568" s="446"/>
      <c r="B568" s="1"/>
      <c r="C568" s="1"/>
      <c r="D568" s="1"/>
      <c r="E568" s="1"/>
      <c r="F568" s="447" t="s">
        <v>6990</v>
      </c>
      <c r="G568" s="450">
        <f>'Validacao(1)'!DC163</f>
        <v>0</v>
      </c>
      <c r="H568" s="456" t="str">
        <f t="shared" si="30"/>
        <v/>
      </c>
      <c r="I568" s="456" t="str">
        <f t="shared" si="31"/>
        <v/>
      </c>
      <c r="J568" s="419"/>
      <c r="K568" s="20"/>
      <c r="L568" s="20"/>
      <c r="N568" s="25">
        <f>COUNTIF($A$29:A568,"x")</f>
        <v>14</v>
      </c>
      <c r="O568" s="25">
        <f>'Validacao(1)'!DB163</f>
        <v>0</v>
      </c>
      <c r="P568" s="25">
        <f>'Validacao(2)'!DB163</f>
        <v>0</v>
      </c>
      <c r="Q568" s="25"/>
      <c r="R568" s="25"/>
      <c r="S568" s="25"/>
      <c r="T568" s="25"/>
      <c r="U568" s="25"/>
      <c r="V568" s="25"/>
      <c r="W568" s="25"/>
      <c r="X568" s="449"/>
      <c r="Y568" s="449"/>
      <c r="Z568" s="449"/>
      <c r="AA568" s="20"/>
    </row>
    <row r="569" spans="1:27" s="2" customFormat="1" ht="20.100000000000001" customHeight="1" outlineLevel="1" x14ac:dyDescent="0.25">
      <c r="A569" s="446"/>
      <c r="B569" s="1"/>
      <c r="C569" s="1"/>
      <c r="D569" s="1"/>
      <c r="E569" s="1"/>
      <c r="F569" s="447" t="s">
        <v>6991</v>
      </c>
      <c r="G569" s="450" t="str">
        <f>'Validacao(1)'!DC164</f>
        <v>As doses testadas não correspodem as doses escolhidas no teste preliminar</v>
      </c>
      <c r="H569" s="456" t="str">
        <f t="shared" ca="1" si="30"/>
        <v/>
      </c>
      <c r="I569" s="456" t="str">
        <f t="shared" ca="1" si="31"/>
        <v/>
      </c>
      <c r="J569" s="419"/>
      <c r="K569" s="20"/>
      <c r="L569" s="20"/>
      <c r="N569" s="25">
        <f>COUNTIF($A$29:A569,"x")</f>
        <v>14</v>
      </c>
      <c r="O569" s="25">
        <f ca="1">'Validacao(1)'!DB164</f>
        <v>0</v>
      </c>
      <c r="P569" s="25">
        <f ca="1">'Validacao(2)'!DB164</f>
        <v>0</v>
      </c>
      <c r="Q569" s="25"/>
      <c r="R569" s="25"/>
      <c r="S569" s="25"/>
      <c r="T569" s="25"/>
      <c r="U569" s="25"/>
      <c r="V569" s="25"/>
      <c r="W569" s="25"/>
      <c r="X569" s="449"/>
      <c r="Y569" s="449"/>
      <c r="Z569" s="449"/>
      <c r="AA569" s="20"/>
    </row>
    <row r="570" spans="1:27" s="2" customFormat="1" ht="20.100000000000001" customHeight="1" outlineLevel="1" x14ac:dyDescent="0.25">
      <c r="A570" s="446"/>
      <c r="B570" s="1"/>
      <c r="C570" s="1"/>
      <c r="D570" s="1"/>
      <c r="E570" s="1"/>
      <c r="F570" s="447" t="s">
        <v>6992</v>
      </c>
      <c r="G570" s="450" t="str">
        <f>'Validacao(1)'!DC165</f>
        <v>Houve diferença de toxicidade entre sexos, mas o estudo foi conduzido com um sexo</v>
      </c>
      <c r="H570" s="456" t="str">
        <f t="shared" ca="1" si="30"/>
        <v/>
      </c>
      <c r="I570" s="456" t="str">
        <f t="shared" ca="1" si="31"/>
        <v/>
      </c>
      <c r="J570" s="419"/>
      <c r="K570" s="20"/>
      <c r="L570" s="20"/>
      <c r="N570" s="25">
        <f>COUNTIF($A$29:A570,"x")</f>
        <v>14</v>
      </c>
      <c r="O570" s="25">
        <f ca="1">'Validacao(1)'!DB165</f>
        <v>0</v>
      </c>
      <c r="P570" s="25">
        <f ca="1">'Validacao(2)'!DB165</f>
        <v>0</v>
      </c>
      <c r="Q570" s="25"/>
      <c r="R570" s="25"/>
      <c r="S570" s="25"/>
      <c r="T570" s="25"/>
      <c r="U570" s="25"/>
      <c r="V570" s="25"/>
      <c r="W570" s="25"/>
      <c r="X570" s="449"/>
      <c r="Y570" s="449"/>
      <c r="Z570" s="449"/>
      <c r="AA570" s="20"/>
    </row>
    <row r="571" spans="1:27" s="2" customFormat="1" ht="20.100000000000001" customHeight="1" outlineLevel="1" x14ac:dyDescent="0.25">
      <c r="A571" s="446"/>
      <c r="B571" s="1"/>
      <c r="C571" s="1"/>
      <c r="D571" s="1"/>
      <c r="E571" s="1"/>
      <c r="F571" s="447" t="s">
        <v>6993</v>
      </c>
      <c r="G571" s="450" t="str">
        <f>'Validacao(1)'!DC166</f>
        <v>Foi testada dose superior a 2000 mg/Kg pc</v>
      </c>
      <c r="H571" s="456" t="str">
        <f t="shared" ca="1" si="30"/>
        <v/>
      </c>
      <c r="I571" s="456" t="str">
        <f t="shared" ca="1" si="31"/>
        <v/>
      </c>
      <c r="J571" s="419"/>
      <c r="K571" s="20"/>
      <c r="L571" s="20"/>
      <c r="N571" s="25">
        <f>COUNTIF($A$29:A571,"x")</f>
        <v>14</v>
      </c>
      <c r="O571" s="25">
        <f ca="1">'Validacao(1)'!DB166</f>
        <v>0</v>
      </c>
      <c r="P571" s="25">
        <f ca="1">'Validacao(2)'!DB166</f>
        <v>0</v>
      </c>
      <c r="Q571" s="25"/>
      <c r="R571" s="25"/>
      <c r="S571" s="25"/>
      <c r="T571" s="25"/>
      <c r="U571" s="25"/>
      <c r="V571" s="25"/>
      <c r="W571" s="25"/>
      <c r="X571" s="449"/>
      <c r="Y571" s="449"/>
      <c r="Z571" s="449"/>
      <c r="AA571" s="20"/>
    </row>
    <row r="572" spans="1:27" s="2" customFormat="1" ht="20.100000000000001" customHeight="1" outlineLevel="1" x14ac:dyDescent="0.25">
      <c r="A572" s="446"/>
      <c r="B572" s="1"/>
      <c r="C572" s="1"/>
      <c r="D572" s="1"/>
      <c r="E572" s="1"/>
      <c r="F572" s="447" t="s">
        <v>6994</v>
      </c>
      <c r="G572" s="450" t="str">
        <f>'Validacao(1)'!DC167</f>
        <v>Existe grupo com menos do que 5 animais testados - §29 do protocolo</v>
      </c>
      <c r="H572" s="456" t="str">
        <f t="shared" ref="H572:H603" ca="1" si="32">IF(O572=1,"x","")</f>
        <v/>
      </c>
      <c r="I572" s="456" t="str">
        <f t="shared" ref="I572:I603" ca="1" si="33">IF(P572=1,"x","")</f>
        <v/>
      </c>
      <c r="J572" s="419"/>
      <c r="K572" s="20"/>
      <c r="L572" s="20"/>
      <c r="N572" s="25">
        <f>COUNTIF($A$29:A572,"x")</f>
        <v>14</v>
      </c>
      <c r="O572" s="25">
        <f ca="1">'Validacao(1)'!DB167</f>
        <v>0</v>
      </c>
      <c r="P572" s="25">
        <f ca="1">'Validacao(2)'!DB167</f>
        <v>0</v>
      </c>
      <c r="Q572" s="25"/>
      <c r="R572" s="25"/>
      <c r="S572" s="25"/>
      <c r="T572" s="25"/>
      <c r="U572" s="25"/>
      <c r="V572" s="25"/>
      <c r="W572" s="25"/>
      <c r="X572" s="449"/>
      <c r="Y572" s="449"/>
      <c r="Z572" s="449"/>
      <c r="AA572" s="20"/>
    </row>
    <row r="573" spans="1:27" s="2" customFormat="1" ht="20.100000000000001" customHeight="1" outlineLevel="1" x14ac:dyDescent="0.25">
      <c r="A573" s="446"/>
      <c r="B573" s="1"/>
      <c r="C573" s="1"/>
      <c r="D573" s="1"/>
      <c r="E573" s="1"/>
      <c r="F573" s="447" t="s">
        <v>6995</v>
      </c>
      <c r="G573" s="450">
        <f>'Validacao(1)'!DC168</f>
        <v>0</v>
      </c>
      <c r="H573" s="456" t="str">
        <f t="shared" si="32"/>
        <v/>
      </c>
      <c r="I573" s="456" t="str">
        <f t="shared" si="33"/>
        <v/>
      </c>
      <c r="J573" s="419"/>
      <c r="K573" s="20"/>
      <c r="L573" s="20"/>
      <c r="N573" s="25">
        <f>COUNTIF($A$29:A573,"x")</f>
        <v>14</v>
      </c>
      <c r="O573" s="25">
        <f>'Validacao(1)'!DB168</f>
        <v>0</v>
      </c>
      <c r="P573" s="25">
        <f>'Validacao(2)'!DB168</f>
        <v>0</v>
      </c>
      <c r="Q573" s="25"/>
      <c r="R573" s="25"/>
      <c r="S573" s="25"/>
      <c r="T573" s="25"/>
      <c r="U573" s="25"/>
      <c r="V573" s="25"/>
      <c r="W573" s="25"/>
      <c r="X573" s="449"/>
      <c r="Y573" s="449"/>
      <c r="Z573" s="449"/>
      <c r="AA573" s="20"/>
    </row>
    <row r="574" spans="1:27" s="2" customFormat="1" ht="20.100000000000001" customHeight="1" outlineLevel="1" x14ac:dyDescent="0.25">
      <c r="A574" s="446"/>
      <c r="B574" s="1"/>
      <c r="C574" s="1"/>
      <c r="D574" s="1"/>
      <c r="E574" s="1"/>
      <c r="F574" s="447" t="s">
        <v>6996</v>
      </c>
      <c r="G574" s="450" t="str">
        <f>'Validacao(1)'!DC169</f>
        <v>Foi declarado que o controle concorrente (CN ou CP) está fora da faixa do controle histórico</v>
      </c>
      <c r="H574" s="456" t="str">
        <f t="shared" ca="1" si="32"/>
        <v/>
      </c>
      <c r="I574" s="456" t="str">
        <f t="shared" ca="1" si="33"/>
        <v/>
      </c>
      <c r="J574" s="419"/>
      <c r="K574" s="20"/>
      <c r="L574" s="20"/>
      <c r="N574" s="25">
        <f>COUNTIF($A$29:A574,"x")</f>
        <v>14</v>
      </c>
      <c r="O574" s="25">
        <f ca="1">'Validacao(1)'!DB169</f>
        <v>0</v>
      </c>
      <c r="P574" s="25">
        <f ca="1">'Validacao(2)'!DB169</f>
        <v>0</v>
      </c>
      <c r="Q574" s="25"/>
      <c r="R574" s="25"/>
      <c r="S574" s="25"/>
      <c r="T574" s="25"/>
      <c r="U574" s="25"/>
      <c r="V574" s="25"/>
      <c r="W574" s="25"/>
      <c r="X574" s="449"/>
      <c r="Y574" s="449"/>
      <c r="Z574" s="449"/>
      <c r="AA574" s="20"/>
    </row>
    <row r="575" spans="1:27" s="2" customFormat="1" ht="20.100000000000001" customHeight="1" outlineLevel="1" x14ac:dyDescent="0.25">
      <c r="A575" s="446"/>
      <c r="B575" s="1"/>
      <c r="C575" s="1"/>
      <c r="D575" s="1"/>
      <c r="E575" s="1"/>
      <c r="F575" s="447" t="s">
        <v>6997</v>
      </c>
      <c r="G575" s="450" t="str">
        <f>'Validacao(1)'!DC170</f>
        <v>Foi declarado que algum grupo está fora da faixa do controle histórico</v>
      </c>
      <c r="H575" s="456" t="str">
        <f t="shared" ca="1" si="32"/>
        <v/>
      </c>
      <c r="I575" s="456" t="str">
        <f t="shared" ca="1" si="33"/>
        <v/>
      </c>
      <c r="J575" s="419"/>
      <c r="K575" s="20"/>
      <c r="L575" s="20"/>
      <c r="N575" s="25">
        <f>COUNTIF($A$29:A575,"x")</f>
        <v>14</v>
      </c>
      <c r="O575" s="25">
        <f ca="1">'Validacao(1)'!DB170</f>
        <v>0</v>
      </c>
      <c r="P575" s="25">
        <f ca="1">'Validacao(2)'!DB170</f>
        <v>0</v>
      </c>
      <c r="Q575" s="25"/>
      <c r="R575" s="25"/>
      <c r="S575" s="25"/>
      <c r="T575" s="25"/>
      <c r="U575" s="25"/>
      <c r="V575" s="25"/>
      <c r="W575" s="25"/>
      <c r="X575" s="449"/>
      <c r="Y575" s="449"/>
      <c r="Z575" s="449"/>
      <c r="AA575" s="20"/>
    </row>
    <row r="576" spans="1:27" s="2" customFormat="1" ht="20.100000000000001" customHeight="1" outlineLevel="1" x14ac:dyDescent="0.25">
      <c r="A576" s="446"/>
      <c r="B576" s="1"/>
      <c r="C576" s="1"/>
      <c r="D576" s="1"/>
      <c r="E576" s="1"/>
      <c r="F576" s="447" t="s">
        <v>6998</v>
      </c>
      <c r="G576" s="450" t="str">
        <f>'Validacao(1)'!DC171</f>
        <v>Foi declarado que houve aumento estatisticamente significante na frequência de EPMN</v>
      </c>
      <c r="H576" s="456" t="str">
        <f t="shared" ca="1" si="32"/>
        <v/>
      </c>
      <c r="I576" s="456" t="str">
        <f t="shared" ca="1" si="33"/>
        <v/>
      </c>
      <c r="J576" s="419"/>
      <c r="K576" s="20"/>
      <c r="L576" s="20"/>
      <c r="N576" s="25">
        <f>COUNTIF($A$29:A576,"x")</f>
        <v>14</v>
      </c>
      <c r="O576" s="25">
        <f ca="1">'Validacao(1)'!DB171</f>
        <v>0</v>
      </c>
      <c r="P576" s="25">
        <f ca="1">'Validacao(2)'!DB171</f>
        <v>0</v>
      </c>
      <c r="Q576" s="25"/>
      <c r="R576" s="25"/>
      <c r="S576" s="25"/>
      <c r="T576" s="25"/>
      <c r="U576" s="25"/>
      <c r="V576" s="25"/>
      <c r="W576" s="25"/>
      <c r="X576" s="449"/>
      <c r="Y576" s="449"/>
      <c r="Z576" s="449"/>
      <c r="AA576" s="20"/>
    </row>
    <row r="577" spans="1:27" s="2" customFormat="1" ht="20.100000000000001" customHeight="1" outlineLevel="1" x14ac:dyDescent="0.25">
      <c r="A577" s="446"/>
      <c r="B577" s="1"/>
      <c r="C577" s="1"/>
      <c r="D577" s="1"/>
      <c r="E577" s="1"/>
      <c r="F577" s="447" t="s">
        <v>6999</v>
      </c>
      <c r="G577" s="450" t="str">
        <f>'Validacao(1)'!DC172</f>
        <v>Foi declarado que houve relação dose-resposta</v>
      </c>
      <c r="H577" s="456" t="str">
        <f t="shared" ca="1" si="32"/>
        <v/>
      </c>
      <c r="I577" s="456" t="str">
        <f t="shared" ca="1" si="33"/>
        <v/>
      </c>
      <c r="J577" s="419"/>
      <c r="K577" s="20"/>
      <c r="L577" s="20"/>
      <c r="N577" s="25">
        <f>COUNTIF($A$29:A577,"x")</f>
        <v>14</v>
      </c>
      <c r="O577" s="25">
        <f ca="1">'Validacao(1)'!DB172</f>
        <v>0</v>
      </c>
      <c r="P577" s="25">
        <f ca="1">'Validacao(2)'!DB172</f>
        <v>0</v>
      </c>
      <c r="Q577" s="25"/>
      <c r="R577" s="25"/>
      <c r="S577" s="25"/>
      <c r="T577" s="25"/>
      <c r="U577" s="25"/>
      <c r="V577" s="25"/>
      <c r="W577" s="25"/>
      <c r="X577" s="449"/>
      <c r="Y577" s="449"/>
      <c r="Z577" s="449"/>
      <c r="AA577" s="20"/>
    </row>
    <row r="578" spans="1:27" s="2" customFormat="1" ht="20.100000000000001" customHeight="1" outlineLevel="1" x14ac:dyDescent="0.25">
      <c r="A578" s="446"/>
      <c r="B578" s="1"/>
      <c r="C578" s="1"/>
      <c r="D578" s="1"/>
      <c r="E578" s="1"/>
      <c r="F578" s="447" t="s">
        <v>7000</v>
      </c>
      <c r="G578" s="450">
        <f>'Validacao(1)'!DC173</f>
        <v>0</v>
      </c>
      <c r="H578" s="456" t="str">
        <f t="shared" si="32"/>
        <v/>
      </c>
      <c r="I578" s="456" t="str">
        <f t="shared" si="33"/>
        <v/>
      </c>
      <c r="J578" s="419"/>
      <c r="K578" s="20"/>
      <c r="L578" s="20"/>
      <c r="N578" s="25">
        <f>COUNTIF($A$29:A578,"x")</f>
        <v>14</v>
      </c>
      <c r="O578" s="25">
        <f>'Validacao(1)'!DB173</f>
        <v>0</v>
      </c>
      <c r="P578" s="25">
        <f>'Validacao(2)'!DB173</f>
        <v>0</v>
      </c>
      <c r="Q578" s="25"/>
      <c r="R578" s="25"/>
      <c r="S578" s="25"/>
      <c r="T578" s="25"/>
      <c r="U578" s="25"/>
      <c r="V578" s="25"/>
      <c r="W578" s="25"/>
      <c r="X578" s="449"/>
      <c r="Y578" s="449"/>
      <c r="Z578" s="449"/>
      <c r="AA578" s="20"/>
    </row>
    <row r="579" spans="1:27" s="2" customFormat="1" ht="20.100000000000001" customHeight="1" outlineLevel="1" x14ac:dyDescent="0.25">
      <c r="A579" s="446"/>
      <c r="B579" s="1"/>
      <c r="C579" s="1"/>
      <c r="D579" s="1"/>
      <c r="E579" s="1"/>
      <c r="F579" s="447" t="s">
        <v>7001</v>
      </c>
      <c r="G579" s="450" t="str">
        <f>'Validacao(1)'!DC174</f>
        <v>Quantidade de EPMN divergindo dos dados do controle histórico</v>
      </c>
      <c r="H579" s="456" t="str">
        <f t="shared" ca="1" si="32"/>
        <v/>
      </c>
      <c r="I579" s="456" t="str">
        <f t="shared" ca="1" si="33"/>
        <v/>
      </c>
      <c r="J579" s="419"/>
      <c r="K579" s="20"/>
      <c r="L579" s="20"/>
      <c r="N579" s="25">
        <f>COUNTIF($A$29:A579,"x")</f>
        <v>14</v>
      </c>
      <c r="O579" s="25">
        <f ca="1">'Validacao(1)'!DB174</f>
        <v>0</v>
      </c>
      <c r="P579" s="25">
        <f ca="1">'Validacao(2)'!DB174</f>
        <v>0</v>
      </c>
      <c r="Q579" s="25"/>
      <c r="R579" s="25"/>
      <c r="S579" s="25"/>
      <c r="T579" s="25"/>
      <c r="U579" s="25"/>
      <c r="V579" s="25"/>
      <c r="W579" s="25"/>
      <c r="X579" s="449"/>
      <c r="Y579" s="449"/>
      <c r="Z579" s="449"/>
      <c r="AA579" s="20"/>
    </row>
    <row r="580" spans="1:27" s="2" customFormat="1" ht="20.100000000000001" customHeight="1" outlineLevel="1" x14ac:dyDescent="0.25">
      <c r="A580" s="446"/>
      <c r="B580" s="1"/>
      <c r="C580" s="1"/>
      <c r="D580" s="1"/>
      <c r="E580" s="1"/>
      <c r="F580" s="447" t="s">
        <v>7002</v>
      </c>
      <c r="G580" s="450" t="str">
        <f>'Validacao(1)'!DC175</f>
        <v>O controle negativo resultou em %EPMN maior ou igual ao valor do controle positivo</v>
      </c>
      <c r="H580" s="456" t="str">
        <f t="shared" si="32"/>
        <v/>
      </c>
      <c r="I580" s="456" t="str">
        <f t="shared" si="33"/>
        <v/>
      </c>
      <c r="J580" s="419"/>
      <c r="K580" s="20"/>
      <c r="L580" s="20"/>
      <c r="N580" s="25">
        <f>COUNTIF($A$29:A580,"x")</f>
        <v>14</v>
      </c>
      <c r="O580" s="25">
        <f>'Validacao(1)'!DB175</f>
        <v>0</v>
      </c>
      <c r="P580" s="25">
        <f>'Validacao(2)'!DB175</f>
        <v>0</v>
      </c>
      <c r="Q580" s="25"/>
      <c r="R580" s="25"/>
      <c r="S580" s="25"/>
      <c r="T580" s="25"/>
      <c r="U580" s="25"/>
      <c r="V580" s="25"/>
      <c r="W580" s="25"/>
      <c r="X580" s="449"/>
      <c r="Y580" s="449"/>
      <c r="Z580" s="449"/>
      <c r="AA580" s="20"/>
    </row>
    <row r="581" spans="1:27" s="2" customFormat="1" ht="20.100000000000001" customHeight="1" outlineLevel="1" x14ac:dyDescent="0.25">
      <c r="A581" s="446"/>
      <c r="B581" s="1"/>
      <c r="C581" s="1"/>
      <c r="D581" s="1"/>
      <c r="E581" s="1"/>
      <c r="F581" s="447" t="s">
        <v>7003</v>
      </c>
      <c r="G581" s="450" t="str">
        <f>'Validacao(1)'!DC176</f>
        <v>Algum grupo teste resultou em %EPMN maior ou igual ao valor do controle positivo</v>
      </c>
      <c r="H581" s="456" t="str">
        <f t="shared" si="32"/>
        <v/>
      </c>
      <c r="I581" s="456" t="str">
        <f t="shared" si="33"/>
        <v/>
      </c>
      <c r="J581" s="419"/>
      <c r="K581" s="20"/>
      <c r="L581" s="20"/>
      <c r="N581" s="25">
        <f>COUNTIF($A$29:A581,"x")</f>
        <v>14</v>
      </c>
      <c r="O581" s="25">
        <f>'Validacao(1)'!DB176</f>
        <v>0</v>
      </c>
      <c r="P581" s="25">
        <f>'Validacao(2)'!DB176</f>
        <v>0</v>
      </c>
      <c r="Q581" s="25"/>
      <c r="R581" s="25"/>
      <c r="S581" s="25"/>
      <c r="T581" s="25"/>
      <c r="U581" s="25"/>
      <c r="V581" s="25"/>
      <c r="W581" s="25"/>
      <c r="X581" s="449"/>
      <c r="Y581" s="449"/>
      <c r="Z581" s="449"/>
      <c r="AA581" s="20"/>
    </row>
    <row r="582" spans="1:27" s="2" customFormat="1" ht="20.100000000000001" customHeight="1" outlineLevel="1" x14ac:dyDescent="0.25">
      <c r="A582" s="446"/>
      <c r="B582" s="1"/>
      <c r="C582" s="1"/>
      <c r="D582" s="1"/>
      <c r="E582" s="1"/>
      <c r="F582" s="447" t="s">
        <v>7004</v>
      </c>
      <c r="G582" s="450" t="str">
        <f>'Validacao(1)'!DC177</f>
        <v>O sexo dos animais do estudo de DL50 não é o mesmo do teste de micronucleo</v>
      </c>
      <c r="H582" s="456" t="str">
        <f t="shared" ca="1" si="32"/>
        <v/>
      </c>
      <c r="I582" s="456" t="str">
        <f t="shared" ca="1" si="33"/>
        <v/>
      </c>
      <c r="J582" s="419"/>
      <c r="K582" s="20"/>
      <c r="L582" s="20"/>
      <c r="N582" s="25">
        <f>COUNTIF($A$29:A582,"x")</f>
        <v>14</v>
      </c>
      <c r="O582" s="25">
        <f ca="1">'Validacao(1)'!DB177</f>
        <v>0</v>
      </c>
      <c r="P582" s="25">
        <f ca="1">'Validacao(2)'!DB177</f>
        <v>0</v>
      </c>
      <c r="Q582" s="25"/>
      <c r="R582" s="25"/>
      <c r="S582" s="25"/>
      <c r="T582" s="25"/>
      <c r="U582" s="25"/>
      <c r="V582" s="25"/>
      <c r="W582" s="25"/>
      <c r="X582" s="449"/>
      <c r="Y582" s="449"/>
      <c r="Z582" s="449"/>
      <c r="AA582" s="20"/>
    </row>
    <row r="583" spans="1:27" s="2" customFormat="1" ht="20.100000000000001" customHeight="1" outlineLevel="1" x14ac:dyDescent="0.25">
      <c r="A583" s="446"/>
      <c r="B583" s="1"/>
      <c r="C583" s="1"/>
      <c r="D583" s="1"/>
      <c r="E583" s="1"/>
      <c r="F583" s="447" t="s">
        <v>7005</v>
      </c>
      <c r="G583" s="450" t="str">
        <f>'Validacao(1)'!DC178</f>
        <v>Foram descritos desvios ao protocolo</v>
      </c>
      <c r="H583" s="456" t="str">
        <f t="shared" ca="1" si="32"/>
        <v/>
      </c>
      <c r="I583" s="456" t="str">
        <f t="shared" ca="1" si="33"/>
        <v/>
      </c>
      <c r="J583" s="419"/>
      <c r="K583" s="20"/>
      <c r="L583" s="20"/>
      <c r="N583" s="25">
        <f>COUNTIF($A$29:A583,"x")</f>
        <v>14</v>
      </c>
      <c r="O583" s="25">
        <f ca="1">'Validacao(1)'!DB178</f>
        <v>0</v>
      </c>
      <c r="P583" s="25">
        <f ca="1">'Validacao(2)'!DB178</f>
        <v>0</v>
      </c>
      <c r="Q583" s="25"/>
      <c r="R583" s="25"/>
      <c r="S583" s="25"/>
      <c r="T583" s="25"/>
      <c r="U583" s="25"/>
      <c r="V583" s="25"/>
      <c r="W583" s="25"/>
      <c r="X583" s="449"/>
      <c r="Y583" s="449"/>
      <c r="Z583" s="449"/>
      <c r="AA583" s="20"/>
    </row>
    <row r="584" spans="1:27" s="2" customFormat="1" ht="20.100000000000001" customHeight="1" outlineLevel="1" x14ac:dyDescent="0.25">
      <c r="A584" s="446"/>
      <c r="B584" s="1"/>
      <c r="C584" s="1"/>
      <c r="D584" s="1"/>
      <c r="E584" s="1"/>
      <c r="F584" s="447" t="s">
        <v>7006</v>
      </c>
      <c r="G584" s="450" t="str">
        <f>'Validacao(1)'!DC179</f>
        <v>Os desvios inteferiram nos resultados</v>
      </c>
      <c r="H584" s="456" t="str">
        <f t="shared" ca="1" si="32"/>
        <v/>
      </c>
      <c r="I584" s="456" t="str">
        <f t="shared" ca="1" si="33"/>
        <v/>
      </c>
      <c r="J584" s="419"/>
      <c r="K584" s="20"/>
      <c r="L584" s="20"/>
      <c r="N584" s="25">
        <f>COUNTIF($A$29:A584,"x")</f>
        <v>14</v>
      </c>
      <c r="O584" s="25">
        <f ca="1">'Validacao(1)'!DB179</f>
        <v>0</v>
      </c>
      <c r="P584" s="25">
        <f ca="1">'Validacao(2)'!DB179</f>
        <v>0</v>
      </c>
      <c r="Q584" s="25"/>
      <c r="R584" s="25"/>
      <c r="S584" s="25"/>
      <c r="T584" s="25"/>
      <c r="U584" s="25"/>
      <c r="V584" s="25"/>
      <c r="W584" s="25"/>
      <c r="X584" s="449"/>
      <c r="Y584" s="449"/>
      <c r="Z584" s="449"/>
      <c r="AA584" s="20"/>
    </row>
    <row r="585" spans="1:27" s="2" customFormat="1" ht="20.100000000000001" customHeight="1" outlineLevel="1" x14ac:dyDescent="0.25">
      <c r="A585" s="446"/>
      <c r="B585" s="1"/>
      <c r="C585" s="1"/>
      <c r="D585" s="1"/>
      <c r="E585" s="1"/>
      <c r="F585" s="447" t="s">
        <v>7007</v>
      </c>
      <c r="G585" s="450" t="str">
        <f>'Validacao(1)'!DC180</f>
        <v>O certificado não foi preenchido na aba "Certificados"</v>
      </c>
      <c r="H585" s="456" t="str">
        <f t="shared" ca="1" si="32"/>
        <v/>
      </c>
      <c r="I585" s="456" t="str">
        <f t="shared" ca="1" si="33"/>
        <v/>
      </c>
      <c r="J585" s="419"/>
      <c r="K585" s="20"/>
      <c r="L585" s="20"/>
      <c r="N585" s="25">
        <f>COUNTIF($A$29:A585,"x")</f>
        <v>14</v>
      </c>
      <c r="O585" s="25">
        <f ca="1">'Validacao(1)'!DB180</f>
        <v>0</v>
      </c>
      <c r="P585" s="25">
        <f ca="1">'Validacao(2)'!DB180</f>
        <v>0</v>
      </c>
      <c r="Q585" s="25"/>
      <c r="R585" s="25"/>
      <c r="S585" s="25"/>
      <c r="T585" s="25"/>
      <c r="U585" s="25"/>
      <c r="V585" s="25"/>
      <c r="W585" s="25"/>
      <c r="X585" s="449"/>
      <c r="Y585" s="449"/>
      <c r="Z585" s="449"/>
      <c r="AA585" s="20"/>
    </row>
    <row r="586" spans="1:27" s="2" customFormat="1" ht="20.100000000000001" customHeight="1" outlineLevel="1" x14ac:dyDescent="0.25">
      <c r="A586" s="446"/>
      <c r="B586" s="1"/>
      <c r="C586" s="1"/>
      <c r="D586" s="1"/>
      <c r="E586" s="1"/>
      <c r="F586" s="447" t="s">
        <v>7008</v>
      </c>
      <c r="G586" s="450" t="str">
        <f>'Validacao(1)'!DC181</f>
        <v>Estudo conduzido com amostra vencida</v>
      </c>
      <c r="H586" s="456" t="str">
        <f t="shared" ca="1" si="32"/>
        <v/>
      </c>
      <c r="I586" s="456" t="str">
        <f t="shared" ca="1" si="33"/>
        <v/>
      </c>
      <c r="J586" s="419"/>
      <c r="K586" s="20"/>
      <c r="L586" s="20"/>
      <c r="N586" s="25">
        <f>COUNTIF($A$29:A586,"x")</f>
        <v>14</v>
      </c>
      <c r="O586" s="25">
        <f ca="1">'Validacao(1)'!DB181</f>
        <v>0</v>
      </c>
      <c r="P586" s="25">
        <f ca="1">'Validacao(2)'!DB181</f>
        <v>0</v>
      </c>
      <c r="Q586" s="25"/>
      <c r="R586" s="25"/>
      <c r="S586" s="25"/>
      <c r="T586" s="25"/>
      <c r="U586" s="25"/>
      <c r="V586" s="25"/>
      <c r="W586" s="25"/>
      <c r="X586" s="449"/>
      <c r="Y586" s="449"/>
      <c r="Z586" s="449"/>
      <c r="AA586" s="20"/>
    </row>
    <row r="587" spans="1:27" s="2" customFormat="1" ht="20.100000000000001" customHeight="1" outlineLevel="1" x14ac:dyDescent="0.25">
      <c r="A587" s="446"/>
      <c r="B587" s="1"/>
      <c r="C587" s="1"/>
      <c r="D587" s="1"/>
      <c r="E587" s="1"/>
      <c r="F587" s="447" t="s">
        <v>7009</v>
      </c>
      <c r="G587" s="450" t="str">
        <f>'Validacao(1)'!DC182</f>
        <v>Estudo conduzido com amostra fora da DCQQ</v>
      </c>
      <c r="H587" s="456" t="str">
        <f t="shared" ca="1" si="32"/>
        <v/>
      </c>
      <c r="I587" s="456" t="str">
        <f t="shared" ca="1" si="33"/>
        <v/>
      </c>
      <c r="J587" s="419"/>
      <c r="K587" s="20"/>
      <c r="L587" s="20"/>
      <c r="N587" s="25">
        <f>COUNTIF($A$29:A587,"x")</f>
        <v>14</v>
      </c>
      <c r="O587" s="25">
        <f ca="1">'Validacao(1)'!DB182</f>
        <v>0</v>
      </c>
      <c r="P587" s="25">
        <f ca="1">'Validacao(2)'!DB182</f>
        <v>0</v>
      </c>
      <c r="Q587" s="25"/>
      <c r="R587" s="25"/>
      <c r="S587" s="25"/>
      <c r="T587" s="25"/>
      <c r="U587" s="25"/>
      <c r="V587" s="25"/>
      <c r="W587" s="25"/>
      <c r="X587" s="449"/>
      <c r="Y587" s="449"/>
      <c r="Z587" s="449"/>
      <c r="AA587" s="20"/>
    </row>
    <row r="588" spans="1:27" s="2" customFormat="1" ht="20.100000000000001" customHeight="1" outlineLevel="1" x14ac:dyDescent="0.25">
      <c r="A588" s="446"/>
      <c r="B588" s="1"/>
      <c r="C588" s="1"/>
      <c r="D588" s="1"/>
      <c r="E588" s="1"/>
      <c r="F588" s="447" t="s">
        <v>7010</v>
      </c>
      <c r="G588" s="450" t="str">
        <f>'Validacao(1)'!DC183</f>
        <v/>
      </c>
      <c r="H588" s="456" t="str">
        <f t="shared" si="32"/>
        <v/>
      </c>
      <c r="I588" s="456" t="str">
        <f t="shared" si="33"/>
        <v/>
      </c>
      <c r="J588" s="419"/>
      <c r="K588" s="20"/>
      <c r="L588" s="20"/>
      <c r="N588" s="25">
        <f>COUNTIF($A$29:A588,"x")</f>
        <v>14</v>
      </c>
      <c r="O588" s="25">
        <f>'Validacao(1)'!DB183</f>
        <v>0</v>
      </c>
      <c r="P588" s="25">
        <f>'Validacao(2)'!DB183</f>
        <v>0</v>
      </c>
      <c r="Q588" s="25"/>
      <c r="R588" s="25"/>
      <c r="S588" s="25"/>
      <c r="T588" s="25"/>
      <c r="U588" s="25"/>
      <c r="V588" s="25"/>
      <c r="W588" s="25"/>
      <c r="X588" s="449"/>
      <c r="Y588" s="449"/>
      <c r="Z588" s="449"/>
      <c r="AA588" s="20"/>
    </row>
    <row r="589" spans="1:27" s="2" customFormat="1" ht="20.100000000000001" customHeight="1" outlineLevel="1" x14ac:dyDescent="0.25">
      <c r="A589" s="446"/>
      <c r="B589" s="1"/>
      <c r="C589" s="1"/>
      <c r="D589" s="1"/>
      <c r="E589" s="1"/>
      <c r="F589" s="447" t="s">
        <v>7011</v>
      </c>
      <c r="G589" s="450" t="str">
        <f>'Validacao(1)'!DC184</f>
        <v/>
      </c>
      <c r="H589" s="456" t="str">
        <f t="shared" si="32"/>
        <v/>
      </c>
      <c r="I589" s="456" t="str">
        <f t="shared" si="33"/>
        <v/>
      </c>
      <c r="J589" s="419"/>
      <c r="K589" s="20"/>
      <c r="L589" s="20"/>
      <c r="N589" s="25">
        <f>COUNTIF($A$29:A589,"x")</f>
        <v>14</v>
      </c>
      <c r="O589" s="25">
        <f>'Validacao(1)'!DB184</f>
        <v>0</v>
      </c>
      <c r="P589" s="25">
        <f>'Validacao(2)'!DB184</f>
        <v>0</v>
      </c>
      <c r="Q589" s="25"/>
      <c r="R589" s="25"/>
      <c r="S589" s="25"/>
      <c r="T589" s="25"/>
      <c r="U589" s="25"/>
      <c r="V589" s="25"/>
      <c r="W589" s="25"/>
      <c r="X589" s="449"/>
      <c r="Y589" s="449"/>
      <c r="Z589" s="449"/>
      <c r="AA589" s="20"/>
    </row>
    <row r="590" spans="1:27" s="2" customFormat="1" ht="20.100000000000001" customHeight="1" outlineLevel="1" x14ac:dyDescent="0.25">
      <c r="A590" s="446"/>
      <c r="B590" s="1"/>
      <c r="C590" s="1"/>
      <c r="D590" s="1"/>
      <c r="E590" s="1"/>
      <c r="F590" s="447" t="s">
        <v>7012</v>
      </c>
      <c r="G590" s="450" t="str">
        <f>'Validacao(1)'!DC185</f>
        <v/>
      </c>
      <c r="H590" s="456" t="str">
        <f t="shared" si="32"/>
        <v/>
      </c>
      <c r="I590" s="456" t="str">
        <f t="shared" si="33"/>
        <v/>
      </c>
      <c r="J590" s="419"/>
      <c r="K590" s="20"/>
      <c r="L590" s="20"/>
      <c r="N590" s="25">
        <f>COUNTIF($A$29:A590,"x")</f>
        <v>14</v>
      </c>
      <c r="O590" s="25">
        <f>'Validacao(1)'!DB185</f>
        <v>0</v>
      </c>
      <c r="P590" s="25">
        <f>'Validacao(2)'!DB185</f>
        <v>0</v>
      </c>
      <c r="Q590" s="25"/>
      <c r="R590" s="25"/>
      <c r="S590" s="25"/>
      <c r="T590" s="25"/>
      <c r="U590" s="25"/>
      <c r="V590" s="25"/>
      <c r="W590" s="25"/>
      <c r="X590" s="449"/>
      <c r="Y590" s="449"/>
      <c r="Z590" s="449"/>
      <c r="AA590" s="20"/>
    </row>
    <row r="591" spans="1:27" s="2" customFormat="1" ht="20.100000000000001" customHeight="1" outlineLevel="1" x14ac:dyDescent="0.25">
      <c r="A591" s="446"/>
      <c r="B591" s="1"/>
      <c r="C591" s="1"/>
      <c r="D591" s="1"/>
      <c r="E591" s="1"/>
      <c r="F591" s="447" t="s">
        <v>7013</v>
      </c>
      <c r="G591" s="450" t="str">
        <f>'Validacao(1)'!DC186</f>
        <v/>
      </c>
      <c r="H591" s="456" t="str">
        <f t="shared" si="32"/>
        <v/>
      </c>
      <c r="I591" s="456" t="str">
        <f t="shared" si="33"/>
        <v/>
      </c>
      <c r="J591" s="419"/>
      <c r="K591" s="20"/>
      <c r="L591" s="20"/>
      <c r="N591" s="25">
        <f>COUNTIF($A$29:A591,"x")</f>
        <v>14</v>
      </c>
      <c r="O591" s="25">
        <f>'Validacao(1)'!DB186</f>
        <v>0</v>
      </c>
      <c r="P591" s="25">
        <f>'Validacao(2)'!DB186</f>
        <v>0</v>
      </c>
      <c r="Q591" s="25"/>
      <c r="R591" s="25"/>
      <c r="S591" s="25"/>
      <c r="T591" s="25"/>
      <c r="U591" s="25"/>
      <c r="V591" s="25"/>
      <c r="W591" s="25"/>
      <c r="X591" s="449"/>
      <c r="Y591" s="449"/>
      <c r="Z591" s="449"/>
      <c r="AA591" s="20"/>
    </row>
    <row r="592" spans="1:27" s="2" customFormat="1" ht="20.100000000000001" customHeight="1" outlineLevel="1" x14ac:dyDescent="0.25">
      <c r="A592" s="446"/>
      <c r="B592" s="1"/>
      <c r="C592" s="1"/>
      <c r="D592" s="1"/>
      <c r="E592" s="1"/>
      <c r="F592" s="447" t="s">
        <v>7014</v>
      </c>
      <c r="G592" s="450" t="str">
        <f>'Validacao(1)'!DC187</f>
        <v/>
      </c>
      <c r="H592" s="456" t="str">
        <f t="shared" si="32"/>
        <v/>
      </c>
      <c r="I592" s="456" t="str">
        <f t="shared" si="33"/>
        <v/>
      </c>
      <c r="J592" s="419"/>
      <c r="K592" s="20"/>
      <c r="L592" s="20"/>
      <c r="N592" s="25">
        <f>COUNTIF($A$29:A592,"x")</f>
        <v>14</v>
      </c>
      <c r="O592" s="25">
        <f>'Validacao(1)'!DB187</f>
        <v>0</v>
      </c>
      <c r="P592" s="25">
        <f>'Validacao(2)'!DB187</f>
        <v>0</v>
      </c>
      <c r="Q592" s="25"/>
      <c r="R592" s="25"/>
      <c r="S592" s="25"/>
      <c r="T592" s="25"/>
      <c r="U592" s="25"/>
      <c r="V592" s="25"/>
      <c r="W592" s="25"/>
      <c r="X592" s="449"/>
      <c r="Y592" s="449"/>
      <c r="Z592" s="449"/>
      <c r="AA592" s="20"/>
    </row>
    <row r="593" spans="1:27" s="2" customFormat="1" ht="20.100000000000001" customHeight="1" outlineLevel="1" x14ac:dyDescent="0.25">
      <c r="A593" s="446"/>
      <c r="B593" s="1"/>
      <c r="C593" s="1"/>
      <c r="D593" s="1"/>
      <c r="E593" s="1"/>
      <c r="F593" s="447" t="s">
        <v>7015</v>
      </c>
      <c r="G593" s="450" t="str">
        <f>'Validacao(1)'!DC188</f>
        <v/>
      </c>
      <c r="H593" s="456" t="str">
        <f t="shared" si="32"/>
        <v/>
      </c>
      <c r="I593" s="456" t="str">
        <f t="shared" si="33"/>
        <v/>
      </c>
      <c r="J593" s="419"/>
      <c r="K593" s="20"/>
      <c r="L593" s="20"/>
      <c r="N593" s="25">
        <f>COUNTIF($A$29:A593,"x")</f>
        <v>14</v>
      </c>
      <c r="O593" s="25">
        <f>'Validacao(1)'!DB188</f>
        <v>0</v>
      </c>
      <c r="P593" s="25">
        <f>'Validacao(2)'!DB188</f>
        <v>0</v>
      </c>
      <c r="Q593" s="25"/>
      <c r="R593" s="25"/>
      <c r="S593" s="25"/>
      <c r="T593" s="25"/>
      <c r="U593" s="25"/>
      <c r="V593" s="25"/>
      <c r="W593" s="25"/>
      <c r="X593" s="449"/>
      <c r="Y593" s="449"/>
      <c r="Z593" s="449"/>
      <c r="AA593" s="20"/>
    </row>
    <row r="594" spans="1:27" s="2" customFormat="1" ht="20.100000000000001" customHeight="1" outlineLevel="1" x14ac:dyDescent="0.25">
      <c r="A594" s="446"/>
      <c r="B594" s="1"/>
      <c r="C594" s="1"/>
      <c r="D594" s="1"/>
      <c r="E594" s="1"/>
      <c r="F594" s="447" t="s">
        <v>7016</v>
      </c>
      <c r="G594" s="450" t="str">
        <f>'Validacao(1)'!DC189</f>
        <v/>
      </c>
      <c r="H594" s="456" t="str">
        <f t="shared" si="32"/>
        <v/>
      </c>
      <c r="I594" s="456" t="str">
        <f t="shared" si="33"/>
        <v/>
      </c>
      <c r="J594" s="419"/>
      <c r="K594" s="20"/>
      <c r="L594" s="20"/>
      <c r="N594" s="25">
        <f>COUNTIF($A$29:A594,"x")</f>
        <v>14</v>
      </c>
      <c r="O594" s="25">
        <f>'Validacao(1)'!DB189</f>
        <v>0</v>
      </c>
      <c r="P594" s="25">
        <f>'Validacao(2)'!DB189</f>
        <v>0</v>
      </c>
      <c r="Q594" s="25"/>
      <c r="R594" s="25"/>
      <c r="S594" s="25"/>
      <c r="T594" s="25"/>
      <c r="U594" s="25"/>
      <c r="V594" s="25"/>
      <c r="W594" s="25"/>
      <c r="X594" s="449"/>
      <c r="Y594" s="449"/>
      <c r="Z594" s="449"/>
      <c r="AA594" s="20"/>
    </row>
    <row r="595" spans="1:27" s="2" customFormat="1" ht="20.100000000000001" customHeight="1" outlineLevel="1" x14ac:dyDescent="0.25">
      <c r="A595" s="446"/>
      <c r="B595" s="1"/>
      <c r="C595" s="1"/>
      <c r="D595" s="1"/>
      <c r="E595" s="1"/>
      <c r="F595" s="447" t="s">
        <v>7017</v>
      </c>
      <c r="G595" s="450" t="str">
        <f>'Validacao(1)'!DC190</f>
        <v/>
      </c>
      <c r="H595" s="456" t="str">
        <f t="shared" si="32"/>
        <v/>
      </c>
      <c r="I595" s="456" t="str">
        <f t="shared" si="33"/>
        <v/>
      </c>
      <c r="J595" s="419"/>
      <c r="K595" s="20"/>
      <c r="L595" s="20"/>
      <c r="N595" s="25">
        <f>COUNTIF($A$29:A595,"x")</f>
        <v>14</v>
      </c>
      <c r="O595" s="25">
        <f>'Validacao(1)'!DB190</f>
        <v>0</v>
      </c>
      <c r="P595" s="25">
        <f>'Validacao(2)'!DB190</f>
        <v>0</v>
      </c>
      <c r="Q595" s="25"/>
      <c r="R595" s="25"/>
      <c r="S595" s="25"/>
      <c r="T595" s="25"/>
      <c r="U595" s="25"/>
      <c r="V595" s="25"/>
      <c r="W595" s="25"/>
      <c r="X595" s="449"/>
      <c r="Y595" s="449"/>
      <c r="Z595" s="449"/>
      <c r="AA595" s="20"/>
    </row>
    <row r="596" spans="1:27" s="2" customFormat="1" ht="20.100000000000001" customHeight="1" outlineLevel="1" x14ac:dyDescent="0.25">
      <c r="A596" s="446"/>
      <c r="B596" s="1"/>
      <c r="C596" s="1"/>
      <c r="D596" s="1"/>
      <c r="E596" s="1"/>
      <c r="F596" s="447" t="s">
        <v>7018</v>
      </c>
      <c r="G596" s="450" t="str">
        <f>'Validacao(1)'!DC191</f>
        <v/>
      </c>
      <c r="H596" s="456" t="str">
        <f t="shared" si="32"/>
        <v/>
      </c>
      <c r="I596" s="456" t="str">
        <f t="shared" si="33"/>
        <v/>
      </c>
      <c r="J596" s="419"/>
      <c r="K596" s="20"/>
      <c r="L596" s="20"/>
      <c r="N596" s="25">
        <f>COUNTIF($A$29:A596,"x")</f>
        <v>14</v>
      </c>
      <c r="O596" s="25">
        <f>'Validacao(1)'!DB191</f>
        <v>0</v>
      </c>
      <c r="P596" s="25">
        <f>'Validacao(2)'!DB191</f>
        <v>0</v>
      </c>
      <c r="Q596" s="25"/>
      <c r="R596" s="25"/>
      <c r="S596" s="25"/>
      <c r="T596" s="25"/>
      <c r="U596" s="25"/>
      <c r="V596" s="25"/>
      <c r="W596" s="25"/>
      <c r="X596" s="449"/>
      <c r="Y596" s="449"/>
      <c r="Z596" s="449"/>
      <c r="AA596" s="20"/>
    </row>
    <row r="597" spans="1:27" s="2" customFormat="1" ht="20.100000000000001" customHeight="1" outlineLevel="1" x14ac:dyDescent="0.25">
      <c r="A597" s="446"/>
      <c r="B597" s="1"/>
      <c r="C597" s="1"/>
      <c r="D597" s="1"/>
      <c r="E597" s="1"/>
      <c r="F597" s="447" t="s">
        <v>7019</v>
      </c>
      <c r="G597" s="450" t="str">
        <f>'Validacao(1)'!DC192</f>
        <v/>
      </c>
      <c r="H597" s="456" t="str">
        <f t="shared" si="32"/>
        <v/>
      </c>
      <c r="I597" s="456" t="str">
        <f t="shared" si="33"/>
        <v/>
      </c>
      <c r="J597" s="419"/>
      <c r="K597" s="20"/>
      <c r="L597" s="20"/>
      <c r="N597" s="25">
        <f>COUNTIF($A$29:A597,"x")</f>
        <v>14</v>
      </c>
      <c r="O597" s="25">
        <f>'Validacao(1)'!DB192</f>
        <v>0</v>
      </c>
      <c r="P597" s="25">
        <f>'Validacao(2)'!DB192</f>
        <v>0</v>
      </c>
      <c r="Q597" s="25"/>
      <c r="R597" s="25"/>
      <c r="S597" s="25"/>
      <c r="T597" s="25"/>
      <c r="U597" s="25"/>
      <c r="V597" s="25"/>
      <c r="W597" s="25"/>
      <c r="X597" s="449"/>
      <c r="Y597" s="449"/>
      <c r="Z597" s="449"/>
      <c r="AA597" s="20"/>
    </row>
    <row r="598" spans="1:27" s="2" customFormat="1" ht="20.100000000000001" customHeight="1" outlineLevel="1" x14ac:dyDescent="0.25">
      <c r="A598" s="446"/>
      <c r="B598" s="1"/>
      <c r="C598" s="1"/>
      <c r="D598" s="1"/>
      <c r="E598" s="1"/>
      <c r="F598" s="447" t="s">
        <v>7020</v>
      </c>
      <c r="G598" s="450" t="str">
        <f>'Validacao(1)'!DC193</f>
        <v/>
      </c>
      <c r="H598" s="456" t="str">
        <f t="shared" si="32"/>
        <v/>
      </c>
      <c r="I598" s="456" t="str">
        <f t="shared" si="33"/>
        <v/>
      </c>
      <c r="J598" s="419"/>
      <c r="K598" s="20"/>
      <c r="L598" s="20"/>
      <c r="N598" s="25">
        <f>COUNTIF($A$29:A598,"x")</f>
        <v>14</v>
      </c>
      <c r="O598" s="25">
        <f>'Validacao(1)'!DB193</f>
        <v>0</v>
      </c>
      <c r="P598" s="25">
        <f>'Validacao(2)'!DB193</f>
        <v>0</v>
      </c>
      <c r="Q598" s="25"/>
      <c r="R598" s="25"/>
      <c r="S598" s="25"/>
      <c r="T598" s="25"/>
      <c r="U598" s="25"/>
      <c r="V598" s="25"/>
      <c r="W598" s="25"/>
      <c r="X598" s="449"/>
      <c r="Y598" s="449"/>
      <c r="Z598" s="449"/>
      <c r="AA598" s="20"/>
    </row>
    <row r="599" spans="1:27" s="2" customFormat="1" ht="20.100000000000001" customHeight="1" outlineLevel="1" x14ac:dyDescent="0.25">
      <c r="A599" s="446"/>
      <c r="B599" s="1"/>
      <c r="C599" s="1"/>
      <c r="D599" s="1"/>
      <c r="E599" s="1"/>
      <c r="F599" s="447" t="s">
        <v>7021</v>
      </c>
      <c r="G599" s="450" t="str">
        <f>'Validacao(1)'!DC194</f>
        <v/>
      </c>
      <c r="H599" s="456" t="str">
        <f t="shared" si="32"/>
        <v/>
      </c>
      <c r="I599" s="456" t="str">
        <f t="shared" si="33"/>
        <v/>
      </c>
      <c r="J599" s="419"/>
      <c r="K599" s="20"/>
      <c r="L599" s="20"/>
      <c r="N599" s="25">
        <f>COUNTIF($A$29:A599,"x")</f>
        <v>14</v>
      </c>
      <c r="O599" s="25">
        <f>'Validacao(1)'!DB194</f>
        <v>0</v>
      </c>
      <c r="P599" s="25">
        <f>'Validacao(2)'!DB194</f>
        <v>0</v>
      </c>
      <c r="Q599" s="25"/>
      <c r="R599" s="25"/>
      <c r="S599" s="25"/>
      <c r="T599" s="25"/>
      <c r="U599" s="25"/>
      <c r="V599" s="25"/>
      <c r="W599" s="25"/>
      <c r="X599" s="449"/>
      <c r="Y599" s="449"/>
      <c r="Z599" s="449"/>
      <c r="AA599" s="20"/>
    </row>
    <row r="600" spans="1:27" s="2" customFormat="1" ht="20.100000000000001" customHeight="1" outlineLevel="1" x14ac:dyDescent="0.25">
      <c r="A600" s="446"/>
      <c r="B600" s="1"/>
      <c r="C600" s="1"/>
      <c r="D600" s="1"/>
      <c r="E600" s="1"/>
      <c r="F600" s="447" t="s">
        <v>7022</v>
      </c>
      <c r="G600" s="450" t="str">
        <f>'Validacao(1)'!DC195</f>
        <v/>
      </c>
      <c r="H600" s="456" t="str">
        <f t="shared" si="32"/>
        <v/>
      </c>
      <c r="I600" s="456" t="str">
        <f t="shared" si="33"/>
        <v/>
      </c>
      <c r="J600" s="419"/>
      <c r="K600" s="20"/>
      <c r="L600" s="20"/>
      <c r="N600" s="25">
        <f>COUNTIF($A$29:A600,"x")</f>
        <v>14</v>
      </c>
      <c r="O600" s="25">
        <f>'Validacao(1)'!DB195</f>
        <v>0</v>
      </c>
      <c r="P600" s="25">
        <f>'Validacao(2)'!DB195</f>
        <v>0</v>
      </c>
      <c r="Q600" s="25"/>
      <c r="R600" s="25"/>
      <c r="S600" s="25"/>
      <c r="T600" s="25"/>
      <c r="U600" s="25"/>
      <c r="V600" s="25"/>
      <c r="W600" s="25"/>
      <c r="X600" s="449"/>
      <c r="Y600" s="449"/>
      <c r="Z600" s="449"/>
      <c r="AA600" s="20"/>
    </row>
    <row r="601" spans="1:27" s="2" customFormat="1" ht="20.100000000000001" customHeight="1" outlineLevel="1" x14ac:dyDescent="0.25">
      <c r="A601" s="446"/>
      <c r="B601" s="1"/>
      <c r="C601" s="1"/>
      <c r="D601" s="1"/>
      <c r="E601" s="1"/>
      <c r="F601" s="447" t="s">
        <v>7023</v>
      </c>
      <c r="G601" s="450" t="str">
        <f>'Validacao(1)'!DC196</f>
        <v/>
      </c>
      <c r="H601" s="456" t="str">
        <f t="shared" si="32"/>
        <v/>
      </c>
      <c r="I601" s="456" t="str">
        <f t="shared" si="33"/>
        <v/>
      </c>
      <c r="J601" s="419"/>
      <c r="K601" s="20"/>
      <c r="L601" s="20"/>
      <c r="N601" s="25">
        <f>COUNTIF($A$29:A601,"x")</f>
        <v>14</v>
      </c>
      <c r="O601" s="25">
        <f>'Validacao(1)'!DB196</f>
        <v>0</v>
      </c>
      <c r="P601" s="25">
        <f>'Validacao(2)'!DB196</f>
        <v>0</v>
      </c>
      <c r="Q601" s="25"/>
      <c r="R601" s="25"/>
      <c r="S601" s="25"/>
      <c r="T601" s="25"/>
      <c r="U601" s="25"/>
      <c r="V601" s="25"/>
      <c r="W601" s="25"/>
      <c r="X601" s="449"/>
      <c r="Y601" s="449"/>
      <c r="Z601" s="449"/>
      <c r="AA601" s="20"/>
    </row>
    <row r="602" spans="1:27" s="2" customFormat="1" ht="20.100000000000001" customHeight="1" outlineLevel="1" x14ac:dyDescent="0.25">
      <c r="A602" s="446"/>
      <c r="B602" s="1"/>
      <c r="C602" s="1"/>
      <c r="D602" s="1"/>
      <c r="E602" s="1"/>
      <c r="F602" s="447" t="s">
        <v>7024</v>
      </c>
      <c r="G602" s="450" t="str">
        <f>'Validacao(1)'!DC197</f>
        <v/>
      </c>
      <c r="H602" s="456" t="str">
        <f t="shared" si="32"/>
        <v/>
      </c>
      <c r="I602" s="456" t="str">
        <f t="shared" si="33"/>
        <v/>
      </c>
      <c r="J602" s="419"/>
      <c r="K602" s="20"/>
      <c r="L602" s="20"/>
      <c r="N602" s="25">
        <f>COUNTIF($A$29:A602,"x")</f>
        <v>14</v>
      </c>
      <c r="O602" s="25">
        <f>'Validacao(1)'!DB197</f>
        <v>0</v>
      </c>
      <c r="P602" s="25">
        <f>'Validacao(2)'!DB197</f>
        <v>0</v>
      </c>
      <c r="Q602" s="25"/>
      <c r="R602" s="25"/>
      <c r="S602" s="25"/>
      <c r="T602" s="25"/>
      <c r="U602" s="25"/>
      <c r="V602" s="25"/>
      <c r="W602" s="25"/>
      <c r="X602" s="449"/>
      <c r="Y602" s="449"/>
      <c r="Z602" s="449"/>
      <c r="AA602" s="20"/>
    </row>
    <row r="603" spans="1:27" s="2" customFormat="1" ht="20.100000000000001" customHeight="1" outlineLevel="1" x14ac:dyDescent="0.25">
      <c r="A603" s="446"/>
      <c r="B603" s="1"/>
      <c r="C603" s="1"/>
      <c r="D603" s="1"/>
      <c r="E603" s="1"/>
      <c r="F603" s="447" t="s">
        <v>7025</v>
      </c>
      <c r="G603" s="450" t="str">
        <f>'Validacao(1)'!DC198</f>
        <v/>
      </c>
      <c r="H603" s="456" t="str">
        <f t="shared" si="32"/>
        <v/>
      </c>
      <c r="I603" s="456" t="str">
        <f t="shared" si="33"/>
        <v/>
      </c>
      <c r="J603" s="419"/>
      <c r="K603" s="20"/>
      <c r="L603" s="20"/>
      <c r="N603" s="25">
        <f>COUNTIF($A$29:A603,"x")</f>
        <v>14</v>
      </c>
      <c r="O603" s="25">
        <f>'Validacao(1)'!DB198</f>
        <v>0</v>
      </c>
      <c r="P603" s="25">
        <f>'Validacao(2)'!DB198</f>
        <v>0</v>
      </c>
      <c r="Q603" s="25"/>
      <c r="R603" s="25"/>
      <c r="S603" s="25"/>
      <c r="T603" s="25"/>
      <c r="U603" s="25"/>
      <c r="V603" s="25"/>
      <c r="W603" s="25"/>
      <c r="X603" s="449"/>
      <c r="Y603" s="449"/>
      <c r="Z603" s="449"/>
      <c r="AA603" s="20"/>
    </row>
    <row r="604" spans="1:27" s="2" customFormat="1" ht="20.100000000000001" customHeight="1" outlineLevel="1" x14ac:dyDescent="0.25">
      <c r="A604" s="446"/>
      <c r="B604" s="1"/>
      <c r="C604" s="1"/>
      <c r="D604" s="1"/>
      <c r="E604" s="1"/>
      <c r="F604" s="447" t="s">
        <v>7026</v>
      </c>
      <c r="G604" s="450" t="str">
        <f>'Validacao(1)'!DC199</f>
        <v/>
      </c>
      <c r="H604" s="456" t="str">
        <f t="shared" ref="H604:H612" si="34">IF(O604=1,"x","")</f>
        <v/>
      </c>
      <c r="I604" s="456" t="str">
        <f t="shared" ref="I604:I612" si="35">IF(P604=1,"x","")</f>
        <v/>
      </c>
      <c r="J604" s="419"/>
      <c r="K604" s="20"/>
      <c r="L604" s="20"/>
      <c r="N604" s="25">
        <f>COUNTIF($A$29:A604,"x")</f>
        <v>14</v>
      </c>
      <c r="O604" s="25">
        <f>'Validacao(1)'!DB199</f>
        <v>0</v>
      </c>
      <c r="P604" s="25">
        <f>'Validacao(2)'!DB199</f>
        <v>0</v>
      </c>
      <c r="Q604" s="25"/>
      <c r="R604" s="25"/>
      <c r="S604" s="25"/>
      <c r="T604" s="25"/>
      <c r="U604" s="25"/>
      <c r="V604" s="25"/>
      <c r="W604" s="25"/>
      <c r="X604" s="449"/>
      <c r="Y604" s="449"/>
      <c r="Z604" s="449"/>
      <c r="AA604" s="20"/>
    </row>
    <row r="605" spans="1:27" s="2" customFormat="1" ht="20.100000000000001" customHeight="1" outlineLevel="1" x14ac:dyDescent="0.25">
      <c r="A605" s="446"/>
      <c r="B605" s="1"/>
      <c r="C605" s="1"/>
      <c r="D605" s="1"/>
      <c r="E605" s="1"/>
      <c r="F605" s="447" t="s">
        <v>7027</v>
      </c>
      <c r="G605" s="450" t="str">
        <f>'Validacao(1)'!DC200</f>
        <v/>
      </c>
      <c r="H605" s="456" t="str">
        <f t="shared" si="34"/>
        <v/>
      </c>
      <c r="I605" s="456" t="str">
        <f t="shared" si="35"/>
        <v/>
      </c>
      <c r="J605" s="419"/>
      <c r="K605" s="20"/>
      <c r="L605" s="20"/>
      <c r="N605" s="25">
        <f>COUNTIF($A$29:A605,"x")</f>
        <v>14</v>
      </c>
      <c r="O605" s="25">
        <f>'Validacao(1)'!DB200</f>
        <v>0</v>
      </c>
      <c r="P605" s="25">
        <f>'Validacao(2)'!DB200</f>
        <v>0</v>
      </c>
      <c r="Q605" s="25"/>
      <c r="R605" s="25"/>
      <c r="S605" s="25"/>
      <c r="T605" s="25"/>
      <c r="U605" s="25"/>
      <c r="V605" s="25"/>
      <c r="W605" s="25"/>
      <c r="X605" s="449"/>
      <c r="Y605" s="449"/>
      <c r="Z605" s="449"/>
      <c r="AA605" s="20"/>
    </row>
    <row r="606" spans="1:27" s="2" customFormat="1" ht="20.100000000000001" customHeight="1" outlineLevel="1" x14ac:dyDescent="0.25">
      <c r="A606" s="446"/>
      <c r="B606" s="1"/>
      <c r="C606" s="1"/>
      <c r="D606" s="1"/>
      <c r="E606" s="1"/>
      <c r="F606" s="447" t="s">
        <v>7028</v>
      </c>
      <c r="G606" s="450" t="str">
        <f>'Validacao(1)'!DC201</f>
        <v/>
      </c>
      <c r="H606" s="456" t="str">
        <f t="shared" si="34"/>
        <v/>
      </c>
      <c r="I606" s="456" t="str">
        <f t="shared" si="35"/>
        <v/>
      </c>
      <c r="J606" s="419"/>
      <c r="K606" s="20"/>
      <c r="L606" s="20"/>
      <c r="N606" s="25">
        <f>COUNTIF($A$29:A606,"x")</f>
        <v>14</v>
      </c>
      <c r="O606" s="25">
        <f>'Validacao(1)'!DB201</f>
        <v>0</v>
      </c>
      <c r="P606" s="25">
        <f>'Validacao(2)'!DB201</f>
        <v>0</v>
      </c>
      <c r="Q606" s="25"/>
      <c r="R606" s="25"/>
      <c r="S606" s="25"/>
      <c r="T606" s="25"/>
      <c r="U606" s="25"/>
      <c r="V606" s="25"/>
      <c r="W606" s="25"/>
      <c r="X606" s="449"/>
      <c r="Y606" s="449"/>
      <c r="Z606" s="449"/>
      <c r="AA606" s="20"/>
    </row>
    <row r="607" spans="1:27" s="2" customFormat="1" ht="20.100000000000001" customHeight="1" outlineLevel="1" x14ac:dyDescent="0.25">
      <c r="A607" s="446"/>
      <c r="B607" s="1"/>
      <c r="C607" s="1"/>
      <c r="D607" s="1"/>
      <c r="E607" s="1"/>
      <c r="F607" s="447" t="s">
        <v>7029</v>
      </c>
      <c r="G607" s="450" t="str">
        <f>'Validacao(1)'!DC202</f>
        <v/>
      </c>
      <c r="H607" s="456" t="str">
        <f t="shared" si="34"/>
        <v/>
      </c>
      <c r="I607" s="456" t="str">
        <f t="shared" si="35"/>
        <v/>
      </c>
      <c r="J607" s="419"/>
      <c r="K607" s="20"/>
      <c r="L607" s="20"/>
      <c r="N607" s="25">
        <f>COUNTIF($A$29:A607,"x")</f>
        <v>14</v>
      </c>
      <c r="O607" s="25">
        <f>'Validacao(1)'!DB202</f>
        <v>0</v>
      </c>
      <c r="P607" s="25">
        <f>'Validacao(2)'!DB202</f>
        <v>0</v>
      </c>
      <c r="Q607" s="25"/>
      <c r="R607" s="25"/>
      <c r="S607" s="25"/>
      <c r="T607" s="25"/>
      <c r="U607" s="25"/>
      <c r="V607" s="25"/>
      <c r="W607" s="25"/>
      <c r="X607" s="449"/>
      <c r="Y607" s="449"/>
      <c r="Z607" s="449"/>
      <c r="AA607" s="20"/>
    </row>
    <row r="608" spans="1:27" s="2" customFormat="1" ht="20.100000000000001" customHeight="1" outlineLevel="1" x14ac:dyDescent="0.25">
      <c r="A608" s="446"/>
      <c r="B608" s="1"/>
      <c r="C608" s="1"/>
      <c r="D608" s="1"/>
      <c r="E608" s="1"/>
      <c r="F608" s="447" t="s">
        <v>7030</v>
      </c>
      <c r="G608" s="450" t="str">
        <f>'Validacao(1)'!DC203</f>
        <v/>
      </c>
      <c r="H608" s="456" t="str">
        <f t="shared" si="34"/>
        <v/>
      </c>
      <c r="I608" s="456" t="str">
        <f t="shared" si="35"/>
        <v/>
      </c>
      <c r="J608" s="419"/>
      <c r="K608" s="20"/>
      <c r="L608" s="20"/>
      <c r="N608" s="25">
        <f>COUNTIF($A$29:A608,"x")</f>
        <v>14</v>
      </c>
      <c r="O608" s="25">
        <f>'Validacao(1)'!DB203</f>
        <v>0</v>
      </c>
      <c r="P608" s="25">
        <f>'Validacao(2)'!DB203</f>
        <v>0</v>
      </c>
      <c r="Q608" s="25"/>
      <c r="R608" s="25"/>
      <c r="S608" s="25"/>
      <c r="T608" s="25"/>
      <c r="U608" s="25"/>
      <c r="V608" s="25"/>
      <c r="W608" s="25"/>
      <c r="X608" s="449"/>
      <c r="Y608" s="449"/>
      <c r="Z608" s="449"/>
      <c r="AA608" s="20"/>
    </row>
    <row r="609" spans="1:27" s="2" customFormat="1" ht="20.100000000000001" customHeight="1" outlineLevel="1" x14ac:dyDescent="0.25">
      <c r="A609" s="446"/>
      <c r="B609" s="1"/>
      <c r="C609" s="1"/>
      <c r="D609" s="1"/>
      <c r="E609" s="1"/>
      <c r="F609" s="447" t="s">
        <v>7031</v>
      </c>
      <c r="G609" s="450" t="str">
        <f>'Validacao(1)'!DC204</f>
        <v/>
      </c>
      <c r="H609" s="456" t="str">
        <f t="shared" si="34"/>
        <v/>
      </c>
      <c r="I609" s="456" t="str">
        <f t="shared" si="35"/>
        <v/>
      </c>
      <c r="J609" s="419"/>
      <c r="K609" s="20"/>
      <c r="L609" s="20"/>
      <c r="N609" s="25">
        <f>COUNTIF($A$29:A609,"x")</f>
        <v>14</v>
      </c>
      <c r="O609" s="25">
        <f>'Validacao(1)'!DB204</f>
        <v>0</v>
      </c>
      <c r="P609" s="25">
        <f>'Validacao(2)'!DB204</f>
        <v>0</v>
      </c>
      <c r="Q609" s="25"/>
      <c r="R609" s="25"/>
      <c r="S609" s="25"/>
      <c r="T609" s="25"/>
      <c r="U609" s="25"/>
      <c r="V609" s="25"/>
      <c r="W609" s="25"/>
      <c r="X609" s="449"/>
      <c r="Y609" s="449"/>
      <c r="Z609" s="449"/>
      <c r="AA609" s="20"/>
    </row>
    <row r="610" spans="1:27" s="2" customFormat="1" ht="20.100000000000001" customHeight="1" outlineLevel="1" x14ac:dyDescent="0.25">
      <c r="A610" s="446"/>
      <c r="B610" s="1"/>
      <c r="C610" s="1"/>
      <c r="D610" s="1"/>
      <c r="E610" s="1"/>
      <c r="F610" s="447" t="s">
        <v>7032</v>
      </c>
      <c r="G610" s="450" t="str">
        <f>'Validacao(1)'!DC205</f>
        <v/>
      </c>
      <c r="H610" s="456" t="str">
        <f t="shared" si="34"/>
        <v/>
      </c>
      <c r="I610" s="456" t="str">
        <f t="shared" si="35"/>
        <v/>
      </c>
      <c r="J610" s="419"/>
      <c r="K610" s="20"/>
      <c r="L610" s="20"/>
      <c r="N610" s="25">
        <f>COUNTIF($A$29:A610,"x")</f>
        <v>14</v>
      </c>
      <c r="O610" s="25">
        <f>'Validacao(1)'!DB205</f>
        <v>0</v>
      </c>
      <c r="P610" s="25">
        <f>'Validacao(2)'!DB205</f>
        <v>0</v>
      </c>
      <c r="Q610" s="25"/>
      <c r="R610" s="25"/>
      <c r="S610" s="25"/>
      <c r="T610" s="25"/>
      <c r="U610" s="25"/>
      <c r="V610" s="25"/>
      <c r="W610" s="25"/>
      <c r="X610" s="449"/>
      <c r="Y610" s="449"/>
      <c r="Z610" s="449"/>
      <c r="AA610" s="20"/>
    </row>
    <row r="611" spans="1:27" s="2" customFormat="1" ht="20.100000000000001" customHeight="1" outlineLevel="1" x14ac:dyDescent="0.25">
      <c r="A611" s="446"/>
      <c r="B611" s="1"/>
      <c r="C611" s="1"/>
      <c r="D611" s="1"/>
      <c r="E611" s="1"/>
      <c r="F611" s="447" t="s">
        <v>7033</v>
      </c>
      <c r="G611" s="450" t="str">
        <f>'Validacao(1)'!DC206</f>
        <v/>
      </c>
      <c r="H611" s="456" t="str">
        <f t="shared" si="34"/>
        <v/>
      </c>
      <c r="I611" s="456" t="str">
        <f t="shared" si="35"/>
        <v/>
      </c>
      <c r="J611" s="419"/>
      <c r="K611" s="20"/>
      <c r="L611" s="20"/>
      <c r="N611" s="25">
        <f>COUNTIF($A$29:A611,"x")</f>
        <v>14</v>
      </c>
      <c r="O611" s="25">
        <f>'Validacao(1)'!DB206</f>
        <v>0</v>
      </c>
      <c r="P611" s="25">
        <f>'Validacao(2)'!DB206</f>
        <v>0</v>
      </c>
      <c r="Q611" s="25"/>
      <c r="R611" s="25"/>
      <c r="S611" s="25"/>
      <c r="T611" s="25"/>
      <c r="U611" s="25"/>
      <c r="V611" s="25"/>
      <c r="W611" s="25"/>
      <c r="X611" s="449"/>
      <c r="Y611" s="449"/>
      <c r="Z611" s="449"/>
      <c r="AA611" s="20"/>
    </row>
    <row r="612" spans="1:27" s="2" customFormat="1" ht="20.100000000000001" customHeight="1" outlineLevel="1" x14ac:dyDescent="0.25">
      <c r="A612" s="446"/>
      <c r="B612" s="1"/>
      <c r="C612" s="1"/>
      <c r="D612" s="1"/>
      <c r="E612" s="1"/>
      <c r="F612" s="447" t="s">
        <v>7034</v>
      </c>
      <c r="G612" s="450" t="str">
        <f>'Validacao(1)'!DC207</f>
        <v/>
      </c>
      <c r="H612" s="456" t="str">
        <f t="shared" si="34"/>
        <v/>
      </c>
      <c r="I612" s="456" t="str">
        <f t="shared" si="35"/>
        <v/>
      </c>
      <c r="J612" s="419"/>
      <c r="K612" s="20"/>
      <c r="L612" s="20"/>
      <c r="N612" s="25">
        <f>COUNTIF($A$29:A612,"x")</f>
        <v>14</v>
      </c>
      <c r="O612" s="25">
        <f>'Validacao(1)'!DB207</f>
        <v>0</v>
      </c>
      <c r="P612" s="25">
        <f>'Validacao(2)'!DB207</f>
        <v>0</v>
      </c>
      <c r="Q612" s="25"/>
      <c r="R612" s="25"/>
      <c r="S612" s="25"/>
      <c r="T612" s="25"/>
      <c r="U612" s="25"/>
      <c r="V612" s="25"/>
      <c r="W612" s="25"/>
      <c r="X612" s="449"/>
      <c r="Y612" s="449"/>
      <c r="Z612" s="449"/>
      <c r="AA612" s="20"/>
    </row>
    <row r="613" spans="1:27" s="458" customFormat="1" ht="30" customHeight="1" x14ac:dyDescent="0.25">
      <c r="A613" s="446" t="s">
        <v>8576</v>
      </c>
      <c r="B613" s="1"/>
      <c r="C613" s="1"/>
      <c r="D613" s="1"/>
      <c r="E613" s="1"/>
      <c r="F613" s="418"/>
      <c r="G613" s="451" t="str">
        <f ca="1">HYPERLINK(Y613,U613)</f>
        <v>(✓ ) Classificação toxicológica</v>
      </c>
      <c r="H613" s="419"/>
      <c r="I613" s="419"/>
      <c r="J613" s="419"/>
      <c r="N613" s="459">
        <f>COUNTIF($A$29:A613,"x")</f>
        <v>15</v>
      </c>
      <c r="O613" s="459" t="s">
        <v>10</v>
      </c>
      <c r="P613" s="459" t="s">
        <v>10</v>
      </c>
      <c r="Q613" s="459">
        <f ca="1">SUMIF(N614:$N$633,N613,O614:$O$633)</f>
        <v>0</v>
      </c>
      <c r="R613" s="459">
        <f>SUMIF(N614:$N$633,N613,P614:$P$633)</f>
        <v>0</v>
      </c>
      <c r="S613" s="459">
        <f ca="1">Q613+R613</f>
        <v>0</v>
      </c>
      <c r="T613" s="460" t="s">
        <v>7134</v>
      </c>
      <c r="U613" s="460" t="str">
        <f ca="1">"("&amp; IF(S613=0,V$23,S613) &amp; ") " &amp; T613</f>
        <v>(✓ ) Classificação toxicológica</v>
      </c>
      <c r="V613" s="460" t="str">
        <f ca="1">IF(Q613&gt;0,$V$24&amp;Q613,"")</f>
        <v/>
      </c>
      <c r="W613" s="460" t="str">
        <f>IF(R613&gt;0,$V$24&amp;R613,"")</f>
        <v/>
      </c>
      <c r="X613" s="461" t="s">
        <v>8553</v>
      </c>
      <c r="Y613" s="462" t="str">
        <f>$V$19 &amp; $X613</f>
        <v>#Relatório!A172</v>
      </c>
      <c r="Z613" s="462"/>
    </row>
    <row r="614" spans="1:27" s="458" customFormat="1" ht="20.100000000000001" customHeight="1" outlineLevel="1" x14ac:dyDescent="0.25">
      <c r="A614" s="446"/>
      <c r="B614" s="1"/>
      <c r="C614" s="1"/>
      <c r="D614" s="1"/>
      <c r="E614" s="1"/>
      <c r="F614" s="447" t="s">
        <v>7114</v>
      </c>
      <c r="G614" s="450" t="str">
        <f>'Validacao(1)'!F115</f>
        <v>Up&amp;Down(1) - Classificação ajustada pela Empresa</v>
      </c>
      <c r="H614" s="419"/>
      <c r="I614" s="419"/>
      <c r="J614" s="419"/>
      <c r="N614" s="459">
        <f>COUNTIF($A$29:A613,"x")</f>
        <v>15</v>
      </c>
      <c r="O614" s="459">
        <f ca="1">'Validacao(1)'!E115</f>
        <v>0</v>
      </c>
      <c r="Q614" s="459"/>
      <c r="R614" s="459"/>
      <c r="T614" s="463"/>
      <c r="U614" s="463"/>
      <c r="V614" s="463"/>
      <c r="W614" s="463"/>
      <c r="X614" s="464"/>
      <c r="Y614" s="464"/>
      <c r="Z614" s="464"/>
    </row>
    <row r="615" spans="1:27" s="458" customFormat="1" ht="20.100000000000001" customHeight="1" outlineLevel="1" x14ac:dyDescent="0.25">
      <c r="A615" s="446"/>
      <c r="B615" s="1"/>
      <c r="C615" s="1"/>
      <c r="D615" s="1"/>
      <c r="E615" s="1"/>
      <c r="F615" s="447" t="s">
        <v>7115</v>
      </c>
      <c r="G615" s="450" t="str">
        <f>'Validacao(1)'!F116</f>
        <v>Up&amp;Down(2) - Classificação ajustada pela Empresa</v>
      </c>
      <c r="H615" s="419"/>
      <c r="I615" s="419"/>
      <c r="J615" s="419"/>
      <c r="N615" s="459">
        <f>COUNTIF($A$29:A614,"x")</f>
        <v>15</v>
      </c>
      <c r="O615" s="459">
        <f ca="1">'Validacao(1)'!E116</f>
        <v>0</v>
      </c>
      <c r="Q615" s="459"/>
      <c r="R615" s="459"/>
      <c r="T615" s="463"/>
      <c r="U615" s="463"/>
      <c r="V615" s="463"/>
      <c r="W615" s="463"/>
      <c r="X615" s="464"/>
      <c r="Y615" s="464"/>
      <c r="Z615" s="464"/>
    </row>
    <row r="616" spans="1:27" s="458" customFormat="1" ht="20.100000000000001" customHeight="1" outlineLevel="1" x14ac:dyDescent="0.25">
      <c r="A616" s="446"/>
      <c r="B616" s="1"/>
      <c r="C616" s="1"/>
      <c r="D616" s="1"/>
      <c r="E616" s="1"/>
      <c r="F616" s="447" t="s">
        <v>7116</v>
      </c>
      <c r="G616" s="450" t="str">
        <f>'Validacao(1)'!F117</f>
        <v>Dl50_Oral(1) - Classificação ajustada pela Empresa</v>
      </c>
      <c r="H616" s="419"/>
      <c r="I616" s="419"/>
      <c r="J616" s="419"/>
      <c r="N616" s="459">
        <f>COUNTIF($A$29:A615,"x")</f>
        <v>15</v>
      </c>
      <c r="O616" s="459">
        <f ca="1">'Validacao(1)'!E117</f>
        <v>0</v>
      </c>
      <c r="Q616" s="459"/>
      <c r="R616" s="459"/>
      <c r="T616" s="463"/>
      <c r="U616" s="463"/>
      <c r="V616" s="463"/>
      <c r="W616" s="463"/>
      <c r="X616" s="464"/>
      <c r="Y616" s="464"/>
      <c r="Z616" s="464"/>
    </row>
    <row r="617" spans="1:27" s="458" customFormat="1" ht="20.100000000000001" customHeight="1" outlineLevel="1" x14ac:dyDescent="0.25">
      <c r="A617" s="446"/>
      <c r="B617" s="1"/>
      <c r="C617" s="1"/>
      <c r="D617" s="1"/>
      <c r="E617" s="1"/>
      <c r="F617" s="447" t="s">
        <v>7117</v>
      </c>
      <c r="G617" s="450" t="str">
        <f>'Validacao(1)'!F118</f>
        <v>Dl50_Oral(2) - Classificação ajustada pela Empresa</v>
      </c>
      <c r="H617" s="419"/>
      <c r="I617" s="419"/>
      <c r="J617" s="419"/>
      <c r="N617" s="459">
        <f>COUNTIF($A$29:A616,"x")</f>
        <v>15</v>
      </c>
      <c r="O617" s="459">
        <f ca="1">'Validacao(1)'!E118</f>
        <v>0</v>
      </c>
      <c r="Q617" s="459"/>
      <c r="R617" s="459"/>
      <c r="T617" s="463"/>
      <c r="U617" s="463"/>
      <c r="V617" s="463"/>
      <c r="W617" s="463"/>
      <c r="X617" s="464"/>
      <c r="Y617" s="464"/>
      <c r="Z617" s="464"/>
    </row>
    <row r="618" spans="1:27" s="458" customFormat="1" ht="20.100000000000001" customHeight="1" outlineLevel="1" x14ac:dyDescent="0.25">
      <c r="A618" s="446"/>
      <c r="B618" s="1"/>
      <c r="C618" s="1"/>
      <c r="D618" s="1"/>
      <c r="E618" s="1"/>
      <c r="F618" s="447" t="s">
        <v>7118</v>
      </c>
      <c r="G618" s="450" t="str">
        <f>'Validacao(1)'!F119</f>
        <v>DL50_Cutanea(1) - Classificação ajustada pela Empresa</v>
      </c>
      <c r="H618" s="419"/>
      <c r="I618" s="419"/>
      <c r="J618" s="419"/>
      <c r="N618" s="459">
        <f>COUNTIF($A$29:A617,"x")</f>
        <v>15</v>
      </c>
      <c r="O618" s="459">
        <f ca="1">'Validacao(1)'!E119</f>
        <v>0</v>
      </c>
      <c r="Q618" s="459"/>
      <c r="R618" s="459"/>
      <c r="T618" s="463"/>
      <c r="U618" s="463"/>
      <c r="V618" s="463"/>
      <c r="W618" s="463"/>
      <c r="X618" s="464"/>
      <c r="Y618" s="464"/>
      <c r="Z618" s="464"/>
    </row>
    <row r="619" spans="1:27" s="458" customFormat="1" ht="20.100000000000001" customHeight="1" outlineLevel="1" x14ac:dyDescent="0.25">
      <c r="A619" s="446"/>
      <c r="B619" s="1"/>
      <c r="C619" s="1"/>
      <c r="D619" s="1"/>
      <c r="E619" s="1"/>
      <c r="F619" s="447" t="s">
        <v>7119</v>
      </c>
      <c r="G619" s="450" t="str">
        <f>'Validacao(1)'!F120</f>
        <v>DL50_Cutanea(2) - Classificação ajustada pela Empresa</v>
      </c>
      <c r="H619" s="419"/>
      <c r="I619" s="419"/>
      <c r="J619" s="419"/>
      <c r="N619" s="459">
        <f>COUNTIF($A$29:A618,"x")</f>
        <v>15</v>
      </c>
      <c r="O619" s="459">
        <f ca="1">'Validacao(1)'!E120</f>
        <v>0</v>
      </c>
      <c r="Q619" s="459"/>
      <c r="R619" s="459"/>
      <c r="T619" s="463"/>
      <c r="U619" s="463"/>
      <c r="V619" s="463"/>
      <c r="W619" s="463"/>
      <c r="X619" s="464"/>
      <c r="Y619" s="464"/>
      <c r="Z619" s="464"/>
    </row>
    <row r="620" spans="1:27" s="458" customFormat="1" ht="20.100000000000001" customHeight="1" outlineLevel="1" x14ac:dyDescent="0.25">
      <c r="A620" s="446"/>
      <c r="B620" s="1"/>
      <c r="C620" s="1"/>
      <c r="D620" s="1"/>
      <c r="E620" s="1"/>
      <c r="F620" s="447" t="s">
        <v>7120</v>
      </c>
      <c r="G620" s="450" t="str">
        <f>'Validacao(1)'!F121</f>
        <v>CL50(1) - Classificação ajustada pela Empresa</v>
      </c>
      <c r="H620" s="419"/>
      <c r="I620" s="419"/>
      <c r="J620" s="419"/>
      <c r="N620" s="459">
        <f>COUNTIF($A$29:A619,"x")</f>
        <v>15</v>
      </c>
      <c r="O620" s="459">
        <f ca="1">'Validacao(1)'!E121</f>
        <v>0</v>
      </c>
      <c r="Q620" s="459"/>
      <c r="R620" s="459"/>
      <c r="T620" s="463"/>
      <c r="U620" s="463"/>
      <c r="V620" s="463"/>
      <c r="W620" s="463"/>
      <c r="X620" s="464"/>
      <c r="Y620" s="464"/>
      <c r="Z620" s="464"/>
    </row>
    <row r="621" spans="1:27" s="458" customFormat="1" ht="20.100000000000001" customHeight="1" outlineLevel="1" x14ac:dyDescent="0.25">
      <c r="A621" s="446"/>
      <c r="B621" s="1"/>
      <c r="C621" s="1"/>
      <c r="D621" s="1"/>
      <c r="E621" s="1"/>
      <c r="F621" s="447" t="s">
        <v>7121</v>
      </c>
      <c r="G621" s="450" t="str">
        <f>'Validacao(1)'!F122</f>
        <v>CL50(2) - Classificação ajustada pela Empresa</v>
      </c>
      <c r="H621" s="419"/>
      <c r="I621" s="419"/>
      <c r="J621" s="419"/>
      <c r="N621" s="459">
        <f>COUNTIF($A$29:A620,"x")</f>
        <v>15</v>
      </c>
      <c r="O621" s="459">
        <f ca="1">'Validacao(1)'!E122</f>
        <v>0</v>
      </c>
      <c r="Q621" s="459"/>
      <c r="R621" s="459"/>
      <c r="T621" s="463"/>
      <c r="U621" s="463"/>
      <c r="V621" s="463"/>
      <c r="W621" s="463"/>
      <c r="X621" s="464"/>
      <c r="Y621" s="464"/>
      <c r="Z621" s="464"/>
    </row>
    <row r="622" spans="1:27" s="458" customFormat="1" ht="20.100000000000001" customHeight="1" outlineLevel="1" x14ac:dyDescent="0.25">
      <c r="A622" s="446"/>
      <c r="B622" s="1"/>
      <c r="C622" s="1"/>
      <c r="D622" s="1"/>
      <c r="E622" s="1"/>
      <c r="F622" s="447" t="s">
        <v>7122</v>
      </c>
      <c r="G622" s="450" t="str">
        <f>'Validacao(1)'!F123</f>
        <v>Irritacao_Ocular(1) - Classificação ajustada pela Empresa</v>
      </c>
      <c r="H622" s="419"/>
      <c r="I622" s="419"/>
      <c r="J622" s="419"/>
      <c r="N622" s="459">
        <f>COUNTIF($A$29:A621,"x")</f>
        <v>15</v>
      </c>
      <c r="O622" s="459">
        <f ca="1">'Validacao(1)'!E123</f>
        <v>0</v>
      </c>
      <c r="Q622" s="459"/>
      <c r="R622" s="459"/>
      <c r="T622" s="463"/>
      <c r="U622" s="463"/>
      <c r="V622" s="463"/>
      <c r="W622" s="463"/>
      <c r="X622" s="464"/>
      <c r="Y622" s="464"/>
      <c r="Z622" s="464"/>
    </row>
    <row r="623" spans="1:27" s="458" customFormat="1" ht="20.100000000000001" customHeight="1" outlineLevel="1" x14ac:dyDescent="0.25">
      <c r="A623" s="446"/>
      <c r="B623" s="1"/>
      <c r="C623" s="1"/>
      <c r="D623" s="1"/>
      <c r="E623" s="1"/>
      <c r="F623" s="447" t="s">
        <v>7123</v>
      </c>
      <c r="G623" s="450" t="str">
        <f>'Validacao(1)'!F124</f>
        <v>Irritacao_Ocular(2) - Classificação ajustada pela Empresa</v>
      </c>
      <c r="H623" s="419"/>
      <c r="I623" s="419"/>
      <c r="J623" s="419"/>
      <c r="N623" s="459">
        <f>COUNTIF($A$29:A622,"x")</f>
        <v>15</v>
      </c>
      <c r="O623" s="459">
        <f ca="1">'Validacao(1)'!E124</f>
        <v>0</v>
      </c>
      <c r="Q623" s="459"/>
      <c r="R623" s="459"/>
      <c r="T623" s="463"/>
      <c r="U623" s="463"/>
      <c r="V623" s="463"/>
      <c r="W623" s="463"/>
      <c r="X623" s="464"/>
      <c r="Y623" s="464"/>
      <c r="Z623" s="464"/>
    </row>
    <row r="624" spans="1:27" s="458" customFormat="1" ht="20.100000000000001" customHeight="1" outlineLevel="1" x14ac:dyDescent="0.25">
      <c r="A624" s="446"/>
      <c r="B624" s="1"/>
      <c r="C624" s="1"/>
      <c r="D624" s="1"/>
      <c r="E624" s="1"/>
      <c r="F624" s="447" t="s">
        <v>7124</v>
      </c>
      <c r="G624" s="450" t="str">
        <f>'Validacao(1)'!F125</f>
        <v>Irritacao_Cutanea(1) - Classificação ajustada pela Empresa</v>
      </c>
      <c r="H624" s="419"/>
      <c r="I624" s="419"/>
      <c r="J624" s="419"/>
      <c r="N624" s="459">
        <f>COUNTIF($A$29:A623,"x")</f>
        <v>15</v>
      </c>
      <c r="O624" s="459">
        <f ca="1">'Validacao(1)'!E125</f>
        <v>0</v>
      </c>
      <c r="Q624" s="459"/>
      <c r="R624" s="459"/>
      <c r="T624" s="463"/>
      <c r="U624" s="463"/>
      <c r="V624" s="463"/>
      <c r="W624" s="463"/>
      <c r="X624" s="464"/>
      <c r="Y624" s="464"/>
      <c r="Z624" s="464"/>
    </row>
    <row r="625" spans="1:26" s="458" customFormat="1" ht="20.100000000000001" customHeight="1" outlineLevel="1" x14ac:dyDescent="0.25">
      <c r="A625" s="446"/>
      <c r="B625" s="1"/>
      <c r="C625" s="1"/>
      <c r="D625" s="1"/>
      <c r="E625" s="1"/>
      <c r="F625" s="447" t="s">
        <v>7125</v>
      </c>
      <c r="G625" s="450" t="str">
        <f>'Validacao(1)'!F126</f>
        <v>Irritacao_Cutanea(2) - Classificação ajustada pela Empresa</v>
      </c>
      <c r="H625" s="419"/>
      <c r="I625" s="419"/>
      <c r="J625" s="419"/>
      <c r="N625" s="459">
        <f>COUNTIF($A$29:A624,"x")</f>
        <v>15</v>
      </c>
      <c r="O625" s="459">
        <f ca="1">'Validacao(1)'!E126</f>
        <v>0</v>
      </c>
      <c r="Q625" s="459"/>
      <c r="R625" s="459"/>
      <c r="T625" s="463"/>
      <c r="U625" s="463"/>
      <c r="V625" s="463"/>
      <c r="W625" s="463"/>
      <c r="X625" s="464"/>
      <c r="Y625" s="464"/>
      <c r="Z625" s="464"/>
    </row>
    <row r="626" spans="1:26" s="458" customFormat="1" ht="20.100000000000001" customHeight="1" outlineLevel="1" x14ac:dyDescent="0.25">
      <c r="A626" s="446"/>
      <c r="B626" s="1"/>
      <c r="C626" s="1"/>
      <c r="D626" s="1"/>
      <c r="E626" s="1"/>
      <c r="F626" s="447" t="s">
        <v>7126</v>
      </c>
      <c r="G626" s="450" t="str">
        <f>'Validacao(1)'!F127</f>
        <v>LLNA(1) - Classificação ajustada pela Empresa</v>
      </c>
      <c r="H626" s="419"/>
      <c r="I626" s="419"/>
      <c r="J626" s="419"/>
      <c r="N626" s="459">
        <f>COUNTIF($A$29:A625,"x")</f>
        <v>15</v>
      </c>
      <c r="O626" s="459">
        <f ca="1">'Validacao(1)'!E127</f>
        <v>0</v>
      </c>
      <c r="Q626" s="459"/>
      <c r="R626" s="459"/>
      <c r="T626" s="463"/>
      <c r="U626" s="463"/>
      <c r="V626" s="463"/>
      <c r="W626" s="463"/>
      <c r="X626" s="464"/>
      <c r="Y626" s="464"/>
      <c r="Z626" s="464"/>
    </row>
    <row r="627" spans="1:26" s="458" customFormat="1" ht="20.100000000000001" customHeight="1" outlineLevel="1" x14ac:dyDescent="0.25">
      <c r="A627" s="446"/>
      <c r="B627" s="1"/>
      <c r="C627" s="1"/>
      <c r="D627" s="1"/>
      <c r="E627" s="1"/>
      <c r="F627" s="447" t="s">
        <v>7127</v>
      </c>
      <c r="G627" s="450" t="str">
        <f>'Validacao(1)'!F128</f>
        <v>LLNA(2) - Classificação ajustada pela Empresa</v>
      </c>
      <c r="H627" s="419"/>
      <c r="I627" s="419"/>
      <c r="J627" s="419"/>
      <c r="N627" s="459">
        <f>COUNTIF($A$29:A626,"x")</f>
        <v>15</v>
      </c>
      <c r="O627" s="459">
        <f ca="1">'Validacao(1)'!E128</f>
        <v>0</v>
      </c>
      <c r="Q627" s="459"/>
      <c r="R627" s="459"/>
      <c r="T627" s="463"/>
      <c r="U627" s="463"/>
      <c r="V627" s="463"/>
      <c r="W627" s="463"/>
      <c r="X627" s="464"/>
      <c r="Y627" s="464"/>
      <c r="Z627" s="464"/>
    </row>
    <row r="628" spans="1:26" s="458" customFormat="1" ht="20.100000000000001" customHeight="1" outlineLevel="1" x14ac:dyDescent="0.25">
      <c r="A628" s="446"/>
      <c r="B628" s="1"/>
      <c r="C628" s="1"/>
      <c r="D628" s="1"/>
      <c r="E628" s="1"/>
      <c r="F628" s="447" t="s">
        <v>7128</v>
      </c>
      <c r="G628" s="450" t="str">
        <f>'Validacao(1)'!F129</f>
        <v>Sensibilizacao(1) - Classificação ajustada pela Empresa</v>
      </c>
      <c r="H628" s="419"/>
      <c r="I628" s="419"/>
      <c r="J628" s="419"/>
      <c r="N628" s="459">
        <f>COUNTIF($A$29:A627,"x")</f>
        <v>15</v>
      </c>
      <c r="O628" s="459">
        <f ca="1">'Validacao(1)'!E129</f>
        <v>0</v>
      </c>
      <c r="Q628" s="459"/>
      <c r="R628" s="459"/>
      <c r="T628" s="463"/>
      <c r="U628" s="463"/>
      <c r="V628" s="463"/>
      <c r="W628" s="463"/>
      <c r="X628" s="464"/>
      <c r="Y628" s="464"/>
      <c r="Z628" s="464"/>
    </row>
    <row r="629" spans="1:26" s="458" customFormat="1" ht="20.100000000000001" customHeight="1" outlineLevel="1" x14ac:dyDescent="0.25">
      <c r="A629" s="446"/>
      <c r="B629" s="1"/>
      <c r="C629" s="1"/>
      <c r="D629" s="1"/>
      <c r="E629" s="1"/>
      <c r="F629" s="447" t="s">
        <v>7129</v>
      </c>
      <c r="G629" s="450" t="str">
        <f>'Validacao(1)'!F130</f>
        <v>Sensibilizacao(2) - Classificação ajustada pela Empresa</v>
      </c>
      <c r="H629" s="419"/>
      <c r="I629" s="419"/>
      <c r="J629" s="419"/>
      <c r="N629" s="459">
        <f>COUNTIF($A$29:A628,"x")</f>
        <v>15</v>
      </c>
      <c r="O629" s="459">
        <f ca="1">'Validacao(1)'!E130</f>
        <v>0</v>
      </c>
      <c r="Q629" s="459"/>
      <c r="R629" s="459"/>
      <c r="T629" s="463"/>
      <c r="U629" s="463"/>
      <c r="V629" s="463"/>
      <c r="W629" s="463"/>
      <c r="X629" s="464"/>
      <c r="Y629" s="464"/>
      <c r="Z629" s="464"/>
    </row>
    <row r="630" spans="1:26" s="458" customFormat="1" ht="20.100000000000001" customHeight="1" outlineLevel="1" x14ac:dyDescent="0.25">
      <c r="A630" s="446"/>
      <c r="B630" s="1"/>
      <c r="C630" s="1"/>
      <c r="D630" s="1"/>
      <c r="E630" s="1"/>
      <c r="F630" s="447" t="s">
        <v>7130</v>
      </c>
      <c r="G630" s="450" t="str">
        <f>'Validacao(1)'!F131</f>
        <v>Ames(1) - Classificação ajustada pela Empresa</v>
      </c>
      <c r="H630" s="419"/>
      <c r="I630" s="419"/>
      <c r="J630" s="419"/>
      <c r="N630" s="459">
        <f>COUNTIF($A$29:A629,"x")</f>
        <v>15</v>
      </c>
      <c r="O630" s="459">
        <f ca="1">'Validacao(1)'!E131</f>
        <v>0</v>
      </c>
      <c r="Q630" s="459"/>
      <c r="R630" s="459"/>
      <c r="T630" s="463"/>
      <c r="U630" s="463"/>
      <c r="V630" s="463"/>
      <c r="W630" s="463"/>
      <c r="X630" s="464"/>
      <c r="Y630" s="464"/>
      <c r="Z630" s="464"/>
    </row>
    <row r="631" spans="1:26" s="458" customFormat="1" ht="20.100000000000001" customHeight="1" outlineLevel="1" x14ac:dyDescent="0.25">
      <c r="A631" s="446"/>
      <c r="B631" s="1"/>
      <c r="C631" s="1"/>
      <c r="D631" s="1"/>
      <c r="E631" s="1"/>
      <c r="F631" s="447" t="s">
        <v>7131</v>
      </c>
      <c r="G631" s="450" t="str">
        <f>'Validacao(1)'!F132</f>
        <v>Ames(2) - Classificação ajustada pela Empresa</v>
      </c>
      <c r="H631" s="419"/>
      <c r="I631" s="419"/>
      <c r="J631" s="419"/>
      <c r="N631" s="459">
        <f>COUNTIF($A$29:A630,"x")</f>
        <v>15</v>
      </c>
      <c r="O631" s="459">
        <f ca="1">'Validacao(1)'!E132</f>
        <v>0</v>
      </c>
      <c r="Q631" s="459"/>
      <c r="R631" s="459"/>
      <c r="T631" s="463"/>
      <c r="U631" s="463"/>
      <c r="V631" s="463"/>
      <c r="W631" s="463"/>
      <c r="X631" s="464"/>
      <c r="Y631" s="464"/>
      <c r="Z631" s="464"/>
    </row>
    <row r="632" spans="1:26" s="458" customFormat="1" ht="20.100000000000001" customHeight="1" outlineLevel="1" x14ac:dyDescent="0.25">
      <c r="A632" s="446"/>
      <c r="B632" s="1"/>
      <c r="C632" s="1"/>
      <c r="D632" s="1"/>
      <c r="E632" s="1"/>
      <c r="F632" s="447" t="s">
        <v>7132</v>
      </c>
      <c r="G632" s="450" t="str">
        <f>'Validacao(1)'!F133</f>
        <v>Micronucleo(1) - Classificação ajustada pela Empresa</v>
      </c>
      <c r="H632" s="419"/>
      <c r="I632" s="419"/>
      <c r="J632" s="419"/>
      <c r="N632" s="459">
        <f>COUNTIF($A$29:A631,"x")</f>
        <v>15</v>
      </c>
      <c r="O632" s="459">
        <f ca="1">'Validacao(1)'!E133</f>
        <v>0</v>
      </c>
      <c r="Q632" s="459"/>
      <c r="R632" s="459"/>
      <c r="T632" s="463"/>
      <c r="U632" s="463"/>
      <c r="V632" s="463"/>
      <c r="W632" s="463"/>
      <c r="X632" s="464"/>
      <c r="Y632" s="464"/>
      <c r="Z632" s="464"/>
    </row>
    <row r="633" spans="1:26" s="458" customFormat="1" ht="20.100000000000001" customHeight="1" outlineLevel="1" x14ac:dyDescent="0.25">
      <c r="A633" s="446"/>
      <c r="B633" s="1"/>
      <c r="C633" s="1"/>
      <c r="D633" s="1"/>
      <c r="E633" s="1"/>
      <c r="F633" s="447" t="s">
        <v>7133</v>
      </c>
      <c r="G633" s="450" t="str">
        <f>'Validacao(1)'!F134</f>
        <v>Micronucleo(2) - Classificação ajustada pela Empresa</v>
      </c>
      <c r="H633" s="419"/>
      <c r="I633" s="419"/>
      <c r="J633" s="419"/>
      <c r="N633" s="459">
        <f>COUNTIF($A$29:A632,"x")</f>
        <v>15</v>
      </c>
      <c r="O633" s="459">
        <f ca="1">'Validacao(1)'!E134</f>
        <v>0</v>
      </c>
      <c r="Q633" s="459"/>
      <c r="R633" s="459"/>
      <c r="T633" s="463"/>
      <c r="U633" s="463"/>
      <c r="V633" s="463"/>
      <c r="W633" s="463"/>
      <c r="X633" s="464"/>
      <c r="Y633" s="464"/>
      <c r="Z633" s="464"/>
    </row>
    <row r="634" spans="1:26" s="458" customFormat="1" ht="20.100000000000001" customHeight="1" x14ac:dyDescent="0.25">
      <c r="A634" s="417"/>
      <c r="B634" s="1"/>
      <c r="C634" s="1"/>
      <c r="D634" s="1"/>
      <c r="E634" s="1"/>
      <c r="F634" s="418"/>
      <c r="G634" s="419"/>
      <c r="H634" s="419"/>
      <c r="I634" s="419"/>
      <c r="J634" s="419"/>
      <c r="N634" s="463"/>
      <c r="X634" s="464"/>
      <c r="Y634" s="464"/>
      <c r="Z634" s="464"/>
    </row>
    <row r="635" spans="1:26" ht="15" hidden="1" customHeight="1" x14ac:dyDescent="0.25">
      <c r="H635" s="465"/>
    </row>
  </sheetData>
  <sheetProtection algorithmName="SHA-512" hashValue="wPfh64qmOSUEOUfdJNu2d1lvfz8SalCEmf8HvPnp1Gk9SqqDs7mhl3pbw5EwjmLkaT5wdiKPQYqvmN4K13POjA==" saltValue="L1Hzh9BhsiY87j2Y6clIYA==" spinCount="100000" sheet="1" objects="1" scenarios="1" formatColumns="0" formatRows="0"/>
  <conditionalFormatting sqref="G29 G40 G54 G71 G86 G121 G152 G184 G225 G268 G311 G363 G436 G507 G613">
    <cfRule type="expression" dxfId="5" priority="2">
      <formula>S29=0</formula>
    </cfRule>
    <cfRule type="expression" dxfId="4" priority="10026">
      <formula>S29&gt;0</formula>
    </cfRule>
  </conditionalFormatting>
  <conditionalFormatting sqref="G87:I120 G122:I151 G153:I183 G185:I224 G226:I267 G269:I310 G312:I362 G364:I435 G437:I506 G508:I612 G30:G39 G41:G53 G55:G70 G72:G85 G614:G633">
    <cfRule type="expression" dxfId="3" priority="10011">
      <formula>SUM($O30,$P30)=0</formula>
    </cfRule>
  </conditionalFormatting>
  <conditionalFormatting sqref="H86:I613">
    <cfRule type="containsText" dxfId="2" priority="1" operator="containsText" text="x">
      <formula>NOT(ISERROR(SEARCH("x",H86)))</formula>
    </cfRule>
  </conditionalFormatting>
  <pageMargins left="0.511811024" right="0.511811024" top="0.78740157499999996" bottom="0.78740157499999996" header="0.31496062000000002" footer="0.31496062000000002"/>
  <ignoredErrors>
    <ignoredError sqref="H507"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F2B3-259D-4A11-8529-976A5BB03F19}">
  <sheetPr codeName="Planilha8"/>
  <dimension ref="A1:HU817"/>
  <sheetViews>
    <sheetView showGridLines="0" topLeftCell="GK1" zoomScaleNormal="100" workbookViewId="0">
      <selection activeCell="D1" sqref="D1"/>
    </sheetView>
  </sheetViews>
  <sheetFormatPr defaultRowHeight="15" x14ac:dyDescent="0.25"/>
  <cols>
    <col min="1" max="1" width="38" style="20" customWidth="1"/>
    <col min="2" max="2" width="35.140625" style="20" customWidth="1"/>
    <col min="3" max="3" width="22.42578125" style="20" customWidth="1"/>
    <col min="4" max="4" width="12.140625" style="20" customWidth="1"/>
    <col min="5" max="5" width="12.7109375" style="20" customWidth="1"/>
    <col min="6" max="6" width="23.7109375" style="20" customWidth="1"/>
    <col min="7" max="7" width="15" style="20" customWidth="1"/>
    <col min="8" max="8" width="25.5703125" style="20" customWidth="1"/>
    <col min="9" max="9" width="21.7109375" style="20" customWidth="1"/>
    <col min="10" max="10" width="18.5703125" style="20" customWidth="1"/>
    <col min="11" max="11" width="17.140625" style="20" customWidth="1"/>
    <col min="12" max="12" width="21.28515625" style="20" customWidth="1"/>
    <col min="13" max="13" width="18.42578125" style="20" customWidth="1"/>
    <col min="14" max="14" width="29.5703125" style="475" customWidth="1"/>
    <col min="15" max="15" width="18.42578125" style="20" bestFit="1" customWidth="1"/>
    <col min="16" max="16" width="22.42578125" style="20" customWidth="1"/>
    <col min="17" max="17" width="23.7109375" style="20" customWidth="1"/>
    <col min="18" max="18" width="21.28515625" style="20" customWidth="1"/>
    <col min="19" max="19" width="30.7109375" style="20" customWidth="1"/>
    <col min="20" max="20" width="18" style="20" customWidth="1"/>
    <col min="21" max="21" width="27.28515625" style="20" customWidth="1"/>
    <col min="22" max="22" width="30.85546875" style="20" customWidth="1"/>
    <col min="23" max="23" width="22.140625" style="20" customWidth="1"/>
    <col min="24" max="24" width="16.7109375" style="20" customWidth="1"/>
    <col min="25" max="25" width="22.85546875" style="372" customWidth="1"/>
    <col min="26" max="26" width="44.28515625" style="20" customWidth="1"/>
    <col min="27" max="28" width="20.7109375" style="20" customWidth="1"/>
    <col min="29" max="29" width="29.7109375" style="20" customWidth="1"/>
    <col min="30" max="30" width="29.140625" style="20" customWidth="1"/>
    <col min="31" max="31" width="26.5703125" style="20" customWidth="1"/>
    <col min="32" max="32" width="3.5703125" style="23" customWidth="1"/>
    <col min="33" max="33" width="25.85546875" style="20" customWidth="1"/>
    <col min="34" max="34" width="24.42578125" style="20" customWidth="1"/>
    <col min="35" max="35" width="16.85546875" style="20" customWidth="1"/>
    <col min="36" max="36" width="9.140625" style="20"/>
    <col min="37" max="37" width="9.140625" style="23"/>
    <col min="38" max="38" width="16.28515625" style="20" customWidth="1"/>
    <col min="39" max="39" width="9.140625" style="20"/>
    <col min="40" max="40" width="22" style="20" customWidth="1"/>
    <col min="41" max="41" width="19.7109375" style="20" customWidth="1"/>
    <col min="42" max="42" width="21.5703125" style="20" customWidth="1"/>
    <col min="43" max="43" width="9.140625" style="20"/>
    <col min="44" max="44" width="9.140625" style="23"/>
    <col min="45" max="45" width="39.5703125" style="20" customWidth="1"/>
    <col min="46" max="46" width="23.5703125" style="20" customWidth="1"/>
    <col min="47" max="47" width="16.140625" style="20" customWidth="1"/>
    <col min="48" max="48" width="9.140625" style="20"/>
    <col min="49" max="49" width="21" style="20" customWidth="1"/>
    <col min="50" max="50" width="20.42578125" style="20" customWidth="1"/>
    <col min="51" max="51" width="20.5703125" style="20" customWidth="1"/>
    <col min="52" max="52" width="19.7109375" style="20" customWidth="1"/>
    <col min="53" max="53" width="14.140625" style="20" customWidth="1"/>
    <col min="54" max="55" width="9.140625" style="20"/>
    <col min="56" max="56" width="17.28515625" style="20" customWidth="1"/>
    <col min="57" max="57" width="9.140625" style="20" customWidth="1"/>
    <col min="58" max="59" width="9.140625" style="20"/>
    <col min="60" max="60" width="24.5703125" style="20" customWidth="1"/>
    <col min="61" max="61" width="17.28515625" style="372" customWidth="1"/>
    <col min="62" max="62" width="23.28515625" style="472" customWidth="1"/>
    <col min="63" max="63" width="20.42578125" style="472" customWidth="1"/>
    <col min="64" max="64" width="21.5703125" style="472" customWidth="1"/>
    <col min="65" max="65" width="16.7109375" style="472" customWidth="1"/>
    <col min="66" max="66" width="18.140625" style="372" customWidth="1"/>
    <col min="67" max="67" width="16.85546875" style="372" customWidth="1"/>
    <col min="68" max="68" width="17.5703125" style="372" customWidth="1"/>
    <col min="69" max="69" width="14.28515625" style="372" customWidth="1"/>
    <col min="70" max="70" width="11.7109375" style="20" customWidth="1"/>
    <col min="71" max="71" width="9.7109375" style="20" customWidth="1"/>
    <col min="72" max="72" width="11.85546875" style="20" customWidth="1"/>
    <col min="73" max="73" width="16.85546875" style="20" customWidth="1"/>
    <col min="74" max="74" width="13.85546875" style="20" customWidth="1"/>
    <col min="75" max="75" width="12.5703125" style="20" customWidth="1"/>
    <col min="76" max="76" width="17.5703125" style="20" customWidth="1"/>
    <col min="77" max="77" width="16.5703125" style="20" bestFit="1" customWidth="1"/>
    <col min="78" max="78" width="20.28515625" style="20" customWidth="1"/>
    <col min="79" max="79" width="18.85546875" style="20" customWidth="1"/>
    <col min="80" max="80" width="20.42578125" style="20" customWidth="1"/>
    <col min="81" max="81" width="17.28515625" style="20" customWidth="1"/>
    <col min="82" max="82" width="17.85546875" style="20" customWidth="1"/>
    <col min="83" max="83" width="11.140625" style="20" bestFit="1" customWidth="1"/>
    <col min="84" max="84" width="17.42578125" style="20" customWidth="1"/>
    <col min="85" max="86" width="10.42578125" style="20" customWidth="1"/>
    <col min="87" max="87" width="17.140625" style="20" customWidth="1"/>
    <col min="88" max="88" width="16.140625" style="20" customWidth="1"/>
    <col min="89" max="89" width="20.28515625" style="20" customWidth="1"/>
    <col min="90" max="90" width="22" style="20" customWidth="1"/>
    <col min="91" max="92" width="9.140625" style="20"/>
    <col min="93" max="93" width="14.140625" style="20" customWidth="1"/>
    <col min="94" max="94" width="24.7109375" style="20" customWidth="1"/>
    <col min="95" max="96" width="27.85546875" style="20" bestFit="1" customWidth="1"/>
    <col min="97" max="97" width="20.42578125" style="20" customWidth="1"/>
    <col min="98" max="99" width="9.140625" style="20"/>
    <col min="100" max="100" width="21" style="20" customWidth="1"/>
    <col min="101" max="101" width="23.7109375" style="20" customWidth="1"/>
    <col min="102" max="102" width="15.7109375" style="20" customWidth="1"/>
    <col min="103" max="103" width="26.28515625" style="20" customWidth="1"/>
    <col min="104" max="104" width="19" style="20" customWidth="1"/>
    <col min="105" max="105" width="15.7109375" style="20" customWidth="1"/>
    <col min="106" max="106" width="18.5703125" style="20" customWidth="1"/>
    <col min="107" max="107" width="15.7109375" style="20" customWidth="1"/>
    <col min="108" max="108" width="20.5703125" style="20" customWidth="1"/>
    <col min="109" max="114" width="15.7109375" style="20" customWidth="1"/>
    <col min="115" max="115" width="22.7109375" style="20" customWidth="1"/>
    <col min="116" max="116" width="30.28515625" style="20" customWidth="1"/>
    <col min="117" max="117" width="23.85546875" style="20" customWidth="1"/>
    <col min="118" max="118" width="15.7109375" style="20" customWidth="1"/>
    <col min="119" max="147" width="9.140625" style="20"/>
    <col min="148" max="148" width="22.42578125" style="20" bestFit="1" customWidth="1"/>
    <col min="149" max="149" width="22.5703125" style="20" customWidth="1"/>
    <col min="150" max="150" width="19.42578125" style="20" customWidth="1"/>
    <col min="151" max="151" width="17.5703125" style="20" customWidth="1"/>
    <col min="152" max="152" width="12.7109375" style="20" customWidth="1"/>
    <col min="153" max="153" width="24.7109375" style="20" customWidth="1"/>
    <col min="154" max="157" width="12.7109375" style="20" customWidth="1"/>
    <col min="158" max="158" width="24.28515625" style="20" customWidth="1"/>
    <col min="159" max="186" width="12.7109375" style="20" customWidth="1"/>
    <col min="187" max="187" width="22.28515625" style="20" customWidth="1"/>
    <col min="188" max="188" width="22.42578125" style="20" customWidth="1"/>
    <col min="189" max="189" width="12.7109375" style="20" customWidth="1"/>
    <col min="190" max="190" width="18.42578125" style="20" customWidth="1"/>
    <col min="191" max="191" width="19.7109375" style="20" customWidth="1"/>
    <col min="192" max="192" width="20.28515625" style="20" customWidth="1"/>
    <col min="193" max="193" width="20.5703125" style="20" customWidth="1"/>
    <col min="194" max="194" width="24.7109375" style="20" customWidth="1"/>
    <col min="195" max="195" width="22.28515625" style="20" customWidth="1"/>
    <col min="196" max="196" width="26.85546875" style="20" customWidth="1"/>
    <col min="197" max="197" width="25.85546875" style="20" customWidth="1"/>
    <col min="198" max="198" width="19.28515625" style="20" customWidth="1"/>
    <col min="199" max="199" width="26.28515625" style="20" customWidth="1"/>
    <col min="200" max="200" width="25.42578125" style="20" customWidth="1"/>
    <col min="201" max="201" width="27.140625" style="20" customWidth="1"/>
    <col min="202" max="202" width="31" style="20" customWidth="1"/>
    <col min="203" max="203" width="24.7109375" style="20" customWidth="1"/>
    <col min="204" max="204" width="21.140625" style="20" customWidth="1"/>
    <col min="205" max="206" width="12.7109375" style="20" customWidth="1"/>
    <col min="207" max="207" width="19.5703125" style="20" customWidth="1"/>
    <col min="208" max="208" width="16.28515625" style="20" customWidth="1"/>
    <col min="209" max="209" width="36.28515625" style="20" customWidth="1"/>
    <col min="210" max="210" width="30.140625" style="20" customWidth="1"/>
    <col min="211" max="211" width="23.42578125" style="20" customWidth="1"/>
    <col min="212" max="218" width="12.7109375" style="20" customWidth="1"/>
    <col min="219" max="219" width="33.42578125" style="20" customWidth="1"/>
    <col min="220" max="220" width="29.85546875" style="20" customWidth="1"/>
    <col min="221" max="221" width="22.28515625" style="20" customWidth="1"/>
    <col min="222" max="222" width="28.140625" style="20" customWidth="1"/>
    <col min="223" max="223" width="45.42578125" style="20" customWidth="1"/>
    <col min="224" max="224" width="12.85546875" style="472" customWidth="1"/>
    <col min="225" max="225" width="40.7109375" style="20" bestFit="1" customWidth="1"/>
    <col min="226" max="226" width="13.42578125" style="20" customWidth="1"/>
    <col min="227" max="227" width="9.140625" style="20"/>
    <col min="228" max="228" width="20" style="20" customWidth="1"/>
    <col min="229" max="229" width="44.7109375" style="20" customWidth="1"/>
    <col min="230" max="230" width="14.85546875" style="20" customWidth="1"/>
    <col min="231" max="16384" width="9.140625" style="20"/>
  </cols>
  <sheetData>
    <row r="1" spans="1:229" ht="15.75" thickBot="1" x14ac:dyDescent="0.3">
      <c r="B1" s="468" t="s">
        <v>5507</v>
      </c>
      <c r="C1" s="468"/>
      <c r="D1" s="468"/>
      <c r="E1" s="469" t="s">
        <v>5510</v>
      </c>
      <c r="F1" s="468" t="s">
        <v>5503</v>
      </c>
      <c r="G1" s="468"/>
      <c r="H1" s="468"/>
      <c r="I1" s="468" t="s">
        <v>2075</v>
      </c>
      <c r="J1" s="468"/>
      <c r="K1" s="468"/>
      <c r="L1" s="468"/>
      <c r="N1" s="468" t="s">
        <v>6135</v>
      </c>
      <c r="O1" s="468"/>
      <c r="P1" s="468"/>
      <c r="Q1" s="468"/>
      <c r="R1" s="468"/>
      <c r="S1" s="468"/>
      <c r="U1" s="468" t="s">
        <v>7802</v>
      </c>
      <c r="V1" s="468"/>
      <c r="W1" s="468"/>
      <c r="X1" s="468"/>
      <c r="Y1" s="468"/>
      <c r="Z1" s="468"/>
      <c r="AA1" s="468"/>
      <c r="AB1" s="468"/>
      <c r="AC1" s="468"/>
      <c r="AD1" s="468" t="s">
        <v>7803</v>
      </c>
      <c r="AE1" s="468"/>
      <c r="AF1" s="470" t="s">
        <v>5510</v>
      </c>
      <c r="AG1" s="471" t="s">
        <v>5511</v>
      </c>
      <c r="AH1" s="471"/>
      <c r="AI1" s="471"/>
      <c r="AK1" s="470" t="s">
        <v>5510</v>
      </c>
      <c r="AN1" s="468" t="s">
        <v>6142</v>
      </c>
      <c r="AO1" s="468"/>
      <c r="AP1" s="468"/>
      <c r="AR1" s="470" t="s">
        <v>5510</v>
      </c>
      <c r="AS1" s="468" t="s">
        <v>5520</v>
      </c>
      <c r="AT1" s="468"/>
      <c r="AU1" s="468"/>
      <c r="AV1" s="469" t="s">
        <v>5510</v>
      </c>
      <c r="BB1" s="469" t="s">
        <v>5510</v>
      </c>
      <c r="BC1" s="468" t="s">
        <v>5544</v>
      </c>
      <c r="BD1" s="468"/>
      <c r="BF1" s="469" t="s">
        <v>5510</v>
      </c>
      <c r="BG1" s="469"/>
      <c r="BH1" s="468" t="s">
        <v>8026</v>
      </c>
      <c r="BI1" s="468"/>
      <c r="BJ1" s="468"/>
      <c r="BK1" s="468"/>
      <c r="BL1" s="468"/>
      <c r="BM1" s="468"/>
      <c r="BN1" s="468"/>
      <c r="BO1" s="468"/>
      <c r="BP1" s="468"/>
      <c r="BQ1" s="468"/>
      <c r="BR1" s="468"/>
      <c r="BS1" s="468"/>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9" t="s">
        <v>5510</v>
      </c>
      <c r="CV1" s="468" t="s">
        <v>8117</v>
      </c>
      <c r="CW1" s="468"/>
      <c r="CX1" s="468"/>
      <c r="CY1" s="468"/>
      <c r="CZ1" s="468"/>
      <c r="DA1" s="468"/>
      <c r="DB1" s="468"/>
      <c r="DC1" s="468"/>
      <c r="DD1" s="468"/>
      <c r="DE1" s="468"/>
      <c r="DF1" s="468"/>
      <c r="DG1" s="468"/>
      <c r="DH1" s="468"/>
      <c r="DI1" s="468"/>
      <c r="DJ1" s="468"/>
      <c r="DK1" s="468"/>
      <c r="DL1" s="468"/>
      <c r="DM1" s="468"/>
      <c r="DN1" s="468"/>
      <c r="DO1" s="468"/>
      <c r="DP1" s="468"/>
      <c r="DQ1" s="468"/>
      <c r="DR1" s="468"/>
      <c r="DS1" s="468"/>
      <c r="DT1" s="468"/>
      <c r="DU1" s="468"/>
      <c r="DV1" s="468"/>
      <c r="DW1" s="468"/>
      <c r="DX1" s="468"/>
      <c r="DY1" s="468"/>
      <c r="DZ1" s="468"/>
      <c r="EA1" s="468"/>
      <c r="EB1" s="468"/>
      <c r="EC1" s="468"/>
      <c r="ED1" s="468"/>
      <c r="EE1" s="468"/>
      <c r="EF1" s="468"/>
      <c r="EG1" s="468"/>
      <c r="EH1" s="468"/>
      <c r="EI1" s="468"/>
      <c r="EJ1" s="468"/>
      <c r="EK1" s="468"/>
      <c r="EL1" s="468"/>
      <c r="EM1" s="468"/>
      <c r="EN1" s="468"/>
      <c r="EO1" s="468"/>
      <c r="EP1" s="468"/>
      <c r="EQ1" s="469" t="s">
        <v>5510</v>
      </c>
      <c r="ES1" s="468" t="s">
        <v>8137</v>
      </c>
      <c r="ET1" s="468"/>
      <c r="EU1" s="468"/>
      <c r="EV1" s="468"/>
      <c r="EW1" s="468"/>
      <c r="EX1" s="468"/>
      <c r="EY1" s="468"/>
      <c r="EZ1" s="468"/>
      <c r="FA1" s="468"/>
      <c r="FB1" s="468"/>
      <c r="FC1" s="468"/>
      <c r="FD1" s="468"/>
      <c r="FE1" s="468"/>
      <c r="FF1" s="468"/>
      <c r="FG1" s="468"/>
      <c r="FH1" s="468"/>
      <c r="GC1" s="472" t="s">
        <v>5510</v>
      </c>
      <c r="GD1" s="468" t="s">
        <v>5866</v>
      </c>
      <c r="GE1" s="468"/>
      <c r="GF1" s="468"/>
      <c r="GG1" s="468"/>
      <c r="GH1" s="468"/>
      <c r="GI1" s="468"/>
      <c r="GJ1" s="468"/>
      <c r="GK1" s="468"/>
      <c r="GL1" s="468"/>
      <c r="GM1" s="468"/>
      <c r="GN1" s="468"/>
      <c r="GO1" s="468"/>
      <c r="GP1" s="468"/>
      <c r="GQ1" s="468"/>
      <c r="GR1" s="468"/>
      <c r="GS1" s="468"/>
      <c r="GT1" s="468"/>
      <c r="GU1" s="468"/>
      <c r="GV1" s="468"/>
      <c r="GW1" s="468"/>
      <c r="HD1" s="372"/>
    </row>
    <row r="2" spans="1:229" x14ac:dyDescent="0.25">
      <c r="A2" s="473" t="s">
        <v>6215</v>
      </c>
      <c r="B2" s="473" t="s">
        <v>6153</v>
      </c>
      <c r="E2" s="473" t="s">
        <v>6155</v>
      </c>
      <c r="F2" s="474" t="s">
        <v>7064</v>
      </c>
      <c r="G2" s="474" t="s">
        <v>6157</v>
      </c>
      <c r="H2" s="474" t="s">
        <v>6155</v>
      </c>
      <c r="U2" s="476" t="s">
        <v>5732</v>
      </c>
      <c r="V2" s="476" t="s">
        <v>6156</v>
      </c>
      <c r="W2" s="474"/>
      <c r="X2" s="474" t="s">
        <v>6157</v>
      </c>
      <c r="Y2" s="476" t="s">
        <v>5735</v>
      </c>
      <c r="AC2" s="476" t="s">
        <v>5736</v>
      </c>
      <c r="AF2" s="470" t="s">
        <v>5510</v>
      </c>
      <c r="AG2" s="477" t="s">
        <v>7081</v>
      </c>
      <c r="AH2" s="477" t="s">
        <v>5518</v>
      </c>
      <c r="AI2" s="477" t="s">
        <v>355</v>
      </c>
      <c r="AK2" s="470" t="s">
        <v>5510</v>
      </c>
      <c r="AN2" s="476" t="s">
        <v>6158</v>
      </c>
      <c r="AO2" s="476" t="s">
        <v>6154</v>
      </c>
      <c r="AR2" s="470" t="s">
        <v>5510</v>
      </c>
      <c r="AS2" s="478" t="s">
        <v>6175</v>
      </c>
      <c r="AV2" s="469" t="s">
        <v>5510</v>
      </c>
      <c r="BB2" s="469" t="s">
        <v>5510</v>
      </c>
      <c r="BC2" s="479" t="s">
        <v>5596</v>
      </c>
      <c r="BD2" s="479" t="s">
        <v>5595</v>
      </c>
      <c r="BF2" s="469" t="s">
        <v>5510</v>
      </c>
      <c r="BG2" s="469"/>
      <c r="BH2" s="479" t="s">
        <v>8000</v>
      </c>
      <c r="BI2" s="480" t="s">
        <v>5582</v>
      </c>
      <c r="BL2" s="479" t="s">
        <v>8000</v>
      </c>
      <c r="BM2" s="480" t="s">
        <v>5733</v>
      </c>
      <c r="BN2" s="479" t="s">
        <v>88</v>
      </c>
      <c r="BO2" s="480">
        <v>13</v>
      </c>
      <c r="CU2" s="469" t="s">
        <v>5510</v>
      </c>
      <c r="CV2" s="479" t="s">
        <v>8000</v>
      </c>
      <c r="CW2" s="480" t="s">
        <v>5584</v>
      </c>
      <c r="DC2" s="479" t="s">
        <v>8000</v>
      </c>
      <c r="DD2" s="480" t="s">
        <v>5783</v>
      </c>
      <c r="EQ2" s="469" t="s">
        <v>5510</v>
      </c>
      <c r="GC2" s="472" t="s">
        <v>5510</v>
      </c>
      <c r="GD2" s="481"/>
      <c r="GG2" s="481"/>
      <c r="GH2" s="481"/>
      <c r="GI2" s="481"/>
      <c r="GJ2" s="481"/>
      <c r="GK2" s="481"/>
      <c r="GL2" s="481"/>
      <c r="GM2" s="482"/>
      <c r="GN2" s="482"/>
      <c r="GO2" s="481"/>
      <c r="GP2" s="481"/>
      <c r="GQ2" s="481"/>
      <c r="GR2" s="481"/>
      <c r="GS2" s="481"/>
      <c r="GT2" s="481"/>
      <c r="GU2" s="481"/>
      <c r="GV2" s="481"/>
      <c r="GW2" s="481"/>
      <c r="GX2" s="481"/>
      <c r="GY2" s="481"/>
      <c r="GZ2" s="481"/>
      <c r="HA2" s="481"/>
      <c r="HB2" s="481"/>
      <c r="HC2" s="481"/>
      <c r="HD2" s="481"/>
      <c r="HE2" s="481"/>
      <c r="HK2" s="25" t="s">
        <v>116</v>
      </c>
      <c r="HL2" s="25" t="s">
        <v>5817</v>
      </c>
      <c r="HM2" s="25" t="s">
        <v>5818</v>
      </c>
      <c r="HN2" s="25" t="s">
        <v>5846</v>
      </c>
      <c r="HO2" s="25" t="s">
        <v>5819</v>
      </c>
      <c r="HP2" s="25" t="s">
        <v>5877</v>
      </c>
      <c r="HQ2" s="25" t="s">
        <v>5876</v>
      </c>
      <c r="HR2" s="25" t="s">
        <v>5880</v>
      </c>
      <c r="HS2" s="25" t="s">
        <v>7062</v>
      </c>
      <c r="HT2" s="25" t="s">
        <v>7814</v>
      </c>
      <c r="HU2" s="25" t="s">
        <v>7953</v>
      </c>
    </row>
    <row r="3" spans="1:229" x14ac:dyDescent="0.25">
      <c r="A3" s="479" t="s">
        <v>5508</v>
      </c>
      <c r="B3" s="483" t="s">
        <v>7</v>
      </c>
      <c r="C3" s="483" t="s">
        <v>8159</v>
      </c>
      <c r="D3" s="483" t="s">
        <v>6161</v>
      </c>
      <c r="E3" s="483" t="s">
        <v>8602</v>
      </c>
      <c r="G3" s="484" t="s">
        <v>2068</v>
      </c>
      <c r="H3" s="484" t="s">
        <v>5445</v>
      </c>
      <c r="I3" s="485" t="s">
        <v>2067</v>
      </c>
      <c r="K3" s="486">
        <v>1</v>
      </c>
      <c r="L3" s="487" t="s">
        <v>2073</v>
      </c>
      <c r="N3" s="484" t="s">
        <v>2558</v>
      </c>
      <c r="O3" s="484" t="s">
        <v>5498</v>
      </c>
      <c r="P3" s="484" t="s">
        <v>5499</v>
      </c>
      <c r="Q3" s="484" t="s">
        <v>5500</v>
      </c>
      <c r="R3" s="484" t="s">
        <v>5501</v>
      </c>
      <c r="S3" s="488" t="s">
        <v>7986</v>
      </c>
      <c r="U3" s="489" t="s">
        <v>7796</v>
      </c>
      <c r="V3" s="489" t="s">
        <v>5502</v>
      </c>
      <c r="W3" s="489" t="s">
        <v>257</v>
      </c>
      <c r="X3" s="489" t="s">
        <v>108</v>
      </c>
      <c r="Y3" s="490" t="s">
        <v>7984</v>
      </c>
      <c r="Z3" s="490" t="s">
        <v>5788</v>
      </c>
      <c r="AA3" s="490" t="s">
        <v>5789</v>
      </c>
      <c r="AB3" s="490" t="s">
        <v>5790</v>
      </c>
      <c r="AC3" s="490" t="s">
        <v>8527</v>
      </c>
      <c r="AD3" s="491" t="s">
        <v>7986</v>
      </c>
      <c r="AF3" s="470" t="s">
        <v>5510</v>
      </c>
      <c r="AG3" s="492" t="str">
        <f ca="1">IFERROR(INDEX(tb_ingredientes[cod_mono],MATCH(Calculos!AH3,tb_ingredientes[ingrediente_ativo],0),1),"")</f>
        <v/>
      </c>
      <c r="AH3" s="492" t="str" cm="1">
        <f t="array" aca="1" ref="AH3" ca="1">IFERROR(
INDEX($B$4:$B$18,MATCH(0,INDEX(COUNTIF($AH$1:AH2,$B$4:$B$18),),)),"")</f>
        <v/>
      </c>
      <c r="AI3" s="492" t="str">
        <f ca="1">IF(INDEX($X$4:$X$43,MATCH(AH3,$V$4:$V$43,0),1)&lt;&gt;0,
         IFERROR(
                 INDEX($X$4:$X$43,MATCH(AH3,$V$4:$V$43,0),1),
                 "ERRO"),
"")</f>
        <v/>
      </c>
      <c r="AK3" s="470" t="s">
        <v>5510</v>
      </c>
      <c r="AN3" s="476" t="s">
        <v>5508</v>
      </c>
      <c r="AO3" s="493" t="s">
        <v>7989</v>
      </c>
      <c r="AP3" s="493" t="s">
        <v>6177</v>
      </c>
      <c r="AR3" s="470" t="s">
        <v>5510</v>
      </c>
      <c r="AS3" s="476" t="s">
        <v>7991</v>
      </c>
      <c r="AT3" s="476" t="s">
        <v>7992</v>
      </c>
      <c r="AV3" s="469" t="s">
        <v>5510</v>
      </c>
      <c r="BB3" s="469" t="s">
        <v>5510</v>
      </c>
      <c r="BC3" s="494">
        <v>31</v>
      </c>
      <c r="BD3" s="494" t="str" cm="1">
        <f t="array" aca="1" ref="BD3" ca="1">IF(INDIRECT("'"&amp;$BC$1&amp;"'!R"&amp;BC3,1)&lt;&gt;0,INDIRECT("'CL50(1)'!R"&amp;BC3,1),"")</f>
        <v/>
      </c>
      <c r="BF3" s="469" t="s">
        <v>5510</v>
      </c>
      <c r="BG3" s="469"/>
      <c r="BH3" s="479" t="s">
        <v>355</v>
      </c>
      <c r="BI3" s="480" t="s">
        <v>7406</v>
      </c>
      <c r="BJ3" s="479" t="str" cm="1">
        <f t="array" aca="1" ref="BJ3" ca="1">IF(INDIRECT($BI$2&amp;$BI$3,1)&lt;&gt;0,INDIRECT($BI$2&amp;$BI$3,1),"-")</f>
        <v>-</v>
      </c>
      <c r="BN3" s="479" t="s">
        <v>8033</v>
      </c>
      <c r="BO3" s="480">
        <v>359</v>
      </c>
      <c r="CU3" s="469" t="s">
        <v>5510</v>
      </c>
      <c r="CV3" s="479" t="s">
        <v>8118</v>
      </c>
      <c r="CW3" s="480" t="s">
        <v>7717</v>
      </c>
      <c r="CX3" s="426" cm="1">
        <f t="array" aca="1" ref="CX3" ca="1">INDIRECT($CW$2&amp;$CW$3)</f>
        <v>0</v>
      </c>
      <c r="DC3" s="479" t="s">
        <v>8120</v>
      </c>
      <c r="DD3" s="480">
        <v>16</v>
      </c>
      <c r="EQ3" s="469" t="s">
        <v>5510</v>
      </c>
      <c r="GC3" s="472" t="s">
        <v>5510</v>
      </c>
      <c r="GO3" s="472"/>
      <c r="GQ3" s="475"/>
      <c r="HK3" s="492" t="s">
        <v>5820</v>
      </c>
      <c r="HL3" s="492">
        <v>0</v>
      </c>
      <c r="HM3" s="492">
        <v>5</v>
      </c>
      <c r="HN3" s="492" t="s">
        <v>5821</v>
      </c>
      <c r="HO3" s="495" t="s">
        <v>5823</v>
      </c>
      <c r="HP3" s="492" t="s">
        <v>5878</v>
      </c>
      <c r="HQ3" s="495" t="s">
        <v>5822</v>
      </c>
      <c r="HR3" s="492" t="s">
        <v>5881</v>
      </c>
      <c r="HS3" s="492">
        <v>1</v>
      </c>
      <c r="HT3" s="492" t="s">
        <v>7822</v>
      </c>
      <c r="HU3" s="495" t="str">
        <f>HN3&amp;HQ3</f>
        <v>Categoria 1: Produto Extremamente Tóxico</v>
      </c>
    </row>
    <row r="4" spans="1:229" x14ac:dyDescent="0.25">
      <c r="A4" s="496">
        <f>ROW('PT&amp;IA'!P11)</f>
        <v>11</v>
      </c>
      <c r="B4" s="496" t="str" cm="1">
        <f t="array" aca="1" ref="B4" ca="1">IF(INDIRECT($A$2&amp;$B$2&amp;A4)&lt;&gt;0,INDIRECT($A$2&amp;$B$2&amp;A4),"")</f>
        <v/>
      </c>
      <c r="C4" s="496" t="str">
        <f ca="1">IFERROR(
  IF(B4="","",VLOOKUP(B4,tb_ingredientes[[ingrediente_ativo]:[cod_mono]],2,0)),
  "Novo")</f>
        <v/>
      </c>
      <c r="D4" s="496" t="str">
        <f ca="1">IFERROR(
    INDEX(tb_ingredientes[V],MATCH(B4,tb_ingredientes[ingrediente_ativo],0),1),
    "")</f>
        <v/>
      </c>
      <c r="E4" s="496" t="str" cm="1">
        <f t="array" aca="1" ref="E4" ca="1">IF(C4="Novo",INDIRECT($A$2&amp;$E$2&amp;A4),D4)</f>
        <v/>
      </c>
      <c r="G4" s="497">
        <v>32</v>
      </c>
      <c r="H4" s="498" t="str" cm="1">
        <f t="array" aca="1" ref="H4" ca="1">IF(
OR(INDIRECT($F$2&amp;$G$2&amp;$G4,1)&lt;&gt;"",INDIRECT($F$2&amp;$H$2&amp;G4,1)&lt;&gt;""),
INDIRECT($F$2&amp;$H$2&amp;G4,1),
"")</f>
        <v/>
      </c>
      <c r="I4" s="498" t="str">
        <f ca="1">IFERROR(
VLOOKUP(SEARCH("-",Calculos!$H4,1)-1,$K$3:$L$9,2,0)&amp;Calculos!$H4,"")</f>
        <v/>
      </c>
      <c r="K4" s="486">
        <v>2</v>
      </c>
      <c r="L4" s="487" t="s">
        <v>2072</v>
      </c>
      <c r="N4" s="499" t="str">
        <f ca="1">IFERROR(
IF(ISERROR(VLOOKUP(I4,tb_componentes_proibidos[[n_cas_corrigido]:[Componente_proibido]],1,0)),"",$H4),"")</f>
        <v/>
      </c>
      <c r="O4" s="499" t="str" cm="1">
        <f t="array" aca="1" ref="O4" ca="1">IFERROR(
INDEX($N$4:$N$43,MATCH(0,INDEX(COUNTIF($O$1:O3,$N$4:$N$43),),)),"")</f>
        <v/>
      </c>
      <c r="P4" s="499" t="str">
        <f ca="1">IFERROR(
VLOOKUP(O4,tb_componentes_proibidos[[n_cas]:[Componente_proibido]],3,0),"")</f>
        <v/>
      </c>
      <c r="Q4" s="499" t="str">
        <f ca="1">IF(P4="","","("&amp;O4&amp;")"&amp;" "&amp;P4)</f>
        <v/>
      </c>
      <c r="R4" s="499" t="str">
        <f ca="1">IF(Q5="",Q4&amp;"",Q4&amp;"; "&amp;CHAR(10))</f>
        <v/>
      </c>
      <c r="S4" s="500" t="str">
        <f ca="1">IF($R$4="","",
_xlfn.CONCAT("*** Existe componente descrito na lista de componentes proibidos - IN 34/2019",CHAR(10),$R$4:$R$43))</f>
        <v/>
      </c>
      <c r="U4" s="501" cm="1">
        <f t="array" aca="1" ref="U4" ca="1">INDIRECT($F$2&amp;$U$2&amp;G4,1)</f>
        <v>0</v>
      </c>
      <c r="V4" s="502" t="str">
        <f ca="1">IF(H4&lt;&gt;"",
IFERROR(
VLOOKUP(I4,tb_ingredientes[[n_cas_corrigido]:[ingrediente_ativo]],2,0),
IFERROR(VLOOKUP(I4,tb_componentes[[n_cas_corrigido]:[Componente]],2,0),"Informar nome do componente")),"")</f>
        <v/>
      </c>
      <c r="W4" s="502" t="str">
        <f t="shared" ref="W4:W43" ca="1" si="0">IF(X4&lt;&gt;0,X4/$AE$12,"")</f>
        <v/>
      </c>
      <c r="X4" s="492" cm="1">
        <f t="array" aca="1" ref="X4" ca="1">IF(Y4=1,INDIRECT($F$2&amp;$X$2&amp;G4,1),0)</f>
        <v>0</v>
      </c>
      <c r="Y4" s="492" cm="1">
        <f t="array" aca="1" ref="Y4" ca="1">IF(INDIRECT($F$2&amp;$Y$2&amp;G4,1)="Sim",1,0)</f>
        <v>0</v>
      </c>
      <c r="Z4" s="492" t="str">
        <f ca="1">IF(U4="sim",Calculos!V4&amp;" - "&amp;X4&amp;" "&amp;$AE$10&amp;" ("&amp;IFERROR(TRUNC(W4,4)*100,"")&amp;"%)","")</f>
        <v/>
      </c>
      <c r="AA4" s="492" t="str" cm="1">
        <f t="array" aca="1" ref="AA4" ca="1">IFERROR(
INDEX($Z$4:$Z$43,MATCH(0,INDEX(COUNTIF($AA$1:AA3,$Z$4:$Z$43),),)),"")</f>
        <v/>
      </c>
      <c r="AB4" s="492" t="str">
        <f t="shared" ref="AB4:AB43" ca="1" si="1">IF(AA5="",AA4&amp;"",AA4&amp;"; "&amp;CHAR(10))</f>
        <v/>
      </c>
      <c r="AC4" s="492" t="str" cm="1">
        <f t="array" aca="1" ref="AC4" ca="1">IF(INDIRECT($F$2&amp;$AC$2&amp;G4)&lt;&gt;0,INDIRECT($F$2&amp;$AC$2&amp;G4),"")</f>
        <v/>
      </c>
      <c r="AD4" s="503" t="str">
        <f ca="1">IF($AB$4="","Não foi declarado componente toxicologicamente relevante",
_xlfn.CONCAT($AB$4:$AB$43))</f>
        <v>Não foi declarado componente toxicologicamente relevante</v>
      </c>
      <c r="AF4" s="470" t="s">
        <v>5510</v>
      </c>
      <c r="AG4" s="492" t="str">
        <f ca="1">IFERROR(INDEX(tb_ingredientes[cod_mono],MATCH(Calculos!AH4,tb_ingredientes[ingrediente_ativo],0),1),"")</f>
        <v/>
      </c>
      <c r="AH4" s="492" t="str" cm="1">
        <f t="array" aca="1" ref="AH4" ca="1">IFERROR(
INDEX($B$4:$B$18,MATCH(0,INDEX(COUNTIF($AH$1:AH3,$B$4:$B$18),),)),"")</f>
        <v/>
      </c>
      <c r="AI4" s="492" t="str">
        <f t="shared" ref="AI4:AI17" ca="1" si="2">IF(INDEX($X$4:$X$43,MATCH(AH4,$V$4:$V$43,0),1)&lt;&gt;0,
         IFERROR(
                 INDEX($X$4:$X$43,MATCH(AH4,$V$4:$V$43,0),1),
                 "ERRO"),
"")</f>
        <v/>
      </c>
      <c r="AK4" s="470" t="s">
        <v>5510</v>
      </c>
      <c r="AN4" s="476">
        <v>19</v>
      </c>
      <c r="AO4" s="492" t="str" cm="1">
        <f t="array" aca="1" ref="AO4" ca="1">IF(INDIRECT($AN$2&amp;$AO$2&amp;AN4,1)&lt;&gt;0,
INDIRECT($AN$2&amp;$AO$2&amp;AN4,1),
IF((COUNTA(AO5:$AO$34)-COUNTIF(AO5:$AO$34,""))=0,"","# Id não informado #"))</f>
        <v/>
      </c>
      <c r="AP4" s="492" t="str" cm="1">
        <f t="array" aca="1" ref="AP4" ca="1">IFERROR(
INDEX($AO$4:$AO$33,MATCH(0,INDEX(COUNTIF($AP$1:AP3,$AO$4:$AO$33),),)),"")</f>
        <v/>
      </c>
      <c r="AR4" s="470" t="s">
        <v>5510</v>
      </c>
      <c r="AS4" s="493" t="s">
        <v>7994</v>
      </c>
      <c r="AT4" s="493" t="s">
        <v>7995</v>
      </c>
      <c r="AV4" s="469" t="s">
        <v>5510</v>
      </c>
      <c r="BB4" s="469" t="s">
        <v>5510</v>
      </c>
      <c r="BC4" s="494">
        <v>32</v>
      </c>
      <c r="BD4" s="494" t="str" cm="1">
        <f t="array" aca="1" ref="BD4" ca="1">IF(INDIRECT("'"&amp;$BC$1&amp;"'!R"&amp;BC4,1)&lt;&gt;0,INDIRECT("'CL50(1)'!R"&amp;BC4,1),"")</f>
        <v/>
      </c>
      <c r="BF4" s="469" t="s">
        <v>5510</v>
      </c>
      <c r="BG4" s="469"/>
      <c r="BH4" s="479" t="s">
        <v>8057</v>
      </c>
      <c r="BI4" s="480" t="s">
        <v>7417</v>
      </c>
      <c r="BJ4" s="479" t="str" cm="1">
        <f t="array" aca="1" ref="BJ4" ca="1">IF(INDIRECT($BI$2&amp;$BI$4,1)&lt;&gt;0,"Teste I" &amp; CHAR(10) &amp; INDIRECT($BI$2&amp;$BI$4,1),"-")</f>
        <v>-</v>
      </c>
      <c r="BN4" s="479" t="s">
        <v>120</v>
      </c>
      <c r="BO4" s="480">
        <v>705</v>
      </c>
      <c r="CU4" s="469" t="s">
        <v>5510</v>
      </c>
      <c r="CV4" s="479" t="s">
        <v>8119</v>
      </c>
      <c r="CW4" s="480" t="str">
        <f>Tabelas_fonte!W12</f>
        <v>Machos</v>
      </c>
      <c r="DC4" s="479" t="s">
        <v>8121</v>
      </c>
      <c r="DD4" s="480">
        <v>8</v>
      </c>
      <c r="EQ4" s="469" t="s">
        <v>5510</v>
      </c>
      <c r="EW4" s="504" t="s">
        <v>6133</v>
      </c>
      <c r="GC4" s="472" t="s">
        <v>5510</v>
      </c>
      <c r="GQ4" s="475"/>
      <c r="GT4" s="505" t="s">
        <v>7809</v>
      </c>
      <c r="HK4" s="492" t="s">
        <v>5820</v>
      </c>
      <c r="HL4" s="492">
        <v>5</v>
      </c>
      <c r="HM4" s="492">
        <v>50</v>
      </c>
      <c r="HN4" s="492" t="s">
        <v>5824</v>
      </c>
      <c r="HO4" s="495" t="s">
        <v>5823</v>
      </c>
      <c r="HP4" s="492" t="s">
        <v>5878</v>
      </c>
      <c r="HQ4" s="495" t="s">
        <v>5825</v>
      </c>
      <c r="HR4" s="492" t="s">
        <v>5881</v>
      </c>
      <c r="HS4" s="492">
        <v>2</v>
      </c>
      <c r="HT4" s="492" t="s">
        <v>7822</v>
      </c>
      <c r="HU4" s="495" t="str">
        <f t="shared" ref="HU4:HU8" si="3">HN4&amp;HQ4</f>
        <v>Categoria 2: Produto Altamente Tóxico</v>
      </c>
    </row>
    <row r="5" spans="1:229" x14ac:dyDescent="0.25">
      <c r="A5" s="496">
        <f>ROW('PT&amp;IA'!P12)</f>
        <v>12</v>
      </c>
      <c r="B5" s="496" t="str" cm="1">
        <f t="array" aca="1" ref="B5" ca="1">IF(INDIRECT($A$2&amp;$B$2&amp;A5)&lt;&gt;0,INDIRECT($A$2&amp;$B$2&amp;A5),"")</f>
        <v/>
      </c>
      <c r="C5" s="496" t="str">
        <f ca="1">IFERROR(
  IF(B5="","",VLOOKUP(B5,tb_ingredientes[[ingrediente_ativo]:[cod_mono]],2,0)),
  "Novo")</f>
        <v/>
      </c>
      <c r="D5" s="496" t="str">
        <f ca="1">IFERROR(
    INDEX(tb_ingredientes[V],MATCH(B5,tb_ingredientes[ingrediente_ativo],0),1),
    "")</f>
        <v/>
      </c>
      <c r="E5" s="496" t="str" cm="1">
        <f t="array" aca="1" ref="E5" ca="1">IF(C5="Novo",INDIRECT($A$2&amp;$E$2&amp;A5),D5)</f>
        <v/>
      </c>
      <c r="G5" s="497">
        <v>33</v>
      </c>
      <c r="H5" s="498" t="str" cm="1">
        <f t="array" aca="1" ref="H5" ca="1">IF(
OR(INDIRECT($F$2&amp;$G$2&amp;$G5,1)&lt;&gt;"",INDIRECT($F$2&amp;$H$2&amp;G5,1)&lt;&gt;""),
INDIRECT($F$2&amp;$H$2&amp;G5,1),
"")</f>
        <v/>
      </c>
      <c r="I5" s="498" t="str">
        <f ca="1">IFERROR(
VLOOKUP(SEARCH("-",Calculos!$H5,1)-1,$K$3:$L$9,2,0)&amp;Calculos!$H5,"")</f>
        <v/>
      </c>
      <c r="K5" s="486">
        <v>3</v>
      </c>
      <c r="L5" s="487" t="s">
        <v>2071</v>
      </c>
      <c r="N5" s="499" t="str">
        <f ca="1">IFERROR(
IF(ISERROR(VLOOKUP(I5,tb_componentes_proibidos[[n_cas_corrigido]:[Componente_proibido]],1,0)),"",$H5),"")</f>
        <v/>
      </c>
      <c r="O5" s="499" t="str" cm="1">
        <f t="array" aca="1" ref="O5" ca="1">IFERROR(
INDEX($N$4:$N$43,MATCH(0,INDEX(COUNTIF($O$1:O4,$N$4:$N$43),),)),"")</f>
        <v/>
      </c>
      <c r="P5" s="499" t="str">
        <f ca="1">IFERROR(
VLOOKUP(O5,tb_componentes_proibidos[[n_cas]:[Componente_proibido]],3,0),"")</f>
        <v/>
      </c>
      <c r="Q5" s="499" t="str">
        <f t="shared" ref="Q5:Q43" ca="1" si="4">IF(P5="","","("&amp;O5&amp;")"&amp;" "&amp;P5)</f>
        <v/>
      </c>
      <c r="R5" s="499" t="str">
        <f t="shared" ref="R5:R42" ca="1" si="5">IF(Q6="",Q5&amp;"",Q5&amp;"; "&amp;CHAR(10))</f>
        <v/>
      </c>
      <c r="U5" s="501" cm="1">
        <f t="array" aca="1" ref="U5" ca="1">INDIRECT($F$2&amp;$U$2&amp;G5,1)</f>
        <v>0</v>
      </c>
      <c r="V5" s="502" t="str">
        <f ca="1">IF(H5&lt;&gt;"",
IFERROR(
VLOOKUP(I5,tb_ingredientes[[n_cas_corrigido]:[ingrediente_ativo]],2,0),
IFERROR(VLOOKUP(I5,tb_componentes[[n_cas_corrigido]:[Componente]],2,0),"Informar nome do componente")),"")</f>
        <v/>
      </c>
      <c r="W5" s="502" t="str">
        <f t="shared" ca="1" si="0"/>
        <v/>
      </c>
      <c r="X5" s="492" cm="1">
        <f t="array" aca="1" ref="X5" ca="1">IF(Y5=1,INDIRECT($F$2&amp;$X$2&amp;G5,1),0)</f>
        <v>0</v>
      </c>
      <c r="Y5" s="492" cm="1">
        <f t="array" aca="1" ref="Y5" ca="1">IF(INDIRECT($F$2&amp;$Y$2&amp;G5,1)="Sim",1,0)</f>
        <v>0</v>
      </c>
      <c r="Z5" s="492" t="str">
        <f ca="1">IF(U5="sim",Calculos!V5&amp;" - "&amp;X5&amp;" "&amp;$AE$10&amp;" ("&amp;IFERROR(TRUNC(W5,4)*100,"")&amp;"%)","")</f>
        <v/>
      </c>
      <c r="AA5" s="495" t="str" cm="1">
        <f t="array" aca="1" ref="AA5" ca="1">IFERROR(
INDEX($Z$4:$Z$43,MATCH(0,INDEX(COUNTIF($AA$1:AA4,$Z$4:$Z$43),),)),"")</f>
        <v/>
      </c>
      <c r="AB5" s="492" t="str">
        <f t="shared" ca="1" si="1"/>
        <v/>
      </c>
      <c r="AC5" s="492" t="str" cm="1">
        <f t="array" aca="1" ref="AC5" ca="1">IF(INDIRECT($F$2&amp;$AC$2&amp;G5)&lt;&gt;0,INDIRECT($F$2&amp;$AC$2&amp;G5),"")</f>
        <v/>
      </c>
      <c r="AF5" s="470" t="s">
        <v>5510</v>
      </c>
      <c r="AG5" s="492" t="str">
        <f ca="1">IFERROR(INDEX(tb_ingredientes[cod_mono],MATCH(Calculos!AH5,tb_ingredientes[ingrediente_ativo],0),1),"")</f>
        <v/>
      </c>
      <c r="AH5" s="492" t="str" cm="1">
        <f t="array" aca="1" ref="AH5" ca="1">IFERROR(
INDEX($B$4:$B$18,MATCH(0,INDEX(COUNTIF($AH$1:AH4,$B$4:$B$18),),)),"")</f>
        <v/>
      </c>
      <c r="AI5" s="492" t="str">
        <f t="shared" ca="1" si="2"/>
        <v/>
      </c>
      <c r="AK5" s="470" t="s">
        <v>5510</v>
      </c>
      <c r="AN5" s="476">
        <v>20</v>
      </c>
      <c r="AO5" s="492" t="str" cm="1">
        <f t="array" aca="1" ref="AO5" ca="1">IF(INDIRECT($AN$2&amp;$AO$2&amp;AN5,1)&lt;&gt;0,
INDIRECT($AN$2&amp;$AO$2&amp;AN5,1),
IF((COUNTA(AO6:$AO$34)-COUNTIF(AO6:$AO$34,""))=0,"","# Id não informado #"))</f>
        <v/>
      </c>
      <c r="AP5" s="492" t="str" cm="1">
        <f t="array" aca="1" ref="AP5" ca="1">IFERROR(
INDEX($AO$4:$AO$33,MATCH(0,INDEX(COUNTIF($AP$1:AP4,$AO$4:$AO$33),),)),"")</f>
        <v/>
      </c>
      <c r="AR5" s="470" t="s">
        <v>5510</v>
      </c>
      <c r="AS5" s="25">
        <f ca="1">COUNTIF(INDIRECT($AS$2&amp;$AS$3,1),"&lt;&gt;"&amp;"")</f>
        <v>0</v>
      </c>
      <c r="AT5" s="25">
        <f ca="1">COUNTIFS(INDIRECT($AS$2&amp;$AS$3,1),"",INDIRECT($AS$2&amp;AT3,1),"&lt;&gt;"&amp;"")</f>
        <v>0</v>
      </c>
      <c r="AV5" s="469" t="s">
        <v>5510</v>
      </c>
      <c r="BB5" s="469" t="s">
        <v>5510</v>
      </c>
      <c r="BC5" s="494">
        <v>33</v>
      </c>
      <c r="BD5" s="494" t="str" cm="1">
        <f t="array" aca="1" ref="BD5" ca="1">IF(INDIRECT("'"&amp;$BC$1&amp;"'!R"&amp;BC5,1)&lt;&gt;0,INDIRECT("'CL50(1)'!R"&amp;BC5,1),"")</f>
        <v/>
      </c>
      <c r="BF5" s="469" t="s">
        <v>5510</v>
      </c>
      <c r="BG5" s="469"/>
      <c r="BH5" s="479" t="s">
        <v>8058</v>
      </c>
      <c r="BI5" s="480" t="s">
        <v>7639</v>
      </c>
      <c r="BJ5" s="479" t="str" cm="1">
        <f t="array" aca="1" ref="BJ5" ca="1">IF(INDIRECT($BI$2&amp;$BI$5,1)&lt;&gt;0,"Teste II" &amp; CHAR(10) &amp; INDIRECT($BI$2&amp;$BI$5,1),"-")</f>
        <v>-</v>
      </c>
      <c r="BN5" s="479" t="s">
        <v>8031</v>
      </c>
      <c r="BO5" s="480">
        <v>6</v>
      </c>
      <c r="CU5" s="469" t="s">
        <v>5510</v>
      </c>
      <c r="CV5" s="479" t="s">
        <v>8119</v>
      </c>
      <c r="CW5" s="480" t="str">
        <f>Tabelas_fonte!W13</f>
        <v>Fêmeas</v>
      </c>
      <c r="DH5" s="506"/>
      <c r="DI5" s="475"/>
      <c r="EQ5" s="469" t="s">
        <v>5510</v>
      </c>
      <c r="ES5" s="504" t="s">
        <v>369</v>
      </c>
      <c r="ET5" s="507" t="s">
        <v>8138</v>
      </c>
      <c r="EW5" s="22" t="str" cm="1">
        <f t="array" aca="1" ref="EW5" ca="1">IF(INDIRECT(ET5)=0,"-",INDIRECT(ET5))</f>
        <v>-</v>
      </c>
      <c r="FB5" s="508" t="s">
        <v>8147</v>
      </c>
      <c r="FD5" s="508" t="s">
        <v>5786</v>
      </c>
      <c r="FE5" s="508" t="s">
        <v>7794</v>
      </c>
      <c r="GC5" s="472" t="s">
        <v>5510</v>
      </c>
      <c r="GE5" s="477" t="s">
        <v>8198</v>
      </c>
      <c r="GF5" s="477" t="s">
        <v>8197</v>
      </c>
      <c r="GG5" s="509" t="s">
        <v>5589</v>
      </c>
      <c r="GH5" s="477" t="s">
        <v>5795</v>
      </c>
      <c r="GI5" s="477" t="s">
        <v>5874</v>
      </c>
      <c r="GJ5" s="510" t="s">
        <v>8200</v>
      </c>
      <c r="GK5" s="477" t="s">
        <v>8199</v>
      </c>
      <c r="GL5" s="477" t="s">
        <v>78</v>
      </c>
      <c r="GM5" s="477" t="s">
        <v>8199</v>
      </c>
      <c r="GN5" s="477" t="s">
        <v>8205</v>
      </c>
      <c r="GO5" s="477" t="s">
        <v>8240</v>
      </c>
      <c r="GP5" s="477" t="s">
        <v>5897</v>
      </c>
      <c r="GQ5" s="511" t="s">
        <v>6551</v>
      </c>
      <c r="GR5" s="511" t="s">
        <v>8217</v>
      </c>
      <c r="GS5" s="511" t="s">
        <v>8264</v>
      </c>
      <c r="GT5" s="512" t="s">
        <v>8261</v>
      </c>
      <c r="GU5" s="513" t="s">
        <v>8263</v>
      </c>
      <c r="GV5" s="477" t="s">
        <v>7806</v>
      </c>
      <c r="GW5" s="477" t="s">
        <v>5819</v>
      </c>
      <c r="GX5" s="477" t="s">
        <v>5877</v>
      </c>
      <c r="HA5" s="514" t="s">
        <v>8271</v>
      </c>
      <c r="HB5" s="515" t="str">
        <f ca="1">IF(COUNTIF(GV6:GV13,$HN$3)&gt;0,HN3,
IF(COUNTIF(GV6:GV13,$HN$4)&gt;0,HN4,
IF(COUNTIF(GV6:GV13,$HN$5)&gt;0,HN5,
IF(COUNTIF(GV6:GV13,$HN$6)&gt;0,HN6,
IF(COUNTIF(GV6:GV13,$HN$7)&gt;0,HN7,
IF(COUNTIF(GV6:GV13,$HN$8)&gt;0,HN21,"Erro/Falha na classificação"))))))</f>
        <v>Erro/Falha na classificação</v>
      </c>
      <c r="HG5" s="516"/>
      <c r="HK5" s="492" t="s">
        <v>5820</v>
      </c>
      <c r="HL5" s="492">
        <v>50</v>
      </c>
      <c r="HM5" s="492">
        <v>300</v>
      </c>
      <c r="HN5" s="492" t="s">
        <v>5826</v>
      </c>
      <c r="HO5" s="495" t="s">
        <v>5828</v>
      </c>
      <c r="HP5" s="492" t="s">
        <v>5878</v>
      </c>
      <c r="HQ5" s="495" t="s">
        <v>5827</v>
      </c>
      <c r="HR5" s="492" t="s">
        <v>5882</v>
      </c>
      <c r="HS5" s="492">
        <v>3</v>
      </c>
      <c r="HT5" s="492" t="s">
        <v>7822</v>
      </c>
      <c r="HU5" s="495" t="str">
        <f t="shared" si="3"/>
        <v>Categoria 3: Produto Moderadamente Tóxico</v>
      </c>
    </row>
    <row r="6" spans="1:229" x14ac:dyDescent="0.25">
      <c r="A6" s="496">
        <f>ROW('PT&amp;IA'!P13)</f>
        <v>13</v>
      </c>
      <c r="B6" s="496" t="str" cm="1">
        <f t="array" aca="1" ref="B6" ca="1">IF(INDIRECT($A$2&amp;$B$2&amp;A6)&lt;&gt;0,INDIRECT($A$2&amp;$B$2&amp;A6),"")</f>
        <v/>
      </c>
      <c r="C6" s="496" t="str">
        <f ca="1">IFERROR(
  IF(B6="","",VLOOKUP(B6,tb_ingredientes[[ingrediente_ativo]:[cod_mono]],2,0)),
  "Novo")</f>
        <v/>
      </c>
      <c r="D6" s="496" t="str">
        <f ca="1">IFERROR(
    INDEX(tb_ingredientes[V],MATCH(B6,tb_ingredientes[ingrediente_ativo],0),1),
    "")</f>
        <v/>
      </c>
      <c r="E6" s="496" t="str" cm="1">
        <f t="array" aca="1" ref="E6" ca="1">IF(C6="Novo",INDIRECT($A$2&amp;$E$2&amp;A6),D6)</f>
        <v/>
      </c>
      <c r="G6" s="497">
        <v>34</v>
      </c>
      <c r="H6" s="498" t="str" cm="1">
        <f t="array" aca="1" ref="H6" ca="1">IF(
OR(INDIRECT($F$2&amp;$G$2&amp;$G6,1)&lt;&gt;"",INDIRECT($F$2&amp;$H$2&amp;G6,1)&lt;&gt;""),
INDIRECT($F$2&amp;$H$2&amp;G6,1),
"")</f>
        <v/>
      </c>
      <c r="I6" s="498" t="str">
        <f ca="1">IFERROR(
VLOOKUP(SEARCH("-",Calculos!$H6,1)-1,$K$3:$L$9,2,0)&amp;Calculos!$H6,"")</f>
        <v/>
      </c>
      <c r="K6" s="486">
        <v>4</v>
      </c>
      <c r="L6" s="487" t="s">
        <v>2070</v>
      </c>
      <c r="N6" s="499" t="str">
        <f ca="1">IFERROR(
IF(ISERROR(VLOOKUP(I6,tb_componentes_proibidos[[n_cas_corrigido]:[Componente_proibido]],1,0)),"",$H6),"")</f>
        <v/>
      </c>
      <c r="O6" s="499" t="str" cm="1">
        <f t="array" aca="1" ref="O6" ca="1">IFERROR(
INDEX($N$4:$N$43,MATCH(0,INDEX(COUNTIF($O$1:O5,$N$4:$N$43),),)),"")</f>
        <v/>
      </c>
      <c r="P6" s="499" t="str">
        <f ca="1">IFERROR(
VLOOKUP(O6,tb_componentes_proibidos[[n_cas]:[Componente_proibido]],3,0),"")</f>
        <v/>
      </c>
      <c r="Q6" s="499" t="str">
        <f t="shared" ca="1" si="4"/>
        <v/>
      </c>
      <c r="R6" s="499" t="str">
        <f t="shared" ca="1" si="5"/>
        <v/>
      </c>
      <c r="S6" s="517"/>
      <c r="U6" s="501" cm="1">
        <f t="array" aca="1" ref="U6" ca="1">INDIRECT($F$2&amp;$U$2&amp;G6,1)</f>
        <v>0</v>
      </c>
      <c r="V6" s="502" t="str">
        <f ca="1">IF(H6&lt;&gt;"",
IFERROR(
VLOOKUP(I6,tb_ingredientes[[n_cas_corrigido]:[ingrediente_ativo]],2,0),
IFERROR(VLOOKUP(I6,tb_componentes[[n_cas_corrigido]:[Componente]],2,0),"Informar nome do componente")),"")</f>
        <v/>
      </c>
      <c r="W6" s="502" t="str">
        <f t="shared" ca="1" si="0"/>
        <v/>
      </c>
      <c r="X6" s="492" cm="1">
        <f t="array" aca="1" ref="X6" ca="1">IF(Y6=1,INDIRECT($F$2&amp;$X$2&amp;G6,1),0)</f>
        <v>0</v>
      </c>
      <c r="Y6" s="492" cm="1">
        <f t="array" aca="1" ref="Y6" ca="1">IF(INDIRECT($F$2&amp;$Y$2&amp;G6,1)="Sim",1,0)</f>
        <v>0</v>
      </c>
      <c r="Z6" s="492" t="str">
        <f ca="1">IF(U6="sim",Calculos!V6&amp;" - "&amp;X6&amp;" "&amp;$AE$10&amp;" ("&amp;IFERROR(TRUNC(W6,4)*100,"")&amp;"%)","")</f>
        <v/>
      </c>
      <c r="AA6" s="492" t="str" cm="1">
        <f t="array" aca="1" ref="AA6" ca="1">IFERROR(
INDEX($Z$4:$Z$43,MATCH(0,INDEX(COUNTIF($AA$1:AA5,$Z$4:$Z$43),),)),"")</f>
        <v/>
      </c>
      <c r="AB6" s="492" t="str">
        <f t="shared" ca="1" si="1"/>
        <v/>
      </c>
      <c r="AC6" s="492" t="str" cm="1">
        <f t="array" aca="1" ref="AC6" ca="1">IF(INDIRECT($F$2&amp;$AC$2&amp;G6)&lt;&gt;0,INDIRECT($F$2&amp;$AC$2&amp;G6),"")</f>
        <v/>
      </c>
      <c r="AF6" s="470" t="s">
        <v>5510</v>
      </c>
      <c r="AG6" s="492" t="str">
        <f ca="1">IFERROR(INDEX(tb_ingredientes[cod_mono],MATCH(Calculos!AH6,tb_ingredientes[ingrediente_ativo],0),1),"")</f>
        <v/>
      </c>
      <c r="AH6" s="492" t="str" cm="1">
        <f t="array" aca="1" ref="AH6" ca="1">IFERROR(
INDEX($B$4:$B$18,MATCH(0,INDEX(COUNTIF($AH$1:AH5,$B$4:$B$18),),)),"")</f>
        <v/>
      </c>
      <c r="AI6" s="492" t="str">
        <f t="shared" ca="1" si="2"/>
        <v/>
      </c>
      <c r="AK6" s="470" t="s">
        <v>5510</v>
      </c>
      <c r="AN6" s="476">
        <v>21</v>
      </c>
      <c r="AO6" s="492" t="str" cm="1">
        <f t="array" aca="1" ref="AO6" ca="1">IF(INDIRECT($AN$2&amp;$AO$2&amp;AN6,1)&lt;&gt;0,
INDIRECT($AN$2&amp;$AO$2&amp;AN6,1),
IF((COUNTA(AO7:$AO$34)-COUNTIF(AO7:$AO$34,""))=0,"","# Id não informado #"))</f>
        <v/>
      </c>
      <c r="AP6" s="492" t="str" cm="1">
        <f t="array" aca="1" ref="AP6" ca="1">IFERROR(
INDEX($AO$4:$AO$33,MATCH(0,INDEX(COUNTIF($AP$1:AP5,$AO$4:$AO$33),),)),"")</f>
        <v/>
      </c>
      <c r="AR6" s="470" t="s">
        <v>5510</v>
      </c>
      <c r="AV6" s="469" t="s">
        <v>5510</v>
      </c>
      <c r="BB6" s="469" t="s">
        <v>5510</v>
      </c>
      <c r="BC6" s="494">
        <v>34</v>
      </c>
      <c r="BD6" s="494" t="str" cm="1">
        <f t="array" aca="1" ref="BD6" ca="1">IF(INDIRECT("'"&amp;$BC$1&amp;"'!R"&amp;BC6,1)&lt;&gt;0,INDIRECT("'CL50(1)'!R"&amp;BC6,1),"")</f>
        <v/>
      </c>
      <c r="BF6" s="469" t="s">
        <v>5510</v>
      </c>
      <c r="BG6" s="469"/>
      <c r="BH6" s="479" t="s">
        <v>8058</v>
      </c>
      <c r="BI6" s="480" t="s">
        <v>7651</v>
      </c>
      <c r="BJ6" s="479" t="str" cm="1">
        <f t="array" aca="1" ref="BJ6" ca="1">IF(INDIRECT($BI$2&amp;$BI$6,1)&lt;&gt;0,"Teste III" &amp; CHAR(10) &amp; INDIRECT($BI$2&amp;$BI$6,1),"-")</f>
        <v>-</v>
      </c>
      <c r="BN6" s="479" t="s">
        <v>8032</v>
      </c>
      <c r="BO6" s="480">
        <v>6</v>
      </c>
      <c r="CU6" s="469" t="s">
        <v>5510</v>
      </c>
      <c r="CV6" s="479" t="s">
        <v>8119</v>
      </c>
      <c r="CW6" s="480" t="str">
        <f>Tabelas_fonte!W14</f>
        <v>Machos e Fêmeas</v>
      </c>
      <c r="EQ6" s="469" t="s">
        <v>5510</v>
      </c>
      <c r="ES6" s="504" t="s">
        <v>370</v>
      </c>
      <c r="ET6" s="507" t="s">
        <v>8142</v>
      </c>
      <c r="EW6" s="22" t="str" cm="1">
        <f t="array" aca="1" ref="EW6" ca="1">IF(INDIRECT(ET6)=0,"-",INDIRECT(ET6))</f>
        <v>-</v>
      </c>
      <c r="FB6" s="518" t="str">
        <f ca="1">_xlfn.CONCAT(FD6:FE9)</f>
        <v/>
      </c>
      <c r="FD6" s="518" t="str">
        <f>IF(Respostas_usuario!E2=TRUE,Respostas_usuario!D2,"")</f>
        <v/>
      </c>
      <c r="FE6" s="518" t="str">
        <f>IF(FD6&lt;&gt;"",IF(COUNTA($FD7:FD$9)-COUNTIF($FD7:FD$9,"")=0,".","; "),"")</f>
        <v/>
      </c>
      <c r="GC6" s="472" t="s">
        <v>5510</v>
      </c>
      <c r="GE6" s="519" t="s">
        <v>5566</v>
      </c>
      <c r="GF6" s="520" t="s">
        <v>1592</v>
      </c>
      <c r="GG6" s="521"/>
      <c r="GH6" s="522" t="str" cm="1">
        <f t="array" aca="1" ref="GH6" ca="1">IFERROR(
IF(INDIRECT(GE6&amp;GF6)&lt;&gt;0,"sim","não"),
"Erro")</f>
        <v>não</v>
      </c>
      <c r="GI6" s="22" t="b">
        <f>Respostas_usuario!L2</f>
        <v>0</v>
      </c>
      <c r="GJ6" s="519">
        <v>60</v>
      </c>
      <c r="GK6" s="22" cm="1">
        <f t="array" aca="1" ref="GK6" ca="1">IFERROR(
IF(INDIRECT(GE6&amp;"Q"&amp;GJ6)&lt;&gt;"",
INDIRECT(GE6&amp;"Q"&amp;GJ6),
INDIRECT(GE6&amp;"AC"&amp;GJ6,1)),
$GI$29)</f>
        <v>0</v>
      </c>
      <c r="GL6" s="22" t="str">
        <f t="shared" ref="GL6:GL13" ca="1" si="6">IFERROR(
IF(GH6&lt;&gt;"sim","-",
IF(GI6=TRUE,"&gt; ","") &amp; GK6),
"-")</f>
        <v>-</v>
      </c>
      <c r="GM6" s="22">
        <f ca="1">IF(GI6,GK6+$GI$34,GK6)</f>
        <v>0</v>
      </c>
      <c r="GN6" s="22">
        <f ca="1">IFERROR(
  COUNTIFS(
    GG40:GG54,"x",
    GF40:GF54,"&lt;="&amp;HM6),
"Erro")</f>
        <v>0</v>
      </c>
      <c r="GO6" s="22" t="str">
        <f ca="1">IF(GH6&lt;&gt;"sim",
"-",
IF(
COUNTIFS(
GH40:GH54,TRUE,
GF40:GF54,"&gt;0",
GF40:GF54,"&lt;="&amp;$HM$6)&gt;0,$GK$27,$GK$28))</f>
        <v>-</v>
      </c>
      <c r="GP6" s="1646" t="str" cm="1">
        <f t="array" aca="1" ref="GP6" ca="1">IF(COUNTIF(GH6:GH9,"sim")=0,
"-",
INDEX(GL6:GL9, MATCH( MIN(IF(GK6:GK9&gt;0,GK6:GK9)), GK6:GK9,0), 1) &amp; " mg/kg pc"
)</f>
        <v>-</v>
      </c>
      <c r="GQ6" s="23"/>
      <c r="GR6" s="523" t="str">
        <f ca="1">IFERROR(
IF(GH6&lt;&gt;"sim","-",
IF(GM6&lt;=$HM$3,$HN$3,
IF(GM6&lt;=$HM$4,$HN$4,
IF(GM6&lt;=$HM$5,$HN$5,
IF(GM6&lt;=$HM$6,$HN$6,
IF(GM6&lt;=$HM$7,$HN$7,
$HN$8)))))),$GI$29)</f>
        <v>-</v>
      </c>
      <c r="GS6" s="523" t="str">
        <f ca="1">IF(AND(GM6&gt;2000,GN6=0,GO6=$GK$28,GN40&gt;=2),$HN$8,GR6)</f>
        <v>-</v>
      </c>
      <c r="GT6" s="22" t="s">
        <v>8269</v>
      </c>
      <c r="GU6" s="22" t="str" cm="1">
        <f t="array" aca="1" ref="GU6" ca="1">INDIRECT($GT$4&amp;GT6,1)</f>
        <v>-</v>
      </c>
      <c r="GV6" s="1649" t="str">
        <f ca="1" xml:space="preserve">
IF(COUNTIF(GU6:GU9,$HN$3)&gt;0,HN3,
IF(COUNTIF(GU6:GU9,$HN$4)&gt;0,HN4,
IF(COUNTIF(GU6:GU9,$HN$5)&gt;0,HN5,
IF(COUNTIF(GU6:GU9,$HN$6)&gt;0,HN6,
IF(COUNTIF(GU6:GU9,$HN$7)&gt;0,HN7,
IF(COUNTIF(GU6:GU9,$HN$8)&gt;0,HN8,
IF(COUNTIF(GU6:GU9,$GI$31)&gt;0,$GI$33,
GU6)))))))</f>
        <v>-</v>
      </c>
      <c r="GW6" s="1649" t="str">
        <f ca="1">IFERROR(VLOOKUP(GV6,HN3:HP8,2,0),"a definir")</f>
        <v>a definir</v>
      </c>
      <c r="GX6" s="1649" t="str">
        <f ca="1">IFERROR(VLOOKUP(GV6,HN3:HP8,3,0),"a definir")</f>
        <v>a definir</v>
      </c>
      <c r="HA6" s="514" t="s">
        <v>8273</v>
      </c>
      <c r="HB6" s="524" t="b">
        <f ca="1">IF(SUM(GY14:GY25)&gt;0,TRUE,FALSE)</f>
        <v>0</v>
      </c>
      <c r="HK6" s="492" t="s">
        <v>5820</v>
      </c>
      <c r="HL6" s="492">
        <v>300</v>
      </c>
      <c r="HM6" s="492">
        <v>2000</v>
      </c>
      <c r="HN6" s="492" t="s">
        <v>5829</v>
      </c>
      <c r="HO6" s="495" t="s">
        <v>5831</v>
      </c>
      <c r="HP6" s="492" t="s">
        <v>5879</v>
      </c>
      <c r="HQ6" s="495" t="s">
        <v>5830</v>
      </c>
      <c r="HR6" s="492" t="s">
        <v>5883</v>
      </c>
      <c r="HS6" s="492">
        <v>4</v>
      </c>
      <c r="HT6" s="492" t="s">
        <v>7822</v>
      </c>
      <c r="HU6" s="495" t="str">
        <f t="shared" si="3"/>
        <v>Categoria 4: Produto Pouco Tóxico</v>
      </c>
    </row>
    <row r="7" spans="1:229" x14ac:dyDescent="0.25">
      <c r="A7" s="496">
        <f>ROW('PT&amp;IA'!P14)</f>
        <v>14</v>
      </c>
      <c r="B7" s="496" t="str" cm="1">
        <f t="array" aca="1" ref="B7" ca="1">IF(INDIRECT($A$2&amp;$B$2&amp;A7)&lt;&gt;0,INDIRECT($A$2&amp;$B$2&amp;A7),"")</f>
        <v/>
      </c>
      <c r="C7" s="496" t="str">
        <f ca="1">IFERROR(
  IF(B7="","",VLOOKUP(B7,tb_ingredientes[[ingrediente_ativo]:[cod_mono]],2,0)),
  "Novo")</f>
        <v/>
      </c>
      <c r="D7" s="496" t="str">
        <f ca="1">IFERROR(
    INDEX(tb_ingredientes[V],MATCH(B7,tb_ingredientes[ingrediente_ativo],0),1),
    "")</f>
        <v/>
      </c>
      <c r="E7" s="496" t="str" cm="1">
        <f t="array" aca="1" ref="E7" ca="1">IF(C7="Novo",INDIRECT($A$2&amp;$E$2&amp;A7),D7)</f>
        <v/>
      </c>
      <c r="G7" s="497">
        <v>35</v>
      </c>
      <c r="H7" s="498" t="str" cm="1">
        <f t="array" aca="1" ref="H7" ca="1">IF(
OR(INDIRECT($F$2&amp;$G$2&amp;$G7,1)&lt;&gt;"",INDIRECT($F$2&amp;$H$2&amp;G7,1)&lt;&gt;""),
INDIRECT($F$2&amp;$H$2&amp;G7,1),
"")</f>
        <v/>
      </c>
      <c r="I7" s="498" t="str">
        <f ca="1">IFERROR(
VLOOKUP(SEARCH("-",Calculos!$H7,1)-1,$K$3:$L$9,2,0)&amp;Calculos!$H7,"")</f>
        <v/>
      </c>
      <c r="K7" s="486">
        <v>5</v>
      </c>
      <c r="L7" s="487" t="s">
        <v>2069</v>
      </c>
      <c r="N7" s="499" t="str">
        <f ca="1">IFERROR(
IF(ISERROR(VLOOKUP(I7,tb_componentes_proibidos[[n_cas_corrigido]:[Componente_proibido]],1,0)),"",$H7),"")</f>
        <v/>
      </c>
      <c r="O7" s="499" t="str" cm="1">
        <f t="array" aca="1" ref="O7" ca="1">IFERROR(
INDEX($N$4:$N$43,MATCH(0,INDEX(COUNTIF($O$1:O6,$N$4:$N$43),),)),"")</f>
        <v/>
      </c>
      <c r="P7" s="499" t="str">
        <f ca="1">IFERROR(
VLOOKUP(O7,tb_componentes_proibidos[[n_cas]:[Componente_proibido]],3,0),"")</f>
        <v/>
      </c>
      <c r="Q7" s="499" t="str">
        <f t="shared" ca="1" si="4"/>
        <v/>
      </c>
      <c r="R7" s="499" t="str">
        <f t="shared" ca="1" si="5"/>
        <v/>
      </c>
      <c r="U7" s="501" cm="1">
        <f t="array" aca="1" ref="U7" ca="1">INDIRECT($F$2&amp;$U$2&amp;G7,1)</f>
        <v>0</v>
      </c>
      <c r="V7" s="502" t="str">
        <f ca="1">IF(H7&lt;&gt;"",
IFERROR(
VLOOKUP(I7,tb_ingredientes[[n_cas_corrigido]:[ingrediente_ativo]],2,0),
IFERROR(VLOOKUP(I7,tb_componentes[[n_cas_corrigido]:[Componente]],2,0),"Informar nome do componente")),"")</f>
        <v/>
      </c>
      <c r="W7" s="502" t="str">
        <f t="shared" ca="1" si="0"/>
        <v/>
      </c>
      <c r="X7" s="492" cm="1">
        <f t="array" aca="1" ref="X7" ca="1">IF(Y7=1,INDIRECT($F$2&amp;$X$2&amp;G7,1),0)</f>
        <v>0</v>
      </c>
      <c r="Y7" s="492" cm="1">
        <f t="array" aca="1" ref="Y7" ca="1">IF(INDIRECT($F$2&amp;$Y$2&amp;G7,1)="Sim",1,0)</f>
        <v>0</v>
      </c>
      <c r="Z7" s="492" t="str">
        <f ca="1">IF(U7="sim",Calculos!V7&amp;" - "&amp;X7&amp;" "&amp;$AE$10&amp;" ("&amp;IFERROR(TRUNC(W7,4)*100,"")&amp;"%)","")</f>
        <v/>
      </c>
      <c r="AA7" s="492" t="str" cm="1">
        <f t="array" aca="1" ref="AA7" ca="1">IFERROR(
INDEX($Z$4:$Z$43,MATCH(0,INDEX(COUNTIF($AA$1:AA6,$Z$4:$Z$43),),)),"")</f>
        <v/>
      </c>
      <c r="AB7" s="492" t="str">
        <f t="shared" ca="1" si="1"/>
        <v/>
      </c>
      <c r="AC7" s="492" t="str" cm="1">
        <f t="array" aca="1" ref="AC7" ca="1">IF(INDIRECT($F$2&amp;$AC$2&amp;G7)&lt;&gt;0,INDIRECT($F$2&amp;$AC$2&amp;G7),"")</f>
        <v/>
      </c>
      <c r="AF7" s="470" t="s">
        <v>5510</v>
      </c>
      <c r="AG7" s="492" t="str">
        <f ca="1">IFERROR(INDEX(tb_ingredientes[cod_mono],MATCH(Calculos!AH7,tb_ingredientes[ingrediente_ativo],0),1),"")</f>
        <v/>
      </c>
      <c r="AH7" s="492" t="str" cm="1">
        <f t="array" aca="1" ref="AH7" ca="1">IFERROR(
INDEX($B$4:$B$18,MATCH(0,INDEX(COUNTIF($AH$1:AH6,$B$4:$B$18),),)),"")</f>
        <v/>
      </c>
      <c r="AI7" s="492" t="str">
        <f t="shared" ca="1" si="2"/>
        <v/>
      </c>
      <c r="AK7" s="470" t="s">
        <v>5510</v>
      </c>
      <c r="AN7" s="476">
        <v>22</v>
      </c>
      <c r="AO7" s="492" t="str" cm="1">
        <f t="array" aca="1" ref="AO7" ca="1">IF(INDIRECT($AN$2&amp;$AO$2&amp;AN7,1)&lt;&gt;0,
INDIRECT($AN$2&amp;$AO$2&amp;AN7,1),
IF((COUNTA(AO8:$AO$34)-COUNTIF(AO8:$AO$34,""))=0,"","# Id não informado #"))</f>
        <v/>
      </c>
      <c r="AP7" s="492" t="str" cm="1">
        <f t="array" aca="1" ref="AP7" ca="1">IFERROR(
INDEX($AO$4:$AO$33,MATCH(0,INDEX(COUNTIF($AP$1:AP6,$AO$4:$AO$33),),)),"")</f>
        <v/>
      </c>
      <c r="AR7" s="470" t="s">
        <v>5510</v>
      </c>
      <c r="AS7" s="493" t="s">
        <v>7990</v>
      </c>
      <c r="AT7" s="525">
        <f ca="1">AS5+AT5</f>
        <v>0</v>
      </c>
      <c r="AV7" s="469" t="s">
        <v>5510</v>
      </c>
      <c r="BB7" s="469" t="s">
        <v>5510</v>
      </c>
      <c r="BC7" s="494">
        <v>35</v>
      </c>
      <c r="BD7" s="494" t="str" cm="1">
        <f t="array" aca="1" ref="BD7" ca="1">IF(INDIRECT("'"&amp;$BC$1&amp;"'!R"&amp;BC7,1)&lt;&gt;0,INDIRECT("'CL50(1)'!R"&amp;BC7,1),"")</f>
        <v/>
      </c>
      <c r="BF7" s="469" t="s">
        <v>5510</v>
      </c>
      <c r="BG7" s="469"/>
      <c r="BI7" s="20"/>
      <c r="BJ7" s="480" t="s">
        <v>5734</v>
      </c>
      <c r="BK7" s="480" t="s">
        <v>5735</v>
      </c>
      <c r="BL7" s="480" t="s">
        <v>5732</v>
      </c>
      <c r="BM7" s="480" t="s">
        <v>5736</v>
      </c>
      <c r="BN7" s="480" t="s">
        <v>5737</v>
      </c>
      <c r="BO7" s="480" t="s">
        <v>5738</v>
      </c>
      <c r="BU7" s="480" t="str">
        <f>$BJ$7</f>
        <v>N</v>
      </c>
      <c r="BV7" s="480" t="str">
        <f>$BK$7</f>
        <v>O</v>
      </c>
      <c r="BW7" s="480" t="str">
        <f>$BL$7</f>
        <v>P</v>
      </c>
      <c r="BX7" s="480" t="str">
        <f>$BM$7</f>
        <v>Q</v>
      </c>
      <c r="BY7" s="480" t="str">
        <f>$BN$7</f>
        <v>R</v>
      </c>
      <c r="BZ7" s="480" t="str">
        <f>$BO$7</f>
        <v>S</v>
      </c>
      <c r="CF7" s="480" t="str">
        <f>$BJ$7</f>
        <v>N</v>
      </c>
      <c r="CG7" s="480" t="str">
        <f>$BK$7</f>
        <v>O</v>
      </c>
      <c r="CH7" s="480" t="str">
        <f>$BL$7</f>
        <v>P</v>
      </c>
      <c r="CI7" s="480" t="str">
        <f>$BM$7</f>
        <v>Q</v>
      </c>
      <c r="CJ7" s="480" t="str">
        <f>$BN$7</f>
        <v>R</v>
      </c>
      <c r="CK7" s="480" t="str">
        <f>$BO$7</f>
        <v>S</v>
      </c>
      <c r="CU7" s="469" t="s">
        <v>5510</v>
      </c>
      <c r="EQ7" s="469" t="s">
        <v>5510</v>
      </c>
      <c r="ES7" s="504" t="s">
        <v>8150</v>
      </c>
      <c r="ET7" s="507" t="s">
        <v>8149</v>
      </c>
      <c r="EW7" s="22" t="str" cm="1">
        <f t="array" aca="1" ref="EW7" ca="1">IF(INDIRECT(ET7)=0,"-",INDIRECT(ET7))</f>
        <v>-</v>
      </c>
      <c r="FD7" s="518" t="str">
        <f>IF(Respostas_usuario!E3=TRUE,Respostas_usuario!D3,"")</f>
        <v/>
      </c>
      <c r="FE7" s="518" t="str">
        <f>IF(FD7&lt;&gt;"",IF(COUNTA($FD8:FD$9)-COUNTIF($FD8:FD$9,"")=0,".","; "),"")</f>
        <v/>
      </c>
      <c r="GC7" s="472" t="s">
        <v>5510</v>
      </c>
      <c r="GE7" s="519" t="s">
        <v>5567</v>
      </c>
      <c r="GF7" s="520" t="s">
        <v>1592</v>
      </c>
      <c r="GG7" s="526"/>
      <c r="GH7" s="522" t="str" cm="1">
        <f t="array" aca="1" ref="GH7" ca="1">IFERROR(
IF(INDIRECT(GE7&amp;GF7)&lt;&gt;0,"sim","não"),
"Erro")</f>
        <v>não</v>
      </c>
      <c r="GI7" s="22" t="b">
        <f>Respostas_usuario!L3</f>
        <v>0</v>
      </c>
      <c r="GJ7" s="519">
        <v>60</v>
      </c>
      <c r="GK7" s="22" cm="1">
        <f t="array" aca="1" ref="GK7" ca="1">IFERROR(
IF(INDIRECT(GE7&amp;"Q"&amp;GJ7)&lt;&gt;"",
INDIRECT(GE7&amp;"Q"&amp;GJ7),
INDIRECT(GE7&amp;"AC"&amp;GJ7,1)),$GI$29)</f>
        <v>0</v>
      </c>
      <c r="GL7" s="22" t="str">
        <f t="shared" ca="1" si="6"/>
        <v>-</v>
      </c>
      <c r="GM7" s="22">
        <f t="shared" ref="GM7:GM13" ca="1" si="7">IF(GI7,GK7+$GI$34,GK7)</f>
        <v>0</v>
      </c>
      <c r="GN7" s="22">
        <f ca="1">IFERROR(
  COUNTIFS(
    GJ40:GJ54,"x",
    GI40:GI54,"&lt;="&amp;HM6),
"Erro")</f>
        <v>0</v>
      </c>
      <c r="GO7" s="22" t="str">
        <f ca="1">IF(GH7&lt;&gt;"sim",
"-",
IF(
COUNTIFS(
GK40:GK54,TRUE,
GI40:GI54,"&gt;0",
GI40:GI54,"&lt;="&amp;$HM$6)&gt;0,$GK$27,$GK$28))</f>
        <v>-</v>
      </c>
      <c r="GP7" s="1646"/>
      <c r="GQ7" s="23"/>
      <c r="GR7" s="523" t="str">
        <f t="shared" ref="GR7:GR9" ca="1" si="8">IFERROR(
IF(GH7&lt;&gt;"sim","-",
IF(GM7&lt;=$HM$3,$HN$3,
IF(GM7&lt;=$HM$4,$HN$4,
IF(GM7&lt;=$HM$5,$HN$5,
IF(GM7&lt;=$HM$6,$HN$6,
IF(GM7&lt;=$HM$7,$HN$7,
$HN$8)))))),$GI$29)</f>
        <v>-</v>
      </c>
      <c r="GS7" s="523" t="str">
        <f ca="1">IF(AND(GM7&gt;2000,GN7=0,GO7=$GK$28,GN41&gt;=2),$HN$8,GR7)</f>
        <v>-</v>
      </c>
      <c r="GT7" s="22" t="s">
        <v>8242</v>
      </c>
      <c r="GU7" s="22" t="str" cm="1">
        <f t="array" aca="1" ref="GU7" ca="1">INDIRECT($GT$4&amp;GT7,1)</f>
        <v>-</v>
      </c>
      <c r="GV7" s="1649"/>
      <c r="GW7" s="1649"/>
      <c r="GX7" s="1649"/>
      <c r="HA7" s="527" t="s">
        <v>8275</v>
      </c>
      <c r="HB7" s="524" t="str">
        <f>IFERROR(MATCH(TRUE,Respostas_usuario!S22:S27,0),"-")</f>
        <v>-</v>
      </c>
      <c r="HK7" s="492" t="s">
        <v>5820</v>
      </c>
      <c r="HL7" s="492">
        <v>2000</v>
      </c>
      <c r="HM7" s="492">
        <v>5000</v>
      </c>
      <c r="HN7" s="492" t="s">
        <v>5832</v>
      </c>
      <c r="HO7" s="495" t="s">
        <v>5834</v>
      </c>
      <c r="HP7" s="492" t="s">
        <v>5879</v>
      </c>
      <c r="HQ7" s="495" t="s">
        <v>5833</v>
      </c>
      <c r="HR7" s="492" t="s">
        <v>5883</v>
      </c>
      <c r="HS7" s="492">
        <v>5</v>
      </c>
      <c r="HT7" s="492" t="s">
        <v>7822</v>
      </c>
      <c r="HU7" s="495" t="str">
        <f t="shared" si="3"/>
        <v>Categoria 5: Produto Improvável de Causar Dano Agudo</v>
      </c>
    </row>
    <row r="8" spans="1:229" x14ac:dyDescent="0.25">
      <c r="A8" s="496">
        <f>ROW('PT&amp;IA'!P15)</f>
        <v>15</v>
      </c>
      <c r="B8" s="496" t="str" cm="1">
        <f t="array" aca="1" ref="B8" ca="1">IF(INDIRECT($A$2&amp;$B$2&amp;A8)&lt;&gt;0,INDIRECT($A$2&amp;$B$2&amp;A8),"")</f>
        <v/>
      </c>
      <c r="C8" s="496" t="str">
        <f ca="1">IFERROR(
  IF(B8="","",VLOOKUP(B8,tb_ingredientes[[ingrediente_ativo]:[cod_mono]],2,0)),
  "Novo")</f>
        <v/>
      </c>
      <c r="D8" s="496" t="str">
        <f ca="1">IFERROR(
    INDEX(tb_ingredientes[V],MATCH(B8,tb_ingredientes[ingrediente_ativo],0),1),
    "")</f>
        <v/>
      </c>
      <c r="E8" s="496" t="str" cm="1">
        <f t="array" aca="1" ref="E8" ca="1">IF(C8="Novo",INDIRECT($A$2&amp;$E$2&amp;A8),D8)</f>
        <v/>
      </c>
      <c r="G8" s="497">
        <v>36</v>
      </c>
      <c r="H8" s="498" t="str" cm="1">
        <f t="array" aca="1" ref="H8" ca="1">IF(
OR(INDIRECT($F$2&amp;$G$2&amp;$G8,1)&lt;&gt;"",INDIRECT($F$2&amp;$H$2&amp;G8,1)&lt;&gt;""),
INDIRECT($F$2&amp;$H$2&amp;G8,1),
"")</f>
        <v/>
      </c>
      <c r="I8" s="498" t="str">
        <f ca="1">IFERROR(
VLOOKUP(SEARCH("-",Calculos!$H8,1)-1,$K$3:$L$9,2,0)&amp;Calculos!$H8,"")</f>
        <v/>
      </c>
      <c r="K8" s="486">
        <v>6</v>
      </c>
      <c r="L8" s="487">
        <v>0</v>
      </c>
      <c r="N8" s="499" t="str">
        <f ca="1">IFERROR(
IF(ISERROR(VLOOKUP(I8,tb_componentes_proibidos[[n_cas_corrigido]:[Componente_proibido]],1,0)),"",$H8),"")</f>
        <v/>
      </c>
      <c r="O8" s="499" t="str" cm="1">
        <f t="array" aca="1" ref="O8" ca="1">IFERROR(
INDEX($N$4:$N$43,MATCH(0,INDEX(COUNTIF($O$1:O7,$N$4:$N$43),),)),"")</f>
        <v/>
      </c>
      <c r="P8" s="499" t="str">
        <f ca="1">IFERROR(
VLOOKUP(O8,tb_componentes_proibidos[[n_cas]:[Componente_proibido]],3,0),"")</f>
        <v/>
      </c>
      <c r="Q8" s="499" t="str">
        <f t="shared" ca="1" si="4"/>
        <v/>
      </c>
      <c r="R8" s="499" t="str">
        <f t="shared" ca="1" si="5"/>
        <v/>
      </c>
      <c r="U8" s="501" cm="1">
        <f t="array" aca="1" ref="U8" ca="1">INDIRECT($F$2&amp;$U$2&amp;G8,1)</f>
        <v>0</v>
      </c>
      <c r="V8" s="502" t="str">
        <f ca="1">IF(H8&lt;&gt;"",
IFERROR(
VLOOKUP(I8,tb_ingredientes[[n_cas_corrigido]:[ingrediente_ativo]],2,0),
IFERROR(VLOOKUP(I8,tb_componentes[[n_cas_corrigido]:[Componente]],2,0),"Informar nome do componente")),"")</f>
        <v/>
      </c>
      <c r="W8" s="502" t="str">
        <f t="shared" ca="1" si="0"/>
        <v/>
      </c>
      <c r="X8" s="492" cm="1">
        <f t="array" aca="1" ref="X8" ca="1">IF(Y8=1,INDIRECT($F$2&amp;$X$2&amp;G8,1),0)</f>
        <v>0</v>
      </c>
      <c r="Y8" s="492" cm="1">
        <f t="array" aca="1" ref="Y8" ca="1">IF(INDIRECT($F$2&amp;$Y$2&amp;G8,1)="Sim",1,0)</f>
        <v>0</v>
      </c>
      <c r="Z8" s="492" t="str">
        <f ca="1">IF(U8="sim",Calculos!V8&amp;" - "&amp;X8&amp;" "&amp;$AE$10&amp;" ("&amp;IFERROR(TRUNC(W8,4)*100,"")&amp;"%)","")</f>
        <v/>
      </c>
      <c r="AA8" s="492" t="str" cm="1">
        <f t="array" aca="1" ref="AA8" ca="1">IFERROR(
INDEX($Z$4:$Z$43,MATCH(0,INDEX(COUNTIF($AA$1:AA7,$Z$4:$Z$43),),)),"")</f>
        <v/>
      </c>
      <c r="AB8" s="492" t="str">
        <f t="shared" ca="1" si="1"/>
        <v/>
      </c>
      <c r="AC8" s="492" t="str" cm="1">
        <f t="array" aca="1" ref="AC8" ca="1">IF(INDIRECT($F$2&amp;$AC$2&amp;G8)&lt;&gt;0,INDIRECT($F$2&amp;$AC$2&amp;G8),"")</f>
        <v/>
      </c>
      <c r="AF8" s="470" t="s">
        <v>5510</v>
      </c>
      <c r="AG8" s="492" t="str">
        <f ca="1">IFERROR(INDEX(tb_ingredientes[cod_mono],MATCH(Calculos!AH8,tb_ingredientes[ingrediente_ativo],0),1),"")</f>
        <v/>
      </c>
      <c r="AH8" s="492" t="str" cm="1">
        <f t="array" aca="1" ref="AH8" ca="1">IFERROR(
INDEX($B$4:$B$18,MATCH(0,INDEX(COUNTIF($AH$1:AH7,$B$4:$B$18),),)),"")</f>
        <v/>
      </c>
      <c r="AI8" s="492" t="str">
        <f t="shared" ca="1" si="2"/>
        <v/>
      </c>
      <c r="AK8" s="470" t="s">
        <v>5510</v>
      </c>
      <c r="AN8" s="476">
        <v>23</v>
      </c>
      <c r="AO8" s="492" t="str" cm="1">
        <f t="array" aca="1" ref="AO8" ca="1">IF(INDIRECT($AN$2&amp;$AO$2&amp;AN8,1)&lt;&gt;0,
INDIRECT($AN$2&amp;$AO$2&amp;AN8,1),
IF((COUNTA(AO9:$AO$34)-COUNTIF(AO9:$AO$34,""))=0,"","# Id não informado #"))</f>
        <v/>
      </c>
      <c r="AP8" s="492" t="str" cm="1">
        <f t="array" aca="1" ref="AP8" ca="1">IFERROR(
INDEX($AO$4:$AO$33,MATCH(0,INDEX(COUNTIF($AP$1:AP7,$AO$4:$AO$33),),)),"")</f>
        <v/>
      </c>
      <c r="AR8" s="470" t="s">
        <v>5510</v>
      </c>
      <c r="AS8" s="493" t="s">
        <v>7993</v>
      </c>
      <c r="AT8" s="525">
        <f ca="1">9-AT7</f>
        <v>9</v>
      </c>
      <c r="AV8" s="469" t="s">
        <v>5510</v>
      </c>
      <c r="AW8" s="528" t="s">
        <v>8644</v>
      </c>
      <c r="AX8" s="529" t="s">
        <v>8643</v>
      </c>
      <c r="BB8" s="469" t="s">
        <v>5510</v>
      </c>
      <c r="BC8" s="494">
        <v>36</v>
      </c>
      <c r="BD8" s="494" t="str" cm="1">
        <f t="array" aca="1" ref="BD8" ca="1">IF(INDIRECT("'"&amp;$BC$1&amp;"'!R"&amp;BC8,1)&lt;&gt;0,INDIRECT("'CL50(1)'!R"&amp;BC8,1),"")</f>
        <v/>
      </c>
      <c r="BF8" s="469" t="s">
        <v>5510</v>
      </c>
      <c r="BG8" s="469"/>
      <c r="BH8" s="530" t="s">
        <v>5741</v>
      </c>
      <c r="BI8" s="531"/>
      <c r="BJ8" s="532"/>
      <c r="BK8" s="532"/>
      <c r="BL8" s="532"/>
      <c r="BM8" s="532"/>
      <c r="BN8" s="531"/>
      <c r="BO8" s="531"/>
      <c r="BR8" s="469"/>
      <c r="BS8" s="530" t="s">
        <v>5742</v>
      </c>
      <c r="BT8" s="531"/>
      <c r="BU8" s="532"/>
      <c r="BV8" s="532"/>
      <c r="BW8" s="532"/>
      <c r="BX8" s="532"/>
      <c r="BY8" s="531"/>
      <c r="BZ8" s="531"/>
      <c r="CC8" s="469"/>
      <c r="CD8" s="530" t="s">
        <v>5743</v>
      </c>
      <c r="CE8" s="531"/>
      <c r="CF8" s="532"/>
      <c r="CG8" s="532"/>
      <c r="CH8" s="532"/>
      <c r="CI8" s="532"/>
      <c r="CJ8" s="531"/>
      <c r="CK8" s="531"/>
      <c r="CO8" s="479" t="s">
        <v>8060</v>
      </c>
      <c r="CQ8" s="479" t="s">
        <v>88</v>
      </c>
      <c r="CU8" s="469" t="s">
        <v>5510</v>
      </c>
      <c r="EQ8" s="469" t="s">
        <v>5510</v>
      </c>
      <c r="ES8" s="504" t="s">
        <v>3</v>
      </c>
      <c r="ET8" s="507" t="s">
        <v>8143</v>
      </c>
      <c r="EW8" s="22" t="str" cm="1">
        <f t="array" aca="1" ref="EW8" ca="1">IF(INDIRECT(ET8)=0,"-",INDIRECT(ET8))</f>
        <v>-</v>
      </c>
      <c r="FD8" s="518" t="str">
        <f>IF(Respostas_usuario!E4=TRUE,Respostas_usuario!D4,"")</f>
        <v/>
      </c>
      <c r="FE8" s="518" t="str">
        <f>IF(FD8&lt;&gt;"",IF(COUNTA($FD9:FD$9)-COUNTIF($FD9:FD$9,"")=0,".","; "),"")</f>
        <v/>
      </c>
      <c r="GC8" s="472" t="s">
        <v>5510</v>
      </c>
      <c r="GE8" s="519" t="s">
        <v>5568</v>
      </c>
      <c r="GF8" s="520" t="s">
        <v>1592</v>
      </c>
      <c r="GG8" s="526"/>
      <c r="GH8" s="522" t="str" cm="1">
        <f t="array" aca="1" ref="GH8" ca="1">IFERROR(
IF(INDIRECT(GE8&amp;GF8)&lt;&gt;0,"sim","não"),
"Erro")</f>
        <v>não</v>
      </c>
      <c r="GI8" s="22" t="b">
        <f>Respostas_usuario!L4</f>
        <v>0</v>
      </c>
      <c r="GJ8" s="519">
        <v>55</v>
      </c>
      <c r="GK8" s="22" cm="1">
        <f t="array" aca="1" ref="GK8" ca="1">IFERROR(
IF(INDIRECT(GE8&amp;"Q"&amp;GJ8)&lt;&gt;"",
INDIRECT(GE8&amp;"Q"&amp;GJ8),
INDIRECT(GE8&amp;"AC"&amp;GJ8)),$GI$29)</f>
        <v>0</v>
      </c>
      <c r="GL8" s="22" t="str">
        <f t="shared" ca="1" si="6"/>
        <v>-</v>
      </c>
      <c r="GM8" s="22">
        <f t="shared" ca="1" si="7"/>
        <v>0</v>
      </c>
      <c r="GN8" s="533">
        <f ca="1">IFERROR(
SUMIF(GF59:GF73,"&lt;="&amp;HM6,GG59:GG73)+
SUMIF(GF59:GF73,"&lt;="&amp;HM6,GH59:GH73),
"Erro")</f>
        <v>0</v>
      </c>
      <c r="GO8" s="533" t="str">
        <f ca="1">IF(GH8&lt;&gt;"sim",
"-",
IF(
COUNTIFS(
GI59:GI73,TRUE,
GF59:GF73,"&gt;0",
GF59:GF73,"&lt;="&amp;$HM$6)&gt;0,$GK$27,$GK$28))</f>
        <v>-</v>
      </c>
      <c r="GP8" s="1646"/>
      <c r="GQ8" s="23"/>
      <c r="GR8" s="523" t="str">
        <f ca="1">IFERROR(
IF(GH8&lt;&gt;"sim","-",
IF(GM8&lt;=$HM$3,$HN$3,
IF(GM8&lt;=$HM$4,$HN$4,
IF(GM8&lt;=$HM$5,$HN$5,
IF(GM8&lt;=$HM$6,$HN$6,
IF(GM8&lt;=$HM$7,$HN$7,
$HN$8)))))),$GI$29)</f>
        <v>-</v>
      </c>
      <c r="GS8" s="523" t="str">
        <f ca="1">IF(AND(GM8&gt;2000,GN8=0,GO8=$GK$28,GN42&gt;=2),$HN$8,GR8)</f>
        <v>-</v>
      </c>
      <c r="GT8" s="22" t="s">
        <v>8243</v>
      </c>
      <c r="GU8" s="22" t="str" cm="1">
        <f t="array" aca="1" ref="GU8" ca="1">INDIRECT($GT$4&amp;GT8,1)</f>
        <v>-</v>
      </c>
      <c r="GV8" s="1649"/>
      <c r="GW8" s="1649"/>
      <c r="GX8" s="1649"/>
      <c r="HA8" s="527" t="s">
        <v>8276</v>
      </c>
      <c r="HB8" s="524" t="b">
        <f>IF(HB7&lt;4,TRUE,FALSE)</f>
        <v>0</v>
      </c>
      <c r="HC8" s="182"/>
      <c r="HK8" s="492" t="s">
        <v>5820</v>
      </c>
      <c r="HL8" s="492">
        <v>5000</v>
      </c>
      <c r="HM8" s="492"/>
      <c r="HN8" s="492" t="s">
        <v>5835</v>
      </c>
      <c r="HO8" s="495" t="s">
        <v>7965</v>
      </c>
      <c r="HP8" s="534" t="s">
        <v>5894</v>
      </c>
      <c r="HQ8" s="495" t="s">
        <v>6042</v>
      </c>
      <c r="HR8" s="492" t="s">
        <v>5884</v>
      </c>
      <c r="HS8" s="492">
        <v>6</v>
      </c>
      <c r="HT8" s="492" t="s">
        <v>7823</v>
      </c>
      <c r="HU8" s="495" t="str">
        <f t="shared" si="3"/>
        <v>Não classificado: Produto Não Classificado</v>
      </c>
    </row>
    <row r="9" spans="1:229" x14ac:dyDescent="0.25">
      <c r="A9" s="496">
        <f>ROW('PT&amp;IA'!P16)</f>
        <v>16</v>
      </c>
      <c r="B9" s="496" t="str" cm="1">
        <f t="array" aca="1" ref="B9" ca="1">IF(INDIRECT($A$2&amp;$B$2&amp;A9)&lt;&gt;0,INDIRECT($A$2&amp;$B$2&amp;A9),"")</f>
        <v/>
      </c>
      <c r="C9" s="496" t="str">
        <f ca="1">IFERROR(
  IF(B9="","",VLOOKUP(B9,tb_ingredientes[[ingrediente_ativo]:[cod_mono]],2,0)),
  "Novo")</f>
        <v/>
      </c>
      <c r="D9" s="496" t="str">
        <f ca="1">IFERROR(
    INDEX(tb_ingredientes[V],MATCH(B9,tb_ingredientes[ingrediente_ativo],0),1),
    "")</f>
        <v/>
      </c>
      <c r="E9" s="496" t="str" cm="1">
        <f t="array" aca="1" ref="E9" ca="1">IF(C9="Novo",INDIRECT($A$2&amp;$E$2&amp;A9),D9)</f>
        <v/>
      </c>
      <c r="G9" s="497">
        <v>37</v>
      </c>
      <c r="H9" s="498" t="str" cm="1">
        <f t="array" aca="1" ref="H9" ca="1">IF(
OR(INDIRECT($F$2&amp;$G$2&amp;$G9,1)&lt;&gt;"",INDIRECT($F$2&amp;$H$2&amp;G9,1)&lt;&gt;""),
INDIRECT($F$2&amp;$H$2&amp;G9,1),
"")</f>
        <v/>
      </c>
      <c r="I9" s="498" t="str">
        <f ca="1">IFERROR(
VLOOKUP(SEARCH("-",Calculos!$H9,1)-1,$K$3:$L$9,2,0)&amp;Calculos!$H9,"")</f>
        <v/>
      </c>
      <c r="K9" s="486">
        <v>7</v>
      </c>
      <c r="L9" s="535"/>
      <c r="N9" s="499" t="str">
        <f ca="1">IFERROR(
IF(ISERROR(VLOOKUP(I9,tb_componentes_proibidos[[n_cas_corrigido]:[Componente_proibido]],1,0)),"",$H9),"")</f>
        <v/>
      </c>
      <c r="O9" s="499" t="str" cm="1">
        <f t="array" aca="1" ref="O9" ca="1">IFERROR(
INDEX($N$4:$N$43,MATCH(0,INDEX(COUNTIF($O$1:O8,$N$4:$N$43),),)),"")</f>
        <v/>
      </c>
      <c r="P9" s="499" t="str">
        <f ca="1">IFERROR(
VLOOKUP(O9,tb_componentes_proibidos[[n_cas]:[Componente_proibido]],3,0),"")</f>
        <v/>
      </c>
      <c r="Q9" s="499" t="str">
        <f t="shared" ca="1" si="4"/>
        <v/>
      </c>
      <c r="R9" s="499" t="str">
        <f t="shared" ca="1" si="5"/>
        <v/>
      </c>
      <c r="U9" s="501" cm="1">
        <f t="array" aca="1" ref="U9" ca="1">INDIRECT($F$2&amp;$U$2&amp;G9,1)</f>
        <v>0</v>
      </c>
      <c r="V9" s="502" t="str">
        <f ca="1">IF(H9&lt;&gt;"",
IFERROR(
VLOOKUP(I9,tb_ingredientes[[n_cas_corrigido]:[ingrediente_ativo]],2,0),
IFERROR(VLOOKUP(I9,tb_componentes[[n_cas_corrigido]:[Componente]],2,0),"Informar nome do componente")),"")</f>
        <v/>
      </c>
      <c r="W9" s="502" t="str">
        <f t="shared" ca="1" si="0"/>
        <v/>
      </c>
      <c r="X9" s="492" cm="1">
        <f t="array" aca="1" ref="X9" ca="1">IF(Y9=1,INDIRECT($F$2&amp;$X$2&amp;G9,1),0)</f>
        <v>0</v>
      </c>
      <c r="Y9" s="492" cm="1">
        <f t="array" aca="1" ref="Y9" ca="1">IF(INDIRECT($F$2&amp;$Y$2&amp;G9,1)="Sim",1,0)</f>
        <v>0</v>
      </c>
      <c r="Z9" s="492" t="str">
        <f ca="1">IF(U9="sim",Calculos!V9&amp;" - "&amp;X9&amp;" "&amp;$AE$10&amp;" ("&amp;IFERROR(TRUNC(W9,4)*100,"")&amp;"%)","")</f>
        <v/>
      </c>
      <c r="AA9" s="492" t="str" cm="1">
        <f t="array" aca="1" ref="AA9" ca="1">IFERROR(
INDEX($Z$4:$Z$43,MATCH(0,INDEX(COUNTIF($AA$1:AA8,$Z$4:$Z$43),),)),"")</f>
        <v/>
      </c>
      <c r="AB9" s="492" t="str">
        <f t="shared" ca="1" si="1"/>
        <v/>
      </c>
      <c r="AC9" s="492" t="str" cm="1">
        <f t="array" aca="1" ref="AC9" ca="1">IF(INDIRECT($F$2&amp;$AC$2&amp;G9)&lt;&gt;0,INDIRECT($F$2&amp;$AC$2&amp;G9),"")</f>
        <v/>
      </c>
      <c r="AF9" s="470" t="s">
        <v>5510</v>
      </c>
      <c r="AG9" s="492" t="str">
        <f ca="1">IFERROR(INDEX(tb_ingredientes[cod_mono],MATCH(Calculos!AH9,tb_ingredientes[ingrediente_ativo],0),1),"")</f>
        <v/>
      </c>
      <c r="AH9" s="492" t="str" cm="1">
        <f t="array" aca="1" ref="AH9" ca="1">IFERROR(
INDEX($B$4:$B$18,MATCH(0,INDEX(COUNTIF($AH$1:AH8,$B$4:$B$18),),)),"")</f>
        <v/>
      </c>
      <c r="AI9" s="492" t="str">
        <f t="shared" ca="1" si="2"/>
        <v/>
      </c>
      <c r="AK9" s="470" t="s">
        <v>5510</v>
      </c>
      <c r="AN9" s="476">
        <v>24</v>
      </c>
      <c r="AO9" s="492" t="str" cm="1">
        <f t="array" aca="1" ref="AO9" ca="1">IF(INDIRECT($AN$2&amp;$AO$2&amp;AN9,1)&lt;&gt;0,
INDIRECT($AN$2&amp;$AO$2&amp;AN9,1),
IF((COUNTA(AO10:$AO$34)-COUNTIF(AO10:$AO$34,""))=0,"","# Id não informado #"))</f>
        <v/>
      </c>
      <c r="AP9" s="492" t="str" cm="1">
        <f t="array" aca="1" ref="AP9" ca="1">IFERROR(
INDEX($AO$4:$AO$33,MATCH(0,INDEX(COUNTIF($AP$1:AP8,$AO$4:$AO$33),),)),"")</f>
        <v/>
      </c>
      <c r="AR9" s="470" t="s">
        <v>5510</v>
      </c>
      <c r="AV9" s="469" t="s">
        <v>5510</v>
      </c>
      <c r="AW9" s="528" t="s">
        <v>8644</v>
      </c>
      <c r="AX9" s="529" t="s">
        <v>142</v>
      </c>
      <c r="BB9" s="469" t="s">
        <v>5510</v>
      </c>
      <c r="BC9" s="494">
        <v>37</v>
      </c>
      <c r="BD9" s="494" t="str" cm="1">
        <f t="array" aca="1" ref="BD9" ca="1">IF(INDIRECT("'"&amp;$BC$1&amp;"'!R"&amp;BC9,1)&lt;&gt;0,INDIRECT("'CL50(1)'!R"&amp;BC9,1),"")</f>
        <v/>
      </c>
      <c r="BF9" s="469" t="s">
        <v>5510</v>
      </c>
      <c r="BG9" s="469"/>
      <c r="BH9" s="536" t="s">
        <v>8034</v>
      </c>
      <c r="BI9" s="536" t="s">
        <v>5508</v>
      </c>
      <c r="BJ9" s="536" t="s">
        <v>355</v>
      </c>
      <c r="BK9" s="536" t="s">
        <v>249</v>
      </c>
      <c r="BL9" s="536" t="s">
        <v>8025</v>
      </c>
      <c r="BM9" s="536" t="s">
        <v>8035</v>
      </c>
      <c r="BN9" s="536" t="s">
        <v>8036</v>
      </c>
      <c r="BO9" s="536" t="s">
        <v>119</v>
      </c>
      <c r="BR9" s="469"/>
      <c r="BS9" s="536" t="s">
        <v>8034</v>
      </c>
      <c r="BT9" s="536" t="s">
        <v>5508</v>
      </c>
      <c r="BU9" s="536" t="s">
        <v>355</v>
      </c>
      <c r="BV9" s="536" t="s">
        <v>249</v>
      </c>
      <c r="BW9" s="536" t="s">
        <v>8025</v>
      </c>
      <c r="BX9" s="536" t="s">
        <v>8035</v>
      </c>
      <c r="BY9" s="536" t="s">
        <v>8036</v>
      </c>
      <c r="BZ9" s="536" t="s">
        <v>119</v>
      </c>
      <c r="CC9" s="469"/>
      <c r="CD9" s="536" t="s">
        <v>8034</v>
      </c>
      <c r="CE9" s="536" t="s">
        <v>5508</v>
      </c>
      <c r="CF9" s="536" t="s">
        <v>355</v>
      </c>
      <c r="CG9" s="536" t="s">
        <v>249</v>
      </c>
      <c r="CH9" s="536" t="s">
        <v>8025</v>
      </c>
      <c r="CI9" s="536" t="s">
        <v>8035</v>
      </c>
      <c r="CJ9" s="536" t="s">
        <v>8036</v>
      </c>
      <c r="CK9" s="536" t="s">
        <v>119</v>
      </c>
      <c r="CO9" s="537" t="s">
        <v>8061</v>
      </c>
      <c r="CP9" s="480" t="s">
        <v>7417</v>
      </c>
      <c r="CQ9" s="537" t="str" cm="1">
        <f t="array" aca="1" ref="CQ9" ca="1">IF(INDIRECT($BI$2&amp;$CP9)&lt;&gt;0,INDIRECT($BI$2&amp;$CP9),"-")</f>
        <v>-</v>
      </c>
      <c r="CU9" s="469" t="s">
        <v>5510</v>
      </c>
      <c r="EQ9" s="469" t="s">
        <v>5510</v>
      </c>
      <c r="ES9" s="504" t="s">
        <v>371</v>
      </c>
      <c r="ET9" s="507" t="s">
        <v>8140</v>
      </c>
      <c r="EU9" s="507" t="s">
        <v>8144</v>
      </c>
      <c r="EW9" s="22" t="str" cm="1">
        <f t="array" aca="1" ref="EW9" ca="1">IF(INDIRECT(ET9)=0,"-",CONCATENATE(INDIRECT(ET9)," (", INDIRECT(EU9),")"))</f>
        <v>-</v>
      </c>
      <c r="FD9" s="518" t="str">
        <f ca="1">IF(Respostas_usuario!E5=TRUE,Respostas_usuario!D5,"")</f>
        <v/>
      </c>
      <c r="FE9" s="518" t="str">
        <f ca="1">IF(FD9&lt;&gt;"",IF(COUNTA($FG$9:FG10)-COUNTIF($FG$9:FG10,"")=0,".","; "),"")</f>
        <v/>
      </c>
      <c r="GC9" s="472" t="s">
        <v>5510</v>
      </c>
      <c r="GE9" s="519" t="s">
        <v>5569</v>
      </c>
      <c r="GF9" s="520" t="s">
        <v>1592</v>
      </c>
      <c r="GG9" s="538"/>
      <c r="GH9" s="522" t="str" cm="1">
        <f t="array" aca="1" ref="GH9" ca="1">IFERROR(
IF(INDIRECT(GE9&amp;GF9)&lt;&gt;0,"sim","não"),
"Erro")</f>
        <v>não</v>
      </c>
      <c r="GI9" s="22" t="b">
        <f>Respostas_usuario!L5</f>
        <v>0</v>
      </c>
      <c r="GJ9" s="519">
        <v>55</v>
      </c>
      <c r="GK9" s="22" cm="1">
        <f t="array" aca="1" ref="GK9" ca="1">IFERROR(
IF(INDIRECT(GE9&amp;"Q"&amp;GJ9)&lt;&gt;"",
INDIRECT(GE9&amp;"Q"&amp;GJ9),
INDIRECT(GE9&amp;"AC"&amp;GJ9)),$GI$29)</f>
        <v>0</v>
      </c>
      <c r="GL9" s="22" t="str">
        <f t="shared" ca="1" si="6"/>
        <v>-</v>
      </c>
      <c r="GM9" s="22">
        <f t="shared" ca="1" si="7"/>
        <v>0</v>
      </c>
      <c r="GN9" s="533">
        <f ca="1">IFERROR(
SUMIF(GJ59:GJ73,"&lt;="&amp;HM6,GK59:GK73)+
SUMIF(GJ59:GJ73,"&lt;="&amp;HM6,GL59:GL73),
"Erro")</f>
        <v>0</v>
      </c>
      <c r="GO9" s="533" t="str">
        <f ca="1">IF(GH9&lt;&gt;"sim",
"-",
IF(
COUNTIFS(
GM59:GM73,TRUE,
GJ59:GJ73,"&gt;0",
GJ59:GJ73,"&lt;="&amp;$HM$6)&gt;0,$GK$27,$GK$28))</f>
        <v>-</v>
      </c>
      <c r="GP9" s="1646"/>
      <c r="GQ9" s="23"/>
      <c r="GR9" s="523" t="str">
        <f t="shared" ca="1" si="8"/>
        <v>-</v>
      </c>
      <c r="GS9" s="523" t="str">
        <f ca="1">IF(AND(GM9&gt;2000,GN9=0,GO9=$GK$28,GN43&gt;=2),$HN$8,GR9)</f>
        <v>-</v>
      </c>
      <c r="GT9" s="22" t="s">
        <v>8244</v>
      </c>
      <c r="GU9" s="22" t="str" cm="1">
        <f t="array" aca="1" ref="GU9" ca="1">INDIRECT($GT$4&amp;GT9,1)</f>
        <v>-</v>
      </c>
      <c r="GV9" s="1649"/>
      <c r="GW9" s="1649"/>
      <c r="GX9" s="1649"/>
      <c r="HA9" s="514" t="s">
        <v>5857</v>
      </c>
      <c r="HB9" s="524" t="b">
        <f ca="1">IF(SUM(GN6:GN13)&gt;0,TRUE,FALSE)</f>
        <v>0</v>
      </c>
      <c r="HK9" s="492" t="s">
        <v>5836</v>
      </c>
      <c r="HL9" s="492">
        <v>0</v>
      </c>
      <c r="HM9" s="492">
        <v>50</v>
      </c>
      <c r="HN9" s="492" t="s">
        <v>5821</v>
      </c>
      <c r="HO9" s="495" t="s">
        <v>5837</v>
      </c>
      <c r="HP9" s="492" t="s">
        <v>5878</v>
      </c>
      <c r="HQ9" s="495"/>
      <c r="HR9" s="492"/>
    </row>
    <row r="10" spans="1:229" x14ac:dyDescent="0.25">
      <c r="A10" s="496">
        <f>ROW('PT&amp;IA'!P17)</f>
        <v>17</v>
      </c>
      <c r="B10" s="496" t="str" cm="1">
        <f t="array" aca="1" ref="B10" ca="1">IF(INDIRECT($A$2&amp;$B$2&amp;A10)&lt;&gt;0,INDIRECT($A$2&amp;$B$2&amp;A10),"")</f>
        <v/>
      </c>
      <c r="C10" s="496" t="str">
        <f ca="1">IFERROR(
  IF(B10="","",VLOOKUP(B10,tb_ingredientes[[ingrediente_ativo]:[cod_mono]],2,0)),
  "Novo")</f>
        <v/>
      </c>
      <c r="D10" s="496" t="str">
        <f ca="1">IFERROR(
    INDEX(tb_ingredientes[V],MATCH(B10,tb_ingredientes[ingrediente_ativo],0),1),
    "")</f>
        <v/>
      </c>
      <c r="E10" s="496" t="str" cm="1">
        <f t="array" aca="1" ref="E10" ca="1">IF(C10="Novo",INDIRECT($A$2&amp;$E$2&amp;A10),D10)</f>
        <v/>
      </c>
      <c r="G10" s="497">
        <v>38</v>
      </c>
      <c r="H10" s="498" t="str" cm="1">
        <f t="array" aca="1" ref="H10" ca="1">IF(
OR(INDIRECT($F$2&amp;$G$2&amp;$G10,1)&lt;&gt;"",INDIRECT($F$2&amp;$H$2&amp;G10,1)&lt;&gt;""),
INDIRECT($F$2&amp;$H$2&amp;G10,1),
"")</f>
        <v/>
      </c>
      <c r="I10" s="498" t="str">
        <f ca="1">IFERROR(
VLOOKUP(SEARCH("-",Calculos!$H10,1)-1,$K$3:$L$9,2,0)&amp;Calculos!$H10,"")</f>
        <v/>
      </c>
      <c r="N10" s="499" t="str">
        <f ca="1">IFERROR(
IF(ISERROR(VLOOKUP(I10,tb_componentes_proibidos[[n_cas_corrigido]:[Componente_proibido]],1,0)),"",$H10),"")</f>
        <v/>
      </c>
      <c r="O10" s="499" t="str" cm="1">
        <f t="array" aca="1" ref="O10" ca="1">IFERROR(
INDEX($N$4:$N$43,MATCH(0,INDEX(COUNTIF($O$1:O9,$N$4:$N$43),),)),"")</f>
        <v/>
      </c>
      <c r="P10" s="499" t="str">
        <f ca="1">IFERROR(
VLOOKUP(O10,tb_componentes_proibidos[[n_cas]:[Componente_proibido]],3,0),"")</f>
        <v/>
      </c>
      <c r="Q10" s="499" t="str">
        <f t="shared" ca="1" si="4"/>
        <v/>
      </c>
      <c r="R10" s="499" t="str">
        <f t="shared" ca="1" si="5"/>
        <v/>
      </c>
      <c r="U10" s="501" cm="1">
        <f t="array" aca="1" ref="U10" ca="1">INDIRECT($F$2&amp;$U$2&amp;G10,1)</f>
        <v>0</v>
      </c>
      <c r="V10" s="502" t="str">
        <f ca="1">IF(H10&lt;&gt;"",
IFERROR(
VLOOKUP(I10,tb_ingredientes[[n_cas_corrigido]:[ingrediente_ativo]],2,0),
IFERROR(VLOOKUP(I10,tb_componentes[[n_cas_corrigido]:[Componente]],2,0),"Informar nome do componente")),"")</f>
        <v/>
      </c>
      <c r="W10" s="502" t="str">
        <f t="shared" ca="1" si="0"/>
        <v/>
      </c>
      <c r="X10" s="492" cm="1">
        <f t="array" aca="1" ref="X10" ca="1">IF(Y10=1,INDIRECT($F$2&amp;$X$2&amp;G10,1),0)</f>
        <v>0</v>
      </c>
      <c r="Y10" s="492" cm="1">
        <f t="array" aca="1" ref="Y10" ca="1">IF(INDIRECT($F$2&amp;$Y$2&amp;G10,1)="Sim",1,0)</f>
        <v>0</v>
      </c>
      <c r="Z10" s="492" t="str">
        <f ca="1">IF(U10="sim",Calculos!V10&amp;" - "&amp;X10&amp;" "&amp;$AE$10&amp;" ("&amp;IFERROR(TRUNC(W10,4)*100,"")&amp;"%)","")</f>
        <v/>
      </c>
      <c r="AA10" s="492" t="str" cm="1">
        <f t="array" aca="1" ref="AA10" ca="1">IFERROR(
INDEX($Z$4:$Z$43,MATCH(0,INDEX(COUNTIF($AA$1:AA9,$Z$4:$Z$43),),)),"")</f>
        <v/>
      </c>
      <c r="AB10" s="492" t="str">
        <f t="shared" ca="1" si="1"/>
        <v/>
      </c>
      <c r="AC10" s="492" t="str" cm="1">
        <f t="array" aca="1" ref="AC10" ca="1">IF(INDIRECT($F$2&amp;$AC$2&amp;G10)&lt;&gt;0,INDIRECT($F$2&amp;$AC$2&amp;G10),"")</f>
        <v/>
      </c>
      <c r="AD10" s="25" t="s">
        <v>7985</v>
      </c>
      <c r="AE10" s="25" t="str" cm="1">
        <f t="array" aca="1" ref="AE10" ca="1">IF(ISBLANK(INDIRECT($F$2&amp;"I15",1)),"",INDIRECT($F$2&amp;"I15",1))</f>
        <v/>
      </c>
      <c r="AF10" s="470" t="s">
        <v>5510</v>
      </c>
      <c r="AG10" s="492" t="str">
        <f ca="1">IFERROR(INDEX(tb_ingredientes[cod_mono],MATCH(Calculos!AH10,tb_ingredientes[ingrediente_ativo],0),1),"")</f>
        <v/>
      </c>
      <c r="AH10" s="492" t="str" cm="1">
        <f t="array" aca="1" ref="AH10" ca="1">IFERROR(
INDEX($B$4:$B$18,MATCH(0,INDEX(COUNTIF($AH$1:AH9,$B$4:$B$18),),)),"")</f>
        <v/>
      </c>
      <c r="AI10" s="492" t="str">
        <f t="shared" ca="1" si="2"/>
        <v/>
      </c>
      <c r="AK10" s="470" t="s">
        <v>5510</v>
      </c>
      <c r="AN10" s="476">
        <v>25</v>
      </c>
      <c r="AO10" s="492" t="str" cm="1">
        <f t="array" aca="1" ref="AO10" ca="1">IF(INDIRECT($AN$2&amp;$AO$2&amp;AN10,1)&lt;&gt;0,
INDIRECT($AN$2&amp;$AO$2&amp;AN10,1),
IF((COUNTA(AO11:$AO$34)-COUNTIF(AO11:$AO$34,""))=0,"","# Id não informado #"))</f>
        <v/>
      </c>
      <c r="AP10" s="492" t="str" cm="1">
        <f t="array" aca="1" ref="AP10" ca="1">IFERROR(
INDEX($AO$4:$AO$33,MATCH(0,INDEX(COUNTIF($AP$1:AP9,$AO$4:$AO$33),),)),"")</f>
        <v/>
      </c>
      <c r="AR10" s="470" t="s">
        <v>5510</v>
      </c>
      <c r="AS10" s="479" t="s">
        <v>5558</v>
      </c>
      <c r="AT10" s="479" t="s">
        <v>7996</v>
      </c>
      <c r="AV10" s="469" t="s">
        <v>5510</v>
      </c>
      <c r="BB10" s="469" t="s">
        <v>5510</v>
      </c>
      <c r="BC10" s="494">
        <v>38</v>
      </c>
      <c r="BD10" s="494" t="str" cm="1">
        <f t="array" aca="1" ref="BD10" ca="1">IF(INDIRECT("'"&amp;$BC$1&amp;"'!R"&amp;BC10,1)&lt;&gt;0,INDIRECT("'CL50(1)'!R"&amp;BC10,1),"")</f>
        <v/>
      </c>
      <c r="BF10" s="469" t="s">
        <v>5510</v>
      </c>
      <c r="BG10" s="469">
        <v>1</v>
      </c>
      <c r="BH10" s="539" t="s">
        <v>8037</v>
      </c>
      <c r="BI10" s="539">
        <f>$BO$2</f>
        <v>13</v>
      </c>
      <c r="BJ10" s="539" cm="1">
        <f t="array" aca="1" ref="BJ10" ca="1">INDIRECT($BM$2&amp;BJ$7&amp;$BI10,1)</f>
        <v>0</v>
      </c>
      <c r="BK10" s="539" cm="1">
        <f t="array" aca="1" ref="BK10" ca="1">INDIRECT($BM$2&amp;BK$7&amp;$BI10,1)</f>
        <v>0</v>
      </c>
      <c r="BL10" s="539" cm="1">
        <f t="array" aca="1" ref="BL10" ca="1">INDIRECT($BM$2&amp;BL$7&amp;$BI10,1)</f>
        <v>0</v>
      </c>
      <c r="BM10" s="539" cm="1">
        <f t="array" aca="1" ref="BM10" ca="1">INDIRECT($BM$2&amp;BM$7&amp;$BI10,1)</f>
        <v>0</v>
      </c>
      <c r="BN10" s="539" cm="1">
        <f t="array" aca="1" ref="BN10" ca="1">INDIRECT($BM$2&amp;BN$7&amp;$BI10,1)</f>
        <v>0</v>
      </c>
      <c r="BO10" s="539" t="str">
        <f ca="1">IFERROR(BK10/BK$10,"-")</f>
        <v>-</v>
      </c>
      <c r="BP10" s="540" t="s">
        <v>8221</v>
      </c>
      <c r="BR10" s="469">
        <v>1</v>
      </c>
      <c r="BS10" s="539" t="s">
        <v>8037</v>
      </c>
      <c r="BT10" s="539">
        <f>$BO$3</f>
        <v>359</v>
      </c>
      <c r="BU10" s="539" cm="1">
        <f t="array" aca="1" ref="BU10" ca="1">INDIRECT($BM$2&amp;BU$7&amp;$BT10,1)</f>
        <v>0</v>
      </c>
      <c r="BV10" s="539" cm="1">
        <f t="array" aca="1" ref="BV10" ca="1">INDIRECT($BM$2&amp;BV$7&amp;$BT10,1)</f>
        <v>0</v>
      </c>
      <c r="BW10" s="539" cm="1">
        <f t="array" aca="1" ref="BW10" ca="1">INDIRECT($BM$2&amp;BW$7&amp;$BT10,1)</f>
        <v>0</v>
      </c>
      <c r="BX10" s="539" cm="1">
        <f t="array" aca="1" ref="BX10" ca="1">INDIRECT($BM$2&amp;BX$7&amp;$BT10,1)</f>
        <v>0</v>
      </c>
      <c r="BY10" s="539" cm="1">
        <f t="array" aca="1" ref="BY10" ca="1">INDIRECT($BM$2&amp;BY$7&amp;$BT10,1)</f>
        <v>0</v>
      </c>
      <c r="BZ10" s="539" t="str">
        <f ca="1">IFERROR(BV10/BV$10,"-")</f>
        <v>-</v>
      </c>
      <c r="CA10" s="540" t="s">
        <v>8221</v>
      </c>
      <c r="CC10" s="469">
        <v>1</v>
      </c>
      <c r="CD10" s="539" t="s">
        <v>8037</v>
      </c>
      <c r="CE10" s="539">
        <f>$BO$4</f>
        <v>705</v>
      </c>
      <c r="CF10" s="539" cm="1">
        <f t="array" aca="1" ref="CF10" ca="1">INDIRECT($BM$2&amp;CF$7&amp;$CE10,1)</f>
        <v>0</v>
      </c>
      <c r="CG10" s="539" cm="1">
        <f t="array" aca="1" ref="CG10" ca="1">INDIRECT($BM$2&amp;CG$7&amp;$CE10,1)</f>
        <v>0</v>
      </c>
      <c r="CH10" s="539" cm="1">
        <f t="array" aca="1" ref="CH10" ca="1">INDIRECT($BM$2&amp;CH$7&amp;$CE10,1)</f>
        <v>0</v>
      </c>
      <c r="CI10" s="539" cm="1">
        <f t="array" aca="1" ref="CI10" ca="1">INDIRECT($BM$2&amp;CI$7&amp;$CE10,1)</f>
        <v>0</v>
      </c>
      <c r="CJ10" s="539" cm="1">
        <f t="array" aca="1" ref="CJ10" ca="1">INDIRECT($BM$2&amp;CJ$7&amp;$CE10,1)</f>
        <v>0</v>
      </c>
      <c r="CK10" s="539" t="str">
        <f ca="1">IFERROR(CG10/CG$10,"-")</f>
        <v>-</v>
      </c>
      <c r="CL10" s="540" t="s">
        <v>8221</v>
      </c>
      <c r="CO10" s="537" t="s">
        <v>5724</v>
      </c>
      <c r="CP10" s="480" t="s">
        <v>7632</v>
      </c>
      <c r="CQ10" s="537" t="str" cm="1">
        <f t="array" aca="1" ref="CQ10" ca="1">IF(INDIRECT($BI$2&amp;$CP10)&lt;&gt;0,INDIRECT($BI$2&amp;$CP10),"-")</f>
        <v>-</v>
      </c>
      <c r="CU10" s="469" t="s">
        <v>5510</v>
      </c>
      <c r="CY10" s="527" t="s">
        <v>8129</v>
      </c>
      <c r="CZ10" s="480">
        <v>13</v>
      </c>
      <c r="EQ10" s="469" t="s">
        <v>5510</v>
      </c>
      <c r="ES10" s="504" t="s">
        <v>373</v>
      </c>
      <c r="ET10" s="507" t="s">
        <v>8139</v>
      </c>
      <c r="EU10" s="507" t="s">
        <v>8145</v>
      </c>
      <c r="EW10" s="22" t="str" cm="1">
        <f t="array" aca="1" ref="EW10" ca="1">IF(INDIRECT(ET10)=0,"-",INDIRECT(ET10)&amp;" ("&amp;INDIRECT(EU10)&amp;")")</f>
        <v>-</v>
      </c>
      <c r="GC10" s="472" t="s">
        <v>5510</v>
      </c>
      <c r="GE10" s="519" t="s">
        <v>5570</v>
      </c>
      <c r="GF10" s="519" t="s">
        <v>5796</v>
      </c>
      <c r="GG10" s="541" t="s">
        <v>5873</v>
      </c>
      <c r="GH10" s="492" t="str" cm="1">
        <f t="array" aca="1" ref="GH10" ca="1">IFERROR(
IF(INDIRECT(GE10&amp;GG10)="Sim",$GI$27,
IF(INDIRECT(GE10&amp;GF10)&lt;&gt;0,"sim","não")),
"Erro")</f>
        <v>não</v>
      </c>
      <c r="GI10" s="492" t="b">
        <f>Respostas_usuario!L6</f>
        <v>0</v>
      </c>
      <c r="GJ10" s="519">
        <v>61</v>
      </c>
      <c r="GK10" s="492" cm="1">
        <f t="array" aca="1" ref="GK10" ca="1">IFERROR(
IF(INDIRECT(GE10&amp;"Q"&amp;GJ10)&lt;&gt;"",
INDIRECT(GE10&amp;"Q"&amp;GJ10),
INDIRECT(GE10&amp;"AC"&amp;GJ10)),$GI$29)</f>
        <v>0</v>
      </c>
      <c r="GL10" s="492" t="str">
        <f t="shared" ca="1" si="6"/>
        <v>-</v>
      </c>
      <c r="GM10" s="492">
        <f t="shared" ca="1" si="7"/>
        <v>0</v>
      </c>
      <c r="GN10" s="492">
        <f ca="1">IFERROR(
  SUMIF(GF78:GF92,"&lt;="&amp;HM12,GG78:GG92)+
  SUMIF(GF78:GF92,"&lt;="&amp;HM12,GH78:GH92),
"Erro")</f>
        <v>0</v>
      </c>
      <c r="GO10" s="492" t="str">
        <f ca="1">IF(GH10&lt;&gt;"sim",
"-",
IF(
COUNTIFS(
GI78:GI92,TRUE,
GF78:GF92,"&gt;0",
GF78:GF92,"&lt;="&amp;$HM$12)&gt;0,$GK$27,$GK$28))</f>
        <v>-</v>
      </c>
      <c r="GP10" s="1647" t="str" cm="1">
        <f t="array" aca="1" ref="GP10" ca="1">IF(COUNTIF(GH10:GH11,"sim")=0,
"-",
INDEX(GL10:GL11,
MATCH(MIN(IF(GK10:GK11&gt;0,GK10:GK11)),GK10:GK11,0),1)&amp;" mg/kg pc"
)</f>
        <v>-</v>
      </c>
      <c r="GQ10" s="23"/>
      <c r="GR10" s="495" t="str">
        <f ca="1">IFERROR(
IF(GH10=$GI$27,$GV$6,
IF(GH10&lt;&gt;"sim","-",
IF(GM10&lt;=$HM$9,$HN$9,
IF(GM10&lt;=$HM$10,$HN$10,
IF(GM10&lt;=$HM$11,$HN$11,
IF(GM10&lt;=$HM$12,$HN$12,
IF(GM10&lt;=$HM$13,$HN$13,
$HN$14))))))),$GI$29)</f>
        <v>-</v>
      </c>
      <c r="GS10" s="495" t="str">
        <f ca="1">IF(AND(GM10&gt;2000,GN10=0,GO10=$GK$28),$HN$14,GR10)</f>
        <v>-</v>
      </c>
      <c r="GT10" s="492" t="s">
        <v>8245</v>
      </c>
      <c r="GU10" s="492" t="str" cm="1">
        <f t="array" aca="1" ref="GU10" ca="1">INDIRECT($GT$4&amp;GT10,1)</f>
        <v>-</v>
      </c>
      <c r="GV10" s="1648" t="str">
        <f ca="1">IF(COUNTIF(GU10:GU11,$HN$9)&gt;0,HN9,
IF(COUNTIF(GU10:GU11,$HN$10)&gt;0,HN10,
IF(COUNTIF(GU10:GU11,$HN$11)&gt;0,HN11,
IF(COUNTIF(GU10:GU11,$HN$12)&gt;0,HN12,
IF(COUNTIF(GU10:GU11,$HN$13)&gt;0,HN13,
IF(COUNTIF(GU10:GU11,$HN$14)&gt;0,HN14,
IF(COUNTIF(GU10:GU11,$GI$31)&gt;0,$GI$33,
GU10)))))))</f>
        <v>-</v>
      </c>
      <c r="GW10" s="1648" t="str">
        <f ca="1">IFERROR(VLOOKUP(GV10,HN9:HP14,2,0),"a definir")</f>
        <v>a definir</v>
      </c>
      <c r="GX10" s="1648" t="str">
        <f ca="1">IFERROR(VLOOKUP(GV10,HN9:HP14,3,0),"a definir")</f>
        <v>a definir</v>
      </c>
      <c r="HA10" s="514" t="s">
        <v>7808</v>
      </c>
      <c r="HB10" s="524" t="b">
        <f ca="1">IF(COUNTIF(GO6:GO13,$GK$27)&gt;0,TRUE,FALSE)</f>
        <v>0</v>
      </c>
      <c r="HC10" s="516"/>
      <c r="HK10" s="492" t="s">
        <v>5836</v>
      </c>
      <c r="HL10" s="492">
        <v>50</v>
      </c>
      <c r="HM10" s="492">
        <v>200</v>
      </c>
      <c r="HN10" s="492" t="s">
        <v>5824</v>
      </c>
      <c r="HO10" s="495" t="s">
        <v>5837</v>
      </c>
      <c r="HP10" s="492" t="s">
        <v>5878</v>
      </c>
      <c r="HQ10" s="495"/>
      <c r="HR10" s="492"/>
    </row>
    <row r="11" spans="1:229" x14ac:dyDescent="0.25">
      <c r="A11" s="496">
        <f>ROW('PT&amp;IA'!P18)</f>
        <v>18</v>
      </c>
      <c r="B11" s="496" t="str" cm="1">
        <f t="array" aca="1" ref="B11" ca="1">IF(INDIRECT($A$2&amp;$B$2&amp;A11)&lt;&gt;0,INDIRECT($A$2&amp;$B$2&amp;A11),"")</f>
        <v/>
      </c>
      <c r="C11" s="496" t="str">
        <f ca="1">IFERROR(
  IF(B11="","",VLOOKUP(B11,tb_ingredientes[[ingrediente_ativo]:[cod_mono]],2,0)),
  "Novo")</f>
        <v/>
      </c>
      <c r="D11" s="496" t="str">
        <f ca="1">IFERROR(
    INDEX(tb_ingredientes[V],MATCH(B11,tb_ingredientes[ingrediente_ativo],0),1),
    "")</f>
        <v/>
      </c>
      <c r="E11" s="496" t="str" cm="1">
        <f t="array" aca="1" ref="E11" ca="1">IF(C11="Novo",INDIRECT($A$2&amp;$E$2&amp;A11),D11)</f>
        <v/>
      </c>
      <c r="G11" s="497">
        <v>39</v>
      </c>
      <c r="H11" s="498" t="str" cm="1">
        <f t="array" aca="1" ref="H11" ca="1">IF(
OR(INDIRECT($F$2&amp;$G$2&amp;$G11,1)&lt;&gt;"",INDIRECT($F$2&amp;$H$2&amp;G11,1)&lt;&gt;""),
INDIRECT($F$2&amp;$H$2&amp;G11,1),
"")</f>
        <v/>
      </c>
      <c r="I11" s="498" t="str">
        <f ca="1">IFERROR(
VLOOKUP(SEARCH("-",Calculos!$H11,1)-1,$K$3:$L$9,2,0)&amp;Calculos!$H11,"")</f>
        <v/>
      </c>
      <c r="N11" s="499" t="str">
        <f ca="1">IFERROR(
IF(ISERROR(VLOOKUP(I11,tb_componentes_proibidos[[n_cas_corrigido]:[Componente_proibido]],1,0)),"",$H11),"")</f>
        <v/>
      </c>
      <c r="O11" s="499" t="str" cm="1">
        <f t="array" aca="1" ref="O11" ca="1">IFERROR(
INDEX($N$4:$N$43,MATCH(0,INDEX(COUNTIF($O$1:O10,$N$4:$N$43),),)),"")</f>
        <v/>
      </c>
      <c r="P11" s="499" t="str">
        <f ca="1">IFERROR(
VLOOKUP(O11,tb_componentes_proibidos[[n_cas]:[Componente_proibido]],3,0),"")</f>
        <v/>
      </c>
      <c r="Q11" s="499" t="str">
        <f t="shared" ca="1" si="4"/>
        <v/>
      </c>
      <c r="R11" s="499" t="str">
        <f t="shared" ca="1" si="5"/>
        <v/>
      </c>
      <c r="U11" s="501" cm="1">
        <f t="array" aca="1" ref="U11" ca="1">INDIRECT($F$2&amp;$U$2&amp;G11,1)</f>
        <v>0</v>
      </c>
      <c r="V11" s="502" t="str">
        <f ca="1">IF(H11&lt;&gt;"",
IFERROR(
VLOOKUP(I11,tb_ingredientes[[n_cas_corrigido]:[ingrediente_ativo]],2,0),
IFERROR(VLOOKUP(I11,tb_componentes[[n_cas_corrigido]:[Componente]],2,0),"Informar nome do componente")),"")</f>
        <v/>
      </c>
      <c r="W11" s="502" t="str">
        <f t="shared" ca="1" si="0"/>
        <v/>
      </c>
      <c r="X11" s="492" cm="1">
        <f t="array" aca="1" ref="X11" ca="1">IF(Y11=1,INDIRECT($F$2&amp;$X$2&amp;G11,1),0)</f>
        <v>0</v>
      </c>
      <c r="Y11" s="492" cm="1">
        <f t="array" aca="1" ref="Y11" ca="1">IF(INDIRECT($F$2&amp;$Y$2&amp;G11,1)="Sim",1,0)</f>
        <v>0</v>
      </c>
      <c r="Z11" s="492" t="str">
        <f ca="1">IF(U11="sim",Calculos!V11&amp;" - "&amp;X11&amp;" "&amp;$AE$10&amp;" ("&amp;IFERROR(TRUNC(W11,4)*100,"")&amp;"%)","")</f>
        <v/>
      </c>
      <c r="AA11" s="492" t="str" cm="1">
        <f t="array" aca="1" ref="AA11" ca="1">IFERROR(
INDEX($Z$4:$Z$43,MATCH(0,INDEX(COUNTIF($AA$1:AA10,$Z$4:$Z$43),),)),"")</f>
        <v/>
      </c>
      <c r="AB11" s="492" t="str">
        <f t="shared" ca="1" si="1"/>
        <v/>
      </c>
      <c r="AC11" s="492" t="str" cm="1">
        <f t="array" aca="1" ref="AC11" ca="1">IF(INDIRECT($F$2&amp;$AC$2&amp;G11)&lt;&gt;0,INDIRECT($F$2&amp;$AC$2&amp;G11),"")</f>
        <v/>
      </c>
      <c r="AD11" s="25" t="s">
        <v>5504</v>
      </c>
      <c r="AE11" s="25">
        <f ca="1">IF(S4&lt;&gt;"",1,0)</f>
        <v>0</v>
      </c>
      <c r="AF11" s="470" t="s">
        <v>5510</v>
      </c>
      <c r="AG11" s="492" t="str">
        <f ca="1">IFERROR(INDEX(tb_ingredientes[cod_mono],MATCH(Calculos!AH11,tb_ingredientes[ingrediente_ativo],0),1),"")</f>
        <v/>
      </c>
      <c r="AH11" s="492" t="str" cm="1">
        <f t="array" aca="1" ref="AH11" ca="1">IFERROR(
INDEX($B$4:$B$18,MATCH(0,INDEX(COUNTIF($AH$1:AH10,$B$4:$B$18),),)),"")</f>
        <v/>
      </c>
      <c r="AI11" s="492" t="str">
        <f t="shared" ca="1" si="2"/>
        <v/>
      </c>
      <c r="AK11" s="470" t="s">
        <v>5510</v>
      </c>
      <c r="AN11" s="476">
        <v>26</v>
      </c>
      <c r="AO11" s="492" t="str" cm="1">
        <f t="array" aca="1" ref="AO11" ca="1">IF(INDIRECT($AN$2&amp;$AO$2&amp;AN11,1)&lt;&gt;0,
INDIRECT($AN$2&amp;$AO$2&amp;AN11,1),
IF((COUNTA(AO12:$AO$34)-COUNTIF(AO12:$AO$34,""))=0,"","# Id não informado #"))</f>
        <v/>
      </c>
      <c r="AP11" s="492" t="str" cm="1">
        <f t="array" aca="1" ref="AP11" ca="1">IFERROR(
INDEX($AO$4:$AO$33,MATCH(0,INDEX(COUNTIF($AP$1:AP10,$AO$4:$AO$33),),)),"")</f>
        <v/>
      </c>
      <c r="AR11" s="470" t="s">
        <v>5510</v>
      </c>
      <c r="AS11" s="542" t="s">
        <v>5521</v>
      </c>
      <c r="AT11" s="542" t="str">
        <f ca="1">IF(AT8&gt;1,
AS13&amp;AT8&amp;AS14,
IF(AT7=1,
   AS12,
   AS11)
)</f>
        <v>Faltam 9 testes obrigatórios a serem preenchidos</v>
      </c>
      <c r="AV11" s="469" t="s">
        <v>5510</v>
      </c>
      <c r="BB11" s="469" t="s">
        <v>5510</v>
      </c>
      <c r="BC11" s="494">
        <v>39</v>
      </c>
      <c r="BD11" s="494" t="str" cm="1">
        <f t="array" aca="1" ref="BD11" ca="1">IF(INDIRECT("'"&amp;$BC$1&amp;"'!R"&amp;BC11,1)&lt;&gt;0,INDIRECT("'CL50(1)'!R"&amp;BC11,1),"")</f>
        <v/>
      </c>
      <c r="BF11" s="469" t="s">
        <v>5510</v>
      </c>
      <c r="BG11" s="469">
        <v>2</v>
      </c>
      <c r="BH11" s="539" t="s">
        <v>8037</v>
      </c>
      <c r="BI11" s="539">
        <f>BI10+1</f>
        <v>14</v>
      </c>
      <c r="BJ11" s="539" cm="1">
        <f t="array" aca="1" ref="BJ11" ca="1">INDIRECT($BM$2&amp;BJ$7&amp;$BI11,1)</f>
        <v>0</v>
      </c>
      <c r="BK11" s="539" cm="1">
        <f t="array" aca="1" ref="BK11" ca="1">INDIRECT($BM$2&amp;BK$7&amp;$BI11,1)</f>
        <v>0</v>
      </c>
      <c r="BL11" s="539" cm="1">
        <f t="array" aca="1" ref="BL11" ca="1">INDIRECT($BM$2&amp;BL$7&amp;$BI11,1)</f>
        <v>0</v>
      </c>
      <c r="BM11" s="539" cm="1">
        <f t="array" aca="1" ref="BM11" ca="1">INDIRECT($BM$2&amp;BM$7&amp;$BI11,1)</f>
        <v>0</v>
      </c>
      <c r="BN11" s="539" cm="1">
        <f t="array" aca="1" ref="BN11" ca="1">INDIRECT($BM$2&amp;BN$7&amp;$BI11,1)</f>
        <v>0</v>
      </c>
      <c r="BO11" s="539" t="str">
        <f t="shared" ref="BO11:BO21" ca="1" si="9">IF(BK11=0,"-",IFERROR(BK11/BK$10,"-"))</f>
        <v>-</v>
      </c>
      <c r="BP11" s="494" t="s">
        <v>8222</v>
      </c>
      <c r="BR11" s="469">
        <v>2</v>
      </c>
      <c r="BS11" s="539" t="s">
        <v>8037</v>
      </c>
      <c r="BT11" s="539">
        <f>BT10+1</f>
        <v>360</v>
      </c>
      <c r="BU11" s="539" cm="1">
        <f t="array" aca="1" ref="BU11" ca="1">INDIRECT($BM$2&amp;BU$7&amp;$BT11,1)</f>
        <v>0</v>
      </c>
      <c r="BV11" s="539" cm="1">
        <f t="array" aca="1" ref="BV11" ca="1">INDIRECT($BM$2&amp;BV$7&amp;$BT11,1)</f>
        <v>0</v>
      </c>
      <c r="BW11" s="539" cm="1">
        <f t="array" aca="1" ref="BW11" ca="1">INDIRECT($BM$2&amp;BW$7&amp;$BT11,1)</f>
        <v>0</v>
      </c>
      <c r="BX11" s="539" cm="1">
        <f t="array" aca="1" ref="BX11" ca="1">INDIRECT($BM$2&amp;BX$7&amp;$BT11,1)</f>
        <v>0</v>
      </c>
      <c r="BY11" s="539" cm="1">
        <f t="array" aca="1" ref="BY11" ca="1">INDIRECT($BM$2&amp;BY$7&amp;$BT11,1)</f>
        <v>0</v>
      </c>
      <c r="BZ11" s="539" t="str">
        <f t="shared" ref="BZ11:BZ21" ca="1" si="10">IF(BV11=0,"-",IFERROR(BV11/BV$10,"-"))</f>
        <v>-</v>
      </c>
      <c r="CA11" s="494" t="s">
        <v>8222</v>
      </c>
      <c r="CC11" s="469">
        <v>2</v>
      </c>
      <c r="CD11" s="539" t="s">
        <v>8037</v>
      </c>
      <c r="CE11" s="539">
        <f>CE10+1</f>
        <v>706</v>
      </c>
      <c r="CF11" s="539" cm="1">
        <f t="array" aca="1" ref="CF11" ca="1">INDIRECT($BM$2&amp;CF$7&amp;$CE11,1)</f>
        <v>0</v>
      </c>
      <c r="CG11" s="539" cm="1">
        <f t="array" aca="1" ref="CG11" ca="1">INDIRECT($BM$2&amp;CG$7&amp;$CE11,1)</f>
        <v>0</v>
      </c>
      <c r="CH11" s="539" cm="1">
        <f t="array" aca="1" ref="CH11" ca="1">INDIRECT($BM$2&amp;CH$7&amp;$CE11,1)</f>
        <v>0</v>
      </c>
      <c r="CI11" s="539" cm="1">
        <f t="array" aca="1" ref="CI11" ca="1">INDIRECT($BM$2&amp;CI$7&amp;$CE11,1)</f>
        <v>0</v>
      </c>
      <c r="CJ11" s="539" cm="1">
        <f t="array" aca="1" ref="CJ11" ca="1">INDIRECT($BM$2&amp;CJ$7&amp;$CE11,1)</f>
        <v>0</v>
      </c>
      <c r="CK11" s="539" t="str">
        <f t="shared" ref="CK11:CK21" ca="1" si="11">IF(CG11=0,"-",IFERROR(CG11/CG$10,"-"))</f>
        <v>-</v>
      </c>
      <c r="CL11" s="494" t="s">
        <v>8222</v>
      </c>
      <c r="CO11" s="537" t="s">
        <v>5802</v>
      </c>
      <c r="CP11" s="480" t="s">
        <v>7548</v>
      </c>
      <c r="CQ11" s="537" t="str" cm="1">
        <f t="array" aca="1" ref="CQ11" ca="1">IF(INDIRECT($BI$2&amp;$CP11)&lt;&gt;0,INDIRECT($BI$2&amp;$CP11),"-")</f>
        <v>-</v>
      </c>
      <c r="CU11" s="469" t="s">
        <v>5510</v>
      </c>
      <c r="CY11" s="527" t="s">
        <v>8130</v>
      </c>
      <c r="CZ11" s="480">
        <v>30</v>
      </c>
      <c r="EQ11" s="469" t="s">
        <v>5510</v>
      </c>
      <c r="ES11" s="504" t="s">
        <v>372</v>
      </c>
      <c r="ET11" s="507" t="s">
        <v>8141</v>
      </c>
      <c r="EU11" s="507" t="s">
        <v>8146</v>
      </c>
      <c r="EW11" s="22" t="str" cm="1">
        <f t="array" aca="1" ref="EW11" ca="1">IF(INDIRECT(ET11)=0,"-",INDIRECT(ET11)&amp;" - "&amp;INDIRECT(EU11))</f>
        <v>-</v>
      </c>
      <c r="FB11" s="508" t="s">
        <v>5787</v>
      </c>
      <c r="GC11" s="472" t="s">
        <v>5510</v>
      </c>
      <c r="GE11" s="519" t="s">
        <v>5571</v>
      </c>
      <c r="GF11" s="519" t="s">
        <v>5796</v>
      </c>
      <c r="GG11" s="519" t="s">
        <v>5873</v>
      </c>
      <c r="GH11" s="492" t="str" cm="1">
        <f t="array" aca="1" ref="GH11" ca="1">IFERROR(
IF(INDIRECT(GE11&amp;GG11)="Sim",$GI$27,
IF(INDIRECT(GE11&amp;GF11)&lt;&gt;0,"sim","não")),
"Erro")</f>
        <v>não</v>
      </c>
      <c r="GI11" s="492" t="b">
        <f>Respostas_usuario!L7</f>
        <v>0</v>
      </c>
      <c r="GJ11" s="519">
        <v>61</v>
      </c>
      <c r="GK11" s="492" cm="1">
        <f t="array" aca="1" ref="GK11" ca="1">IFERROR(
IF(INDIRECT(GE11&amp;"Q"&amp;GJ11)&lt;&gt;"",
INDIRECT(GE11&amp;"Q"&amp;GJ11),
INDIRECT(GE11&amp;"AC"&amp;GJ11)),$GI$29)</f>
        <v>0</v>
      </c>
      <c r="GL11" s="492" t="str">
        <f t="shared" ca="1" si="6"/>
        <v>-</v>
      </c>
      <c r="GM11" s="492">
        <f t="shared" ca="1" si="7"/>
        <v>0</v>
      </c>
      <c r="GN11" s="492">
        <f ca="1">IFERROR(
  SUMIF(GJ78:GJ92,"&lt;="&amp;HM12,GK78:GK92)+
  SUMIF(GJ78:GJ92,"&lt;="&amp;HM12,GL78:GL92),
"Erro")</f>
        <v>0</v>
      </c>
      <c r="GO11" s="492" t="str">
        <f ca="1">IF(GH11&lt;&gt;"sim",
"-",
IF(
COUNTIFS(
GM78:GM92,TRUE,
GJ78:GJ92,"&gt;0",
GJ78:GJ92,"&lt;="&amp;$HM$12)&gt;0,$GK$27,$GK$28))</f>
        <v>-</v>
      </c>
      <c r="GP11" s="1647"/>
      <c r="GQ11" s="23"/>
      <c r="GR11" s="495" t="str">
        <f ca="1">IFERROR(
IF(GH11=$GI$27,$GV$6,
IF(GH11&lt;&gt;"sim","-",
IF(GM11&lt;=$HM$9,$HN$9,
IF(GM11&lt;=$HM$10,$HN$10,
IF(GM11&lt;=$HM$11,$HN$11,
IF(GM11&lt;=$HM$12,$HN$12,
IF(GM11&lt;=$HM$13,$HN$13,
$HN$14))))))),$GI$29)</f>
        <v>-</v>
      </c>
      <c r="GS11" s="495" t="str">
        <f ca="1">IF(AND(GM11&gt;2000,GN11=0,GO11=$GK$28),$HN$14,GR11)</f>
        <v>-</v>
      </c>
      <c r="GT11" s="492" t="s">
        <v>8246</v>
      </c>
      <c r="GU11" s="492" t="str" cm="1">
        <f t="array" aca="1" ref="GU11" ca="1">INDIRECT($GT$4&amp;GT11,1)</f>
        <v>-</v>
      </c>
      <c r="GV11" s="1648"/>
      <c r="GW11" s="1648"/>
      <c r="GX11" s="1648"/>
      <c r="HA11" s="514" t="s">
        <v>8277</v>
      </c>
      <c r="HB11" s="524" t="b">
        <f ca="1">IF(AND(HB21=1,HB7="-"),"-",IF(OR(HB6,HB8,HB9,HB10),TRUE,FALSE))</f>
        <v>0</v>
      </c>
      <c r="HD11" s="516"/>
      <c r="HE11" s="516"/>
      <c r="HF11" s="516"/>
      <c r="HK11" s="492" t="s">
        <v>5836</v>
      </c>
      <c r="HL11" s="492">
        <v>200</v>
      </c>
      <c r="HM11" s="492">
        <v>1000</v>
      </c>
      <c r="HN11" s="492" t="s">
        <v>5826</v>
      </c>
      <c r="HO11" s="495" t="s">
        <v>5838</v>
      </c>
      <c r="HP11" s="492" t="s">
        <v>5878</v>
      </c>
      <c r="HQ11" s="495"/>
      <c r="HR11" s="492"/>
    </row>
    <row r="12" spans="1:229" x14ac:dyDescent="0.25">
      <c r="A12" s="496">
        <f>ROW('PT&amp;IA'!P19)</f>
        <v>19</v>
      </c>
      <c r="B12" s="496" t="str" cm="1">
        <f t="array" aca="1" ref="B12" ca="1">IF(INDIRECT($A$2&amp;$B$2&amp;A12)&lt;&gt;0,INDIRECT($A$2&amp;$B$2&amp;A12),"")</f>
        <v/>
      </c>
      <c r="C12" s="496" t="str">
        <f ca="1">IFERROR(
  IF(B12="","",VLOOKUP(B12,tb_ingredientes[[ingrediente_ativo]:[cod_mono]],2,0)),
  "Novo")</f>
        <v/>
      </c>
      <c r="D12" s="496" t="str">
        <f ca="1">IFERROR(
    INDEX(tb_ingredientes[V],MATCH(B12,tb_ingredientes[ingrediente_ativo],0),1),
    "")</f>
        <v/>
      </c>
      <c r="E12" s="496" t="str" cm="1">
        <f t="array" aca="1" ref="E12" ca="1">IF(C12="Novo",INDIRECT($A$2&amp;$E$2&amp;A12),D12)</f>
        <v/>
      </c>
      <c r="G12" s="497">
        <v>40</v>
      </c>
      <c r="H12" s="498" t="str" cm="1">
        <f t="array" aca="1" ref="H12" ca="1">IF(
OR(INDIRECT($F$2&amp;$G$2&amp;$G12,1)&lt;&gt;"",INDIRECT($F$2&amp;$H$2&amp;G12,1)&lt;&gt;""),
INDIRECT($F$2&amp;$H$2&amp;G12,1),
"")</f>
        <v/>
      </c>
      <c r="I12" s="498" t="str">
        <f ca="1">IFERROR(
VLOOKUP(SEARCH("-",Calculos!$H12,1)-1,$K$3:$L$9,2,0)&amp;Calculos!$H12,"")</f>
        <v/>
      </c>
      <c r="N12" s="499" t="str">
        <f ca="1">IFERROR(
IF(ISERROR(VLOOKUP(I12,tb_componentes_proibidos[[n_cas_corrigido]:[Componente_proibido]],1,0)),"",$H12),"")</f>
        <v/>
      </c>
      <c r="O12" s="499" t="str" cm="1">
        <f t="array" aca="1" ref="O12" ca="1">IFERROR(
INDEX($N$4:$N$43,MATCH(0,INDEX(COUNTIF($O$1:O11,$N$4:$N$43),),)),"")</f>
        <v/>
      </c>
      <c r="P12" s="499" t="str">
        <f ca="1">IFERROR(
VLOOKUP(O12,tb_componentes_proibidos[[n_cas]:[Componente_proibido]],3,0),"")</f>
        <v/>
      </c>
      <c r="Q12" s="499" t="str">
        <f t="shared" ca="1" si="4"/>
        <v/>
      </c>
      <c r="R12" s="499" t="str">
        <f t="shared" ca="1" si="5"/>
        <v/>
      </c>
      <c r="U12" s="501" cm="1">
        <f t="array" aca="1" ref="U12" ca="1">INDIRECT($F$2&amp;$U$2&amp;G12,1)</f>
        <v>0</v>
      </c>
      <c r="V12" s="502" t="str">
        <f ca="1">IF(H12&lt;&gt;"",
IFERROR(
VLOOKUP(I12,tb_ingredientes[[n_cas_corrigido]:[ingrediente_ativo]],2,0),
IFERROR(VLOOKUP(I12,tb_componentes[[n_cas_corrigido]:[Componente]],2,0),"Informar nome do componente")),"")</f>
        <v/>
      </c>
      <c r="W12" s="502" t="str">
        <f t="shared" ca="1" si="0"/>
        <v/>
      </c>
      <c r="X12" s="492" cm="1">
        <f t="array" aca="1" ref="X12" ca="1">IF(Y12=1,INDIRECT($F$2&amp;$X$2&amp;G12,1),0)</f>
        <v>0</v>
      </c>
      <c r="Y12" s="492" cm="1">
        <f t="array" aca="1" ref="Y12" ca="1">IF(INDIRECT($F$2&amp;$Y$2&amp;G12,1)="Sim",1,0)</f>
        <v>0</v>
      </c>
      <c r="Z12" s="492" t="str">
        <f ca="1">IF(U12="sim",Calculos!V12&amp;" - "&amp;X12&amp;" "&amp;$AE$10&amp;" ("&amp;IFERROR(TRUNC(W12,4)*100,"")&amp;"%)","")</f>
        <v/>
      </c>
      <c r="AA12" s="492" t="str" cm="1">
        <f t="array" aca="1" ref="AA12" ca="1">IFERROR(
INDEX($Z$4:$Z$43,MATCH(0,INDEX(COUNTIF($AA$1:AA11,$Z$4:$Z$43),),)),"")</f>
        <v/>
      </c>
      <c r="AB12" s="492" t="str">
        <f t="shared" ca="1" si="1"/>
        <v/>
      </c>
      <c r="AC12" s="492" t="str" cm="1">
        <f t="array" aca="1" ref="AC12" ca="1">IF(INDIRECT($F$2&amp;$AC$2&amp;G12)&lt;&gt;0,INDIRECT($F$2&amp;$AC$2&amp;G12),"")</f>
        <v/>
      </c>
      <c r="AD12" s="25" t="s">
        <v>5505</v>
      </c>
      <c r="AE12" s="25">
        <f ca="1">SUM($X$4:$X$43)</f>
        <v>0</v>
      </c>
      <c r="AF12" s="470" t="s">
        <v>5510</v>
      </c>
      <c r="AG12" s="492" t="str">
        <f ca="1">IFERROR(INDEX(tb_ingredientes[cod_mono],MATCH(Calculos!AH12,tb_ingredientes[ingrediente_ativo],0),1),"")</f>
        <v/>
      </c>
      <c r="AH12" s="492" t="str" cm="1">
        <f t="array" aca="1" ref="AH12" ca="1">IFERROR(
INDEX($B$4:$B$18,MATCH(0,INDEX(COUNTIF($AH$1:AH11,$B$4:$B$18),),)),"")</f>
        <v/>
      </c>
      <c r="AI12" s="492" t="str">
        <f t="shared" ca="1" si="2"/>
        <v/>
      </c>
      <c r="AK12" s="470" t="s">
        <v>5510</v>
      </c>
      <c r="AN12" s="476">
        <v>27</v>
      </c>
      <c r="AO12" s="492" t="str" cm="1">
        <f t="array" aca="1" ref="AO12" ca="1">IF(INDIRECT($AN$2&amp;$AO$2&amp;AN12,1)&lt;&gt;0,
INDIRECT($AN$2&amp;$AO$2&amp;AN12,1),
IF((COUNTA(AO13:$AO$34)-COUNTIF(AO13:$AO$34,""))=0,"","# Id não informado #"))</f>
        <v/>
      </c>
      <c r="AP12" s="492" t="str" cm="1">
        <f t="array" aca="1" ref="AP12" ca="1">IFERROR(
INDEX($AO$4:$AO$33,MATCH(0,INDEX(COUNTIF($AP$1:AP11,$AO$4:$AO$33),),)),"")</f>
        <v/>
      </c>
      <c r="AR12" s="470" t="s">
        <v>5510</v>
      </c>
      <c r="AS12" s="542" t="s">
        <v>5522</v>
      </c>
      <c r="AV12" s="469" t="s">
        <v>5510</v>
      </c>
      <c r="AW12" s="528" t="s">
        <v>8218</v>
      </c>
      <c r="AX12" s="529" t="s">
        <v>8601</v>
      </c>
      <c r="BB12" s="469" t="s">
        <v>5510</v>
      </c>
      <c r="BC12" s="494">
        <v>40</v>
      </c>
      <c r="BD12" s="494" t="str" cm="1">
        <f t="array" aca="1" ref="BD12" ca="1">IF(INDIRECT("'"&amp;$BC$1&amp;"'!R"&amp;BC12,1)&lt;&gt;0,INDIRECT("'CL50(1)'!R"&amp;BC12,1),"")</f>
        <v/>
      </c>
      <c r="BF12" s="469" t="s">
        <v>5510</v>
      </c>
      <c r="BG12" s="469">
        <v>3</v>
      </c>
      <c r="BH12" s="539" t="s">
        <v>8037</v>
      </c>
      <c r="BI12" s="539">
        <f t="shared" ref="BI12:BI21" si="12">BI11+1</f>
        <v>15</v>
      </c>
      <c r="BJ12" s="539" cm="1">
        <f t="array" aca="1" ref="BJ12" ca="1">INDIRECT($BM$2&amp;BJ$7&amp;$BI12,1)</f>
        <v>0</v>
      </c>
      <c r="BK12" s="539" cm="1">
        <f t="array" aca="1" ref="BK12" ca="1">INDIRECT($BM$2&amp;BK$7&amp;$BI12,1)</f>
        <v>0</v>
      </c>
      <c r="BL12" s="539" cm="1">
        <f t="array" aca="1" ref="BL12" ca="1">INDIRECT($BM$2&amp;BL$7&amp;$BI12,1)</f>
        <v>0</v>
      </c>
      <c r="BM12" s="539" cm="1">
        <f t="array" aca="1" ref="BM12" ca="1">INDIRECT($BM$2&amp;BM$7&amp;$BI12,1)</f>
        <v>0</v>
      </c>
      <c r="BN12" s="539" cm="1">
        <f t="array" aca="1" ref="BN12" ca="1">INDIRECT($BM$2&amp;BN$7&amp;$BI12,1)</f>
        <v>0</v>
      </c>
      <c r="BO12" s="539" t="str">
        <f t="shared" ca="1" si="9"/>
        <v>-</v>
      </c>
      <c r="BP12" s="494" t="s">
        <v>8222</v>
      </c>
      <c r="BR12" s="469">
        <v>3</v>
      </c>
      <c r="BS12" s="539" t="s">
        <v>8037</v>
      </c>
      <c r="BT12" s="539">
        <f t="shared" ref="BT12:BT21" si="13">BT11+1</f>
        <v>361</v>
      </c>
      <c r="BU12" s="539" cm="1">
        <f t="array" aca="1" ref="BU12" ca="1">INDIRECT($BM$2&amp;BU$7&amp;$BT12,1)</f>
        <v>0</v>
      </c>
      <c r="BV12" s="539" cm="1">
        <f t="array" aca="1" ref="BV12" ca="1">INDIRECT($BM$2&amp;BV$7&amp;$BT12,1)</f>
        <v>0</v>
      </c>
      <c r="BW12" s="539" cm="1">
        <f t="array" aca="1" ref="BW12" ca="1">INDIRECT($BM$2&amp;BW$7&amp;$BT12,1)</f>
        <v>0</v>
      </c>
      <c r="BX12" s="539" cm="1">
        <f t="array" aca="1" ref="BX12" ca="1">INDIRECT($BM$2&amp;BX$7&amp;$BT12,1)</f>
        <v>0</v>
      </c>
      <c r="BY12" s="539" cm="1">
        <f t="array" aca="1" ref="BY12" ca="1">INDIRECT($BM$2&amp;BY$7&amp;$BT12,1)</f>
        <v>0</v>
      </c>
      <c r="BZ12" s="539" t="str">
        <f t="shared" ca="1" si="10"/>
        <v>-</v>
      </c>
      <c r="CA12" s="494" t="s">
        <v>8222</v>
      </c>
      <c r="CC12" s="469">
        <v>3</v>
      </c>
      <c r="CD12" s="539" t="s">
        <v>8037</v>
      </c>
      <c r="CE12" s="539">
        <f t="shared" ref="CE12:CE21" si="14">CE11+1</f>
        <v>707</v>
      </c>
      <c r="CF12" s="539" cm="1">
        <f t="array" aca="1" ref="CF12" ca="1">INDIRECT($BM$2&amp;CF$7&amp;$CE12,1)</f>
        <v>0</v>
      </c>
      <c r="CG12" s="539" cm="1">
        <f t="array" aca="1" ref="CG12" ca="1">INDIRECT($BM$2&amp;CG$7&amp;$CE12,1)</f>
        <v>0</v>
      </c>
      <c r="CH12" s="539" cm="1">
        <f t="array" aca="1" ref="CH12" ca="1">INDIRECT($BM$2&amp;CH$7&amp;$CE12,1)</f>
        <v>0</v>
      </c>
      <c r="CI12" s="539" cm="1">
        <f t="array" aca="1" ref="CI12" ca="1">INDIRECT($BM$2&amp;CI$7&amp;$CE12,1)</f>
        <v>0</v>
      </c>
      <c r="CJ12" s="539" cm="1">
        <f t="array" aca="1" ref="CJ12" ca="1">INDIRECT($BM$2&amp;CJ$7&amp;$CE12,1)</f>
        <v>0</v>
      </c>
      <c r="CK12" s="539" t="str">
        <f t="shared" ca="1" si="11"/>
        <v>-</v>
      </c>
      <c r="CL12" s="494" t="s">
        <v>8222</v>
      </c>
      <c r="CU12" s="469" t="s">
        <v>5510</v>
      </c>
      <c r="CY12" s="527" t="s">
        <v>8128</v>
      </c>
      <c r="CZ12" s="480">
        <v>46</v>
      </c>
      <c r="EQ12" s="469" t="s">
        <v>5510</v>
      </c>
      <c r="ES12" s="504" t="s">
        <v>132</v>
      </c>
      <c r="ET12" s="543" t="s">
        <v>8148</v>
      </c>
      <c r="EW12" s="22" t="str">
        <f ca="1">IF(FB6="","-",FB6)</f>
        <v>-</v>
      </c>
      <c r="FB12" s="518" t="str">
        <f>IF(Respostas_usuario!G2=TRUE,"Sim","Não")</f>
        <v>Não</v>
      </c>
      <c r="GC12" s="472" t="s">
        <v>5510</v>
      </c>
      <c r="GE12" s="519" t="s">
        <v>5572</v>
      </c>
      <c r="GF12" s="519" t="s">
        <v>5797</v>
      </c>
      <c r="GG12" s="519" t="s">
        <v>1592</v>
      </c>
      <c r="GH12" s="22" t="str" cm="1">
        <f t="array" aca="1" ref="GH12" ca="1">IFERROR(
IF(INDIRECT(GE12&amp;GG12)="Sim",$GI$27,
IF(INDIRECT(GE12&amp;GF12)&lt;&gt;0,"sim","não")),
"Erro")</f>
        <v>não</v>
      </c>
      <c r="GI12" s="22" t="b">
        <f>Respostas_usuario!L8</f>
        <v>0</v>
      </c>
      <c r="GJ12" s="519">
        <v>70</v>
      </c>
      <c r="GK12" s="22" cm="1">
        <f t="array" aca="1" ref="GK12" ca="1">IFERROR(
IF(INDIRECT(GE12&amp;"Q"&amp;GJ12)&lt;&gt;"",
INDIRECT(GE12&amp;"Q"&amp;GJ12),
INDIRECT(GE12&amp;"AC"&amp;GJ12)),$GI$29)</f>
        <v>0</v>
      </c>
      <c r="GL12" s="22" t="str">
        <f t="shared" ca="1" si="6"/>
        <v>-</v>
      </c>
      <c r="GM12" s="22">
        <f t="shared" ca="1" si="7"/>
        <v>0</v>
      </c>
      <c r="GN12" s="22">
        <f ca="1">IFERROR( SUM(GG97:GH106), "Erro")</f>
        <v>0</v>
      </c>
      <c r="GO12" s="22" t="str">
        <f ca="1">IF(GH12&lt;&gt;"sim",
"-",
IF(
COUNTIFS(
GI97:GI106,TRUE,
GF97:GF106,"&gt;0",
GF97:GF106,"&lt;="&amp;$HM$18)&gt;0,$GK$27,$GK$28))</f>
        <v>-</v>
      </c>
      <c r="GP12" s="1646" t="str" cm="1">
        <f t="array" aca="1" ref="GP12" ca="1">IF(COUNTIF(GH6:GH9,"sim")=0,
"-",
IF(SUM(GN12:GN13)=0,
   $HL$20,
   INDEX(GL12:GL13, MATCH(MIN(IF(GK12:GK13&gt;0,GK12:GK13)),GK12:GK13,0),1)&amp;" mg/L de ar em 4h"
  )
)</f>
        <v>-</v>
      </c>
      <c r="GQ12" s="49"/>
      <c r="GR12" s="523" t="str">
        <f ca="1">IFERROR(
IF(GH12=$GI$27,$GI$30,
IF(GH12&lt;&gt;"sim","-",
IF(GM12&lt;=$HM$15,$HN$15,
IF(GM12&lt;=$HM$16,$HN$16,
IF(GM12&lt;=$HM$17,$HN$17,
IF(GM12&lt;=$HM$18,$HN$18,
IF(GM12&lt;=$HM$19,$HN$19,
$HN$20))))))),$GI$29)</f>
        <v>-</v>
      </c>
      <c r="GS12" s="523" t="str">
        <f ca="1">IF(GH12&lt;&gt;"sim","-",
IF(AND(GN12=0,GO12=$GK$28),$HN$20,
IF(AND(GN12=0,GO12=$GK$27),$HN$19,
GR12)))</f>
        <v>-</v>
      </c>
      <c r="GT12" s="22" t="s">
        <v>8247</v>
      </c>
      <c r="GU12" s="22" t="str" cm="1">
        <f t="array" aca="1" ref="GU12" ca="1">INDIRECT($GT$4&amp;GT12,1)</f>
        <v>-</v>
      </c>
      <c r="GV12" s="1649" t="str">
        <f ca="1">IF(COUNTIF(GU12:GU13,$HN$15)&gt;0,HN15,
IF(COUNTIF(GU12:GU13,$HN$16)&gt;0,HN16,
IF(COUNTIF(GU12:GU13,$HN$17)&gt;0,HN17,
IF(COUNTIF(GU12:GU13,$HN$18)&gt;0,HN18,
IF(COUNTIF(GU12:GU13,$HN$19)&gt;0,HN19,
IF(COUNTIF(GU12:GU13,$HN$20)&gt;0,HN20,
IF(COUNTIF(GU12:GU13,$GI$31)&gt;0,$GI$33,
GU12)))))))</f>
        <v>-</v>
      </c>
      <c r="GW12" s="1649" t="str">
        <f ca="1">IFERROR(
IF(AND(GV12=HN20,GR38=TRUE),"Não determinada: Pode ser nocivo se inalado",VLOOKUP(GV12,HN15:HP20,2,0)),"a definir")</f>
        <v>a definir</v>
      </c>
      <c r="GX12" s="1649" t="str">
        <f ca="1">IFERROR(VLOOKUP(GV12,HN15:HP20,3,0),"a definir")</f>
        <v>a definir</v>
      </c>
      <c r="HA12" s="544" t="s">
        <v>5875</v>
      </c>
      <c r="HB12" s="545" t="str">
        <f ca="1" xml:space="preserve">
IF(AND(HB21=1,HB11="-"),HB5,
IF(HB5=HN21, IF(HB11,HN7,HN8),
HB5))</f>
        <v>Erro/Falha na classificação</v>
      </c>
      <c r="HK12" s="492" t="s">
        <v>5836</v>
      </c>
      <c r="HL12" s="492">
        <v>1000</v>
      </c>
      <c r="HM12" s="492">
        <v>2000</v>
      </c>
      <c r="HN12" s="492" t="s">
        <v>5829</v>
      </c>
      <c r="HO12" s="495" t="s">
        <v>5839</v>
      </c>
      <c r="HP12" s="492" t="s">
        <v>5879</v>
      </c>
      <c r="HQ12" s="495"/>
      <c r="HR12" s="492"/>
    </row>
    <row r="13" spans="1:229" x14ac:dyDescent="0.25">
      <c r="A13" s="496">
        <f>ROW('PT&amp;IA'!P20)</f>
        <v>20</v>
      </c>
      <c r="B13" s="496" t="str" cm="1">
        <f t="array" aca="1" ref="B13" ca="1">IF(INDIRECT($A$2&amp;$B$2&amp;A13)&lt;&gt;0,INDIRECT($A$2&amp;$B$2&amp;A13),"")</f>
        <v/>
      </c>
      <c r="C13" s="496" t="str">
        <f ca="1">IFERROR(
  IF(B13="","",VLOOKUP(B13,tb_ingredientes[[ingrediente_ativo]:[cod_mono]],2,0)),
  "Novo")</f>
        <v/>
      </c>
      <c r="D13" s="496" t="str">
        <f ca="1">IFERROR(
    INDEX(tb_ingredientes[V],MATCH(B13,tb_ingredientes[ingrediente_ativo],0),1),
    "")</f>
        <v/>
      </c>
      <c r="E13" s="496" t="str" cm="1">
        <f t="array" aca="1" ref="E13" ca="1">IF(C13="Novo",INDIRECT($A$2&amp;$E$2&amp;A13),D13)</f>
        <v/>
      </c>
      <c r="G13" s="497">
        <v>41</v>
      </c>
      <c r="H13" s="498" t="str" cm="1">
        <f t="array" aca="1" ref="H13" ca="1">IF(
OR(INDIRECT($F$2&amp;$G$2&amp;$G13,1)&lt;&gt;"",INDIRECT($F$2&amp;$H$2&amp;G13,1)&lt;&gt;""),
INDIRECT($F$2&amp;$H$2&amp;G13,1),
"")</f>
        <v/>
      </c>
      <c r="I13" s="498" t="str">
        <f ca="1">IFERROR(
VLOOKUP(SEARCH("-",Calculos!$H13,1)-1,$K$3:$L$9,2,0)&amp;Calculos!$H13,"")</f>
        <v/>
      </c>
      <c r="N13" s="499" t="str">
        <f ca="1">IFERROR(
IF(ISERROR(VLOOKUP(I13,tb_componentes_proibidos[[n_cas_corrigido]:[Componente_proibido]],1,0)),"",$H13),"")</f>
        <v/>
      </c>
      <c r="O13" s="499" t="str" cm="1">
        <f t="array" aca="1" ref="O13" ca="1">IFERROR(
INDEX($N$4:$N$43,MATCH(0,INDEX(COUNTIF($O$1:O12,$N$4:$N$43),),)),"")</f>
        <v/>
      </c>
      <c r="P13" s="499" t="str">
        <f ca="1">IFERROR(
VLOOKUP(O13,tb_componentes_proibidos[[n_cas]:[Componente_proibido]],3,0),"")</f>
        <v/>
      </c>
      <c r="Q13" s="499" t="str">
        <f t="shared" ca="1" si="4"/>
        <v/>
      </c>
      <c r="R13" s="499" t="str">
        <f t="shared" ca="1" si="5"/>
        <v/>
      </c>
      <c r="U13" s="501" cm="1">
        <f t="array" aca="1" ref="U13" ca="1">INDIRECT($F$2&amp;$U$2&amp;G13,1)</f>
        <v>0</v>
      </c>
      <c r="V13" s="502" t="str">
        <f ca="1">IF(H13&lt;&gt;"",
IFERROR(
VLOOKUP(I13,tb_ingredientes[[n_cas_corrigido]:[ingrediente_ativo]],2,0),
IFERROR(VLOOKUP(I13,tb_componentes[[n_cas_corrigido]:[Componente]],2,0),"Informar nome do componente")),"")</f>
        <v/>
      </c>
      <c r="W13" s="502" t="str">
        <f t="shared" ca="1" si="0"/>
        <v/>
      </c>
      <c r="X13" s="492" cm="1">
        <f t="array" aca="1" ref="X13" ca="1">IF(Y13=1,INDIRECT($F$2&amp;$X$2&amp;G13,1),0)</f>
        <v>0</v>
      </c>
      <c r="Y13" s="492" cm="1">
        <f t="array" aca="1" ref="Y13" ca="1">IF(INDIRECT($F$2&amp;$Y$2&amp;G13,1)="Sim",1,0)</f>
        <v>0</v>
      </c>
      <c r="Z13" s="492" t="str">
        <f ca="1">IF(U13="sim",Calculos!V13&amp;" - "&amp;X13&amp;" "&amp;$AE$10&amp;" ("&amp;IFERROR(TRUNC(W13,4)*100,"")&amp;"%)","")</f>
        <v/>
      </c>
      <c r="AA13" s="492" t="str" cm="1">
        <f t="array" aca="1" ref="AA13" ca="1">IFERROR(
INDEX($Z$4:$Z$43,MATCH(0,INDEX(COUNTIF($AA$1:AA12,$Z$4:$Z$43),),)),"")</f>
        <v/>
      </c>
      <c r="AB13" s="492" t="str">
        <f t="shared" ca="1" si="1"/>
        <v/>
      </c>
      <c r="AC13" s="492" t="str" cm="1">
        <f t="array" aca="1" ref="AC13" ca="1">IF(INDIRECT($F$2&amp;$AC$2&amp;G13)&lt;&gt;0,INDIRECT($F$2&amp;$AC$2&amp;G13),"")</f>
        <v/>
      </c>
      <c r="AD13" s="25" t="s">
        <v>5506</v>
      </c>
      <c r="AE13" s="25" t="str">
        <f ca="1">"Nominal (total): "&amp;$AE$12&amp;" "&amp;$AE$10</f>
        <v xml:space="preserve">Nominal (total): 0 </v>
      </c>
      <c r="AF13" s="470" t="s">
        <v>5510</v>
      </c>
      <c r="AG13" s="492" t="str">
        <f ca="1">IFERROR(INDEX(tb_ingredientes[cod_mono],MATCH(Calculos!AH13,tb_ingredientes[ingrediente_ativo],0),1),"")</f>
        <v/>
      </c>
      <c r="AH13" s="492" t="str" cm="1">
        <f t="array" aca="1" ref="AH13" ca="1">IFERROR(
INDEX($B$4:$B$18,MATCH(0,INDEX(COUNTIF($AH$1:AH12,$B$4:$B$18),),)),"")</f>
        <v/>
      </c>
      <c r="AI13" s="492" t="str">
        <f t="shared" ca="1" si="2"/>
        <v/>
      </c>
      <c r="AK13" s="470" t="s">
        <v>5510</v>
      </c>
      <c r="AN13" s="476">
        <v>28</v>
      </c>
      <c r="AO13" s="492" t="str" cm="1">
        <f t="array" aca="1" ref="AO13" ca="1">IF(INDIRECT($AN$2&amp;$AO$2&amp;AN13,1)&lt;&gt;0,
INDIRECT($AN$2&amp;$AO$2&amp;AN13,1),
IF((COUNTA(AO14:$AO$34)-COUNTIF(AO14:$AO$34,""))=0,"","# Id não informado #"))</f>
        <v/>
      </c>
      <c r="AP13" s="492" t="str" cm="1">
        <f t="array" aca="1" ref="AP13" ca="1">IFERROR(
INDEX($AO$4:$AO$33,MATCH(0,INDEX(COUNTIF($AP$1:AP12,$AO$4:$AO$33),),)),"")</f>
        <v/>
      </c>
      <c r="AR13" s="470" t="s">
        <v>5510</v>
      </c>
      <c r="AS13" s="542" t="s">
        <v>5523</v>
      </c>
      <c r="AV13" s="469" t="s">
        <v>5510</v>
      </c>
      <c r="BB13" s="469" t="s">
        <v>5510</v>
      </c>
      <c r="BF13" s="469" t="s">
        <v>5510</v>
      </c>
      <c r="BG13" s="469">
        <v>4</v>
      </c>
      <c r="BH13" s="539" t="s">
        <v>8037</v>
      </c>
      <c r="BI13" s="539">
        <f t="shared" si="12"/>
        <v>16</v>
      </c>
      <c r="BJ13" s="539" cm="1">
        <f t="array" aca="1" ref="BJ13" ca="1">INDIRECT($BM$2&amp;BJ$7&amp;$BI13,1)</f>
        <v>0</v>
      </c>
      <c r="BK13" s="539" cm="1">
        <f t="array" aca="1" ref="BK13" ca="1">INDIRECT($BM$2&amp;BK$7&amp;$BI13,1)</f>
        <v>0</v>
      </c>
      <c r="BL13" s="539" cm="1">
        <f t="array" aca="1" ref="BL13" ca="1">INDIRECT($BM$2&amp;BL$7&amp;$BI13,1)</f>
        <v>0</v>
      </c>
      <c r="BM13" s="539" cm="1">
        <f t="array" aca="1" ref="BM13" ca="1">INDIRECT($BM$2&amp;BM$7&amp;$BI13,1)</f>
        <v>0</v>
      </c>
      <c r="BN13" s="539" cm="1">
        <f t="array" aca="1" ref="BN13" ca="1">INDIRECT($BM$2&amp;BN$7&amp;$BI13,1)</f>
        <v>0</v>
      </c>
      <c r="BO13" s="539" t="str">
        <f t="shared" ca="1" si="9"/>
        <v>-</v>
      </c>
      <c r="BP13" s="494" t="s">
        <v>8222</v>
      </c>
      <c r="BQ13" s="20"/>
      <c r="BR13" s="469">
        <v>4</v>
      </c>
      <c r="BS13" s="539" t="s">
        <v>8037</v>
      </c>
      <c r="BT13" s="539">
        <f t="shared" si="13"/>
        <v>362</v>
      </c>
      <c r="BU13" s="539" cm="1">
        <f t="array" aca="1" ref="BU13" ca="1">INDIRECT($BM$2&amp;BU$7&amp;$BT13,1)</f>
        <v>0</v>
      </c>
      <c r="BV13" s="539" cm="1">
        <f t="array" aca="1" ref="BV13" ca="1">INDIRECT($BM$2&amp;BV$7&amp;$BT13,1)</f>
        <v>0</v>
      </c>
      <c r="BW13" s="539" cm="1">
        <f t="array" aca="1" ref="BW13" ca="1">INDIRECT($BM$2&amp;BW$7&amp;$BT13,1)</f>
        <v>0</v>
      </c>
      <c r="BX13" s="539" cm="1">
        <f t="array" aca="1" ref="BX13" ca="1">INDIRECT($BM$2&amp;BX$7&amp;$BT13,1)</f>
        <v>0</v>
      </c>
      <c r="BY13" s="539" cm="1">
        <f t="array" aca="1" ref="BY13" ca="1">INDIRECT($BM$2&amp;BY$7&amp;$BT13,1)</f>
        <v>0</v>
      </c>
      <c r="BZ13" s="539" t="str">
        <f t="shared" ca="1" si="10"/>
        <v>-</v>
      </c>
      <c r="CA13" s="494" t="s">
        <v>8222</v>
      </c>
      <c r="CC13" s="469">
        <v>4</v>
      </c>
      <c r="CD13" s="539" t="s">
        <v>8037</v>
      </c>
      <c r="CE13" s="539">
        <f t="shared" si="14"/>
        <v>708</v>
      </c>
      <c r="CF13" s="539" cm="1">
        <f t="array" aca="1" ref="CF13" ca="1">INDIRECT($BM$2&amp;CF$7&amp;$CE13,1)</f>
        <v>0</v>
      </c>
      <c r="CG13" s="539" cm="1">
        <f t="array" aca="1" ref="CG13" ca="1">INDIRECT($BM$2&amp;CG$7&amp;$CE13,1)</f>
        <v>0</v>
      </c>
      <c r="CH13" s="539" cm="1">
        <f t="array" aca="1" ref="CH13" ca="1">INDIRECT($BM$2&amp;CH$7&amp;$CE13,1)</f>
        <v>0</v>
      </c>
      <c r="CI13" s="539" cm="1">
        <f t="array" aca="1" ref="CI13" ca="1">INDIRECT($BM$2&amp;CI$7&amp;$CE13,1)</f>
        <v>0</v>
      </c>
      <c r="CJ13" s="539" cm="1">
        <f t="array" aca="1" ref="CJ13" ca="1">INDIRECT($BM$2&amp;CJ$7&amp;$CE13,1)</f>
        <v>0</v>
      </c>
      <c r="CK13" s="539" t="str">
        <f t="shared" ca="1" si="11"/>
        <v>-</v>
      </c>
      <c r="CL13" s="494" t="s">
        <v>8222</v>
      </c>
      <c r="CO13" s="479" t="s">
        <v>8060</v>
      </c>
      <c r="CQ13" s="479" t="s">
        <v>101</v>
      </c>
      <c r="CU13" s="469" t="s">
        <v>5510</v>
      </c>
      <c r="CY13" s="527" t="s">
        <v>8121</v>
      </c>
      <c r="CZ13" s="480">
        <v>17</v>
      </c>
      <c r="EQ13" s="469" t="s">
        <v>5510</v>
      </c>
      <c r="ES13" s="504" t="s">
        <v>7795</v>
      </c>
      <c r="ET13" s="507" t="s">
        <v>8154</v>
      </c>
      <c r="EW13" s="22" t="str" cm="1">
        <f t="array" aca="1" ref="EW13" ca="1">IF(INDIRECT(ET13)=0,"-",INDIRECT(ET13))</f>
        <v>-</v>
      </c>
      <c r="GC13" s="472" t="s">
        <v>5510</v>
      </c>
      <c r="GE13" s="519" t="s">
        <v>5573</v>
      </c>
      <c r="GF13" s="519" t="s">
        <v>5797</v>
      </c>
      <c r="GG13" s="519" t="s">
        <v>1592</v>
      </c>
      <c r="GH13" s="22" t="str" cm="1">
        <f t="array" aca="1" ref="GH13" ca="1">IFERROR(
IF(INDIRECT(GE13&amp;GG13)="Sim",$GI$27,
IF(INDIRECT(GE13&amp;GF13)&lt;&gt;0,"sim","não")),
"Erro")</f>
        <v>não</v>
      </c>
      <c r="GI13" s="22" t="b">
        <f>Respostas_usuario!L9</f>
        <v>0</v>
      </c>
      <c r="GJ13" s="519">
        <v>70</v>
      </c>
      <c r="GK13" s="22" cm="1">
        <f t="array" aca="1" ref="GK13" ca="1">IFERROR(
IF(INDIRECT(GE13&amp;"Q"&amp;GJ13)&lt;&gt;"",
INDIRECT(GE13&amp;"Q"&amp;GJ13),
INDIRECT(GE13&amp;"AC"&amp;GJ13)),$GI$29)</f>
        <v>0</v>
      </c>
      <c r="GL13" s="22" t="str">
        <f t="shared" ca="1" si="6"/>
        <v>-</v>
      </c>
      <c r="GM13" s="22">
        <f t="shared" ca="1" si="7"/>
        <v>0</v>
      </c>
      <c r="GN13" s="22">
        <f ca="1">IFERROR( SUM(GK97:GL106), "Erro")</f>
        <v>0</v>
      </c>
      <c r="GO13" s="22" t="str">
        <f ca="1">IF(GH13&lt;&gt;"sim",
"-",
IF(
COUNTIFS(
GM97:GM106,TRUE,
GJ97:GJ106,"&gt;0",
GJ97:GJ106,"&lt;="&amp;$HM$18)&gt;0,$GK$27,$GK$28))</f>
        <v>-</v>
      </c>
      <c r="GP13" s="1646"/>
      <c r="GQ13" s="49"/>
      <c r="GR13" s="523" t="str">
        <f ca="1">IFERROR(
IF(GH13=$GI$27,$GI$30,
IF(GH13&lt;&gt;"sim","-",
IF(GM13&lt;=$HM$15,$HN$15,
IF(GM13&lt;=$HM$16,$HN$16,
IF(GM13&lt;=$HM$17,$HN$17,
IF(GM13&lt;=$HM$18,$HN$18,
IF(GM13&lt;=$HM$19,$HN$19,
$HN$20))))))),$GI$29)</f>
        <v>-</v>
      </c>
      <c r="GS13" s="523" t="str">
        <f ca="1">IF(GH12&lt;&gt;"sim","-",
IF(AND(GN13=0,GO13=$GK$28),$HN$20,
IF(AND(GN13=0,GO13=$GK$27),$HN$19,
GR13)))</f>
        <v>-</v>
      </c>
      <c r="GT13" s="22" t="s">
        <v>8248</v>
      </c>
      <c r="GU13" s="22" t="str" cm="1">
        <f t="array" aca="1" ref="GU13" ca="1">INDIRECT($GT$4&amp;GT13,1)</f>
        <v>-</v>
      </c>
      <c r="GV13" s="1649"/>
      <c r="GW13" s="1649"/>
      <c r="GX13" s="1649"/>
      <c r="GY13" s="546" t="s">
        <v>8272</v>
      </c>
      <c r="HA13" s="514" t="s">
        <v>8278</v>
      </c>
      <c r="HB13" s="524" t="str">
        <f ca="1">IFERROR(VLOOKUP(HB12,HN3:HQ8,4,0),"")</f>
        <v/>
      </c>
      <c r="HK13" s="492" t="s">
        <v>5836</v>
      </c>
      <c r="HL13" s="492">
        <v>2000</v>
      </c>
      <c r="HM13" s="492">
        <v>5000</v>
      </c>
      <c r="HN13" s="492" t="s">
        <v>5832</v>
      </c>
      <c r="HO13" s="495" t="s">
        <v>5840</v>
      </c>
      <c r="HP13" s="492" t="s">
        <v>5879</v>
      </c>
      <c r="HQ13" s="495"/>
      <c r="HR13" s="492"/>
    </row>
    <row r="14" spans="1:229" x14ac:dyDescent="0.25">
      <c r="A14" s="496">
        <f>ROW('PT&amp;IA'!P21)</f>
        <v>21</v>
      </c>
      <c r="B14" s="496" t="str" cm="1">
        <f t="array" aca="1" ref="B14" ca="1">IF(INDIRECT($A$2&amp;$B$2&amp;A14)&lt;&gt;0,INDIRECT($A$2&amp;$B$2&amp;A14),"")</f>
        <v/>
      </c>
      <c r="C14" s="496" t="str">
        <f ca="1">IFERROR(
  IF(B14="","",VLOOKUP(B14,tb_ingredientes[[ingrediente_ativo]:[cod_mono]],2,0)),
  "Novo")</f>
        <v/>
      </c>
      <c r="D14" s="496" t="str">
        <f ca="1">IFERROR(
    INDEX(tb_ingredientes[V],MATCH(B14,tb_ingredientes[ingrediente_ativo],0),1),
    "")</f>
        <v/>
      </c>
      <c r="E14" s="496" t="str" cm="1">
        <f t="array" aca="1" ref="E14" ca="1">IF(C14="Novo",INDIRECT($A$2&amp;$E$2&amp;A14),D14)</f>
        <v/>
      </c>
      <c r="G14" s="497">
        <v>42</v>
      </c>
      <c r="H14" s="498" t="str" cm="1">
        <f t="array" aca="1" ref="H14" ca="1">IF(
OR(INDIRECT($F$2&amp;$G$2&amp;$G14,1)&lt;&gt;"",INDIRECT($F$2&amp;$H$2&amp;G14,1)&lt;&gt;""),
INDIRECT($F$2&amp;$H$2&amp;G14,1),
"")</f>
        <v/>
      </c>
      <c r="I14" s="498" t="str">
        <f ca="1">IFERROR(
VLOOKUP(SEARCH("-",Calculos!$H14,1)-1,$K$3:$L$9,2,0)&amp;Calculos!$H14,"")</f>
        <v/>
      </c>
      <c r="N14" s="499" t="str">
        <f ca="1">IFERROR(
IF(ISERROR(VLOOKUP(I14,tb_componentes_proibidos[[n_cas_corrigido]:[Componente_proibido]],1,0)),"",$H14),"")</f>
        <v/>
      </c>
      <c r="O14" s="499" t="str" cm="1">
        <f t="array" aca="1" ref="O14" ca="1">IFERROR(
INDEX($N$4:$N$43,MATCH(0,INDEX(COUNTIF($O$1:O13,$N$4:$N$43),),)),"")</f>
        <v/>
      </c>
      <c r="P14" s="499" t="str">
        <f ca="1">IFERROR(
VLOOKUP(O14,tb_componentes_proibidos[[n_cas]:[Componente_proibido]],3,0),"")</f>
        <v/>
      </c>
      <c r="Q14" s="499" t="str">
        <f t="shared" ca="1" si="4"/>
        <v/>
      </c>
      <c r="R14" s="499" t="str">
        <f t="shared" ca="1" si="5"/>
        <v/>
      </c>
      <c r="U14" s="501" cm="1">
        <f t="array" aca="1" ref="U14" ca="1">INDIRECT($F$2&amp;$U$2&amp;G14,1)</f>
        <v>0</v>
      </c>
      <c r="V14" s="502" t="str">
        <f ca="1">IF(H14&lt;&gt;"",
IFERROR(
VLOOKUP(I14,tb_ingredientes[[n_cas_corrigido]:[ingrediente_ativo]],2,0),
IFERROR(VLOOKUP(I14,tb_componentes[[n_cas_corrigido]:[Componente]],2,0),"Informar nome do componente")),"")</f>
        <v/>
      </c>
      <c r="W14" s="502" t="str">
        <f t="shared" ca="1" si="0"/>
        <v/>
      </c>
      <c r="X14" s="492" cm="1">
        <f t="array" aca="1" ref="X14" ca="1">IF(Y14=1,INDIRECT($F$2&amp;$X$2&amp;G14,1),0)</f>
        <v>0</v>
      </c>
      <c r="Y14" s="492" cm="1">
        <f t="array" aca="1" ref="Y14" ca="1">IF(INDIRECT($F$2&amp;$Y$2&amp;G14,1)="Sim",1,0)</f>
        <v>0</v>
      </c>
      <c r="Z14" s="492" t="str">
        <f ca="1">IF(U14="sim",Calculos!V14&amp;" - "&amp;X14&amp;" "&amp;$AE$10&amp;" ("&amp;IFERROR(TRUNC(W14,4)*100,"")&amp;"%)","")</f>
        <v/>
      </c>
      <c r="AA14" s="492" t="str" cm="1">
        <f t="array" aca="1" ref="AA14" ca="1">IFERROR(
INDEX($Z$4:$Z$43,MATCH(0,INDEX(COUNTIF($AA$1:AA13,$Z$4:$Z$43),),)),"")</f>
        <v/>
      </c>
      <c r="AB14" s="492" t="str">
        <f t="shared" ca="1" si="1"/>
        <v/>
      </c>
      <c r="AC14" s="492" t="str" cm="1">
        <f t="array" aca="1" ref="AC14" ca="1">IF(INDIRECT($F$2&amp;$AC$2&amp;G14)&lt;&gt;0,INDIRECT($F$2&amp;$AC$2&amp;G14),"")</f>
        <v/>
      </c>
      <c r="AF14" s="470" t="s">
        <v>5510</v>
      </c>
      <c r="AG14" s="492" t="str">
        <f ca="1">IFERROR(INDEX(tb_ingredientes[cod_mono],MATCH(Calculos!AH14,tb_ingredientes[ingrediente_ativo],0),1),"")</f>
        <v/>
      </c>
      <c r="AH14" s="492" t="str" cm="1">
        <f t="array" aca="1" ref="AH14" ca="1">IFERROR(
INDEX($B$4:$B$18,MATCH(0,INDEX(COUNTIF($AH$1:AH13,$B$4:$B$18),),)),"")</f>
        <v/>
      </c>
      <c r="AI14" s="492" t="str">
        <f t="shared" ca="1" si="2"/>
        <v/>
      </c>
      <c r="AK14" s="470" t="s">
        <v>5510</v>
      </c>
      <c r="AN14" s="476">
        <v>29</v>
      </c>
      <c r="AO14" s="492" t="str" cm="1">
        <f t="array" aca="1" ref="AO14" ca="1">IF(INDIRECT($AN$2&amp;$AO$2&amp;AN14,1)&lt;&gt;0,
INDIRECT($AN$2&amp;$AO$2&amp;AN14,1),
IF((COUNTA(AO15:$AO$34)-COUNTIF(AO15:$AO$34,""))=0,"","# Id não informado #"))</f>
        <v/>
      </c>
      <c r="AP14" s="492" t="str" cm="1">
        <f t="array" aca="1" ref="AP14" ca="1">IFERROR(
INDEX($AO$4:$AO$33,MATCH(0,INDEX(COUNTIF($AP$1:AP13,$AO$4:$AO$33),),)),"")</f>
        <v/>
      </c>
      <c r="AR14" s="470" t="s">
        <v>5510</v>
      </c>
      <c r="AS14" s="542" t="s">
        <v>5524</v>
      </c>
      <c r="AV14" s="469" t="s">
        <v>5510</v>
      </c>
      <c r="BB14" s="469" t="s">
        <v>5510</v>
      </c>
      <c r="BF14" s="469" t="s">
        <v>5510</v>
      </c>
      <c r="BG14" s="469">
        <v>5</v>
      </c>
      <c r="BH14" s="539" t="s">
        <v>8037</v>
      </c>
      <c r="BI14" s="539">
        <f t="shared" si="12"/>
        <v>17</v>
      </c>
      <c r="BJ14" s="539" cm="1">
        <f t="array" aca="1" ref="BJ14" ca="1">INDIRECT($BM$2&amp;BJ$7&amp;$BI14,1)</f>
        <v>0</v>
      </c>
      <c r="BK14" s="539" cm="1">
        <f t="array" aca="1" ref="BK14" ca="1">INDIRECT($BM$2&amp;BK$7&amp;$BI14,1)</f>
        <v>0</v>
      </c>
      <c r="BL14" s="539" cm="1">
        <f t="array" aca="1" ref="BL14" ca="1">INDIRECT($BM$2&amp;BL$7&amp;$BI14,1)</f>
        <v>0</v>
      </c>
      <c r="BM14" s="539" cm="1">
        <f t="array" aca="1" ref="BM14" ca="1">INDIRECT($BM$2&amp;BM$7&amp;$BI14,1)</f>
        <v>0</v>
      </c>
      <c r="BN14" s="539" cm="1">
        <f t="array" aca="1" ref="BN14" ca="1">INDIRECT($BM$2&amp;BN$7&amp;$BI14,1)</f>
        <v>0</v>
      </c>
      <c r="BO14" s="539" t="str">
        <f t="shared" ca="1" si="9"/>
        <v>-</v>
      </c>
      <c r="BP14" s="494" t="s">
        <v>8222</v>
      </c>
      <c r="BQ14" s="20"/>
      <c r="BR14" s="469">
        <v>5</v>
      </c>
      <c r="BS14" s="539" t="s">
        <v>8037</v>
      </c>
      <c r="BT14" s="539">
        <f t="shared" si="13"/>
        <v>363</v>
      </c>
      <c r="BU14" s="539" cm="1">
        <f t="array" aca="1" ref="BU14" ca="1">INDIRECT($BM$2&amp;BU$7&amp;$BT14,1)</f>
        <v>0</v>
      </c>
      <c r="BV14" s="539" cm="1">
        <f t="array" aca="1" ref="BV14" ca="1">INDIRECT($BM$2&amp;BV$7&amp;$BT14,1)</f>
        <v>0</v>
      </c>
      <c r="BW14" s="539" cm="1">
        <f t="array" aca="1" ref="BW14" ca="1">INDIRECT($BM$2&amp;BW$7&amp;$BT14,1)</f>
        <v>0</v>
      </c>
      <c r="BX14" s="539" cm="1">
        <f t="array" aca="1" ref="BX14" ca="1">INDIRECT($BM$2&amp;BX$7&amp;$BT14,1)</f>
        <v>0</v>
      </c>
      <c r="BY14" s="539" cm="1">
        <f t="array" aca="1" ref="BY14" ca="1">INDIRECT($BM$2&amp;BY$7&amp;$BT14,1)</f>
        <v>0</v>
      </c>
      <c r="BZ14" s="539" t="str">
        <f t="shared" ca="1" si="10"/>
        <v>-</v>
      </c>
      <c r="CA14" s="494" t="s">
        <v>8222</v>
      </c>
      <c r="CC14" s="469">
        <v>5</v>
      </c>
      <c r="CD14" s="539" t="s">
        <v>8037</v>
      </c>
      <c r="CE14" s="539">
        <f t="shared" si="14"/>
        <v>709</v>
      </c>
      <c r="CF14" s="539" cm="1">
        <f t="array" aca="1" ref="CF14" ca="1">INDIRECT($BM$2&amp;CF$7&amp;$CE14,1)</f>
        <v>0</v>
      </c>
      <c r="CG14" s="539" cm="1">
        <f t="array" aca="1" ref="CG14" ca="1">INDIRECT($BM$2&amp;CG$7&amp;$CE14,1)</f>
        <v>0</v>
      </c>
      <c r="CH14" s="539" cm="1">
        <f t="array" aca="1" ref="CH14" ca="1">INDIRECT($BM$2&amp;CH$7&amp;$CE14,1)</f>
        <v>0</v>
      </c>
      <c r="CI14" s="539" cm="1">
        <f t="array" aca="1" ref="CI14" ca="1">INDIRECT($BM$2&amp;CI$7&amp;$CE14,1)</f>
        <v>0</v>
      </c>
      <c r="CJ14" s="539" cm="1">
        <f t="array" aca="1" ref="CJ14" ca="1">INDIRECT($BM$2&amp;CJ$7&amp;$CE14,1)</f>
        <v>0</v>
      </c>
      <c r="CK14" s="539" t="str">
        <f t="shared" ca="1" si="11"/>
        <v>-</v>
      </c>
      <c r="CL14" s="494" t="s">
        <v>8222</v>
      </c>
      <c r="CO14" s="537" t="s">
        <v>8061</v>
      </c>
      <c r="CP14" s="480" t="s">
        <v>7639</v>
      </c>
      <c r="CQ14" s="537" t="str" cm="1">
        <f t="array" aca="1" ref="CQ14" ca="1">IF(INDIRECT($BI$2&amp;$CP14)&lt;&gt;0,INDIRECT($BI$2&amp;$CP14),"-")</f>
        <v>-</v>
      </c>
      <c r="CU14" s="469" t="s">
        <v>5510</v>
      </c>
      <c r="CY14" s="527" t="s">
        <v>8125</v>
      </c>
      <c r="CZ14" s="480" t="s">
        <v>5780</v>
      </c>
      <c r="EQ14" s="469" t="s">
        <v>5510</v>
      </c>
      <c r="ES14" s="504" t="s">
        <v>8157</v>
      </c>
      <c r="ET14" s="543" t="s">
        <v>8158</v>
      </c>
      <c r="EW14" s="22" t="str">
        <f>IF(FB12="","-",FB12)</f>
        <v>Não</v>
      </c>
      <c r="FB14" s="508" t="s">
        <v>5899</v>
      </c>
      <c r="GC14" s="472" t="s">
        <v>5510</v>
      </c>
      <c r="GE14" s="519" t="s">
        <v>5574</v>
      </c>
      <c r="GF14" s="519" t="s">
        <v>7798</v>
      </c>
      <c r="GG14" s="519" t="s">
        <v>6553</v>
      </c>
      <c r="GH14" s="492" t="str" cm="1">
        <f t="array" aca="1" ref="GH14" ca="1">IFERROR(
IF(INDIRECT(GE14&amp;"N10")="Sim","sim",
IF(INDIRECT(GE14&amp;"N35")&lt;&gt;0,"sim",
IF(INDIRECT(GE14&amp;GG14)="Sim",$GI$27,"não"))),
"Erro")</f>
        <v>não</v>
      </c>
      <c r="GI14" s="547"/>
      <c r="GJ14" s="547"/>
      <c r="GK14" s="492" t="str">
        <f ca="1">I145</f>
        <v>não</v>
      </c>
      <c r="GL14" s="548" t="str" cm="1">
        <f t="array" aca="1" ref="GL14" ca="1">IF(GH14&lt;&gt;"sim","-",
IFERROR(
   VLOOKUP(GQ62,$HJ$31:$HL$34,3,0),
   IF(INDIRECT(GE14&amp;"N10")="sim",$GI$28,"-")
))</f>
        <v>-</v>
      </c>
      <c r="GM14" s="492">
        <f>K145</f>
        <v>0</v>
      </c>
      <c r="GN14" s="547"/>
      <c r="GO14" s="547"/>
      <c r="GP14" s="1647" t="str">
        <f ca="1">IF(COUNTIF(GH14:GH15,"sim")=0,"-",GM27)</f>
        <v>-</v>
      </c>
      <c r="GQ14" s="549" t="str">
        <f ca="1">GP62</f>
        <v>-</v>
      </c>
      <c r="GR14" s="495" t="str">
        <f ca="1">IFERROR(
IF(GH14=$GI$27,$GI$30,
IF(GH14&lt;&gt;"sim","-",
IF(GK14="sim",$HM$31,
IF(GQ62&lt;&gt;0,VLOOKUP(GQ62,HJ31:HM34,4,0),
IF(GQ14&lt;&gt;"-",GQ14,$GI$31))))),$GI$29
)</f>
        <v>-</v>
      </c>
      <c r="GS14" s="495" t="str">
        <f ca="1">IF(GR14&lt;&gt;"-",GR14,GQ14)</f>
        <v>-</v>
      </c>
      <c r="GT14" s="492" t="s">
        <v>8249</v>
      </c>
      <c r="GU14" s="492" t="str" cm="1">
        <f t="array" aca="1" ref="GU14" ca="1">INDIRECT($GT$4&amp;GT14,1)</f>
        <v>-</v>
      </c>
      <c r="GV14" s="1648" t="str">
        <f ca="1">IF(COUNTIF(GU14:GU15,$HN$31)&gt;0,HN31,
IF(COUNTIF(GU14:GU15,$HN$32)&gt;0,HN32,
IF(COUNTIF(GU14:GU15,$HN$33)&gt;0,HN33,
IF(COUNTIF(GU14:GU15,$GI$31)&gt;0,$GI$33,
GU14))))</f>
        <v>-</v>
      </c>
      <c r="GW14" s="1648" t="str">
        <f ca="1">IFERROR(VLOOKUP(GV14,HN31:HP33,2,0),"a definir")</f>
        <v>a definir</v>
      </c>
      <c r="GX14" s="1648" t="str">
        <f ca="1">IFERROR(VLOOKUP(GV14,HN31:HP33,3,0),"a definir")</f>
        <v>a definir</v>
      </c>
      <c r="GY14" s="1648">
        <f ca="1">IF(COUNTIF(HN31:HN32,GV14)&gt;0,1,0)</f>
        <v>0</v>
      </c>
      <c r="HA14" s="514" t="s">
        <v>5895</v>
      </c>
      <c r="HB14" s="524" t="str">
        <f ca="1">IF(COUNTIF(GX6:GX25,$HP$3)&gt;0,$HP$3,
 IF(COUNTIF(GX6:GX25,$HP$6)&gt;0,$HP$6,
 IF($HB$12=$HN$7,$HP$6,"-")
))</f>
        <v>-</v>
      </c>
      <c r="HK14" s="492" t="s">
        <v>5836</v>
      </c>
      <c r="HL14" s="492">
        <v>5000</v>
      </c>
      <c r="HM14" s="492"/>
      <c r="HN14" s="492" t="s">
        <v>5835</v>
      </c>
      <c r="HO14" s="495" t="s">
        <v>7965</v>
      </c>
      <c r="HP14" s="534" t="s">
        <v>5894</v>
      </c>
      <c r="HQ14" s="495"/>
      <c r="HR14" s="492"/>
    </row>
    <row r="15" spans="1:229" x14ac:dyDescent="0.25">
      <c r="A15" s="496">
        <f>ROW('PT&amp;IA'!P22)</f>
        <v>22</v>
      </c>
      <c r="B15" s="496" t="str" cm="1">
        <f t="array" aca="1" ref="B15" ca="1">IF(INDIRECT($A$2&amp;$B$2&amp;A15)&lt;&gt;0,INDIRECT($A$2&amp;$B$2&amp;A15),"")</f>
        <v/>
      </c>
      <c r="C15" s="496" t="str">
        <f ca="1">IFERROR(
  IF(B15="","",VLOOKUP(B15,tb_ingredientes[[ingrediente_ativo]:[cod_mono]],2,0)),
  "Novo")</f>
        <v/>
      </c>
      <c r="D15" s="496" t="str">
        <f ca="1">IFERROR(
    INDEX(tb_ingredientes[V],MATCH(B15,tb_ingredientes[ingrediente_ativo],0),1),
    "")</f>
        <v/>
      </c>
      <c r="E15" s="496" t="str" cm="1">
        <f t="array" aca="1" ref="E15" ca="1">IF(C15="Novo",INDIRECT($A$2&amp;$E$2&amp;A15),D15)</f>
        <v/>
      </c>
      <c r="G15" s="497">
        <v>43</v>
      </c>
      <c r="H15" s="498" t="str" cm="1">
        <f t="array" aca="1" ref="H15" ca="1">IF(
OR(INDIRECT($F$2&amp;$G$2&amp;$G15,1)&lt;&gt;"",INDIRECT($F$2&amp;$H$2&amp;G15,1)&lt;&gt;""),
INDIRECT($F$2&amp;$H$2&amp;G15,1),
"")</f>
        <v/>
      </c>
      <c r="I15" s="498" t="str">
        <f ca="1">IFERROR(
VLOOKUP(SEARCH("-",Calculos!$H15,1)-1,$K$3:$L$9,2,0)&amp;Calculos!$H15,"")</f>
        <v/>
      </c>
      <c r="N15" s="499" t="str">
        <f ca="1">IFERROR(
IF(ISERROR(VLOOKUP(I15,tb_componentes_proibidos[[n_cas_corrigido]:[Componente_proibido]],1,0)),"",$H15),"")</f>
        <v/>
      </c>
      <c r="O15" s="499" t="str" cm="1">
        <f t="array" aca="1" ref="O15" ca="1">IFERROR(
INDEX($N$4:$N$43,MATCH(0,INDEX(COUNTIF($O$1:O14,$N$4:$N$43),),)),"")</f>
        <v/>
      </c>
      <c r="P15" s="499" t="str">
        <f ca="1">IFERROR(
VLOOKUP(O15,tb_componentes_proibidos[[n_cas]:[Componente_proibido]],3,0),"")</f>
        <v/>
      </c>
      <c r="Q15" s="499" t="str">
        <f t="shared" ca="1" si="4"/>
        <v/>
      </c>
      <c r="R15" s="499" t="str">
        <f t="shared" ca="1" si="5"/>
        <v/>
      </c>
      <c r="U15" s="501" cm="1">
        <f t="array" aca="1" ref="U15" ca="1">INDIRECT($F$2&amp;$U$2&amp;G15,1)</f>
        <v>0</v>
      </c>
      <c r="V15" s="502" t="str">
        <f ca="1">IF(H15&lt;&gt;"",
IFERROR(
VLOOKUP(I15,tb_ingredientes[[n_cas_corrigido]:[ingrediente_ativo]],2,0),
IFERROR(VLOOKUP(I15,tb_componentes[[n_cas_corrigido]:[Componente]],2,0),"Informar nome do componente")),"")</f>
        <v/>
      </c>
      <c r="W15" s="502" t="str">
        <f t="shared" ca="1" si="0"/>
        <v/>
      </c>
      <c r="X15" s="492" cm="1">
        <f t="array" aca="1" ref="X15" ca="1">IF(Y15=1,INDIRECT($F$2&amp;$X$2&amp;G15,1),0)</f>
        <v>0</v>
      </c>
      <c r="Y15" s="492" cm="1">
        <f t="array" aca="1" ref="Y15" ca="1">IF(INDIRECT($F$2&amp;$Y$2&amp;G15,1)="Sim",1,0)</f>
        <v>0</v>
      </c>
      <c r="Z15" s="492" t="str">
        <f ca="1">IF(U15="sim",Calculos!V15&amp;" - "&amp;X15&amp;" "&amp;$AE$10&amp;" ("&amp;IFERROR(TRUNC(W15,4)*100,"")&amp;"%)","")</f>
        <v/>
      </c>
      <c r="AA15" s="492" t="str" cm="1">
        <f t="array" aca="1" ref="AA15" ca="1">IFERROR(
INDEX($Z$4:$Z$43,MATCH(0,INDEX(COUNTIF($AA$1:AA14,$Z$4:$Z$43),),)),"")</f>
        <v/>
      </c>
      <c r="AB15" s="492" t="str">
        <f t="shared" ca="1" si="1"/>
        <v/>
      </c>
      <c r="AC15" s="492" t="str" cm="1">
        <f t="array" aca="1" ref="AC15" ca="1">IF(INDIRECT($F$2&amp;$AC$2&amp;G15)&lt;&gt;0,INDIRECT($F$2&amp;$AC$2&amp;G15),"")</f>
        <v/>
      </c>
      <c r="AF15" s="470" t="s">
        <v>5510</v>
      </c>
      <c r="AG15" s="492" t="str">
        <f ca="1">IFERROR(INDEX(tb_ingredientes[cod_mono],MATCH(Calculos!AH15,tb_ingredientes[ingrediente_ativo],0),1),"")</f>
        <v/>
      </c>
      <c r="AH15" s="492" t="str" cm="1">
        <f t="array" aca="1" ref="AH15" ca="1">IFERROR(
INDEX($B$4:$B$18,MATCH(0,INDEX(COUNTIF($AH$1:AH14,$B$4:$B$18),),)),"")</f>
        <v/>
      </c>
      <c r="AI15" s="492" t="str">
        <f t="shared" ca="1" si="2"/>
        <v/>
      </c>
      <c r="AK15" s="470" t="s">
        <v>5510</v>
      </c>
      <c r="AN15" s="476">
        <v>30</v>
      </c>
      <c r="AO15" s="492" t="str" cm="1">
        <f t="array" aca="1" ref="AO15" ca="1">IF(INDIRECT($AN$2&amp;$AO$2&amp;AN15,1)&lt;&gt;0,
INDIRECT($AN$2&amp;$AO$2&amp;AN15,1),
IF((COUNTA(AO16:$AO$34)-COUNTIF(AO16:$AO$34,""))=0,"","# Id não informado #"))</f>
        <v/>
      </c>
      <c r="AP15" s="492" t="str" cm="1">
        <f t="array" aca="1" ref="AP15" ca="1">IFERROR(
INDEX($AO$4:$AO$33,MATCH(0,INDEX(COUNTIF($AP$1:AP14,$AO$4:$AO$33),),)),"")</f>
        <v/>
      </c>
      <c r="AR15" s="470" t="s">
        <v>5510</v>
      </c>
      <c r="AV15" s="469" t="s">
        <v>5510</v>
      </c>
      <c r="AW15" s="20" t="s">
        <v>6542</v>
      </c>
      <c r="BB15" s="469" t="s">
        <v>5510</v>
      </c>
      <c r="BF15" s="469" t="s">
        <v>5510</v>
      </c>
      <c r="BG15" s="469">
        <v>6</v>
      </c>
      <c r="BH15" s="539" t="s">
        <v>8037</v>
      </c>
      <c r="BI15" s="539">
        <f t="shared" si="12"/>
        <v>18</v>
      </c>
      <c r="BJ15" s="539" cm="1">
        <f t="array" aca="1" ref="BJ15" ca="1">INDIRECT($BM$2&amp;BJ$7&amp;$BI15,1)</f>
        <v>0</v>
      </c>
      <c r="BK15" s="539" cm="1">
        <f t="array" aca="1" ref="BK15" ca="1">INDIRECT($BM$2&amp;BK$7&amp;$BI15,1)</f>
        <v>0</v>
      </c>
      <c r="BL15" s="539" cm="1">
        <f t="array" aca="1" ref="BL15" ca="1">INDIRECT($BM$2&amp;BL$7&amp;$BI15,1)</f>
        <v>0</v>
      </c>
      <c r="BM15" s="539" cm="1">
        <f t="array" aca="1" ref="BM15" ca="1">INDIRECT($BM$2&amp;BM$7&amp;$BI15,1)</f>
        <v>0</v>
      </c>
      <c r="BN15" s="539" cm="1">
        <f t="array" aca="1" ref="BN15" ca="1">INDIRECT($BM$2&amp;BN$7&amp;$BI15,1)</f>
        <v>0</v>
      </c>
      <c r="BO15" s="539" t="str">
        <f t="shared" ca="1" si="9"/>
        <v>-</v>
      </c>
      <c r="BP15" s="494" t="s">
        <v>8222</v>
      </c>
      <c r="BQ15" s="20"/>
      <c r="BR15" s="469">
        <v>6</v>
      </c>
      <c r="BS15" s="539" t="s">
        <v>8037</v>
      </c>
      <c r="BT15" s="539">
        <f t="shared" si="13"/>
        <v>364</v>
      </c>
      <c r="BU15" s="539" cm="1">
        <f t="array" aca="1" ref="BU15" ca="1">INDIRECT($BM$2&amp;BU$7&amp;$BT15,1)</f>
        <v>0</v>
      </c>
      <c r="BV15" s="539" cm="1">
        <f t="array" aca="1" ref="BV15" ca="1">INDIRECT($BM$2&amp;BV$7&amp;$BT15,1)</f>
        <v>0</v>
      </c>
      <c r="BW15" s="539" cm="1">
        <f t="array" aca="1" ref="BW15" ca="1">INDIRECT($BM$2&amp;BW$7&amp;$BT15,1)</f>
        <v>0</v>
      </c>
      <c r="BX15" s="539" cm="1">
        <f t="array" aca="1" ref="BX15" ca="1">INDIRECT($BM$2&amp;BX$7&amp;$BT15,1)</f>
        <v>0</v>
      </c>
      <c r="BY15" s="539" cm="1">
        <f t="array" aca="1" ref="BY15" ca="1">INDIRECT($BM$2&amp;BY$7&amp;$BT15,1)</f>
        <v>0</v>
      </c>
      <c r="BZ15" s="539" t="str">
        <f t="shared" ca="1" si="10"/>
        <v>-</v>
      </c>
      <c r="CA15" s="494" t="s">
        <v>8222</v>
      </c>
      <c r="CC15" s="469">
        <v>6</v>
      </c>
      <c r="CD15" s="539" t="s">
        <v>8037</v>
      </c>
      <c r="CE15" s="539">
        <f t="shared" si="14"/>
        <v>710</v>
      </c>
      <c r="CF15" s="539" cm="1">
        <f t="array" aca="1" ref="CF15" ca="1">INDIRECT($BM$2&amp;CF$7&amp;$CE15,1)</f>
        <v>0</v>
      </c>
      <c r="CG15" s="539" cm="1">
        <f t="array" aca="1" ref="CG15" ca="1">INDIRECT($BM$2&amp;CG$7&amp;$CE15,1)</f>
        <v>0</v>
      </c>
      <c r="CH15" s="539" cm="1">
        <f t="array" aca="1" ref="CH15" ca="1">INDIRECT($BM$2&amp;CH$7&amp;$CE15,1)</f>
        <v>0</v>
      </c>
      <c r="CI15" s="539" cm="1">
        <f t="array" aca="1" ref="CI15" ca="1">INDIRECT($BM$2&amp;CI$7&amp;$CE15,1)</f>
        <v>0</v>
      </c>
      <c r="CJ15" s="539" cm="1">
        <f t="array" aca="1" ref="CJ15" ca="1">INDIRECT($BM$2&amp;CJ$7&amp;$CE15,1)</f>
        <v>0</v>
      </c>
      <c r="CK15" s="539" t="str">
        <f t="shared" ca="1" si="11"/>
        <v>-</v>
      </c>
      <c r="CL15" s="494" t="s">
        <v>8222</v>
      </c>
      <c r="CO15" s="537" t="s">
        <v>5724</v>
      </c>
      <c r="CP15" s="480" t="s">
        <v>7640</v>
      </c>
      <c r="CQ15" s="537" t="str" cm="1">
        <f t="array" aca="1" ref="CQ15" ca="1">IF(INDIRECT($BI$2&amp;$CP15)&lt;&gt;0,INDIRECT($BI$2&amp;$CP15),"-")</f>
        <v>-</v>
      </c>
      <c r="CU15" s="469" t="s">
        <v>5510</v>
      </c>
      <c r="CY15" s="527" t="s">
        <v>140</v>
      </c>
      <c r="CZ15" s="480" t="s">
        <v>5735</v>
      </c>
      <c r="EQ15" s="469" t="s">
        <v>5510</v>
      </c>
      <c r="ES15" s="504" t="s">
        <v>8160</v>
      </c>
      <c r="ET15" s="507" t="s">
        <v>8163</v>
      </c>
      <c r="EU15" s="507">
        <v>11</v>
      </c>
      <c r="EW15" s="22" cm="1">
        <f t="array" aca="1" ref="EW15" ca="1">INDIRECT($ET$15&amp;EU15)</f>
        <v>0</v>
      </c>
      <c r="EX15" s="22" cm="1">
        <f t="array" aca="1" ref="EX15" ca="1">INDIRECT($ET$16&amp;EU15)</f>
        <v>0</v>
      </c>
      <c r="EY15" s="22" cm="1">
        <f t="array" aca="1" ref="EY15" ca="1">INDIRECT($ET$17&amp;EU15)</f>
        <v>0</v>
      </c>
      <c r="FB15" s="518" t="str">
        <f ca="1">IF($AE$10=Tabelas_fonte!$W$2,"&lt;== Produto Líquido",
IF($AE$10=Tabelas_fonte!$W$3,"&lt;== Produto sólido",""))</f>
        <v/>
      </c>
      <c r="GC15" s="472" t="s">
        <v>5510</v>
      </c>
      <c r="GE15" s="519" t="s">
        <v>5575</v>
      </c>
      <c r="GF15" s="519" t="s">
        <v>7798</v>
      </c>
      <c r="GG15" s="519" t="s">
        <v>6553</v>
      </c>
      <c r="GH15" s="492" t="str" cm="1">
        <f t="array" aca="1" ref="GH15" ca="1">IFERROR(
IF(INDIRECT(GE15&amp;"N10")="Sim","sim",
IF(INDIRECT(GE15&amp;"N35")&lt;&gt;0,"sim",
IF(INDIRECT(GE15&amp;GG15)="Sim",$GI$27,"não"))),
"Erro")</f>
        <v>não</v>
      </c>
      <c r="GI15" s="547"/>
      <c r="GJ15" s="547"/>
      <c r="GK15" s="492" t="str">
        <f ca="1">'Calculos(2)'!I145</f>
        <v>não</v>
      </c>
      <c r="GL15" s="548" t="str" cm="1">
        <f t="array" aca="1" ref="GL15" ca="1">IF(GH15&lt;&gt;"sim","-",
IFERROR(
   VLOOKUP(GQ63,$HJ$31:$HL$34,3,0),
   IF(INDIRECT(GE15&amp;"N10")="sim",$GI$28,"-")
))</f>
        <v>-</v>
      </c>
      <c r="GM15" s="492">
        <f>'Calculos(2)'!K145</f>
        <v>0</v>
      </c>
      <c r="GN15" s="547"/>
      <c r="GO15" s="547"/>
      <c r="GP15" s="1660"/>
      <c r="GQ15" s="550" t="str">
        <f ca="1">GP63</f>
        <v>-</v>
      </c>
      <c r="GR15" s="551" t="str">
        <f ca="1">IFERROR(
IF(GH15=$GI$27,$GI$30,
IF(GH15&lt;&gt;"sim","-",
IF(GK15="sim",$HM$31,
IF(GQ63&lt;&gt;0,VLOOKUP(GQ63,HJ31:HM34,4,0),
IF(GQ15&lt;&gt;"-",GQ15,$GI$31))))),$GI$29
)</f>
        <v>-</v>
      </c>
      <c r="GS15" s="495" t="str">
        <f ca="1">IF(GR15&lt;&gt;"-",GR15,GQ15)</f>
        <v>-</v>
      </c>
      <c r="GT15" s="492" t="s">
        <v>8250</v>
      </c>
      <c r="GU15" s="492" t="str" cm="1">
        <f t="array" aca="1" ref="GU15" ca="1">INDIRECT($GT$4&amp;GT15,1)</f>
        <v>-</v>
      </c>
      <c r="GV15" s="1648"/>
      <c r="GW15" s="1648"/>
      <c r="GX15" s="1648"/>
      <c r="GY15" s="1648"/>
      <c r="HA15" s="514" t="s">
        <v>8279</v>
      </c>
      <c r="HB15" s="524" t="str" cm="1">
        <f t="array" aca="1" ref="HB15" ca="1">IFERROR(
IF(HC15=0,"-",
INDEX(HR3:HR8,HC15,1)),
0)</f>
        <v>-</v>
      </c>
      <c r="HC15" s="524">
        <f ca="1">IFERROR(INDEX(HS3:HS8,MATCH(HB12,HN3:HN8,0),1),0)</f>
        <v>0</v>
      </c>
      <c r="HK15" s="492" t="s">
        <v>5841</v>
      </c>
      <c r="HL15" s="492">
        <v>0</v>
      </c>
      <c r="HM15" s="492">
        <v>0.05</v>
      </c>
      <c r="HN15" s="492" t="s">
        <v>5821</v>
      </c>
      <c r="HO15" s="495" t="s">
        <v>5842</v>
      </c>
      <c r="HP15" s="492" t="s">
        <v>5878</v>
      </c>
      <c r="HQ15" s="495"/>
      <c r="HR15" s="492"/>
    </row>
    <row r="16" spans="1:229" ht="30" x14ac:dyDescent="0.25">
      <c r="A16" s="496">
        <f>ROW('PT&amp;IA'!P23)</f>
        <v>23</v>
      </c>
      <c r="B16" s="496" t="str" cm="1">
        <f t="array" aca="1" ref="B16" ca="1">IF(INDIRECT($A$2&amp;$B$2&amp;A16)&lt;&gt;0,INDIRECT($A$2&amp;$B$2&amp;A16),"")</f>
        <v/>
      </c>
      <c r="C16" s="496" t="str">
        <f ca="1">IFERROR(
  IF(B16="","",VLOOKUP(B16,tb_ingredientes[[ingrediente_ativo]:[cod_mono]],2,0)),
  "Novo")</f>
        <v/>
      </c>
      <c r="D16" s="496" t="str">
        <f ca="1">IFERROR(
    INDEX(tb_ingredientes[V],MATCH(B16,tb_ingredientes[ingrediente_ativo],0),1),
    "")</f>
        <v/>
      </c>
      <c r="E16" s="496" t="str" cm="1">
        <f t="array" aca="1" ref="E16" ca="1">IF(C16="Novo",INDIRECT($A$2&amp;$E$2&amp;A16),D16)</f>
        <v/>
      </c>
      <c r="G16" s="497">
        <v>44</v>
      </c>
      <c r="H16" s="498" t="str" cm="1">
        <f t="array" aca="1" ref="H16" ca="1">IF(
OR(INDIRECT($F$2&amp;$G$2&amp;$G16,1)&lt;&gt;"",INDIRECT($F$2&amp;$H$2&amp;G16,1)&lt;&gt;""),
INDIRECT($F$2&amp;$H$2&amp;G16,1),
"")</f>
        <v/>
      </c>
      <c r="I16" s="498" t="str">
        <f ca="1">IFERROR(
VLOOKUP(SEARCH("-",Calculos!$H16,1)-1,$K$3:$L$9,2,0)&amp;Calculos!$H16,"")</f>
        <v/>
      </c>
      <c r="N16" s="499" t="str">
        <f ca="1">IFERROR(
IF(ISERROR(VLOOKUP(I16,tb_componentes_proibidos[[n_cas_corrigido]:[Componente_proibido]],1,0)),"",$H16),"")</f>
        <v/>
      </c>
      <c r="O16" s="499" t="str" cm="1">
        <f t="array" aca="1" ref="O16" ca="1">IFERROR(
INDEX($N$4:$N$43,MATCH(0,INDEX(COUNTIF($O$1:O15,$N$4:$N$43),),)),"")</f>
        <v/>
      </c>
      <c r="P16" s="499" t="str">
        <f ca="1">IFERROR(
VLOOKUP(O16,tb_componentes_proibidos[[n_cas]:[Componente_proibido]],3,0),"")</f>
        <v/>
      </c>
      <c r="Q16" s="499" t="str">
        <f t="shared" ca="1" si="4"/>
        <v/>
      </c>
      <c r="R16" s="499" t="str">
        <f t="shared" ca="1" si="5"/>
        <v/>
      </c>
      <c r="U16" s="501" cm="1">
        <f t="array" aca="1" ref="U16" ca="1">INDIRECT($F$2&amp;$U$2&amp;G16,1)</f>
        <v>0</v>
      </c>
      <c r="V16" s="502" t="str">
        <f ca="1">IF(H16&lt;&gt;"",
IFERROR(
VLOOKUP(I16,tb_ingredientes[[n_cas_corrigido]:[ingrediente_ativo]],2,0),
IFERROR(VLOOKUP(I16,tb_componentes[[n_cas_corrigido]:[Componente]],2,0),"Informar nome do componente")),"")</f>
        <v/>
      </c>
      <c r="W16" s="502" t="str">
        <f t="shared" ca="1" si="0"/>
        <v/>
      </c>
      <c r="X16" s="492" cm="1">
        <f t="array" aca="1" ref="X16" ca="1">IF(Y16=1,INDIRECT($F$2&amp;$X$2&amp;G16,1),0)</f>
        <v>0</v>
      </c>
      <c r="Y16" s="492" cm="1">
        <f t="array" aca="1" ref="Y16" ca="1">IF(INDIRECT($F$2&amp;$Y$2&amp;G16,1)="Sim",1,0)</f>
        <v>0</v>
      </c>
      <c r="Z16" s="492" t="str">
        <f ca="1">IF(U16="sim",Calculos!V16&amp;" - "&amp;X16&amp;" "&amp;$AE$10&amp;" ("&amp;IFERROR(TRUNC(W16,4)*100,"")&amp;"%)","")</f>
        <v/>
      </c>
      <c r="AA16" s="492" t="str" cm="1">
        <f t="array" aca="1" ref="AA16" ca="1">IFERROR(
INDEX($Z$4:$Z$43,MATCH(0,INDEX(COUNTIF($AA$1:AA15,$Z$4:$Z$43),),)),"")</f>
        <v/>
      </c>
      <c r="AB16" s="492" t="str">
        <f t="shared" ca="1" si="1"/>
        <v/>
      </c>
      <c r="AC16" s="492" t="str" cm="1">
        <f t="array" aca="1" ref="AC16" ca="1">IF(INDIRECT($F$2&amp;$AC$2&amp;G16)&lt;&gt;0,INDIRECT($F$2&amp;$AC$2&amp;G16),"")</f>
        <v/>
      </c>
      <c r="AF16" s="470" t="s">
        <v>5510</v>
      </c>
      <c r="AG16" s="492" t="str">
        <f ca="1">IFERROR(INDEX(tb_ingredientes[cod_mono],MATCH(Calculos!AH16,tb_ingredientes[ingrediente_ativo],0),1),"")</f>
        <v/>
      </c>
      <c r="AH16" s="492" t="str" cm="1">
        <f t="array" aca="1" ref="AH16" ca="1">IFERROR(
INDEX($B$4:$B$18,MATCH(0,INDEX(COUNTIF($AH$1:AH15,$B$4:$B$18),),)),"")</f>
        <v/>
      </c>
      <c r="AI16" s="492" t="str">
        <f t="shared" ca="1" si="2"/>
        <v/>
      </c>
      <c r="AK16" s="470" t="s">
        <v>5510</v>
      </c>
      <c r="AN16" s="476">
        <v>31</v>
      </c>
      <c r="AO16" s="492" t="str" cm="1">
        <f t="array" aca="1" ref="AO16" ca="1">IF(INDIRECT($AN$2&amp;$AO$2&amp;AN16,1)&lt;&gt;0,
INDIRECT($AN$2&amp;$AO$2&amp;AN16,1),
IF((COUNTA(AO17:$AO$34)-COUNTIF(AO17:$AO$34,""))=0,"","# Id não informado #"))</f>
        <v/>
      </c>
      <c r="AP16" s="492" t="str" cm="1">
        <f t="array" aca="1" ref="AP16" ca="1">IFERROR(
INDEX($AO$4:$AO$33,MATCH(0,INDEX(COUNTIF($AP$1:AP15,$AO$4:$AO$33),),)),"")</f>
        <v/>
      </c>
      <c r="AR16" s="470" t="s">
        <v>5510</v>
      </c>
      <c r="AV16" s="469" t="s">
        <v>5510</v>
      </c>
      <c r="AW16" s="479" t="s">
        <v>6543</v>
      </c>
      <c r="AX16" s="479" t="s">
        <v>6133</v>
      </c>
      <c r="AY16" s="479" t="s">
        <v>18</v>
      </c>
      <c r="BB16" s="469" t="s">
        <v>5510</v>
      </c>
      <c r="BF16" s="469" t="s">
        <v>5510</v>
      </c>
      <c r="BG16" s="469">
        <v>7</v>
      </c>
      <c r="BH16" s="539" t="s">
        <v>8037</v>
      </c>
      <c r="BI16" s="539">
        <f t="shared" si="12"/>
        <v>19</v>
      </c>
      <c r="BJ16" s="539" cm="1">
        <f t="array" aca="1" ref="BJ16" ca="1">INDIRECT($BM$2&amp;BJ$7&amp;$BI16,1)</f>
        <v>0</v>
      </c>
      <c r="BK16" s="539" cm="1">
        <f t="array" aca="1" ref="BK16" ca="1">INDIRECT($BM$2&amp;BK$7&amp;$BI16,1)</f>
        <v>0</v>
      </c>
      <c r="BL16" s="539" cm="1">
        <f t="array" aca="1" ref="BL16" ca="1">INDIRECT($BM$2&amp;BL$7&amp;$BI16,1)</f>
        <v>0</v>
      </c>
      <c r="BM16" s="539" cm="1">
        <f t="array" aca="1" ref="BM16" ca="1">INDIRECT($BM$2&amp;BM$7&amp;$BI16,1)</f>
        <v>0</v>
      </c>
      <c r="BN16" s="539" cm="1">
        <f t="array" aca="1" ref="BN16" ca="1">INDIRECT($BM$2&amp;BN$7&amp;$BI16,1)</f>
        <v>0</v>
      </c>
      <c r="BO16" s="539" t="str">
        <f t="shared" ca="1" si="9"/>
        <v>-</v>
      </c>
      <c r="BP16" s="494" t="s">
        <v>8222</v>
      </c>
      <c r="BQ16" s="20"/>
      <c r="BR16" s="469">
        <v>7</v>
      </c>
      <c r="BS16" s="539" t="s">
        <v>8037</v>
      </c>
      <c r="BT16" s="539">
        <f t="shared" si="13"/>
        <v>365</v>
      </c>
      <c r="BU16" s="539" cm="1">
        <f t="array" aca="1" ref="BU16" ca="1">INDIRECT($BM$2&amp;BU$7&amp;$BT16,1)</f>
        <v>0</v>
      </c>
      <c r="BV16" s="539" cm="1">
        <f t="array" aca="1" ref="BV16" ca="1">INDIRECT($BM$2&amp;BV$7&amp;$BT16,1)</f>
        <v>0</v>
      </c>
      <c r="BW16" s="539" cm="1">
        <f t="array" aca="1" ref="BW16" ca="1">INDIRECT($BM$2&amp;BW$7&amp;$BT16,1)</f>
        <v>0</v>
      </c>
      <c r="BX16" s="539" cm="1">
        <f t="array" aca="1" ref="BX16" ca="1">INDIRECT($BM$2&amp;BX$7&amp;$BT16,1)</f>
        <v>0</v>
      </c>
      <c r="BY16" s="539" cm="1">
        <f t="array" aca="1" ref="BY16" ca="1">INDIRECT($BM$2&amp;BY$7&amp;$BT16,1)</f>
        <v>0</v>
      </c>
      <c r="BZ16" s="539" t="str">
        <f t="shared" ca="1" si="10"/>
        <v>-</v>
      </c>
      <c r="CA16" s="494" t="s">
        <v>8222</v>
      </c>
      <c r="CC16" s="469">
        <v>7</v>
      </c>
      <c r="CD16" s="539" t="s">
        <v>8037</v>
      </c>
      <c r="CE16" s="539">
        <f t="shared" si="14"/>
        <v>711</v>
      </c>
      <c r="CF16" s="539" cm="1">
        <f t="array" aca="1" ref="CF16" ca="1">INDIRECT($BM$2&amp;CF$7&amp;$CE16,1)</f>
        <v>0</v>
      </c>
      <c r="CG16" s="539" cm="1">
        <f t="array" aca="1" ref="CG16" ca="1">INDIRECT($BM$2&amp;CG$7&amp;$CE16,1)</f>
        <v>0</v>
      </c>
      <c r="CH16" s="539" cm="1">
        <f t="array" aca="1" ref="CH16" ca="1">INDIRECT($BM$2&amp;CH$7&amp;$CE16,1)</f>
        <v>0</v>
      </c>
      <c r="CI16" s="539" cm="1">
        <f t="array" aca="1" ref="CI16" ca="1">INDIRECT($BM$2&amp;CI$7&amp;$CE16,1)</f>
        <v>0</v>
      </c>
      <c r="CJ16" s="539" cm="1">
        <f t="array" aca="1" ref="CJ16" ca="1">INDIRECT($BM$2&amp;CJ$7&amp;$CE16,1)</f>
        <v>0</v>
      </c>
      <c r="CK16" s="539" t="str">
        <f t="shared" ca="1" si="11"/>
        <v>-</v>
      </c>
      <c r="CL16" s="494" t="s">
        <v>8222</v>
      </c>
      <c r="CO16" s="537" t="s">
        <v>5802</v>
      </c>
      <c r="CP16" s="480" t="s">
        <v>7642</v>
      </c>
      <c r="CQ16" s="537" t="str" cm="1">
        <f t="array" aca="1" ref="CQ16" ca="1">IF(INDIRECT($BI$2&amp;$CP16)&lt;&gt;0,INDIRECT($BI$2&amp;$CP16),"-")</f>
        <v>-</v>
      </c>
      <c r="CU16" s="469" t="s">
        <v>5510</v>
      </c>
      <c r="DA16" s="1653" t="s">
        <v>104</v>
      </c>
      <c r="DB16" s="1653"/>
      <c r="DC16" s="1650" t="s">
        <v>121</v>
      </c>
      <c r="DD16" s="1651"/>
      <c r="DE16" s="1654" t="s">
        <v>8132</v>
      </c>
      <c r="DF16" s="1655"/>
      <c r="DG16" s="1658" t="s">
        <v>171</v>
      </c>
      <c r="DH16" s="1659"/>
      <c r="DI16" s="1650" t="s">
        <v>194</v>
      </c>
      <c r="DJ16" s="1651"/>
      <c r="DK16" s="1650" t="s">
        <v>5815</v>
      </c>
      <c r="DL16" s="1651"/>
      <c r="DM16" s="1650" t="s">
        <v>8133</v>
      </c>
      <c r="DN16" s="1651"/>
      <c r="EQ16" s="469" t="s">
        <v>5510</v>
      </c>
      <c r="ES16" s="504" t="s">
        <v>8161</v>
      </c>
      <c r="ET16" s="507" t="s">
        <v>8164</v>
      </c>
      <c r="EU16" s="507">
        <v>12</v>
      </c>
      <c r="EW16" s="22" cm="1">
        <f t="array" aca="1" ref="EW16" ca="1">INDIRECT($ET$15&amp;EU16)</f>
        <v>0</v>
      </c>
      <c r="EX16" s="22" cm="1">
        <f t="array" aca="1" ref="EX16" ca="1">INDIRECT($ET$16&amp;EU16)</f>
        <v>0</v>
      </c>
      <c r="EY16" s="22" cm="1">
        <f t="array" aca="1" ref="EY16" ca="1">INDIRECT($ET$17&amp;EU16)</f>
        <v>0</v>
      </c>
      <c r="GC16" s="472" t="s">
        <v>5510</v>
      </c>
      <c r="GE16" s="519" t="s">
        <v>5576</v>
      </c>
      <c r="GF16" s="519" t="s">
        <v>7798</v>
      </c>
      <c r="GG16" s="519" t="s">
        <v>6553</v>
      </c>
      <c r="GH16" s="22" t="str" cm="1">
        <f t="array" aca="1" ref="GH16" ca="1">IFERROR(
IF(INDIRECT(GE16&amp;"N10")="Sim","sim",
IF(INDIRECT(GE16&amp;"N35")&lt;&gt;0,"sim",
IF(INDIRECT(GE16&amp;GG16)="Sim",$GI$27,"não"))),
"Erro")</f>
        <v>não</v>
      </c>
      <c r="GI16" s="49"/>
      <c r="GJ16" s="49"/>
      <c r="GK16" s="49"/>
      <c r="GL16" s="523" t="str" cm="1">
        <f t="array" aca="1" ref="GL16" ca="1">IF(GH16&lt;&gt;"sim","-",
IFERROR(
   VLOOKUP(GQ77,$HJ$25:$HL$30,3,0),
   IF(INDIRECT(GE16&amp;"N10")="sim",$GI$28,"-")
))</f>
        <v>-</v>
      </c>
      <c r="GN16" s="49"/>
      <c r="GO16" s="49"/>
      <c r="GP16" s="1646" t="str">
        <f ca="1">IF(COUNTIF(GH16:GH17,"sim")=0,"-",GM27)</f>
        <v>-</v>
      </c>
      <c r="GQ16" s="553" t="str">
        <f ca="1">GP77</f>
        <v>-</v>
      </c>
      <c r="GR16" s="523" t="str">
        <f ca="1">IFERROR(
IF(GH16=$GI$27,$GI$30,
IF(GH16&lt;&gt;"sim","-",
IF(GQ77&lt;&gt;0,VLOOKUP(GQ77,$HJ$25:$HM$30,4,0),
IF(GQ16&lt;&gt;"-",GQ16,$GI$31)))),
$GI$29)</f>
        <v>-</v>
      </c>
      <c r="GS16" s="554" t="str">
        <f ca="1">IF(GR16&lt;&gt;"-",GR16,GQ16)</f>
        <v>-</v>
      </c>
      <c r="GT16" s="522" t="s">
        <v>8251</v>
      </c>
      <c r="GU16" s="522" t="str" cm="1">
        <f t="array" aca="1" ref="GU16" ca="1">INDIRECT($GT$4&amp;GT16,1)</f>
        <v>-</v>
      </c>
      <c r="GV16" s="1649" t="str">
        <f ca="1">IF(COUNTIF(GU16:GU17,$HN$25)&gt;0,HN25,
IF(COUNTIF(GU16:GU17,$HN$26)&gt;0,HN26,
IF(COUNTIF(GU16:GU17,$HN$27)&gt;0,HN27,
IF(COUNTIF(GU16:GU17,$HN$28)&gt;0,HN28,
IF(COUNTIF(GU16:GU17,$GI$31)&gt;0,$GI$33,
GU16)))))</f>
        <v>-</v>
      </c>
      <c r="GW16" s="1649" t="str">
        <f ca="1">IFERROR(VLOOKUP(GV16,HN25:HP28,2,0),"a definir")</f>
        <v>a definir</v>
      </c>
      <c r="GX16" s="1649" t="str">
        <f ca="1">IFERROR(VLOOKUP(GV16,HN25:HP28,3,0),"a definir")</f>
        <v>a definir</v>
      </c>
      <c r="GY16" s="1649">
        <f ca="1">IF(COUNTIF(HN25:HN27,GV16)&gt;0,1,0)</f>
        <v>0</v>
      </c>
      <c r="HA16" s="514" t="s">
        <v>7814</v>
      </c>
      <c r="HB16" s="524" t="str">
        <f ca="1">IFERROR(VLOOKUP(HC15,HS3:HT8,2,0),"Falha ao definir obrigatoriedade do pictograma da caveira")</f>
        <v>Falha ao definir obrigatoriedade do pictograma da caveira</v>
      </c>
      <c r="HK16" s="492" t="s">
        <v>5841</v>
      </c>
      <c r="HL16" s="492">
        <v>0.05</v>
      </c>
      <c r="HM16" s="492">
        <v>0.5</v>
      </c>
      <c r="HN16" s="492" t="s">
        <v>5824</v>
      </c>
      <c r="HO16" s="495" t="s">
        <v>5842</v>
      </c>
      <c r="HP16" s="492" t="s">
        <v>5878</v>
      </c>
      <c r="HQ16" s="495"/>
      <c r="HR16" s="492"/>
    </row>
    <row r="17" spans="1:226" ht="30" x14ac:dyDescent="0.25">
      <c r="A17" s="496">
        <f>ROW('PT&amp;IA'!P24)</f>
        <v>24</v>
      </c>
      <c r="B17" s="496" t="str" cm="1">
        <f t="array" aca="1" ref="B17" ca="1">IF(INDIRECT($A$2&amp;$B$2&amp;A17)&lt;&gt;0,INDIRECT($A$2&amp;$B$2&amp;A17),"")</f>
        <v/>
      </c>
      <c r="C17" s="496" t="str">
        <f ca="1">IFERROR(
  IF(B17="","",VLOOKUP(B17,tb_ingredientes[[ingrediente_ativo]:[cod_mono]],2,0)),
  "Novo")</f>
        <v/>
      </c>
      <c r="D17" s="496" t="str">
        <f ca="1">IFERROR(
    INDEX(tb_ingredientes[V],MATCH(B17,tb_ingredientes[ingrediente_ativo],0),1),
    "")</f>
        <v/>
      </c>
      <c r="E17" s="496" t="str" cm="1">
        <f t="array" aca="1" ref="E17" ca="1">IF(C17="Novo",INDIRECT($A$2&amp;$E$2&amp;A17),D17)</f>
        <v/>
      </c>
      <c r="G17" s="497">
        <v>45</v>
      </c>
      <c r="H17" s="498" t="str" cm="1">
        <f t="array" aca="1" ref="H17" ca="1">IF(
OR(INDIRECT($F$2&amp;$G$2&amp;$G17,1)&lt;&gt;"",INDIRECT($F$2&amp;$H$2&amp;G17,1)&lt;&gt;""),
INDIRECT($F$2&amp;$H$2&amp;G17,1),
"")</f>
        <v/>
      </c>
      <c r="I17" s="498" t="str">
        <f ca="1">IFERROR(
VLOOKUP(SEARCH("-",Calculos!$H17,1)-1,$K$3:$L$9,2,0)&amp;Calculos!$H17,"")</f>
        <v/>
      </c>
      <c r="N17" s="499" t="str">
        <f ca="1">IFERROR(
IF(ISERROR(VLOOKUP(I17,tb_componentes_proibidos[[n_cas_corrigido]:[Componente_proibido]],1,0)),"",$H17),"")</f>
        <v/>
      </c>
      <c r="O17" s="499" t="str" cm="1">
        <f t="array" aca="1" ref="O17" ca="1">IFERROR(
INDEX($N$4:$N$43,MATCH(0,INDEX(COUNTIF($O$1:O16,$N$4:$N$43),),)),"")</f>
        <v/>
      </c>
      <c r="P17" s="499" t="str">
        <f ca="1">IFERROR(
VLOOKUP(O17,tb_componentes_proibidos[[n_cas]:[Componente_proibido]],3,0),"")</f>
        <v/>
      </c>
      <c r="Q17" s="499" t="str">
        <f t="shared" ca="1" si="4"/>
        <v/>
      </c>
      <c r="R17" s="499" t="str">
        <f t="shared" ca="1" si="5"/>
        <v/>
      </c>
      <c r="U17" s="501" cm="1">
        <f t="array" aca="1" ref="U17" ca="1">INDIRECT($F$2&amp;$U$2&amp;G17,1)</f>
        <v>0</v>
      </c>
      <c r="V17" s="502" t="str">
        <f ca="1">IF(H17&lt;&gt;"",
IFERROR(
VLOOKUP(I17,tb_ingredientes[[n_cas_corrigido]:[ingrediente_ativo]],2,0),
IFERROR(VLOOKUP(I17,tb_componentes[[n_cas_corrigido]:[Componente]],2,0),"Informar nome do componente")),"")</f>
        <v/>
      </c>
      <c r="W17" s="502" t="str">
        <f t="shared" ca="1" si="0"/>
        <v/>
      </c>
      <c r="X17" s="492" cm="1">
        <f t="array" aca="1" ref="X17" ca="1">IF(Y17=1,INDIRECT($F$2&amp;$X$2&amp;G17,1),0)</f>
        <v>0</v>
      </c>
      <c r="Y17" s="492" cm="1">
        <f t="array" aca="1" ref="Y17" ca="1">IF(INDIRECT($F$2&amp;$Y$2&amp;G17,1)="Sim",1,0)</f>
        <v>0</v>
      </c>
      <c r="Z17" s="492" t="str">
        <f ca="1">IF(U17="sim",Calculos!V17&amp;" - "&amp;X17&amp;" "&amp;$AE$10&amp;" ("&amp;IFERROR(TRUNC(W17,4)*100,"")&amp;"%)","")</f>
        <v/>
      </c>
      <c r="AA17" s="492" t="str" cm="1">
        <f t="array" aca="1" ref="AA17" ca="1">IFERROR(
INDEX($Z$4:$Z$43,MATCH(0,INDEX(COUNTIF($AA$1:AA16,$Z$4:$Z$43),),)),"")</f>
        <v/>
      </c>
      <c r="AB17" s="492" t="str">
        <f t="shared" ca="1" si="1"/>
        <v/>
      </c>
      <c r="AC17" s="492" t="str" cm="1">
        <f t="array" aca="1" ref="AC17" ca="1">IF(INDIRECT($F$2&amp;$AC$2&amp;G17)&lt;&gt;0,INDIRECT($F$2&amp;$AC$2&amp;G17),"")</f>
        <v/>
      </c>
      <c r="AF17" s="470" t="s">
        <v>5510</v>
      </c>
      <c r="AG17" s="492" t="str">
        <f ca="1">IFERROR(INDEX(tb_ingredientes[cod_mono],MATCH(Calculos!AH17,tb_ingredientes[ingrediente_ativo],0),1),"")</f>
        <v/>
      </c>
      <c r="AH17" s="492" t="str" cm="1">
        <f t="array" aca="1" ref="AH17" ca="1">IFERROR(
INDEX($B$4:$B$18,MATCH(0,INDEX(COUNTIF($AH$1:AH16,$B$4:$B$18),),)),"")</f>
        <v/>
      </c>
      <c r="AI17" s="492" t="str">
        <f t="shared" ca="1" si="2"/>
        <v/>
      </c>
      <c r="AK17" s="470" t="s">
        <v>5510</v>
      </c>
      <c r="AN17" s="476">
        <v>32</v>
      </c>
      <c r="AO17" s="492" t="str" cm="1">
        <f t="array" aca="1" ref="AO17" ca="1">IF(INDIRECT($AN$2&amp;$AO$2&amp;AN17,1)&lt;&gt;0,
INDIRECT($AN$2&amp;$AO$2&amp;AN17,1),
IF((COUNTA(AO18:$AO$34)-COUNTIF(AO18:$AO$34,""))=0,"","# Id não informado #"))</f>
        <v/>
      </c>
      <c r="AP17" s="492" t="str" cm="1">
        <f t="array" aca="1" ref="AP17" ca="1">IFERROR(
INDEX($AO$4:$AO$33,MATCH(0,INDEX(COUNTIF($AP$1:AP16,$AO$4:$AO$33),),)),"")</f>
        <v/>
      </c>
      <c r="AR17" s="470" t="s">
        <v>5510</v>
      </c>
      <c r="AV17" s="469" t="s">
        <v>5510</v>
      </c>
      <c r="AW17" s="555" t="s">
        <v>6265</v>
      </c>
      <c r="AX17" s="555" cm="1">
        <f t="array" aca="1" ref="AX17" ca="1">INDIRECT(AW17,1)</f>
        <v>0</v>
      </c>
      <c r="AY17" s="555">
        <f ca="1">IF(AX17="não",1,
IF(AND(AX17="sim",AX18=1),1,0))</f>
        <v>0</v>
      </c>
      <c r="BB17" s="469" t="s">
        <v>5510</v>
      </c>
      <c r="BF17" s="469" t="s">
        <v>5510</v>
      </c>
      <c r="BG17" s="469">
        <v>8</v>
      </c>
      <c r="BH17" s="539" t="s">
        <v>8037</v>
      </c>
      <c r="BI17" s="539">
        <f t="shared" si="12"/>
        <v>20</v>
      </c>
      <c r="BJ17" s="539" cm="1">
        <f t="array" aca="1" ref="BJ17" ca="1">INDIRECT($BM$2&amp;BJ$7&amp;$BI17,1)</f>
        <v>0</v>
      </c>
      <c r="BK17" s="539" cm="1">
        <f t="array" aca="1" ref="BK17" ca="1">INDIRECT($BM$2&amp;BK$7&amp;$BI17,1)</f>
        <v>0</v>
      </c>
      <c r="BL17" s="539" cm="1">
        <f t="array" aca="1" ref="BL17" ca="1">INDIRECT($BM$2&amp;BL$7&amp;$BI17,1)</f>
        <v>0</v>
      </c>
      <c r="BM17" s="539" cm="1">
        <f t="array" aca="1" ref="BM17" ca="1">INDIRECT($BM$2&amp;BM$7&amp;$BI17,1)</f>
        <v>0</v>
      </c>
      <c r="BN17" s="539" cm="1">
        <f t="array" aca="1" ref="BN17" ca="1">INDIRECT($BM$2&amp;BN$7&amp;$BI17,1)</f>
        <v>0</v>
      </c>
      <c r="BO17" s="539" t="str">
        <f t="shared" ca="1" si="9"/>
        <v>-</v>
      </c>
      <c r="BP17" s="494" t="s">
        <v>8222</v>
      </c>
      <c r="BQ17" s="20"/>
      <c r="BR17" s="469">
        <v>8</v>
      </c>
      <c r="BS17" s="539" t="s">
        <v>8037</v>
      </c>
      <c r="BT17" s="539">
        <f t="shared" si="13"/>
        <v>366</v>
      </c>
      <c r="BU17" s="539" cm="1">
        <f t="array" aca="1" ref="BU17" ca="1">INDIRECT($BM$2&amp;BU$7&amp;$BT17,1)</f>
        <v>0</v>
      </c>
      <c r="BV17" s="539" cm="1">
        <f t="array" aca="1" ref="BV17" ca="1">INDIRECT($BM$2&amp;BV$7&amp;$BT17,1)</f>
        <v>0</v>
      </c>
      <c r="BW17" s="539" cm="1">
        <f t="array" aca="1" ref="BW17" ca="1">INDIRECT($BM$2&amp;BW$7&amp;$BT17,1)</f>
        <v>0</v>
      </c>
      <c r="BX17" s="539" cm="1">
        <f t="array" aca="1" ref="BX17" ca="1">INDIRECT($BM$2&amp;BX$7&amp;$BT17,1)</f>
        <v>0</v>
      </c>
      <c r="BY17" s="539" cm="1">
        <f t="array" aca="1" ref="BY17" ca="1">INDIRECT($BM$2&amp;BY$7&amp;$BT17,1)</f>
        <v>0</v>
      </c>
      <c r="BZ17" s="539" t="str">
        <f t="shared" ca="1" si="10"/>
        <v>-</v>
      </c>
      <c r="CA17" s="494" t="s">
        <v>8222</v>
      </c>
      <c r="CC17" s="469">
        <v>8</v>
      </c>
      <c r="CD17" s="539" t="s">
        <v>8037</v>
      </c>
      <c r="CE17" s="539">
        <f t="shared" si="14"/>
        <v>712</v>
      </c>
      <c r="CF17" s="539" cm="1">
        <f t="array" aca="1" ref="CF17" ca="1">INDIRECT($BM$2&amp;CF$7&amp;$CE17,1)</f>
        <v>0</v>
      </c>
      <c r="CG17" s="539" cm="1">
        <f t="array" aca="1" ref="CG17" ca="1">INDIRECT($BM$2&amp;CG$7&amp;$CE17,1)</f>
        <v>0</v>
      </c>
      <c r="CH17" s="539" cm="1">
        <f t="array" aca="1" ref="CH17" ca="1">INDIRECT($BM$2&amp;CH$7&amp;$CE17,1)</f>
        <v>0</v>
      </c>
      <c r="CI17" s="539" cm="1">
        <f t="array" aca="1" ref="CI17" ca="1">INDIRECT($BM$2&amp;CI$7&amp;$CE17,1)</f>
        <v>0</v>
      </c>
      <c r="CJ17" s="539" cm="1">
        <f t="array" aca="1" ref="CJ17" ca="1">INDIRECT($BM$2&amp;CJ$7&amp;$CE17,1)</f>
        <v>0</v>
      </c>
      <c r="CK17" s="539" t="str">
        <f t="shared" ca="1" si="11"/>
        <v>-</v>
      </c>
      <c r="CL17" s="494" t="s">
        <v>8222</v>
      </c>
      <c r="CU17" s="469" t="s">
        <v>5510</v>
      </c>
      <c r="CV17" s="372"/>
      <c r="CW17" s="477" t="s">
        <v>5777</v>
      </c>
      <c r="CX17" s="477" t="s">
        <v>8124</v>
      </c>
      <c r="CY17" s="477" t="s">
        <v>6007</v>
      </c>
      <c r="CZ17" s="477" t="s">
        <v>6008</v>
      </c>
      <c r="DA17" s="477" t="s">
        <v>36</v>
      </c>
      <c r="DB17" s="477" t="s">
        <v>37</v>
      </c>
      <c r="DC17" s="504" t="s">
        <v>36</v>
      </c>
      <c r="DD17" s="504" t="s">
        <v>37</v>
      </c>
      <c r="DE17" s="504" t="s">
        <v>36</v>
      </c>
      <c r="DF17" s="504" t="s">
        <v>37</v>
      </c>
      <c r="DG17" s="504" t="s">
        <v>36</v>
      </c>
      <c r="DH17" s="504" t="s">
        <v>37</v>
      </c>
      <c r="DI17" s="504" t="s">
        <v>36</v>
      </c>
      <c r="DJ17" s="504" t="s">
        <v>37</v>
      </c>
      <c r="DK17" s="504" t="s">
        <v>36</v>
      </c>
      <c r="DL17" s="504" t="s">
        <v>37</v>
      </c>
      <c r="DM17" s="504" t="s">
        <v>36</v>
      </c>
      <c r="DN17" s="504" t="s">
        <v>37</v>
      </c>
      <c r="EQ17" s="469" t="s">
        <v>5510</v>
      </c>
      <c r="ES17" s="504" t="s">
        <v>8162</v>
      </c>
      <c r="ET17" s="507" t="s">
        <v>8165</v>
      </c>
      <c r="EU17" s="507">
        <v>13</v>
      </c>
      <c r="EW17" s="22" cm="1">
        <f t="array" aca="1" ref="EW17" ca="1">INDIRECT($ET$15&amp;EU17)</f>
        <v>0</v>
      </c>
      <c r="EX17" s="22" cm="1">
        <f t="array" aca="1" ref="EX17" ca="1">INDIRECT($ET$16&amp;EU17)</f>
        <v>0</v>
      </c>
      <c r="EY17" s="22" cm="1">
        <f t="array" aca="1" ref="EY17" ca="1">INDIRECT($ET$17&amp;EU17)</f>
        <v>0</v>
      </c>
      <c r="GC17" s="472" t="s">
        <v>5510</v>
      </c>
      <c r="GE17" s="519" t="s">
        <v>5577</v>
      </c>
      <c r="GF17" s="519" t="s">
        <v>7798</v>
      </c>
      <c r="GG17" s="556" t="s">
        <v>6553</v>
      </c>
      <c r="GH17" s="22" t="str" cm="1">
        <f t="array" aca="1" ref="GH17" ca="1">IFERROR(
IF(INDIRECT(GE17&amp;"N10")="Sim","sim",
IF(INDIRECT(GE17&amp;"N35")&lt;&gt;0,"sim",
IF(INDIRECT(GE17&amp;GG17)="Sim",$GI$27,"não"))),
"Erro")</f>
        <v>não</v>
      </c>
      <c r="GI17" s="49"/>
      <c r="GJ17" s="49"/>
      <c r="GK17" s="49"/>
      <c r="GL17" s="523" t="str" cm="1">
        <f t="array" aca="1" ref="GL17" ca="1">IF(GH17&lt;&gt;"sim","-",
IFERROR(
   VLOOKUP(GQ78,$HJ$25:$HL$30,3,0),
   IF(INDIRECT(GE17&amp;"N10")="sim",$GI$28,"-")
))</f>
        <v>-</v>
      </c>
      <c r="GN17" s="49"/>
      <c r="GO17" s="49"/>
      <c r="GP17" s="1646"/>
      <c r="GQ17" s="553" t="str">
        <f ca="1">GP78</f>
        <v>-</v>
      </c>
      <c r="GR17" s="523" t="str">
        <f ca="1">IFERROR(
IF(GH17=$GI$27,$GI$30,
IF(GH17&lt;&gt;"sim","-",
IF(GQ78&lt;&gt;0,VLOOKUP(GQ78,$HJ$25:$HM$30,4,0),
IF(GQ17&lt;&gt;"-",GQ17,$GI$31)))),
$GI$29)</f>
        <v>-</v>
      </c>
      <c r="GS17" s="554" t="str">
        <f ca="1">IF(GR17&lt;&gt;"-",GR17,GQ17)</f>
        <v>-</v>
      </c>
      <c r="GT17" s="522" t="s">
        <v>8252</v>
      </c>
      <c r="GU17" s="522" t="str" cm="1">
        <f t="array" aca="1" ref="GU17" ca="1">INDIRECT($GT$4&amp;GT17,1)</f>
        <v>-</v>
      </c>
      <c r="GV17" s="1649"/>
      <c r="GW17" s="1649"/>
      <c r="GX17" s="1649"/>
      <c r="GY17" s="1649"/>
      <c r="HA17" s="514" t="s">
        <v>8280</v>
      </c>
      <c r="HB17" s="524" t="str">
        <f ca="1" xml:space="preserve">
IF($HB$16=$HT$3,pictograma_caveira,
IF($HB$16=$HT$8,pictograma_dispensa,pictograma_cinza)
)</f>
        <v>FALHA AO DEFINIR PICTOGRAMA</v>
      </c>
      <c r="HK17" s="492" t="s">
        <v>5841</v>
      </c>
      <c r="HL17" s="492">
        <v>0.5</v>
      </c>
      <c r="HM17" s="492">
        <v>1</v>
      </c>
      <c r="HN17" s="492" t="s">
        <v>5826</v>
      </c>
      <c r="HO17" s="495" t="s">
        <v>5843</v>
      </c>
      <c r="HP17" s="492" t="s">
        <v>5878</v>
      </c>
      <c r="HQ17" s="495"/>
      <c r="HR17" s="492"/>
    </row>
    <row r="18" spans="1:226" x14ac:dyDescent="0.25">
      <c r="A18" s="496">
        <f>ROW('PT&amp;IA'!P25)</f>
        <v>25</v>
      </c>
      <c r="B18" s="496" t="str" cm="1">
        <f t="array" aca="1" ref="B18" ca="1">IF(INDIRECT($A$2&amp;$B$2&amp;A18)&lt;&gt;0,INDIRECT($A$2&amp;$B$2&amp;A18),"")</f>
        <v/>
      </c>
      <c r="C18" s="496" t="str">
        <f ca="1">IFERROR(
  IF(B18="","",VLOOKUP(B18,tb_ingredientes[[ingrediente_ativo]:[cod_mono]],2,0)),
  "Novo")</f>
        <v/>
      </c>
      <c r="D18" s="496" t="str">
        <f ca="1">IFERROR(
    INDEX(tb_ingredientes[V],MATCH(B18,tb_ingredientes[ingrediente_ativo],0),1),
    "")</f>
        <v/>
      </c>
      <c r="E18" s="496" t="str" cm="1">
        <f t="array" aca="1" ref="E18" ca="1">IF(C18="Novo",INDIRECT($A$2&amp;$E$2&amp;A18),D18)</f>
        <v/>
      </c>
      <c r="G18" s="497">
        <v>46</v>
      </c>
      <c r="H18" s="498" t="str" cm="1">
        <f t="array" aca="1" ref="H18" ca="1">IF(
OR(INDIRECT($F$2&amp;$G$2&amp;$G18,1)&lt;&gt;"",INDIRECT($F$2&amp;$H$2&amp;G18,1)&lt;&gt;""),
INDIRECT($F$2&amp;$H$2&amp;G18,1),
"")</f>
        <v/>
      </c>
      <c r="I18" s="498" t="str">
        <f ca="1">IFERROR(
VLOOKUP(SEARCH("-",Calculos!$H18,1)-1,$K$3:$L$9,2,0)&amp;Calculos!$H18,"")</f>
        <v/>
      </c>
      <c r="N18" s="499" t="str">
        <f ca="1">IFERROR(
IF(ISERROR(VLOOKUP(I18,tb_componentes_proibidos[[n_cas_corrigido]:[Componente_proibido]],1,0)),"",$H18),"")</f>
        <v/>
      </c>
      <c r="O18" s="499" t="str" cm="1">
        <f t="array" aca="1" ref="O18" ca="1">IFERROR(
INDEX($N$4:$N$43,MATCH(0,INDEX(COUNTIF($O$1:O17,$N$4:$N$43),),)),"")</f>
        <v/>
      </c>
      <c r="P18" s="499" t="str">
        <f ca="1">IFERROR(
VLOOKUP(O18,tb_componentes_proibidos[[n_cas]:[Componente_proibido]],3,0),"")</f>
        <v/>
      </c>
      <c r="Q18" s="499" t="str">
        <f t="shared" ca="1" si="4"/>
        <v/>
      </c>
      <c r="R18" s="499" t="str">
        <f t="shared" ca="1" si="5"/>
        <v/>
      </c>
      <c r="U18" s="501" cm="1">
        <f t="array" aca="1" ref="U18" ca="1">INDIRECT($F$2&amp;$U$2&amp;G18,1)</f>
        <v>0</v>
      </c>
      <c r="V18" s="502" t="str">
        <f ca="1">IF(H18&lt;&gt;"",
IFERROR(
VLOOKUP(I18,tb_ingredientes[[n_cas_corrigido]:[ingrediente_ativo]],2,0),
IFERROR(VLOOKUP(I18,tb_componentes[[n_cas_corrigido]:[Componente]],2,0),"Informar nome do componente")),"")</f>
        <v/>
      </c>
      <c r="W18" s="502" t="str">
        <f t="shared" ca="1" si="0"/>
        <v/>
      </c>
      <c r="X18" s="492" cm="1">
        <f t="array" aca="1" ref="X18" ca="1">IF(Y18=1,INDIRECT($F$2&amp;$X$2&amp;G18,1),0)</f>
        <v>0</v>
      </c>
      <c r="Y18" s="492" cm="1">
        <f t="array" aca="1" ref="Y18" ca="1">IF(INDIRECT($F$2&amp;$Y$2&amp;G18,1)="Sim",1,0)</f>
        <v>0</v>
      </c>
      <c r="Z18" s="492" t="str">
        <f ca="1">IF(U18="sim",Calculos!V18&amp;" - "&amp;X18&amp;" "&amp;$AE$10&amp;" ("&amp;IFERROR(TRUNC(W18,4)*100,"")&amp;"%)","")</f>
        <v/>
      </c>
      <c r="AA18" s="492" t="str" cm="1">
        <f t="array" aca="1" ref="AA18" ca="1">IFERROR(
INDEX($Z$4:$Z$43,MATCH(0,INDEX(COUNTIF($AA$1:AA17,$Z$4:$Z$43),),)),"")</f>
        <v/>
      </c>
      <c r="AB18" s="492" t="str">
        <f t="shared" ca="1" si="1"/>
        <v/>
      </c>
      <c r="AC18" s="492" t="str" cm="1">
        <f t="array" aca="1" ref="AC18" ca="1">IF(INDIRECT($F$2&amp;$AC$2&amp;G18)&lt;&gt;0,INDIRECT($F$2&amp;$AC$2&amp;G18),"")</f>
        <v/>
      </c>
      <c r="AF18" s="470" t="s">
        <v>5510</v>
      </c>
      <c r="AG18" s="469"/>
      <c r="AI18" s="469"/>
      <c r="AK18" s="470" t="s">
        <v>5510</v>
      </c>
      <c r="AN18" s="476">
        <v>33</v>
      </c>
      <c r="AO18" s="492" t="str" cm="1">
        <f t="array" aca="1" ref="AO18" ca="1">IF(INDIRECT($AN$2&amp;$AO$2&amp;AN18,1)&lt;&gt;0,
INDIRECT($AN$2&amp;$AO$2&amp;AN18,1),
IF((COUNTA(AO19:$AO$34)-COUNTIF(AO19:$AO$34,""))=0,"","# Id não informado #"))</f>
        <v/>
      </c>
      <c r="AP18" s="492" t="str" cm="1">
        <f t="array" aca="1" ref="AP18" ca="1">IFERROR(
INDEX($AO$4:$AO$33,MATCH(0,INDEX(COUNTIF($AP$1:AP17,$AO$4:$AO$33),),)),"")</f>
        <v/>
      </c>
      <c r="AR18" s="470" t="s">
        <v>5510</v>
      </c>
      <c r="AV18" s="469" t="s">
        <v>5510</v>
      </c>
      <c r="AW18" s="555" t="s">
        <v>6544</v>
      </c>
      <c r="AX18" s="555">
        <f ca="1">COUNTIF(INDIRECT(AW18,1),"*vivo*")</f>
        <v>0</v>
      </c>
      <c r="BB18" s="469" t="s">
        <v>5510</v>
      </c>
      <c r="BF18" s="469" t="s">
        <v>5510</v>
      </c>
      <c r="BG18" s="469">
        <v>9</v>
      </c>
      <c r="BH18" s="539" t="s">
        <v>8037</v>
      </c>
      <c r="BI18" s="539">
        <f t="shared" si="12"/>
        <v>21</v>
      </c>
      <c r="BJ18" s="539" cm="1">
        <f t="array" aca="1" ref="BJ18" ca="1">INDIRECT($BM$2&amp;BJ$7&amp;$BI18,1)</f>
        <v>0</v>
      </c>
      <c r="BK18" s="539" cm="1">
        <f t="array" aca="1" ref="BK18" ca="1">INDIRECT($BM$2&amp;BK$7&amp;$BI18,1)</f>
        <v>0</v>
      </c>
      <c r="BL18" s="539" cm="1">
        <f t="array" aca="1" ref="BL18" ca="1">INDIRECT($BM$2&amp;BL$7&amp;$BI18,1)</f>
        <v>0</v>
      </c>
      <c r="BM18" s="539" cm="1">
        <f t="array" aca="1" ref="BM18" ca="1">INDIRECT($BM$2&amp;BM$7&amp;$BI18,1)</f>
        <v>0</v>
      </c>
      <c r="BN18" s="539" cm="1">
        <f t="array" aca="1" ref="BN18" ca="1">INDIRECT($BM$2&amp;BN$7&amp;$BI18,1)</f>
        <v>0</v>
      </c>
      <c r="BO18" s="539" t="str">
        <f t="shared" ca="1" si="9"/>
        <v>-</v>
      </c>
      <c r="BP18" s="494" t="s">
        <v>8222</v>
      </c>
      <c r="BQ18" s="20"/>
      <c r="BR18" s="469">
        <v>9</v>
      </c>
      <c r="BS18" s="539" t="s">
        <v>8037</v>
      </c>
      <c r="BT18" s="539">
        <f t="shared" si="13"/>
        <v>367</v>
      </c>
      <c r="BU18" s="539" cm="1">
        <f t="array" aca="1" ref="BU18" ca="1">INDIRECT($BM$2&amp;BU$7&amp;$BT18,1)</f>
        <v>0</v>
      </c>
      <c r="BV18" s="539" cm="1">
        <f t="array" aca="1" ref="BV18" ca="1">INDIRECT($BM$2&amp;BV$7&amp;$BT18,1)</f>
        <v>0</v>
      </c>
      <c r="BW18" s="539" cm="1">
        <f t="array" aca="1" ref="BW18" ca="1">INDIRECT($BM$2&amp;BW$7&amp;$BT18,1)</f>
        <v>0</v>
      </c>
      <c r="BX18" s="539" cm="1">
        <f t="array" aca="1" ref="BX18" ca="1">INDIRECT($BM$2&amp;BX$7&amp;$BT18,1)</f>
        <v>0</v>
      </c>
      <c r="BY18" s="539" cm="1">
        <f t="array" aca="1" ref="BY18" ca="1">INDIRECT($BM$2&amp;BY$7&amp;$BT18,1)</f>
        <v>0</v>
      </c>
      <c r="BZ18" s="539" t="str">
        <f t="shared" ca="1" si="10"/>
        <v>-</v>
      </c>
      <c r="CA18" s="494" t="s">
        <v>8222</v>
      </c>
      <c r="CC18" s="469">
        <v>9</v>
      </c>
      <c r="CD18" s="539" t="s">
        <v>8037</v>
      </c>
      <c r="CE18" s="539">
        <f t="shared" si="14"/>
        <v>713</v>
      </c>
      <c r="CF18" s="539" cm="1">
        <f t="array" aca="1" ref="CF18" ca="1">INDIRECT($BM$2&amp;CF$7&amp;$CE18,1)</f>
        <v>0</v>
      </c>
      <c r="CG18" s="539" cm="1">
        <f t="array" aca="1" ref="CG18" ca="1">INDIRECT($BM$2&amp;CG$7&amp;$CE18,1)</f>
        <v>0</v>
      </c>
      <c r="CH18" s="539" cm="1">
        <f t="array" aca="1" ref="CH18" ca="1">INDIRECT($BM$2&amp;CH$7&amp;$CE18,1)</f>
        <v>0</v>
      </c>
      <c r="CI18" s="539" cm="1">
        <f t="array" aca="1" ref="CI18" ca="1">INDIRECT($BM$2&amp;CI$7&amp;$CE18,1)</f>
        <v>0</v>
      </c>
      <c r="CJ18" s="539" cm="1">
        <f t="array" aca="1" ref="CJ18" ca="1">INDIRECT($BM$2&amp;CJ$7&amp;$CE18,1)</f>
        <v>0</v>
      </c>
      <c r="CK18" s="539" t="str">
        <f t="shared" ca="1" si="11"/>
        <v>-</v>
      </c>
      <c r="CL18" s="494" t="s">
        <v>8222</v>
      </c>
      <c r="CO18" s="479" t="s">
        <v>8060</v>
      </c>
      <c r="CQ18" s="479" t="s">
        <v>120</v>
      </c>
      <c r="CU18" s="469" t="s">
        <v>5510</v>
      </c>
      <c r="CV18" s="372"/>
      <c r="CW18" s="492" t="s">
        <v>5774</v>
      </c>
      <c r="CX18" s="492">
        <f>MATCH(CW18,$CV$1:$CV$110,0)</f>
        <v>31</v>
      </c>
      <c r="CY18" s="480">
        <f>CZ10</f>
        <v>13</v>
      </c>
      <c r="CZ18" s="480">
        <f>CY18</f>
        <v>13</v>
      </c>
      <c r="DA18" s="492" t="s">
        <v>79</v>
      </c>
      <c r="DB18" s="492" t="s">
        <v>79</v>
      </c>
      <c r="DC18" s="557" t="str">
        <f ca="1">IFERROR(AVERAGEIFS(
CX$31:CX$110,
$CV31:$CV110,$CW18,
CX$31:CX$110,"&lt;&gt;0"),"")</f>
        <v/>
      </c>
      <c r="DD18" s="557" t="str">
        <f ca="1">IFERROR(AVERAGEIFS(
CY$31:CY$110,
$CV31:$CV110,$CW18,
CY$31:CY$110,"&lt;&gt;0"),"")</f>
        <v/>
      </c>
      <c r="DE18" s="492" t="str">
        <f ca="1">IF(SUMIF($CV$31:$CV$110,$CW18,CZ$31:CZ$110)=0,"",SUMIF($CV$31:$CV$110,$CW18,CZ$31:CZ$110))</f>
        <v/>
      </c>
      <c r="DF18" s="492" t="str">
        <f ca="1">IF(SUMIF($CV$31:$CV$110,$CW18,DA$31:DA$110)=0,"",SUMIF($CV$31:$CV$110,$CW18,DA$31:DA$110))</f>
        <v/>
      </c>
      <c r="DG18" s="492" t="str">
        <f ca="1">IF(SUMIF($CV$31:$CV$110,$CW18,DB$31:DB$110)=0,"",SUMIF($CV$31:$CV$110,$CW18,DB$31:DB$110))</f>
        <v/>
      </c>
      <c r="DH18" s="492" t="str">
        <f ca="1">IF(SUMIF($CV$31:$CV$110,$CW18,DC$31:DC$110)=0,"",SUMIF($CV$31:$CV$110,$CW18,DC$31:DC$110))</f>
        <v/>
      </c>
      <c r="DI18" s="492" t="str">
        <f ca="1">IFERROR(DG18/DE18,"")</f>
        <v/>
      </c>
      <c r="DJ18" s="492" t="str">
        <f ca="1">IFERROR(DH18/DF18,"")</f>
        <v/>
      </c>
      <c r="DK18" s="492" t="str">
        <f ca="1">IF(DI18="","",IFERROR(DI18/$DI$18,"?"))</f>
        <v/>
      </c>
      <c r="DL18" s="492" t="str">
        <f ca="1">IF(DJ18="","",IFERROR(DJ18/$DI$18,"?"))</f>
        <v/>
      </c>
      <c r="DM18" s="492" t="str">
        <f ca="1">IF(DI18="","",IF(DI18&gt;=DI$25,1,0))</f>
        <v/>
      </c>
      <c r="DN18" s="492" t="str">
        <f ca="1">IF(DJ18="","",IF(DJ18&gt;=DJ$25,1,0))</f>
        <v/>
      </c>
      <c r="EQ18" s="469" t="s">
        <v>5510</v>
      </c>
      <c r="ES18" s="504" t="s">
        <v>8160</v>
      </c>
      <c r="ET18" s="507"/>
      <c r="EU18" s="507">
        <v>14</v>
      </c>
      <c r="EW18" s="22" cm="1">
        <f t="array" aca="1" ref="EW18" ca="1">INDIRECT($ET$15&amp;EU18)</f>
        <v>0</v>
      </c>
      <c r="EX18" s="22" cm="1">
        <f t="array" aca="1" ref="EX18" ca="1">INDIRECT($ET$16&amp;EU18)</f>
        <v>0</v>
      </c>
      <c r="EY18" s="22" cm="1">
        <f t="array" aca="1" ref="EY18" ca="1">INDIRECT($ET$17&amp;EU18)</f>
        <v>0</v>
      </c>
      <c r="GC18" s="472" t="s">
        <v>5510</v>
      </c>
      <c r="GE18" s="519" t="s">
        <v>5578</v>
      </c>
      <c r="GF18" s="520" t="s">
        <v>1592</v>
      </c>
      <c r="GG18" s="521"/>
      <c r="GH18" s="558" t="str" cm="1">
        <f t="array" aca="1" ref="GH18" ca="1">IFERROR(
IF(INDIRECT(GE18&amp;GF18)&lt;&gt;0,"sim","não"),
"Erro")</f>
        <v>não</v>
      </c>
      <c r="GI18" s="547"/>
      <c r="GJ18" s="547"/>
      <c r="GK18" s="547"/>
      <c r="GL18" s="548" t="str">
        <f ca="1">IF(GH18&lt;&gt;"sim","-",H50)</f>
        <v>-</v>
      </c>
      <c r="GN18" s="547"/>
      <c r="GO18" s="547"/>
      <c r="GP18" s="1665" t="str">
        <f ca="1">IF(GV18="-","-",
IF(GV18=$HN$35,GM28,GM29))</f>
        <v>-</v>
      </c>
      <c r="GQ18" s="547"/>
      <c r="GR18" s="559" t="str">
        <f ca="1">IFERROR(
IF(GH18&lt;&gt;"sim","-",
IF(COUNTIF(GL18,"*positivo*")&gt;0,$HN$35,
IF(GL18="Negativo",$HN$36,$GI$31))),
$GI$29)</f>
        <v>-</v>
      </c>
      <c r="GS18" s="495" t="str">
        <f t="shared" ref="GS18:GS25" ca="1" si="15">GR18</f>
        <v>-</v>
      </c>
      <c r="GT18" s="492" t="s">
        <v>8253</v>
      </c>
      <c r="GU18" s="492" t="str" cm="1">
        <f t="array" aca="1" ref="GU18" ca="1">INDIRECT($GT$4&amp;GT18,1)</f>
        <v>-</v>
      </c>
      <c r="GV18" s="1648" t="str">
        <f ca="1">IF(COUNTIF(GU18:GU21,$HN$35)&gt;0,HN35,
IF(COUNTIF(GU18:GU21,$HN$36)&gt;0,HN36,
IF(COUNTIF(GU18:GU21,$GI$31)&gt;0,$GI$33,
GU18)))</f>
        <v>-</v>
      </c>
      <c r="GW18" s="1648" t="str">
        <f ca="1">IFERROR(VLOOKUP(GV18,HN35:HP36,2,0),"a definir")</f>
        <v>a definir</v>
      </c>
      <c r="GX18" s="1648" t="str">
        <f ca="1">IFERROR(VLOOKUP(GV18,HN35:HP36,3,0),"a definir")</f>
        <v>a definir</v>
      </c>
      <c r="GY18" s="1648">
        <f ca="1">IF(COUNTIF(HN35,GV18)&gt;0,1,0)</f>
        <v>0</v>
      </c>
      <c r="HD18" s="516"/>
      <c r="HK18" s="492" t="s">
        <v>5841</v>
      </c>
      <c r="HL18" s="492">
        <v>1</v>
      </c>
      <c r="HM18" s="492">
        <v>5</v>
      </c>
      <c r="HN18" s="492" t="s">
        <v>5829</v>
      </c>
      <c r="HO18" s="495" t="s">
        <v>5844</v>
      </c>
      <c r="HP18" s="492" t="s">
        <v>5879</v>
      </c>
      <c r="HQ18" s="495"/>
      <c r="HR18" s="492"/>
    </row>
    <row r="19" spans="1:226" x14ac:dyDescent="0.25">
      <c r="E19" s="469" t="s">
        <v>5510</v>
      </c>
      <c r="G19" s="497">
        <v>47</v>
      </c>
      <c r="H19" s="498" t="str" cm="1">
        <f t="array" aca="1" ref="H19" ca="1">IF(
OR(INDIRECT($F$2&amp;$G$2&amp;$G19,1)&lt;&gt;"",INDIRECT($F$2&amp;$H$2&amp;G19,1)&lt;&gt;""),
INDIRECT($F$2&amp;$H$2&amp;G19,1),
"")</f>
        <v/>
      </c>
      <c r="I19" s="498" t="str">
        <f ca="1">IFERROR(
VLOOKUP(SEARCH("-",Calculos!$H19,1)-1,$K$3:$L$9,2,0)&amp;Calculos!$H19,"")</f>
        <v/>
      </c>
      <c r="N19" s="499" t="str">
        <f ca="1">IFERROR(
IF(ISERROR(VLOOKUP(I19,tb_componentes_proibidos[[n_cas_corrigido]:[Componente_proibido]],1,0)),"",$H19),"")</f>
        <v/>
      </c>
      <c r="O19" s="499" t="str" cm="1">
        <f t="array" aca="1" ref="O19" ca="1">IFERROR(
INDEX($N$4:$N$43,MATCH(0,INDEX(COUNTIF($O$1:O18,$N$4:$N$43),),)),"")</f>
        <v/>
      </c>
      <c r="P19" s="499" t="str">
        <f ca="1">IFERROR(
VLOOKUP(O19,tb_componentes_proibidos[[n_cas]:[Componente_proibido]],3,0),"")</f>
        <v/>
      </c>
      <c r="Q19" s="499" t="str">
        <f t="shared" ca="1" si="4"/>
        <v/>
      </c>
      <c r="R19" s="499" t="str">
        <f t="shared" ca="1" si="5"/>
        <v/>
      </c>
      <c r="U19" s="501" cm="1">
        <f t="array" aca="1" ref="U19" ca="1">INDIRECT($F$2&amp;$U$2&amp;G19,1)</f>
        <v>0</v>
      </c>
      <c r="V19" s="502" t="str">
        <f ca="1">IF(H19&lt;&gt;"",
IFERROR(
VLOOKUP(I19,tb_ingredientes[[n_cas_corrigido]:[ingrediente_ativo]],2,0),
IFERROR(VLOOKUP(I19,tb_componentes[[n_cas_corrigido]:[Componente]],2,0),"Informar nome do componente")),"")</f>
        <v/>
      </c>
      <c r="W19" s="502" t="str">
        <f t="shared" ca="1" si="0"/>
        <v/>
      </c>
      <c r="X19" s="492" cm="1">
        <f t="array" aca="1" ref="X19" ca="1">IF(Y19=1,INDIRECT($F$2&amp;$X$2&amp;G19,1),0)</f>
        <v>0</v>
      </c>
      <c r="Y19" s="492" cm="1">
        <f t="array" aca="1" ref="Y19" ca="1">IF(INDIRECT($F$2&amp;$Y$2&amp;G19,1)="Sim",1,0)</f>
        <v>0</v>
      </c>
      <c r="Z19" s="492" t="str">
        <f ca="1">IF(U19="sim",Calculos!V19&amp;" - "&amp;X19&amp;" "&amp;$AE$10&amp;" ("&amp;IFERROR(TRUNC(W19,4)*100,"")&amp;"%)","")</f>
        <v/>
      </c>
      <c r="AA19" s="492" t="str" cm="1">
        <f t="array" aca="1" ref="AA19" ca="1">IFERROR(
INDEX($Z$4:$Z$43,MATCH(0,INDEX(COUNTIF($AA$1:AA18,$Z$4:$Z$43),),)),"")</f>
        <v/>
      </c>
      <c r="AB19" s="492" t="str">
        <f t="shared" ca="1" si="1"/>
        <v/>
      </c>
      <c r="AC19" s="492" t="str" cm="1">
        <f t="array" aca="1" ref="AC19" ca="1">IF(INDIRECT($F$2&amp;$AC$2&amp;G19)&lt;&gt;0,INDIRECT($F$2&amp;$AC$2&amp;G19),"")</f>
        <v/>
      </c>
      <c r="AF19" s="470" t="s">
        <v>5510</v>
      </c>
      <c r="AG19" s="469"/>
      <c r="AH19" s="476" t="s">
        <v>6215</v>
      </c>
      <c r="AI19" s="476" t="s">
        <v>5508</v>
      </c>
      <c r="AK19" s="470" t="s">
        <v>5510</v>
      </c>
      <c r="AN19" s="476">
        <v>34</v>
      </c>
      <c r="AO19" s="492" t="str" cm="1">
        <f t="array" aca="1" ref="AO19" ca="1">IF(INDIRECT($AN$2&amp;$AO$2&amp;AN19,1)&lt;&gt;0,
INDIRECT($AN$2&amp;$AO$2&amp;AN19,1),
IF((COUNTA(AO20:$AO$34)-COUNTIF(AO20:$AO$34,""))=0,"","# Id não informado #"))</f>
        <v/>
      </c>
      <c r="AP19" s="492" t="str" cm="1">
        <f t="array" aca="1" ref="AP19" ca="1">IFERROR(
INDEX($AO$4:$AO$33,MATCH(0,INDEX(COUNTIF($AP$1:AP18,$AO$4:$AO$33),),)),"")</f>
        <v/>
      </c>
      <c r="AR19" s="470" t="s">
        <v>5510</v>
      </c>
      <c r="AV19" s="469" t="s">
        <v>5510</v>
      </c>
      <c r="BB19" s="469" t="s">
        <v>5510</v>
      </c>
      <c r="BF19" s="469" t="s">
        <v>5510</v>
      </c>
      <c r="BG19" s="469">
        <v>10</v>
      </c>
      <c r="BH19" s="539" t="s">
        <v>8037</v>
      </c>
      <c r="BI19" s="539">
        <f t="shared" si="12"/>
        <v>22</v>
      </c>
      <c r="BJ19" s="539" cm="1">
        <f t="array" aca="1" ref="BJ19" ca="1">INDIRECT($BM$2&amp;BJ$7&amp;$BI19,1)</f>
        <v>0</v>
      </c>
      <c r="BK19" s="539" cm="1">
        <f t="array" aca="1" ref="BK19" ca="1">INDIRECT($BM$2&amp;BK$7&amp;$BI19,1)</f>
        <v>0</v>
      </c>
      <c r="BL19" s="539" cm="1">
        <f t="array" aca="1" ref="BL19" ca="1">INDIRECT($BM$2&amp;BL$7&amp;$BI19,1)</f>
        <v>0</v>
      </c>
      <c r="BM19" s="539" cm="1">
        <f t="array" aca="1" ref="BM19" ca="1">INDIRECT($BM$2&amp;BM$7&amp;$BI19,1)</f>
        <v>0</v>
      </c>
      <c r="BN19" s="539" cm="1">
        <f t="array" aca="1" ref="BN19" ca="1">INDIRECT($BM$2&amp;BN$7&amp;$BI19,1)</f>
        <v>0</v>
      </c>
      <c r="BO19" s="539" t="str">
        <f t="shared" ca="1" si="9"/>
        <v>-</v>
      </c>
      <c r="BP19" s="494" t="s">
        <v>8222</v>
      </c>
      <c r="BQ19" s="20"/>
      <c r="BR19" s="469">
        <v>10</v>
      </c>
      <c r="BS19" s="539" t="s">
        <v>8037</v>
      </c>
      <c r="BT19" s="539">
        <f t="shared" si="13"/>
        <v>368</v>
      </c>
      <c r="BU19" s="539" cm="1">
        <f t="array" aca="1" ref="BU19" ca="1">INDIRECT($BM$2&amp;BU$7&amp;$BT19,1)</f>
        <v>0</v>
      </c>
      <c r="BV19" s="539" cm="1">
        <f t="array" aca="1" ref="BV19" ca="1">INDIRECT($BM$2&amp;BV$7&amp;$BT19,1)</f>
        <v>0</v>
      </c>
      <c r="BW19" s="539" cm="1">
        <f t="array" aca="1" ref="BW19" ca="1">INDIRECT($BM$2&amp;BW$7&amp;$BT19,1)</f>
        <v>0</v>
      </c>
      <c r="BX19" s="539" cm="1">
        <f t="array" aca="1" ref="BX19" ca="1">INDIRECT($BM$2&amp;BX$7&amp;$BT19,1)</f>
        <v>0</v>
      </c>
      <c r="BY19" s="539" cm="1">
        <f t="array" aca="1" ref="BY19" ca="1">INDIRECT($BM$2&amp;BY$7&amp;$BT19,1)</f>
        <v>0</v>
      </c>
      <c r="BZ19" s="539" t="str">
        <f t="shared" ca="1" si="10"/>
        <v>-</v>
      </c>
      <c r="CA19" s="494" t="s">
        <v>8222</v>
      </c>
      <c r="CC19" s="469">
        <v>10</v>
      </c>
      <c r="CD19" s="539" t="s">
        <v>8037</v>
      </c>
      <c r="CE19" s="539">
        <f t="shared" si="14"/>
        <v>714</v>
      </c>
      <c r="CF19" s="539" cm="1">
        <f t="array" aca="1" ref="CF19" ca="1">INDIRECT($BM$2&amp;CF$7&amp;$CE19,1)</f>
        <v>0</v>
      </c>
      <c r="CG19" s="539" cm="1">
        <f t="array" aca="1" ref="CG19" ca="1">INDIRECT($BM$2&amp;CG$7&amp;$CE19,1)</f>
        <v>0</v>
      </c>
      <c r="CH19" s="539" cm="1">
        <f t="array" aca="1" ref="CH19" ca="1">INDIRECT($BM$2&amp;CH$7&amp;$CE19,1)</f>
        <v>0</v>
      </c>
      <c r="CI19" s="539" cm="1">
        <f t="array" aca="1" ref="CI19" ca="1">INDIRECT($BM$2&amp;CI$7&amp;$CE19,1)</f>
        <v>0</v>
      </c>
      <c r="CJ19" s="539" cm="1">
        <f t="array" aca="1" ref="CJ19" ca="1">INDIRECT($BM$2&amp;CJ$7&amp;$CE19,1)</f>
        <v>0</v>
      </c>
      <c r="CK19" s="539" t="str">
        <f t="shared" ca="1" si="11"/>
        <v>-</v>
      </c>
      <c r="CL19" s="494" t="s">
        <v>8222</v>
      </c>
      <c r="CO19" s="537" t="s">
        <v>8061</v>
      </c>
      <c r="CP19" s="480" t="s">
        <v>7651</v>
      </c>
      <c r="CQ19" s="537" t="str" cm="1">
        <f t="array" aca="1" ref="CQ19" ca="1">IF(INDIRECT($BI$2&amp;$CP19)&lt;&gt;0,INDIRECT($BI$2&amp;$CP19),"-")</f>
        <v>-</v>
      </c>
      <c r="CU19" s="469" t="s">
        <v>5510</v>
      </c>
      <c r="CV19" s="372"/>
      <c r="CW19" s="492">
        <v>1</v>
      </c>
      <c r="CX19" s="492">
        <f t="shared" ref="CX19:CX25" si="16">MATCH(CW19,$CV$1:$CV$110,0)</f>
        <v>51</v>
      </c>
      <c r="CY19" s="480">
        <f>CZ12</f>
        <v>46</v>
      </c>
      <c r="CZ19" s="480">
        <f>CY19+1</f>
        <v>47</v>
      </c>
      <c r="DA19" s="492" t="str" cm="1">
        <f t="array" aca="1" ref="DA19" ca="1">IF(INDIRECT($DD$2&amp;$CZ$15&amp;CY19,1)&lt;&gt;0,INDIRECT($DD$2&amp;$CZ$15&amp;CY19,1),"-")</f>
        <v>-</v>
      </c>
      <c r="DB19" s="492" t="str" cm="1">
        <f t="array" aca="1" ref="DB19" ca="1">IF(INDIRECT($DD$2&amp;$CZ$15&amp;CZ19,1)&lt;&gt;0,INDIRECT($DD$2&amp;$CZ$15&amp;CZ19,1),"-")</f>
        <v>-</v>
      </c>
      <c r="DC19" s="557" t="str">
        <f ca="1">IFERROR(AVERAGEIFS(
CX$31:CX$110,
$CV32:$CV111,$CW19,
CX$31:CX$110,"&lt;&gt;0"),"")</f>
        <v/>
      </c>
      <c r="DD19" s="557" t="str">
        <f t="shared" ref="DD19:DD25" ca="1" si="17">IFERROR(AVERAGEIFS(
CY$31:CY$110,
$CV32:$CV111,$CW19,
CY$31:CY$110,"&lt;&gt;0"),"")</f>
        <v/>
      </c>
      <c r="DE19" s="492" t="str">
        <f t="shared" ref="DE19:DE25" ca="1" si="18">IF(SUMIF($CV$31:$CV$110,$CW19,CZ$31:CZ$110)=0,"",SUMIF($CV$31:$CV$110,$CW19,CZ$31:CZ$110))</f>
        <v/>
      </c>
      <c r="DF19" s="492" t="str">
        <f t="shared" ref="DF19:DF25" ca="1" si="19">IF(SUMIF($CV$31:$CV$110,$CW19,DA$31:DA$110)=0,"",SUMIF($CV$31:$CV$110,$CW19,DA$31:DA$110))</f>
        <v/>
      </c>
      <c r="DG19" s="492" t="str">
        <f t="shared" ref="DG19:DG25" ca="1" si="20">IF(SUMIF($CV$31:$CV$110,$CW19,DB$31:DB$110)=0,"",SUMIF($CV$31:$CV$110,$CW19,DB$31:DB$110))</f>
        <v/>
      </c>
      <c r="DH19" s="492" t="str">
        <f t="shared" ref="DH19:DH25" ca="1" si="21">IF(SUMIF($CV$31:$CV$110,$CW19,DC$31:DC$110)=0,"",SUMIF($CV$31:$CV$110,$CW19,DC$31:DC$110))</f>
        <v/>
      </c>
      <c r="DI19" s="492" t="str">
        <f t="shared" ref="DI19:DI25" ca="1" si="22">IFERROR(DG19/DE19,"")</f>
        <v/>
      </c>
      <c r="DJ19" s="492" t="str">
        <f t="shared" ref="DJ19:DJ24" ca="1" si="23">IFERROR(DH19/DF19,"")</f>
        <v/>
      </c>
      <c r="DK19" s="492" t="str">
        <f ca="1">IF(DI19="","",IFERROR(DI19/$DI$18,"?"))</f>
        <v/>
      </c>
      <c r="DL19" s="492" t="str">
        <f t="shared" ref="DL19:DL25" ca="1" si="24">IF(DJ19="","",IFERROR(DJ19/$DI$18,"?"))</f>
        <v/>
      </c>
      <c r="DM19" s="492" t="str">
        <f ca="1">IF(DI19="","",IF(DI19&gt;=DI$25,1,0))</f>
        <v/>
      </c>
      <c r="DN19" s="492" t="str">
        <f t="shared" ref="DN19:DN25" ca="1" si="25">IF(DJ19="","",IF(DJ19&gt;=DJ$25,1,0))</f>
        <v/>
      </c>
      <c r="EQ19" s="469" t="s">
        <v>5510</v>
      </c>
      <c r="ES19" s="504" t="s">
        <v>8160</v>
      </c>
      <c r="ET19" s="507"/>
      <c r="EU19" s="507">
        <v>15</v>
      </c>
      <c r="EW19" s="22" cm="1">
        <f t="array" aca="1" ref="EW19" ca="1">INDIRECT($ET$15&amp;EU19)</f>
        <v>0</v>
      </c>
      <c r="EX19" s="22" cm="1">
        <f t="array" aca="1" ref="EX19" ca="1">INDIRECT($ET$16&amp;EU19)</f>
        <v>0</v>
      </c>
      <c r="EY19" s="22" cm="1">
        <f t="array" aca="1" ref="EY19" ca="1">INDIRECT($ET$17&amp;EU19)</f>
        <v>0</v>
      </c>
      <c r="FA19" s="507">
        <v>11</v>
      </c>
      <c r="FB19" s="507">
        <v>25</v>
      </c>
      <c r="GC19" s="472" t="s">
        <v>5510</v>
      </c>
      <c r="GE19" s="519" t="s">
        <v>5579</v>
      </c>
      <c r="GF19" s="520" t="s">
        <v>1592</v>
      </c>
      <c r="GG19" s="526"/>
      <c r="GH19" s="558" t="str" cm="1">
        <f t="array" aca="1" ref="GH19" ca="1">IFERROR(
IF(INDIRECT(GE19&amp;GF19)&lt;&gt;0,"sim","não"),
"Erro")</f>
        <v>não</v>
      </c>
      <c r="GI19" s="547"/>
      <c r="GJ19" s="547"/>
      <c r="GK19" s="547"/>
      <c r="GL19" s="548" t="str">
        <f ca="1">IF(GH19&lt;&gt;"sim","-",H67)</f>
        <v>-</v>
      </c>
      <c r="GN19" s="547"/>
      <c r="GO19" s="547"/>
      <c r="GP19" s="1647"/>
      <c r="GQ19" s="547"/>
      <c r="GR19" s="559" t="str">
        <f ca="1">IFERROR(
IF(GH19&lt;&gt;"sim","-",
IF(COUNTIF(GL19,"*positivo*")&gt;0,$HN$35,
IF(GL19="Negativo",$HN$36,$GI$31))),
$GI$29)</f>
        <v>-</v>
      </c>
      <c r="GS19" s="495" t="str">
        <f t="shared" ca="1" si="15"/>
        <v>-</v>
      </c>
      <c r="GT19" s="492" t="s">
        <v>8254</v>
      </c>
      <c r="GU19" s="492" t="str" cm="1">
        <f t="array" aca="1" ref="GU19" ca="1">INDIRECT($GT$4&amp;GT19,1)</f>
        <v>-</v>
      </c>
      <c r="GV19" s="1648"/>
      <c r="GW19" s="1648"/>
      <c r="GX19" s="1648"/>
      <c r="GY19" s="1648"/>
      <c r="HK19" s="492" t="s">
        <v>5841</v>
      </c>
      <c r="HL19" s="492">
        <v>5</v>
      </c>
      <c r="HM19" s="492">
        <v>12.5</v>
      </c>
      <c r="HN19" s="492" t="s">
        <v>5832</v>
      </c>
      <c r="HO19" s="495" t="s">
        <v>5845</v>
      </c>
      <c r="HP19" s="492" t="s">
        <v>5879</v>
      </c>
      <c r="HQ19" s="495"/>
      <c r="HR19" s="492"/>
    </row>
    <row r="20" spans="1:226" x14ac:dyDescent="0.25">
      <c r="A20" s="479" t="s">
        <v>7082</v>
      </c>
      <c r="B20" s="479" t="s">
        <v>7082</v>
      </c>
      <c r="E20" s="469" t="s">
        <v>5510</v>
      </c>
      <c r="G20" s="497">
        <v>48</v>
      </c>
      <c r="H20" s="498" t="str" cm="1">
        <f t="array" aca="1" ref="H20" ca="1">IF(
OR(INDIRECT($F$2&amp;$G$2&amp;$G20,1)&lt;&gt;"",INDIRECT($F$2&amp;$H$2&amp;G20,1)&lt;&gt;""),
INDIRECT($F$2&amp;$H$2&amp;G20,1),
"")</f>
        <v/>
      </c>
      <c r="I20" s="498" t="str">
        <f ca="1">IFERROR(
VLOOKUP(SEARCH("-",Calculos!$H20,1)-1,$K$3:$L$9,2,0)&amp;Calculos!$H20,"")</f>
        <v/>
      </c>
      <c r="N20" s="499" t="str">
        <f ca="1">IFERROR(
IF(ISERROR(VLOOKUP(I20,tb_componentes_proibidos[[n_cas_corrigido]:[Componente_proibido]],1,0)),"",$H20),"")</f>
        <v/>
      </c>
      <c r="O20" s="499" t="str" cm="1">
        <f t="array" aca="1" ref="O20" ca="1">IFERROR(
INDEX($N$4:$N$43,MATCH(0,INDEX(COUNTIF($O$1:O19,$N$4:$N$43),),)),"")</f>
        <v/>
      </c>
      <c r="P20" s="499" t="str">
        <f ca="1">IFERROR(
VLOOKUP(O20,tb_componentes_proibidos[[n_cas]:[Componente_proibido]],3,0),"")</f>
        <v/>
      </c>
      <c r="Q20" s="499" t="str">
        <f t="shared" ca="1" si="4"/>
        <v/>
      </c>
      <c r="R20" s="499" t="str">
        <f t="shared" ca="1" si="5"/>
        <v/>
      </c>
      <c r="U20" s="501" cm="1">
        <f t="array" aca="1" ref="U20" ca="1">INDIRECT($F$2&amp;$U$2&amp;G20,1)</f>
        <v>0</v>
      </c>
      <c r="V20" s="502" t="str">
        <f ca="1">IF(H20&lt;&gt;"",
IFERROR(
VLOOKUP(I20,tb_ingredientes[[n_cas_corrigido]:[ingrediente_ativo]],2,0),
IFERROR(VLOOKUP(I20,tb_componentes[[n_cas_corrigido]:[Componente]],2,0),"Informar nome do componente")),"")</f>
        <v/>
      </c>
      <c r="W20" s="502" t="str">
        <f t="shared" ca="1" si="0"/>
        <v/>
      </c>
      <c r="X20" s="492" cm="1">
        <f t="array" aca="1" ref="X20" ca="1">IF(Y20=1,INDIRECT($F$2&amp;$X$2&amp;G20,1),0)</f>
        <v>0</v>
      </c>
      <c r="Y20" s="492" cm="1">
        <f t="array" aca="1" ref="Y20" ca="1">IF(INDIRECT($F$2&amp;$Y$2&amp;G20,1)="Sim",1,0)</f>
        <v>0</v>
      </c>
      <c r="Z20" s="492" t="str">
        <f ca="1">IF(U20="sim",Calculos!V20&amp;" - "&amp;X20&amp;" "&amp;$AE$10&amp;" ("&amp;IFERROR(TRUNC(W20,4)*100,"")&amp;"%)","")</f>
        <v/>
      </c>
      <c r="AA20" s="492" t="str" cm="1">
        <f t="array" aca="1" ref="AA20" ca="1">IFERROR(
INDEX($Z$4:$Z$43,MATCH(0,INDEX(COUNTIF($AA$1:AA19,$Z$4:$Z$43),),)),"")</f>
        <v/>
      </c>
      <c r="AB20" s="492" t="str">
        <f t="shared" ca="1" si="1"/>
        <v/>
      </c>
      <c r="AC20" s="492" t="str" cm="1">
        <f t="array" aca="1" ref="AC20" ca="1">IF(INDIRECT($F$2&amp;$AC$2&amp;G20)&lt;&gt;0,INDIRECT($F$2&amp;$AC$2&amp;G20),"")</f>
        <v/>
      </c>
      <c r="AF20" s="470" t="s">
        <v>5510</v>
      </c>
      <c r="AG20" s="493" t="s">
        <v>7277</v>
      </c>
      <c r="AH20" s="560" t="s">
        <v>7278</v>
      </c>
      <c r="AI20" s="476" t="s">
        <v>10</v>
      </c>
      <c r="AK20" s="470" t="s">
        <v>5510</v>
      </c>
      <c r="AN20" s="476">
        <v>35</v>
      </c>
      <c r="AO20" s="492" t="str" cm="1">
        <f t="array" aca="1" ref="AO20" ca="1">IF(INDIRECT($AN$2&amp;$AO$2&amp;AN20,1)&lt;&gt;0,
INDIRECT($AN$2&amp;$AO$2&amp;AN20,1),
IF((COUNTA(AO21:$AO$34)-COUNTIF(AO21:$AO$34,""))=0,"","# Id não informado #"))</f>
        <v/>
      </c>
      <c r="AP20" s="492" t="str" cm="1">
        <f t="array" aca="1" ref="AP20" ca="1">IFERROR(
INDEX($AO$4:$AO$33,MATCH(0,INDEX(COUNTIF($AP$1:AP19,$AO$4:$AO$33),),)),"")</f>
        <v/>
      </c>
      <c r="AR20" s="470" t="s">
        <v>5510</v>
      </c>
      <c r="AV20" s="469" t="s">
        <v>5510</v>
      </c>
      <c r="AW20" s="20" t="s">
        <v>6545</v>
      </c>
      <c r="BB20" s="469" t="s">
        <v>5510</v>
      </c>
      <c r="BF20" s="469" t="s">
        <v>5510</v>
      </c>
      <c r="BG20" s="469">
        <v>11</v>
      </c>
      <c r="BH20" s="539" t="s">
        <v>8037</v>
      </c>
      <c r="BI20" s="539">
        <f t="shared" si="12"/>
        <v>23</v>
      </c>
      <c r="BJ20" s="539" cm="1">
        <f t="array" aca="1" ref="BJ20" ca="1">INDIRECT($BM$2&amp;BJ$7&amp;$BI20,1)</f>
        <v>0</v>
      </c>
      <c r="BK20" s="539" cm="1">
        <f t="array" aca="1" ref="BK20" ca="1">INDIRECT($BM$2&amp;BK$7&amp;$BI20,1)</f>
        <v>0</v>
      </c>
      <c r="BL20" s="539" cm="1">
        <f t="array" aca="1" ref="BL20" ca="1">INDIRECT($BM$2&amp;BL$7&amp;$BI20,1)</f>
        <v>0</v>
      </c>
      <c r="BM20" s="539" cm="1">
        <f t="array" aca="1" ref="BM20" ca="1">INDIRECT($BM$2&amp;BM$7&amp;$BI20,1)</f>
        <v>0</v>
      </c>
      <c r="BN20" s="539" cm="1">
        <f t="array" aca="1" ref="BN20" ca="1">INDIRECT($BM$2&amp;BN$7&amp;$BI20,1)</f>
        <v>0</v>
      </c>
      <c r="BO20" s="539" t="str">
        <f t="shared" ca="1" si="9"/>
        <v>-</v>
      </c>
      <c r="BP20" s="494" t="s">
        <v>8222</v>
      </c>
      <c r="BQ20" s="20"/>
      <c r="BR20" s="469">
        <v>11</v>
      </c>
      <c r="BS20" s="539" t="s">
        <v>8037</v>
      </c>
      <c r="BT20" s="539">
        <f t="shared" si="13"/>
        <v>369</v>
      </c>
      <c r="BU20" s="539" cm="1">
        <f t="array" aca="1" ref="BU20" ca="1">INDIRECT($BM$2&amp;BU$7&amp;$BT20,1)</f>
        <v>0</v>
      </c>
      <c r="BV20" s="539" cm="1">
        <f t="array" aca="1" ref="BV20" ca="1">INDIRECT($BM$2&amp;BV$7&amp;$BT20,1)</f>
        <v>0</v>
      </c>
      <c r="BW20" s="539" cm="1">
        <f t="array" aca="1" ref="BW20" ca="1">INDIRECT($BM$2&amp;BW$7&amp;$BT20,1)</f>
        <v>0</v>
      </c>
      <c r="BX20" s="539" cm="1">
        <f t="array" aca="1" ref="BX20" ca="1">INDIRECT($BM$2&amp;BX$7&amp;$BT20,1)</f>
        <v>0</v>
      </c>
      <c r="BY20" s="539" cm="1">
        <f t="array" aca="1" ref="BY20" ca="1">INDIRECT($BM$2&amp;BY$7&amp;$BT20,1)</f>
        <v>0</v>
      </c>
      <c r="BZ20" s="539" t="str">
        <f t="shared" ca="1" si="10"/>
        <v>-</v>
      </c>
      <c r="CA20" s="494" t="s">
        <v>8222</v>
      </c>
      <c r="CC20" s="469">
        <v>11</v>
      </c>
      <c r="CD20" s="539" t="s">
        <v>8037</v>
      </c>
      <c r="CE20" s="539">
        <f t="shared" si="14"/>
        <v>715</v>
      </c>
      <c r="CF20" s="539" cm="1">
        <f t="array" aca="1" ref="CF20" ca="1">INDIRECT($BM$2&amp;CF$7&amp;$CE20,1)</f>
        <v>0</v>
      </c>
      <c r="CG20" s="539" cm="1">
        <f t="array" aca="1" ref="CG20" ca="1">INDIRECT($BM$2&amp;CG$7&amp;$CE20,1)</f>
        <v>0</v>
      </c>
      <c r="CH20" s="539" cm="1">
        <f t="array" aca="1" ref="CH20" ca="1">INDIRECT($BM$2&amp;CH$7&amp;$CE20,1)</f>
        <v>0</v>
      </c>
      <c r="CI20" s="539" cm="1">
        <f t="array" aca="1" ref="CI20" ca="1">INDIRECT($BM$2&amp;CI$7&amp;$CE20,1)</f>
        <v>0</v>
      </c>
      <c r="CJ20" s="539" cm="1">
        <f t="array" aca="1" ref="CJ20" ca="1">INDIRECT($BM$2&amp;CJ$7&amp;$CE20,1)</f>
        <v>0</v>
      </c>
      <c r="CK20" s="539" t="str">
        <f t="shared" ca="1" si="11"/>
        <v>-</v>
      </c>
      <c r="CL20" s="494" t="s">
        <v>8222</v>
      </c>
      <c r="CO20" s="537" t="s">
        <v>5724</v>
      </c>
      <c r="CP20" s="480" t="s">
        <v>7652</v>
      </c>
      <c r="CQ20" s="537" t="str" cm="1">
        <f t="array" aca="1" ref="CQ20" ca="1">IF(INDIRECT($BI$2&amp;$CP20)&lt;&gt;0,INDIRECT($BI$2&amp;$CP20),"-")</f>
        <v>-</v>
      </c>
      <c r="CU20" s="469" t="s">
        <v>5510</v>
      </c>
      <c r="CV20" s="372"/>
      <c r="CW20" s="492">
        <v>2</v>
      </c>
      <c r="CX20" s="492">
        <f t="shared" si="16"/>
        <v>61</v>
      </c>
      <c r="CY20" s="480">
        <f>CY19+$CZ$13</f>
        <v>63</v>
      </c>
      <c r="CZ20" s="480">
        <f t="shared" ref="CZ20:CZ24" si="26">CY20+1</f>
        <v>64</v>
      </c>
      <c r="DA20" s="492" t="str" cm="1">
        <f t="array" aca="1" ref="DA20" ca="1">IF(INDIRECT($DD$2&amp;$CZ$15&amp;CY20,1)&lt;&gt;0,INDIRECT($DD$2&amp;$CZ$15&amp;CY20,1),"-")</f>
        <v>-</v>
      </c>
      <c r="DB20" s="492" t="str" cm="1">
        <f t="array" aca="1" ref="DB20" ca="1">IF(INDIRECT($DD$2&amp;$CZ$15&amp;CZ20,1)&lt;&gt;0,INDIRECT($DD$2&amp;$CZ$15&amp;CZ20,1),"-")</f>
        <v>-</v>
      </c>
      <c r="DC20" s="557" t="str">
        <f t="shared" ref="DC20:DC25" ca="1" si="27">IFERROR(AVERAGEIFS(
CX$31:CX$110,
$CV33:$CV112,$CW20,
CX$31:CX$110,"&lt;&gt;0"),"")</f>
        <v/>
      </c>
      <c r="DD20" s="557" t="str">
        <f t="shared" ca="1" si="17"/>
        <v/>
      </c>
      <c r="DE20" s="492" t="str">
        <f t="shared" ca="1" si="18"/>
        <v/>
      </c>
      <c r="DF20" s="492" t="str">
        <f t="shared" ca="1" si="19"/>
        <v/>
      </c>
      <c r="DG20" s="492" t="str">
        <f t="shared" ca="1" si="20"/>
        <v/>
      </c>
      <c r="DH20" s="492" t="str">
        <f t="shared" ca="1" si="21"/>
        <v/>
      </c>
      <c r="DI20" s="492" t="str">
        <f t="shared" ca="1" si="22"/>
        <v/>
      </c>
      <c r="DJ20" s="492" t="str">
        <f t="shared" ca="1" si="23"/>
        <v/>
      </c>
      <c r="DK20" s="492" t="str">
        <f ca="1">IF(DI20="","",IFERROR(DI20/$DI$18,"?"))</f>
        <v/>
      </c>
      <c r="DL20" s="492" t="str">
        <f t="shared" ca="1" si="24"/>
        <v/>
      </c>
      <c r="DM20" s="492" t="str">
        <f t="shared" ref="DM20:DM25" ca="1" si="28">IF(DI20="","",IF(DI20&gt;=DI$25,1,0))</f>
        <v/>
      </c>
      <c r="DN20" s="492" t="str">
        <f t="shared" ca="1" si="25"/>
        <v/>
      </c>
      <c r="EQ20" s="469" t="s">
        <v>5510</v>
      </c>
      <c r="ES20" s="504" t="s">
        <v>8160</v>
      </c>
      <c r="ET20" s="507"/>
      <c r="EU20" s="507">
        <v>16</v>
      </c>
      <c r="EW20" s="22" cm="1">
        <f t="array" aca="1" ref="EW20" ca="1">INDIRECT($ET$15&amp;EU20)</f>
        <v>0</v>
      </c>
      <c r="EX20" s="22" cm="1">
        <f t="array" aca="1" ref="EX20" ca="1">INDIRECT($ET$16&amp;EU20)</f>
        <v>0</v>
      </c>
      <c r="EY20" s="22" cm="1">
        <f t="array" aca="1" ref="EY20" ca="1">INDIRECT($ET$17&amp;EU20)</f>
        <v>0</v>
      </c>
      <c r="FA20" s="507">
        <v>11</v>
      </c>
      <c r="FB20" s="507">
        <v>25</v>
      </c>
      <c r="GC20" s="472" t="s">
        <v>5510</v>
      </c>
      <c r="GE20" s="519" t="s">
        <v>5580</v>
      </c>
      <c r="GF20" s="520" t="s">
        <v>1592</v>
      </c>
      <c r="GG20" s="526"/>
      <c r="GH20" s="558" t="str" cm="1">
        <f t="array" aca="1" ref="GH20" ca="1">IFERROR(
IF(INDIRECT(GE20&amp;GF20)&lt;&gt;0,"sim","não"),
"Erro")</f>
        <v>não</v>
      </c>
      <c r="GI20" s="547"/>
      <c r="GJ20" s="547"/>
      <c r="GK20" s="547"/>
      <c r="GL20" s="548" t="str">
        <f ca="1">IF(GH20&lt;&gt;"sim","-",C62)</f>
        <v>-</v>
      </c>
      <c r="GN20" s="547"/>
      <c r="GO20" s="547"/>
      <c r="GP20" s="1647"/>
      <c r="GQ20" s="547"/>
      <c r="GR20" s="495" t="str">
        <f ca="1">IFERROR(
IF(GH20&lt;&gt;"sim","-",
IF(GL20="Positivo",$HN$35,
IF(GL20="Negativo",$HN$36,$GI$31))),
$GI$29)</f>
        <v>-</v>
      </c>
      <c r="GS20" s="495" t="str">
        <f t="shared" ca="1" si="15"/>
        <v>-</v>
      </c>
      <c r="GT20" s="492" t="s">
        <v>8255</v>
      </c>
      <c r="GU20" s="492" t="str" cm="1">
        <f t="array" aca="1" ref="GU20" ca="1">INDIRECT($GT$4&amp;GT20,1)</f>
        <v>-</v>
      </c>
      <c r="GV20" s="1648"/>
      <c r="GW20" s="1648"/>
      <c r="GX20" s="1648"/>
      <c r="GY20" s="1648"/>
      <c r="HA20" s="516"/>
      <c r="HK20" s="492" t="s">
        <v>5841</v>
      </c>
      <c r="HL20" s="492" t="s">
        <v>7816</v>
      </c>
      <c r="HM20" s="492"/>
      <c r="HN20" s="492" t="s">
        <v>5835</v>
      </c>
      <c r="HO20" s="495" t="s">
        <v>7965</v>
      </c>
      <c r="HP20" s="534" t="s">
        <v>10</v>
      </c>
      <c r="HQ20" s="495"/>
      <c r="HR20" s="492"/>
    </row>
    <row r="21" spans="1:226" x14ac:dyDescent="0.25">
      <c r="A21" s="496" t="str">
        <f>IF('PT&amp;IA'!F11&lt;&gt;"",'PT&amp;IA'!I11&amp;" (reg. "&amp;'PT&amp;IA'!K11&amp;")","")</f>
        <v/>
      </c>
      <c r="B21" s="496" t="str">
        <f>IF('PT&amp;IA'!J11&lt;&gt;"",'PT&amp;IA'!J11,"")</f>
        <v/>
      </c>
      <c r="G21" s="497">
        <v>49</v>
      </c>
      <c r="H21" s="498" t="str" cm="1">
        <f t="array" aca="1" ref="H21" ca="1">IF(
OR(INDIRECT($F$2&amp;$G$2&amp;$G21,1)&lt;&gt;"",INDIRECT($F$2&amp;$H$2&amp;G21,1)&lt;&gt;""),
INDIRECT($F$2&amp;$H$2&amp;G21,1),
"")</f>
        <v/>
      </c>
      <c r="I21" s="498" t="str">
        <f ca="1">IFERROR(
VLOOKUP(SEARCH("-",Calculos!$H21,1)-1,$K$3:$L$9,2,0)&amp;Calculos!$H21,"")</f>
        <v/>
      </c>
      <c r="N21" s="499" t="str">
        <f ca="1">IFERROR(
IF(ISERROR(VLOOKUP(I21,tb_componentes_proibidos[[n_cas_corrigido]:[Componente_proibido]],1,0)),"",$H21),"")</f>
        <v/>
      </c>
      <c r="O21" s="499" t="str" cm="1">
        <f t="array" aca="1" ref="O21" ca="1">IFERROR(
INDEX($N$4:$N$43,MATCH(0,INDEX(COUNTIF($O$1:O20,$N$4:$N$43),),)),"")</f>
        <v/>
      </c>
      <c r="P21" s="499" t="str">
        <f ca="1">IFERROR(
VLOOKUP(O21,tb_componentes_proibidos[[n_cas]:[Componente_proibido]],3,0),"")</f>
        <v/>
      </c>
      <c r="Q21" s="499" t="str">
        <f t="shared" ca="1" si="4"/>
        <v/>
      </c>
      <c r="R21" s="499" t="str">
        <f t="shared" ca="1" si="5"/>
        <v/>
      </c>
      <c r="U21" s="501" cm="1">
        <f t="array" aca="1" ref="U21" ca="1">INDIRECT($F$2&amp;$U$2&amp;G21,1)</f>
        <v>0</v>
      </c>
      <c r="V21" s="502" t="str">
        <f ca="1">IF(H21&lt;&gt;"",
IFERROR(
VLOOKUP(I21,tb_ingredientes[[n_cas_corrigido]:[ingrediente_ativo]],2,0),
IFERROR(VLOOKUP(I21,tb_componentes[[n_cas_corrigido]:[Componente]],2,0),"Informar nome do componente")),"")</f>
        <v/>
      </c>
      <c r="W21" s="502" t="str">
        <f t="shared" ca="1" si="0"/>
        <v/>
      </c>
      <c r="X21" s="492" cm="1">
        <f t="array" aca="1" ref="X21" ca="1">IF(Y21=1,INDIRECT($F$2&amp;$X$2&amp;G21,1),0)</f>
        <v>0</v>
      </c>
      <c r="Y21" s="492" cm="1">
        <f t="array" aca="1" ref="Y21" ca="1">IF(INDIRECT($F$2&amp;$Y$2&amp;G21,1)="Sim",1,0)</f>
        <v>0</v>
      </c>
      <c r="Z21" s="492" t="str">
        <f ca="1">IF(U21="sim",Calculos!V21&amp;" - "&amp;X21&amp;" "&amp;$AE$10&amp;" ("&amp;IFERROR(TRUNC(W21,4)*100,"")&amp;"%)","")</f>
        <v/>
      </c>
      <c r="AA21" s="492" t="str" cm="1">
        <f t="array" aca="1" ref="AA21" ca="1">IFERROR(
INDEX($Z$4:$Z$43,MATCH(0,INDEX(COUNTIF($AA$1:AA20,$Z$4:$Z$43),),)),"")</f>
        <v/>
      </c>
      <c r="AB21" s="492" t="str">
        <f t="shared" ca="1" si="1"/>
        <v/>
      </c>
      <c r="AC21" s="492" t="str" cm="1">
        <f t="array" aca="1" ref="AC21" ca="1">IF(INDIRECT($F$2&amp;$AC$2&amp;G21)&lt;&gt;0,INDIRECT($F$2&amp;$AC$2&amp;G21),"")</f>
        <v/>
      </c>
      <c r="AF21" s="470" t="s">
        <v>5510</v>
      </c>
      <c r="AG21" s="492" t="str">
        <f t="shared" ref="AG21:AG35" ca="1" si="29">IF(AG3&lt;&gt;"","("&amp;AG3&amp;") "&amp;AH3&amp;" - "&amp;AI3&amp;" "&amp;$AE$10&amp;CHAR(10),"")</f>
        <v/>
      </c>
      <c r="AH21" s="492" t="str" cm="1">
        <f t="array" aca="1" ref="AH21" ca="1">IF(INDIRECT($AH$19&amp;"I"&amp;AI21,1)=0,"",INDIRECT($AH$19&amp;"I"&amp;AI21,1)&amp;" (reg. "&amp;INDIRECT($AH$19&amp;"K"&amp;AI21,1)&amp;")"&amp;CHAR(10))</f>
        <v/>
      </c>
      <c r="AI21" s="476">
        <v>11</v>
      </c>
      <c r="AK21" s="470" t="s">
        <v>5510</v>
      </c>
      <c r="AN21" s="476">
        <v>36</v>
      </c>
      <c r="AO21" s="492" t="str" cm="1">
        <f t="array" aca="1" ref="AO21" ca="1">IF(INDIRECT($AN$2&amp;$AO$2&amp;AN21,1)&lt;&gt;0,
INDIRECT($AN$2&amp;$AO$2&amp;AN21,1),
IF((COUNTA(AO22:$AO$34)-COUNTIF(AO22:$AO$34,""))=0,"","# Id não informado #"))</f>
        <v/>
      </c>
      <c r="AP21" s="492" t="str" cm="1">
        <f t="array" aca="1" ref="AP21" ca="1">IFERROR(
INDEX($AO$4:$AO$33,MATCH(0,INDEX(COUNTIF($AP$1:AP20,$AO$4:$AO$33),),)),"")</f>
        <v/>
      </c>
      <c r="AR21" s="470" t="s">
        <v>5510</v>
      </c>
      <c r="AV21" s="469" t="s">
        <v>5510</v>
      </c>
      <c r="AW21" s="479" t="s">
        <v>6546</v>
      </c>
      <c r="AX21" s="479" t="s">
        <v>6133</v>
      </c>
      <c r="AY21" s="479" t="s">
        <v>18</v>
      </c>
      <c r="BB21" s="469" t="s">
        <v>5510</v>
      </c>
      <c r="BF21" s="469" t="s">
        <v>5510</v>
      </c>
      <c r="BG21" s="469">
        <v>12</v>
      </c>
      <c r="BH21" s="539" t="s">
        <v>8037</v>
      </c>
      <c r="BI21" s="539">
        <f t="shared" si="12"/>
        <v>24</v>
      </c>
      <c r="BJ21" s="539" cm="1">
        <f t="array" aca="1" ref="BJ21" ca="1">INDIRECT($BM$2&amp;BJ$7&amp;$BI21,1)</f>
        <v>0</v>
      </c>
      <c r="BK21" s="539" cm="1">
        <f t="array" aca="1" ref="BK21" ca="1">INDIRECT($BM$2&amp;BK$7&amp;$BI21,1)</f>
        <v>0</v>
      </c>
      <c r="BL21" s="539" cm="1">
        <f t="array" aca="1" ref="BL21" ca="1">INDIRECT($BM$2&amp;BL$7&amp;$BI21,1)</f>
        <v>0</v>
      </c>
      <c r="BM21" s="539" cm="1">
        <f t="array" aca="1" ref="BM21" ca="1">INDIRECT($BM$2&amp;BM$7&amp;$BI21,1)</f>
        <v>0</v>
      </c>
      <c r="BN21" s="539" t="str" cm="1">
        <f t="array" aca="1" ref="BN21" ca="1">INDIRECT($BM$2&amp;BN$7&amp;$BI21,1)</f>
        <v>-</v>
      </c>
      <c r="BO21" s="539" t="str">
        <f t="shared" ca="1" si="9"/>
        <v>-</v>
      </c>
      <c r="BP21" s="561" t="s">
        <v>8223</v>
      </c>
      <c r="BQ21" s="20"/>
      <c r="BR21" s="469">
        <v>12</v>
      </c>
      <c r="BS21" s="539" t="s">
        <v>8037</v>
      </c>
      <c r="BT21" s="539">
        <f t="shared" si="13"/>
        <v>370</v>
      </c>
      <c r="BU21" s="539" cm="1">
        <f t="array" aca="1" ref="BU21" ca="1">INDIRECT($BM$2&amp;BU$7&amp;$BT21,1)</f>
        <v>0</v>
      </c>
      <c r="BV21" s="539" cm="1">
        <f t="array" aca="1" ref="BV21" ca="1">INDIRECT($BM$2&amp;BV$7&amp;$BT21,1)</f>
        <v>0</v>
      </c>
      <c r="BW21" s="539" cm="1">
        <f t="array" aca="1" ref="BW21" ca="1">INDIRECT($BM$2&amp;BW$7&amp;$BT21,1)</f>
        <v>0</v>
      </c>
      <c r="BX21" s="539" cm="1">
        <f t="array" aca="1" ref="BX21" ca="1">INDIRECT($BM$2&amp;BX$7&amp;$BT21,1)</f>
        <v>0</v>
      </c>
      <c r="BY21" s="539" t="str" cm="1">
        <f t="array" aca="1" ref="BY21" ca="1">INDIRECT($BM$2&amp;BY$7&amp;$BT21,1)</f>
        <v>-</v>
      </c>
      <c r="BZ21" s="539" t="str">
        <f t="shared" ca="1" si="10"/>
        <v>-</v>
      </c>
      <c r="CA21" s="561" t="s">
        <v>8223</v>
      </c>
      <c r="CC21" s="469">
        <v>12</v>
      </c>
      <c r="CD21" s="539" t="s">
        <v>8037</v>
      </c>
      <c r="CE21" s="539">
        <f t="shared" si="14"/>
        <v>716</v>
      </c>
      <c r="CF21" s="539" cm="1">
        <f t="array" aca="1" ref="CF21" ca="1">INDIRECT($BM$2&amp;CF$7&amp;$CE21,1)</f>
        <v>0</v>
      </c>
      <c r="CG21" s="539" cm="1">
        <f t="array" aca="1" ref="CG21" ca="1">INDIRECT($BM$2&amp;CG$7&amp;$CE21,1)</f>
        <v>0</v>
      </c>
      <c r="CH21" s="539" cm="1">
        <f t="array" aca="1" ref="CH21" ca="1">INDIRECT($BM$2&amp;CH$7&amp;$CE21,1)</f>
        <v>0</v>
      </c>
      <c r="CI21" s="539" cm="1">
        <f t="array" aca="1" ref="CI21" ca="1">INDIRECT($BM$2&amp;CI$7&amp;$CE21,1)</f>
        <v>0</v>
      </c>
      <c r="CJ21" s="539" t="str" cm="1">
        <f t="array" aca="1" ref="CJ21" ca="1">INDIRECT($BM$2&amp;CJ$7&amp;$CE21,1)</f>
        <v>-</v>
      </c>
      <c r="CK21" s="539" t="str">
        <f t="shared" ca="1" si="11"/>
        <v>-</v>
      </c>
      <c r="CL21" s="561" t="s">
        <v>8223</v>
      </c>
      <c r="CO21" s="537" t="s">
        <v>5802</v>
      </c>
      <c r="CP21" s="480" t="s">
        <v>7654</v>
      </c>
      <c r="CQ21" s="537" t="str" cm="1">
        <f t="array" aca="1" ref="CQ21" ca="1">IF(INDIRECT($BI$2&amp;$CP21)&lt;&gt;0,INDIRECT($BI$2&amp;$CP21),"-")</f>
        <v>-</v>
      </c>
      <c r="CU21" s="469" t="s">
        <v>5510</v>
      </c>
      <c r="CV21" s="372"/>
      <c r="CW21" s="492">
        <v>3</v>
      </c>
      <c r="CX21" s="492">
        <f t="shared" si="16"/>
        <v>71</v>
      </c>
      <c r="CY21" s="480">
        <f>CY20+$CZ$13</f>
        <v>80</v>
      </c>
      <c r="CZ21" s="480">
        <f t="shared" si="26"/>
        <v>81</v>
      </c>
      <c r="DA21" s="492" t="str" cm="1">
        <f t="array" aca="1" ref="DA21" ca="1">IF(INDIRECT($DD$2&amp;$CZ$15&amp;CY21,1)&lt;&gt;0,INDIRECT($DD$2&amp;$CZ$15&amp;CY21,1),"-")</f>
        <v>-</v>
      </c>
      <c r="DB21" s="492" t="str" cm="1">
        <f t="array" aca="1" ref="DB21" ca="1">IF(INDIRECT($DD$2&amp;$CZ$15&amp;CZ21,1)&lt;&gt;0,INDIRECT($DD$2&amp;$CZ$15&amp;CZ21,1),"-")</f>
        <v>-</v>
      </c>
      <c r="DC21" s="557" t="str">
        <f t="shared" ca="1" si="27"/>
        <v/>
      </c>
      <c r="DD21" s="557" t="str">
        <f t="shared" ca="1" si="17"/>
        <v/>
      </c>
      <c r="DE21" s="492" t="str">
        <f t="shared" ca="1" si="18"/>
        <v/>
      </c>
      <c r="DF21" s="492" t="str">
        <f t="shared" ca="1" si="19"/>
        <v/>
      </c>
      <c r="DG21" s="492" t="str">
        <f t="shared" ca="1" si="20"/>
        <v/>
      </c>
      <c r="DH21" s="492" t="str">
        <f t="shared" ca="1" si="21"/>
        <v/>
      </c>
      <c r="DI21" s="492" t="str">
        <f t="shared" ca="1" si="22"/>
        <v/>
      </c>
      <c r="DJ21" s="492" t="str">
        <f t="shared" ca="1" si="23"/>
        <v/>
      </c>
      <c r="DK21" s="492" t="str">
        <f t="shared" ref="DK21:DK25" ca="1" si="30">IF(DI21="","",IFERROR(DI21/$DI$18,"?"))</f>
        <v/>
      </c>
      <c r="DL21" s="492" t="str">
        <f t="shared" ca="1" si="24"/>
        <v/>
      </c>
      <c r="DM21" s="492" t="str">
        <f t="shared" ca="1" si="28"/>
        <v/>
      </c>
      <c r="DN21" s="492" t="str">
        <f t="shared" ca="1" si="25"/>
        <v/>
      </c>
      <c r="EQ21" s="469" t="s">
        <v>5510</v>
      </c>
      <c r="ES21" s="504" t="s">
        <v>8160</v>
      </c>
      <c r="ET21" s="507"/>
      <c r="EU21" s="507">
        <v>17</v>
      </c>
      <c r="EW21" s="22" cm="1">
        <f t="array" aca="1" ref="EW21" ca="1">INDIRECT($ET$15&amp;EU21)</f>
        <v>0</v>
      </c>
      <c r="EX21" s="22" cm="1">
        <f t="array" aca="1" ref="EX21" ca="1">INDIRECT($ET$16&amp;EU21)</f>
        <v>0</v>
      </c>
      <c r="EY21" s="22" cm="1">
        <f t="array" aca="1" ref="EY21" ca="1">INDIRECT($ET$17&amp;EU21)</f>
        <v>0</v>
      </c>
      <c r="GC21" s="472" t="s">
        <v>5510</v>
      </c>
      <c r="GE21" s="519" t="s">
        <v>5581</v>
      </c>
      <c r="GF21" s="520" t="s">
        <v>1592</v>
      </c>
      <c r="GG21" s="526"/>
      <c r="GH21" s="558" t="str" cm="1">
        <f t="array" aca="1" ref="GH21" ca="1">IFERROR(
IF(INDIRECT(GE21&amp;GF21)&lt;&gt;0,"sim","não"),
"Erro")</f>
        <v>não</v>
      </c>
      <c r="GI21" s="547"/>
      <c r="GJ21" s="547"/>
      <c r="GK21" s="547"/>
      <c r="GL21" s="548" t="str">
        <f ca="1">IF(GH21&lt;&gt;"sim","-",D62)</f>
        <v>-</v>
      </c>
      <c r="GN21" s="547"/>
      <c r="GO21" s="547"/>
      <c r="GP21" s="1647"/>
      <c r="GQ21" s="547"/>
      <c r="GR21" s="495" t="str">
        <f ca="1">IFERROR(
IF(GH21&lt;&gt;"sim","-",
IF(GL21="Positivo",$HN$35,
IF(GL21="Negativo",$HN$36,$GI$31))),
$GI$29)</f>
        <v>-</v>
      </c>
      <c r="GS21" s="495" t="str">
        <f t="shared" ca="1" si="15"/>
        <v>-</v>
      </c>
      <c r="GT21" s="492" t="s">
        <v>8256</v>
      </c>
      <c r="GU21" s="492" t="str" cm="1">
        <f t="array" aca="1" ref="GU21" ca="1">INDIRECT($GT$4&amp;GT21,1)</f>
        <v>-</v>
      </c>
      <c r="GV21" s="1648"/>
      <c r="GW21" s="1648"/>
      <c r="GX21" s="1648"/>
      <c r="GY21" s="1648"/>
      <c r="HA21" s="477" t="s">
        <v>7815</v>
      </c>
      <c r="HB21" s="524">
        <f ca="1">IF(AND(HB5=HN21,AND(HB6=FALSE,HB9=FALSE,HB10=FALSE)),1,0)</f>
        <v>0</v>
      </c>
      <c r="HN21" s="562" t="s">
        <v>6060</v>
      </c>
    </row>
    <row r="22" spans="1:226" x14ac:dyDescent="0.25">
      <c r="A22" s="496" t="str">
        <f>IF('PT&amp;IA'!F12&lt;&gt;"",'PT&amp;IA'!I12&amp;" (reg. "&amp;'PT&amp;IA'!K12&amp;")","")</f>
        <v/>
      </c>
      <c r="B22" s="496" t="str">
        <f>IF('PT&amp;IA'!J12&lt;&gt;"",'PT&amp;IA'!J12,"")</f>
        <v/>
      </c>
      <c r="G22" s="497">
        <v>50</v>
      </c>
      <c r="H22" s="498" t="str" cm="1">
        <f t="array" aca="1" ref="H22" ca="1">IF(
OR(INDIRECT($F$2&amp;$G$2&amp;$G22,1)&lt;&gt;"",INDIRECT($F$2&amp;$H$2&amp;G22,1)&lt;&gt;""),
INDIRECT($F$2&amp;$H$2&amp;G22,1),
"")</f>
        <v/>
      </c>
      <c r="I22" s="498" t="str">
        <f ca="1">IFERROR(
VLOOKUP(SEARCH("-",Calculos!$H22,1)-1,$K$3:$L$9,2,0)&amp;Calculos!$H22,"")</f>
        <v/>
      </c>
      <c r="N22" s="499" t="str">
        <f ca="1">IFERROR(
IF(ISERROR(VLOOKUP(I22,tb_componentes_proibidos[[n_cas_corrigido]:[Componente_proibido]],1,0)),"",$H22),"")</f>
        <v/>
      </c>
      <c r="O22" s="499" t="str" cm="1">
        <f t="array" aca="1" ref="O22" ca="1">IFERROR(
INDEX($N$4:$N$43,MATCH(0,INDEX(COUNTIF($O$1:O21,$N$4:$N$43),),)),"")</f>
        <v/>
      </c>
      <c r="P22" s="499" t="str">
        <f ca="1">IFERROR(
VLOOKUP(O22,tb_componentes_proibidos[[n_cas]:[Componente_proibido]],3,0),"")</f>
        <v/>
      </c>
      <c r="Q22" s="499" t="str">
        <f t="shared" ca="1" si="4"/>
        <v/>
      </c>
      <c r="R22" s="499" t="str">
        <f t="shared" ca="1" si="5"/>
        <v/>
      </c>
      <c r="U22" s="501" cm="1">
        <f t="array" aca="1" ref="U22" ca="1">INDIRECT($F$2&amp;$U$2&amp;G22,1)</f>
        <v>0</v>
      </c>
      <c r="V22" s="502" t="str">
        <f ca="1">IF(H22&lt;&gt;"",
IFERROR(
VLOOKUP(I22,tb_ingredientes[[n_cas_corrigido]:[ingrediente_ativo]],2,0),
IFERROR(VLOOKUP(I22,tb_componentes[[n_cas_corrigido]:[Componente]],2,0),"Informar nome do componente")),"")</f>
        <v/>
      </c>
      <c r="W22" s="502" t="str">
        <f t="shared" ca="1" si="0"/>
        <v/>
      </c>
      <c r="X22" s="492" cm="1">
        <f t="array" aca="1" ref="X22" ca="1">IF(Y22=1,INDIRECT($F$2&amp;$X$2&amp;G22,1),0)</f>
        <v>0</v>
      </c>
      <c r="Y22" s="492" cm="1">
        <f t="array" aca="1" ref="Y22" ca="1">IF(INDIRECT($F$2&amp;$Y$2&amp;G22,1)="Sim",1,0)</f>
        <v>0</v>
      </c>
      <c r="Z22" s="492" t="str">
        <f ca="1">IF(U22="sim",Calculos!V22&amp;" - "&amp;X22&amp;" "&amp;$AE$10&amp;" ("&amp;IFERROR(TRUNC(W22,4)*100,"")&amp;"%)","")</f>
        <v/>
      </c>
      <c r="AA22" s="492" t="str" cm="1">
        <f t="array" aca="1" ref="AA22" ca="1">IFERROR(
INDEX($Z$4:$Z$43,MATCH(0,INDEX(COUNTIF($AA$1:AA21,$Z$4:$Z$43),),)),"")</f>
        <v/>
      </c>
      <c r="AB22" s="492" t="str">
        <f t="shared" ca="1" si="1"/>
        <v/>
      </c>
      <c r="AC22" s="492" t="str" cm="1">
        <f t="array" aca="1" ref="AC22" ca="1">IF(INDIRECT($F$2&amp;$AC$2&amp;G22)&lt;&gt;0,INDIRECT($F$2&amp;$AC$2&amp;G22),"")</f>
        <v/>
      </c>
      <c r="AF22" s="470" t="s">
        <v>5510</v>
      </c>
      <c r="AG22" s="492" t="str">
        <f t="shared" ca="1" si="29"/>
        <v/>
      </c>
      <c r="AH22" s="492" t="str" cm="1">
        <f t="array" aca="1" ref="AH22" ca="1">IF(INDIRECT($AH$19&amp;"I"&amp;AI22,1)=0,"",INDIRECT($AH$19&amp;"I"&amp;AI22,1)&amp;" (reg. "&amp;INDIRECT($AH$19&amp;"K"&amp;AI22,1)&amp;")"&amp;CHAR(10))</f>
        <v/>
      </c>
      <c r="AI22" s="476">
        <v>12</v>
      </c>
      <c r="AK22" s="470" t="s">
        <v>5510</v>
      </c>
      <c r="AN22" s="476">
        <v>37</v>
      </c>
      <c r="AO22" s="492" t="str" cm="1">
        <f t="array" aca="1" ref="AO22" ca="1">IF(INDIRECT($AN$2&amp;$AO$2&amp;AN22,1)&lt;&gt;0,
INDIRECT($AN$2&amp;$AO$2&amp;AN22,1),
IF((COUNTA(AO23:$AO$34)-COUNTIF(AO23:$AO$34,""))=0,"","# Id não informado #"))</f>
        <v/>
      </c>
      <c r="AP22" s="492" t="str" cm="1">
        <f t="array" aca="1" ref="AP22" ca="1">IFERROR(
INDEX($AO$4:$AO$33,MATCH(0,INDEX(COUNTIF($AP$1:AP21,$AO$4:$AO$33),),)),"")</f>
        <v/>
      </c>
      <c r="AR22" s="470" t="s">
        <v>5510</v>
      </c>
      <c r="AV22" s="469" t="s">
        <v>5510</v>
      </c>
      <c r="AW22" s="555" t="s">
        <v>6296</v>
      </c>
      <c r="AX22" s="555" cm="1">
        <f t="array" aca="1" ref="AX22" ca="1">INDIRECT(AW22,1)</f>
        <v>0</v>
      </c>
      <c r="AY22" s="555">
        <f ca="1">IF(AX22="não",1,
IF(AND(AX22="sim",AX23=1),1,0))</f>
        <v>0</v>
      </c>
      <c r="BB22" s="469" t="s">
        <v>5510</v>
      </c>
      <c r="BF22" s="469" t="s">
        <v>5510</v>
      </c>
      <c r="BL22" s="372"/>
      <c r="BO22" s="472"/>
      <c r="BQ22" s="20"/>
      <c r="BT22" s="372"/>
      <c r="BU22" s="472"/>
      <c r="BV22" s="472"/>
      <c r="BW22" s="372"/>
      <c r="BX22" s="472"/>
      <c r="BY22" s="372"/>
      <c r="BZ22" s="472"/>
      <c r="CA22" s="372"/>
      <c r="CE22" s="372"/>
      <c r="CF22" s="472"/>
      <c r="CG22" s="472"/>
      <c r="CH22" s="372"/>
      <c r="CI22" s="472"/>
      <c r="CJ22" s="372"/>
      <c r="CK22" s="472"/>
      <c r="CL22" s="372"/>
      <c r="CU22" s="469" t="s">
        <v>5510</v>
      </c>
      <c r="CV22" s="372"/>
      <c r="CW22" s="492">
        <v>4</v>
      </c>
      <c r="CX22" s="492">
        <f t="shared" si="16"/>
        <v>81</v>
      </c>
      <c r="CY22" s="480">
        <f>CY21+$CZ$13</f>
        <v>97</v>
      </c>
      <c r="CZ22" s="480">
        <f t="shared" si="26"/>
        <v>98</v>
      </c>
      <c r="DA22" s="492" t="str" cm="1">
        <f t="array" aca="1" ref="DA22" ca="1">IF(INDIRECT($DD$2&amp;$CZ$15&amp;CY22,1)&lt;&gt;0,INDIRECT($DD$2&amp;$CZ$15&amp;CY22,1),"-")</f>
        <v>-</v>
      </c>
      <c r="DB22" s="492" t="str" cm="1">
        <f t="array" aca="1" ref="DB22" ca="1">IF(INDIRECT($DD$2&amp;$CZ$15&amp;CZ22,1)&lt;&gt;0,INDIRECT($DD$2&amp;$CZ$15&amp;CZ22,1),"-")</f>
        <v>-</v>
      </c>
      <c r="DC22" s="557" t="str">
        <f t="shared" ca="1" si="27"/>
        <v/>
      </c>
      <c r="DD22" s="557" t="str">
        <f t="shared" ca="1" si="17"/>
        <v/>
      </c>
      <c r="DE22" s="492" t="str">
        <f t="shared" ca="1" si="18"/>
        <v/>
      </c>
      <c r="DF22" s="492" t="str">
        <f t="shared" ca="1" si="19"/>
        <v/>
      </c>
      <c r="DG22" s="492" t="str">
        <f t="shared" ca="1" si="20"/>
        <v/>
      </c>
      <c r="DH22" s="492" t="str">
        <f t="shared" ca="1" si="21"/>
        <v/>
      </c>
      <c r="DI22" s="492" t="str">
        <f t="shared" ca="1" si="22"/>
        <v/>
      </c>
      <c r="DJ22" s="492" t="str">
        <f t="shared" ca="1" si="23"/>
        <v/>
      </c>
      <c r="DK22" s="492" t="str">
        <f t="shared" ca="1" si="30"/>
        <v/>
      </c>
      <c r="DL22" s="492" t="str">
        <f t="shared" ca="1" si="24"/>
        <v/>
      </c>
      <c r="DM22" s="492" t="str">
        <f t="shared" ca="1" si="28"/>
        <v/>
      </c>
      <c r="DN22" s="492" t="str">
        <f t="shared" ca="1" si="25"/>
        <v/>
      </c>
      <c r="EQ22" s="469" t="s">
        <v>5510</v>
      </c>
      <c r="ES22" s="504" t="s">
        <v>8160</v>
      </c>
      <c r="ET22" s="507"/>
      <c r="EU22" s="507">
        <v>18</v>
      </c>
      <c r="EW22" s="22" cm="1">
        <f t="array" aca="1" ref="EW22" ca="1">INDIRECT($ET$15&amp;EU22)</f>
        <v>0</v>
      </c>
      <c r="EX22" s="22" cm="1">
        <f t="array" aca="1" ref="EX22" ca="1">INDIRECT($ET$16&amp;EU22)</f>
        <v>0</v>
      </c>
      <c r="EY22" s="22" cm="1">
        <f t="array" aca="1" ref="EY22" ca="1">INDIRECT($ET$17&amp;EU22)</f>
        <v>0</v>
      </c>
      <c r="GC22" s="472" t="s">
        <v>5510</v>
      </c>
      <c r="GE22" s="519" t="s">
        <v>5582</v>
      </c>
      <c r="GF22" s="520" t="s">
        <v>5798</v>
      </c>
      <c r="GG22" s="563"/>
      <c r="GH22" s="522" t="str" cm="1">
        <f t="array" aca="1" ref="GH22" ca="1">IFERROR(
IF(INDIRECT(GE22&amp;GF22)&lt;&gt;0,"sim","não"),
"Erro")</f>
        <v>não</v>
      </c>
      <c r="GI22" s="49"/>
      <c r="GJ22" s="49"/>
      <c r="GK22" s="49"/>
      <c r="GL22" s="553" t="str">
        <f ca="1">IF(GH22="não","-",IF(COUNTIF(BL494:BL495,"")=2,"Negativo",BL494&amp;BL495))</f>
        <v>-</v>
      </c>
      <c r="GN22" s="49"/>
      <c r="GO22" s="49"/>
      <c r="GP22" s="1646" t="str">
        <f ca="1">IF(GV22="-","-",
IF(OR(GV22=$HN$38,GV22=$HN$39,GV22=$HN$40),GM30,GM31))</f>
        <v>-</v>
      </c>
      <c r="GQ22" s="49"/>
      <c r="GR22" s="523" t="str">
        <f ca="1">IF(GH22&lt;&gt;"sim","-",
IF(GL22&lt;&gt;"Negativo",$HN$40,$HN$41))</f>
        <v>-</v>
      </c>
      <c r="GS22" s="523" t="str">
        <f t="shared" ca="1" si="15"/>
        <v>-</v>
      </c>
      <c r="GT22" s="22" t="s">
        <v>8257</v>
      </c>
      <c r="GU22" s="22" t="str" cm="1">
        <f t="array" aca="1" ref="GU22" ca="1">INDIRECT($GT$4&amp;GT22,1)</f>
        <v>-</v>
      </c>
      <c r="GV22" s="1649" t="str">
        <f ca="1">IF(COUNTIF(GU22:GU25,$HN$38)&gt;0,HN38,
IF(COUNTIF(GU22:GU25,$HN$39)&gt;0,HN39,
IF(COUNTIF(GU22:GU25,$HN$40)&gt;0,HN40,
IF(COUNTIF(GU22:GU25,$HN$41)&gt;0,HN41,
IF(COUNTIF(GU22:GU25,$GI$31)&gt;0,$GI$33,
"-")))))</f>
        <v>-</v>
      </c>
      <c r="GW22" s="1649" t="str">
        <f ca="1">IFERROR(VLOOKUP(GV22,HN38:HP41,2,0),"a definir")</f>
        <v>a definir</v>
      </c>
      <c r="GX22" s="1649" t="str">
        <f ca="1">IFERROR(VLOOKUP(GV22,HN38:HP41,3,0),"a definir")</f>
        <v>a definir</v>
      </c>
      <c r="GY22" s="1649">
        <f ca="1">IF(COUNTIF(HN38:HN40,GV22)&gt;0,1,0)</f>
        <v>0</v>
      </c>
    </row>
    <row r="23" spans="1:226" x14ac:dyDescent="0.25">
      <c r="A23" s="496" t="str">
        <f>IF('PT&amp;IA'!F13&lt;&gt;"",'PT&amp;IA'!I13&amp;" (reg. "&amp;'PT&amp;IA'!K13&amp;")","")</f>
        <v/>
      </c>
      <c r="B23" s="496" t="str">
        <f>IF('PT&amp;IA'!J13&lt;&gt;"",'PT&amp;IA'!J13,"")</f>
        <v/>
      </c>
      <c r="G23" s="497">
        <v>51</v>
      </c>
      <c r="H23" s="498" t="str" cm="1">
        <f t="array" aca="1" ref="H23" ca="1">IF(
OR(INDIRECT($F$2&amp;$G$2&amp;$G23,1)&lt;&gt;"",INDIRECT($F$2&amp;$H$2&amp;G23,1)&lt;&gt;""),
INDIRECT($F$2&amp;$H$2&amp;G23,1),
"")</f>
        <v/>
      </c>
      <c r="I23" s="498" t="str">
        <f ca="1">IFERROR(
VLOOKUP(SEARCH("-",Calculos!$H23,1)-1,$K$3:$L$9,2,0)&amp;Calculos!$H23,"")</f>
        <v/>
      </c>
      <c r="N23" s="499" t="str">
        <f ca="1">IFERROR(
IF(ISERROR(VLOOKUP(I23,tb_componentes_proibidos[[n_cas_corrigido]:[Componente_proibido]],1,0)),"",$H23),"")</f>
        <v/>
      </c>
      <c r="O23" s="499" t="str" cm="1">
        <f t="array" aca="1" ref="O23" ca="1">IFERROR(
INDEX($N$4:$N$43,MATCH(0,INDEX(COUNTIF($O$1:O22,$N$4:$N$43),),)),"")</f>
        <v/>
      </c>
      <c r="P23" s="499" t="str">
        <f ca="1">IFERROR(
VLOOKUP(O23,tb_componentes_proibidos[[n_cas]:[Componente_proibido]],3,0),"")</f>
        <v/>
      </c>
      <c r="Q23" s="499" t="str">
        <f t="shared" ca="1" si="4"/>
        <v/>
      </c>
      <c r="R23" s="499" t="str">
        <f t="shared" ca="1" si="5"/>
        <v/>
      </c>
      <c r="U23" s="501" cm="1">
        <f t="array" aca="1" ref="U23" ca="1">INDIRECT($F$2&amp;$U$2&amp;G23,1)</f>
        <v>0</v>
      </c>
      <c r="V23" s="502" t="str">
        <f ca="1">IF(H23&lt;&gt;"",
IFERROR(
VLOOKUP(I23,tb_ingredientes[[n_cas_corrigido]:[ingrediente_ativo]],2,0),
IFERROR(VLOOKUP(I23,tb_componentes[[n_cas_corrigido]:[Componente]],2,0),"Informar nome do componente")),"")</f>
        <v/>
      </c>
      <c r="W23" s="502" t="str">
        <f t="shared" ca="1" si="0"/>
        <v/>
      </c>
      <c r="X23" s="492" cm="1">
        <f t="array" aca="1" ref="X23" ca="1">IF(Y23=1,INDIRECT($F$2&amp;$X$2&amp;G23,1),0)</f>
        <v>0</v>
      </c>
      <c r="Y23" s="492" cm="1">
        <f t="array" aca="1" ref="Y23" ca="1">IF(INDIRECT($F$2&amp;$Y$2&amp;G23,1)="Sim",1,0)</f>
        <v>0</v>
      </c>
      <c r="Z23" s="492" t="str">
        <f ca="1">IF(U23="sim",Calculos!V23&amp;" - "&amp;X23&amp;" "&amp;$AE$10&amp;" ("&amp;IFERROR(TRUNC(W23,4)*100,"")&amp;"%)","")</f>
        <v/>
      </c>
      <c r="AA23" s="492" t="str" cm="1">
        <f t="array" aca="1" ref="AA23" ca="1">IFERROR(
INDEX($Z$4:$Z$43,MATCH(0,INDEX(COUNTIF($AA$1:AA22,$Z$4:$Z$43),),)),"")</f>
        <v/>
      </c>
      <c r="AB23" s="492" t="str">
        <f t="shared" ca="1" si="1"/>
        <v/>
      </c>
      <c r="AC23" s="492" t="str" cm="1">
        <f t="array" aca="1" ref="AC23" ca="1">IF(INDIRECT($F$2&amp;$AC$2&amp;G23)&lt;&gt;0,INDIRECT($F$2&amp;$AC$2&amp;G23),"")</f>
        <v/>
      </c>
      <c r="AF23" s="470" t="s">
        <v>5510</v>
      </c>
      <c r="AG23" s="492" t="str">
        <f t="shared" ca="1" si="29"/>
        <v/>
      </c>
      <c r="AH23" s="492" t="str" cm="1">
        <f t="array" aca="1" ref="AH23" ca="1">IF(INDIRECT($AH$19&amp;"I"&amp;AI23,1)=0,"",INDIRECT($AH$19&amp;"I"&amp;AI23,1)&amp;" (reg. "&amp;INDIRECT($AH$19&amp;"K"&amp;AI23,1)&amp;")"&amp;CHAR(10))</f>
        <v/>
      </c>
      <c r="AI23" s="476">
        <v>13</v>
      </c>
      <c r="AK23" s="470" t="s">
        <v>5510</v>
      </c>
      <c r="AN23" s="476">
        <v>38</v>
      </c>
      <c r="AO23" s="492" t="str" cm="1">
        <f t="array" aca="1" ref="AO23" ca="1">IF(INDIRECT($AN$2&amp;$AO$2&amp;AN23,1)&lt;&gt;0,
INDIRECT($AN$2&amp;$AO$2&amp;AN23,1),
IF((COUNTA(AO24:$AO$34)-COUNTIF(AO24:$AO$34,""))=0,"","# Id não informado #"))</f>
        <v/>
      </c>
      <c r="AP23" s="492" t="str" cm="1">
        <f t="array" aca="1" ref="AP23" ca="1">IFERROR(
INDEX($AO$4:$AO$33,MATCH(0,INDEX(COUNTIF($AP$1:AP22,$AO$4:$AO$33),),)),"")</f>
        <v/>
      </c>
      <c r="AR23" s="470" t="s">
        <v>5510</v>
      </c>
      <c r="AV23" s="469" t="s">
        <v>5510</v>
      </c>
      <c r="AW23" s="555" t="s">
        <v>6547</v>
      </c>
      <c r="AX23" s="555">
        <f ca="1">COUNTIF(INDIRECT(AW23,1),"*vivo*")</f>
        <v>0</v>
      </c>
      <c r="BB23" s="469" t="s">
        <v>5510</v>
      </c>
      <c r="BF23" s="469" t="s">
        <v>5510</v>
      </c>
      <c r="BL23" s="372"/>
      <c r="BO23" s="472"/>
      <c r="BQ23" s="20"/>
      <c r="BT23" s="372"/>
      <c r="BU23" s="472"/>
      <c r="BV23" s="472"/>
      <c r="BW23" s="372"/>
      <c r="BX23" s="472"/>
      <c r="BY23" s="372"/>
      <c r="BZ23" s="472"/>
      <c r="CA23" s="372"/>
      <c r="CE23" s="372"/>
      <c r="CF23" s="472"/>
      <c r="CG23" s="472"/>
      <c r="CH23" s="372"/>
      <c r="CI23" s="472"/>
      <c r="CJ23" s="372"/>
      <c r="CK23" s="472"/>
      <c r="CL23" s="372"/>
      <c r="CU23" s="469" t="s">
        <v>5510</v>
      </c>
      <c r="CV23" s="372"/>
      <c r="CW23" s="492">
        <v>5</v>
      </c>
      <c r="CX23" s="492">
        <f t="shared" si="16"/>
        <v>91</v>
      </c>
      <c r="CY23" s="480">
        <f>CY22+$CZ$13</f>
        <v>114</v>
      </c>
      <c r="CZ23" s="480">
        <f t="shared" si="26"/>
        <v>115</v>
      </c>
      <c r="DA23" s="492" t="str" cm="1">
        <f t="array" aca="1" ref="DA23" ca="1">IF(INDIRECT($DD$2&amp;$CZ$15&amp;CY23,1)&lt;&gt;0,INDIRECT($DD$2&amp;$CZ$15&amp;CY23,1),"-")</f>
        <v>-</v>
      </c>
      <c r="DB23" s="492" t="str" cm="1">
        <f t="array" aca="1" ref="DB23" ca="1">IF(INDIRECT($DD$2&amp;$CZ$15&amp;CZ23,1)&lt;&gt;0,INDIRECT($DD$2&amp;$CZ$15&amp;CZ23,1),"-")</f>
        <v>-</v>
      </c>
      <c r="DC23" s="557" t="str">
        <f t="shared" ca="1" si="27"/>
        <v/>
      </c>
      <c r="DD23" s="557" t="str">
        <f t="shared" ca="1" si="17"/>
        <v/>
      </c>
      <c r="DE23" s="492" t="str">
        <f t="shared" ca="1" si="18"/>
        <v/>
      </c>
      <c r="DF23" s="492" t="str">
        <f t="shared" ca="1" si="19"/>
        <v/>
      </c>
      <c r="DG23" s="492" t="str">
        <f t="shared" ca="1" si="20"/>
        <v/>
      </c>
      <c r="DH23" s="492" t="str">
        <f t="shared" ca="1" si="21"/>
        <v/>
      </c>
      <c r="DI23" s="492" t="str">
        <f t="shared" ca="1" si="22"/>
        <v/>
      </c>
      <c r="DJ23" s="492" t="str">
        <f t="shared" ca="1" si="23"/>
        <v/>
      </c>
      <c r="DK23" s="492" t="str">
        <f t="shared" ca="1" si="30"/>
        <v/>
      </c>
      <c r="DL23" s="492" t="str">
        <f t="shared" ca="1" si="24"/>
        <v/>
      </c>
      <c r="DM23" s="492" t="str">
        <f t="shared" ca="1" si="28"/>
        <v/>
      </c>
      <c r="DN23" s="492" t="str">
        <f t="shared" ca="1" si="25"/>
        <v/>
      </c>
      <c r="EQ23" s="469" t="s">
        <v>5510</v>
      </c>
      <c r="ES23" s="504" t="s">
        <v>8160</v>
      </c>
      <c r="ET23" s="507"/>
      <c r="EU23" s="507">
        <v>19</v>
      </c>
      <c r="EW23" s="22" cm="1">
        <f t="array" aca="1" ref="EW23" ca="1">INDIRECT($ET$15&amp;EU23)</f>
        <v>0</v>
      </c>
      <c r="EX23" s="22" cm="1">
        <f t="array" aca="1" ref="EX23" ca="1">INDIRECT($ET$16&amp;EU23)</f>
        <v>0</v>
      </c>
      <c r="EY23" s="22" cm="1">
        <f t="array" aca="1" ref="EY23" ca="1">INDIRECT($ET$17&amp;EU23)</f>
        <v>0</v>
      </c>
      <c r="GC23" s="472" t="s">
        <v>5510</v>
      </c>
      <c r="GE23" s="519" t="s">
        <v>5583</v>
      </c>
      <c r="GF23" s="520" t="s">
        <v>5798</v>
      </c>
      <c r="GG23" s="563"/>
      <c r="GH23" s="522" t="str" cm="1">
        <f t="array" aca="1" ref="GH23" ca="1">IFERROR(
IF(INDIRECT(GE23&amp;GF23)&lt;&gt;0,"sim","não"),
"Erro")</f>
        <v>não</v>
      </c>
      <c r="GI23" s="49"/>
      <c r="GJ23" s="49"/>
      <c r="GK23" s="49"/>
      <c r="GL23" s="553" t="str">
        <f ca="1">IF(GH22="não","-", IF(COUNTIF('Calculos(2)'!BL494:BL495,"")=2,"Negativo",'Calculos(2)'!BL494&amp;'Calculos(2)'!BL495))</f>
        <v>-</v>
      </c>
      <c r="GN23" s="49"/>
      <c r="GO23" s="49"/>
      <c r="GP23" s="1646"/>
      <c r="GQ23" s="49"/>
      <c r="GR23" s="523" t="str">
        <f ca="1">IF(GH23&lt;&gt;"sim","-",
IF(GL23&lt;&gt;"Negativo",$HN$40,$HN$41))</f>
        <v>-</v>
      </c>
      <c r="GS23" s="523" t="str">
        <f t="shared" ca="1" si="15"/>
        <v>-</v>
      </c>
      <c r="GT23" s="22" t="s">
        <v>8258</v>
      </c>
      <c r="GU23" s="22" t="str" cm="1">
        <f t="array" aca="1" ref="GU23" ca="1">INDIRECT($GT$4&amp;GT23,1)</f>
        <v>-</v>
      </c>
      <c r="GV23" s="1649"/>
      <c r="GW23" s="1649"/>
      <c r="GX23" s="1649"/>
      <c r="GY23" s="1649"/>
    </row>
    <row r="24" spans="1:226" x14ac:dyDescent="0.25">
      <c r="A24" s="496" t="str">
        <f>IF('PT&amp;IA'!F14&lt;&gt;"",'PT&amp;IA'!I14&amp;" (reg. "&amp;'PT&amp;IA'!K14&amp;")","")</f>
        <v/>
      </c>
      <c r="B24" s="496" t="str">
        <f>IF('PT&amp;IA'!J14&lt;&gt;"",'PT&amp;IA'!J14,"")</f>
        <v/>
      </c>
      <c r="G24" s="497">
        <v>52</v>
      </c>
      <c r="H24" s="498" t="str" cm="1">
        <f t="array" aca="1" ref="H24" ca="1">IF(
OR(INDIRECT($F$2&amp;$G$2&amp;$G24,1)&lt;&gt;"",INDIRECT($F$2&amp;$H$2&amp;G24,1)&lt;&gt;""),
INDIRECT($F$2&amp;$H$2&amp;G24,1),
"")</f>
        <v/>
      </c>
      <c r="I24" s="498" t="str">
        <f ca="1">IFERROR(
VLOOKUP(SEARCH("-",Calculos!$H24,1)-1,$K$3:$L$9,2,0)&amp;Calculos!$H24,"")</f>
        <v/>
      </c>
      <c r="N24" s="499" t="str">
        <f ca="1">IFERROR(
IF(ISERROR(VLOOKUP(I24,tb_componentes_proibidos[[n_cas_corrigido]:[Componente_proibido]],1,0)),"",$H24),"")</f>
        <v/>
      </c>
      <c r="O24" s="499" t="str" cm="1">
        <f t="array" aca="1" ref="O24" ca="1">IFERROR(
INDEX($N$4:$N$43,MATCH(0,INDEX(COUNTIF($O$1:O23,$N$4:$N$43),),)),"")</f>
        <v/>
      </c>
      <c r="P24" s="499" t="str">
        <f ca="1">IFERROR(
VLOOKUP(O24,tb_componentes_proibidos[[n_cas]:[Componente_proibido]],3,0),"")</f>
        <v/>
      </c>
      <c r="Q24" s="499" t="str">
        <f t="shared" ca="1" si="4"/>
        <v/>
      </c>
      <c r="R24" s="499" t="str">
        <f t="shared" ca="1" si="5"/>
        <v/>
      </c>
      <c r="U24" s="501" cm="1">
        <f t="array" aca="1" ref="U24" ca="1">INDIRECT($F$2&amp;$U$2&amp;G24,1)</f>
        <v>0</v>
      </c>
      <c r="V24" s="502" t="str">
        <f ca="1">IF(H24&lt;&gt;"",
IFERROR(
VLOOKUP(I24,tb_ingredientes[[n_cas_corrigido]:[ingrediente_ativo]],2,0),
IFERROR(VLOOKUP(I24,tb_componentes[[n_cas_corrigido]:[Componente]],2,0),"Informar nome do componente")),"")</f>
        <v/>
      </c>
      <c r="W24" s="502" t="str">
        <f t="shared" ca="1" si="0"/>
        <v/>
      </c>
      <c r="X24" s="492" cm="1">
        <f t="array" aca="1" ref="X24" ca="1">IF(Y24=1,INDIRECT($F$2&amp;$X$2&amp;G24,1),0)</f>
        <v>0</v>
      </c>
      <c r="Y24" s="492" cm="1">
        <f t="array" aca="1" ref="Y24" ca="1">IF(INDIRECT($F$2&amp;$Y$2&amp;G24,1)="Sim",1,0)</f>
        <v>0</v>
      </c>
      <c r="Z24" s="492" t="str">
        <f ca="1">IF(U24="sim",Calculos!V24&amp;" - "&amp;X24&amp;" "&amp;$AE$10&amp;" ("&amp;IFERROR(TRUNC(W24,4)*100,"")&amp;"%)","")</f>
        <v/>
      </c>
      <c r="AA24" s="492" t="str" cm="1">
        <f t="array" aca="1" ref="AA24" ca="1">IFERROR(
INDEX($Z$4:$Z$43,MATCH(0,INDEX(COUNTIF($AA$1:AA23,$Z$4:$Z$43),),)),"")</f>
        <v/>
      </c>
      <c r="AB24" s="492" t="str">
        <f t="shared" ca="1" si="1"/>
        <v/>
      </c>
      <c r="AC24" s="492" t="str" cm="1">
        <f t="array" aca="1" ref="AC24" ca="1">IF(INDIRECT($F$2&amp;$AC$2&amp;G24)&lt;&gt;0,INDIRECT($F$2&amp;$AC$2&amp;G24),"")</f>
        <v/>
      </c>
      <c r="AF24" s="470" t="s">
        <v>5510</v>
      </c>
      <c r="AG24" s="492" t="str">
        <f t="shared" ca="1" si="29"/>
        <v/>
      </c>
      <c r="AH24" s="492" t="str" cm="1">
        <f t="array" aca="1" ref="AH24" ca="1">IF(INDIRECT($AH$19&amp;"I"&amp;AI24,1)=0,"",INDIRECT($AH$19&amp;"I"&amp;AI24,1)&amp;" (reg. "&amp;INDIRECT($AH$19&amp;"K"&amp;AI24,1)&amp;")"&amp;CHAR(10))</f>
        <v/>
      </c>
      <c r="AI24" s="476">
        <v>14</v>
      </c>
      <c r="AK24" s="470" t="s">
        <v>5510</v>
      </c>
      <c r="AN24" s="476">
        <v>39</v>
      </c>
      <c r="AO24" s="492" t="str" cm="1">
        <f t="array" aca="1" ref="AO24" ca="1">IF(INDIRECT($AN$2&amp;$AO$2&amp;AN24,1)&lt;&gt;0,
INDIRECT($AN$2&amp;$AO$2&amp;AN24,1),
IF((COUNTA(AO25:$AO$34)-COUNTIF(AO25:$AO$34,""))=0,"","# Id não informado #"))</f>
        <v/>
      </c>
      <c r="AP24" s="492" t="str" cm="1">
        <f t="array" aca="1" ref="AP24" ca="1">IFERROR(
INDEX($AO$4:$AO$33,MATCH(0,INDEX(COUNTIF($AP$1:AP23,$AO$4:$AO$33),),)),"")</f>
        <v/>
      </c>
      <c r="AR24" s="470" t="s">
        <v>5510</v>
      </c>
      <c r="AV24" s="469" t="s">
        <v>5510</v>
      </c>
      <c r="AW24" s="469"/>
      <c r="BB24" s="469" t="s">
        <v>5510</v>
      </c>
      <c r="BF24" s="469" t="s">
        <v>5510</v>
      </c>
      <c r="BQ24" s="20"/>
      <c r="BT24" s="372"/>
      <c r="BU24" s="472"/>
      <c r="BV24" s="472"/>
      <c r="BW24" s="472"/>
      <c r="BX24" s="472"/>
      <c r="BY24" s="372"/>
      <c r="BZ24" s="372"/>
      <c r="CA24" s="372"/>
      <c r="CE24" s="372"/>
      <c r="CF24" s="472"/>
      <c r="CG24" s="472"/>
      <c r="CH24" s="472"/>
      <c r="CI24" s="472"/>
      <c r="CJ24" s="372"/>
      <c r="CK24" s="372"/>
      <c r="CL24" s="372"/>
      <c r="CU24" s="469" t="s">
        <v>5510</v>
      </c>
      <c r="CV24" s="372"/>
      <c r="CW24" s="492">
        <v>6</v>
      </c>
      <c r="CX24" s="492">
        <f t="shared" si="16"/>
        <v>101</v>
      </c>
      <c r="CY24" s="480">
        <f>CY23+$CZ$13</f>
        <v>131</v>
      </c>
      <c r="CZ24" s="480">
        <f t="shared" si="26"/>
        <v>132</v>
      </c>
      <c r="DA24" s="492" t="str" cm="1">
        <f t="array" aca="1" ref="DA24" ca="1">IF(INDIRECT($DD$2&amp;$CZ$15&amp;CY24,1)&lt;&gt;0,INDIRECT($DD$2&amp;$CZ$15&amp;CY24,1),"-")</f>
        <v>-</v>
      </c>
      <c r="DB24" s="492" t="str" cm="1">
        <f t="array" aca="1" ref="DB24" ca="1">IF(INDIRECT($DD$2&amp;$CZ$15&amp;CZ24,1)&lt;&gt;0,INDIRECT($DD$2&amp;$CZ$15&amp;CZ24,1),"-")</f>
        <v>-</v>
      </c>
      <c r="DC24" s="557" t="str">
        <f t="shared" ca="1" si="27"/>
        <v/>
      </c>
      <c r="DD24" s="557" t="str">
        <f t="shared" ca="1" si="17"/>
        <v/>
      </c>
      <c r="DE24" s="492" t="str">
        <f t="shared" ca="1" si="18"/>
        <v/>
      </c>
      <c r="DF24" s="492" t="str">
        <f t="shared" ca="1" si="19"/>
        <v/>
      </c>
      <c r="DG24" s="492" t="str">
        <f t="shared" ca="1" si="20"/>
        <v/>
      </c>
      <c r="DH24" s="492" t="str">
        <f t="shared" ca="1" si="21"/>
        <v/>
      </c>
      <c r="DI24" s="492" t="str">
        <f t="shared" ca="1" si="22"/>
        <v/>
      </c>
      <c r="DJ24" s="492" t="str">
        <f t="shared" ca="1" si="23"/>
        <v/>
      </c>
      <c r="DK24" s="492" t="str">
        <f t="shared" ca="1" si="30"/>
        <v/>
      </c>
      <c r="DL24" s="492" t="str">
        <f t="shared" ca="1" si="24"/>
        <v/>
      </c>
      <c r="DM24" s="492" t="str">
        <f t="shared" ca="1" si="28"/>
        <v/>
      </c>
      <c r="DN24" s="492" t="str">
        <f t="shared" ca="1" si="25"/>
        <v/>
      </c>
      <c r="EQ24" s="469" t="s">
        <v>5510</v>
      </c>
      <c r="ES24" s="504" t="s">
        <v>8160</v>
      </c>
      <c r="ET24" s="507"/>
      <c r="EU24" s="507">
        <v>20</v>
      </c>
      <c r="EW24" s="22" cm="1">
        <f t="array" aca="1" ref="EW24" ca="1">INDIRECT($ET$15&amp;EU24)</f>
        <v>0</v>
      </c>
      <c r="EX24" s="22" cm="1">
        <f t="array" aca="1" ref="EX24" ca="1">INDIRECT($ET$16&amp;EU24)</f>
        <v>0</v>
      </c>
      <c r="EY24" s="22" cm="1">
        <f t="array" aca="1" ref="EY24" ca="1">INDIRECT($ET$17&amp;EU24)</f>
        <v>0</v>
      </c>
      <c r="GC24" s="472" t="s">
        <v>5510</v>
      </c>
      <c r="GE24" s="519" t="s">
        <v>5584</v>
      </c>
      <c r="GF24" s="520" t="s">
        <v>1592</v>
      </c>
      <c r="GG24" s="563"/>
      <c r="GH24" s="522" t="str" cm="1">
        <f t="array" aca="1" ref="GH24" ca="1">IFERROR(
IF(INDIRECT(GE24&amp;GF24)&lt;&gt;0,"sim","não"),
"Erro")</f>
        <v>não</v>
      </c>
      <c r="GI24" s="49"/>
      <c r="GJ24" s="49"/>
      <c r="GK24" s="49"/>
      <c r="GL24" s="553" t="str">
        <f ca="1">IF(GH24&lt;&gt;"sim","-",
IFERROR(
 IF(GP96&lt;&gt;0,
    GP96,
    IF(COUNTIF(DI55:DI57,"")=3,"Negativo",$DI$55&amp;$DI$56&amp;$DI$57)),
$GI$29))</f>
        <v>-</v>
      </c>
      <c r="GN24" s="49"/>
      <c r="GO24" s="49"/>
      <c r="GP24" s="1646"/>
      <c r="GQ24" s="49"/>
      <c r="GR24" s="523" t="str">
        <f ca="1">IF(GH24&lt;&gt;"sim","-",
IF(GL24="Positivo",$HN$40,
IF(GL24="Negativo",$HN$41,$GI$32)))</f>
        <v>-</v>
      </c>
      <c r="GS24" s="523" t="str">
        <f t="shared" ca="1" si="15"/>
        <v>-</v>
      </c>
      <c r="GT24" s="22" t="s">
        <v>8259</v>
      </c>
      <c r="GU24" s="22" t="str" cm="1">
        <f t="array" aca="1" ref="GU24" ca="1">INDIRECT($GT$4&amp;GT24,1)</f>
        <v>-</v>
      </c>
      <c r="GV24" s="1649"/>
      <c r="GW24" s="1649"/>
      <c r="GX24" s="1649"/>
      <c r="GY24" s="1649"/>
      <c r="HA24" s="477" t="s">
        <v>8218</v>
      </c>
      <c r="HB24" s="564" t="s">
        <v>8526</v>
      </c>
      <c r="HJ24" s="25" t="s">
        <v>2039</v>
      </c>
      <c r="HK24" s="25" t="s">
        <v>116</v>
      </c>
      <c r="HL24" s="25" t="s">
        <v>18</v>
      </c>
      <c r="HM24" s="25" t="s">
        <v>5846</v>
      </c>
      <c r="HN24" s="565" t="s">
        <v>5867</v>
      </c>
      <c r="HO24" s="25" t="s">
        <v>5819</v>
      </c>
      <c r="HP24" s="25" t="s">
        <v>5877</v>
      </c>
      <c r="HR24" s="25" t="s">
        <v>7036</v>
      </c>
    </row>
    <row r="25" spans="1:226" x14ac:dyDescent="0.25">
      <c r="A25" s="496" t="str">
        <f>IF('PT&amp;IA'!F15&lt;&gt;"",'PT&amp;IA'!I15&amp;" (reg. "&amp;'PT&amp;IA'!K15&amp;")","")</f>
        <v/>
      </c>
      <c r="B25" s="496" t="str">
        <f>IF('PT&amp;IA'!J15&lt;&gt;"",'PT&amp;IA'!J15,"")</f>
        <v/>
      </c>
      <c r="G25" s="497">
        <v>53</v>
      </c>
      <c r="H25" s="498" t="str" cm="1">
        <f t="array" aca="1" ref="H25" ca="1">IF(
OR(INDIRECT($F$2&amp;$G$2&amp;$G25,1)&lt;&gt;"",INDIRECT($F$2&amp;$H$2&amp;G25,1)&lt;&gt;""),
INDIRECT($F$2&amp;$H$2&amp;G25,1),
"")</f>
        <v/>
      </c>
      <c r="I25" s="498" t="str">
        <f ca="1">IFERROR(
VLOOKUP(SEARCH("-",Calculos!$H25,1)-1,$K$3:$L$9,2,0)&amp;Calculos!$H25,"")</f>
        <v/>
      </c>
      <c r="N25" s="499" t="str">
        <f ca="1">IFERROR(
IF(ISERROR(VLOOKUP(I25,tb_componentes_proibidos[[n_cas_corrigido]:[Componente_proibido]],1,0)),"",$H25),"")</f>
        <v/>
      </c>
      <c r="O25" s="499" t="str" cm="1">
        <f t="array" aca="1" ref="O25" ca="1">IFERROR(
INDEX($N$4:$N$43,MATCH(0,INDEX(COUNTIF($O$1:O24,$N$4:$N$43),),)),"")</f>
        <v/>
      </c>
      <c r="P25" s="499" t="str">
        <f ca="1">IFERROR(
VLOOKUP(O25,tb_componentes_proibidos[[n_cas]:[Componente_proibido]],3,0),"")</f>
        <v/>
      </c>
      <c r="Q25" s="499" t="str">
        <f t="shared" ca="1" si="4"/>
        <v/>
      </c>
      <c r="R25" s="499" t="str">
        <f t="shared" ca="1" si="5"/>
        <v/>
      </c>
      <c r="U25" s="501" cm="1">
        <f t="array" aca="1" ref="U25" ca="1">INDIRECT($F$2&amp;$U$2&amp;G25,1)</f>
        <v>0</v>
      </c>
      <c r="V25" s="502" t="str">
        <f ca="1">IF(H25&lt;&gt;"",
IFERROR(
VLOOKUP(I25,tb_ingredientes[[n_cas_corrigido]:[ingrediente_ativo]],2,0),
IFERROR(VLOOKUP(I25,tb_componentes[[n_cas_corrigido]:[Componente]],2,0),"Informar nome do componente")),"")</f>
        <v/>
      </c>
      <c r="W25" s="502" t="str">
        <f t="shared" ca="1" si="0"/>
        <v/>
      </c>
      <c r="X25" s="492" cm="1">
        <f t="array" aca="1" ref="X25" ca="1">IF(Y25=1,INDIRECT($F$2&amp;$X$2&amp;G25,1),0)</f>
        <v>0</v>
      </c>
      <c r="Y25" s="492" cm="1">
        <f t="array" aca="1" ref="Y25" ca="1">IF(INDIRECT($F$2&amp;$Y$2&amp;G25,1)="Sim",1,0)</f>
        <v>0</v>
      </c>
      <c r="Z25" s="492" t="str">
        <f ca="1">IF(U25="sim",Calculos!V25&amp;" - "&amp;X25&amp;" "&amp;$AE$10&amp;" ("&amp;IFERROR(TRUNC(W25,4)*100,"")&amp;"%)","")</f>
        <v/>
      </c>
      <c r="AA25" s="492" t="str" cm="1">
        <f t="array" aca="1" ref="AA25" ca="1">IFERROR(
INDEX($Z$4:$Z$43,MATCH(0,INDEX(COUNTIF($AA$1:AA24,$Z$4:$Z$43),),)),"")</f>
        <v/>
      </c>
      <c r="AB25" s="492" t="str">
        <f t="shared" ca="1" si="1"/>
        <v/>
      </c>
      <c r="AC25" s="492" t="str" cm="1">
        <f t="array" aca="1" ref="AC25" ca="1">IF(INDIRECT($F$2&amp;$AC$2&amp;G25)&lt;&gt;0,INDIRECT($F$2&amp;$AC$2&amp;G25),"")</f>
        <v/>
      </c>
      <c r="AF25" s="470" t="s">
        <v>5510</v>
      </c>
      <c r="AG25" s="492" t="str">
        <f t="shared" ca="1" si="29"/>
        <v/>
      </c>
      <c r="AH25" s="492" t="str" cm="1">
        <f t="array" aca="1" ref="AH25" ca="1">IF(INDIRECT($AH$19&amp;"I"&amp;AI25,1)=0,"",INDIRECT($AH$19&amp;"I"&amp;AI25,1)&amp;" (reg. "&amp;INDIRECT($AH$19&amp;"K"&amp;AI25,1)&amp;")"&amp;CHAR(10))</f>
        <v/>
      </c>
      <c r="AI25" s="476">
        <v>15</v>
      </c>
      <c r="AK25" s="470" t="s">
        <v>5510</v>
      </c>
      <c r="AN25" s="476">
        <v>40</v>
      </c>
      <c r="AO25" s="492" t="str" cm="1">
        <f t="array" aca="1" ref="AO25" ca="1">IF(INDIRECT($AN$2&amp;$AO$2&amp;AN25,1)&lt;&gt;0,
INDIRECT($AN$2&amp;$AO$2&amp;AN25,1),
IF((COUNTA(AO26:$AO$34)-COUNTIF(AO26:$AO$34,""))=0,"","# Id não informado #"))</f>
        <v/>
      </c>
      <c r="AP25" s="492" t="str" cm="1">
        <f t="array" aca="1" ref="AP25" ca="1">IFERROR(
INDEX($AO$4:$AO$33,MATCH(0,INDEX(COUNTIF($AP$1:AP24,$AO$4:$AO$33),),)),"")</f>
        <v/>
      </c>
      <c r="AR25" s="470" t="s">
        <v>5510</v>
      </c>
      <c r="AV25" s="469" t="s">
        <v>5510</v>
      </c>
      <c r="AW25" s="479" t="s">
        <v>5667</v>
      </c>
      <c r="AY25" s="20" t="s">
        <v>5668</v>
      </c>
      <c r="AZ25" s="20" t="s">
        <v>2034</v>
      </c>
      <c r="BB25" s="469" t="s">
        <v>5510</v>
      </c>
      <c r="BF25" s="469" t="s">
        <v>5510</v>
      </c>
      <c r="BQ25" s="20"/>
      <c r="BT25" s="372"/>
      <c r="BU25" s="472"/>
      <c r="BV25" s="472"/>
      <c r="BW25" s="472"/>
      <c r="BX25" s="472"/>
      <c r="BY25" s="372"/>
      <c r="BZ25" s="372"/>
      <c r="CA25" s="372"/>
      <c r="CE25" s="372"/>
      <c r="CF25" s="472"/>
      <c r="CG25" s="472"/>
      <c r="CH25" s="472"/>
      <c r="CI25" s="472"/>
      <c r="CJ25" s="372"/>
      <c r="CK25" s="372"/>
      <c r="CL25" s="372"/>
      <c r="CU25" s="469" t="s">
        <v>5510</v>
      </c>
      <c r="CV25" s="372"/>
      <c r="CW25" s="492" t="s">
        <v>5775</v>
      </c>
      <c r="CX25" s="492">
        <f t="shared" si="16"/>
        <v>41</v>
      </c>
      <c r="CY25" s="480">
        <f>CZ11</f>
        <v>30</v>
      </c>
      <c r="CZ25" s="480">
        <f>CY25</f>
        <v>30</v>
      </c>
      <c r="DA25" s="492" t="s">
        <v>80</v>
      </c>
      <c r="DB25" s="492" t="s">
        <v>80</v>
      </c>
      <c r="DC25" s="557" t="str">
        <f t="shared" ca="1" si="27"/>
        <v/>
      </c>
      <c r="DD25" s="557" t="str">
        <f t="shared" ca="1" si="17"/>
        <v/>
      </c>
      <c r="DE25" s="492" t="str">
        <f t="shared" ca="1" si="18"/>
        <v/>
      </c>
      <c r="DF25" s="492" t="str">
        <f t="shared" ca="1" si="19"/>
        <v/>
      </c>
      <c r="DG25" s="492" t="str">
        <f t="shared" ca="1" si="20"/>
        <v/>
      </c>
      <c r="DH25" s="492" t="str">
        <f t="shared" ca="1" si="21"/>
        <v/>
      </c>
      <c r="DI25" s="492" t="str">
        <f t="shared" ca="1" si="22"/>
        <v/>
      </c>
      <c r="DJ25" s="492" t="str">
        <f ca="1">IFERROR(DH25/DF25,"")</f>
        <v/>
      </c>
      <c r="DK25" s="492" t="str">
        <f t="shared" ca="1" si="30"/>
        <v/>
      </c>
      <c r="DL25" s="492" t="str">
        <f t="shared" ca="1" si="24"/>
        <v/>
      </c>
      <c r="DM25" s="492" t="str">
        <f t="shared" ca="1" si="28"/>
        <v/>
      </c>
      <c r="DN25" s="492" t="str">
        <f t="shared" ca="1" si="25"/>
        <v/>
      </c>
      <c r="EQ25" s="469" t="s">
        <v>5510</v>
      </c>
      <c r="ES25" s="504" t="s">
        <v>8160</v>
      </c>
      <c r="ET25" s="507"/>
      <c r="EU25" s="507">
        <v>21</v>
      </c>
      <c r="EW25" s="22" cm="1">
        <f t="array" aca="1" ref="EW25" ca="1">INDIRECT($ET$15&amp;EU25)</f>
        <v>0</v>
      </c>
      <c r="EX25" s="22" cm="1">
        <f t="array" aca="1" ref="EX25" ca="1">INDIRECT($ET$16&amp;EU25)</f>
        <v>0</v>
      </c>
      <c r="EY25" s="22" cm="1">
        <f t="array" aca="1" ref="EY25" ca="1">INDIRECT($ET$17&amp;EU25)</f>
        <v>0</v>
      </c>
      <c r="GC25" s="472" t="s">
        <v>5510</v>
      </c>
      <c r="GE25" s="519" t="s">
        <v>5585</v>
      </c>
      <c r="GF25" s="520" t="s">
        <v>1592</v>
      </c>
      <c r="GG25" s="566"/>
      <c r="GH25" s="522" t="str" cm="1">
        <f t="array" aca="1" ref="GH25" ca="1">IFERROR(
IF(INDIRECT(GE25&amp;GF25)&lt;&gt;0,"sim","não"),
"Erro")</f>
        <v>não</v>
      </c>
      <c r="GI25" s="567"/>
      <c r="GJ25" s="567"/>
      <c r="GK25" s="567"/>
      <c r="GL25" s="553" t="str">
        <f ca="1">IF(GH25&lt;&gt;"sim","-",
IFERROR(
 IF(GP97&lt;&gt;0,
    GP97,
    IF(COUNTIF('Calculos(2)'!DI55:DI57,"")=3,"Negativo",'Calculos(2)'!$DI$55&amp;'Calculos(2)'!$DI$56&amp;'Calculos(2)'!$DI$57)),
$GI$29))</f>
        <v>-</v>
      </c>
      <c r="GN25" s="567"/>
      <c r="GO25" s="567"/>
      <c r="GP25" s="1646"/>
      <c r="GQ25" s="567"/>
      <c r="GR25" s="523" t="str">
        <f ca="1">IF(GH25&lt;&gt;"sim","-",
IF(GL25="Positivo",$HN$40,
IF(GL25="Negativo",$HN$41,$GI$32)))</f>
        <v>-</v>
      </c>
      <c r="GS25" s="523" t="str">
        <f t="shared" ca="1" si="15"/>
        <v>-</v>
      </c>
      <c r="GT25" s="22" t="s">
        <v>8260</v>
      </c>
      <c r="GU25" s="22" t="str" cm="1">
        <f t="array" aca="1" ref="GU25" ca="1">INDIRECT($GT$4&amp;GT25,1)</f>
        <v>-</v>
      </c>
      <c r="GV25" s="1649"/>
      <c r="GW25" s="1649"/>
      <c r="GX25" s="1649"/>
      <c r="GY25" s="1649"/>
      <c r="HA25" s="477" t="s">
        <v>8525</v>
      </c>
      <c r="HB25" s="524" t="str">
        <f ca="1">_xlfn.TEXTJOIN(", "&amp;CHAR(10),TRUE,HF32:HF71)</f>
        <v>-</v>
      </c>
      <c r="HJ25" s="501">
        <v>1</v>
      </c>
      <c r="HK25" s="501" t="s">
        <v>5849</v>
      </c>
      <c r="HL25" s="518" t="s">
        <v>223</v>
      </c>
      <c r="HM25" s="568" t="s">
        <v>5821</v>
      </c>
      <c r="HN25" s="518" t="s">
        <v>5821</v>
      </c>
      <c r="HO25" s="569" t="s">
        <v>5885</v>
      </c>
      <c r="HP25" s="492" t="s">
        <v>5878</v>
      </c>
      <c r="HR25" s="492" t="s">
        <v>10</v>
      </c>
    </row>
    <row r="26" spans="1:226" x14ac:dyDescent="0.25">
      <c r="A26" s="496" t="str">
        <f>IF('PT&amp;IA'!F16&lt;&gt;"",'PT&amp;IA'!I16&amp;" (reg. "&amp;'PT&amp;IA'!K16&amp;")","")</f>
        <v/>
      </c>
      <c r="B26" s="496" t="str">
        <f>IF('PT&amp;IA'!J16&lt;&gt;"",'PT&amp;IA'!J16,"")</f>
        <v/>
      </c>
      <c r="G26" s="497">
        <v>54</v>
      </c>
      <c r="H26" s="498" t="str" cm="1">
        <f t="array" aca="1" ref="H26" ca="1">IF(
OR(INDIRECT($F$2&amp;$G$2&amp;$G26,1)&lt;&gt;"",INDIRECT($F$2&amp;$H$2&amp;G26,1)&lt;&gt;""),
INDIRECT($F$2&amp;$H$2&amp;G26,1),
"")</f>
        <v/>
      </c>
      <c r="I26" s="498" t="str">
        <f ca="1">IFERROR(
VLOOKUP(SEARCH("-",Calculos!$H26,1)-1,$K$3:$L$9,2,0)&amp;Calculos!$H26,"")</f>
        <v/>
      </c>
      <c r="N26" s="499" t="str">
        <f ca="1">IFERROR(
IF(ISERROR(VLOOKUP(I26,tb_componentes_proibidos[[n_cas_corrigido]:[Componente_proibido]],1,0)),"",$H26),"")</f>
        <v/>
      </c>
      <c r="O26" s="499" t="str" cm="1">
        <f t="array" aca="1" ref="O26" ca="1">IFERROR(
INDEX($N$4:$N$43,MATCH(0,INDEX(COUNTIF($O$1:O25,$N$4:$N$43),),)),"")</f>
        <v/>
      </c>
      <c r="P26" s="499" t="str">
        <f ca="1">IFERROR(
VLOOKUP(O26,tb_componentes_proibidos[[n_cas]:[Componente_proibido]],3,0),"")</f>
        <v/>
      </c>
      <c r="Q26" s="499" t="str">
        <f t="shared" ca="1" si="4"/>
        <v/>
      </c>
      <c r="R26" s="499" t="str">
        <f t="shared" ca="1" si="5"/>
        <v/>
      </c>
      <c r="U26" s="501" cm="1">
        <f t="array" aca="1" ref="U26" ca="1">INDIRECT($F$2&amp;$U$2&amp;G26,1)</f>
        <v>0</v>
      </c>
      <c r="V26" s="502" t="str">
        <f ca="1">IF(H26&lt;&gt;"",
IFERROR(
VLOOKUP(I26,tb_ingredientes[[n_cas_corrigido]:[ingrediente_ativo]],2,0),
IFERROR(VLOOKUP(I26,tb_componentes[[n_cas_corrigido]:[Componente]],2,0),"Informar nome do componente")),"")</f>
        <v/>
      </c>
      <c r="W26" s="502" t="str">
        <f t="shared" ca="1" si="0"/>
        <v/>
      </c>
      <c r="X26" s="492" cm="1">
        <f t="array" aca="1" ref="X26" ca="1">IF(Y26=1,INDIRECT($F$2&amp;$X$2&amp;G26,1),0)</f>
        <v>0</v>
      </c>
      <c r="Y26" s="492" cm="1">
        <f t="array" aca="1" ref="Y26" ca="1">IF(INDIRECT($F$2&amp;$Y$2&amp;G26,1)="Sim",1,0)</f>
        <v>0</v>
      </c>
      <c r="Z26" s="492" t="str">
        <f ca="1">IF(U26="sim",Calculos!V26&amp;" - "&amp;X26&amp;" "&amp;$AE$10&amp;" ("&amp;IFERROR(TRUNC(W26,4)*100,"")&amp;"%)","")</f>
        <v/>
      </c>
      <c r="AA26" s="492" t="str" cm="1">
        <f t="array" aca="1" ref="AA26" ca="1">IFERROR(
INDEX($Z$4:$Z$43,MATCH(0,INDEX(COUNTIF($AA$1:AA25,$Z$4:$Z$43),),)),"")</f>
        <v/>
      </c>
      <c r="AB26" s="492" t="str">
        <f t="shared" ca="1" si="1"/>
        <v/>
      </c>
      <c r="AC26" s="492" t="str" cm="1">
        <f t="array" aca="1" ref="AC26" ca="1">IF(INDIRECT($F$2&amp;$AC$2&amp;G26)&lt;&gt;0,INDIRECT($F$2&amp;$AC$2&amp;G26),"")</f>
        <v/>
      </c>
      <c r="AF26" s="470" t="s">
        <v>5510</v>
      </c>
      <c r="AG26" s="492" t="str">
        <f t="shared" ca="1" si="29"/>
        <v/>
      </c>
      <c r="AH26" s="492" t="str" cm="1">
        <f t="array" aca="1" ref="AH26" ca="1">IF(INDIRECT($AH$19&amp;"I"&amp;AI26,1)=0,"",INDIRECT($AH$19&amp;"I"&amp;AI26,1)&amp;" (reg. "&amp;INDIRECT($AH$19&amp;"K"&amp;AI26,1)&amp;")"&amp;CHAR(10))</f>
        <v/>
      </c>
      <c r="AI26" s="476">
        <v>16</v>
      </c>
      <c r="AK26" s="470" t="s">
        <v>5510</v>
      </c>
      <c r="AN26" s="476">
        <v>41</v>
      </c>
      <c r="AO26" s="492" t="str" cm="1">
        <f t="array" aca="1" ref="AO26" ca="1">IF(INDIRECT($AN$2&amp;$AO$2&amp;AN26,1)&lt;&gt;0,
INDIRECT($AN$2&amp;$AO$2&amp;AN26,1),
IF((COUNTA(AO27:$AO$34)-COUNTIF(AO27:$AO$34,""))=0,"","# Id não informado #"))</f>
        <v/>
      </c>
      <c r="AP26" s="492" t="str" cm="1">
        <f t="array" aca="1" ref="AP26" ca="1">IFERROR(
INDEX($AO$4:$AO$33,MATCH(0,INDEX(COUNTIF($AP$1:AP25,$AO$4:$AO$33),),)),"")</f>
        <v/>
      </c>
      <c r="AR26" s="470" t="s">
        <v>5510</v>
      </c>
      <c r="AV26" s="469" t="s">
        <v>5510</v>
      </c>
      <c r="AW26" s="570" t="str">
        <f ca="1">IF($AE$10=Tabelas_fonte!$W$2,"Dose  (ml/animal) (?)",IF($AE$10=Tabelas_fonte!$W$3,"Dose  (g/animal) (?)",$AX$12))</f>
        <v>Aguardando preenchimento da unidade de medida na aba Composição</v>
      </c>
      <c r="AY26" s="20" t="s">
        <v>5669</v>
      </c>
      <c r="AZ26" s="20" t="s">
        <v>2035</v>
      </c>
      <c r="BB26" s="469" t="s">
        <v>5510</v>
      </c>
      <c r="BF26" s="469" t="s">
        <v>5510</v>
      </c>
      <c r="BG26" s="469">
        <v>1</v>
      </c>
      <c r="BH26" s="539" t="s">
        <v>8038</v>
      </c>
      <c r="BI26" s="539">
        <f>BI21+$BO$5</f>
        <v>30</v>
      </c>
      <c r="BJ26" s="539" cm="1">
        <f t="array" aca="1" ref="BJ26" ca="1">INDIRECT($BM$2&amp;BJ$7&amp;$BI26,1)</f>
        <v>0</v>
      </c>
      <c r="BK26" s="539" cm="1">
        <f t="array" aca="1" ref="BK26" ca="1">INDIRECT($BM$2&amp;BK$7&amp;$BI26,1)</f>
        <v>0</v>
      </c>
      <c r="BL26" s="539" cm="1">
        <f t="array" aca="1" ref="BL26" ca="1">INDIRECT($BM$2&amp;BL$7&amp;$BI26,1)</f>
        <v>0</v>
      </c>
      <c r="BM26" s="539" cm="1">
        <f t="array" aca="1" ref="BM26" ca="1">INDIRECT($BM$2&amp;BM$7&amp;$BI26,1)</f>
        <v>0</v>
      </c>
      <c r="BN26" s="539" cm="1">
        <f t="array" aca="1" ref="BN26" ca="1">INDIRECT($BM$2&amp;BN$7&amp;$BI26,1)</f>
        <v>0</v>
      </c>
      <c r="BO26" s="539" t="str">
        <f ca="1">IFERROR(BK26/BK$26,"-")</f>
        <v>-</v>
      </c>
      <c r="BP26" s="540" t="s">
        <v>8221</v>
      </c>
      <c r="BQ26" s="20"/>
      <c r="BR26" s="469">
        <v>1</v>
      </c>
      <c r="BS26" s="539" t="s">
        <v>8038</v>
      </c>
      <c r="BT26" s="539">
        <f>BT21+$BO$5</f>
        <v>376</v>
      </c>
      <c r="BU26" s="539" cm="1">
        <f t="array" aca="1" ref="BU26" ca="1">INDIRECT($BM$2&amp;BU$7&amp;$BT26,1)</f>
        <v>0</v>
      </c>
      <c r="BV26" s="539" cm="1">
        <f t="array" aca="1" ref="BV26" ca="1">INDIRECT($BM$2&amp;BV$7&amp;$BT26,1)</f>
        <v>0</v>
      </c>
      <c r="BW26" s="539" cm="1">
        <f t="array" aca="1" ref="BW26" ca="1">INDIRECT($BM$2&amp;BW$7&amp;$BT26,1)</f>
        <v>0</v>
      </c>
      <c r="BX26" s="539" cm="1">
        <f t="array" aca="1" ref="BX26" ca="1">INDIRECT($BM$2&amp;BX$7&amp;$BT26,1)</f>
        <v>0</v>
      </c>
      <c r="BY26" s="539" cm="1">
        <f t="array" aca="1" ref="BY26" ca="1">INDIRECT($BM$2&amp;BY$7&amp;$BT26,1)</f>
        <v>0</v>
      </c>
      <c r="BZ26" s="539" t="str">
        <f ca="1">IFERROR(BV26/BV$26,"-")</f>
        <v>-</v>
      </c>
      <c r="CA26" s="540" t="s">
        <v>8221</v>
      </c>
      <c r="CC26" s="469">
        <v>1</v>
      </c>
      <c r="CD26" s="539" t="s">
        <v>8038</v>
      </c>
      <c r="CE26" s="539">
        <f>CE21+$BO$5</f>
        <v>722</v>
      </c>
      <c r="CF26" s="539" cm="1">
        <f t="array" aca="1" ref="CF26" ca="1">INDIRECT($BM$2&amp;CF$7&amp;$CE26,1)</f>
        <v>0</v>
      </c>
      <c r="CG26" s="539" cm="1">
        <f t="array" aca="1" ref="CG26" ca="1">INDIRECT($BM$2&amp;CG$7&amp;$CE26,1)</f>
        <v>0</v>
      </c>
      <c r="CH26" s="539" cm="1">
        <f t="array" aca="1" ref="CH26" ca="1">INDIRECT($BM$2&amp;CH$7&amp;$CE26,1)</f>
        <v>0</v>
      </c>
      <c r="CI26" s="539" cm="1">
        <f t="array" aca="1" ref="CI26" ca="1">INDIRECT($BM$2&amp;CI$7&amp;$CE26,1)</f>
        <v>0</v>
      </c>
      <c r="CJ26" s="539" cm="1">
        <f t="array" aca="1" ref="CJ26" ca="1">INDIRECT($BM$2&amp;CJ$7&amp;$CE26,1)</f>
        <v>0</v>
      </c>
      <c r="CK26" s="539" t="str">
        <f ca="1">IFERROR(CG26/CG$26,"-")</f>
        <v>-</v>
      </c>
      <c r="CL26" s="540" t="s">
        <v>8221</v>
      </c>
      <c r="CP26" s="571" t="s">
        <v>8072</v>
      </c>
      <c r="CU26" s="469" t="s">
        <v>5510</v>
      </c>
      <c r="CV26" s="372"/>
      <c r="CW26" s="372"/>
      <c r="CX26" s="372"/>
      <c r="CY26" s="372"/>
      <c r="CZ26" s="372"/>
      <c r="DA26" s="372"/>
      <c r="DB26" s="372"/>
      <c r="DC26" s="372"/>
      <c r="DD26" s="372"/>
      <c r="DE26" s="372"/>
      <c r="DF26" s="372"/>
      <c r="DG26" s="372"/>
      <c r="DH26" s="372"/>
      <c r="DI26" s="372"/>
      <c r="DJ26" s="372"/>
      <c r="DK26" s="372"/>
      <c r="DL26" s="372"/>
      <c r="DM26" s="372"/>
      <c r="DN26" s="372"/>
      <c r="EQ26" s="469" t="s">
        <v>5510</v>
      </c>
      <c r="ES26" s="504" t="s">
        <v>8160</v>
      </c>
      <c r="ET26" s="507"/>
      <c r="EU26" s="507">
        <v>22</v>
      </c>
      <c r="EW26" s="22" cm="1">
        <f t="array" aca="1" ref="EW26" ca="1">INDIRECT($ET$15&amp;EU26)</f>
        <v>0</v>
      </c>
      <c r="EX26" s="22" cm="1">
        <f t="array" aca="1" ref="EX26" ca="1">INDIRECT($ET$16&amp;EU26)</f>
        <v>0</v>
      </c>
      <c r="EY26" s="22" cm="1">
        <f t="array" aca="1" ref="EY26" ca="1">INDIRECT($ET$17&amp;EU26)</f>
        <v>0</v>
      </c>
      <c r="GC26" s="472" t="s">
        <v>5510</v>
      </c>
      <c r="GK26" s="572"/>
      <c r="GQ26" s="475"/>
      <c r="GT26" s="20" t="s">
        <v>8262</v>
      </c>
      <c r="HJ26" s="501">
        <v>2</v>
      </c>
      <c r="HK26" s="501" t="s">
        <v>5849</v>
      </c>
      <c r="HL26" s="518" t="s">
        <v>201</v>
      </c>
      <c r="HM26" s="568" t="s">
        <v>5824</v>
      </c>
      <c r="HN26" s="518" t="s">
        <v>5824</v>
      </c>
      <c r="HO26" s="569" t="s">
        <v>5886</v>
      </c>
      <c r="HP26" s="492" t="s">
        <v>5879</v>
      </c>
      <c r="HR26" s="492" t="s">
        <v>5878</v>
      </c>
    </row>
    <row r="27" spans="1:226" x14ac:dyDescent="0.25">
      <c r="A27" s="496" t="str">
        <f>IF('PT&amp;IA'!F17&lt;&gt;"",'PT&amp;IA'!I17&amp;" (reg. "&amp;'PT&amp;IA'!K17&amp;")","")</f>
        <v/>
      </c>
      <c r="B27" s="496" t="str">
        <f>IF('PT&amp;IA'!J17&lt;&gt;"",'PT&amp;IA'!J17,"")</f>
        <v/>
      </c>
      <c r="G27" s="497">
        <v>55</v>
      </c>
      <c r="H27" s="498" t="str" cm="1">
        <f t="array" aca="1" ref="H27" ca="1">IF(
OR(INDIRECT($F$2&amp;$G$2&amp;$G27,1)&lt;&gt;"",INDIRECT($F$2&amp;$H$2&amp;G27,1)&lt;&gt;""),
INDIRECT($F$2&amp;$H$2&amp;G27,1),
"")</f>
        <v/>
      </c>
      <c r="I27" s="498" t="str">
        <f ca="1">IFERROR(
VLOOKUP(SEARCH("-",Calculos!$H27,1)-1,$K$3:$L$9,2,0)&amp;Calculos!$H27,"")</f>
        <v/>
      </c>
      <c r="N27" s="499" t="str">
        <f ca="1">IFERROR(
IF(ISERROR(VLOOKUP(I27,tb_componentes_proibidos[[n_cas_corrigido]:[Componente_proibido]],1,0)),"",$H27),"")</f>
        <v/>
      </c>
      <c r="O27" s="499" t="str" cm="1">
        <f t="array" aca="1" ref="O27" ca="1">IFERROR(
INDEX($N$4:$N$43,MATCH(0,INDEX(COUNTIF($O$1:O26,$N$4:$N$43),),)),"")</f>
        <v/>
      </c>
      <c r="P27" s="499" t="str">
        <f ca="1">IFERROR(
VLOOKUP(O27,tb_componentes_proibidos[[n_cas]:[Componente_proibido]],3,0),"")</f>
        <v/>
      </c>
      <c r="Q27" s="499" t="str">
        <f t="shared" ca="1" si="4"/>
        <v/>
      </c>
      <c r="R27" s="499" t="str">
        <f t="shared" ca="1" si="5"/>
        <v/>
      </c>
      <c r="U27" s="501" cm="1">
        <f t="array" aca="1" ref="U27" ca="1">INDIRECT($F$2&amp;$U$2&amp;G27,1)</f>
        <v>0</v>
      </c>
      <c r="V27" s="502" t="str">
        <f ca="1">IF(H27&lt;&gt;"",
IFERROR(
VLOOKUP(I27,tb_ingredientes[[n_cas_corrigido]:[ingrediente_ativo]],2,0),
IFERROR(VLOOKUP(I27,tb_componentes[[n_cas_corrigido]:[Componente]],2,0),"Informar nome do componente")),"")</f>
        <v/>
      </c>
      <c r="W27" s="502" t="str">
        <f t="shared" ca="1" si="0"/>
        <v/>
      </c>
      <c r="X27" s="492" cm="1">
        <f t="array" aca="1" ref="X27" ca="1">IF(Y27=1,INDIRECT($F$2&amp;$X$2&amp;G27,1),0)</f>
        <v>0</v>
      </c>
      <c r="Y27" s="492" cm="1">
        <f t="array" aca="1" ref="Y27" ca="1">IF(INDIRECT($F$2&amp;$Y$2&amp;G27,1)="Sim",1,0)</f>
        <v>0</v>
      </c>
      <c r="Z27" s="492" t="str">
        <f ca="1">IF(U27="sim",Calculos!V27&amp;" - "&amp;X27&amp;" "&amp;$AE$10&amp;" ("&amp;IFERROR(TRUNC(W27,4)*100,"")&amp;"%)","")</f>
        <v/>
      </c>
      <c r="AA27" s="492" t="str" cm="1">
        <f t="array" aca="1" ref="AA27" ca="1">IFERROR(
INDEX($Z$4:$Z$43,MATCH(0,INDEX(COUNTIF($AA$1:AA26,$Z$4:$Z$43),),)),"")</f>
        <v/>
      </c>
      <c r="AB27" s="492" t="str">
        <f t="shared" ca="1" si="1"/>
        <v/>
      </c>
      <c r="AC27" s="492" t="str" cm="1">
        <f t="array" aca="1" ref="AC27" ca="1">IF(INDIRECT($F$2&amp;$AC$2&amp;G27)&lt;&gt;0,INDIRECT($F$2&amp;$AC$2&amp;G27),"")</f>
        <v/>
      </c>
      <c r="AF27" s="470" t="s">
        <v>5510</v>
      </c>
      <c r="AG27" s="492" t="str">
        <f t="shared" ca="1" si="29"/>
        <v/>
      </c>
      <c r="AH27" s="492" t="str" cm="1">
        <f t="array" aca="1" ref="AH27" ca="1">IF(INDIRECT($AH$19&amp;"I"&amp;AI27,1)=0,"",INDIRECT($AH$19&amp;"I"&amp;AI27,1)&amp;" (reg. "&amp;INDIRECT($AH$19&amp;"K"&amp;AI27,1)&amp;")"&amp;CHAR(10))</f>
        <v/>
      </c>
      <c r="AI27" s="476">
        <v>17</v>
      </c>
      <c r="AK27" s="470" t="s">
        <v>5510</v>
      </c>
      <c r="AN27" s="476">
        <v>42</v>
      </c>
      <c r="AO27" s="492" t="str" cm="1">
        <f t="array" aca="1" ref="AO27" ca="1">IF(INDIRECT($AN$2&amp;$AO$2&amp;AN27,1)&lt;&gt;0,
INDIRECT($AN$2&amp;$AO$2&amp;AN27,1),
IF((COUNTA(AO28:$AO$34)-COUNTIF(AO28:$AO$34,""))=0,"","# Id não informado #"))</f>
        <v/>
      </c>
      <c r="AP27" s="492" t="str" cm="1">
        <f t="array" aca="1" ref="AP27" ca="1">IFERROR(
INDEX($AO$4:$AO$33,MATCH(0,INDEX(COUNTIF($AP$1:AP26,$AO$4:$AO$33),),)),"")</f>
        <v/>
      </c>
      <c r="AR27" s="470" t="s">
        <v>5510</v>
      </c>
      <c r="AV27" s="469" t="s">
        <v>5510</v>
      </c>
      <c r="AW27" s="469"/>
      <c r="BB27" s="469" t="s">
        <v>5510</v>
      </c>
      <c r="BF27" s="469" t="s">
        <v>5510</v>
      </c>
      <c r="BG27" s="469">
        <v>2</v>
      </c>
      <c r="BH27" s="539" t="s">
        <v>8038</v>
      </c>
      <c r="BI27" s="539">
        <f>BI26+1</f>
        <v>31</v>
      </c>
      <c r="BJ27" s="539" cm="1">
        <f t="array" aca="1" ref="BJ27" ca="1">INDIRECT($BM$2&amp;BJ$7&amp;$BI27,1)</f>
        <v>0</v>
      </c>
      <c r="BK27" s="539" cm="1">
        <f t="array" aca="1" ref="BK27" ca="1">INDIRECT($BM$2&amp;BK$7&amp;$BI27,1)</f>
        <v>0</v>
      </c>
      <c r="BL27" s="539" cm="1">
        <f t="array" aca="1" ref="BL27" ca="1">INDIRECT($BM$2&amp;BL$7&amp;$BI27,1)</f>
        <v>0</v>
      </c>
      <c r="BM27" s="539" cm="1">
        <f t="array" aca="1" ref="BM27" ca="1">INDIRECT($BM$2&amp;BM$7&amp;$BI27,1)</f>
        <v>0</v>
      </c>
      <c r="BN27" s="539" cm="1">
        <f t="array" aca="1" ref="BN27" ca="1">INDIRECT($BM$2&amp;BN$7&amp;$BI27,1)</f>
        <v>0</v>
      </c>
      <c r="BO27" s="539" t="str">
        <f t="shared" ref="BO27:BO37" ca="1" si="31">IF(BK27=0,"-",IFERROR(BK27/BK$26,"-"))</f>
        <v>-</v>
      </c>
      <c r="BP27" s="494" t="s">
        <v>8222</v>
      </c>
      <c r="BQ27" s="20"/>
      <c r="BR27" s="469">
        <v>2</v>
      </c>
      <c r="BS27" s="539" t="s">
        <v>8038</v>
      </c>
      <c r="BT27" s="539">
        <f>BT26+1</f>
        <v>377</v>
      </c>
      <c r="BU27" s="539" cm="1">
        <f t="array" aca="1" ref="BU27" ca="1">INDIRECT($BM$2&amp;BU$7&amp;$BT27,1)</f>
        <v>0</v>
      </c>
      <c r="BV27" s="539" cm="1">
        <f t="array" aca="1" ref="BV27" ca="1">INDIRECT($BM$2&amp;BV$7&amp;$BT27,1)</f>
        <v>0</v>
      </c>
      <c r="BW27" s="539" cm="1">
        <f t="array" aca="1" ref="BW27" ca="1">INDIRECT($BM$2&amp;BW$7&amp;$BT27,1)</f>
        <v>0</v>
      </c>
      <c r="BX27" s="539" cm="1">
        <f t="array" aca="1" ref="BX27" ca="1">INDIRECT($BM$2&amp;BX$7&amp;$BT27,1)</f>
        <v>0</v>
      </c>
      <c r="BY27" s="539" cm="1">
        <f t="array" aca="1" ref="BY27" ca="1">INDIRECT($BM$2&amp;BY$7&amp;$BT27,1)</f>
        <v>0</v>
      </c>
      <c r="BZ27" s="539" t="str">
        <f t="shared" ref="BZ27:BZ37" ca="1" si="32">IF(BV27=0,"-",IFERROR(BV27/BV$26,"-"))</f>
        <v>-</v>
      </c>
      <c r="CA27" s="494" t="s">
        <v>8222</v>
      </c>
      <c r="CC27" s="469">
        <v>2</v>
      </c>
      <c r="CD27" s="539" t="s">
        <v>8038</v>
      </c>
      <c r="CE27" s="539">
        <f>CE26+1</f>
        <v>723</v>
      </c>
      <c r="CF27" s="539" cm="1">
        <f t="array" aca="1" ref="CF27" ca="1">INDIRECT($BM$2&amp;CF$7&amp;$CE27,1)</f>
        <v>0</v>
      </c>
      <c r="CG27" s="539" cm="1">
        <f t="array" aca="1" ref="CG27" ca="1">INDIRECT($BM$2&amp;CG$7&amp;$CE27,1)</f>
        <v>0</v>
      </c>
      <c r="CH27" s="539" cm="1">
        <f t="array" aca="1" ref="CH27" ca="1">INDIRECT($BM$2&amp;CH$7&amp;$CE27,1)</f>
        <v>0</v>
      </c>
      <c r="CI27" s="539" cm="1">
        <f t="array" aca="1" ref="CI27" ca="1">INDIRECT($BM$2&amp;CI$7&amp;$CE27,1)</f>
        <v>0</v>
      </c>
      <c r="CJ27" s="539" cm="1">
        <f t="array" aca="1" ref="CJ27" ca="1">INDIRECT($BM$2&amp;CJ$7&amp;$CE27,1)</f>
        <v>0</v>
      </c>
      <c r="CK27" s="539" t="str">
        <f t="shared" ref="CK27:CK37" ca="1" si="33">IF(CG27=0,"-",IFERROR(CG27/CG$26,"-"))</f>
        <v>-</v>
      </c>
      <c r="CL27" s="494" t="s">
        <v>8222</v>
      </c>
      <c r="CO27" s="573" t="s">
        <v>8062</v>
      </c>
      <c r="CP27" s="574"/>
      <c r="CQ27" s="574"/>
      <c r="CR27" s="575"/>
      <c r="CU27" s="469" t="s">
        <v>5510</v>
      </c>
      <c r="CV27" s="372"/>
      <c r="CW27" s="372"/>
      <c r="CX27" s="372"/>
      <c r="CY27" s="372"/>
      <c r="CZ27" s="372"/>
      <c r="DA27" s="372"/>
      <c r="DB27" s="372"/>
      <c r="DC27" s="372"/>
      <c r="DD27" s="372"/>
      <c r="DE27" s="372"/>
      <c r="DF27" s="372"/>
      <c r="DG27" s="372"/>
      <c r="DH27" s="372"/>
      <c r="DI27" s="372"/>
      <c r="DJ27" s="372"/>
      <c r="DK27" s="372"/>
      <c r="DL27" s="372"/>
      <c r="DM27" s="372"/>
      <c r="DN27" s="372"/>
      <c r="EQ27" s="469" t="s">
        <v>5510</v>
      </c>
      <c r="ES27" s="504" t="s">
        <v>8160</v>
      </c>
      <c r="ET27" s="507"/>
      <c r="EU27" s="507">
        <v>23</v>
      </c>
      <c r="EW27" s="22" cm="1">
        <f t="array" aca="1" ref="EW27" ca="1">INDIRECT($ET$15&amp;EU27)</f>
        <v>0</v>
      </c>
      <c r="EX27" s="22" cm="1">
        <f t="array" aca="1" ref="EX27" ca="1">INDIRECT($ET$16&amp;EU27)</f>
        <v>0</v>
      </c>
      <c r="EY27" s="22" cm="1">
        <f t="array" aca="1" ref="EY27" ca="1">INDIRECT($ET$17&amp;EU27)</f>
        <v>0</v>
      </c>
      <c r="GC27" s="472" t="s">
        <v>5510</v>
      </c>
      <c r="GH27" s="477" t="s">
        <v>8218</v>
      </c>
      <c r="GI27" s="564" t="s">
        <v>8219</v>
      </c>
      <c r="GJ27" s="477" t="s">
        <v>8218</v>
      </c>
      <c r="GK27" s="564" t="s">
        <v>2043</v>
      </c>
      <c r="GL27" s="477" t="s">
        <v>7804</v>
      </c>
      <c r="GM27" s="564" t="s">
        <v>8212</v>
      </c>
      <c r="GN27" s="481"/>
      <c r="GQ27" s="481"/>
      <c r="GV27" s="481"/>
      <c r="GW27" s="481"/>
      <c r="GX27" s="481"/>
      <c r="HJ27" s="501">
        <v>3</v>
      </c>
      <c r="HK27" s="501" t="s">
        <v>5849</v>
      </c>
      <c r="HL27" s="518" t="s">
        <v>202</v>
      </c>
      <c r="HM27" s="568" t="s">
        <v>5824</v>
      </c>
      <c r="HN27" s="518" t="s">
        <v>5826</v>
      </c>
      <c r="HO27" s="569" t="s">
        <v>5887</v>
      </c>
      <c r="HP27" s="492" t="s">
        <v>5879</v>
      </c>
      <c r="HR27" s="492" t="s">
        <v>5879</v>
      </c>
    </row>
    <row r="28" spans="1:226" x14ac:dyDescent="0.25">
      <c r="A28" s="496" t="str">
        <f>IF('PT&amp;IA'!F18&lt;&gt;"",'PT&amp;IA'!I18&amp;" (reg. "&amp;'PT&amp;IA'!K18&amp;")","")</f>
        <v/>
      </c>
      <c r="B28" s="496" t="str">
        <f>IF('PT&amp;IA'!J18&lt;&gt;"",'PT&amp;IA'!J18,"")</f>
        <v/>
      </c>
      <c r="G28" s="497">
        <v>56</v>
      </c>
      <c r="H28" s="498" t="str" cm="1">
        <f t="array" aca="1" ref="H28" ca="1">IF(
OR(INDIRECT($F$2&amp;$G$2&amp;$G28,1)&lt;&gt;"",INDIRECT($F$2&amp;$H$2&amp;G28,1)&lt;&gt;""),
INDIRECT($F$2&amp;$H$2&amp;G28,1),
"")</f>
        <v/>
      </c>
      <c r="I28" s="498" t="str">
        <f ca="1">IFERROR(
VLOOKUP(SEARCH("-",Calculos!$H28,1)-1,$K$3:$L$9,2,0)&amp;Calculos!$H28,"")</f>
        <v/>
      </c>
      <c r="N28" s="499" t="str">
        <f ca="1">IFERROR(
IF(ISERROR(VLOOKUP(I28,tb_componentes_proibidos[[n_cas_corrigido]:[Componente_proibido]],1,0)),"",$H28),"")</f>
        <v/>
      </c>
      <c r="O28" s="499" t="str" cm="1">
        <f t="array" aca="1" ref="O28" ca="1">IFERROR(
INDEX($N$4:$N$43,MATCH(0,INDEX(COUNTIF($O$1:O27,$N$4:$N$43),),)),"")</f>
        <v/>
      </c>
      <c r="P28" s="499" t="str">
        <f ca="1">IFERROR(
VLOOKUP(O28,tb_componentes_proibidos[[n_cas]:[Componente_proibido]],3,0),"")</f>
        <v/>
      </c>
      <c r="Q28" s="499" t="str">
        <f t="shared" ca="1" si="4"/>
        <v/>
      </c>
      <c r="R28" s="499" t="str">
        <f t="shared" ca="1" si="5"/>
        <v/>
      </c>
      <c r="U28" s="501" cm="1">
        <f t="array" aca="1" ref="U28" ca="1">INDIRECT($F$2&amp;$U$2&amp;G28,1)</f>
        <v>0</v>
      </c>
      <c r="V28" s="502" t="str">
        <f ca="1">IF(H28&lt;&gt;"",
IFERROR(
VLOOKUP(I28,tb_ingredientes[[n_cas_corrigido]:[ingrediente_ativo]],2,0),
IFERROR(VLOOKUP(I28,tb_componentes[[n_cas_corrigido]:[Componente]],2,0),"Informar nome do componente")),"")</f>
        <v/>
      </c>
      <c r="W28" s="502" t="str">
        <f t="shared" ca="1" si="0"/>
        <v/>
      </c>
      <c r="X28" s="492" cm="1">
        <f t="array" aca="1" ref="X28" ca="1">IF(Y28=1,INDIRECT($F$2&amp;$X$2&amp;G28,1),0)</f>
        <v>0</v>
      </c>
      <c r="Y28" s="492" cm="1">
        <f t="array" aca="1" ref="Y28" ca="1">IF(INDIRECT($F$2&amp;$Y$2&amp;G28,1)="Sim",1,0)</f>
        <v>0</v>
      </c>
      <c r="Z28" s="492" t="str">
        <f ca="1">IF(U28="sim",Calculos!V28&amp;" - "&amp;X28&amp;" "&amp;$AE$10&amp;" ("&amp;IFERROR(TRUNC(W28,4)*100,"")&amp;"%)","")</f>
        <v/>
      </c>
      <c r="AA28" s="492" t="str" cm="1">
        <f t="array" aca="1" ref="AA28" ca="1">IFERROR(
INDEX($Z$4:$Z$43,MATCH(0,INDEX(COUNTIF($AA$1:AA27,$Z$4:$Z$43),),)),"")</f>
        <v/>
      </c>
      <c r="AB28" s="492" t="str">
        <f t="shared" ca="1" si="1"/>
        <v/>
      </c>
      <c r="AC28" s="492" t="str" cm="1">
        <f t="array" aca="1" ref="AC28" ca="1">IF(INDIRECT($F$2&amp;$AC$2&amp;G28)&lt;&gt;0,INDIRECT($F$2&amp;$AC$2&amp;G28),"")</f>
        <v/>
      </c>
      <c r="AF28" s="470" t="s">
        <v>5510</v>
      </c>
      <c r="AG28" s="492" t="str">
        <f t="shared" ca="1" si="29"/>
        <v/>
      </c>
      <c r="AH28" s="492" t="str" cm="1">
        <f t="array" aca="1" ref="AH28" ca="1">IF(INDIRECT($AH$19&amp;"I"&amp;AI28,1)=0,"",INDIRECT($AH$19&amp;"I"&amp;AI28,1)&amp;" (reg. "&amp;INDIRECT($AH$19&amp;"K"&amp;AI28,1)&amp;")"&amp;CHAR(10))</f>
        <v/>
      </c>
      <c r="AI28" s="476">
        <v>18</v>
      </c>
      <c r="AK28" s="470" t="s">
        <v>5510</v>
      </c>
      <c r="AN28" s="476">
        <v>43</v>
      </c>
      <c r="AO28" s="492" t="str" cm="1">
        <f t="array" aca="1" ref="AO28" ca="1">IF(INDIRECT($AN$2&amp;$AO$2&amp;AN28,1)&lt;&gt;0,
INDIRECT($AN$2&amp;$AO$2&amp;AN28,1),
IF((COUNTA(AO29:$AO$34)-COUNTIF(AO29:$AO$34,""))=0,"","# Id não informado #"))</f>
        <v/>
      </c>
      <c r="AP28" s="492" t="str" cm="1">
        <f t="array" aca="1" ref="AP28" ca="1">IFERROR(
INDEX($AO$4:$AO$33,MATCH(0,INDEX(COUNTIF($AP$1:AP27,$AO$4:$AO$33),),)),"")</f>
        <v/>
      </c>
      <c r="AR28" s="470" t="s">
        <v>5510</v>
      </c>
      <c r="AV28" s="469" t="s">
        <v>5510</v>
      </c>
      <c r="AW28" s="576" t="str">
        <f>$GE$18</f>
        <v>'LLNA(1)'!</v>
      </c>
      <c r="AX28" s="576" t="s">
        <v>7335</v>
      </c>
      <c r="BB28" s="469" t="s">
        <v>5510</v>
      </c>
      <c r="BF28" s="469" t="s">
        <v>5510</v>
      </c>
      <c r="BG28" s="469">
        <v>3</v>
      </c>
      <c r="BH28" s="539" t="s">
        <v>8038</v>
      </c>
      <c r="BI28" s="539">
        <f t="shared" ref="BI28:BI37" si="34">BI27+1</f>
        <v>32</v>
      </c>
      <c r="BJ28" s="539" cm="1">
        <f t="array" aca="1" ref="BJ28" ca="1">INDIRECT($BM$2&amp;BJ$7&amp;$BI28,1)</f>
        <v>0</v>
      </c>
      <c r="BK28" s="539" cm="1">
        <f t="array" aca="1" ref="BK28" ca="1">INDIRECT($BM$2&amp;BK$7&amp;$BI28,1)</f>
        <v>0</v>
      </c>
      <c r="BL28" s="539" cm="1">
        <f t="array" aca="1" ref="BL28" ca="1">INDIRECT($BM$2&amp;BL$7&amp;$BI28,1)</f>
        <v>0</v>
      </c>
      <c r="BM28" s="539" cm="1">
        <f t="array" aca="1" ref="BM28" ca="1">INDIRECT($BM$2&amp;BM$7&amp;$BI28,1)</f>
        <v>0</v>
      </c>
      <c r="BN28" s="539" cm="1">
        <f t="array" aca="1" ref="BN28" ca="1">INDIRECT($BM$2&amp;BN$7&amp;$BI28,1)</f>
        <v>0</v>
      </c>
      <c r="BO28" s="539" t="str">
        <f t="shared" ca="1" si="31"/>
        <v>-</v>
      </c>
      <c r="BP28" s="494" t="s">
        <v>8222</v>
      </c>
      <c r="BQ28" s="20"/>
      <c r="BR28" s="469">
        <v>3</v>
      </c>
      <c r="BS28" s="539" t="s">
        <v>8038</v>
      </c>
      <c r="BT28" s="539">
        <f t="shared" ref="BT28:BT37" si="35">BT27+1</f>
        <v>378</v>
      </c>
      <c r="BU28" s="539" cm="1">
        <f t="array" aca="1" ref="BU28" ca="1">INDIRECT($BM$2&amp;BU$7&amp;$BT28,1)</f>
        <v>0</v>
      </c>
      <c r="BV28" s="539" cm="1">
        <f t="array" aca="1" ref="BV28" ca="1">INDIRECT($BM$2&amp;BV$7&amp;$BT28,1)</f>
        <v>0</v>
      </c>
      <c r="BW28" s="539" cm="1">
        <f t="array" aca="1" ref="BW28" ca="1">INDIRECT($BM$2&amp;BW$7&amp;$BT28,1)</f>
        <v>0</v>
      </c>
      <c r="BX28" s="539" cm="1">
        <f t="array" aca="1" ref="BX28" ca="1">INDIRECT($BM$2&amp;BX$7&amp;$BT28,1)</f>
        <v>0</v>
      </c>
      <c r="BY28" s="539" cm="1">
        <f t="array" aca="1" ref="BY28" ca="1">INDIRECT($BM$2&amp;BY$7&amp;$BT28,1)</f>
        <v>0</v>
      </c>
      <c r="BZ28" s="539" t="str">
        <f t="shared" ca="1" si="32"/>
        <v>-</v>
      </c>
      <c r="CA28" s="494" t="s">
        <v>8222</v>
      </c>
      <c r="CC28" s="469">
        <v>3</v>
      </c>
      <c r="CD28" s="539" t="s">
        <v>8038</v>
      </c>
      <c r="CE28" s="539">
        <f t="shared" ref="CE28:CE37" si="36">CE27+1</f>
        <v>724</v>
      </c>
      <c r="CF28" s="539" cm="1">
        <f t="array" aca="1" ref="CF28" ca="1">INDIRECT($BM$2&amp;CF$7&amp;$CE28,1)</f>
        <v>0</v>
      </c>
      <c r="CG28" s="539" cm="1">
        <f t="array" aca="1" ref="CG28" ca="1">INDIRECT($BM$2&amp;CG$7&amp;$CE28,1)</f>
        <v>0</v>
      </c>
      <c r="CH28" s="539" cm="1">
        <f t="array" aca="1" ref="CH28" ca="1">INDIRECT($BM$2&amp;CH$7&amp;$CE28,1)</f>
        <v>0</v>
      </c>
      <c r="CI28" s="539" cm="1">
        <f t="array" aca="1" ref="CI28" ca="1">INDIRECT($BM$2&amp;CI$7&amp;$CE28,1)</f>
        <v>0</v>
      </c>
      <c r="CJ28" s="539" cm="1">
        <f t="array" aca="1" ref="CJ28" ca="1">INDIRECT($BM$2&amp;CJ$7&amp;$CE28,1)</f>
        <v>0</v>
      </c>
      <c r="CK28" s="539" t="str">
        <f t="shared" ca="1" si="33"/>
        <v>-</v>
      </c>
      <c r="CL28" s="494" t="s">
        <v>8222</v>
      </c>
      <c r="CN28" s="571">
        <f>MATCH(CO28&amp;"-",$BS$1:$BS$325,0)</f>
        <v>10</v>
      </c>
      <c r="CO28" s="577" t="s">
        <v>90</v>
      </c>
      <c r="CP28" s="577" t="str" cm="1">
        <f t="array" aca="1" ref="CP28" ca="1">IF(INDIRECT($CP$26&amp;CN28)=0,"---","Preenchido")</f>
        <v>---</v>
      </c>
      <c r="CQ28" s="577" t="s">
        <v>95</v>
      </c>
      <c r="CR28" s="577" t="str" cm="1">
        <f t="array" aca="1" ref="CR28" ca="1">IF(INDIRECT($CP$26&amp;CS28)=0,"---","Preenchido")</f>
        <v>---</v>
      </c>
      <c r="CS28" s="571">
        <f>MATCH(CQ28&amp;"-",$BS$1:$BS$325,0)</f>
        <v>170</v>
      </c>
      <c r="CU28" s="469" t="s">
        <v>5510</v>
      </c>
      <c r="CV28" s="372"/>
      <c r="CW28" s="470" t="s">
        <v>5779</v>
      </c>
      <c r="CX28" s="480" t="s">
        <v>5780</v>
      </c>
      <c r="CY28" s="480" t="s">
        <v>5735</v>
      </c>
      <c r="CZ28" s="480" t="s">
        <v>5736</v>
      </c>
      <c r="DA28" s="480" t="s">
        <v>5738</v>
      </c>
      <c r="DB28" s="480" t="s">
        <v>5740</v>
      </c>
      <c r="DC28" s="480" t="s">
        <v>6321</v>
      </c>
      <c r="DD28" s="372"/>
      <c r="DE28" s="372"/>
      <c r="DF28" s="372"/>
      <c r="DG28" s="372"/>
      <c r="DH28" s="372"/>
      <c r="DI28" s="372"/>
      <c r="DJ28" s="372"/>
      <c r="DK28" s="372"/>
      <c r="DL28" s="372"/>
      <c r="DM28" s="372"/>
      <c r="DN28" s="372"/>
      <c r="EQ28" s="469" t="s">
        <v>5510</v>
      </c>
      <c r="ES28" s="504" t="s">
        <v>8160</v>
      </c>
      <c r="ET28" s="507"/>
      <c r="EU28" s="507">
        <v>24</v>
      </c>
      <c r="EW28" s="22" cm="1">
        <f t="array" aca="1" ref="EW28" ca="1">INDIRECT($ET$15&amp;EU28)</f>
        <v>0</v>
      </c>
      <c r="EX28" s="22" cm="1">
        <f t="array" aca="1" ref="EX28" ca="1">INDIRECT($ET$16&amp;EU28)</f>
        <v>0</v>
      </c>
      <c r="EY28" s="22" cm="1">
        <f t="array" aca="1" ref="EY28" ca="1">INDIRECT($ET$17&amp;EU28)</f>
        <v>0</v>
      </c>
      <c r="GC28" s="472" t="s">
        <v>5510</v>
      </c>
      <c r="GH28" s="477" t="s">
        <v>8218</v>
      </c>
      <c r="GI28" s="564" t="s">
        <v>8231</v>
      </c>
      <c r="GJ28" s="477" t="s">
        <v>8218</v>
      </c>
      <c r="GK28" s="564" t="s">
        <v>2044</v>
      </c>
      <c r="GL28" s="477" t="s">
        <v>7804</v>
      </c>
      <c r="GM28" s="564" t="s">
        <v>8213</v>
      </c>
      <c r="HJ28" s="501">
        <v>4</v>
      </c>
      <c r="HK28" s="501" t="s">
        <v>5849</v>
      </c>
      <c r="HL28" s="518" t="s">
        <v>5792</v>
      </c>
      <c r="HM28" s="568" t="s">
        <v>5824</v>
      </c>
      <c r="HN28" s="518" t="s">
        <v>5835</v>
      </c>
      <c r="HO28" s="578" t="s">
        <v>7965</v>
      </c>
      <c r="HP28" s="534" t="s">
        <v>5894</v>
      </c>
    </row>
    <row r="29" spans="1:226" x14ac:dyDescent="0.25">
      <c r="A29" s="496" t="str">
        <f>IF('PT&amp;IA'!F19&lt;&gt;"",'PT&amp;IA'!I19&amp;" (reg. "&amp;'PT&amp;IA'!K19&amp;")","")</f>
        <v/>
      </c>
      <c r="B29" s="496" t="str">
        <f>IF('PT&amp;IA'!J19&lt;&gt;"",'PT&amp;IA'!J19,"")</f>
        <v/>
      </c>
      <c r="G29" s="497">
        <v>57</v>
      </c>
      <c r="H29" s="498" t="str" cm="1">
        <f t="array" aca="1" ref="H29" ca="1">IF(
OR(INDIRECT($F$2&amp;$G$2&amp;$G29,1)&lt;&gt;"",INDIRECT($F$2&amp;$H$2&amp;G29,1)&lt;&gt;""),
INDIRECT($F$2&amp;$H$2&amp;G29,1),
"")</f>
        <v/>
      </c>
      <c r="I29" s="498" t="str">
        <f ca="1">IFERROR(
VLOOKUP(SEARCH("-",Calculos!$H29,1)-1,$K$3:$L$9,2,0)&amp;Calculos!$H29,"")</f>
        <v/>
      </c>
      <c r="N29" s="499" t="str">
        <f ca="1">IFERROR(
IF(ISERROR(VLOOKUP(I29,tb_componentes_proibidos[[n_cas_corrigido]:[Componente_proibido]],1,0)),"",$H29),"")</f>
        <v/>
      </c>
      <c r="O29" s="499" t="str" cm="1">
        <f t="array" aca="1" ref="O29" ca="1">IFERROR(
INDEX($N$4:$N$43,MATCH(0,INDEX(COUNTIF($O$1:O28,$N$4:$N$43),),)),"")</f>
        <v/>
      </c>
      <c r="P29" s="499" t="str">
        <f ca="1">IFERROR(
VLOOKUP(O29,tb_componentes_proibidos[[n_cas]:[Componente_proibido]],3,0),"")</f>
        <v/>
      </c>
      <c r="Q29" s="499" t="str">
        <f t="shared" ca="1" si="4"/>
        <v/>
      </c>
      <c r="R29" s="499" t="str">
        <f t="shared" ca="1" si="5"/>
        <v/>
      </c>
      <c r="U29" s="501" cm="1">
        <f t="array" aca="1" ref="U29" ca="1">INDIRECT($F$2&amp;$U$2&amp;G29,1)</f>
        <v>0</v>
      </c>
      <c r="V29" s="502" t="str">
        <f ca="1">IF(H29&lt;&gt;"",
IFERROR(
VLOOKUP(I29,tb_ingredientes[[n_cas_corrigido]:[ingrediente_ativo]],2,0),
IFERROR(VLOOKUP(I29,tb_componentes[[n_cas_corrigido]:[Componente]],2,0),"Informar nome do componente")),"")</f>
        <v/>
      </c>
      <c r="W29" s="502" t="str">
        <f t="shared" ca="1" si="0"/>
        <v/>
      </c>
      <c r="X29" s="492" cm="1">
        <f t="array" aca="1" ref="X29" ca="1">IF(Y29=1,INDIRECT($F$2&amp;$X$2&amp;G29,1),0)</f>
        <v>0</v>
      </c>
      <c r="Y29" s="492" cm="1">
        <f t="array" aca="1" ref="Y29" ca="1">IF(INDIRECT($F$2&amp;$Y$2&amp;G29,1)="Sim",1,0)</f>
        <v>0</v>
      </c>
      <c r="Z29" s="492" t="str">
        <f ca="1">IF(U29="sim",Calculos!V29&amp;" - "&amp;X29&amp;" "&amp;$AE$10&amp;" ("&amp;IFERROR(TRUNC(W29,4)*100,"")&amp;"%)","")</f>
        <v/>
      </c>
      <c r="AA29" s="492" t="str" cm="1">
        <f t="array" aca="1" ref="AA29" ca="1">IFERROR(
INDEX($Z$4:$Z$43,MATCH(0,INDEX(COUNTIF($AA$1:AA28,$Z$4:$Z$43),),)),"")</f>
        <v/>
      </c>
      <c r="AB29" s="492" t="str">
        <f t="shared" ca="1" si="1"/>
        <v/>
      </c>
      <c r="AC29" s="492" t="str" cm="1">
        <f t="array" aca="1" ref="AC29" ca="1">IF(INDIRECT($F$2&amp;$AC$2&amp;G29)&lt;&gt;0,INDIRECT($F$2&amp;$AC$2&amp;G29),"")</f>
        <v/>
      </c>
      <c r="AF29" s="470" t="s">
        <v>5510</v>
      </c>
      <c r="AG29" s="492" t="str">
        <f t="shared" ca="1" si="29"/>
        <v/>
      </c>
      <c r="AH29" s="492" t="str" cm="1">
        <f t="array" aca="1" ref="AH29" ca="1">IF(INDIRECT($AH$19&amp;"I"&amp;AI29,1)=0,"",INDIRECT($AH$19&amp;"I"&amp;AI29,1)&amp;" (reg. "&amp;INDIRECT($AH$19&amp;"K"&amp;AI29,1)&amp;")"&amp;CHAR(10))</f>
        <v/>
      </c>
      <c r="AI29" s="476">
        <v>19</v>
      </c>
      <c r="AK29" s="470" t="s">
        <v>5510</v>
      </c>
      <c r="AN29" s="476">
        <v>44</v>
      </c>
      <c r="AO29" s="492" t="str" cm="1">
        <f t="array" aca="1" ref="AO29" ca="1">IF(INDIRECT($AN$2&amp;$AO$2&amp;AN29,1)&lt;&gt;0,
INDIRECT($AN$2&amp;$AO$2&amp;AN29,1),
IF((COUNTA(AO30:$AO$34)-COUNTIF(AO30:$AO$34,""))=0,"","# Id não informado #"))</f>
        <v/>
      </c>
      <c r="AP29" s="492" t="str" cm="1">
        <f t="array" aca="1" ref="AP29" ca="1">IFERROR(
INDEX($AO$4:$AO$33,MATCH(0,INDEX(COUNTIF($AP$1:AP28,$AO$4:$AO$33),),)),"")</f>
        <v/>
      </c>
      <c r="AR29" s="470" t="s">
        <v>5510</v>
      </c>
      <c r="AV29" s="469" t="s">
        <v>5510</v>
      </c>
      <c r="AW29" s="579" t="s">
        <v>5679</v>
      </c>
      <c r="AX29" s="579" t="s">
        <v>7097</v>
      </c>
      <c r="AY29" s="579" t="s">
        <v>7096</v>
      </c>
      <c r="BB29" s="469" t="s">
        <v>5510</v>
      </c>
      <c r="BF29" s="469" t="s">
        <v>5510</v>
      </c>
      <c r="BG29" s="469">
        <v>4</v>
      </c>
      <c r="BH29" s="539" t="s">
        <v>8038</v>
      </c>
      <c r="BI29" s="539">
        <f t="shared" si="34"/>
        <v>33</v>
      </c>
      <c r="BJ29" s="539" cm="1">
        <f t="array" aca="1" ref="BJ29" ca="1">INDIRECT($BM$2&amp;BJ$7&amp;$BI29,1)</f>
        <v>0</v>
      </c>
      <c r="BK29" s="539" cm="1">
        <f t="array" aca="1" ref="BK29" ca="1">INDIRECT($BM$2&amp;BK$7&amp;$BI29,1)</f>
        <v>0</v>
      </c>
      <c r="BL29" s="539" cm="1">
        <f t="array" aca="1" ref="BL29" ca="1">INDIRECT($BM$2&amp;BL$7&amp;$BI29,1)</f>
        <v>0</v>
      </c>
      <c r="BM29" s="539" cm="1">
        <f t="array" aca="1" ref="BM29" ca="1">INDIRECT($BM$2&amp;BM$7&amp;$BI29,1)</f>
        <v>0</v>
      </c>
      <c r="BN29" s="539" cm="1">
        <f t="array" aca="1" ref="BN29" ca="1">INDIRECT($BM$2&amp;BN$7&amp;$BI29,1)</f>
        <v>0</v>
      </c>
      <c r="BO29" s="539" t="str">
        <f t="shared" ca="1" si="31"/>
        <v>-</v>
      </c>
      <c r="BP29" s="494" t="s">
        <v>8222</v>
      </c>
      <c r="BQ29" s="20"/>
      <c r="BR29" s="469">
        <v>4</v>
      </c>
      <c r="BS29" s="539" t="s">
        <v>8038</v>
      </c>
      <c r="BT29" s="539">
        <f t="shared" si="35"/>
        <v>379</v>
      </c>
      <c r="BU29" s="539" cm="1">
        <f t="array" aca="1" ref="BU29" ca="1">INDIRECT($BM$2&amp;BU$7&amp;$BT29,1)</f>
        <v>0</v>
      </c>
      <c r="BV29" s="539" cm="1">
        <f t="array" aca="1" ref="BV29" ca="1">INDIRECT($BM$2&amp;BV$7&amp;$BT29,1)</f>
        <v>0</v>
      </c>
      <c r="BW29" s="539" cm="1">
        <f t="array" aca="1" ref="BW29" ca="1">INDIRECT($BM$2&amp;BW$7&amp;$BT29,1)</f>
        <v>0</v>
      </c>
      <c r="BX29" s="539" cm="1">
        <f t="array" aca="1" ref="BX29" ca="1">INDIRECT($BM$2&amp;BX$7&amp;$BT29,1)</f>
        <v>0</v>
      </c>
      <c r="BY29" s="539" cm="1">
        <f t="array" aca="1" ref="BY29" ca="1">INDIRECT($BM$2&amp;BY$7&amp;$BT29,1)</f>
        <v>0</v>
      </c>
      <c r="BZ29" s="539" t="str">
        <f t="shared" ca="1" si="32"/>
        <v>-</v>
      </c>
      <c r="CA29" s="494" t="s">
        <v>8222</v>
      </c>
      <c r="CC29" s="469">
        <v>4</v>
      </c>
      <c r="CD29" s="539" t="s">
        <v>8038</v>
      </c>
      <c r="CE29" s="539">
        <f t="shared" si="36"/>
        <v>725</v>
      </c>
      <c r="CF29" s="539" cm="1">
        <f t="array" aca="1" ref="CF29" ca="1">INDIRECT($BM$2&amp;CF$7&amp;$CE29,1)</f>
        <v>0</v>
      </c>
      <c r="CG29" s="539" cm="1">
        <f t="array" aca="1" ref="CG29" ca="1">INDIRECT($BM$2&amp;CG$7&amp;$CE29,1)</f>
        <v>0</v>
      </c>
      <c r="CH29" s="539" cm="1">
        <f t="array" aca="1" ref="CH29" ca="1">INDIRECT($BM$2&amp;CH$7&amp;$CE29,1)</f>
        <v>0</v>
      </c>
      <c r="CI29" s="539" cm="1">
        <f t="array" aca="1" ref="CI29" ca="1">INDIRECT($BM$2&amp;CI$7&amp;$CE29,1)</f>
        <v>0</v>
      </c>
      <c r="CJ29" s="539" cm="1">
        <f t="array" aca="1" ref="CJ29" ca="1">INDIRECT($BM$2&amp;CJ$7&amp;$CE29,1)</f>
        <v>0</v>
      </c>
      <c r="CK29" s="539" t="str">
        <f t="shared" ca="1" si="33"/>
        <v>-</v>
      </c>
      <c r="CL29" s="494" t="s">
        <v>8222</v>
      </c>
      <c r="CN29" s="571">
        <f t="shared" ref="CN29:CN32" si="37">MATCH(CO29&amp;"-",$BS$1:$BS$325,0)</f>
        <v>42</v>
      </c>
      <c r="CO29" s="537" t="s">
        <v>91</v>
      </c>
      <c r="CP29" s="577" t="str" cm="1">
        <f t="array" aca="1" ref="CP29" ca="1">IF(INDIRECT($CP$26&amp;CN29)=0,"---","Preenchido")</f>
        <v>---</v>
      </c>
      <c r="CQ29" s="537" t="s">
        <v>96</v>
      </c>
      <c r="CR29" s="577" t="str" cm="1">
        <f t="array" aca="1" ref="CR29" ca="1">IF(INDIRECT($CP$26&amp;CS29)=0,"---","Preenchido")</f>
        <v>---</v>
      </c>
      <c r="CS29" s="571">
        <f t="shared" ref="CS29:CS31" si="38">MATCH(CQ29&amp;"-",$BS$1:$BS$325,0)</f>
        <v>202</v>
      </c>
      <c r="CU29" s="469" t="s">
        <v>5510</v>
      </c>
      <c r="CV29" s="580" t="s">
        <v>5777</v>
      </c>
      <c r="CW29" s="581" t="s">
        <v>5776</v>
      </c>
      <c r="CX29" s="1650" t="s">
        <v>8131</v>
      </c>
      <c r="CY29" s="1651"/>
      <c r="CZ29" s="1661" t="s">
        <v>8122</v>
      </c>
      <c r="DA29" s="1657"/>
      <c r="DB29" s="1656" t="s">
        <v>171</v>
      </c>
      <c r="DC29" s="1657"/>
      <c r="DD29" s="1658" t="s">
        <v>194</v>
      </c>
      <c r="DE29" s="1659"/>
      <c r="DF29" s="372"/>
      <c r="DG29" s="372"/>
      <c r="DH29" s="372"/>
      <c r="DI29" s="372"/>
      <c r="DJ29" s="372"/>
      <c r="DK29" s="372"/>
      <c r="DL29" s="477" t="s">
        <v>36</v>
      </c>
      <c r="DM29" s="477" t="s">
        <v>37</v>
      </c>
      <c r="DN29" s="477" t="s">
        <v>5785</v>
      </c>
      <c r="EQ29" s="469" t="s">
        <v>5510</v>
      </c>
      <c r="ES29" s="504" t="s">
        <v>8160</v>
      </c>
      <c r="ET29" s="507"/>
      <c r="EU29" s="507">
        <v>25</v>
      </c>
      <c r="EW29" s="22" cm="1">
        <f t="array" aca="1" ref="EW29" ca="1">INDIRECT($ET$15&amp;EU29)</f>
        <v>0</v>
      </c>
      <c r="EX29" s="22" cm="1">
        <f t="array" aca="1" ref="EX29" ca="1">INDIRECT($ET$16&amp;EU29)</f>
        <v>0</v>
      </c>
      <c r="EY29" s="22" cm="1">
        <f t="array" aca="1" ref="EY29" ca="1">INDIRECT($ET$17&amp;EU29)</f>
        <v>0</v>
      </c>
      <c r="GC29" s="472" t="s">
        <v>5510</v>
      </c>
      <c r="GH29" s="477" t="s">
        <v>8218</v>
      </c>
      <c r="GI29" s="564" t="s">
        <v>7840</v>
      </c>
      <c r="GL29" s="477" t="s">
        <v>7804</v>
      </c>
      <c r="GM29" s="564" t="s">
        <v>8214</v>
      </c>
      <c r="GY29" s="582" t="s">
        <v>8532</v>
      </c>
      <c r="GZ29" s="583" t="str">
        <f>","</f>
        <v>,</v>
      </c>
      <c r="HB29" s="372"/>
      <c r="HJ29" s="501">
        <v>5</v>
      </c>
      <c r="HK29" s="501" t="s">
        <v>5849</v>
      </c>
      <c r="HL29" s="518" t="s">
        <v>5847</v>
      </c>
      <c r="HM29" s="568" t="s">
        <v>5826</v>
      </c>
      <c r="HN29" s="426"/>
    </row>
    <row r="30" spans="1:226" x14ac:dyDescent="0.25">
      <c r="A30" s="496" t="str">
        <f>IF('PT&amp;IA'!F20&lt;&gt;"",'PT&amp;IA'!I20&amp;" (reg. "&amp;'PT&amp;IA'!K20&amp;")","")</f>
        <v/>
      </c>
      <c r="B30" s="496" t="str">
        <f>IF('PT&amp;IA'!J20&lt;&gt;"",'PT&amp;IA'!J20,"")</f>
        <v/>
      </c>
      <c r="G30" s="497">
        <v>58</v>
      </c>
      <c r="H30" s="498" t="str" cm="1">
        <f t="array" aca="1" ref="H30" ca="1">IF(
OR(INDIRECT($F$2&amp;$G$2&amp;$G30,1)&lt;&gt;"",INDIRECT($F$2&amp;$H$2&amp;G30,1)&lt;&gt;""),
INDIRECT($F$2&amp;$H$2&amp;G30,1),
"")</f>
        <v/>
      </c>
      <c r="I30" s="498" t="str">
        <f ca="1">IFERROR(
VLOOKUP(SEARCH("-",Calculos!$H30,1)-1,$K$3:$L$9,2,0)&amp;Calculos!$H30,"")</f>
        <v/>
      </c>
      <c r="N30" s="499" t="str">
        <f ca="1">IFERROR(
IF(ISERROR(VLOOKUP(I30,tb_componentes_proibidos[[n_cas_corrigido]:[Componente_proibido]],1,0)),"",$H30),"")</f>
        <v/>
      </c>
      <c r="O30" s="499" t="str" cm="1">
        <f t="array" aca="1" ref="O30" ca="1">IFERROR(
INDEX($N$4:$N$43,MATCH(0,INDEX(COUNTIF($O$1:O29,$N$4:$N$43),),)),"")</f>
        <v/>
      </c>
      <c r="P30" s="499" t="str">
        <f ca="1">IFERROR(
VLOOKUP(O30,tb_componentes_proibidos[[n_cas]:[Componente_proibido]],3,0),"")</f>
        <v/>
      </c>
      <c r="Q30" s="499" t="str">
        <f t="shared" ca="1" si="4"/>
        <v/>
      </c>
      <c r="R30" s="499" t="str">
        <f t="shared" ca="1" si="5"/>
        <v/>
      </c>
      <c r="U30" s="501" cm="1">
        <f t="array" aca="1" ref="U30" ca="1">INDIRECT($F$2&amp;$U$2&amp;G30,1)</f>
        <v>0</v>
      </c>
      <c r="V30" s="502" t="str">
        <f ca="1">IF(H30&lt;&gt;"",
IFERROR(
VLOOKUP(I30,tb_ingredientes[[n_cas_corrigido]:[ingrediente_ativo]],2,0),
IFERROR(VLOOKUP(I30,tb_componentes[[n_cas_corrigido]:[Componente]],2,0),"Informar nome do componente")),"")</f>
        <v/>
      </c>
      <c r="W30" s="502" t="str">
        <f t="shared" ca="1" si="0"/>
        <v/>
      </c>
      <c r="X30" s="492" cm="1">
        <f t="array" aca="1" ref="X30" ca="1">IF(Y30=1,INDIRECT($F$2&amp;$X$2&amp;G30,1),0)</f>
        <v>0</v>
      </c>
      <c r="Y30" s="492" cm="1">
        <f t="array" aca="1" ref="Y30" ca="1">IF(INDIRECT($F$2&amp;$Y$2&amp;G30,1)="Sim",1,0)</f>
        <v>0</v>
      </c>
      <c r="Z30" s="492" t="str">
        <f ca="1">IF(U30="sim",Calculos!V30&amp;" - "&amp;X30&amp;" "&amp;$AE$10&amp;" ("&amp;IFERROR(TRUNC(W30,4)*100,"")&amp;"%)","")</f>
        <v/>
      </c>
      <c r="AA30" s="492" t="str" cm="1">
        <f t="array" aca="1" ref="AA30" ca="1">IFERROR(
INDEX($Z$4:$Z$43,MATCH(0,INDEX(COUNTIF($AA$1:AA29,$Z$4:$Z$43),),)),"")</f>
        <v/>
      </c>
      <c r="AB30" s="492" t="str">
        <f t="shared" ca="1" si="1"/>
        <v/>
      </c>
      <c r="AC30" s="492" t="str" cm="1">
        <f t="array" aca="1" ref="AC30" ca="1">IF(INDIRECT($F$2&amp;$AC$2&amp;G30)&lt;&gt;0,INDIRECT($F$2&amp;$AC$2&amp;G30),"")</f>
        <v/>
      </c>
      <c r="AF30" s="470" t="s">
        <v>5510</v>
      </c>
      <c r="AG30" s="492" t="str">
        <f t="shared" ca="1" si="29"/>
        <v/>
      </c>
      <c r="AH30" s="492" t="str" cm="1">
        <f t="array" aca="1" ref="AH30" ca="1">IF(INDIRECT($AH$19&amp;"I"&amp;AI30,1)=0,"",INDIRECT($AH$19&amp;"I"&amp;AI30,1)&amp;" (reg. "&amp;INDIRECT($AH$19&amp;"K"&amp;AI30,1)&amp;")"&amp;CHAR(10))</f>
        <v/>
      </c>
      <c r="AI30" s="476">
        <v>20</v>
      </c>
      <c r="AK30" s="470" t="s">
        <v>5510</v>
      </c>
      <c r="AN30" s="476">
        <v>45</v>
      </c>
      <c r="AO30" s="492" t="str" cm="1">
        <f t="array" aca="1" ref="AO30" ca="1">IF(INDIRECT($AN$2&amp;$AO$2&amp;AN30,1)&lt;&gt;0,
INDIRECT($AN$2&amp;$AO$2&amp;AN30,1),
IF((COUNTA(AO31:$AO$34)-COUNTIF(AO31:$AO$34,""))=0,"","# Id não informado #"))</f>
        <v/>
      </c>
      <c r="AP30" s="492" t="str" cm="1">
        <f t="array" aca="1" ref="AP30" ca="1">IFERROR(
INDEX($AO$4:$AO$33,MATCH(0,INDEX(COUNTIF($AP$1:AP29,$AO$4:$AO$33),),)),"")</f>
        <v/>
      </c>
      <c r="AR30" s="470" t="s">
        <v>5510</v>
      </c>
      <c r="AV30" s="469" t="s">
        <v>5510</v>
      </c>
      <c r="AW30" s="570" t="str">
        <f ca="1">IF(
    AE$10=Tabelas_fonte!$W$2,
       "(Campo em branco)",
       IF($AE$10=Tabelas_fonte!$W$3,
          "Foi realizado o teste de solubilidade com a substância testada?",
          $AX$12
       )
)</f>
        <v>Aguardando preenchimento da unidade de medida na aba Composição</v>
      </c>
      <c r="AX30" s="570" cm="1">
        <f t="array" aca="1" ref="AX30" ca="1">INDIRECT($AW$28&amp;$AX$28)</f>
        <v>0</v>
      </c>
      <c r="AY30" s="570" t="str">
        <f ca="1">IF(COUNTIF(AX30,"*442*")&gt;0,$AX$8,$AX$9)</f>
        <v>Desintegrações por minuto (DPM)</v>
      </c>
      <c r="BB30" s="469" t="s">
        <v>5510</v>
      </c>
      <c r="BF30" s="469" t="s">
        <v>5510</v>
      </c>
      <c r="BG30" s="469">
        <v>5</v>
      </c>
      <c r="BH30" s="539" t="s">
        <v>8038</v>
      </c>
      <c r="BI30" s="539">
        <f t="shared" si="34"/>
        <v>34</v>
      </c>
      <c r="BJ30" s="539" cm="1">
        <f t="array" aca="1" ref="BJ30" ca="1">INDIRECT($BM$2&amp;BJ$7&amp;$BI30,1)</f>
        <v>0</v>
      </c>
      <c r="BK30" s="539" cm="1">
        <f t="array" aca="1" ref="BK30" ca="1">INDIRECT($BM$2&amp;BK$7&amp;$BI30,1)</f>
        <v>0</v>
      </c>
      <c r="BL30" s="539" cm="1">
        <f t="array" aca="1" ref="BL30" ca="1">INDIRECT($BM$2&amp;BL$7&amp;$BI30,1)</f>
        <v>0</v>
      </c>
      <c r="BM30" s="539" cm="1">
        <f t="array" aca="1" ref="BM30" ca="1">INDIRECT($BM$2&amp;BM$7&amp;$BI30,1)</f>
        <v>0</v>
      </c>
      <c r="BN30" s="539" cm="1">
        <f t="array" aca="1" ref="BN30" ca="1">INDIRECT($BM$2&amp;BN$7&amp;$BI30,1)</f>
        <v>0</v>
      </c>
      <c r="BO30" s="539" t="str">
        <f t="shared" ca="1" si="31"/>
        <v>-</v>
      </c>
      <c r="BP30" s="494" t="s">
        <v>8222</v>
      </c>
      <c r="BQ30" s="20"/>
      <c r="BR30" s="469">
        <v>5</v>
      </c>
      <c r="BS30" s="539" t="s">
        <v>8038</v>
      </c>
      <c r="BT30" s="539">
        <f t="shared" si="35"/>
        <v>380</v>
      </c>
      <c r="BU30" s="539" cm="1">
        <f t="array" aca="1" ref="BU30" ca="1">INDIRECT($BM$2&amp;BU$7&amp;$BT30,1)</f>
        <v>0</v>
      </c>
      <c r="BV30" s="539" cm="1">
        <f t="array" aca="1" ref="BV30" ca="1">INDIRECT($BM$2&amp;BV$7&amp;$BT30,1)</f>
        <v>0</v>
      </c>
      <c r="BW30" s="539" cm="1">
        <f t="array" aca="1" ref="BW30" ca="1">INDIRECT($BM$2&amp;BW$7&amp;$BT30,1)</f>
        <v>0</v>
      </c>
      <c r="BX30" s="539" cm="1">
        <f t="array" aca="1" ref="BX30" ca="1">INDIRECT($BM$2&amp;BX$7&amp;$BT30,1)</f>
        <v>0</v>
      </c>
      <c r="BY30" s="539" cm="1">
        <f t="array" aca="1" ref="BY30" ca="1">INDIRECT($BM$2&amp;BY$7&amp;$BT30,1)</f>
        <v>0</v>
      </c>
      <c r="BZ30" s="539" t="str">
        <f t="shared" ca="1" si="32"/>
        <v>-</v>
      </c>
      <c r="CA30" s="494" t="s">
        <v>8222</v>
      </c>
      <c r="CC30" s="469">
        <v>5</v>
      </c>
      <c r="CD30" s="539" t="s">
        <v>8038</v>
      </c>
      <c r="CE30" s="539">
        <f t="shared" si="36"/>
        <v>726</v>
      </c>
      <c r="CF30" s="539" cm="1">
        <f t="array" aca="1" ref="CF30" ca="1">INDIRECT($BM$2&amp;CF$7&amp;$CE30,1)</f>
        <v>0</v>
      </c>
      <c r="CG30" s="539" cm="1">
        <f t="array" aca="1" ref="CG30" ca="1">INDIRECT($BM$2&amp;CG$7&amp;$CE30,1)</f>
        <v>0</v>
      </c>
      <c r="CH30" s="539" cm="1">
        <f t="array" aca="1" ref="CH30" ca="1">INDIRECT($BM$2&amp;CH$7&amp;$CE30,1)</f>
        <v>0</v>
      </c>
      <c r="CI30" s="539" cm="1">
        <f t="array" aca="1" ref="CI30" ca="1">INDIRECT($BM$2&amp;CI$7&amp;$CE30,1)</f>
        <v>0</v>
      </c>
      <c r="CJ30" s="539" cm="1">
        <f t="array" aca="1" ref="CJ30" ca="1">INDIRECT($BM$2&amp;CJ$7&amp;$CE30,1)</f>
        <v>0</v>
      </c>
      <c r="CK30" s="539" t="str">
        <f t="shared" ca="1" si="33"/>
        <v>-</v>
      </c>
      <c r="CL30" s="494" t="s">
        <v>8222</v>
      </c>
      <c r="CN30" s="571">
        <f t="shared" si="37"/>
        <v>74</v>
      </c>
      <c r="CO30" s="537" t="s">
        <v>92</v>
      </c>
      <c r="CP30" s="577" t="str" cm="1">
        <f t="array" aca="1" ref="CP30" ca="1">IF(INDIRECT($CP$26&amp;CN30)=0,"---","Preenchido")</f>
        <v>---</v>
      </c>
      <c r="CQ30" s="537" t="s">
        <v>97</v>
      </c>
      <c r="CR30" s="577" t="str" cm="1">
        <f t="array" aca="1" ref="CR30" ca="1">IF(INDIRECT($CP$26&amp;CS30)=0,"---","Preenchido")</f>
        <v>---</v>
      </c>
      <c r="CS30" s="571">
        <f t="shared" si="38"/>
        <v>234</v>
      </c>
      <c r="CU30" s="469" t="s">
        <v>5510</v>
      </c>
      <c r="CV30" s="584" t="s">
        <v>10</v>
      </c>
      <c r="CW30" s="558" t="s">
        <v>10</v>
      </c>
      <c r="CX30" s="492" t="s">
        <v>36</v>
      </c>
      <c r="CY30" s="492" t="s">
        <v>37</v>
      </c>
      <c r="CZ30" s="492" t="s">
        <v>36</v>
      </c>
      <c r="DA30" s="492" t="s">
        <v>37</v>
      </c>
      <c r="DB30" s="492" t="s">
        <v>36</v>
      </c>
      <c r="DC30" s="492" t="s">
        <v>37</v>
      </c>
      <c r="DD30" s="492" t="s">
        <v>36</v>
      </c>
      <c r="DE30" s="492" t="s">
        <v>37</v>
      </c>
      <c r="DF30" s="372"/>
      <c r="DG30" s="1652" t="s">
        <v>5772</v>
      </c>
      <c r="DH30" s="1652"/>
      <c r="DI30" s="372"/>
      <c r="DJ30" s="372"/>
      <c r="DK30" s="479" t="s">
        <v>5784</v>
      </c>
      <c r="DL30" s="25" t="str">
        <f ca="1">IF(OR($CX$3=$CW$4,$CX$3=$CW$6),$CW$4,"-")</f>
        <v>-</v>
      </c>
      <c r="DM30" s="25" t="str">
        <f ca="1">IF(OR($CX$3=$CW$5,$CX$3=$CW$6),$CW$5,"-")</f>
        <v>-</v>
      </c>
      <c r="DN30" s="372"/>
      <c r="EQ30" s="469" t="s">
        <v>5510</v>
      </c>
      <c r="ES30" s="504" t="s">
        <v>355</v>
      </c>
      <c r="ET30" s="507" t="s">
        <v>8168</v>
      </c>
      <c r="EW30" s="22" t="str" cm="1">
        <f t="array" aca="1" ref="EW30" ca="1">IF(INDIRECT(ET30)=0,"-","Concentração ("&amp;INDIRECT(ET30)&amp;")")</f>
        <v>-</v>
      </c>
      <c r="GC30" s="472" t="s">
        <v>5510</v>
      </c>
      <c r="GH30" s="477" t="s">
        <v>8218</v>
      </c>
      <c r="GI30" s="564" t="s">
        <v>8236</v>
      </c>
      <c r="GL30" s="477" t="s">
        <v>7804</v>
      </c>
      <c r="GM30" s="564" t="s">
        <v>8215</v>
      </c>
      <c r="GY30" s="582" t="s">
        <v>8533</v>
      </c>
      <c r="GZ30" s="583" t="s">
        <v>8531</v>
      </c>
      <c r="HA30" s="20" t="s">
        <v>8596</v>
      </c>
      <c r="HB30" s="20" t="s">
        <v>8597</v>
      </c>
      <c r="HC30" s="20" t="s">
        <v>8598</v>
      </c>
      <c r="HD30" s="583" t="s">
        <v>8531</v>
      </c>
      <c r="HE30" s="583" t="s">
        <v>8599</v>
      </c>
      <c r="HF30" s="583" t="s">
        <v>5819</v>
      </c>
      <c r="HG30" s="583"/>
      <c r="HJ30" s="501">
        <v>6</v>
      </c>
      <c r="HK30" s="501" t="s">
        <v>5849</v>
      </c>
      <c r="HL30" s="518" t="s">
        <v>224</v>
      </c>
      <c r="HM30" s="568" t="s">
        <v>5835</v>
      </c>
      <c r="HN30" s="426"/>
    </row>
    <row r="31" spans="1:226" x14ac:dyDescent="0.25">
      <c r="A31" s="496" t="str">
        <f>IF('PT&amp;IA'!F21&lt;&gt;"",'PT&amp;IA'!I21&amp;" (reg. "&amp;'PT&amp;IA'!K21&amp;")","")</f>
        <v/>
      </c>
      <c r="B31" s="496" t="str">
        <f>IF('PT&amp;IA'!J21&lt;&gt;"",'PT&amp;IA'!J21,"")</f>
        <v/>
      </c>
      <c r="G31" s="497">
        <v>59</v>
      </c>
      <c r="H31" s="498" t="str" cm="1">
        <f t="array" aca="1" ref="H31" ca="1">IF(
OR(INDIRECT($F$2&amp;$G$2&amp;$G31,1)&lt;&gt;"",INDIRECT($F$2&amp;$H$2&amp;G31,1)&lt;&gt;""),
INDIRECT($F$2&amp;$H$2&amp;G31,1),
"")</f>
        <v/>
      </c>
      <c r="I31" s="498" t="str">
        <f ca="1">IFERROR(
VLOOKUP(SEARCH("-",Calculos!$H31,1)-1,$K$3:$L$9,2,0)&amp;Calculos!$H31,"")</f>
        <v/>
      </c>
      <c r="N31" s="499" t="str">
        <f ca="1">IFERROR(
IF(ISERROR(VLOOKUP(I31,tb_componentes_proibidos[[n_cas_corrigido]:[Componente_proibido]],1,0)),"",$H31),"")</f>
        <v/>
      </c>
      <c r="O31" s="499" t="str" cm="1">
        <f t="array" aca="1" ref="O31" ca="1">IFERROR(
INDEX($N$4:$N$43,MATCH(0,INDEX(COUNTIF($O$1:O30,$N$4:$N$43),),)),"")</f>
        <v/>
      </c>
      <c r="P31" s="499" t="str">
        <f ca="1">IFERROR(
VLOOKUP(O31,tb_componentes_proibidos[[n_cas]:[Componente_proibido]],3,0),"")</f>
        <v/>
      </c>
      <c r="Q31" s="499" t="str">
        <f t="shared" ca="1" si="4"/>
        <v/>
      </c>
      <c r="R31" s="499" t="str">
        <f t="shared" ca="1" si="5"/>
        <v/>
      </c>
      <c r="U31" s="501" cm="1">
        <f t="array" aca="1" ref="U31" ca="1">INDIRECT($F$2&amp;$U$2&amp;G31,1)</f>
        <v>0</v>
      </c>
      <c r="V31" s="502" t="str">
        <f ca="1">IF(H31&lt;&gt;"",
IFERROR(
VLOOKUP(I31,tb_ingredientes[[n_cas_corrigido]:[ingrediente_ativo]],2,0),
IFERROR(VLOOKUP(I31,tb_componentes[[n_cas_corrigido]:[Componente]],2,0),"Informar nome do componente")),"")</f>
        <v/>
      </c>
      <c r="W31" s="502" t="str">
        <f t="shared" ca="1" si="0"/>
        <v/>
      </c>
      <c r="X31" s="492" cm="1">
        <f t="array" aca="1" ref="X31" ca="1">IF(Y31=1,INDIRECT($F$2&amp;$X$2&amp;G31,1),0)</f>
        <v>0</v>
      </c>
      <c r="Y31" s="492" cm="1">
        <f t="array" aca="1" ref="Y31" ca="1">IF(INDIRECT($F$2&amp;$Y$2&amp;G31,1)="Sim",1,0)</f>
        <v>0</v>
      </c>
      <c r="Z31" s="492" t="str">
        <f ca="1">IF(U31="sim",Calculos!V31&amp;" - "&amp;X31&amp;" "&amp;$AE$10&amp;" ("&amp;IFERROR(TRUNC(W31,4)*100,"")&amp;"%)","")</f>
        <v/>
      </c>
      <c r="AA31" s="492" t="str" cm="1">
        <f t="array" aca="1" ref="AA31" ca="1">IFERROR(
INDEX($Z$4:$Z$43,MATCH(0,INDEX(COUNTIF($AA$1:AA30,$Z$4:$Z$43),),)),"")</f>
        <v/>
      </c>
      <c r="AB31" s="492" t="str">
        <f t="shared" ca="1" si="1"/>
        <v/>
      </c>
      <c r="AC31" s="492" t="str" cm="1">
        <f t="array" aca="1" ref="AC31" ca="1">IF(INDIRECT($F$2&amp;$AC$2&amp;G31)&lt;&gt;0,INDIRECT($F$2&amp;$AC$2&amp;G31),"")</f>
        <v/>
      </c>
      <c r="AF31" s="470" t="s">
        <v>5510</v>
      </c>
      <c r="AG31" s="492" t="str">
        <f t="shared" ca="1" si="29"/>
        <v/>
      </c>
      <c r="AH31" s="492" t="str" cm="1">
        <f t="array" aca="1" ref="AH31" ca="1">IF(INDIRECT($AH$19&amp;"I"&amp;AI31,1)=0,"",INDIRECT($AH$19&amp;"I"&amp;AI31,1)&amp;" (reg. "&amp;INDIRECT($AH$19&amp;"K"&amp;AI31,1)&amp;")"&amp;CHAR(10))</f>
        <v/>
      </c>
      <c r="AI31" s="476">
        <v>21</v>
      </c>
      <c r="AK31" s="470" t="s">
        <v>5510</v>
      </c>
      <c r="AN31" s="476">
        <v>46</v>
      </c>
      <c r="AO31" s="492" t="str" cm="1">
        <f t="array" aca="1" ref="AO31" ca="1">IF(INDIRECT($AN$2&amp;$AO$2&amp;AN31,1)&lt;&gt;0,
INDIRECT($AN$2&amp;$AO$2&amp;AN31,1),
IF((COUNTA(AO32:$AO$34)-COUNTIF(AO32:$AO$34,""))=0,"","# Id não informado #"))</f>
        <v/>
      </c>
      <c r="AP31" s="492" t="str" cm="1">
        <f t="array" aca="1" ref="AP31" ca="1">IFERROR(
INDEX($AO$4:$AO$33,MATCH(0,INDEX(COUNTIF($AP$1:AP30,$AO$4:$AO$33),),)),"")</f>
        <v/>
      </c>
      <c r="AR31" s="470" t="s">
        <v>5510</v>
      </c>
      <c r="AV31" s="469" t="s">
        <v>5510</v>
      </c>
      <c r="AW31" s="469"/>
      <c r="BB31" s="469" t="s">
        <v>5510</v>
      </c>
      <c r="BF31" s="469" t="s">
        <v>5510</v>
      </c>
      <c r="BG31" s="469">
        <v>6</v>
      </c>
      <c r="BH31" s="539" t="s">
        <v>8038</v>
      </c>
      <c r="BI31" s="539">
        <f t="shared" si="34"/>
        <v>35</v>
      </c>
      <c r="BJ31" s="539" cm="1">
        <f t="array" aca="1" ref="BJ31" ca="1">INDIRECT($BM$2&amp;BJ$7&amp;$BI31,1)</f>
        <v>0</v>
      </c>
      <c r="BK31" s="539" cm="1">
        <f t="array" aca="1" ref="BK31" ca="1">INDIRECT($BM$2&amp;BK$7&amp;$BI31,1)</f>
        <v>0</v>
      </c>
      <c r="BL31" s="539" cm="1">
        <f t="array" aca="1" ref="BL31" ca="1">INDIRECT($BM$2&amp;BL$7&amp;$BI31,1)</f>
        <v>0</v>
      </c>
      <c r="BM31" s="539" cm="1">
        <f t="array" aca="1" ref="BM31" ca="1">INDIRECT($BM$2&amp;BM$7&amp;$BI31,1)</f>
        <v>0</v>
      </c>
      <c r="BN31" s="539" cm="1">
        <f t="array" aca="1" ref="BN31" ca="1">INDIRECT($BM$2&amp;BN$7&amp;$BI31,1)</f>
        <v>0</v>
      </c>
      <c r="BO31" s="539" t="str">
        <f t="shared" ca="1" si="31"/>
        <v>-</v>
      </c>
      <c r="BP31" s="494" t="s">
        <v>8222</v>
      </c>
      <c r="BQ31" s="20"/>
      <c r="BR31" s="469">
        <v>6</v>
      </c>
      <c r="BS31" s="539" t="s">
        <v>8038</v>
      </c>
      <c r="BT31" s="539">
        <f t="shared" si="35"/>
        <v>381</v>
      </c>
      <c r="BU31" s="539" cm="1">
        <f t="array" aca="1" ref="BU31" ca="1">INDIRECT($BM$2&amp;BU$7&amp;$BT31,1)</f>
        <v>0</v>
      </c>
      <c r="BV31" s="539" cm="1">
        <f t="array" aca="1" ref="BV31" ca="1">INDIRECT($BM$2&amp;BV$7&amp;$BT31,1)</f>
        <v>0</v>
      </c>
      <c r="BW31" s="539" cm="1">
        <f t="array" aca="1" ref="BW31" ca="1">INDIRECT($BM$2&amp;BW$7&amp;$BT31,1)</f>
        <v>0</v>
      </c>
      <c r="BX31" s="539" cm="1">
        <f t="array" aca="1" ref="BX31" ca="1">INDIRECT($BM$2&amp;BX$7&amp;$BT31,1)</f>
        <v>0</v>
      </c>
      <c r="BY31" s="539" cm="1">
        <f t="array" aca="1" ref="BY31" ca="1">INDIRECT($BM$2&amp;BY$7&amp;$BT31,1)</f>
        <v>0</v>
      </c>
      <c r="BZ31" s="539" t="str">
        <f t="shared" ca="1" si="32"/>
        <v>-</v>
      </c>
      <c r="CA31" s="494" t="s">
        <v>8222</v>
      </c>
      <c r="CC31" s="469">
        <v>6</v>
      </c>
      <c r="CD31" s="539" t="s">
        <v>8038</v>
      </c>
      <c r="CE31" s="539">
        <f t="shared" si="36"/>
        <v>727</v>
      </c>
      <c r="CF31" s="539" cm="1">
        <f t="array" aca="1" ref="CF31" ca="1">INDIRECT($BM$2&amp;CF$7&amp;$CE31,1)</f>
        <v>0</v>
      </c>
      <c r="CG31" s="539" cm="1">
        <f t="array" aca="1" ref="CG31" ca="1">INDIRECT($BM$2&amp;CG$7&amp;$CE31,1)</f>
        <v>0</v>
      </c>
      <c r="CH31" s="539" cm="1">
        <f t="array" aca="1" ref="CH31" ca="1">INDIRECT($BM$2&amp;CH$7&amp;$CE31,1)</f>
        <v>0</v>
      </c>
      <c r="CI31" s="539" cm="1">
        <f t="array" aca="1" ref="CI31" ca="1">INDIRECT($BM$2&amp;CI$7&amp;$CE31,1)</f>
        <v>0</v>
      </c>
      <c r="CJ31" s="539" cm="1">
        <f t="array" aca="1" ref="CJ31" ca="1">INDIRECT($BM$2&amp;CJ$7&amp;$CE31,1)</f>
        <v>0</v>
      </c>
      <c r="CK31" s="539" t="str">
        <f t="shared" ca="1" si="33"/>
        <v>-</v>
      </c>
      <c r="CL31" s="494" t="s">
        <v>8222</v>
      </c>
      <c r="CN31" s="571">
        <f t="shared" si="37"/>
        <v>106</v>
      </c>
      <c r="CO31" s="537" t="s">
        <v>93</v>
      </c>
      <c r="CP31" s="577" t="str" cm="1">
        <f t="array" aca="1" ref="CP31" ca="1">IF(INDIRECT($CP$26&amp;CN31)=0,"---","Preenchido")</f>
        <v>---</v>
      </c>
      <c r="CQ31" s="537" t="s">
        <v>98</v>
      </c>
      <c r="CR31" s="577" t="str" cm="1">
        <f t="array" aca="1" ref="CR31" ca="1">IF(INDIRECT($CP$26&amp;CS31)=0,"---","Preenchido")</f>
        <v>---</v>
      </c>
      <c r="CS31" s="571">
        <f t="shared" si="38"/>
        <v>266</v>
      </c>
      <c r="CU31" s="469" t="s">
        <v>5510</v>
      </c>
      <c r="CV31" s="584" t="s">
        <v>5774</v>
      </c>
      <c r="CW31" s="558">
        <f>DD3</f>
        <v>16</v>
      </c>
      <c r="CX31" s="492" cm="1">
        <f t="array" aca="1" ref="CX31" ca="1">INDIRECT($DD$2&amp;CX$28&amp;$CW31)</f>
        <v>0</v>
      </c>
      <c r="CY31" s="492" cm="1">
        <f t="array" aca="1" ref="CY31" ca="1">INDIRECT($DD$2&amp;CY$28&amp;$CW31)</f>
        <v>0</v>
      </c>
      <c r="CZ31" s="492" cm="1">
        <f t="array" aca="1" ref="CZ31" ca="1">INDIRECT($DD$2&amp;CZ$28&amp;$CW31)</f>
        <v>0</v>
      </c>
      <c r="DA31" s="492" cm="1">
        <f t="array" aca="1" ref="DA31" ca="1">INDIRECT($DD$2&amp;DA$28&amp;$CW31)</f>
        <v>0</v>
      </c>
      <c r="DB31" s="492" cm="1">
        <f t="array" aca="1" ref="DB31" ca="1">INDIRECT($DD$2&amp;DB$28&amp;$CW31)</f>
        <v>0</v>
      </c>
      <c r="DC31" s="492" cm="1">
        <f t="array" aca="1" ref="DC31" ca="1">INDIRECT($DD$2&amp;DC$28&amp;$CW31)</f>
        <v>0</v>
      </c>
      <c r="DD31" s="492" t="str">
        <f t="shared" ref="DD31:DD62" ca="1" si="39">IFERROR(DB31/CZ31,"")</f>
        <v/>
      </c>
      <c r="DE31" s="492" t="str">
        <f t="shared" ref="DE31:DE62" ca="1" si="40">IFERROR(DC31/DA31,"")</f>
        <v/>
      </c>
      <c r="DF31" s="372"/>
      <c r="DG31" s="25" t="s">
        <v>79</v>
      </c>
      <c r="DH31" s="492" t="str">
        <f ca="1">IF(SUM(CX31:DC40)&gt;0,"Preenchido","Pendente")</f>
        <v>Pendente</v>
      </c>
      <c r="DI31" s="372"/>
      <c r="DJ31" s="372"/>
      <c r="DK31" s="479" t="s">
        <v>8123</v>
      </c>
      <c r="DL31" s="25">
        <f ca="1">COUNTIF(DA19:DA24,"&lt;&gt;"&amp;"-")</f>
        <v>0</v>
      </c>
      <c r="DM31" s="25">
        <f ca="1">COUNTIF(DB19:DB24,"&lt;&gt;"&amp;"-")</f>
        <v>0</v>
      </c>
      <c r="DN31" s="25">
        <f ca="1">LARGE(DL31:DM31,1)</f>
        <v>0</v>
      </c>
      <c r="EQ31" s="469" t="s">
        <v>5510</v>
      </c>
      <c r="ES31" s="504" t="s">
        <v>8169</v>
      </c>
      <c r="ET31" s="507" t="s">
        <v>8170</v>
      </c>
      <c r="EU31" s="507">
        <v>32</v>
      </c>
      <c r="EW31" s="22" t="str" cm="1">
        <f t="array" aca="1" ref="EW31" ca="1">IF(INDIRECT($ET$31&amp;EU31)=0,"-",INDIRECT($ET$31&amp;EU31))</f>
        <v>-</v>
      </c>
      <c r="EX31" s="22" t="str" cm="1">
        <f t="array" aca="1" ref="EX31" ca="1">IF(INDIRECT($ET$32&amp;EU31)=0,"",INDIRECT($ET$32&amp;EU31))</f>
        <v/>
      </c>
      <c r="EY31" s="22" t="str" cm="1">
        <f t="array" aca="1" ref="EY31" ca="1">INDIRECT($ET$33&amp;EU31)</f>
        <v/>
      </c>
      <c r="EZ31" s="22" t="str" cm="1">
        <f t="array" aca="1" ref="EZ31" ca="1">IF(INDIRECT($ET$34&amp;EU31)=0,"",INDIRECT($ET$34&amp;EU31))</f>
        <v/>
      </c>
      <c r="FA31" s="22" t="str" cm="1">
        <f t="array" aca="1" ref="FA31" ca="1">IF(INDIRECT($ET$35&amp;EU31)=0,"",INDIRECT($ET$35&amp;EU31))</f>
        <v/>
      </c>
      <c r="FB31" s="22" t="str" cm="1">
        <f t="array" aca="1" ref="FB31" ca="1">IF(INDIRECT($ET$36&amp;EU31)=0,"",INDIRECT($ET$36&amp;EU31))</f>
        <v/>
      </c>
      <c r="FC31" s="22" t="str" cm="1">
        <f t="array" aca="1" ref="FC31" ca="1">IF(INDIRECT($ET$37&amp;EU31)=0,"",INDIRECT($ET$37&amp;EU31))</f>
        <v/>
      </c>
      <c r="GC31" s="472" t="s">
        <v>5510</v>
      </c>
      <c r="GH31" s="477" t="s">
        <v>8218</v>
      </c>
      <c r="GI31" s="564" t="s">
        <v>8237</v>
      </c>
      <c r="GL31" s="477" t="s">
        <v>7804</v>
      </c>
      <c r="GM31" s="564" t="s">
        <v>8216</v>
      </c>
      <c r="GY31" s="490" t="s">
        <v>8527</v>
      </c>
      <c r="GZ31" s="583"/>
      <c r="HA31" s="583" t="s">
        <v>8528</v>
      </c>
      <c r="HB31" s="583" t="s">
        <v>8529</v>
      </c>
      <c r="HC31" s="583" t="s">
        <v>10</v>
      </c>
      <c r="HD31" s="583"/>
      <c r="HE31" s="583"/>
      <c r="HF31" s="583"/>
      <c r="HG31" s="583"/>
      <c r="HJ31" s="501">
        <v>1</v>
      </c>
      <c r="HK31" s="501" t="s">
        <v>5848</v>
      </c>
      <c r="HL31" s="518" t="s">
        <v>203</v>
      </c>
      <c r="HM31" s="568" t="s">
        <v>5821</v>
      </c>
      <c r="HN31" s="518" t="s">
        <v>5821</v>
      </c>
      <c r="HO31" s="569" t="s">
        <v>5888</v>
      </c>
      <c r="HP31" s="492" t="s">
        <v>5878</v>
      </c>
    </row>
    <row r="32" spans="1:226" x14ac:dyDescent="0.25">
      <c r="A32" s="496" t="str">
        <f>IF('PT&amp;IA'!F22&lt;&gt;"",'PT&amp;IA'!I22&amp;" (reg. "&amp;'PT&amp;IA'!K22&amp;")","")</f>
        <v/>
      </c>
      <c r="B32" s="496" t="str">
        <f>IF('PT&amp;IA'!J22&lt;&gt;"",'PT&amp;IA'!J22,"")</f>
        <v/>
      </c>
      <c r="G32" s="497">
        <v>60</v>
      </c>
      <c r="H32" s="498" t="str" cm="1">
        <f t="array" aca="1" ref="H32" ca="1">IF(
OR(INDIRECT($F$2&amp;$G$2&amp;$G32,1)&lt;&gt;"",INDIRECT($F$2&amp;$H$2&amp;G32,1)&lt;&gt;""),
INDIRECT($F$2&amp;$H$2&amp;G32,1),
"")</f>
        <v/>
      </c>
      <c r="I32" s="498" t="str">
        <f ca="1">IFERROR(
VLOOKUP(SEARCH("-",Calculos!$H32,1)-1,$K$3:$L$9,2,0)&amp;Calculos!$H32,"")</f>
        <v/>
      </c>
      <c r="N32" s="499" t="str">
        <f ca="1">IFERROR(
IF(ISERROR(VLOOKUP(I32,tb_componentes_proibidos[[n_cas_corrigido]:[Componente_proibido]],1,0)),"",$H32),"")</f>
        <v/>
      </c>
      <c r="O32" s="499" t="str" cm="1">
        <f t="array" aca="1" ref="O32" ca="1">IFERROR(
INDEX($N$4:$N$43,MATCH(0,INDEX(COUNTIF($O$1:O31,$N$4:$N$43),),)),"")</f>
        <v/>
      </c>
      <c r="P32" s="499" t="str">
        <f ca="1">IFERROR(
VLOOKUP(O32,tb_componentes_proibidos[[n_cas]:[Componente_proibido]],3,0),"")</f>
        <v/>
      </c>
      <c r="Q32" s="499" t="str">
        <f t="shared" ca="1" si="4"/>
        <v/>
      </c>
      <c r="R32" s="499" t="str">
        <f t="shared" ca="1" si="5"/>
        <v/>
      </c>
      <c r="U32" s="501" cm="1">
        <f t="array" aca="1" ref="U32" ca="1">INDIRECT($F$2&amp;$U$2&amp;G32,1)</f>
        <v>0</v>
      </c>
      <c r="V32" s="502" t="str">
        <f ca="1">IF(H32&lt;&gt;"",
IFERROR(
VLOOKUP(I32,tb_ingredientes[[n_cas_corrigido]:[ingrediente_ativo]],2,0),
IFERROR(VLOOKUP(I32,tb_componentes[[n_cas_corrigido]:[Componente]],2,0),"Informar nome do componente")),"")</f>
        <v/>
      </c>
      <c r="W32" s="502" t="str">
        <f t="shared" ca="1" si="0"/>
        <v/>
      </c>
      <c r="X32" s="492" cm="1">
        <f t="array" aca="1" ref="X32" ca="1">IF(Y32=1,INDIRECT($F$2&amp;$X$2&amp;G32,1),0)</f>
        <v>0</v>
      </c>
      <c r="Y32" s="492" cm="1">
        <f t="array" aca="1" ref="Y32" ca="1">IF(INDIRECT($F$2&amp;$Y$2&amp;G32,1)="Sim",1,0)</f>
        <v>0</v>
      </c>
      <c r="Z32" s="492" t="str">
        <f ca="1">IF(U32="sim",Calculos!V32&amp;" - "&amp;X32&amp;" "&amp;$AE$10&amp;" ("&amp;IFERROR(TRUNC(W32,4)*100,"")&amp;"%)","")</f>
        <v/>
      </c>
      <c r="AA32" s="492" t="str" cm="1">
        <f t="array" aca="1" ref="AA32" ca="1">IFERROR(
INDEX($Z$4:$Z$43,MATCH(0,INDEX(COUNTIF($AA$1:AA31,$Z$4:$Z$43),),)),"")</f>
        <v/>
      </c>
      <c r="AB32" s="492" t="str">
        <f t="shared" ca="1" si="1"/>
        <v/>
      </c>
      <c r="AC32" s="492" t="str" cm="1">
        <f t="array" aca="1" ref="AC32" ca="1">IF(INDIRECT($F$2&amp;$AC$2&amp;G32)&lt;&gt;0,INDIRECT($F$2&amp;$AC$2&amp;G32),"")</f>
        <v/>
      </c>
      <c r="AF32" s="470" t="s">
        <v>5510</v>
      </c>
      <c r="AG32" s="492" t="str">
        <f t="shared" ca="1" si="29"/>
        <v/>
      </c>
      <c r="AH32" s="492" t="str" cm="1">
        <f t="array" aca="1" ref="AH32" ca="1">IF(INDIRECT($AH$19&amp;"I"&amp;AI32,1)=0,"",INDIRECT($AH$19&amp;"I"&amp;AI32,1)&amp;" (reg. "&amp;INDIRECT($AH$19&amp;"K"&amp;AI32,1)&amp;")"&amp;CHAR(10))</f>
        <v/>
      </c>
      <c r="AI32" s="476">
        <v>22</v>
      </c>
      <c r="AK32" s="470" t="s">
        <v>5510</v>
      </c>
      <c r="AN32" s="476">
        <v>47</v>
      </c>
      <c r="AO32" s="492" t="str" cm="1">
        <f t="array" aca="1" ref="AO32" ca="1">IF(INDIRECT($AN$2&amp;$AO$2&amp;AN32,1)&lt;&gt;0,
INDIRECT($AN$2&amp;$AO$2&amp;AN32,1),
IF((COUNTA(AO33:$AO$34)-COUNTIF(AO33:$AO$34,""))=0,"","# Id não informado #"))</f>
        <v/>
      </c>
      <c r="AP32" s="492" t="str" cm="1">
        <f t="array" aca="1" ref="AP32" ca="1">IFERROR(
INDEX($AO$4:$AO$33,MATCH(0,INDEX(COUNTIF($AP$1:AP31,$AO$4:$AO$33),),)),"")</f>
        <v/>
      </c>
      <c r="AR32" s="470" t="s">
        <v>5510</v>
      </c>
      <c r="AV32" s="469" t="s">
        <v>5510</v>
      </c>
      <c r="AX32" s="469" t="s">
        <v>5744</v>
      </c>
      <c r="AY32" s="469" t="s">
        <v>6001</v>
      </c>
      <c r="BB32" s="469" t="s">
        <v>5510</v>
      </c>
      <c r="BF32" s="469" t="s">
        <v>5510</v>
      </c>
      <c r="BG32" s="469">
        <v>7</v>
      </c>
      <c r="BH32" s="539" t="s">
        <v>8038</v>
      </c>
      <c r="BI32" s="539">
        <f t="shared" si="34"/>
        <v>36</v>
      </c>
      <c r="BJ32" s="539" cm="1">
        <f t="array" aca="1" ref="BJ32" ca="1">INDIRECT($BM$2&amp;BJ$7&amp;$BI32,1)</f>
        <v>0</v>
      </c>
      <c r="BK32" s="539" cm="1">
        <f t="array" aca="1" ref="BK32" ca="1">INDIRECT($BM$2&amp;BK$7&amp;$BI32,1)</f>
        <v>0</v>
      </c>
      <c r="BL32" s="539" cm="1">
        <f t="array" aca="1" ref="BL32" ca="1">INDIRECT($BM$2&amp;BL$7&amp;$BI32,1)</f>
        <v>0</v>
      </c>
      <c r="BM32" s="539" cm="1">
        <f t="array" aca="1" ref="BM32" ca="1">INDIRECT($BM$2&amp;BM$7&amp;$BI32,1)</f>
        <v>0</v>
      </c>
      <c r="BN32" s="539" cm="1">
        <f t="array" aca="1" ref="BN32" ca="1">INDIRECT($BM$2&amp;BN$7&amp;$BI32,1)</f>
        <v>0</v>
      </c>
      <c r="BO32" s="539" t="str">
        <f t="shared" ca="1" si="31"/>
        <v>-</v>
      </c>
      <c r="BP32" s="494" t="s">
        <v>8222</v>
      </c>
      <c r="BQ32" s="20"/>
      <c r="BR32" s="469">
        <v>7</v>
      </c>
      <c r="BS32" s="539" t="s">
        <v>8038</v>
      </c>
      <c r="BT32" s="539">
        <f t="shared" si="35"/>
        <v>382</v>
      </c>
      <c r="BU32" s="539" cm="1">
        <f t="array" aca="1" ref="BU32" ca="1">INDIRECT($BM$2&amp;BU$7&amp;$BT32,1)</f>
        <v>0</v>
      </c>
      <c r="BV32" s="539" cm="1">
        <f t="array" aca="1" ref="BV32" ca="1">INDIRECT($BM$2&amp;BV$7&amp;$BT32,1)</f>
        <v>0</v>
      </c>
      <c r="BW32" s="539" cm="1">
        <f t="array" aca="1" ref="BW32" ca="1">INDIRECT($BM$2&amp;BW$7&amp;$BT32,1)</f>
        <v>0</v>
      </c>
      <c r="BX32" s="539" cm="1">
        <f t="array" aca="1" ref="BX32" ca="1">INDIRECT($BM$2&amp;BX$7&amp;$BT32,1)</f>
        <v>0</v>
      </c>
      <c r="BY32" s="539" cm="1">
        <f t="array" aca="1" ref="BY32" ca="1">INDIRECT($BM$2&amp;BY$7&amp;$BT32,1)</f>
        <v>0</v>
      </c>
      <c r="BZ32" s="539" t="str">
        <f t="shared" ca="1" si="32"/>
        <v>-</v>
      </c>
      <c r="CA32" s="494" t="s">
        <v>8222</v>
      </c>
      <c r="CC32" s="469">
        <v>7</v>
      </c>
      <c r="CD32" s="539" t="s">
        <v>8038</v>
      </c>
      <c r="CE32" s="539">
        <f t="shared" si="36"/>
        <v>728</v>
      </c>
      <c r="CF32" s="539" cm="1">
        <f t="array" aca="1" ref="CF32" ca="1">INDIRECT($BM$2&amp;CF$7&amp;$CE32,1)</f>
        <v>0</v>
      </c>
      <c r="CG32" s="539" cm="1">
        <f t="array" aca="1" ref="CG32" ca="1">INDIRECT($BM$2&amp;CG$7&amp;$CE32,1)</f>
        <v>0</v>
      </c>
      <c r="CH32" s="539" cm="1">
        <f t="array" aca="1" ref="CH32" ca="1">INDIRECT($BM$2&amp;CH$7&amp;$CE32,1)</f>
        <v>0</v>
      </c>
      <c r="CI32" s="539" cm="1">
        <f t="array" aca="1" ref="CI32" ca="1">INDIRECT($BM$2&amp;CI$7&amp;$CE32,1)</f>
        <v>0</v>
      </c>
      <c r="CJ32" s="539" cm="1">
        <f t="array" aca="1" ref="CJ32" ca="1">INDIRECT($BM$2&amp;CJ$7&amp;$CE32,1)</f>
        <v>0</v>
      </c>
      <c r="CK32" s="539" t="str">
        <f t="shared" ca="1" si="33"/>
        <v>-</v>
      </c>
      <c r="CL32" s="494" t="s">
        <v>8222</v>
      </c>
      <c r="CN32" s="571">
        <f t="shared" si="37"/>
        <v>138</v>
      </c>
      <c r="CO32" s="537" t="s">
        <v>94</v>
      </c>
      <c r="CP32" s="577" t="str" cm="1">
        <f t="array" aca="1" ref="CP32" ca="1">IF(INDIRECT($CP$26&amp;CN32)=0,"---","Preenchido")</f>
        <v>---</v>
      </c>
      <c r="CQ32" s="537" t="s">
        <v>8224</v>
      </c>
      <c r="CR32" s="577" t="str" cm="1">
        <f t="array" aca="1" ref="CR32" ca="1">IF(INDIRECT($CP$26&amp;CS32)=0,"---","Preenchido")</f>
        <v>---</v>
      </c>
      <c r="CS32" s="571">
        <f>MATCH(CQ32&amp;"-",$BS$1:$BS$325,0)</f>
        <v>298</v>
      </c>
      <c r="CU32" s="469" t="s">
        <v>5510</v>
      </c>
      <c r="CV32" s="584" t="s">
        <v>5774</v>
      </c>
      <c r="CW32" s="558">
        <f t="shared" ref="CW32:CW63" si="41">IF(CV32=CV31,CW31+1,CW31+$DD$4)</f>
        <v>17</v>
      </c>
      <c r="CX32" s="492" cm="1">
        <f t="array" aca="1" ref="CX32" ca="1">INDIRECT($DD$2&amp;CX$28&amp;$CW32)</f>
        <v>0</v>
      </c>
      <c r="CY32" s="492" cm="1">
        <f t="array" aca="1" ref="CY32" ca="1">INDIRECT($DD$2&amp;CY$28&amp;$CW32)</f>
        <v>0</v>
      </c>
      <c r="CZ32" s="492" cm="1">
        <f t="array" aca="1" ref="CZ32" ca="1">INDIRECT($DD$2&amp;CZ$28&amp;$CW32)</f>
        <v>0</v>
      </c>
      <c r="DA32" s="492" cm="1">
        <f t="array" aca="1" ref="DA32" ca="1">INDIRECT($DD$2&amp;DA$28&amp;$CW32)</f>
        <v>0</v>
      </c>
      <c r="DB32" s="492" cm="1">
        <f t="array" aca="1" ref="DB32" ca="1">INDIRECT($DD$2&amp;DB$28&amp;$CW32)</f>
        <v>0</v>
      </c>
      <c r="DC32" s="492" cm="1">
        <f t="array" aca="1" ref="DC32" ca="1">INDIRECT($DD$2&amp;DC$28&amp;$CW32)</f>
        <v>0</v>
      </c>
      <c r="DD32" s="492" t="str">
        <f t="shared" ca="1" si="39"/>
        <v/>
      </c>
      <c r="DE32" s="492" t="str">
        <f t="shared" ca="1" si="40"/>
        <v/>
      </c>
      <c r="DF32" s="372"/>
      <c r="DG32" s="25" t="s">
        <v>80</v>
      </c>
      <c r="DH32" s="492" t="str">
        <f ca="1">IF(SUM(CX41:DC50)&gt;0,"Preenchido","Pendente")</f>
        <v>Pendente</v>
      </c>
      <c r="DI32" s="372"/>
      <c r="DJ32" s="372"/>
      <c r="DK32" s="372"/>
      <c r="DL32" s="372"/>
      <c r="DM32" s="372"/>
      <c r="DN32" s="372"/>
      <c r="EQ32" s="469" t="s">
        <v>5510</v>
      </c>
      <c r="ES32" s="504" t="s">
        <v>8171</v>
      </c>
      <c r="ET32" s="507" t="s">
        <v>8172</v>
      </c>
      <c r="EU32" s="585">
        <v>33</v>
      </c>
      <c r="EW32" s="22" t="str" cm="1">
        <f t="array" aca="1" ref="EW32" ca="1">IF(INDIRECT($ET$31&amp;EU32)=0,"-",INDIRECT($ET$31&amp;EU32))</f>
        <v>-</v>
      </c>
      <c r="EX32" s="22" t="str" cm="1">
        <f t="array" aca="1" ref="EX32" ca="1">IF(INDIRECT($ET$32&amp;EU32)=0,"",INDIRECT($ET$32&amp;EU32))</f>
        <v/>
      </c>
      <c r="EY32" s="22" t="str" cm="1">
        <f t="array" aca="1" ref="EY32" ca="1">INDIRECT($ET$33&amp;EU32)</f>
        <v/>
      </c>
      <c r="EZ32" s="22" t="str" cm="1">
        <f t="array" aca="1" ref="EZ32" ca="1">IF(INDIRECT($ET$34&amp;EU32)=0,"",INDIRECT($ET$34&amp;EU32))</f>
        <v/>
      </c>
      <c r="FA32" s="22" t="str" cm="1">
        <f t="array" aca="1" ref="FA32" ca="1">IF(INDIRECT($ET$35&amp;EU32)=0,"",INDIRECT($ET$35&amp;EU32))</f>
        <v/>
      </c>
      <c r="FB32" s="22" t="str" cm="1">
        <f t="array" aca="1" ref="FB32" ca="1">IF(INDIRECT($ET$36&amp;EU32)=0,"",INDIRECT($ET$36&amp;EU32))</f>
        <v/>
      </c>
      <c r="FC32" s="22" t="str" cm="1">
        <f t="array" aca="1" ref="FC32" ca="1">IF(INDIRECT($ET$37&amp;EU32)=0,"",INDIRECT($ET$37&amp;EU32))</f>
        <v/>
      </c>
      <c r="GC32" s="472" t="s">
        <v>5510</v>
      </c>
      <c r="GH32" s="477" t="s">
        <v>8218</v>
      </c>
      <c r="GI32" s="564" t="s">
        <v>6540</v>
      </c>
      <c r="GY32" s="492" t="str">
        <f t="shared" ref="GY32:GY71" ca="1" si="42">AC4</f>
        <v/>
      </c>
      <c r="GZ32" s="495" t="str" cm="1">
        <f t="array" aca="1" ref="GZ32" ca="1">IFERROR(
IF(
AND(
 GY32&lt;&gt;"",
  ISERR(FIND(HA$31, $GY32)),
  ISERR(FIND(HB$31, $GY32)),
  ISERR(FIND(HC$31, $GY32))),
_xlfn.XLOOKUP(TRIM($GY32), tb_codigos_GHS_ABNT[Código], tb_codigos_GHS_ABNT[Código] &amp; ": " &amp; tb_codigos_GHS_ABNT[Frases de perigo]),
""),"-")</f>
        <v/>
      </c>
      <c r="HA32" s="495" t="str">
        <f ca="1">SUBSTITUTE(GY32," ","")</f>
        <v/>
      </c>
      <c r="HB32" s="495" t="str">
        <f ca="1">IF(
COUNTIF(HA32,"*"&amp;HB$31&amp;"*"),SUBSTITUTE($HA32,$HB$31,$HA$31),HA32)</f>
        <v/>
      </c>
      <c r="HC32" s="495" t="str">
        <f ca="1">IF(
COUNTIF(HB32,"*"&amp;$HC$31&amp;"*"),SUBSTITUTE($HB32,$HC$31,$HA$31),HB32)</f>
        <v/>
      </c>
      <c r="HD32" s="586" t="str" cm="1">
        <f t="array" aca="1" ref="HD32" ca="1">IFERROR(_xlfn.UNIQUE(_xlfn.TEXTSPLIT(_xlfn.TEXTJOIN(GZ29,TRUE,TRIM($HC$32:$HC$71)),,HA$31)),"-")</f>
        <v>-</v>
      </c>
      <c r="HE32" s="586" t="str" cm="1">
        <f t="array" aca="1" ref="HE32" ca="1">IFERROR(_xlfn._xlws.SORT(_xlfn._xlws.FILTER(HD32:HD71, HD32:HD71 &lt;&gt; ""), 1, 1, 0),"")</f>
        <v>-</v>
      </c>
      <c r="HF32" s="586" t="str" cm="1">
        <f t="array" aca="1" ref="HF32" ca="1">IFERROR(
IF(HE32&lt;&gt;"-",_xlfn.XLOOKUP(HE32, tb_codigos_GHS_ABNT[Código], tb_codigos_GHS_ABNT[Código] &amp; ": " &amp; tb_codigos_GHS_ABNT[Frases de perigo]),
"-"),"Frase de perigo: -Erro-")</f>
        <v>-</v>
      </c>
      <c r="HJ32" s="501">
        <v>2</v>
      </c>
      <c r="HK32" s="501" t="s">
        <v>5848</v>
      </c>
      <c r="HL32" s="518" t="s">
        <v>204</v>
      </c>
      <c r="HM32" s="568" t="s">
        <v>5821</v>
      </c>
      <c r="HN32" s="518" t="s">
        <v>5824</v>
      </c>
      <c r="HO32" s="569" t="s">
        <v>5889</v>
      </c>
      <c r="HP32" s="492" t="s">
        <v>5879</v>
      </c>
    </row>
    <row r="33" spans="1:224" x14ac:dyDescent="0.25">
      <c r="A33" s="496" t="str">
        <f>IF('PT&amp;IA'!F23&lt;&gt;"",'PT&amp;IA'!I23&amp;" (reg. "&amp;'PT&amp;IA'!K23&amp;")","")</f>
        <v/>
      </c>
      <c r="B33" s="496" t="str">
        <f>IF('PT&amp;IA'!J23&lt;&gt;"",'PT&amp;IA'!J23,"")</f>
        <v/>
      </c>
      <c r="G33" s="497">
        <v>61</v>
      </c>
      <c r="H33" s="498" t="str" cm="1">
        <f t="array" aca="1" ref="H33" ca="1">IF(
OR(INDIRECT($F$2&amp;$G$2&amp;$G33,1)&lt;&gt;"",INDIRECT($F$2&amp;$H$2&amp;G33,1)&lt;&gt;""),
INDIRECT($F$2&amp;$H$2&amp;G33,1),
"")</f>
        <v/>
      </c>
      <c r="I33" s="498" t="str">
        <f ca="1">IFERROR(
VLOOKUP(SEARCH("-",Calculos!$H33,1)-1,$K$3:$L$9,2,0)&amp;Calculos!$H33,"")</f>
        <v/>
      </c>
      <c r="N33" s="499" t="str">
        <f ca="1">IFERROR(
IF(ISERROR(VLOOKUP(I33,tb_componentes_proibidos[[n_cas_corrigido]:[Componente_proibido]],1,0)),"",$H33),"")</f>
        <v/>
      </c>
      <c r="O33" s="499" t="str" cm="1">
        <f t="array" aca="1" ref="O33" ca="1">IFERROR(
INDEX($N$4:$N$43,MATCH(0,INDEX(COUNTIF($O$1:O32,$N$4:$N$43),),)),"")</f>
        <v/>
      </c>
      <c r="P33" s="499" t="str">
        <f ca="1">IFERROR(
VLOOKUP(O33,tb_componentes_proibidos[[n_cas]:[Componente_proibido]],3,0),"")</f>
        <v/>
      </c>
      <c r="Q33" s="499" t="str">
        <f t="shared" ca="1" si="4"/>
        <v/>
      </c>
      <c r="R33" s="499" t="str">
        <f t="shared" ca="1" si="5"/>
        <v/>
      </c>
      <c r="U33" s="501" cm="1">
        <f t="array" aca="1" ref="U33" ca="1">INDIRECT($F$2&amp;$U$2&amp;G33,1)</f>
        <v>0</v>
      </c>
      <c r="V33" s="502" t="str">
        <f ca="1">IF(H33&lt;&gt;"",
IFERROR(
VLOOKUP(I33,tb_ingredientes[[n_cas_corrigido]:[ingrediente_ativo]],2,0),
IFERROR(VLOOKUP(I33,tb_componentes[[n_cas_corrigido]:[Componente]],2,0),"Informar nome do componente")),"")</f>
        <v/>
      </c>
      <c r="W33" s="502" t="str">
        <f t="shared" ca="1" si="0"/>
        <v/>
      </c>
      <c r="X33" s="492" cm="1">
        <f t="array" aca="1" ref="X33" ca="1">IF(Y33=1,INDIRECT($F$2&amp;$X$2&amp;G33,1),0)</f>
        <v>0</v>
      </c>
      <c r="Y33" s="492" cm="1">
        <f t="array" aca="1" ref="Y33" ca="1">IF(INDIRECT($F$2&amp;$Y$2&amp;G33,1)="Sim",1,0)</f>
        <v>0</v>
      </c>
      <c r="Z33" s="492" t="str">
        <f ca="1">IF(U33="sim",Calculos!V33&amp;" - "&amp;X33&amp;" "&amp;$AE$10&amp;" ("&amp;IFERROR(TRUNC(W33,4)*100,"")&amp;"%)","")</f>
        <v/>
      </c>
      <c r="AA33" s="492" t="str" cm="1">
        <f t="array" aca="1" ref="AA33" ca="1">IFERROR(
INDEX($Z$4:$Z$43,MATCH(0,INDEX(COUNTIF($AA$1:AA32,$Z$4:$Z$43),),)),"")</f>
        <v/>
      </c>
      <c r="AB33" s="492" t="str">
        <f t="shared" ca="1" si="1"/>
        <v/>
      </c>
      <c r="AC33" s="492" t="str" cm="1">
        <f t="array" aca="1" ref="AC33" ca="1">IF(INDIRECT($F$2&amp;$AC$2&amp;G33)&lt;&gt;0,INDIRECT($F$2&amp;$AC$2&amp;G33),"")</f>
        <v/>
      </c>
      <c r="AF33" s="470" t="s">
        <v>5510</v>
      </c>
      <c r="AG33" s="492" t="str">
        <f t="shared" ca="1" si="29"/>
        <v/>
      </c>
      <c r="AH33" s="492" t="str" cm="1">
        <f t="array" aca="1" ref="AH33" ca="1">IF(INDIRECT($AH$19&amp;"I"&amp;AI33,1)=0,"",INDIRECT($AH$19&amp;"I"&amp;AI33,1)&amp;" (reg. "&amp;INDIRECT($AH$19&amp;"K"&amp;AI33,1)&amp;")"&amp;CHAR(10))</f>
        <v/>
      </c>
      <c r="AI33" s="476">
        <v>23</v>
      </c>
      <c r="AK33" s="470" t="s">
        <v>5510</v>
      </c>
      <c r="AN33" s="476">
        <v>48</v>
      </c>
      <c r="AO33" s="492" t="str" cm="1">
        <f t="array" aca="1" ref="AO33" ca="1">IF(INDIRECT($AN$2&amp;$AO$2&amp;AN33,1)&lt;&gt;0,
INDIRECT($AN$2&amp;$AO$2&amp;AN33,1),
IF((COUNTA(AO34:$AO$34)-COUNTIF(AO34:$AO$34,""))=0,"","# Id não informado #"))</f>
        <v/>
      </c>
      <c r="AP33" s="492" t="str" cm="1">
        <f t="array" aca="1" ref="AP33" ca="1">IFERROR(
INDEX($AO$4:$AO$33,MATCH(0,INDEX(COUNTIF($AP$1:AP32,$AO$4:$AO$33),),)),"")</f>
        <v/>
      </c>
      <c r="AR33" s="470" t="s">
        <v>5510</v>
      </c>
      <c r="AV33" s="469" t="s">
        <v>5510</v>
      </c>
      <c r="AW33" s="20" t="s">
        <v>6002</v>
      </c>
      <c r="AX33" s="587" cm="1">
        <f t="array" aca="1" ref="AX33" ca="1">INDIRECT("'Ames(1)'!AD17",1)</f>
        <v>0</v>
      </c>
      <c r="BB33" s="469" t="s">
        <v>5510</v>
      </c>
      <c r="BF33" s="469" t="s">
        <v>5510</v>
      </c>
      <c r="BG33" s="469">
        <v>8</v>
      </c>
      <c r="BH33" s="539" t="s">
        <v>8038</v>
      </c>
      <c r="BI33" s="539">
        <f t="shared" si="34"/>
        <v>37</v>
      </c>
      <c r="BJ33" s="539" cm="1">
        <f t="array" aca="1" ref="BJ33" ca="1">INDIRECT($BM$2&amp;BJ$7&amp;$BI33,1)</f>
        <v>0</v>
      </c>
      <c r="BK33" s="539" cm="1">
        <f t="array" aca="1" ref="BK33" ca="1">INDIRECT($BM$2&amp;BK$7&amp;$BI33,1)</f>
        <v>0</v>
      </c>
      <c r="BL33" s="539" cm="1">
        <f t="array" aca="1" ref="BL33" ca="1">INDIRECT($BM$2&amp;BL$7&amp;$BI33,1)</f>
        <v>0</v>
      </c>
      <c r="BM33" s="539" cm="1">
        <f t="array" aca="1" ref="BM33" ca="1">INDIRECT($BM$2&amp;BM$7&amp;$BI33,1)</f>
        <v>0</v>
      </c>
      <c r="BN33" s="539" cm="1">
        <f t="array" aca="1" ref="BN33" ca="1">INDIRECT($BM$2&amp;BN$7&amp;$BI33,1)</f>
        <v>0</v>
      </c>
      <c r="BO33" s="539" t="str">
        <f t="shared" ca="1" si="31"/>
        <v>-</v>
      </c>
      <c r="BP33" s="494" t="s">
        <v>8222</v>
      </c>
      <c r="BQ33" s="20"/>
      <c r="BR33" s="469">
        <v>8</v>
      </c>
      <c r="BS33" s="539" t="s">
        <v>8038</v>
      </c>
      <c r="BT33" s="539">
        <f t="shared" si="35"/>
        <v>383</v>
      </c>
      <c r="BU33" s="539" cm="1">
        <f t="array" aca="1" ref="BU33" ca="1">INDIRECT($BM$2&amp;BU$7&amp;$BT33,1)</f>
        <v>0</v>
      </c>
      <c r="BV33" s="539" cm="1">
        <f t="array" aca="1" ref="BV33" ca="1">INDIRECT($BM$2&amp;BV$7&amp;$BT33,1)</f>
        <v>0</v>
      </c>
      <c r="BW33" s="539" cm="1">
        <f t="array" aca="1" ref="BW33" ca="1">INDIRECT($BM$2&amp;BW$7&amp;$BT33,1)</f>
        <v>0</v>
      </c>
      <c r="BX33" s="539" cm="1">
        <f t="array" aca="1" ref="BX33" ca="1">INDIRECT($BM$2&amp;BX$7&amp;$BT33,1)</f>
        <v>0</v>
      </c>
      <c r="BY33" s="539" cm="1">
        <f t="array" aca="1" ref="BY33" ca="1">INDIRECT($BM$2&amp;BY$7&amp;$BT33,1)</f>
        <v>0</v>
      </c>
      <c r="BZ33" s="539" t="str">
        <f t="shared" ca="1" si="32"/>
        <v>-</v>
      </c>
      <c r="CA33" s="494" t="s">
        <v>8222</v>
      </c>
      <c r="CC33" s="469">
        <v>8</v>
      </c>
      <c r="CD33" s="539" t="s">
        <v>8038</v>
      </c>
      <c r="CE33" s="539">
        <f t="shared" si="36"/>
        <v>729</v>
      </c>
      <c r="CF33" s="539" cm="1">
        <f t="array" aca="1" ref="CF33" ca="1">INDIRECT($BM$2&amp;CF$7&amp;$CE33,1)</f>
        <v>0</v>
      </c>
      <c r="CG33" s="539" cm="1">
        <f t="array" aca="1" ref="CG33" ca="1">INDIRECT($BM$2&amp;CG$7&amp;$CE33,1)</f>
        <v>0</v>
      </c>
      <c r="CH33" s="539" cm="1">
        <f t="array" aca="1" ref="CH33" ca="1">INDIRECT($BM$2&amp;CH$7&amp;$CE33,1)</f>
        <v>0</v>
      </c>
      <c r="CI33" s="539" cm="1">
        <f t="array" aca="1" ref="CI33" ca="1">INDIRECT($BM$2&amp;CI$7&amp;$CE33,1)</f>
        <v>0</v>
      </c>
      <c r="CJ33" s="539" cm="1">
        <f t="array" aca="1" ref="CJ33" ca="1">INDIRECT($BM$2&amp;CJ$7&amp;$CE33,1)</f>
        <v>0</v>
      </c>
      <c r="CK33" s="539" t="str">
        <f t="shared" ca="1" si="33"/>
        <v>-</v>
      </c>
      <c r="CL33" s="494" t="s">
        <v>8222</v>
      </c>
      <c r="CU33" s="469" t="s">
        <v>5510</v>
      </c>
      <c r="CV33" s="584" t="s">
        <v>5774</v>
      </c>
      <c r="CW33" s="558">
        <f t="shared" si="41"/>
        <v>18</v>
      </c>
      <c r="CX33" s="492" cm="1">
        <f t="array" aca="1" ref="CX33" ca="1">INDIRECT($DD$2&amp;CX$28&amp;$CW33)</f>
        <v>0</v>
      </c>
      <c r="CY33" s="492" cm="1">
        <f t="array" aca="1" ref="CY33" ca="1">INDIRECT($DD$2&amp;CY$28&amp;$CW33)</f>
        <v>0</v>
      </c>
      <c r="CZ33" s="492" cm="1">
        <f t="array" aca="1" ref="CZ33" ca="1">INDIRECT($DD$2&amp;CZ$28&amp;$CW33)</f>
        <v>0</v>
      </c>
      <c r="DA33" s="492" cm="1">
        <f t="array" aca="1" ref="DA33" ca="1">INDIRECT($DD$2&amp;DA$28&amp;$CW33)</f>
        <v>0</v>
      </c>
      <c r="DB33" s="492" cm="1">
        <f t="array" aca="1" ref="DB33" ca="1">INDIRECT($DD$2&amp;DB$28&amp;$CW33)</f>
        <v>0</v>
      </c>
      <c r="DC33" s="492" cm="1">
        <f t="array" aca="1" ref="DC33" ca="1">INDIRECT($DD$2&amp;DC$28&amp;$CW33)</f>
        <v>0</v>
      </c>
      <c r="DD33" s="492" t="str">
        <f t="shared" ca="1" si="39"/>
        <v/>
      </c>
      <c r="DE33" s="492" t="str">
        <f t="shared" ca="1" si="40"/>
        <v/>
      </c>
      <c r="DF33" s="372"/>
      <c r="DG33" s="25" t="s">
        <v>162</v>
      </c>
      <c r="DH33" s="492" t="str">
        <f ca="1">IF(SUM(CX51:DC60)&gt;0,"Preenchido","Pendente")</f>
        <v>Pendente</v>
      </c>
      <c r="DI33" s="372"/>
      <c r="DJ33" s="372"/>
      <c r="DK33" s="477" t="s">
        <v>255</v>
      </c>
      <c r="DL33" s="480" t="s">
        <v>7538</v>
      </c>
      <c r="DM33" s="25" cm="1">
        <f t="array" aca="1" ref="DM33" ca="1">INDIRECT(CW2&amp;DL33)</f>
        <v>0</v>
      </c>
      <c r="DN33" s="372"/>
      <c r="EQ33" s="469" t="s">
        <v>5510</v>
      </c>
      <c r="ES33" s="504" t="s">
        <v>8174</v>
      </c>
      <c r="ET33" s="507" t="s">
        <v>8173</v>
      </c>
      <c r="EU33" s="585">
        <v>34</v>
      </c>
      <c r="EW33" s="22" t="str" cm="1">
        <f t="array" aca="1" ref="EW33" ca="1">IF(INDIRECT($ET$31&amp;EU33)=0,"-",INDIRECT($ET$31&amp;EU33))</f>
        <v>-</v>
      </c>
      <c r="EX33" s="22" t="str" cm="1">
        <f t="array" aca="1" ref="EX33" ca="1">IF(INDIRECT($ET$32&amp;EU33)=0,"",INDIRECT($ET$32&amp;EU33))</f>
        <v/>
      </c>
      <c r="EY33" s="22" t="str" cm="1">
        <f t="array" aca="1" ref="EY33" ca="1">INDIRECT($ET$33&amp;EU33)</f>
        <v/>
      </c>
      <c r="EZ33" s="22" t="str" cm="1">
        <f t="array" aca="1" ref="EZ33" ca="1">IF(INDIRECT($ET$34&amp;EU33)=0,"",INDIRECT($ET$34&amp;EU33))</f>
        <v/>
      </c>
      <c r="FA33" s="22" t="str" cm="1">
        <f t="array" aca="1" ref="FA33" ca="1">IF(INDIRECT($ET$35&amp;EU33)=0,"",INDIRECT($ET$35&amp;EU33))</f>
        <v/>
      </c>
      <c r="FB33" s="22" t="str" cm="1">
        <f t="array" aca="1" ref="FB33" ca="1">IF(INDIRECT($ET$36&amp;EU33)=0,"",INDIRECT($ET$36&amp;EU33))</f>
        <v/>
      </c>
      <c r="FC33" s="22" t="str" cm="1">
        <f t="array" aca="1" ref="FC33" ca="1">IF(INDIRECT($ET$37&amp;EU33)=0,"",INDIRECT($ET$37&amp;EU33))</f>
        <v/>
      </c>
      <c r="GC33" s="472" t="s">
        <v>5510</v>
      </c>
      <c r="GH33" s="477" t="s">
        <v>8218</v>
      </c>
      <c r="GI33" s="564" t="s">
        <v>8270</v>
      </c>
      <c r="GY33" s="492" t="str">
        <f t="shared" ca="1" si="42"/>
        <v/>
      </c>
      <c r="GZ33" s="495" t="str" cm="1">
        <f t="array" aca="1" ref="GZ33" ca="1">IFERROR(
IF(
AND(
 GY33&lt;&gt;"",
  ISERR(FIND(HA$31, $GY33)),
  ISERR(FIND(HB$31, $GY33)),
  ISERR(FIND(HC$31, $GY33))),
_xlfn.XLOOKUP(TRIM($GY33), tb_codigos_GHS_ABNT[Código], tb_codigos_GHS_ABNT[Código] &amp; ": " &amp; tb_codigos_GHS_ABNT[Frases de perigo]),
""),"-")</f>
        <v/>
      </c>
      <c r="HA33" s="495" t="str">
        <f t="shared" ref="HA33:HA71" ca="1" si="43">SUBSTITUTE(GY33," ","")</f>
        <v/>
      </c>
      <c r="HB33" s="495" t="str">
        <f t="shared" ref="HB33:HB71" ca="1" si="44">IF(
COUNTIF(HA33,"*"&amp;HB$31&amp;"*"),SUBSTITUTE($HA33,$HB$31,$HA$31),HA33)</f>
        <v/>
      </c>
      <c r="HC33" s="495" t="str">
        <f t="shared" ref="HC33:HC71" ca="1" si="45">IF(
COUNTIF(HB33,"*"&amp;$HC$31&amp;"*"),SUBSTITUTE($HB33,$HC$31,$HA$31),HB33)</f>
        <v/>
      </c>
      <c r="HD33" s="586"/>
      <c r="HE33" s="586"/>
      <c r="HF33" s="586" t="str" cm="1">
        <f t="array" ref="HF33">IFERROR(
IF(HE33&lt;&gt;"",_xlfn.XLOOKUP(HE33, tb_codigos_GHS_ABNT[Código], tb_codigos_GHS_ABNT[Código] &amp; ": " &amp; tb_codigos_GHS_ABNT[Frases de perigo]),
""),"Frase de perigo: -Erro-")</f>
        <v/>
      </c>
      <c r="HJ33" s="501">
        <v>3</v>
      </c>
      <c r="HK33" s="501" t="s">
        <v>5848</v>
      </c>
      <c r="HL33" s="518" t="s">
        <v>205</v>
      </c>
      <c r="HM33" s="568" t="s">
        <v>5824</v>
      </c>
      <c r="HN33" s="518" t="s">
        <v>5835</v>
      </c>
      <c r="HO33" s="578" t="s">
        <v>7965</v>
      </c>
      <c r="HP33" s="534" t="s">
        <v>5894</v>
      </c>
    </row>
    <row r="34" spans="1:224" x14ac:dyDescent="0.25">
      <c r="A34" s="496" t="str">
        <f>IF('PT&amp;IA'!F24&lt;&gt;"",'PT&amp;IA'!I24&amp;" (reg. "&amp;'PT&amp;IA'!K24&amp;")","")</f>
        <v/>
      </c>
      <c r="B34" s="496" t="str">
        <f>IF('PT&amp;IA'!J24&lt;&gt;"",'PT&amp;IA'!J24,"")</f>
        <v/>
      </c>
      <c r="G34" s="497">
        <v>62</v>
      </c>
      <c r="H34" s="498" t="str" cm="1">
        <f t="array" aca="1" ref="H34" ca="1">IF(
OR(INDIRECT($F$2&amp;$G$2&amp;$G34,1)&lt;&gt;"",INDIRECT($F$2&amp;$H$2&amp;G34,1)&lt;&gt;""),
INDIRECT($F$2&amp;$H$2&amp;G34,1),
"")</f>
        <v/>
      </c>
      <c r="I34" s="498" t="str">
        <f ca="1">IFERROR(
VLOOKUP(SEARCH("-",Calculos!$H34,1)-1,$K$3:$L$9,2,0)&amp;Calculos!$H34,"")</f>
        <v/>
      </c>
      <c r="N34" s="499" t="str">
        <f ca="1">IFERROR(
IF(ISERROR(VLOOKUP(I34,tb_componentes_proibidos[[n_cas_corrigido]:[Componente_proibido]],1,0)),"",$H34),"")</f>
        <v/>
      </c>
      <c r="O34" s="499" t="str" cm="1">
        <f t="array" aca="1" ref="O34" ca="1">IFERROR(
INDEX($N$4:$N$43,MATCH(0,INDEX(COUNTIF($O$1:O33,$N$4:$N$43),),)),"")</f>
        <v/>
      </c>
      <c r="P34" s="499" t="str">
        <f ca="1">IFERROR(
VLOOKUP(O34,tb_componentes_proibidos[[n_cas]:[Componente_proibido]],3,0),"")</f>
        <v/>
      </c>
      <c r="Q34" s="499" t="str">
        <f t="shared" ca="1" si="4"/>
        <v/>
      </c>
      <c r="R34" s="499" t="str">
        <f t="shared" ca="1" si="5"/>
        <v/>
      </c>
      <c r="U34" s="501" cm="1">
        <f t="array" aca="1" ref="U34" ca="1">INDIRECT($F$2&amp;$U$2&amp;G34,1)</f>
        <v>0</v>
      </c>
      <c r="V34" s="502" t="str">
        <f ca="1">IF(H34&lt;&gt;"",
IFERROR(
VLOOKUP(I34,tb_ingredientes[[n_cas_corrigido]:[ingrediente_ativo]],2,0),
IFERROR(VLOOKUP(I34,tb_componentes[[n_cas_corrigido]:[Componente]],2,0),"Informar nome do componente")),"")</f>
        <v/>
      </c>
      <c r="W34" s="502" t="str">
        <f t="shared" ca="1" si="0"/>
        <v/>
      </c>
      <c r="X34" s="492" cm="1">
        <f t="array" aca="1" ref="X34" ca="1">IF(Y34=1,INDIRECT($F$2&amp;$X$2&amp;G34,1),0)</f>
        <v>0</v>
      </c>
      <c r="Y34" s="492" cm="1">
        <f t="array" aca="1" ref="Y34" ca="1">IF(INDIRECT($F$2&amp;$Y$2&amp;G34,1)="Sim",1,0)</f>
        <v>0</v>
      </c>
      <c r="Z34" s="492" t="str">
        <f ca="1">IF(U34="sim",Calculos!V34&amp;" - "&amp;X34&amp;" "&amp;$AE$10&amp;" ("&amp;IFERROR(TRUNC(W34,4)*100,"")&amp;"%)","")</f>
        <v/>
      </c>
      <c r="AA34" s="492" t="str" cm="1">
        <f t="array" aca="1" ref="AA34" ca="1">IFERROR(
INDEX($Z$4:$Z$43,MATCH(0,INDEX(COUNTIF($AA$1:AA33,$Z$4:$Z$43),),)),"")</f>
        <v/>
      </c>
      <c r="AB34" s="492" t="str">
        <f t="shared" ca="1" si="1"/>
        <v/>
      </c>
      <c r="AC34" s="492" t="str" cm="1">
        <f t="array" aca="1" ref="AC34" ca="1">IF(INDIRECT($F$2&amp;$AC$2&amp;G34)&lt;&gt;0,INDIRECT($F$2&amp;$AC$2&amp;G34),"")</f>
        <v/>
      </c>
      <c r="AF34" s="470" t="s">
        <v>5510</v>
      </c>
      <c r="AG34" s="492" t="str">
        <f t="shared" ca="1" si="29"/>
        <v/>
      </c>
      <c r="AH34" s="492" t="str" cm="1">
        <f t="array" aca="1" ref="AH34" ca="1">IF(INDIRECT($AH$19&amp;"I"&amp;AI34,1)=0,"",INDIRECT($AH$19&amp;"I"&amp;AI34,1)&amp;" (reg. "&amp;INDIRECT($AH$19&amp;"K"&amp;AI34,1)&amp;")"&amp;CHAR(10))</f>
        <v/>
      </c>
      <c r="AI34" s="476">
        <v>24</v>
      </c>
      <c r="AK34" s="470" t="s">
        <v>5510</v>
      </c>
      <c r="AN34" s="476" t="s">
        <v>7963</v>
      </c>
      <c r="AO34" s="492" t="str">
        <f>""</f>
        <v/>
      </c>
      <c r="AP34" s="492" t="str">
        <f>""</f>
        <v/>
      </c>
      <c r="AR34" s="470" t="s">
        <v>5510</v>
      </c>
      <c r="AV34" s="469" t="s">
        <v>5510</v>
      </c>
      <c r="AW34" s="20" t="s">
        <v>6000</v>
      </c>
      <c r="AX34" s="501" t="str">
        <f ca="1">IF(AX33&lt;&gt;"",IF(AX33&lt;=AY34,"sim","não"),"")</f>
        <v>sim</v>
      </c>
      <c r="AY34" s="588">
        <v>40178</v>
      </c>
      <c r="BB34" s="469" t="s">
        <v>5510</v>
      </c>
      <c r="BF34" s="469" t="s">
        <v>5510</v>
      </c>
      <c r="BG34" s="469">
        <v>9</v>
      </c>
      <c r="BH34" s="539" t="s">
        <v>8038</v>
      </c>
      <c r="BI34" s="539">
        <f t="shared" si="34"/>
        <v>38</v>
      </c>
      <c r="BJ34" s="539" cm="1">
        <f t="array" aca="1" ref="BJ34" ca="1">INDIRECT($BM$2&amp;BJ$7&amp;$BI34,1)</f>
        <v>0</v>
      </c>
      <c r="BK34" s="539" cm="1">
        <f t="array" aca="1" ref="BK34" ca="1">INDIRECT($BM$2&amp;BK$7&amp;$BI34,1)</f>
        <v>0</v>
      </c>
      <c r="BL34" s="539" cm="1">
        <f t="array" aca="1" ref="BL34" ca="1">INDIRECT($BM$2&amp;BL$7&amp;$BI34,1)</f>
        <v>0</v>
      </c>
      <c r="BM34" s="539" cm="1">
        <f t="array" aca="1" ref="BM34" ca="1">INDIRECT($BM$2&amp;BM$7&amp;$BI34,1)</f>
        <v>0</v>
      </c>
      <c r="BN34" s="539" cm="1">
        <f t="array" aca="1" ref="BN34" ca="1">INDIRECT($BM$2&amp;BN$7&amp;$BI34,1)</f>
        <v>0</v>
      </c>
      <c r="BO34" s="539" t="str">
        <f t="shared" ca="1" si="31"/>
        <v>-</v>
      </c>
      <c r="BP34" s="494" t="s">
        <v>8222</v>
      </c>
      <c r="BQ34" s="20"/>
      <c r="BR34" s="469">
        <v>9</v>
      </c>
      <c r="BS34" s="539" t="s">
        <v>8038</v>
      </c>
      <c r="BT34" s="539">
        <f t="shared" si="35"/>
        <v>384</v>
      </c>
      <c r="BU34" s="539" cm="1">
        <f t="array" aca="1" ref="BU34" ca="1">INDIRECT($BM$2&amp;BU$7&amp;$BT34,1)</f>
        <v>0</v>
      </c>
      <c r="BV34" s="539" cm="1">
        <f t="array" aca="1" ref="BV34" ca="1">INDIRECT($BM$2&amp;BV$7&amp;$BT34,1)</f>
        <v>0</v>
      </c>
      <c r="BW34" s="539" cm="1">
        <f t="array" aca="1" ref="BW34" ca="1">INDIRECT($BM$2&amp;BW$7&amp;$BT34,1)</f>
        <v>0</v>
      </c>
      <c r="BX34" s="539" cm="1">
        <f t="array" aca="1" ref="BX34" ca="1">INDIRECT($BM$2&amp;BX$7&amp;$BT34,1)</f>
        <v>0</v>
      </c>
      <c r="BY34" s="539" cm="1">
        <f t="array" aca="1" ref="BY34" ca="1">INDIRECT($BM$2&amp;BY$7&amp;$BT34,1)</f>
        <v>0</v>
      </c>
      <c r="BZ34" s="539" t="str">
        <f t="shared" ca="1" si="32"/>
        <v>-</v>
      </c>
      <c r="CA34" s="494" t="s">
        <v>8222</v>
      </c>
      <c r="CC34" s="469">
        <v>9</v>
      </c>
      <c r="CD34" s="539" t="s">
        <v>8038</v>
      </c>
      <c r="CE34" s="539">
        <f t="shared" si="36"/>
        <v>730</v>
      </c>
      <c r="CF34" s="539" cm="1">
        <f t="array" aca="1" ref="CF34" ca="1">INDIRECT($BM$2&amp;CF$7&amp;$CE34,1)</f>
        <v>0</v>
      </c>
      <c r="CG34" s="539" cm="1">
        <f t="array" aca="1" ref="CG34" ca="1">INDIRECT($BM$2&amp;CG$7&amp;$CE34,1)</f>
        <v>0</v>
      </c>
      <c r="CH34" s="539" cm="1">
        <f t="array" aca="1" ref="CH34" ca="1">INDIRECT($BM$2&amp;CH$7&amp;$CE34,1)</f>
        <v>0</v>
      </c>
      <c r="CI34" s="539" cm="1">
        <f t="array" aca="1" ref="CI34" ca="1">INDIRECT($BM$2&amp;CI$7&amp;$CE34,1)</f>
        <v>0</v>
      </c>
      <c r="CJ34" s="539" cm="1">
        <f t="array" aca="1" ref="CJ34" ca="1">INDIRECT($BM$2&amp;CJ$7&amp;$CE34,1)</f>
        <v>0</v>
      </c>
      <c r="CK34" s="539" t="str">
        <f t="shared" ca="1" si="33"/>
        <v>-</v>
      </c>
      <c r="CL34" s="494" t="s">
        <v>8222</v>
      </c>
      <c r="CP34" s="571" t="s">
        <v>8073</v>
      </c>
      <c r="CU34" s="469" t="s">
        <v>5510</v>
      </c>
      <c r="CV34" s="584" t="s">
        <v>5774</v>
      </c>
      <c r="CW34" s="558">
        <f t="shared" si="41"/>
        <v>19</v>
      </c>
      <c r="CX34" s="492" cm="1">
        <f t="array" aca="1" ref="CX34" ca="1">INDIRECT($DD$2&amp;CX$28&amp;$CW34)</f>
        <v>0</v>
      </c>
      <c r="CY34" s="492" cm="1">
        <f t="array" aca="1" ref="CY34" ca="1">INDIRECT($DD$2&amp;CY$28&amp;$CW34)</f>
        <v>0</v>
      </c>
      <c r="CZ34" s="492" cm="1">
        <f t="array" aca="1" ref="CZ34" ca="1">INDIRECT($DD$2&amp;CZ$28&amp;$CW34)</f>
        <v>0</v>
      </c>
      <c r="DA34" s="492" cm="1">
        <f t="array" aca="1" ref="DA34" ca="1">INDIRECT($DD$2&amp;DA$28&amp;$CW34)</f>
        <v>0</v>
      </c>
      <c r="DB34" s="492" cm="1">
        <f t="array" aca="1" ref="DB34" ca="1">INDIRECT($DD$2&amp;DB$28&amp;$CW34)</f>
        <v>0</v>
      </c>
      <c r="DC34" s="492" cm="1">
        <f t="array" aca="1" ref="DC34" ca="1">INDIRECT($DD$2&amp;DC$28&amp;$CW34)</f>
        <v>0</v>
      </c>
      <c r="DD34" s="492" t="str">
        <f t="shared" ca="1" si="39"/>
        <v/>
      </c>
      <c r="DE34" s="492" t="str">
        <f t="shared" ca="1" si="40"/>
        <v/>
      </c>
      <c r="DF34" s="372"/>
      <c r="DG34" s="25" t="s">
        <v>163</v>
      </c>
      <c r="DH34" s="492" t="str">
        <f ca="1">IF(SUM(CX61:DC70)&gt;0,"Preenchido","Pendente")</f>
        <v>Pendente</v>
      </c>
      <c r="DI34" s="372"/>
      <c r="DJ34" s="372"/>
      <c r="DK34" s="372"/>
      <c r="DL34" s="372"/>
      <c r="DM34" s="372"/>
      <c r="DN34" s="372"/>
      <c r="EQ34" s="469" t="s">
        <v>5510</v>
      </c>
      <c r="ES34" s="504" t="s">
        <v>8175</v>
      </c>
      <c r="ET34" s="507" t="s">
        <v>8179</v>
      </c>
      <c r="EU34" s="585">
        <v>35</v>
      </c>
      <c r="EW34" s="22" t="str" cm="1">
        <f t="array" aca="1" ref="EW34" ca="1">IF(INDIRECT($ET$31&amp;EU34)=0,"-",INDIRECT($ET$31&amp;EU34))</f>
        <v>-</v>
      </c>
      <c r="EX34" s="22" t="str" cm="1">
        <f t="array" aca="1" ref="EX34" ca="1">IF(INDIRECT($ET$32&amp;EU34)=0,"",INDIRECT($ET$32&amp;EU34))</f>
        <v/>
      </c>
      <c r="EY34" s="22" t="str" cm="1">
        <f t="array" aca="1" ref="EY34" ca="1">INDIRECT($ET$33&amp;EU34)</f>
        <v/>
      </c>
      <c r="EZ34" s="22" t="str" cm="1">
        <f t="array" aca="1" ref="EZ34" ca="1">IF(INDIRECT($ET$34&amp;EU34)=0,"",INDIRECT($ET$34&amp;EU34))</f>
        <v/>
      </c>
      <c r="FA34" s="22" t="str" cm="1">
        <f t="array" aca="1" ref="FA34" ca="1">IF(INDIRECT($ET$35&amp;EU34)=0,"",INDIRECT($ET$35&amp;EU34))</f>
        <v/>
      </c>
      <c r="FB34" s="22" t="str" cm="1">
        <f t="array" aca="1" ref="FB34" ca="1">IF(INDIRECT($ET$36&amp;EU34)=0,"",INDIRECT($ET$36&amp;EU34))</f>
        <v/>
      </c>
      <c r="FC34" s="22" t="str" cm="1">
        <f t="array" aca="1" ref="FC34" ca="1">IF(INDIRECT($ET$37&amp;EU34)=0,"",INDIRECT($ET$37&amp;EU34))</f>
        <v/>
      </c>
      <c r="GC34" s="472" t="s">
        <v>5510</v>
      </c>
      <c r="GH34" s="477" t="s">
        <v>8274</v>
      </c>
      <c r="GI34" s="564">
        <v>0.01</v>
      </c>
      <c r="GY34" s="492" t="str">
        <f t="shared" ca="1" si="42"/>
        <v/>
      </c>
      <c r="GZ34" s="495" t="str" cm="1">
        <f t="array" aca="1" ref="GZ34" ca="1">IFERROR(
IF(
AND(
 GY34&lt;&gt;"",
  ISERR(FIND(HA$31, $GY34)),
  ISERR(FIND(HB$31, $GY34)),
  ISERR(FIND(HC$31, $GY34))),
_xlfn.XLOOKUP(TRIM($GY34), tb_codigos_GHS_ABNT[Código], tb_codigos_GHS_ABNT[Código] &amp; ": " &amp; tb_codigos_GHS_ABNT[Frases de perigo]),
""),"-")</f>
        <v/>
      </c>
      <c r="HA34" s="495" t="str">
        <f t="shared" ca="1" si="43"/>
        <v/>
      </c>
      <c r="HB34" s="495" t="str">
        <f t="shared" ca="1" si="44"/>
        <v/>
      </c>
      <c r="HC34" s="495" t="str">
        <f t="shared" ca="1" si="45"/>
        <v/>
      </c>
      <c r="HD34" s="586"/>
      <c r="HE34" s="586"/>
      <c r="HF34" s="586" t="str" cm="1">
        <f t="array" ref="HF34">IFERROR(
IF(HE34&lt;&gt;"",_xlfn.XLOOKUP(HE34, tb_codigos_GHS_ABNT[Código], tb_codigos_GHS_ABNT[Código] &amp; ": " &amp; tb_codigos_GHS_ABNT[Frases de perigo]),
""),"Frase de perigo: -Erro-")</f>
        <v/>
      </c>
      <c r="HJ34" s="501">
        <v>4</v>
      </c>
      <c r="HK34" s="501" t="s">
        <v>5848</v>
      </c>
      <c r="HL34" s="518" t="s">
        <v>193</v>
      </c>
      <c r="HM34" s="568" t="s">
        <v>5835</v>
      </c>
      <c r="HN34" s="426"/>
    </row>
    <row r="35" spans="1:224" x14ac:dyDescent="0.25">
      <c r="A35" s="496" t="str">
        <f>IF('PT&amp;IA'!F25&lt;&gt;"",'PT&amp;IA'!I25&amp;" (reg. "&amp;'PT&amp;IA'!K25&amp;")","")</f>
        <v/>
      </c>
      <c r="B35" s="496" t="str">
        <f>IF('PT&amp;IA'!J25&lt;&gt;"",'PT&amp;IA'!J25,"")</f>
        <v/>
      </c>
      <c r="G35" s="497">
        <v>63</v>
      </c>
      <c r="H35" s="498" t="str" cm="1">
        <f t="array" aca="1" ref="H35" ca="1">IF(
OR(INDIRECT($F$2&amp;$G$2&amp;$G35,1)&lt;&gt;"",INDIRECT($F$2&amp;$H$2&amp;G35,1)&lt;&gt;""),
INDIRECT($F$2&amp;$H$2&amp;G35,1),
"")</f>
        <v/>
      </c>
      <c r="I35" s="498" t="str">
        <f ca="1">IFERROR(
VLOOKUP(SEARCH("-",Calculos!$H35,1)-1,$K$3:$L$9,2,0)&amp;Calculos!$H35,"")</f>
        <v/>
      </c>
      <c r="N35" s="499" t="str">
        <f ca="1">IFERROR(
IF(ISERROR(VLOOKUP(I35,tb_componentes_proibidos[[n_cas_corrigido]:[Componente_proibido]],1,0)),"",$H35),"")</f>
        <v/>
      </c>
      <c r="O35" s="499" t="str" cm="1">
        <f t="array" aca="1" ref="O35" ca="1">IFERROR(
INDEX($N$4:$N$43,MATCH(0,INDEX(COUNTIF($O$1:O34,$N$4:$N$43),),)),"")</f>
        <v/>
      </c>
      <c r="P35" s="499" t="str">
        <f ca="1">IFERROR(
VLOOKUP(O35,tb_componentes_proibidos[[n_cas]:[Componente_proibido]],3,0),"")</f>
        <v/>
      </c>
      <c r="Q35" s="499" t="str">
        <f t="shared" ca="1" si="4"/>
        <v/>
      </c>
      <c r="R35" s="499" t="str">
        <f t="shared" ca="1" si="5"/>
        <v/>
      </c>
      <c r="U35" s="501" cm="1">
        <f t="array" aca="1" ref="U35" ca="1">INDIRECT($F$2&amp;$U$2&amp;G35,1)</f>
        <v>0</v>
      </c>
      <c r="V35" s="502" t="str">
        <f ca="1">IF(H35&lt;&gt;"",
IFERROR(
VLOOKUP(I35,tb_ingredientes[[n_cas_corrigido]:[ingrediente_ativo]],2,0),
IFERROR(VLOOKUP(I35,tb_componentes[[n_cas_corrigido]:[Componente]],2,0),"Informar nome do componente")),"")</f>
        <v/>
      </c>
      <c r="W35" s="502" t="str">
        <f t="shared" ca="1" si="0"/>
        <v/>
      </c>
      <c r="X35" s="492" cm="1">
        <f t="array" aca="1" ref="X35" ca="1">IF(Y35=1,INDIRECT($F$2&amp;$X$2&amp;G35,1),0)</f>
        <v>0</v>
      </c>
      <c r="Y35" s="492" cm="1">
        <f t="array" aca="1" ref="Y35" ca="1">IF(INDIRECT($F$2&amp;$Y$2&amp;G35,1)="Sim",1,0)</f>
        <v>0</v>
      </c>
      <c r="Z35" s="492" t="str">
        <f ca="1">IF(U35="sim",Calculos!V35&amp;" - "&amp;X35&amp;" "&amp;$AE$10&amp;" ("&amp;IFERROR(TRUNC(W35,4)*100,"")&amp;"%)","")</f>
        <v/>
      </c>
      <c r="AA35" s="492" t="str" cm="1">
        <f t="array" aca="1" ref="AA35" ca="1">IFERROR(
INDEX($Z$4:$Z$43,MATCH(0,INDEX(COUNTIF($AA$1:AA34,$Z$4:$Z$43),),)),"")</f>
        <v/>
      </c>
      <c r="AB35" s="492" t="str">
        <f t="shared" ca="1" si="1"/>
        <v/>
      </c>
      <c r="AC35" s="492" t="str" cm="1">
        <f t="array" aca="1" ref="AC35" ca="1">IF(INDIRECT($F$2&amp;$AC$2&amp;G35)&lt;&gt;0,INDIRECT($F$2&amp;$AC$2&amp;G35),"")</f>
        <v/>
      </c>
      <c r="AF35" s="470" t="s">
        <v>5510</v>
      </c>
      <c r="AG35" s="492" t="str">
        <f t="shared" ca="1" si="29"/>
        <v/>
      </c>
      <c r="AH35" s="492" t="str" cm="1">
        <f t="array" aca="1" ref="AH35" ca="1">IF(INDIRECT($AH$19&amp;"I"&amp;AI35,1)=0,"",INDIRECT($AH$19&amp;"I"&amp;AI35,1)&amp;" (reg. "&amp;INDIRECT($AH$19&amp;"K"&amp;AI35,1)&amp;")"&amp;CHAR(10))</f>
        <v/>
      </c>
      <c r="AI35" s="476">
        <v>25</v>
      </c>
      <c r="AK35" s="470" t="s">
        <v>5510</v>
      </c>
      <c r="AR35" s="470" t="s">
        <v>5510</v>
      </c>
      <c r="AV35" s="469" t="s">
        <v>5510</v>
      </c>
      <c r="BB35" s="469" t="s">
        <v>5510</v>
      </c>
      <c r="BF35" s="469" t="s">
        <v>5510</v>
      </c>
      <c r="BG35" s="469">
        <v>10</v>
      </c>
      <c r="BH35" s="539" t="s">
        <v>8038</v>
      </c>
      <c r="BI35" s="539">
        <f t="shared" si="34"/>
        <v>39</v>
      </c>
      <c r="BJ35" s="539" cm="1">
        <f t="array" aca="1" ref="BJ35" ca="1">INDIRECT($BM$2&amp;BJ$7&amp;$BI35,1)</f>
        <v>0</v>
      </c>
      <c r="BK35" s="539" cm="1">
        <f t="array" aca="1" ref="BK35" ca="1">INDIRECT($BM$2&amp;BK$7&amp;$BI35,1)</f>
        <v>0</v>
      </c>
      <c r="BL35" s="539" cm="1">
        <f t="array" aca="1" ref="BL35" ca="1">INDIRECT($BM$2&amp;BL$7&amp;$BI35,1)</f>
        <v>0</v>
      </c>
      <c r="BM35" s="539" cm="1">
        <f t="array" aca="1" ref="BM35" ca="1">INDIRECT($BM$2&amp;BM$7&amp;$BI35,1)</f>
        <v>0</v>
      </c>
      <c r="BN35" s="539" cm="1">
        <f t="array" aca="1" ref="BN35" ca="1">INDIRECT($BM$2&amp;BN$7&amp;$BI35,1)</f>
        <v>0</v>
      </c>
      <c r="BO35" s="539" t="str">
        <f t="shared" ca="1" si="31"/>
        <v>-</v>
      </c>
      <c r="BP35" s="494" t="s">
        <v>8222</v>
      </c>
      <c r="BQ35" s="20"/>
      <c r="BR35" s="469">
        <v>10</v>
      </c>
      <c r="BS35" s="539" t="s">
        <v>8038</v>
      </c>
      <c r="BT35" s="539">
        <f t="shared" si="35"/>
        <v>385</v>
      </c>
      <c r="BU35" s="539" cm="1">
        <f t="array" aca="1" ref="BU35" ca="1">INDIRECT($BM$2&amp;BU$7&amp;$BT35,1)</f>
        <v>0</v>
      </c>
      <c r="BV35" s="539" cm="1">
        <f t="array" aca="1" ref="BV35" ca="1">INDIRECT($BM$2&amp;BV$7&amp;$BT35,1)</f>
        <v>0</v>
      </c>
      <c r="BW35" s="539" cm="1">
        <f t="array" aca="1" ref="BW35" ca="1">INDIRECT($BM$2&amp;BW$7&amp;$BT35,1)</f>
        <v>0</v>
      </c>
      <c r="BX35" s="539" cm="1">
        <f t="array" aca="1" ref="BX35" ca="1">INDIRECT($BM$2&amp;BX$7&amp;$BT35,1)</f>
        <v>0</v>
      </c>
      <c r="BY35" s="539" cm="1">
        <f t="array" aca="1" ref="BY35" ca="1">INDIRECT($BM$2&amp;BY$7&amp;$BT35,1)</f>
        <v>0</v>
      </c>
      <c r="BZ35" s="539" t="str">
        <f t="shared" ca="1" si="32"/>
        <v>-</v>
      </c>
      <c r="CA35" s="494" t="s">
        <v>8222</v>
      </c>
      <c r="CC35" s="469">
        <v>10</v>
      </c>
      <c r="CD35" s="539" t="s">
        <v>8038</v>
      </c>
      <c r="CE35" s="539">
        <f t="shared" si="36"/>
        <v>731</v>
      </c>
      <c r="CF35" s="539" cm="1">
        <f t="array" aca="1" ref="CF35" ca="1">INDIRECT($BM$2&amp;CF$7&amp;$CE35,1)</f>
        <v>0</v>
      </c>
      <c r="CG35" s="539" cm="1">
        <f t="array" aca="1" ref="CG35" ca="1">INDIRECT($BM$2&amp;CG$7&amp;$CE35,1)</f>
        <v>0</v>
      </c>
      <c r="CH35" s="539" cm="1">
        <f t="array" aca="1" ref="CH35" ca="1">INDIRECT($BM$2&amp;CH$7&amp;$CE35,1)</f>
        <v>0</v>
      </c>
      <c r="CI35" s="539" cm="1">
        <f t="array" aca="1" ref="CI35" ca="1">INDIRECT($BM$2&amp;CI$7&amp;$CE35,1)</f>
        <v>0</v>
      </c>
      <c r="CJ35" s="539" cm="1">
        <f t="array" aca="1" ref="CJ35" ca="1">INDIRECT($BM$2&amp;CJ$7&amp;$CE35,1)</f>
        <v>0</v>
      </c>
      <c r="CK35" s="539" t="str">
        <f t="shared" ca="1" si="33"/>
        <v>-</v>
      </c>
      <c r="CL35" s="494" t="s">
        <v>8222</v>
      </c>
      <c r="CO35" s="573" t="s">
        <v>8063</v>
      </c>
      <c r="CP35" s="574"/>
      <c r="CQ35" s="574"/>
      <c r="CR35" s="575"/>
      <c r="CU35" s="469" t="s">
        <v>5510</v>
      </c>
      <c r="CV35" s="584" t="s">
        <v>5774</v>
      </c>
      <c r="CW35" s="558">
        <f t="shared" si="41"/>
        <v>20</v>
      </c>
      <c r="CX35" s="492" cm="1">
        <f t="array" aca="1" ref="CX35" ca="1">INDIRECT($DD$2&amp;CX$28&amp;$CW35)</f>
        <v>0</v>
      </c>
      <c r="CY35" s="492" cm="1">
        <f t="array" aca="1" ref="CY35" ca="1">INDIRECT($DD$2&amp;CY$28&amp;$CW35)</f>
        <v>0</v>
      </c>
      <c r="CZ35" s="492" cm="1">
        <f t="array" aca="1" ref="CZ35" ca="1">INDIRECT($DD$2&amp;CZ$28&amp;$CW35)</f>
        <v>0</v>
      </c>
      <c r="DA35" s="492" cm="1">
        <f t="array" aca="1" ref="DA35" ca="1">INDIRECT($DD$2&amp;DA$28&amp;$CW35)</f>
        <v>0</v>
      </c>
      <c r="DB35" s="492" cm="1">
        <f t="array" aca="1" ref="DB35" ca="1">INDIRECT($DD$2&amp;DB$28&amp;$CW35)</f>
        <v>0</v>
      </c>
      <c r="DC35" s="492" cm="1">
        <f t="array" aca="1" ref="DC35" ca="1">INDIRECT($DD$2&amp;DC$28&amp;$CW35)</f>
        <v>0</v>
      </c>
      <c r="DD35" s="492" t="str">
        <f t="shared" ca="1" si="39"/>
        <v/>
      </c>
      <c r="DE35" s="492" t="str">
        <f t="shared" ca="1" si="40"/>
        <v/>
      </c>
      <c r="DF35" s="372"/>
      <c r="DG35" s="25" t="s">
        <v>164</v>
      </c>
      <c r="DH35" s="492" t="str">
        <f ca="1">IF(SUM(CX71:DC80)&gt;0,"Preenchido","Pendente")</f>
        <v>Pendente</v>
      </c>
      <c r="DI35" s="372"/>
      <c r="DJ35" s="372"/>
      <c r="DK35" s="372"/>
      <c r="DL35" s="589" t="s">
        <v>255</v>
      </c>
      <c r="DM35" s="589" t="s">
        <v>6515</v>
      </c>
      <c r="DN35" s="372"/>
      <c r="EQ35" s="469" t="s">
        <v>5510</v>
      </c>
      <c r="ES35" s="504" t="s">
        <v>8176</v>
      </c>
      <c r="ET35" s="507" t="s">
        <v>8180</v>
      </c>
      <c r="EU35" s="585">
        <v>36</v>
      </c>
      <c r="EW35" s="22" t="str" cm="1">
        <f t="array" aca="1" ref="EW35" ca="1">IF(INDIRECT($ET$31&amp;EU35)=0,"-",INDIRECT($ET$31&amp;EU35))</f>
        <v>-</v>
      </c>
      <c r="EX35" s="22" t="str" cm="1">
        <f t="array" aca="1" ref="EX35" ca="1">IF(INDIRECT($ET$32&amp;EU35)=0,"",INDIRECT($ET$32&amp;EU35))</f>
        <v/>
      </c>
      <c r="EY35" s="22" t="str" cm="1">
        <f t="array" aca="1" ref="EY35" ca="1">INDIRECT($ET$33&amp;EU35)</f>
        <v/>
      </c>
      <c r="EZ35" s="22" t="str" cm="1">
        <f t="array" aca="1" ref="EZ35" ca="1">IF(INDIRECT($ET$34&amp;EU35)=0,"",INDIRECT($ET$34&amp;EU35))</f>
        <v/>
      </c>
      <c r="FA35" s="22" t="str" cm="1">
        <f t="array" aca="1" ref="FA35" ca="1">IF(INDIRECT($ET$35&amp;EU35)=0,"",INDIRECT($ET$35&amp;EU35))</f>
        <v/>
      </c>
      <c r="FB35" s="22" t="str" cm="1">
        <f t="array" aca="1" ref="FB35" ca="1">IF(INDIRECT($ET$36&amp;EU35)=0,"",INDIRECT($ET$36&amp;EU35))</f>
        <v/>
      </c>
      <c r="FC35" s="22" t="str" cm="1">
        <f t="array" aca="1" ref="FC35" ca="1">IF(INDIRECT($ET$37&amp;EU35)=0,"",INDIRECT($ET$37&amp;EU35))</f>
        <v/>
      </c>
      <c r="GC35" s="472" t="s">
        <v>5510</v>
      </c>
      <c r="GY35" s="492" t="str">
        <f t="shared" ca="1" si="42"/>
        <v/>
      </c>
      <c r="GZ35" s="495" t="str" cm="1">
        <f t="array" aca="1" ref="GZ35" ca="1">IFERROR(
IF(
AND(
 GY35&lt;&gt;"",
  ISERR(FIND(HA$31, $GY35)),
  ISERR(FIND(HB$31, $GY35)),
  ISERR(FIND(HC$31, $GY35))),
_xlfn.XLOOKUP(TRIM($GY35), tb_codigos_GHS_ABNT[Código], tb_codigos_GHS_ABNT[Código] &amp; ": " &amp; tb_codigos_GHS_ABNT[Frases de perigo]),
""),"-")</f>
        <v/>
      </c>
      <c r="HA35" s="495" t="str">
        <f t="shared" ca="1" si="43"/>
        <v/>
      </c>
      <c r="HB35" s="495" t="str">
        <f t="shared" ca="1" si="44"/>
        <v/>
      </c>
      <c r="HC35" s="495" t="str">
        <f t="shared" ca="1" si="45"/>
        <v/>
      </c>
      <c r="HD35" s="586"/>
      <c r="HE35" s="586"/>
      <c r="HF35" s="586" t="str" cm="1">
        <f t="array" ref="HF35">IFERROR(
IF(HE35&lt;&gt;"",_xlfn.XLOOKUP(HE35, tb_codigos_GHS_ABNT[Código], tb_codigos_GHS_ABNT[Código] &amp; ": " &amp; tb_codigos_GHS_ABNT[Frases de perigo]),
""),"Frase de perigo: -Erro-")</f>
        <v/>
      </c>
      <c r="HJ35" s="501"/>
      <c r="HK35" s="501" t="s">
        <v>28</v>
      </c>
      <c r="HL35" s="518" t="s">
        <v>5850</v>
      </c>
      <c r="HM35" s="568" t="s">
        <v>5821</v>
      </c>
      <c r="HN35" s="518" t="s">
        <v>5821</v>
      </c>
      <c r="HO35" s="569" t="s">
        <v>5890</v>
      </c>
      <c r="HP35" s="492" t="s">
        <v>5879</v>
      </c>
    </row>
    <row r="36" spans="1:224" x14ac:dyDescent="0.25">
      <c r="G36" s="497">
        <v>64</v>
      </c>
      <c r="H36" s="498" t="str" cm="1">
        <f t="array" aca="1" ref="H36" ca="1">IF(
OR(INDIRECT($F$2&amp;$G$2&amp;$G36,1)&lt;&gt;"",INDIRECT($F$2&amp;$H$2&amp;G36,1)&lt;&gt;""),
INDIRECT($F$2&amp;$H$2&amp;G36,1),
"")</f>
        <v/>
      </c>
      <c r="I36" s="498" t="str">
        <f ca="1">IFERROR(
VLOOKUP(SEARCH("-",Calculos!$H36,1)-1,$K$3:$L$9,2,0)&amp;Calculos!$H36,"")</f>
        <v/>
      </c>
      <c r="N36" s="499" t="str">
        <f ca="1">IFERROR(
IF(ISERROR(VLOOKUP(I36,tb_componentes_proibidos[[n_cas_corrigido]:[Componente_proibido]],1,0)),"",$H36),"")</f>
        <v/>
      </c>
      <c r="O36" s="499" t="str" cm="1">
        <f t="array" aca="1" ref="O36" ca="1">IFERROR(
INDEX($N$4:$N$43,MATCH(0,INDEX(COUNTIF($O$1:O35,$N$4:$N$43),),)),"")</f>
        <v/>
      </c>
      <c r="P36" s="499" t="str">
        <f ca="1">IFERROR(
VLOOKUP(O36,tb_componentes_proibidos[[n_cas]:[Componente_proibido]],3,0),"")</f>
        <v/>
      </c>
      <c r="Q36" s="499" t="str">
        <f t="shared" ca="1" si="4"/>
        <v/>
      </c>
      <c r="R36" s="499" t="str">
        <f t="shared" ca="1" si="5"/>
        <v/>
      </c>
      <c r="U36" s="501" cm="1">
        <f t="array" aca="1" ref="U36" ca="1">INDIRECT($F$2&amp;$U$2&amp;G36,1)</f>
        <v>0</v>
      </c>
      <c r="V36" s="502" t="str">
        <f ca="1">IF(H36&lt;&gt;"",
IFERROR(
VLOOKUP(I36,tb_ingredientes[[n_cas_corrigido]:[ingrediente_ativo]],2,0),
IFERROR(VLOOKUP(I36,tb_componentes[[n_cas_corrigido]:[Componente]],2,0),"Informar nome do componente")),"")</f>
        <v/>
      </c>
      <c r="W36" s="502" t="str">
        <f t="shared" ca="1" si="0"/>
        <v/>
      </c>
      <c r="X36" s="492" cm="1">
        <f t="array" aca="1" ref="X36" ca="1">IF(Y36=1,INDIRECT($F$2&amp;$X$2&amp;G36,1),0)</f>
        <v>0</v>
      </c>
      <c r="Y36" s="492" cm="1">
        <f t="array" aca="1" ref="Y36" ca="1">IF(INDIRECT($F$2&amp;$Y$2&amp;G36,1)="Sim",1,0)</f>
        <v>0</v>
      </c>
      <c r="Z36" s="492" t="str">
        <f ca="1">IF(U36="sim",Calculos!V36&amp;" - "&amp;X36&amp;" "&amp;$AE$10&amp;" ("&amp;IFERROR(TRUNC(W36,4)*100,"")&amp;"%)","")</f>
        <v/>
      </c>
      <c r="AA36" s="492" t="str" cm="1">
        <f t="array" aca="1" ref="AA36" ca="1">IFERROR(
INDEX($Z$4:$Z$43,MATCH(0,INDEX(COUNTIF($AA$1:AA35,$Z$4:$Z$43),),)),"")</f>
        <v/>
      </c>
      <c r="AB36" s="492" t="str">
        <f t="shared" ca="1" si="1"/>
        <v/>
      </c>
      <c r="AC36" s="492" t="str" cm="1">
        <f t="array" aca="1" ref="AC36" ca="1">IF(INDIRECT($F$2&amp;$AC$2&amp;G36)&lt;&gt;0,INDIRECT($F$2&amp;$AC$2&amp;G36),"")</f>
        <v/>
      </c>
      <c r="AF36" s="470" t="s">
        <v>5510</v>
      </c>
      <c r="AG36" s="469"/>
      <c r="AI36" s="469"/>
      <c r="AK36" s="470" t="s">
        <v>5510</v>
      </c>
      <c r="AR36" s="470" t="s">
        <v>5510</v>
      </c>
      <c r="AV36" s="469" t="s">
        <v>5510</v>
      </c>
      <c r="BB36" s="469" t="s">
        <v>5510</v>
      </c>
      <c r="BF36" s="469" t="s">
        <v>5510</v>
      </c>
      <c r="BG36" s="469">
        <v>11</v>
      </c>
      <c r="BH36" s="539" t="s">
        <v>8038</v>
      </c>
      <c r="BI36" s="539">
        <f t="shared" si="34"/>
        <v>40</v>
      </c>
      <c r="BJ36" s="539" cm="1">
        <f t="array" aca="1" ref="BJ36" ca="1">INDIRECT($BM$2&amp;BJ$7&amp;$BI36,1)</f>
        <v>0</v>
      </c>
      <c r="BK36" s="539" cm="1">
        <f t="array" aca="1" ref="BK36" ca="1">INDIRECT($BM$2&amp;BK$7&amp;$BI36,1)</f>
        <v>0</v>
      </c>
      <c r="BL36" s="539" cm="1">
        <f t="array" aca="1" ref="BL36" ca="1">INDIRECT($BM$2&amp;BL$7&amp;$BI36,1)</f>
        <v>0</v>
      </c>
      <c r="BM36" s="539" cm="1">
        <f t="array" aca="1" ref="BM36" ca="1">INDIRECT($BM$2&amp;BM$7&amp;$BI36,1)</f>
        <v>0</v>
      </c>
      <c r="BN36" s="539" cm="1">
        <f t="array" aca="1" ref="BN36" ca="1">INDIRECT($BM$2&amp;BN$7&amp;$BI36,1)</f>
        <v>0</v>
      </c>
      <c r="BO36" s="539" t="str">
        <f t="shared" ca="1" si="31"/>
        <v>-</v>
      </c>
      <c r="BP36" s="494" t="s">
        <v>8222</v>
      </c>
      <c r="BQ36" s="20"/>
      <c r="BR36" s="469">
        <v>11</v>
      </c>
      <c r="BS36" s="539" t="s">
        <v>8038</v>
      </c>
      <c r="BT36" s="539">
        <f t="shared" si="35"/>
        <v>386</v>
      </c>
      <c r="BU36" s="539" cm="1">
        <f t="array" aca="1" ref="BU36" ca="1">INDIRECT($BM$2&amp;BU$7&amp;$BT36,1)</f>
        <v>0</v>
      </c>
      <c r="BV36" s="539" cm="1">
        <f t="array" aca="1" ref="BV36" ca="1">INDIRECT($BM$2&amp;BV$7&amp;$BT36,1)</f>
        <v>0</v>
      </c>
      <c r="BW36" s="539" cm="1">
        <f t="array" aca="1" ref="BW36" ca="1">INDIRECT($BM$2&amp;BW$7&amp;$BT36,1)</f>
        <v>0</v>
      </c>
      <c r="BX36" s="539" cm="1">
        <f t="array" aca="1" ref="BX36" ca="1">INDIRECT($BM$2&amp;BX$7&amp;$BT36,1)</f>
        <v>0</v>
      </c>
      <c r="BY36" s="539" cm="1">
        <f t="array" aca="1" ref="BY36" ca="1">INDIRECT($BM$2&amp;BY$7&amp;$BT36,1)</f>
        <v>0</v>
      </c>
      <c r="BZ36" s="539" t="str">
        <f t="shared" ca="1" si="32"/>
        <v>-</v>
      </c>
      <c r="CA36" s="494" t="s">
        <v>8222</v>
      </c>
      <c r="CC36" s="469">
        <v>11</v>
      </c>
      <c r="CD36" s="539" t="s">
        <v>8038</v>
      </c>
      <c r="CE36" s="539">
        <f t="shared" si="36"/>
        <v>732</v>
      </c>
      <c r="CF36" s="539" cm="1">
        <f t="array" aca="1" ref="CF36" ca="1">INDIRECT($BM$2&amp;CF$7&amp;$CE36,1)</f>
        <v>0</v>
      </c>
      <c r="CG36" s="539" cm="1">
        <f t="array" aca="1" ref="CG36" ca="1">INDIRECT($BM$2&amp;CG$7&amp;$CE36,1)</f>
        <v>0</v>
      </c>
      <c r="CH36" s="539" cm="1">
        <f t="array" aca="1" ref="CH36" ca="1">INDIRECT($BM$2&amp;CH$7&amp;$CE36,1)</f>
        <v>0</v>
      </c>
      <c r="CI36" s="539" cm="1">
        <f t="array" aca="1" ref="CI36" ca="1">INDIRECT($BM$2&amp;CI$7&amp;$CE36,1)</f>
        <v>0</v>
      </c>
      <c r="CJ36" s="539" cm="1">
        <f t="array" aca="1" ref="CJ36" ca="1">INDIRECT($BM$2&amp;CJ$7&amp;$CE36,1)</f>
        <v>0</v>
      </c>
      <c r="CK36" s="539" t="str">
        <f t="shared" ca="1" si="33"/>
        <v>-</v>
      </c>
      <c r="CL36" s="494" t="s">
        <v>8222</v>
      </c>
      <c r="CN36" s="571">
        <f>MATCH(CO36&amp;"-",$BS$1:$BS$325,0)</f>
        <v>10</v>
      </c>
      <c r="CO36" s="577" t="s">
        <v>90</v>
      </c>
      <c r="CP36" s="577" t="str" cm="1">
        <f t="array" aca="1" ref="CP36" ca="1">IF(INDIRECT($CP$34&amp;CN36)=0,"---","Preenchido")</f>
        <v>---</v>
      </c>
      <c r="CQ36" s="577" t="s">
        <v>95</v>
      </c>
      <c r="CR36" s="577" t="str" cm="1">
        <f t="array" aca="1" ref="CR36" ca="1">IF(INDIRECT($CP$34&amp;CS36)=0,"---","Preenchido")</f>
        <v>---</v>
      </c>
      <c r="CS36" s="571">
        <f>MATCH(CQ36&amp;"-",$BS$1:$BS$325,0)</f>
        <v>170</v>
      </c>
      <c r="CU36" s="469" t="s">
        <v>5510</v>
      </c>
      <c r="CV36" s="584" t="s">
        <v>5774</v>
      </c>
      <c r="CW36" s="558">
        <f t="shared" si="41"/>
        <v>21</v>
      </c>
      <c r="CX36" s="492" cm="1">
        <f t="array" aca="1" ref="CX36" ca="1">INDIRECT($DD$2&amp;CX$28&amp;$CW36)</f>
        <v>0</v>
      </c>
      <c r="CY36" s="492" cm="1">
        <f t="array" aca="1" ref="CY36" ca="1">INDIRECT($DD$2&amp;CY$28&amp;$CW36)</f>
        <v>0</v>
      </c>
      <c r="CZ36" s="492" cm="1">
        <f t="array" aca="1" ref="CZ36" ca="1">INDIRECT($DD$2&amp;CZ$28&amp;$CW36)</f>
        <v>0</v>
      </c>
      <c r="DA36" s="492" cm="1">
        <f t="array" aca="1" ref="DA36" ca="1">INDIRECT($DD$2&amp;DA$28&amp;$CW36)</f>
        <v>0</v>
      </c>
      <c r="DB36" s="492" cm="1">
        <f t="array" aca="1" ref="DB36" ca="1">INDIRECT($DD$2&amp;DB$28&amp;$CW36)</f>
        <v>0</v>
      </c>
      <c r="DC36" s="492" cm="1">
        <f t="array" aca="1" ref="DC36" ca="1">INDIRECT($DD$2&amp;DC$28&amp;$CW36)</f>
        <v>0</v>
      </c>
      <c r="DD36" s="492" t="str">
        <f t="shared" ca="1" si="39"/>
        <v/>
      </c>
      <c r="DE36" s="492" t="str">
        <f t="shared" ca="1" si="40"/>
        <v/>
      </c>
      <c r="DF36" s="372"/>
      <c r="DG36" s="25" t="s">
        <v>165</v>
      </c>
      <c r="DH36" s="492" t="str">
        <f ca="1">IF(SUM(CX81:DC90)&gt;0,"Preenchido","Pendente")</f>
        <v>Pendente</v>
      </c>
      <c r="DI36" s="372"/>
      <c r="DJ36" s="372"/>
      <c r="DK36" s="479" t="s">
        <v>8136</v>
      </c>
      <c r="DL36" s="480" t="str">
        <f>Tabelas_fonte!AQ30</f>
        <v>Manual (microscópio)</v>
      </c>
      <c r="DM36" s="590">
        <v>0.2</v>
      </c>
      <c r="DN36" s="372"/>
      <c r="EQ36" s="469" t="s">
        <v>5510</v>
      </c>
      <c r="ES36" s="504" t="s">
        <v>8177</v>
      </c>
      <c r="ET36" s="507" t="s">
        <v>8181</v>
      </c>
      <c r="EU36" s="585">
        <v>37</v>
      </c>
      <c r="EW36" s="22" t="str" cm="1">
        <f t="array" aca="1" ref="EW36" ca="1">IF(INDIRECT($ET$31&amp;EU36)=0,"-",INDIRECT($ET$31&amp;EU36))</f>
        <v>-</v>
      </c>
      <c r="EX36" s="22" t="str" cm="1">
        <f t="array" aca="1" ref="EX36" ca="1">IF(INDIRECT($ET$32&amp;EU36)=0,"",INDIRECT($ET$32&amp;EU36))</f>
        <v/>
      </c>
      <c r="EY36" s="22" t="str" cm="1">
        <f t="array" aca="1" ref="EY36" ca="1">INDIRECT($ET$33&amp;EU36)</f>
        <v/>
      </c>
      <c r="EZ36" s="22" t="str" cm="1">
        <f t="array" aca="1" ref="EZ36" ca="1">IF(INDIRECT($ET$34&amp;EU36)=0,"",INDIRECT($ET$34&amp;EU36))</f>
        <v/>
      </c>
      <c r="FA36" s="22" t="str" cm="1">
        <f t="array" aca="1" ref="FA36" ca="1">IF(INDIRECT($ET$35&amp;EU36)=0,"",INDIRECT($ET$35&amp;EU36))</f>
        <v/>
      </c>
      <c r="FB36" s="22" t="str" cm="1">
        <f t="array" aca="1" ref="FB36" ca="1">IF(INDIRECT($ET$36&amp;EU36)=0,"",INDIRECT($ET$36&amp;EU36))</f>
        <v/>
      </c>
      <c r="FC36" s="22" t="str" cm="1">
        <f t="array" aca="1" ref="FC36" ca="1">IF(INDIRECT($ET$37&amp;EU36)=0,"",INDIRECT($ET$37&amp;EU36))</f>
        <v/>
      </c>
      <c r="GC36" s="472" t="s">
        <v>5510</v>
      </c>
      <c r="GY36" s="492" t="str">
        <f t="shared" ca="1" si="42"/>
        <v/>
      </c>
      <c r="GZ36" s="495" t="str" cm="1">
        <f t="array" aca="1" ref="GZ36" ca="1">IFERROR(
IF(
AND(
 GY36&lt;&gt;"",
  ISERR(FIND(HA$31, $GY36)),
  ISERR(FIND(HB$31, $GY36)),
  ISERR(FIND(HC$31, $GY36))),
_xlfn.XLOOKUP(TRIM($GY36), tb_codigos_GHS_ABNT[Código], tb_codigos_GHS_ABNT[Código] &amp; ": " &amp; tb_codigos_GHS_ABNT[Frases de perigo]),
""),"-")</f>
        <v/>
      </c>
      <c r="HA36" s="495" t="str">
        <f t="shared" ca="1" si="43"/>
        <v/>
      </c>
      <c r="HB36" s="495" t="str">
        <f t="shared" ca="1" si="44"/>
        <v/>
      </c>
      <c r="HC36" s="495" t="str">
        <f t="shared" ca="1" si="45"/>
        <v/>
      </c>
      <c r="HD36" s="586"/>
      <c r="HE36" s="586"/>
      <c r="HF36" s="586" t="str" cm="1">
        <f t="array" ref="HF36">IFERROR(
IF(HE36&lt;&gt;"",_xlfn.XLOOKUP(HE36, tb_codigos_GHS_ABNT[Código], tb_codigos_GHS_ABNT[Código] &amp; ": " &amp; tb_codigos_GHS_ABNT[Frases de perigo]),
""),"Frase de perigo: -Erro-")</f>
        <v/>
      </c>
      <c r="HJ36" s="501"/>
      <c r="HK36" s="501" t="s">
        <v>28</v>
      </c>
      <c r="HL36" s="518" t="s">
        <v>5851</v>
      </c>
      <c r="HM36" s="568" t="s">
        <v>5821</v>
      </c>
      <c r="HN36" s="518" t="s">
        <v>5835</v>
      </c>
      <c r="HO36" s="578" t="s">
        <v>7965</v>
      </c>
      <c r="HP36" s="534" t="s">
        <v>5894</v>
      </c>
    </row>
    <row r="37" spans="1:224" x14ac:dyDescent="0.25">
      <c r="G37" s="497">
        <v>65</v>
      </c>
      <c r="H37" s="498" t="str" cm="1">
        <f t="array" aca="1" ref="H37" ca="1">IF(
OR(INDIRECT($F$2&amp;$G$2&amp;$G37,1)&lt;&gt;"",INDIRECT($F$2&amp;$H$2&amp;G37,1)&lt;&gt;""),
INDIRECT($F$2&amp;$H$2&amp;G37,1),
"")</f>
        <v/>
      </c>
      <c r="I37" s="498" t="str">
        <f ca="1">IFERROR(
VLOOKUP(SEARCH("-",Calculos!$H37,1)-1,$K$3:$L$9,2,0)&amp;Calculos!$H37,"")</f>
        <v/>
      </c>
      <c r="N37" s="499" t="str">
        <f ca="1">IFERROR(
IF(ISERROR(VLOOKUP(I37,tb_componentes_proibidos[[n_cas_corrigido]:[Componente_proibido]],1,0)),"",$H37),"")</f>
        <v/>
      </c>
      <c r="O37" s="499" t="str" cm="1">
        <f t="array" aca="1" ref="O37" ca="1">IFERROR(
INDEX($N$4:$N$43,MATCH(0,INDEX(COUNTIF($O$1:O36,$N$4:$N$43),),)),"")</f>
        <v/>
      </c>
      <c r="P37" s="499" t="str">
        <f ca="1">IFERROR(
VLOOKUP(O37,tb_componentes_proibidos[[n_cas]:[Componente_proibido]],3,0),"")</f>
        <v/>
      </c>
      <c r="Q37" s="499" t="str">
        <f t="shared" ca="1" si="4"/>
        <v/>
      </c>
      <c r="R37" s="499" t="str">
        <f t="shared" ca="1" si="5"/>
        <v/>
      </c>
      <c r="U37" s="501" cm="1">
        <f t="array" aca="1" ref="U37" ca="1">INDIRECT($F$2&amp;$U$2&amp;G37,1)</f>
        <v>0</v>
      </c>
      <c r="V37" s="502" t="str">
        <f ca="1">IF(H37&lt;&gt;"",
IFERROR(
VLOOKUP(I37,tb_ingredientes[[n_cas_corrigido]:[ingrediente_ativo]],2,0),
IFERROR(VLOOKUP(I37,tb_componentes[[n_cas_corrigido]:[Componente]],2,0),"Informar nome do componente")),"")</f>
        <v/>
      </c>
      <c r="W37" s="502" t="str">
        <f t="shared" ca="1" si="0"/>
        <v/>
      </c>
      <c r="X37" s="492" cm="1">
        <f t="array" aca="1" ref="X37" ca="1">IF(Y37=1,INDIRECT($F$2&amp;$X$2&amp;G37,1),0)</f>
        <v>0</v>
      </c>
      <c r="Y37" s="492" cm="1">
        <f t="array" aca="1" ref="Y37" ca="1">IF(INDIRECT($F$2&amp;$Y$2&amp;G37,1)="Sim",1,0)</f>
        <v>0</v>
      </c>
      <c r="Z37" s="492" t="str">
        <f ca="1">IF(U37="sim",Calculos!V37&amp;" - "&amp;X37&amp;" "&amp;$AE$10&amp;" ("&amp;IFERROR(TRUNC(W37,4)*100,"")&amp;"%)","")</f>
        <v/>
      </c>
      <c r="AA37" s="492" t="str" cm="1">
        <f t="array" aca="1" ref="AA37" ca="1">IFERROR(
INDEX($Z$4:$Z$43,MATCH(0,INDEX(COUNTIF($AA$1:AA36,$Z$4:$Z$43),),)),"")</f>
        <v/>
      </c>
      <c r="AB37" s="492" t="str">
        <f t="shared" ca="1" si="1"/>
        <v/>
      </c>
      <c r="AC37" s="492" t="str" cm="1">
        <f t="array" aca="1" ref="AC37" ca="1">IF(INDIRECT($F$2&amp;$AC$2&amp;G37)&lt;&gt;0,INDIRECT($F$2&amp;$AC$2&amp;G37),"")</f>
        <v/>
      </c>
      <c r="AF37" s="470" t="s">
        <v>5510</v>
      </c>
      <c r="AG37" s="469"/>
      <c r="AI37" s="469"/>
      <c r="AK37" s="470" t="s">
        <v>5510</v>
      </c>
      <c r="AR37" s="470" t="s">
        <v>5510</v>
      </c>
      <c r="AV37" s="469" t="s">
        <v>5510</v>
      </c>
      <c r="AW37" s="579" t="s">
        <v>5730</v>
      </c>
      <c r="AX37" s="579" t="s">
        <v>5559</v>
      </c>
      <c r="AY37" s="579" t="s">
        <v>5731</v>
      </c>
      <c r="BB37" s="469" t="s">
        <v>5510</v>
      </c>
      <c r="BF37" s="469" t="s">
        <v>5510</v>
      </c>
      <c r="BG37" s="469">
        <v>12</v>
      </c>
      <c r="BH37" s="539" t="s">
        <v>8038</v>
      </c>
      <c r="BI37" s="539">
        <f t="shared" si="34"/>
        <v>41</v>
      </c>
      <c r="BJ37" s="539" cm="1">
        <f t="array" aca="1" ref="BJ37" ca="1">INDIRECT($BM$2&amp;BJ$7&amp;$BI37,1)</f>
        <v>0</v>
      </c>
      <c r="BK37" s="539" cm="1">
        <f t="array" aca="1" ref="BK37" ca="1">INDIRECT($BM$2&amp;BK$7&amp;$BI37,1)</f>
        <v>0</v>
      </c>
      <c r="BL37" s="539" cm="1">
        <f t="array" aca="1" ref="BL37" ca="1">INDIRECT($BM$2&amp;BL$7&amp;$BI37,1)</f>
        <v>0</v>
      </c>
      <c r="BM37" s="539" cm="1">
        <f t="array" aca="1" ref="BM37" ca="1">INDIRECT($BM$2&amp;BM$7&amp;$BI37,1)</f>
        <v>0</v>
      </c>
      <c r="BN37" s="539" t="str" cm="1">
        <f t="array" aca="1" ref="BN37" ca="1">INDIRECT($BM$2&amp;BN$7&amp;$BI37,1)</f>
        <v>-</v>
      </c>
      <c r="BO37" s="539" t="str">
        <f t="shared" ca="1" si="31"/>
        <v>-</v>
      </c>
      <c r="BP37" s="561" t="s">
        <v>8223</v>
      </c>
      <c r="BQ37" s="20"/>
      <c r="BR37" s="469">
        <v>12</v>
      </c>
      <c r="BS37" s="539" t="s">
        <v>8038</v>
      </c>
      <c r="BT37" s="539">
        <f t="shared" si="35"/>
        <v>387</v>
      </c>
      <c r="BU37" s="539" cm="1">
        <f t="array" aca="1" ref="BU37" ca="1">INDIRECT($BM$2&amp;BU$7&amp;$BT37,1)</f>
        <v>0</v>
      </c>
      <c r="BV37" s="539" cm="1">
        <f t="array" aca="1" ref="BV37" ca="1">INDIRECT($BM$2&amp;BV$7&amp;$BT37,1)</f>
        <v>0</v>
      </c>
      <c r="BW37" s="539" cm="1">
        <f t="array" aca="1" ref="BW37" ca="1">INDIRECT($BM$2&amp;BW$7&amp;$BT37,1)</f>
        <v>0</v>
      </c>
      <c r="BX37" s="539" cm="1">
        <f t="array" aca="1" ref="BX37" ca="1">INDIRECT($BM$2&amp;BX$7&amp;$BT37,1)</f>
        <v>0</v>
      </c>
      <c r="BY37" s="539" t="str" cm="1">
        <f t="array" aca="1" ref="BY37" ca="1">INDIRECT($BM$2&amp;BY$7&amp;$BT37,1)</f>
        <v>-</v>
      </c>
      <c r="BZ37" s="539" t="str">
        <f t="shared" ca="1" si="32"/>
        <v>-</v>
      </c>
      <c r="CA37" s="561" t="s">
        <v>8223</v>
      </c>
      <c r="CC37" s="469">
        <v>12</v>
      </c>
      <c r="CD37" s="539" t="s">
        <v>8038</v>
      </c>
      <c r="CE37" s="539">
        <f t="shared" si="36"/>
        <v>733</v>
      </c>
      <c r="CF37" s="539" cm="1">
        <f t="array" aca="1" ref="CF37" ca="1">INDIRECT($BM$2&amp;CF$7&amp;$CE37,1)</f>
        <v>0</v>
      </c>
      <c r="CG37" s="539" cm="1">
        <f t="array" aca="1" ref="CG37" ca="1">INDIRECT($BM$2&amp;CG$7&amp;$CE37,1)</f>
        <v>0</v>
      </c>
      <c r="CH37" s="539" cm="1">
        <f t="array" aca="1" ref="CH37" ca="1">INDIRECT($BM$2&amp;CH$7&amp;$CE37,1)</f>
        <v>0</v>
      </c>
      <c r="CI37" s="539" cm="1">
        <f t="array" aca="1" ref="CI37" ca="1">INDIRECT($BM$2&amp;CI$7&amp;$CE37,1)</f>
        <v>0</v>
      </c>
      <c r="CJ37" s="539" t="str" cm="1">
        <f t="array" aca="1" ref="CJ37" ca="1">INDIRECT($BM$2&amp;CJ$7&amp;$CE37,1)</f>
        <v>-</v>
      </c>
      <c r="CK37" s="539" t="str">
        <f t="shared" ca="1" si="33"/>
        <v>-</v>
      </c>
      <c r="CL37" s="561" t="s">
        <v>8223</v>
      </c>
      <c r="CN37" s="571">
        <f t="shared" ref="CN37:CN40" si="46">MATCH(CO37&amp;"-",$BS$1:$BS$325,0)</f>
        <v>42</v>
      </c>
      <c r="CO37" s="537" t="s">
        <v>91</v>
      </c>
      <c r="CP37" s="577" t="str" cm="1">
        <f t="array" aca="1" ref="CP37" ca="1">IF(INDIRECT($CP$34&amp;CN37)=0,"---","Preenchido")</f>
        <v>---</v>
      </c>
      <c r="CQ37" s="537" t="s">
        <v>96</v>
      </c>
      <c r="CR37" s="577" t="str" cm="1">
        <f t="array" aca="1" ref="CR37" ca="1">IF(INDIRECT($CP$34&amp;CS37)=0,"---","Preenchido")</f>
        <v>---</v>
      </c>
      <c r="CS37" s="571">
        <f t="shared" ref="CS37:CS39" si="47">MATCH(CQ37&amp;"-",$BS$1:$BS$325,0)</f>
        <v>202</v>
      </c>
      <c r="CU37" s="469" t="s">
        <v>5510</v>
      </c>
      <c r="CV37" s="584" t="s">
        <v>5774</v>
      </c>
      <c r="CW37" s="558">
        <f t="shared" si="41"/>
        <v>22</v>
      </c>
      <c r="CX37" s="492" cm="1">
        <f t="array" aca="1" ref="CX37" ca="1">INDIRECT($DD$2&amp;CX$28&amp;$CW37)</f>
        <v>0</v>
      </c>
      <c r="CY37" s="492" cm="1">
        <f t="array" aca="1" ref="CY37" ca="1">INDIRECT($DD$2&amp;CY$28&amp;$CW37)</f>
        <v>0</v>
      </c>
      <c r="CZ37" s="492" cm="1">
        <f t="array" aca="1" ref="CZ37" ca="1">INDIRECT($DD$2&amp;CZ$28&amp;$CW37)</f>
        <v>0</v>
      </c>
      <c r="DA37" s="492" cm="1">
        <f t="array" aca="1" ref="DA37" ca="1">INDIRECT($DD$2&amp;DA$28&amp;$CW37)</f>
        <v>0</v>
      </c>
      <c r="DB37" s="492" cm="1">
        <f t="array" aca="1" ref="DB37" ca="1">INDIRECT($DD$2&amp;DB$28&amp;$CW37)</f>
        <v>0</v>
      </c>
      <c r="DC37" s="492" cm="1">
        <f t="array" aca="1" ref="DC37" ca="1">INDIRECT($DD$2&amp;DC$28&amp;$CW37)</f>
        <v>0</v>
      </c>
      <c r="DD37" s="492" t="str">
        <f t="shared" ca="1" si="39"/>
        <v/>
      </c>
      <c r="DE37" s="492" t="str">
        <f t="shared" ca="1" si="40"/>
        <v/>
      </c>
      <c r="DF37" s="372"/>
      <c r="DG37" s="25" t="s">
        <v>166</v>
      </c>
      <c r="DH37" s="492" t="str">
        <f ca="1">IF(SUM(CX91:DC100)&gt;0,"Preenchido","Pendente")</f>
        <v>Pendente</v>
      </c>
      <c r="DI37" s="372"/>
      <c r="DJ37" s="372"/>
      <c r="DK37" s="479" t="s">
        <v>8136</v>
      </c>
      <c r="DL37" s="480" t="str">
        <f>Tabelas_fonte!AQ31</f>
        <v>Automatizado</v>
      </c>
      <c r="DM37" s="590">
        <v>0.05</v>
      </c>
      <c r="DN37" s="372"/>
      <c r="EQ37" s="469" t="s">
        <v>5510</v>
      </c>
      <c r="ES37" s="504" t="s">
        <v>8178</v>
      </c>
      <c r="ET37" s="507" t="s">
        <v>8182</v>
      </c>
      <c r="EU37" s="585">
        <v>38</v>
      </c>
      <c r="EW37" s="22" t="str" cm="1">
        <f t="array" aca="1" ref="EW37" ca="1">IF(INDIRECT($ET$31&amp;EU37)=0,"-",INDIRECT($ET$31&amp;EU37))</f>
        <v>-</v>
      </c>
      <c r="EX37" s="22" t="str" cm="1">
        <f t="array" aca="1" ref="EX37" ca="1">IF(INDIRECT($ET$32&amp;EU37)=0,"",INDIRECT($ET$32&amp;EU37))</f>
        <v/>
      </c>
      <c r="EY37" s="22" t="str" cm="1">
        <f t="array" aca="1" ref="EY37" ca="1">INDIRECT($ET$33&amp;EU37)</f>
        <v/>
      </c>
      <c r="EZ37" s="22" t="str" cm="1">
        <f t="array" aca="1" ref="EZ37" ca="1">IF(INDIRECT($ET$34&amp;EU37)=0,"",INDIRECT($ET$34&amp;EU37))</f>
        <v/>
      </c>
      <c r="FA37" s="22" t="str" cm="1">
        <f t="array" aca="1" ref="FA37" ca="1">IF(INDIRECT($ET$35&amp;EU37)=0,"",INDIRECT($ET$35&amp;EU37))</f>
        <v/>
      </c>
      <c r="FB37" s="22" t="str" cm="1">
        <f t="array" aca="1" ref="FB37" ca="1">IF(INDIRECT($ET$36&amp;EU37)=0,"",INDIRECT($ET$36&amp;EU37))</f>
        <v/>
      </c>
      <c r="FC37" s="22" t="str" cm="1">
        <f t="array" aca="1" ref="FC37" ca="1">IF(INDIRECT($ET$37&amp;EU37)=0,"",INDIRECT($ET$37&amp;EU37))</f>
        <v/>
      </c>
      <c r="GC37" s="472" t="s">
        <v>5510</v>
      </c>
      <c r="GF37" s="508" t="s">
        <v>5538</v>
      </c>
      <c r="GI37" s="508" t="s">
        <v>5539</v>
      </c>
      <c r="GJ37" s="591"/>
      <c r="GK37" s="592"/>
      <c r="GY37" s="492" t="str">
        <f t="shared" ca="1" si="42"/>
        <v/>
      </c>
      <c r="GZ37" s="495" t="str" cm="1">
        <f t="array" aca="1" ref="GZ37" ca="1">IFERROR(
IF(
AND(
 GY37&lt;&gt;"",
  ISERR(FIND(HA$31, $GY37)),
  ISERR(FIND(HB$31, $GY37)),
  ISERR(FIND(HC$31, $GY37))),
_xlfn.XLOOKUP(TRIM($GY37), tb_codigos_GHS_ABNT[Código], tb_codigos_GHS_ABNT[Código] &amp; ": " &amp; tb_codigos_GHS_ABNT[Frases de perigo]),
""),"-")</f>
        <v/>
      </c>
      <c r="HA37" s="495" t="str">
        <f t="shared" ca="1" si="43"/>
        <v/>
      </c>
      <c r="HB37" s="495" t="str">
        <f t="shared" ca="1" si="44"/>
        <v/>
      </c>
      <c r="HC37" s="495" t="str">
        <f t="shared" ca="1" si="45"/>
        <v/>
      </c>
      <c r="HD37" s="586"/>
      <c r="HE37" s="586"/>
      <c r="HF37" s="586" t="str" cm="1">
        <f t="array" ref="HF37">IFERROR(
IF(HE37&lt;&gt;"",_xlfn.XLOOKUP(HE37, tb_codigos_GHS_ABNT[Código], tb_codigos_GHS_ABNT[Código] &amp; ": " &amp; tb_codigos_GHS_ABNT[Frases de perigo]),
""),"Frase de perigo: -Erro-")</f>
        <v/>
      </c>
      <c r="HJ37" s="501"/>
      <c r="HK37" s="501" t="s">
        <v>28</v>
      </c>
      <c r="HL37" s="518" t="s">
        <v>224</v>
      </c>
      <c r="HM37" s="568" t="s">
        <v>5835</v>
      </c>
      <c r="HN37" s="426"/>
    </row>
    <row r="38" spans="1:224" x14ac:dyDescent="0.25">
      <c r="G38" s="497">
        <v>66</v>
      </c>
      <c r="H38" s="498" t="str" cm="1">
        <f t="array" aca="1" ref="H38" ca="1">IF(
OR(INDIRECT($F$2&amp;$G$2&amp;$G38,1)&lt;&gt;"",INDIRECT($F$2&amp;$H$2&amp;G38,1)&lt;&gt;""),
INDIRECT($F$2&amp;$H$2&amp;G38,1),
"")</f>
        <v/>
      </c>
      <c r="I38" s="498" t="str">
        <f ca="1">IFERROR(
VLOOKUP(SEARCH("-",Calculos!$H38,1)-1,$K$3:$L$9,2,0)&amp;Calculos!$H38,"")</f>
        <v/>
      </c>
      <c r="N38" s="499" t="str">
        <f ca="1">IFERROR(
IF(ISERROR(VLOOKUP(I38,tb_componentes_proibidos[[n_cas_corrigido]:[Componente_proibido]],1,0)),"",$H38),"")</f>
        <v/>
      </c>
      <c r="O38" s="499" t="str" cm="1">
        <f t="array" aca="1" ref="O38" ca="1">IFERROR(
INDEX($N$4:$N$43,MATCH(0,INDEX(COUNTIF($O$1:O37,$N$4:$N$43),),)),"")</f>
        <v/>
      </c>
      <c r="P38" s="499" t="str">
        <f ca="1">IFERROR(
VLOOKUP(O38,tb_componentes_proibidos[[n_cas]:[Componente_proibido]],3,0),"")</f>
        <v/>
      </c>
      <c r="Q38" s="499" t="str">
        <f t="shared" ca="1" si="4"/>
        <v/>
      </c>
      <c r="R38" s="499" t="str">
        <f t="shared" ca="1" si="5"/>
        <v/>
      </c>
      <c r="U38" s="501" cm="1">
        <f t="array" aca="1" ref="U38" ca="1">INDIRECT($F$2&amp;$U$2&amp;G38,1)</f>
        <v>0</v>
      </c>
      <c r="V38" s="502" t="str">
        <f ca="1">IF(H38&lt;&gt;"",
IFERROR(
VLOOKUP(I38,tb_ingredientes[[n_cas_corrigido]:[ingrediente_ativo]],2,0),
IFERROR(VLOOKUP(I38,tb_componentes[[n_cas_corrigido]:[Componente]],2,0),"Informar nome do componente")),"")</f>
        <v/>
      </c>
      <c r="W38" s="502" t="str">
        <f t="shared" ca="1" si="0"/>
        <v/>
      </c>
      <c r="X38" s="492" cm="1">
        <f t="array" aca="1" ref="X38" ca="1">IF(Y38=1,INDIRECT($F$2&amp;$X$2&amp;G38,1),0)</f>
        <v>0</v>
      </c>
      <c r="Y38" s="492" cm="1">
        <f t="array" aca="1" ref="Y38" ca="1">IF(INDIRECT($F$2&amp;$Y$2&amp;G38,1)="Sim",1,0)</f>
        <v>0</v>
      </c>
      <c r="Z38" s="492" t="str">
        <f ca="1">IF(U38="sim",Calculos!V38&amp;" - "&amp;X38&amp;" "&amp;$AE$10&amp;" ("&amp;IFERROR(TRUNC(W38,4)*100,"")&amp;"%)","")</f>
        <v/>
      </c>
      <c r="AA38" s="492" t="str" cm="1">
        <f t="array" aca="1" ref="AA38" ca="1">IFERROR(
INDEX($Z$4:$Z$43,MATCH(0,INDEX(COUNTIF($AA$1:AA37,$Z$4:$Z$43),),)),"")</f>
        <v/>
      </c>
      <c r="AB38" s="492" t="str">
        <f t="shared" ca="1" si="1"/>
        <v/>
      </c>
      <c r="AC38" s="492" t="str" cm="1">
        <f t="array" aca="1" ref="AC38" ca="1">IF(INDIRECT($F$2&amp;$AC$2&amp;G38)&lt;&gt;0,INDIRECT($F$2&amp;$AC$2&amp;G38),"")</f>
        <v/>
      </c>
      <c r="AF38" s="470" t="s">
        <v>5510</v>
      </c>
      <c r="AG38" s="469"/>
      <c r="AI38" s="469"/>
      <c r="AK38" s="470" t="s">
        <v>5510</v>
      </c>
      <c r="AR38" s="470" t="s">
        <v>5510</v>
      </c>
      <c r="AV38" s="469" t="s">
        <v>5510</v>
      </c>
      <c r="AW38" s="570" t="s">
        <v>88</v>
      </c>
      <c r="AX38" s="570" cm="1">
        <f t="array" aca="1" ref="AX38" ca="1">INDIRECT("'Ames(1)'!N83",1)</f>
        <v>0</v>
      </c>
      <c r="AY38" s="570" t="str">
        <f ca="1">IF(AX38="sim","Resultado (média)","1ª triplicata")</f>
        <v>1ª triplicata</v>
      </c>
      <c r="BB38" s="469" t="s">
        <v>5510</v>
      </c>
      <c r="BF38" s="469" t="s">
        <v>5510</v>
      </c>
      <c r="BL38" s="372"/>
      <c r="BO38" s="472"/>
      <c r="BQ38" s="20"/>
      <c r="BT38" s="372"/>
      <c r="BU38" s="472"/>
      <c r="BV38" s="472"/>
      <c r="BW38" s="372"/>
      <c r="BX38" s="472"/>
      <c r="BY38" s="372"/>
      <c r="BZ38" s="472"/>
      <c r="CA38" s="372"/>
      <c r="CE38" s="372"/>
      <c r="CF38" s="472"/>
      <c r="CG38" s="472"/>
      <c r="CH38" s="372"/>
      <c r="CI38" s="472"/>
      <c r="CJ38" s="372"/>
      <c r="CK38" s="472"/>
      <c r="CL38" s="372"/>
      <c r="CN38" s="571">
        <f t="shared" si="46"/>
        <v>74</v>
      </c>
      <c r="CO38" s="537" t="s">
        <v>92</v>
      </c>
      <c r="CP38" s="577" t="str" cm="1">
        <f t="array" aca="1" ref="CP38" ca="1">IF(INDIRECT($CP$34&amp;CN38)=0,"---","Preenchido")</f>
        <v>---</v>
      </c>
      <c r="CQ38" s="537" t="s">
        <v>97</v>
      </c>
      <c r="CR38" s="577" t="str" cm="1">
        <f t="array" aca="1" ref="CR38" ca="1">IF(INDIRECT($CP$34&amp;CS38)=0,"---","Preenchido")</f>
        <v>---</v>
      </c>
      <c r="CS38" s="571">
        <f t="shared" si="47"/>
        <v>234</v>
      </c>
      <c r="CU38" s="469" t="s">
        <v>5510</v>
      </c>
      <c r="CV38" s="584" t="s">
        <v>5774</v>
      </c>
      <c r="CW38" s="558">
        <f t="shared" si="41"/>
        <v>23</v>
      </c>
      <c r="CX38" s="492" cm="1">
        <f t="array" aca="1" ref="CX38" ca="1">INDIRECT($DD$2&amp;CX$28&amp;$CW38)</f>
        <v>0</v>
      </c>
      <c r="CY38" s="492" cm="1">
        <f t="array" aca="1" ref="CY38" ca="1">INDIRECT($DD$2&amp;CY$28&amp;$CW38)</f>
        <v>0</v>
      </c>
      <c r="CZ38" s="492" cm="1">
        <f t="array" aca="1" ref="CZ38" ca="1">INDIRECT($DD$2&amp;CZ$28&amp;$CW38)</f>
        <v>0</v>
      </c>
      <c r="DA38" s="492" cm="1">
        <f t="array" aca="1" ref="DA38" ca="1">INDIRECT($DD$2&amp;DA$28&amp;$CW38)</f>
        <v>0</v>
      </c>
      <c r="DB38" s="492" cm="1">
        <f t="array" aca="1" ref="DB38" ca="1">INDIRECT($DD$2&amp;DB$28&amp;$CW38)</f>
        <v>0</v>
      </c>
      <c r="DC38" s="492" cm="1">
        <f t="array" aca="1" ref="DC38" ca="1">INDIRECT($DD$2&amp;DC$28&amp;$CW38)</f>
        <v>0</v>
      </c>
      <c r="DD38" s="492" t="str">
        <f t="shared" ca="1" si="39"/>
        <v/>
      </c>
      <c r="DE38" s="492" t="str">
        <f t="shared" ca="1" si="40"/>
        <v/>
      </c>
      <c r="DF38" s="372"/>
      <c r="DG38" s="25" t="s">
        <v>167</v>
      </c>
      <c r="DH38" s="492" t="str">
        <f ca="1">IF(SUM(CX101:DC110)&gt;0,"Preenchido","Pendente")</f>
        <v>Pendente</v>
      </c>
      <c r="DI38" s="372"/>
      <c r="DJ38" s="372"/>
      <c r="DK38" s="372"/>
      <c r="DL38" s="372"/>
      <c r="DM38" s="372"/>
      <c r="DN38" s="372"/>
      <c r="EQ38" s="469" t="s">
        <v>5510</v>
      </c>
      <c r="ES38" s="504"/>
      <c r="ET38" s="507"/>
      <c r="EU38" s="585">
        <v>39</v>
      </c>
      <c r="EW38" s="22" t="str" cm="1">
        <f t="array" aca="1" ref="EW38" ca="1">IF(INDIRECT($ET$31&amp;EU38)=0,"-",INDIRECT($ET$31&amp;EU38))</f>
        <v>-</v>
      </c>
      <c r="EX38" s="22" t="str" cm="1">
        <f t="array" aca="1" ref="EX38" ca="1">IF(INDIRECT($ET$32&amp;EU38)=0,"",INDIRECT($ET$32&amp;EU38))</f>
        <v/>
      </c>
      <c r="EY38" s="22" t="str" cm="1">
        <f t="array" aca="1" ref="EY38" ca="1">INDIRECT($ET$33&amp;EU38)</f>
        <v/>
      </c>
      <c r="EZ38" s="22" t="str" cm="1">
        <f t="array" aca="1" ref="EZ38" ca="1">IF(INDIRECT($ET$34&amp;EU38)=0,"",INDIRECT($ET$34&amp;EU38))</f>
        <v/>
      </c>
      <c r="FA38" s="22" t="str" cm="1">
        <f t="array" aca="1" ref="FA38" ca="1">IF(INDIRECT($ET$35&amp;EU38)=0,"",INDIRECT($ET$35&amp;EU38))</f>
        <v/>
      </c>
      <c r="FB38" s="22" t="str" cm="1">
        <f t="array" aca="1" ref="FB38" ca="1">IF(INDIRECT($ET$36&amp;EU38)=0,"",INDIRECT($ET$36&amp;EU38))</f>
        <v/>
      </c>
      <c r="FC38" s="22" t="str" cm="1">
        <f t="array" aca="1" ref="FC38" ca="1">IF(INDIRECT($ET$37&amp;EU38)=0,"",INDIRECT($ET$37&amp;EU38))</f>
        <v/>
      </c>
      <c r="GC38" s="472" t="s">
        <v>5510</v>
      </c>
      <c r="GF38" s="593" t="s">
        <v>6156</v>
      </c>
      <c r="GG38" s="593" t="s">
        <v>5734</v>
      </c>
      <c r="GI38" s="594"/>
      <c r="GK38" s="595"/>
      <c r="GM38" s="516"/>
      <c r="GY38" s="492" t="str">
        <f t="shared" ca="1" si="42"/>
        <v/>
      </c>
      <c r="GZ38" s="495" t="str" cm="1">
        <f t="array" aca="1" ref="GZ38" ca="1">IFERROR(
IF(
AND(
 GY38&lt;&gt;"",
  ISERR(FIND(HA$31, $GY38)),
  ISERR(FIND(HB$31, $GY38)),
  ISERR(FIND(HC$31, $GY38))),
_xlfn.XLOOKUP(TRIM($GY38), tb_codigos_GHS_ABNT[Código], tb_codigos_GHS_ABNT[Código] &amp; ": " &amp; tb_codigos_GHS_ABNT[Frases de perigo]),
""),"-")</f>
        <v/>
      </c>
      <c r="HA38" s="495" t="str">
        <f t="shared" ca="1" si="43"/>
        <v/>
      </c>
      <c r="HB38" s="495" t="str">
        <f t="shared" ca="1" si="44"/>
        <v/>
      </c>
      <c r="HC38" s="495" t="str">
        <f t="shared" ca="1" si="45"/>
        <v/>
      </c>
      <c r="HD38" s="586"/>
      <c r="HE38" s="586"/>
      <c r="HF38" s="586" t="str" cm="1">
        <f t="array" ref="HF38">IFERROR(
IF(HE38&lt;&gt;"",_xlfn.XLOOKUP(HE38, tb_codigos_GHS_ABNT[Código], tb_codigos_GHS_ABNT[Código] &amp; ": " &amp; tb_codigos_GHS_ABNT[Frases de perigo]),
""),"Frase de perigo: -Erro-")</f>
        <v/>
      </c>
      <c r="HJ38" s="501"/>
      <c r="HK38" s="501" t="s">
        <v>380</v>
      </c>
      <c r="HL38" s="518" t="s">
        <v>5854</v>
      </c>
      <c r="HM38" s="568" t="s">
        <v>5855</v>
      </c>
      <c r="HN38" s="518" t="s">
        <v>5891</v>
      </c>
      <c r="HO38" s="596" t="s">
        <v>5892</v>
      </c>
      <c r="HP38" s="501" t="s">
        <v>5878</v>
      </c>
    </row>
    <row r="39" spans="1:224" x14ac:dyDescent="0.25">
      <c r="G39" s="497">
        <v>67</v>
      </c>
      <c r="H39" s="498" t="str" cm="1">
        <f t="array" aca="1" ref="H39" ca="1">IF(
OR(INDIRECT($F$2&amp;$G$2&amp;$G39,1)&lt;&gt;"",INDIRECT($F$2&amp;$H$2&amp;G39,1)&lt;&gt;""),
INDIRECT($F$2&amp;$H$2&amp;G39,1),
"")</f>
        <v/>
      </c>
      <c r="I39" s="498" t="str">
        <f ca="1">IFERROR(
VLOOKUP(SEARCH("-",Calculos!$H39,1)-1,$K$3:$L$9,2,0)&amp;Calculos!$H39,"")</f>
        <v/>
      </c>
      <c r="N39" s="499" t="str">
        <f ca="1">IFERROR(
IF(ISERROR(VLOOKUP(I39,tb_componentes_proibidos[[n_cas_corrigido]:[Componente_proibido]],1,0)),"",$H39),"")</f>
        <v/>
      </c>
      <c r="O39" s="499" t="str" cm="1">
        <f t="array" aca="1" ref="O39" ca="1">IFERROR(
INDEX($N$4:$N$43,MATCH(0,INDEX(COUNTIF($O$1:O38,$N$4:$N$43),),)),"")</f>
        <v/>
      </c>
      <c r="P39" s="499" t="str">
        <f ca="1">IFERROR(
VLOOKUP(O39,tb_componentes_proibidos[[n_cas]:[Componente_proibido]],3,0),"")</f>
        <v/>
      </c>
      <c r="Q39" s="499" t="str">
        <f t="shared" ca="1" si="4"/>
        <v/>
      </c>
      <c r="R39" s="499" t="str">
        <f t="shared" ca="1" si="5"/>
        <v/>
      </c>
      <c r="U39" s="501" cm="1">
        <f t="array" aca="1" ref="U39" ca="1">INDIRECT($F$2&amp;$U$2&amp;G39,1)</f>
        <v>0</v>
      </c>
      <c r="V39" s="502" t="str">
        <f ca="1">IF(H39&lt;&gt;"",
IFERROR(
VLOOKUP(I39,tb_ingredientes[[n_cas_corrigido]:[ingrediente_ativo]],2,0),
IFERROR(VLOOKUP(I39,tb_componentes[[n_cas_corrigido]:[Componente]],2,0),"Informar nome do componente")),"")</f>
        <v/>
      </c>
      <c r="W39" s="502" t="str">
        <f t="shared" ca="1" si="0"/>
        <v/>
      </c>
      <c r="X39" s="492" cm="1">
        <f t="array" aca="1" ref="X39" ca="1">IF(Y39=1,INDIRECT($F$2&amp;$X$2&amp;G39,1),0)</f>
        <v>0</v>
      </c>
      <c r="Y39" s="492" cm="1">
        <f t="array" aca="1" ref="Y39" ca="1">IF(INDIRECT($F$2&amp;$Y$2&amp;G39,1)="Sim",1,0)</f>
        <v>0</v>
      </c>
      <c r="Z39" s="492" t="str">
        <f ca="1">IF(U39="sim",Calculos!V39&amp;" - "&amp;X39&amp;" "&amp;$AE$10&amp;" ("&amp;IFERROR(TRUNC(W39,4)*100,"")&amp;"%)","")</f>
        <v/>
      </c>
      <c r="AA39" s="492" t="str" cm="1">
        <f t="array" aca="1" ref="AA39" ca="1">IFERROR(
INDEX($Z$4:$Z$43,MATCH(0,INDEX(COUNTIF($AA$1:AA38,$Z$4:$Z$43),),)),"")</f>
        <v/>
      </c>
      <c r="AB39" s="492" t="str">
        <f t="shared" ca="1" si="1"/>
        <v/>
      </c>
      <c r="AC39" s="492" t="str" cm="1">
        <f t="array" aca="1" ref="AC39" ca="1">IF(INDIRECT($F$2&amp;$AC$2&amp;G39)&lt;&gt;0,INDIRECT($F$2&amp;$AC$2&amp;G39),"")</f>
        <v/>
      </c>
      <c r="AF39" s="470" t="s">
        <v>5510</v>
      </c>
      <c r="AG39" s="469"/>
      <c r="AI39" s="469"/>
      <c r="AK39" s="470" t="s">
        <v>5510</v>
      </c>
      <c r="AR39" s="470" t="s">
        <v>5510</v>
      </c>
      <c r="AV39" s="469" t="s">
        <v>5510</v>
      </c>
      <c r="AW39" s="570" t="s">
        <v>101</v>
      </c>
      <c r="AX39" s="570" cm="1">
        <f t="array" aca="1" ref="AX39" ca="1">INDIRECT("'Ames(1)'!N122",1)</f>
        <v>0</v>
      </c>
      <c r="AY39" s="570" t="str">
        <f ca="1">IF(AX39="sim","Resultado (média)","1ª triplicata")</f>
        <v>1ª triplicata</v>
      </c>
      <c r="BB39" s="469" t="s">
        <v>5510</v>
      </c>
      <c r="BF39" s="469" t="s">
        <v>5510</v>
      </c>
      <c r="BL39" s="372"/>
      <c r="BO39" s="472"/>
      <c r="BQ39" s="20"/>
      <c r="BT39" s="372"/>
      <c r="BU39" s="472"/>
      <c r="BV39" s="472"/>
      <c r="BW39" s="372"/>
      <c r="BX39" s="472"/>
      <c r="BY39" s="372"/>
      <c r="BZ39" s="472"/>
      <c r="CA39" s="372"/>
      <c r="CE39" s="372"/>
      <c r="CF39" s="472"/>
      <c r="CG39" s="472"/>
      <c r="CH39" s="372"/>
      <c r="CI39" s="472"/>
      <c r="CJ39" s="372"/>
      <c r="CK39" s="472"/>
      <c r="CL39" s="372"/>
      <c r="CN39" s="571">
        <f t="shared" si="46"/>
        <v>106</v>
      </c>
      <c r="CO39" s="537" t="s">
        <v>93</v>
      </c>
      <c r="CP39" s="577" t="str" cm="1">
        <f t="array" aca="1" ref="CP39" ca="1">IF(INDIRECT($CP$34&amp;CN39)=0,"---","Preenchido")</f>
        <v>---</v>
      </c>
      <c r="CQ39" s="537" t="s">
        <v>98</v>
      </c>
      <c r="CR39" s="577" t="str" cm="1">
        <f t="array" aca="1" ref="CR39" ca="1">IF(INDIRECT($CP$34&amp;CS39)=0,"---","Preenchido")</f>
        <v>---</v>
      </c>
      <c r="CS39" s="571">
        <f t="shared" si="47"/>
        <v>266</v>
      </c>
      <c r="CU39" s="469" t="s">
        <v>5510</v>
      </c>
      <c r="CV39" s="584" t="s">
        <v>5774</v>
      </c>
      <c r="CW39" s="558">
        <f t="shared" si="41"/>
        <v>24</v>
      </c>
      <c r="CX39" s="492" cm="1">
        <f t="array" aca="1" ref="CX39" ca="1">INDIRECT($DD$2&amp;CX$28&amp;$CW39)</f>
        <v>0</v>
      </c>
      <c r="CY39" s="492" cm="1">
        <f t="array" aca="1" ref="CY39" ca="1">INDIRECT($DD$2&amp;CY$28&amp;$CW39)</f>
        <v>0</v>
      </c>
      <c r="CZ39" s="492" cm="1">
        <f t="array" aca="1" ref="CZ39" ca="1">INDIRECT($DD$2&amp;CZ$28&amp;$CW39)</f>
        <v>0</v>
      </c>
      <c r="DA39" s="492" cm="1">
        <f t="array" aca="1" ref="DA39" ca="1">INDIRECT($DD$2&amp;DA$28&amp;$CW39)</f>
        <v>0</v>
      </c>
      <c r="DB39" s="492" cm="1">
        <f t="array" aca="1" ref="DB39" ca="1">INDIRECT($DD$2&amp;DB$28&amp;$CW39)</f>
        <v>0</v>
      </c>
      <c r="DC39" s="492" cm="1">
        <f t="array" aca="1" ref="DC39" ca="1">INDIRECT($DD$2&amp;DC$28&amp;$CW39)</f>
        <v>0</v>
      </c>
      <c r="DD39" s="492" t="str">
        <f t="shared" ca="1" si="39"/>
        <v/>
      </c>
      <c r="DE39" s="492" t="str">
        <f t="shared" ca="1" si="40"/>
        <v/>
      </c>
      <c r="DF39" s="372"/>
      <c r="DG39" s="372"/>
      <c r="DH39" s="372"/>
      <c r="DI39" s="372"/>
      <c r="DJ39" s="372"/>
      <c r="DK39" s="372"/>
      <c r="DL39" s="479" t="s">
        <v>6518</v>
      </c>
      <c r="DM39" s="597"/>
      <c r="DN39" s="372"/>
      <c r="EQ39" s="469" t="s">
        <v>5510</v>
      </c>
      <c r="ES39" s="504"/>
      <c r="ET39" s="507"/>
      <c r="EU39" s="585">
        <v>40</v>
      </c>
      <c r="EW39" s="22" t="str" cm="1">
        <f t="array" aca="1" ref="EW39" ca="1">IF(INDIRECT($ET$31&amp;EU39)=0,"-",INDIRECT($ET$31&amp;EU39))</f>
        <v>-</v>
      </c>
      <c r="EX39" s="22" t="str" cm="1">
        <f t="array" aca="1" ref="EX39" ca="1">IF(INDIRECT($ET$32&amp;EU39)=0,"",INDIRECT($ET$32&amp;EU39))</f>
        <v/>
      </c>
      <c r="EY39" s="22" t="str" cm="1">
        <f t="array" aca="1" ref="EY39" ca="1">INDIRECT($ET$33&amp;EU39)</f>
        <v/>
      </c>
      <c r="EZ39" s="22" t="str" cm="1">
        <f t="array" aca="1" ref="EZ39" ca="1">IF(INDIRECT($ET$34&amp;EU39)=0,"",INDIRECT($ET$34&amp;EU39))</f>
        <v/>
      </c>
      <c r="FA39" s="22" t="str" cm="1">
        <f t="array" aca="1" ref="FA39" ca="1">IF(INDIRECT($ET$35&amp;EU39)=0,"",INDIRECT($ET$35&amp;EU39))</f>
        <v/>
      </c>
      <c r="FB39" s="22" t="str" cm="1">
        <f t="array" aca="1" ref="FB39" ca="1">IF(INDIRECT($ET$36&amp;EU39)=0,"",INDIRECT($ET$36&amp;EU39))</f>
        <v/>
      </c>
      <c r="FC39" s="22" t="str" cm="1">
        <f t="array" aca="1" ref="FC39" ca="1">IF(INDIRECT($ET$37&amp;EU39)=0,"",INDIRECT($ET$37&amp;EU39))</f>
        <v/>
      </c>
      <c r="GC39" s="472" t="s">
        <v>5510</v>
      </c>
      <c r="GE39" s="593" t="s">
        <v>8003</v>
      </c>
      <c r="GF39" s="593" t="s">
        <v>6328</v>
      </c>
      <c r="GG39" s="593" t="s">
        <v>5857</v>
      </c>
      <c r="GH39" s="593" t="s">
        <v>7765</v>
      </c>
      <c r="GI39" s="598" t="s">
        <v>6328</v>
      </c>
      <c r="GJ39" s="593" t="s">
        <v>5857</v>
      </c>
      <c r="GK39" s="599" t="s">
        <v>7765</v>
      </c>
      <c r="GM39" s="477" t="s">
        <v>116</v>
      </c>
      <c r="GN39" s="477" t="s">
        <v>7805</v>
      </c>
      <c r="GY39" s="492" t="str">
        <f t="shared" ca="1" si="42"/>
        <v/>
      </c>
      <c r="GZ39" s="495" t="str" cm="1">
        <f t="array" aca="1" ref="GZ39" ca="1">IFERROR(
IF(
AND(
 GY39&lt;&gt;"",
  ISERR(FIND(HA$31, $GY39)),
  ISERR(FIND(HB$31, $GY39)),
  ISERR(FIND(HC$31, $GY39))),
_xlfn.XLOOKUP(TRIM($GY39), tb_codigos_GHS_ABNT[Código], tb_codigos_GHS_ABNT[Código] &amp; ": " &amp; tb_codigos_GHS_ABNT[Frases de perigo]),
""),"-")</f>
        <v/>
      </c>
      <c r="HA39" s="495" t="str">
        <f t="shared" ca="1" si="43"/>
        <v/>
      </c>
      <c r="HB39" s="495" t="str">
        <f t="shared" ca="1" si="44"/>
        <v/>
      </c>
      <c r="HC39" s="495" t="str">
        <f t="shared" ca="1" si="45"/>
        <v/>
      </c>
      <c r="HD39" s="586"/>
      <c r="HE39" s="586"/>
      <c r="HF39" s="586" t="str" cm="1">
        <f t="array" ref="HF39">IFERROR(
IF(HE39&lt;&gt;"",_xlfn.XLOOKUP(HE39, tb_codigos_GHS_ABNT[Código], tb_codigos_GHS_ABNT[Código] &amp; ": " &amp; tb_codigos_GHS_ABNT[Frases de perigo]),
""),"Frase de perigo: -Erro-")</f>
        <v/>
      </c>
      <c r="HJ39" s="501"/>
      <c r="HK39" s="501" t="s">
        <v>380</v>
      </c>
      <c r="HL39" s="518" t="s">
        <v>5853</v>
      </c>
      <c r="HM39" s="568" t="s">
        <v>5856</v>
      </c>
      <c r="HN39" s="518" t="s">
        <v>5856</v>
      </c>
      <c r="HO39" s="596" t="s">
        <v>5892</v>
      </c>
      <c r="HP39" s="501" t="s">
        <v>5878</v>
      </c>
    </row>
    <row r="40" spans="1:224" x14ac:dyDescent="0.25">
      <c r="G40" s="497">
        <v>68</v>
      </c>
      <c r="H40" s="498" t="str" cm="1">
        <f t="array" aca="1" ref="H40" ca="1">IF(
OR(INDIRECT($F$2&amp;$G$2&amp;$G40,1)&lt;&gt;"",INDIRECT($F$2&amp;$H$2&amp;G40,1)&lt;&gt;""),
INDIRECT($F$2&amp;$H$2&amp;G40,1),
"")</f>
        <v/>
      </c>
      <c r="I40" s="498" t="str">
        <f ca="1">IFERROR(
VLOOKUP(SEARCH("-",Calculos!$H40,1)-1,$K$3:$L$9,2,0)&amp;Calculos!$H40,"")</f>
        <v/>
      </c>
      <c r="N40" s="499" t="str">
        <f ca="1">IFERROR(
IF(ISERROR(VLOOKUP(I40,tb_componentes_proibidos[[n_cas_corrigido]:[Componente_proibido]],1,0)),"",$H40),"")</f>
        <v/>
      </c>
      <c r="O40" s="499" t="str" cm="1">
        <f t="array" aca="1" ref="O40" ca="1">IFERROR(
INDEX($N$4:$N$43,MATCH(0,INDEX(COUNTIF($O$1:O39,$N$4:$N$43),),)),"")</f>
        <v/>
      </c>
      <c r="P40" s="499" t="str">
        <f ca="1">IFERROR(
VLOOKUP(O40,tb_componentes_proibidos[[n_cas]:[Componente_proibido]],3,0),"")</f>
        <v/>
      </c>
      <c r="Q40" s="499" t="str">
        <f t="shared" ca="1" si="4"/>
        <v/>
      </c>
      <c r="R40" s="499" t="str">
        <f t="shared" ca="1" si="5"/>
        <v/>
      </c>
      <c r="U40" s="501" cm="1">
        <f t="array" aca="1" ref="U40" ca="1">INDIRECT($F$2&amp;$U$2&amp;G40,1)</f>
        <v>0</v>
      </c>
      <c r="V40" s="502" t="str">
        <f ca="1">IF(H40&lt;&gt;"",
IFERROR(
VLOOKUP(I40,tb_ingredientes[[n_cas_corrigido]:[ingrediente_ativo]],2,0),
IFERROR(VLOOKUP(I40,tb_componentes[[n_cas_corrigido]:[Componente]],2,0),"Informar nome do componente")),"")</f>
        <v/>
      </c>
      <c r="W40" s="502" t="str">
        <f t="shared" ca="1" si="0"/>
        <v/>
      </c>
      <c r="X40" s="492" cm="1">
        <f t="array" aca="1" ref="X40" ca="1">IF(Y40=1,INDIRECT($F$2&amp;$X$2&amp;G40,1),0)</f>
        <v>0</v>
      </c>
      <c r="Y40" s="492" cm="1">
        <f t="array" aca="1" ref="Y40" ca="1">IF(INDIRECT($F$2&amp;$Y$2&amp;G40,1)="Sim",1,0)</f>
        <v>0</v>
      </c>
      <c r="Z40" s="492" t="str">
        <f ca="1">IF(U40="sim",Calculos!V40&amp;" - "&amp;X40&amp;" "&amp;$AE$10&amp;" ("&amp;IFERROR(TRUNC(W40,4)*100,"")&amp;"%)","")</f>
        <v/>
      </c>
      <c r="AA40" s="492" t="str" cm="1">
        <f t="array" aca="1" ref="AA40" ca="1">IFERROR(
INDEX($Z$4:$Z$43,MATCH(0,INDEX(COUNTIF($AA$1:AA39,$Z$4:$Z$43),),)),"")</f>
        <v/>
      </c>
      <c r="AB40" s="492" t="str">
        <f t="shared" ca="1" si="1"/>
        <v/>
      </c>
      <c r="AC40" s="492" t="str" cm="1">
        <f t="array" aca="1" ref="AC40" ca="1">IF(INDIRECT($F$2&amp;$AC$2&amp;G40)&lt;&gt;0,INDIRECT($F$2&amp;$AC$2&amp;G40),"")</f>
        <v/>
      </c>
      <c r="AF40" s="470" t="s">
        <v>5510</v>
      </c>
      <c r="AG40" s="469"/>
      <c r="AI40" s="469"/>
      <c r="AK40" s="470" t="s">
        <v>5510</v>
      </c>
      <c r="AR40" s="470" t="s">
        <v>5510</v>
      </c>
      <c r="AV40" s="469" t="s">
        <v>5510</v>
      </c>
      <c r="AW40" s="570" t="s">
        <v>120</v>
      </c>
      <c r="AX40" s="570" cm="1">
        <f t="array" aca="1" ref="AX40" ca="1">INDIRECT("'Ames(1)'!N161",1)</f>
        <v>0</v>
      </c>
      <c r="AY40" s="570" t="str">
        <f ca="1">IF(AX40="sim","Resultado (média)","1ª triplicata")</f>
        <v>1ª triplicata</v>
      </c>
      <c r="BB40" s="469" t="s">
        <v>5510</v>
      </c>
      <c r="BF40" s="469" t="s">
        <v>5510</v>
      </c>
      <c r="BQ40" s="20"/>
      <c r="BT40" s="372"/>
      <c r="BU40" s="472"/>
      <c r="BV40" s="472"/>
      <c r="BW40" s="472"/>
      <c r="BX40" s="472"/>
      <c r="BY40" s="372"/>
      <c r="BZ40" s="372"/>
      <c r="CA40" s="372"/>
      <c r="CE40" s="372"/>
      <c r="CF40" s="472"/>
      <c r="CG40" s="472"/>
      <c r="CH40" s="472"/>
      <c r="CI40" s="472"/>
      <c r="CJ40" s="372"/>
      <c r="CK40" s="372"/>
      <c r="CL40" s="372"/>
      <c r="CN40" s="571">
        <f t="shared" si="46"/>
        <v>138</v>
      </c>
      <c r="CO40" s="537" t="s">
        <v>94</v>
      </c>
      <c r="CP40" s="577" t="str" cm="1">
        <f t="array" aca="1" ref="CP40" ca="1">IF(INDIRECT($CP$34&amp;CN40)=0,"---","Preenchido")</f>
        <v>---</v>
      </c>
      <c r="CQ40" s="537" t="s">
        <v>8224</v>
      </c>
      <c r="CR40" s="577" t="str" cm="1">
        <f t="array" aca="1" ref="CR40" ca="1">IF(INDIRECT($CP$34&amp;CS40)=0,"---","Preenchido")</f>
        <v>---</v>
      </c>
      <c r="CS40" s="571">
        <f>MATCH(CQ40&amp;"-",$BS$1:$BS$325,0)</f>
        <v>298</v>
      </c>
      <c r="CU40" s="469" t="s">
        <v>5510</v>
      </c>
      <c r="CV40" s="600" t="s">
        <v>5774</v>
      </c>
      <c r="CW40" s="558">
        <f t="shared" si="41"/>
        <v>25</v>
      </c>
      <c r="CX40" s="492" cm="1">
        <f t="array" aca="1" ref="CX40" ca="1">INDIRECT($DD$2&amp;CX$28&amp;$CW40)</f>
        <v>0</v>
      </c>
      <c r="CY40" s="492" cm="1">
        <f t="array" aca="1" ref="CY40" ca="1">INDIRECT($DD$2&amp;CY$28&amp;$CW40)</f>
        <v>0</v>
      </c>
      <c r="CZ40" s="492" cm="1">
        <f t="array" aca="1" ref="CZ40" ca="1">INDIRECT($DD$2&amp;CZ$28&amp;$CW40)</f>
        <v>0</v>
      </c>
      <c r="DA40" s="492" cm="1">
        <f t="array" aca="1" ref="DA40" ca="1">INDIRECT($DD$2&amp;DA$28&amp;$CW40)</f>
        <v>0</v>
      </c>
      <c r="DB40" s="492" cm="1">
        <f t="array" aca="1" ref="DB40" ca="1">INDIRECT($DD$2&amp;DB$28&amp;$CW40)</f>
        <v>0</v>
      </c>
      <c r="DC40" s="492" cm="1">
        <f t="array" aca="1" ref="DC40" ca="1">INDIRECT($DD$2&amp;DC$28&amp;$CW40)</f>
        <v>0</v>
      </c>
      <c r="DD40" s="492" t="str">
        <f t="shared" ca="1" si="39"/>
        <v/>
      </c>
      <c r="DE40" s="492" t="str">
        <f t="shared" ca="1" si="40"/>
        <v/>
      </c>
      <c r="DF40" s="372"/>
      <c r="DG40" s="372"/>
      <c r="DH40" s="372"/>
      <c r="DI40" s="372"/>
      <c r="DJ40" s="372"/>
      <c r="DK40" s="372"/>
      <c r="DL40" s="566" t="s">
        <v>36</v>
      </c>
      <c r="DM40" s="566" t="s">
        <v>37</v>
      </c>
      <c r="DN40" s="372"/>
      <c r="EQ40" s="469" t="s">
        <v>5510</v>
      </c>
      <c r="ES40" s="504"/>
      <c r="ET40" s="507"/>
      <c r="EU40" s="585">
        <v>41</v>
      </c>
      <c r="EW40" s="22" t="str" cm="1">
        <f t="array" aca="1" ref="EW40" ca="1">IF(INDIRECT($ET$31&amp;EU40)=0,"-",INDIRECT($ET$31&amp;EU40))</f>
        <v>-</v>
      </c>
      <c r="EX40" s="22" t="str" cm="1">
        <f t="array" aca="1" ref="EX40" ca="1">IF(INDIRECT($ET$32&amp;EU40)=0,"",INDIRECT($ET$32&amp;EU40))</f>
        <v/>
      </c>
      <c r="EY40" s="22" t="str" cm="1">
        <f t="array" aca="1" ref="EY40" ca="1">INDIRECT($ET$33&amp;EU40)</f>
        <v/>
      </c>
      <c r="EZ40" s="22" t="str" cm="1">
        <f t="array" aca="1" ref="EZ40" ca="1">IF(INDIRECT($ET$34&amp;EU40)=0,"",INDIRECT($ET$34&amp;EU40))</f>
        <v/>
      </c>
      <c r="FA40" s="22" t="str" cm="1">
        <f t="array" aca="1" ref="FA40" ca="1">IF(INDIRECT($ET$35&amp;EU40)=0,"",INDIRECT($ET$35&amp;EU40))</f>
        <v/>
      </c>
      <c r="FB40" s="22" t="str" cm="1">
        <f t="array" aca="1" ref="FB40" ca="1">IF(INDIRECT($ET$36&amp;EU40)=0,"",INDIRECT($ET$36&amp;EU40))</f>
        <v/>
      </c>
      <c r="FC40" s="22" t="str" cm="1">
        <f t="array" aca="1" ref="FC40" ca="1">IF(INDIRECT($ET$37&amp;EU40)=0,"",INDIRECT($ET$37&amp;EU40))</f>
        <v/>
      </c>
      <c r="GC40" s="472" t="s">
        <v>5510</v>
      </c>
      <c r="GE40" s="597">
        <v>23</v>
      </c>
      <c r="GF40" s="597" cm="1">
        <f t="array" aca="1" ref="GF40" ca="1">INDIRECT($GE$6&amp;$GF$38&amp;$GE40,1)</f>
        <v>0</v>
      </c>
      <c r="GG40" s="597" cm="1">
        <f t="array" aca="1" ref="GG40" ca="1">INDIRECT($GE$6&amp;$GG$38&amp;$GE40,1)</f>
        <v>0</v>
      </c>
      <c r="GH40" s="601" t="b">
        <f>Respostas_usuario!AB4</f>
        <v>0</v>
      </c>
      <c r="GI40" s="602" cm="1">
        <f t="array" aca="1" ref="GI40" ca="1">INDIRECT($GE$7&amp;$GF$38&amp;$GE40,1)</f>
        <v>0</v>
      </c>
      <c r="GJ40" s="597" cm="1">
        <f t="array" aca="1" ref="GJ40" ca="1">INDIRECT($GE$7&amp;$GG$38&amp;$GE40,1)</f>
        <v>0</v>
      </c>
      <c r="GK40" s="603" t="b">
        <f>Respostas_usuario!AC4</f>
        <v>0</v>
      </c>
      <c r="GM40" s="508" t="s">
        <v>5538</v>
      </c>
      <c r="GN40" s="604">
        <f ca="1">COUNTIF($GF$40:$GF$54,"&gt;=2000")</f>
        <v>0</v>
      </c>
      <c r="GY40" s="492" t="str">
        <f t="shared" ca="1" si="42"/>
        <v/>
      </c>
      <c r="GZ40" s="495" t="str" cm="1">
        <f t="array" aca="1" ref="GZ40" ca="1">IFERROR(
IF(
AND(
 GY40&lt;&gt;"",
  ISERR(FIND(HA$31, $GY40)),
  ISERR(FIND(HB$31, $GY40)),
  ISERR(FIND(HC$31, $GY40))),
_xlfn.XLOOKUP(TRIM($GY40), tb_codigos_GHS_ABNT[Código], tb_codigos_GHS_ABNT[Código] &amp; ": " &amp; tb_codigos_GHS_ABNT[Frases de perigo]),
""),"-")</f>
        <v/>
      </c>
      <c r="HA40" s="495" t="str">
        <f t="shared" ca="1" si="43"/>
        <v/>
      </c>
      <c r="HB40" s="495" t="str">
        <f t="shared" ca="1" si="44"/>
        <v/>
      </c>
      <c r="HC40" s="495" t="str">
        <f t="shared" ca="1" si="45"/>
        <v/>
      </c>
      <c r="HD40" s="586"/>
      <c r="HE40" s="586"/>
      <c r="HF40" s="586" t="str" cm="1">
        <f t="array" ref="HF40">IFERROR(
IF(HE40&lt;&gt;"",_xlfn.XLOOKUP(HE40, tb_codigos_GHS_ABNT[Código], tb_codigos_GHS_ABNT[Código] &amp; ": " &amp; tb_codigos_GHS_ABNT[Frases de perigo]),
""),"Frase de perigo: -Erro-")</f>
        <v/>
      </c>
      <c r="HJ40" s="501"/>
      <c r="HK40" s="501" t="s">
        <v>380</v>
      </c>
      <c r="HL40" s="518" t="s">
        <v>5852</v>
      </c>
      <c r="HM40" s="568" t="s">
        <v>5856</v>
      </c>
      <c r="HN40" s="518" t="s">
        <v>5824</v>
      </c>
      <c r="HO40" s="596" t="s">
        <v>5893</v>
      </c>
      <c r="HP40" s="501" t="s">
        <v>5879</v>
      </c>
    </row>
    <row r="41" spans="1:224" x14ac:dyDescent="0.25">
      <c r="G41" s="497">
        <v>69</v>
      </c>
      <c r="H41" s="498" t="str" cm="1">
        <f t="array" aca="1" ref="H41" ca="1">IF(
OR(INDIRECT($F$2&amp;$G$2&amp;$G41,1)&lt;&gt;"",INDIRECT($F$2&amp;$H$2&amp;G41,1)&lt;&gt;""),
INDIRECT($F$2&amp;$H$2&amp;G41,1),
"")</f>
        <v/>
      </c>
      <c r="I41" s="498" t="str">
        <f ca="1">IFERROR(
VLOOKUP(SEARCH("-",Calculos!$H41,1)-1,$K$3:$L$9,2,0)&amp;Calculos!$H41,"")</f>
        <v/>
      </c>
      <c r="N41" s="499" t="str">
        <f ca="1">IFERROR(
IF(ISERROR(VLOOKUP(I41,tb_componentes_proibidos[[n_cas_corrigido]:[Componente_proibido]],1,0)),"",$H41),"")</f>
        <v/>
      </c>
      <c r="O41" s="499" t="str" cm="1">
        <f t="array" aca="1" ref="O41" ca="1">IFERROR(
INDEX($N$4:$N$43,MATCH(0,INDEX(COUNTIF($O$1:O40,$N$4:$N$43),),)),"")</f>
        <v/>
      </c>
      <c r="P41" s="499" t="str">
        <f ca="1">IFERROR(
VLOOKUP(O41,tb_componentes_proibidos[[n_cas]:[Componente_proibido]],3,0),"")</f>
        <v/>
      </c>
      <c r="Q41" s="499" t="str">
        <f t="shared" ca="1" si="4"/>
        <v/>
      </c>
      <c r="R41" s="499" t="str">
        <f t="shared" ca="1" si="5"/>
        <v/>
      </c>
      <c r="U41" s="501" cm="1">
        <f t="array" aca="1" ref="U41" ca="1">INDIRECT($F$2&amp;$U$2&amp;G41,1)</f>
        <v>0</v>
      </c>
      <c r="V41" s="502" t="str">
        <f ca="1">IF(H41&lt;&gt;"",
IFERROR(
VLOOKUP(I41,tb_ingredientes[[n_cas_corrigido]:[ingrediente_ativo]],2,0),
IFERROR(VLOOKUP(I41,tb_componentes[[n_cas_corrigido]:[Componente]],2,0),"Informar nome do componente")),"")</f>
        <v/>
      </c>
      <c r="W41" s="502" t="str">
        <f t="shared" ca="1" si="0"/>
        <v/>
      </c>
      <c r="X41" s="492" cm="1">
        <f t="array" aca="1" ref="X41" ca="1">IF(Y41=1,INDIRECT($F$2&amp;$X$2&amp;G41,1),0)</f>
        <v>0</v>
      </c>
      <c r="Y41" s="492" cm="1">
        <f t="array" aca="1" ref="Y41" ca="1">IF(INDIRECT($F$2&amp;$Y$2&amp;G41,1)="Sim",1,0)</f>
        <v>0</v>
      </c>
      <c r="Z41" s="492" t="str">
        <f ca="1">IF(U41="sim",Calculos!V41&amp;" - "&amp;X41&amp;" "&amp;$AE$10&amp;" ("&amp;IFERROR(TRUNC(W41,4)*100,"")&amp;"%)","")</f>
        <v/>
      </c>
      <c r="AA41" s="492" t="str" cm="1">
        <f t="array" aca="1" ref="AA41" ca="1">IFERROR(
INDEX($Z$4:$Z$43,MATCH(0,INDEX(COUNTIF($AA$1:AA40,$Z$4:$Z$43),),)),"")</f>
        <v/>
      </c>
      <c r="AB41" s="492" t="str">
        <f t="shared" ca="1" si="1"/>
        <v/>
      </c>
      <c r="AC41" s="492" t="str" cm="1">
        <f t="array" aca="1" ref="AC41" ca="1">IF(INDIRECT($F$2&amp;$AC$2&amp;G41)&lt;&gt;0,INDIRECT($F$2&amp;$AC$2&amp;G41),"")</f>
        <v/>
      </c>
      <c r="AF41" s="470" t="s">
        <v>5510</v>
      </c>
      <c r="AG41" s="469"/>
      <c r="AI41" s="469"/>
      <c r="AK41" s="470" t="s">
        <v>5510</v>
      </c>
      <c r="AR41" s="470" t="s">
        <v>5510</v>
      </c>
      <c r="AV41" s="469" t="s">
        <v>5510</v>
      </c>
      <c r="AW41" s="469"/>
      <c r="BB41" s="469" t="s">
        <v>5510</v>
      </c>
      <c r="BF41" s="469" t="s">
        <v>5510</v>
      </c>
      <c r="BQ41" s="20"/>
      <c r="BT41" s="372"/>
      <c r="BU41" s="472"/>
      <c r="BV41" s="472"/>
      <c r="BW41" s="472"/>
      <c r="BX41" s="472"/>
      <c r="BY41" s="372"/>
      <c r="BZ41" s="372"/>
      <c r="CA41" s="372"/>
      <c r="CE41" s="372"/>
      <c r="CF41" s="472"/>
      <c r="CG41" s="472"/>
      <c r="CH41" s="472"/>
      <c r="CI41" s="472"/>
      <c r="CJ41" s="372"/>
      <c r="CK41" s="372"/>
      <c r="CL41" s="372"/>
      <c r="CU41" s="469" t="s">
        <v>5510</v>
      </c>
      <c r="CV41" s="538" t="s">
        <v>5775</v>
      </c>
      <c r="CW41" s="522">
        <f t="shared" si="41"/>
        <v>33</v>
      </c>
      <c r="CX41" s="22" cm="1">
        <f t="array" aca="1" ref="CX41" ca="1">INDIRECT($DD$2&amp;CX$28&amp;$CW41)</f>
        <v>0</v>
      </c>
      <c r="CY41" s="22" cm="1">
        <f t="array" aca="1" ref="CY41" ca="1">INDIRECT($DD$2&amp;CY$28&amp;$CW41)</f>
        <v>0</v>
      </c>
      <c r="CZ41" s="22" cm="1">
        <f t="array" aca="1" ref="CZ41" ca="1">INDIRECT($DD$2&amp;CZ$28&amp;$CW41)</f>
        <v>0</v>
      </c>
      <c r="DA41" s="22" cm="1">
        <f t="array" aca="1" ref="DA41" ca="1">INDIRECT($DD$2&amp;DA$28&amp;$CW41)</f>
        <v>0</v>
      </c>
      <c r="DB41" s="22" cm="1">
        <f t="array" aca="1" ref="DB41" ca="1">INDIRECT($DD$2&amp;DB$28&amp;$CW41)</f>
        <v>0</v>
      </c>
      <c r="DC41" s="22" cm="1">
        <f t="array" aca="1" ref="DC41" ca="1">INDIRECT($DD$2&amp;DC$28&amp;$CW41)</f>
        <v>0</v>
      </c>
      <c r="DD41" s="22" t="str">
        <f t="shared" ca="1" si="39"/>
        <v/>
      </c>
      <c r="DE41" s="22" t="str">
        <f t="shared" ca="1" si="40"/>
        <v/>
      </c>
      <c r="DF41" s="372"/>
      <c r="DG41" s="372"/>
      <c r="DH41" s="372"/>
      <c r="DI41" s="372"/>
      <c r="DJ41" s="372"/>
      <c r="DK41" s="372"/>
      <c r="DL41" s="492" t="str">
        <f ca="1">IF(DC18="","-",
IF(DM33=DL36,(DC18-(DC18*DM36)),
IF(DM33=DL37,(DC18-(DC18*DM37)),"-")))</f>
        <v>-</v>
      </c>
      <c r="DM41" s="492" t="str">
        <f ca="1">IF(DD18="","-",
IF(DM33=DL36,(DD18-(DD18*DM36)),
IF(DM33=DL37,(DD18-(DD18*DM37)),"-")))</f>
        <v>-</v>
      </c>
      <c r="DN41" s="372"/>
      <c r="EQ41" s="469" t="s">
        <v>5510</v>
      </c>
      <c r="ES41" s="504"/>
      <c r="ET41" s="507"/>
      <c r="EU41" s="585">
        <v>42</v>
      </c>
      <c r="EW41" s="22" t="str" cm="1">
        <f t="array" aca="1" ref="EW41" ca="1">IF(INDIRECT($ET$31&amp;EU41)=0,"-",INDIRECT($ET$31&amp;EU41))</f>
        <v>-</v>
      </c>
      <c r="EX41" s="22" t="str" cm="1">
        <f t="array" aca="1" ref="EX41" ca="1">IF(INDIRECT($ET$32&amp;EU41)=0,"",INDIRECT($ET$32&amp;EU41))</f>
        <v/>
      </c>
      <c r="EY41" s="22" t="str" cm="1">
        <f t="array" aca="1" ref="EY41" ca="1">INDIRECT($ET$33&amp;EU41)</f>
        <v/>
      </c>
      <c r="EZ41" s="22" t="str" cm="1">
        <f t="array" aca="1" ref="EZ41" ca="1">IF(INDIRECT($ET$34&amp;EU41)=0,"",INDIRECT($ET$34&amp;EU41))</f>
        <v/>
      </c>
      <c r="FA41" s="22" t="str" cm="1">
        <f t="array" aca="1" ref="FA41" ca="1">IF(INDIRECT($ET$35&amp;EU41)=0,"",INDIRECT($ET$35&amp;EU41))</f>
        <v/>
      </c>
      <c r="FB41" s="22" t="str" cm="1">
        <f t="array" aca="1" ref="FB41" ca="1">IF(INDIRECT($ET$36&amp;EU41)=0,"",INDIRECT($ET$36&amp;EU41))</f>
        <v/>
      </c>
      <c r="FC41" s="22" t="str" cm="1">
        <f t="array" aca="1" ref="FC41" ca="1">IF(INDIRECT($ET$37&amp;EU41)=0,"",INDIRECT($ET$37&amp;EU41))</f>
        <v/>
      </c>
      <c r="GC41" s="472" t="s">
        <v>5510</v>
      </c>
      <c r="GE41" s="597">
        <v>24</v>
      </c>
      <c r="GF41" s="597" cm="1">
        <f t="array" aca="1" ref="GF41" ca="1">INDIRECT(Respostas_usuario!$AB$2&amp;$GE41,1)</f>
        <v>0</v>
      </c>
      <c r="GG41" s="597" cm="1">
        <f t="array" aca="1" ref="GG41" ca="1">INDIRECT($GE$6&amp;$GG$38&amp;$GE41,1)</f>
        <v>0</v>
      </c>
      <c r="GH41" s="601" t="b">
        <f>Respostas_usuario!AB5</f>
        <v>0</v>
      </c>
      <c r="GI41" s="602" cm="1">
        <f t="array" aca="1" ref="GI41" ca="1">INDIRECT($GE$7&amp;$GF$38&amp;$GE41,1)</f>
        <v>0</v>
      </c>
      <c r="GJ41" s="597" cm="1">
        <f t="array" aca="1" ref="GJ41" ca="1">INDIRECT($GE$7&amp;$GG$38&amp;$GE41,1)</f>
        <v>0</v>
      </c>
      <c r="GK41" s="603" t="b">
        <f>Respostas_usuario!AC5</f>
        <v>0</v>
      </c>
      <c r="GM41" s="508" t="s">
        <v>5539</v>
      </c>
      <c r="GN41" s="604">
        <f ca="1">COUNTIF($GI$40:$GI$54,"&gt;=2000")</f>
        <v>0</v>
      </c>
      <c r="GY41" s="492" t="str">
        <f t="shared" ca="1" si="42"/>
        <v/>
      </c>
      <c r="GZ41" s="495" t="str" cm="1">
        <f t="array" aca="1" ref="GZ41" ca="1">IFERROR(
IF(
AND(
 GY41&lt;&gt;"",
  ISERR(FIND(HA$31, $GY41)),
  ISERR(FIND(HB$31, $GY41)),
  ISERR(FIND(HC$31, $GY41))),
_xlfn.XLOOKUP(TRIM($GY41), tb_codigos_GHS_ABNT[Código], tb_codigos_GHS_ABNT[Código] &amp; ": " &amp; tb_codigos_GHS_ABNT[Frases de perigo]),
""),"-")</f>
        <v/>
      </c>
      <c r="HA41" s="495" t="str">
        <f t="shared" ca="1" si="43"/>
        <v/>
      </c>
      <c r="HB41" s="495" t="str">
        <f t="shared" ca="1" si="44"/>
        <v/>
      </c>
      <c r="HC41" s="495" t="str">
        <f t="shared" ca="1" si="45"/>
        <v/>
      </c>
      <c r="HD41" s="586"/>
      <c r="HE41" s="586"/>
      <c r="HF41" s="586" t="str" cm="1">
        <f t="array" ref="HF41">IFERROR(
IF(HE41&lt;&gt;"",_xlfn.XLOOKUP(HE41, tb_codigos_GHS_ABNT[Código], tb_codigos_GHS_ABNT[Código] &amp; ": " &amp; tb_codigos_GHS_ABNT[Frases de perigo]),
""),"Frase de perigo: -Erro-")</f>
        <v/>
      </c>
      <c r="HJ41" s="501"/>
      <c r="HK41" s="501" t="s">
        <v>380</v>
      </c>
      <c r="HL41" s="518" t="s">
        <v>6043</v>
      </c>
      <c r="HM41" s="568" t="s">
        <v>5856</v>
      </c>
      <c r="HN41" s="518" t="s">
        <v>5835</v>
      </c>
      <c r="HO41" s="578" t="s">
        <v>7965</v>
      </c>
      <c r="HP41" s="534" t="s">
        <v>5894</v>
      </c>
    </row>
    <row r="42" spans="1:224" x14ac:dyDescent="0.25">
      <c r="G42" s="497">
        <v>70</v>
      </c>
      <c r="H42" s="498" t="str" cm="1">
        <f t="array" aca="1" ref="H42" ca="1">IF(
OR(INDIRECT($F$2&amp;$G$2&amp;$G42,1)&lt;&gt;"",INDIRECT($F$2&amp;$H$2&amp;G42,1)&lt;&gt;""),
INDIRECT($F$2&amp;$H$2&amp;G42,1),
"")</f>
        <v/>
      </c>
      <c r="I42" s="498" t="str">
        <f ca="1">IFERROR(
VLOOKUP(SEARCH("-",Calculos!$H42,1)-1,$K$3:$L$9,2,0)&amp;Calculos!$H42,"")</f>
        <v/>
      </c>
      <c r="N42" s="499" t="str">
        <f ca="1">IFERROR(
IF(ISERROR(VLOOKUP(I42,tb_componentes_proibidos[[n_cas_corrigido]:[Componente_proibido]],1,0)),"",$H42),"")</f>
        <v/>
      </c>
      <c r="O42" s="499" t="str" cm="1">
        <f t="array" aca="1" ref="O42" ca="1">IFERROR(
INDEX($N$4:$N$43,MATCH(0,INDEX(COUNTIF($O$1:O41,$N$4:$N$43),),)),"")</f>
        <v/>
      </c>
      <c r="P42" s="499" t="str">
        <f ca="1">IFERROR(
VLOOKUP(O42,tb_componentes_proibidos[[n_cas]:[Componente_proibido]],3,0),"")</f>
        <v/>
      </c>
      <c r="Q42" s="499" t="str">
        <f t="shared" ca="1" si="4"/>
        <v/>
      </c>
      <c r="R42" s="499" t="str">
        <f t="shared" ca="1" si="5"/>
        <v/>
      </c>
      <c r="U42" s="501" cm="1">
        <f t="array" aca="1" ref="U42" ca="1">INDIRECT($F$2&amp;$U$2&amp;G42,1)</f>
        <v>0</v>
      </c>
      <c r="V42" s="502" t="str">
        <f ca="1">IF(H42&lt;&gt;"",
IFERROR(
VLOOKUP(I42,tb_ingredientes[[n_cas_corrigido]:[ingrediente_ativo]],2,0),
IFERROR(VLOOKUP(I42,tb_componentes[[n_cas_corrigido]:[Componente]],2,0),"Informar nome do componente")),"")</f>
        <v/>
      </c>
      <c r="W42" s="502" t="str">
        <f t="shared" ca="1" si="0"/>
        <v/>
      </c>
      <c r="X42" s="492" cm="1">
        <f t="array" aca="1" ref="X42" ca="1">IF(Y42=1,INDIRECT($F$2&amp;$X$2&amp;G42,1),0)</f>
        <v>0</v>
      </c>
      <c r="Y42" s="492" cm="1">
        <f t="array" aca="1" ref="Y42" ca="1">IF(INDIRECT($F$2&amp;$Y$2&amp;G42,1)="Sim",1,0)</f>
        <v>0</v>
      </c>
      <c r="Z42" s="492" t="str">
        <f ca="1">IF(U42="sim",Calculos!V42&amp;" - "&amp;X42&amp;" "&amp;$AE$10&amp;" ("&amp;IFERROR(TRUNC(W42,4)*100,"")&amp;"%)","")</f>
        <v/>
      </c>
      <c r="AA42" s="492" t="str" cm="1">
        <f t="array" aca="1" ref="AA42" ca="1">IFERROR(
INDEX($Z$4:$Z$43,MATCH(0,INDEX(COUNTIF($AA$1:AA41,$Z$4:$Z$43),),)),"")</f>
        <v/>
      </c>
      <c r="AB42" s="492" t="str">
        <f t="shared" ca="1" si="1"/>
        <v/>
      </c>
      <c r="AC42" s="492" t="str" cm="1">
        <f t="array" aca="1" ref="AC42" ca="1">IF(INDIRECT($F$2&amp;$AC$2&amp;G42)&lt;&gt;0,INDIRECT($F$2&amp;$AC$2&amp;G42),"")</f>
        <v/>
      </c>
      <c r="AF42" s="470" t="s">
        <v>5510</v>
      </c>
      <c r="AG42" s="469"/>
      <c r="AI42" s="469"/>
      <c r="AK42" s="470" t="s">
        <v>5510</v>
      </c>
      <c r="AR42" s="470" t="s">
        <v>5510</v>
      </c>
      <c r="AV42" s="469" t="s">
        <v>5510</v>
      </c>
      <c r="AW42" s="469"/>
      <c r="BB42" s="469" t="s">
        <v>5510</v>
      </c>
      <c r="BF42" s="469" t="s">
        <v>5510</v>
      </c>
      <c r="BG42" s="469">
        <v>1</v>
      </c>
      <c r="BH42" s="539" t="s">
        <v>8040</v>
      </c>
      <c r="BI42" s="539">
        <f>BI37+$BO$6</f>
        <v>47</v>
      </c>
      <c r="BJ42" s="539" cm="1">
        <f t="array" aca="1" ref="BJ42" ca="1">INDIRECT($BM$2&amp;BJ$7&amp;$BI42,1)</f>
        <v>0</v>
      </c>
      <c r="BK42" s="539" cm="1">
        <f t="array" aca="1" ref="BK42" ca="1">INDIRECT($BM$2&amp;BK$7&amp;$BI42,1)</f>
        <v>0</v>
      </c>
      <c r="BL42" s="539" cm="1">
        <f t="array" aca="1" ref="BL42" ca="1">INDIRECT($BM$2&amp;BL$7&amp;$BI42,1)</f>
        <v>0</v>
      </c>
      <c r="BM42" s="539" cm="1">
        <f t="array" aca="1" ref="BM42" ca="1">INDIRECT($BM$2&amp;BM$7&amp;$BI42,1)</f>
        <v>0</v>
      </c>
      <c r="BN42" s="539" cm="1">
        <f t="array" aca="1" ref="BN42" ca="1">INDIRECT($BM$2&amp;BN$7&amp;$BI42,1)</f>
        <v>0</v>
      </c>
      <c r="BO42" s="539" t="str">
        <f ca="1">IFERROR(BK42/BK$42,"-")</f>
        <v>-</v>
      </c>
      <c r="BP42" s="540" t="s">
        <v>8221</v>
      </c>
      <c r="BQ42" s="20"/>
      <c r="BR42" s="469">
        <v>1</v>
      </c>
      <c r="BS42" s="539" t="s">
        <v>8040</v>
      </c>
      <c r="BT42" s="539">
        <f>BT37+$BO$6</f>
        <v>393</v>
      </c>
      <c r="BU42" s="539" cm="1">
        <f t="array" aca="1" ref="BU42" ca="1">INDIRECT($BM$2&amp;BU$7&amp;$BT42,1)</f>
        <v>0</v>
      </c>
      <c r="BV42" s="539" cm="1">
        <f t="array" aca="1" ref="BV42" ca="1">INDIRECT($BM$2&amp;BV$7&amp;$BT42,1)</f>
        <v>0</v>
      </c>
      <c r="BW42" s="539" cm="1">
        <f t="array" aca="1" ref="BW42" ca="1">INDIRECT($BM$2&amp;BW$7&amp;$BT42,1)</f>
        <v>0</v>
      </c>
      <c r="BX42" s="539" cm="1">
        <f t="array" aca="1" ref="BX42" ca="1">INDIRECT($BM$2&amp;BX$7&amp;$BT42,1)</f>
        <v>0</v>
      </c>
      <c r="BY42" s="539" cm="1">
        <f t="array" aca="1" ref="BY42" ca="1">INDIRECT($BM$2&amp;BY$7&amp;$BT42,1)</f>
        <v>0</v>
      </c>
      <c r="BZ42" s="539" t="str">
        <f ca="1">IFERROR(BV42/BV$42,"-")</f>
        <v>-</v>
      </c>
      <c r="CA42" s="540" t="s">
        <v>8221</v>
      </c>
      <c r="CC42" s="469">
        <v>1</v>
      </c>
      <c r="CD42" s="539" t="s">
        <v>8040</v>
      </c>
      <c r="CE42" s="539">
        <f>CE37+$BO$6</f>
        <v>739</v>
      </c>
      <c r="CF42" s="539" cm="1">
        <f t="array" aca="1" ref="CF42" ca="1">INDIRECT($BM$2&amp;CF$7&amp;$CE42,1)</f>
        <v>0</v>
      </c>
      <c r="CG42" s="539" cm="1">
        <f t="array" aca="1" ref="CG42" ca="1">INDIRECT($BM$2&amp;CG$7&amp;$CE42,1)</f>
        <v>0</v>
      </c>
      <c r="CH42" s="539" cm="1">
        <f t="array" aca="1" ref="CH42" ca="1">INDIRECT($BM$2&amp;CH$7&amp;$CE42,1)</f>
        <v>0</v>
      </c>
      <c r="CI42" s="539" cm="1">
        <f t="array" aca="1" ref="CI42" ca="1">INDIRECT($BM$2&amp;CI$7&amp;$CE42,1)</f>
        <v>0</v>
      </c>
      <c r="CJ42" s="539" cm="1">
        <f t="array" aca="1" ref="CJ42" ca="1">INDIRECT($BM$2&amp;CJ$7&amp;$CE42,1)</f>
        <v>0</v>
      </c>
      <c r="CK42" s="539" t="str">
        <f ca="1">IFERROR(CG42/CG$42,"-")</f>
        <v>-</v>
      </c>
      <c r="CL42" s="540" t="s">
        <v>8221</v>
      </c>
      <c r="CP42" s="571" t="s">
        <v>8074</v>
      </c>
      <c r="CU42" s="469" t="s">
        <v>5510</v>
      </c>
      <c r="CV42" s="22" t="s">
        <v>5775</v>
      </c>
      <c r="CW42" s="522">
        <f t="shared" si="41"/>
        <v>34</v>
      </c>
      <c r="CX42" s="22" cm="1">
        <f t="array" aca="1" ref="CX42" ca="1">INDIRECT($DD$2&amp;CX$28&amp;$CW42)</f>
        <v>0</v>
      </c>
      <c r="CY42" s="22" cm="1">
        <f t="array" aca="1" ref="CY42" ca="1">INDIRECT($DD$2&amp;CY$28&amp;$CW42)</f>
        <v>0</v>
      </c>
      <c r="CZ42" s="22" cm="1">
        <f t="array" aca="1" ref="CZ42" ca="1">INDIRECT($DD$2&amp;CZ$28&amp;$CW42)</f>
        <v>0</v>
      </c>
      <c r="DA42" s="22" cm="1">
        <f t="array" aca="1" ref="DA42" ca="1">INDIRECT($DD$2&amp;DA$28&amp;$CW42)</f>
        <v>0</v>
      </c>
      <c r="DB42" s="22" cm="1">
        <f t="array" aca="1" ref="DB42" ca="1">INDIRECT($DD$2&amp;DB$28&amp;$CW42)</f>
        <v>0</v>
      </c>
      <c r="DC42" s="22" cm="1">
        <f t="array" aca="1" ref="DC42" ca="1">INDIRECT($DD$2&amp;DC$28&amp;$CW42)</f>
        <v>0</v>
      </c>
      <c r="DD42" s="22" t="str">
        <f t="shared" ca="1" si="39"/>
        <v/>
      </c>
      <c r="DE42" s="22" t="str">
        <f t="shared" ca="1" si="40"/>
        <v/>
      </c>
      <c r="DF42" s="372"/>
      <c r="DG42" s="372"/>
      <c r="DH42" s="372"/>
      <c r="DI42" s="372"/>
      <c r="DJ42" s="372"/>
      <c r="DK42" s="372"/>
      <c r="DL42" s="372"/>
      <c r="DM42" s="372"/>
      <c r="DN42" s="372"/>
      <c r="EQ42" s="469" t="s">
        <v>5510</v>
      </c>
      <c r="ES42" s="504"/>
      <c r="ET42" s="507"/>
      <c r="EU42" s="585">
        <v>43</v>
      </c>
      <c r="EW42" s="22" t="str" cm="1">
        <f t="array" aca="1" ref="EW42" ca="1">IF(INDIRECT($ET$31&amp;EU42)=0,"-",INDIRECT($ET$31&amp;EU42))</f>
        <v>-</v>
      </c>
      <c r="EX42" s="22" t="str" cm="1">
        <f t="array" aca="1" ref="EX42" ca="1">IF(INDIRECT($ET$32&amp;EU42)=0,"",INDIRECT($ET$32&amp;EU42))</f>
        <v/>
      </c>
      <c r="EY42" s="22" t="str" cm="1">
        <f t="array" aca="1" ref="EY42" ca="1">INDIRECT($ET$33&amp;EU42)</f>
        <v/>
      </c>
      <c r="EZ42" s="22" t="str" cm="1">
        <f t="array" aca="1" ref="EZ42" ca="1">IF(INDIRECT($ET$34&amp;EU42)=0,"",INDIRECT($ET$34&amp;EU42))</f>
        <v/>
      </c>
      <c r="FA42" s="22" t="str" cm="1">
        <f t="array" aca="1" ref="FA42" ca="1">IF(INDIRECT($ET$35&amp;EU42)=0,"",INDIRECT($ET$35&amp;EU42))</f>
        <v/>
      </c>
      <c r="FB42" s="22" t="str" cm="1">
        <f t="array" aca="1" ref="FB42" ca="1">IF(INDIRECT($ET$36&amp;EU42)=0,"",INDIRECT($ET$36&amp;EU42))</f>
        <v/>
      </c>
      <c r="FC42" s="22" t="str" cm="1">
        <f t="array" aca="1" ref="FC42" ca="1">IF(INDIRECT($ET$37&amp;EU42)=0,"",INDIRECT($ET$37&amp;EU42))</f>
        <v/>
      </c>
      <c r="GC42" s="472" t="s">
        <v>5510</v>
      </c>
      <c r="GE42" s="597">
        <v>25</v>
      </c>
      <c r="GF42" s="597" cm="1">
        <f t="array" aca="1" ref="GF42" ca="1">INDIRECT(Respostas_usuario!$AB$2&amp;$GE42,1)</f>
        <v>0</v>
      </c>
      <c r="GG42" s="597" cm="1">
        <f t="array" aca="1" ref="GG42" ca="1">INDIRECT($GE$6&amp;$GG$38&amp;$GE42,1)</f>
        <v>0</v>
      </c>
      <c r="GH42" s="601" t="b">
        <f>Respostas_usuario!AB6</f>
        <v>0</v>
      </c>
      <c r="GI42" s="602" cm="1">
        <f t="array" aca="1" ref="GI42" ca="1">INDIRECT($GE$7&amp;$GF$38&amp;$GE42,1)</f>
        <v>0</v>
      </c>
      <c r="GJ42" s="597" cm="1">
        <f t="array" aca="1" ref="GJ42" ca="1">INDIRECT($GE$7&amp;$GG$38&amp;$GE42,1)</f>
        <v>0</v>
      </c>
      <c r="GK42" s="603" t="b">
        <f>Respostas_usuario!AC6</f>
        <v>0</v>
      </c>
      <c r="GM42" s="508" t="s">
        <v>5540</v>
      </c>
      <c r="GN42" s="604">
        <f ca="1">COUNTIF($GF$59:$GF$73,"&gt;=2000")</f>
        <v>0</v>
      </c>
      <c r="GY42" s="492" t="str">
        <f t="shared" ca="1" si="42"/>
        <v/>
      </c>
      <c r="GZ42" s="495" t="str" cm="1">
        <f t="array" aca="1" ref="GZ42" ca="1">IFERROR(
IF(
AND(
 GY42&lt;&gt;"",
  ISERR(FIND(HA$31, $GY42)),
  ISERR(FIND(HB$31, $GY42)),
  ISERR(FIND(HC$31, $GY42))),
_xlfn.XLOOKUP(TRIM($GY42), tb_codigos_GHS_ABNT[Código], tb_codigos_GHS_ABNT[Código] &amp; ": " &amp; tb_codigos_GHS_ABNT[Frases de perigo]),
""),"-")</f>
        <v/>
      </c>
      <c r="HA42" s="495" t="str">
        <f t="shared" ca="1" si="43"/>
        <v/>
      </c>
      <c r="HB42" s="495" t="str">
        <f t="shared" ca="1" si="44"/>
        <v/>
      </c>
      <c r="HC42" s="495" t="str">
        <f t="shared" ca="1" si="45"/>
        <v/>
      </c>
      <c r="HD42" s="586"/>
      <c r="HE42" s="586"/>
      <c r="HF42" s="586" t="str" cm="1">
        <f t="array" ref="HF42">IFERROR(
IF(HE42&lt;&gt;"",_xlfn.XLOOKUP(HE42, tb_codigos_GHS_ABNT[Código], tb_codigos_GHS_ABNT[Código] &amp; ": " &amp; tb_codigos_GHS_ABNT[Frases de perigo]),
""),"Frase de perigo: -Erro-")</f>
        <v/>
      </c>
      <c r="HJ42" s="501"/>
      <c r="HK42" s="501" t="s">
        <v>380</v>
      </c>
      <c r="HL42" s="518" t="s">
        <v>6044</v>
      </c>
      <c r="HM42" s="568" t="s">
        <v>5856</v>
      </c>
      <c r="HN42" s="426"/>
    </row>
    <row r="43" spans="1:224" x14ac:dyDescent="0.25">
      <c r="G43" s="497">
        <v>71</v>
      </c>
      <c r="H43" s="498" t="str" cm="1">
        <f t="array" aca="1" ref="H43" ca="1">IF(
OR(INDIRECT($F$2&amp;$G$2&amp;$G43,1)&lt;&gt;"",INDIRECT($F$2&amp;$H$2&amp;G43,1)&lt;&gt;""),
INDIRECT($F$2&amp;$H$2&amp;G43,1),
"")</f>
        <v/>
      </c>
      <c r="I43" s="498" t="str">
        <f ca="1">IFERROR(
VLOOKUP(SEARCH("-",Calculos!$H43,1)-1,$K$3:$L$9,2,0)&amp;Calculos!$H43,"")</f>
        <v/>
      </c>
      <c r="N43" s="499" t="str">
        <f ca="1">IFERROR(
IF(ISERROR(VLOOKUP(I43,tb_componentes_proibidos[[n_cas_corrigido]:[Componente_proibido]],1,0)),"",$H43),"")</f>
        <v/>
      </c>
      <c r="O43" s="499" t="str" cm="1">
        <f t="array" aca="1" ref="O43" ca="1">IFERROR(
INDEX($N$4:$N$43,MATCH(0,INDEX(COUNTIF($O$1:O42,$N$4:$N$43),),)),"")</f>
        <v/>
      </c>
      <c r="P43" s="499" t="str">
        <f ca="1">IFERROR(
VLOOKUP(O43,tb_componentes_proibidos[[n_cas]:[Componente_proibido]],3,0),"")</f>
        <v/>
      </c>
      <c r="Q43" s="499" t="str">
        <f t="shared" ca="1" si="4"/>
        <v/>
      </c>
      <c r="R43" s="499" t="str">
        <f ca="1">IF(Q44="",Q43&amp;"",Q43&amp;"; "&amp;CHAR(10))</f>
        <v/>
      </c>
      <c r="U43" s="501" cm="1">
        <f t="array" aca="1" ref="U43" ca="1">INDIRECT($F$2&amp;$U$2&amp;G43,1)</f>
        <v>0</v>
      </c>
      <c r="V43" s="502" t="str">
        <f ca="1">IF(H43&lt;&gt;"",
IFERROR(
VLOOKUP(I43,tb_ingredientes[[n_cas_corrigido]:[ingrediente_ativo]],2,0),
IFERROR(VLOOKUP(I43,tb_componentes[[n_cas_corrigido]:[Componente]],2,0),"Informar nome do componente")),"")</f>
        <v/>
      </c>
      <c r="W43" s="502" t="str">
        <f t="shared" ca="1" si="0"/>
        <v/>
      </c>
      <c r="X43" s="492" cm="1">
        <f t="array" aca="1" ref="X43" ca="1">IF(Y43=1,INDIRECT($F$2&amp;$X$2&amp;G43,1),0)</f>
        <v>0</v>
      </c>
      <c r="Y43" s="492" cm="1">
        <f t="array" aca="1" ref="Y43" ca="1">IF(INDIRECT($F$2&amp;$Y$2&amp;G43,1)="Sim",1,0)</f>
        <v>0</v>
      </c>
      <c r="Z43" s="492" t="str">
        <f ca="1">IF(U43="sim",Calculos!V43&amp;" - "&amp;X43&amp;" "&amp;$AE$10&amp;" ("&amp;IFERROR(TRUNC(W43,4)*100,"")&amp;"%)","")</f>
        <v/>
      </c>
      <c r="AA43" s="492" t="str" cm="1">
        <f t="array" aca="1" ref="AA43" ca="1">IFERROR(
INDEX($Z$4:$Z$43,MATCH(0,INDEX(COUNTIF($AA$1:AA42,$Z$4:$Z$43),),)),"")</f>
        <v/>
      </c>
      <c r="AB43" s="492" t="str">
        <f t="shared" ca="1" si="1"/>
        <v/>
      </c>
      <c r="AC43" s="492" t="str" cm="1">
        <f t="array" aca="1" ref="AC43" ca="1">IF(INDIRECT($F$2&amp;$AC$2&amp;G43)&lt;&gt;0,INDIRECT($F$2&amp;$AC$2&amp;G43),"")</f>
        <v/>
      </c>
      <c r="AR43" s="470" t="s">
        <v>5510</v>
      </c>
      <c r="AV43" s="469" t="s">
        <v>5510</v>
      </c>
      <c r="AW43" s="469"/>
      <c r="BB43" s="469" t="s">
        <v>5510</v>
      </c>
      <c r="BF43" s="469" t="s">
        <v>5510</v>
      </c>
      <c r="BG43" s="469">
        <v>2</v>
      </c>
      <c r="BH43" s="539" t="s">
        <v>8040</v>
      </c>
      <c r="BI43" s="539">
        <f>BI42+1</f>
        <v>48</v>
      </c>
      <c r="BJ43" s="539" cm="1">
        <f t="array" aca="1" ref="BJ43" ca="1">INDIRECT($BM$2&amp;BJ$7&amp;$BI43,1)</f>
        <v>0</v>
      </c>
      <c r="BK43" s="539" cm="1">
        <f t="array" aca="1" ref="BK43" ca="1">INDIRECT($BM$2&amp;BK$7&amp;$BI43,1)</f>
        <v>0</v>
      </c>
      <c r="BL43" s="539" cm="1">
        <f t="array" aca="1" ref="BL43" ca="1">INDIRECT($BM$2&amp;BL$7&amp;$BI43,1)</f>
        <v>0</v>
      </c>
      <c r="BM43" s="539" cm="1">
        <f t="array" aca="1" ref="BM43" ca="1">INDIRECT($BM$2&amp;BM$7&amp;$BI43,1)</f>
        <v>0</v>
      </c>
      <c r="BN43" s="539" cm="1">
        <f t="array" aca="1" ref="BN43" ca="1">INDIRECT($BM$2&amp;BN$7&amp;$BI43,1)</f>
        <v>0</v>
      </c>
      <c r="BO43" s="539" t="str">
        <f t="shared" ref="BO43:BO53" ca="1" si="48">IF(BK43=0,"-",IFERROR(BK43/BK$42,"-"))</f>
        <v>-</v>
      </c>
      <c r="BP43" s="494" t="s">
        <v>8222</v>
      </c>
      <c r="BQ43" s="20"/>
      <c r="BR43" s="469">
        <v>2</v>
      </c>
      <c r="BS43" s="539" t="s">
        <v>8040</v>
      </c>
      <c r="BT43" s="539">
        <f>BT42+1</f>
        <v>394</v>
      </c>
      <c r="BU43" s="539" cm="1">
        <f t="array" aca="1" ref="BU43" ca="1">INDIRECT($BM$2&amp;BU$7&amp;$BT43,1)</f>
        <v>0</v>
      </c>
      <c r="BV43" s="539" cm="1">
        <f t="array" aca="1" ref="BV43" ca="1">INDIRECT($BM$2&amp;BV$7&amp;$BT43,1)</f>
        <v>0</v>
      </c>
      <c r="BW43" s="539" cm="1">
        <f t="array" aca="1" ref="BW43" ca="1">INDIRECT($BM$2&amp;BW$7&amp;$BT43,1)</f>
        <v>0</v>
      </c>
      <c r="BX43" s="539" cm="1">
        <f t="array" aca="1" ref="BX43" ca="1">INDIRECT($BM$2&amp;BX$7&amp;$BT43,1)</f>
        <v>0</v>
      </c>
      <c r="BY43" s="539" cm="1">
        <f t="array" aca="1" ref="BY43" ca="1">INDIRECT($BM$2&amp;BY$7&amp;$BT43,1)</f>
        <v>0</v>
      </c>
      <c r="BZ43" s="539" t="str">
        <f t="shared" ref="BZ43:BZ53" ca="1" si="49">IF(BV43=0,"-",IFERROR(BV43/BV$42,"-"))</f>
        <v>-</v>
      </c>
      <c r="CA43" s="494" t="s">
        <v>8222</v>
      </c>
      <c r="CC43" s="469">
        <v>2</v>
      </c>
      <c r="CD43" s="539" t="s">
        <v>8040</v>
      </c>
      <c r="CE43" s="539">
        <f>CE42+1</f>
        <v>740</v>
      </c>
      <c r="CF43" s="539" cm="1">
        <f t="array" aca="1" ref="CF43" ca="1">INDIRECT($BM$2&amp;CF$7&amp;$CE43,1)</f>
        <v>0</v>
      </c>
      <c r="CG43" s="539" cm="1">
        <f t="array" aca="1" ref="CG43" ca="1">INDIRECT($BM$2&amp;CG$7&amp;$CE43,1)</f>
        <v>0</v>
      </c>
      <c r="CH43" s="539" cm="1">
        <f t="array" aca="1" ref="CH43" ca="1">INDIRECT($BM$2&amp;CH$7&amp;$CE43,1)</f>
        <v>0</v>
      </c>
      <c r="CI43" s="539" cm="1">
        <f t="array" aca="1" ref="CI43" ca="1">INDIRECT($BM$2&amp;CI$7&amp;$CE43,1)</f>
        <v>0</v>
      </c>
      <c r="CJ43" s="539" cm="1">
        <f t="array" aca="1" ref="CJ43" ca="1">INDIRECT($BM$2&amp;CJ$7&amp;$CE43,1)</f>
        <v>0</v>
      </c>
      <c r="CK43" s="539" t="str">
        <f t="shared" ref="CK43:CK53" ca="1" si="50">IF(CG43=0,"-",IFERROR(CG43/CG$42,"-"))</f>
        <v>-</v>
      </c>
      <c r="CL43" s="494" t="s">
        <v>8222</v>
      </c>
      <c r="CO43" s="573" t="s">
        <v>8064</v>
      </c>
      <c r="CP43" s="574"/>
      <c r="CQ43" s="574"/>
      <c r="CR43" s="575"/>
      <c r="CU43" s="469" t="s">
        <v>5510</v>
      </c>
      <c r="CV43" s="22" t="s">
        <v>5775</v>
      </c>
      <c r="CW43" s="522">
        <f t="shared" si="41"/>
        <v>35</v>
      </c>
      <c r="CX43" s="22" cm="1">
        <f t="array" aca="1" ref="CX43" ca="1">INDIRECT($DD$2&amp;CX$28&amp;$CW43)</f>
        <v>0</v>
      </c>
      <c r="CY43" s="22" cm="1">
        <f t="array" aca="1" ref="CY43" ca="1">INDIRECT($DD$2&amp;CY$28&amp;$CW43)</f>
        <v>0</v>
      </c>
      <c r="CZ43" s="22" cm="1">
        <f t="array" aca="1" ref="CZ43" ca="1">INDIRECT($DD$2&amp;CZ$28&amp;$CW43)</f>
        <v>0</v>
      </c>
      <c r="DA43" s="22" cm="1">
        <f t="array" aca="1" ref="DA43" ca="1">INDIRECT($DD$2&amp;DA$28&amp;$CW43)</f>
        <v>0</v>
      </c>
      <c r="DB43" s="22" cm="1">
        <f t="array" aca="1" ref="DB43" ca="1">INDIRECT($DD$2&amp;DB$28&amp;$CW43)</f>
        <v>0</v>
      </c>
      <c r="DC43" s="22" cm="1">
        <f t="array" aca="1" ref="DC43" ca="1">INDIRECT($DD$2&amp;DC$28&amp;$CW43)</f>
        <v>0</v>
      </c>
      <c r="DD43" s="22" t="str">
        <f t="shared" ca="1" si="39"/>
        <v/>
      </c>
      <c r="DE43" s="22" t="str">
        <f t="shared" ca="1" si="40"/>
        <v/>
      </c>
      <c r="DF43" s="372"/>
      <c r="DG43" s="372"/>
      <c r="DH43" s="372"/>
      <c r="DI43" s="372"/>
      <c r="DJ43" s="372"/>
      <c r="DK43" s="372"/>
      <c r="DL43" s="372"/>
      <c r="DM43" s="372"/>
      <c r="DN43" s="372"/>
      <c r="EQ43" s="469" t="s">
        <v>5510</v>
      </c>
      <c r="ES43" s="504"/>
      <c r="ET43" s="507"/>
      <c r="EU43" s="585">
        <v>44</v>
      </c>
      <c r="EW43" s="22" t="str" cm="1">
        <f t="array" aca="1" ref="EW43" ca="1">IF(INDIRECT($ET$31&amp;EU43)=0,"-",INDIRECT($ET$31&amp;EU43))</f>
        <v>-</v>
      </c>
      <c r="EX43" s="22" t="str" cm="1">
        <f t="array" aca="1" ref="EX43" ca="1">IF(INDIRECT($ET$32&amp;EU43)=0,"",INDIRECT($ET$32&amp;EU43))</f>
        <v/>
      </c>
      <c r="EY43" s="22" t="str" cm="1">
        <f t="array" aca="1" ref="EY43" ca="1">INDIRECT($ET$33&amp;EU43)</f>
        <v/>
      </c>
      <c r="EZ43" s="22" t="str" cm="1">
        <f t="array" aca="1" ref="EZ43" ca="1">IF(INDIRECT($ET$34&amp;EU43)=0,"",INDIRECT($ET$34&amp;EU43))</f>
        <v/>
      </c>
      <c r="FA43" s="22" t="str" cm="1">
        <f t="array" aca="1" ref="FA43" ca="1">IF(INDIRECT($ET$35&amp;EU43)=0,"",INDIRECT($ET$35&amp;EU43))</f>
        <v/>
      </c>
      <c r="FB43" s="22" t="str" cm="1">
        <f t="array" aca="1" ref="FB43" ca="1">IF(INDIRECT($ET$36&amp;EU43)=0,"",INDIRECT($ET$36&amp;EU43))</f>
        <v/>
      </c>
      <c r="FC43" s="22" t="str" cm="1">
        <f t="array" aca="1" ref="FC43" ca="1">IF(INDIRECT($ET$37&amp;EU43)=0,"",INDIRECT($ET$37&amp;EU43))</f>
        <v/>
      </c>
      <c r="GC43" s="472" t="s">
        <v>5510</v>
      </c>
      <c r="GE43" s="597">
        <v>26</v>
      </c>
      <c r="GF43" s="597" cm="1">
        <f t="array" aca="1" ref="GF43" ca="1">INDIRECT(Respostas_usuario!$AB$2&amp;$GE43,1)</f>
        <v>0</v>
      </c>
      <c r="GG43" s="597" cm="1">
        <f t="array" aca="1" ref="GG43" ca="1">INDIRECT($GE$6&amp;$GG$38&amp;$GE43,1)</f>
        <v>0</v>
      </c>
      <c r="GH43" s="601" t="b">
        <f>Respostas_usuario!AB7</f>
        <v>0</v>
      </c>
      <c r="GI43" s="602" cm="1">
        <f t="array" aca="1" ref="GI43" ca="1">INDIRECT($GE$7&amp;$GF$38&amp;$GE43,1)</f>
        <v>0</v>
      </c>
      <c r="GJ43" s="597" cm="1">
        <f t="array" aca="1" ref="GJ43" ca="1">INDIRECT($GE$7&amp;$GG$38&amp;$GE43,1)</f>
        <v>0</v>
      </c>
      <c r="GK43" s="603" t="b">
        <f>Respostas_usuario!AC7</f>
        <v>0</v>
      </c>
      <c r="GM43" s="508" t="s">
        <v>5541</v>
      </c>
      <c r="GN43" s="604">
        <f ca="1">COUNTIF($GJ$59:$GJ$73,"&gt;=2000")</f>
        <v>0</v>
      </c>
      <c r="GY43" s="492" t="str">
        <f t="shared" ca="1" si="42"/>
        <v/>
      </c>
      <c r="GZ43" s="495" t="str" cm="1">
        <f t="array" aca="1" ref="GZ43" ca="1">IFERROR(
IF(
AND(
 GY43&lt;&gt;"",
  ISERR(FIND(HA$31, $GY43)),
  ISERR(FIND(HB$31, $GY43)),
  ISERR(FIND(HC$31, $GY43))),
_xlfn.XLOOKUP(TRIM($GY43), tb_codigos_GHS_ABNT[Código], tb_codigos_GHS_ABNT[Código] &amp; ": " &amp; tb_codigos_GHS_ABNT[Frases de perigo]),
""),"-")</f>
        <v/>
      </c>
      <c r="HA43" s="495" t="str">
        <f t="shared" ca="1" si="43"/>
        <v/>
      </c>
      <c r="HB43" s="495" t="str">
        <f t="shared" ca="1" si="44"/>
        <v/>
      </c>
      <c r="HC43" s="495" t="str">
        <f t="shared" ca="1" si="45"/>
        <v/>
      </c>
      <c r="HD43" s="586"/>
      <c r="HE43" s="586"/>
      <c r="HF43" s="586" t="str" cm="1">
        <f t="array" ref="HF43">IFERROR(
IF(HE43&lt;&gt;"",_xlfn.XLOOKUP(HE43, tb_codigos_GHS_ABNT[Código], tb_codigos_GHS_ABNT[Código] &amp; ": " &amp; tb_codigos_GHS_ABNT[Frases de perigo]),
""),"Frase de perigo: -Erro-")</f>
        <v/>
      </c>
      <c r="HJ43" s="501"/>
      <c r="HK43" s="501" t="s">
        <v>380</v>
      </c>
      <c r="HL43" s="518" t="s">
        <v>6047</v>
      </c>
      <c r="HM43" s="568" t="s">
        <v>5824</v>
      </c>
      <c r="HN43" s="426"/>
    </row>
    <row r="44" spans="1:224" ht="15.75" thickBot="1" x14ac:dyDescent="0.3">
      <c r="A44" s="468" t="s">
        <v>7800</v>
      </c>
      <c r="B44" s="468"/>
      <c r="C44" s="468"/>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8"/>
      <c r="AB44" s="468"/>
      <c r="AC44" s="468"/>
      <c r="AD44" s="468"/>
      <c r="AE44" s="468"/>
      <c r="AV44" s="469" t="s">
        <v>5510</v>
      </c>
      <c r="AW44" s="579" t="s">
        <v>5767</v>
      </c>
      <c r="AY44" s="579" t="s">
        <v>5767</v>
      </c>
      <c r="BF44" s="469" t="s">
        <v>5510</v>
      </c>
      <c r="BG44" s="469">
        <v>3</v>
      </c>
      <c r="BH44" s="539" t="s">
        <v>8040</v>
      </c>
      <c r="BI44" s="539">
        <f t="shared" ref="BI44:BI53" si="51">BI43+1</f>
        <v>49</v>
      </c>
      <c r="BJ44" s="539" cm="1">
        <f t="array" aca="1" ref="BJ44" ca="1">INDIRECT($BM$2&amp;BJ$7&amp;$BI44,1)</f>
        <v>0</v>
      </c>
      <c r="BK44" s="539" cm="1">
        <f t="array" aca="1" ref="BK44" ca="1">INDIRECT($BM$2&amp;BK$7&amp;$BI44,1)</f>
        <v>0</v>
      </c>
      <c r="BL44" s="539" cm="1">
        <f t="array" aca="1" ref="BL44" ca="1">INDIRECT($BM$2&amp;BL$7&amp;$BI44,1)</f>
        <v>0</v>
      </c>
      <c r="BM44" s="539" cm="1">
        <f t="array" aca="1" ref="BM44" ca="1">INDIRECT($BM$2&amp;BM$7&amp;$BI44,1)</f>
        <v>0</v>
      </c>
      <c r="BN44" s="539" cm="1">
        <f t="array" aca="1" ref="BN44" ca="1">INDIRECT($BM$2&amp;BN$7&amp;$BI44,1)</f>
        <v>0</v>
      </c>
      <c r="BO44" s="539" t="str">
        <f t="shared" ca="1" si="48"/>
        <v>-</v>
      </c>
      <c r="BP44" s="494" t="s">
        <v>8222</v>
      </c>
      <c r="BQ44" s="20"/>
      <c r="BR44" s="469">
        <v>3</v>
      </c>
      <c r="BS44" s="539" t="s">
        <v>8040</v>
      </c>
      <c r="BT44" s="539">
        <f t="shared" ref="BT44:BT53" si="52">BT43+1</f>
        <v>395</v>
      </c>
      <c r="BU44" s="539" cm="1">
        <f t="array" aca="1" ref="BU44" ca="1">INDIRECT($BM$2&amp;BU$7&amp;$BT44,1)</f>
        <v>0</v>
      </c>
      <c r="BV44" s="539" cm="1">
        <f t="array" aca="1" ref="BV44" ca="1">INDIRECT($BM$2&amp;BV$7&amp;$BT44,1)</f>
        <v>0</v>
      </c>
      <c r="BW44" s="539" cm="1">
        <f t="array" aca="1" ref="BW44" ca="1">INDIRECT($BM$2&amp;BW$7&amp;$BT44,1)</f>
        <v>0</v>
      </c>
      <c r="BX44" s="539" cm="1">
        <f t="array" aca="1" ref="BX44" ca="1">INDIRECT($BM$2&amp;BX$7&amp;$BT44,1)</f>
        <v>0</v>
      </c>
      <c r="BY44" s="539" cm="1">
        <f t="array" aca="1" ref="BY44" ca="1">INDIRECT($BM$2&amp;BY$7&amp;$BT44,1)</f>
        <v>0</v>
      </c>
      <c r="BZ44" s="539" t="str">
        <f t="shared" ca="1" si="49"/>
        <v>-</v>
      </c>
      <c r="CA44" s="494" t="s">
        <v>8222</v>
      </c>
      <c r="CC44" s="469">
        <v>3</v>
      </c>
      <c r="CD44" s="539" t="s">
        <v>8040</v>
      </c>
      <c r="CE44" s="539">
        <f t="shared" ref="CE44:CE53" si="53">CE43+1</f>
        <v>741</v>
      </c>
      <c r="CF44" s="539" cm="1">
        <f t="array" aca="1" ref="CF44" ca="1">INDIRECT($BM$2&amp;CF$7&amp;$CE44,1)</f>
        <v>0</v>
      </c>
      <c r="CG44" s="539" cm="1">
        <f t="array" aca="1" ref="CG44" ca="1">INDIRECT($BM$2&amp;CG$7&amp;$CE44,1)</f>
        <v>0</v>
      </c>
      <c r="CH44" s="539" cm="1">
        <f t="array" aca="1" ref="CH44" ca="1">INDIRECT($BM$2&amp;CH$7&amp;$CE44,1)</f>
        <v>0</v>
      </c>
      <c r="CI44" s="539" cm="1">
        <f t="array" aca="1" ref="CI44" ca="1">INDIRECT($BM$2&amp;CI$7&amp;$CE44,1)</f>
        <v>0</v>
      </c>
      <c r="CJ44" s="539" cm="1">
        <f t="array" aca="1" ref="CJ44" ca="1">INDIRECT($BM$2&amp;CJ$7&amp;$CE44,1)</f>
        <v>0</v>
      </c>
      <c r="CK44" s="539" t="str">
        <f t="shared" ca="1" si="50"/>
        <v>-</v>
      </c>
      <c r="CL44" s="494" t="s">
        <v>8222</v>
      </c>
      <c r="CN44" s="571">
        <f>MATCH(CO44&amp;"-",$BS$1:$BS$325,0)</f>
        <v>10</v>
      </c>
      <c r="CO44" s="577" t="s">
        <v>90</v>
      </c>
      <c r="CP44" s="577" t="str" cm="1">
        <f t="array" aca="1" ref="CP44" ca="1">IF(INDIRECT($CP$42&amp;CN44)=0,"---","Preenchido")</f>
        <v>---</v>
      </c>
      <c r="CQ44" s="577" t="s">
        <v>95</v>
      </c>
      <c r="CR44" s="577" t="str" cm="1">
        <f t="array" aca="1" ref="CR44" ca="1">IF(INDIRECT($CP$42&amp;CS44)=0,"---","Preenchido")</f>
        <v>---</v>
      </c>
      <c r="CS44" s="571">
        <f>MATCH(CQ44&amp;"-",$BS$1:$BS$325,0)</f>
        <v>170</v>
      </c>
      <c r="CU44" s="469" t="s">
        <v>5510</v>
      </c>
      <c r="CV44" s="22" t="s">
        <v>5775</v>
      </c>
      <c r="CW44" s="522">
        <f t="shared" si="41"/>
        <v>36</v>
      </c>
      <c r="CX44" s="22" cm="1">
        <f t="array" aca="1" ref="CX44" ca="1">INDIRECT($DD$2&amp;CX$28&amp;$CW44)</f>
        <v>0</v>
      </c>
      <c r="CY44" s="22" cm="1">
        <f t="array" aca="1" ref="CY44" ca="1">INDIRECT($DD$2&amp;CY$28&amp;$CW44)</f>
        <v>0</v>
      </c>
      <c r="CZ44" s="22" cm="1">
        <f t="array" aca="1" ref="CZ44" ca="1">INDIRECT($DD$2&amp;CZ$28&amp;$CW44)</f>
        <v>0</v>
      </c>
      <c r="DA44" s="22" cm="1">
        <f t="array" aca="1" ref="DA44" ca="1">INDIRECT($DD$2&amp;DA$28&amp;$CW44)</f>
        <v>0</v>
      </c>
      <c r="DB44" s="22" cm="1">
        <f t="array" aca="1" ref="DB44" ca="1">INDIRECT($DD$2&amp;DB$28&amp;$CW44)</f>
        <v>0</v>
      </c>
      <c r="DC44" s="22" cm="1">
        <f t="array" aca="1" ref="DC44" ca="1">INDIRECT($DD$2&amp;DC$28&amp;$CW44)</f>
        <v>0</v>
      </c>
      <c r="DD44" s="22" t="str">
        <f t="shared" ca="1" si="39"/>
        <v/>
      </c>
      <c r="DE44" s="22" t="str">
        <f t="shared" ca="1" si="40"/>
        <v/>
      </c>
      <c r="DF44" s="372"/>
      <c r="DG44" s="372"/>
      <c r="DH44" s="372"/>
      <c r="DI44" s="372"/>
      <c r="DJ44" s="372"/>
      <c r="DK44" s="372"/>
      <c r="DL44" s="372"/>
      <c r="DM44" s="372"/>
      <c r="DN44" s="372"/>
      <c r="EQ44" s="469" t="s">
        <v>5510</v>
      </c>
      <c r="ES44" s="504"/>
      <c r="ET44" s="507"/>
      <c r="EU44" s="585">
        <v>45</v>
      </c>
      <c r="EW44" s="22" t="str" cm="1">
        <f t="array" aca="1" ref="EW44" ca="1">IF(INDIRECT($ET$31&amp;EU44)=0,"-",INDIRECT($ET$31&amp;EU44))</f>
        <v>-</v>
      </c>
      <c r="EX44" s="22" t="str" cm="1">
        <f t="array" aca="1" ref="EX44" ca="1">IF(INDIRECT($ET$32&amp;EU44)=0,"",INDIRECT($ET$32&amp;EU44))</f>
        <v/>
      </c>
      <c r="EY44" s="22" t="str" cm="1">
        <f t="array" aca="1" ref="EY44" ca="1">INDIRECT($ET$33&amp;EU44)</f>
        <v/>
      </c>
      <c r="EZ44" s="22" t="str" cm="1">
        <f t="array" aca="1" ref="EZ44" ca="1">IF(INDIRECT($ET$34&amp;EU44)=0,"",INDIRECT($ET$34&amp;EU44))</f>
        <v/>
      </c>
      <c r="FA44" s="22" t="str" cm="1">
        <f t="array" aca="1" ref="FA44" ca="1">IF(INDIRECT($ET$35&amp;EU44)=0,"",INDIRECT($ET$35&amp;EU44))</f>
        <v/>
      </c>
      <c r="FB44" s="22" t="str" cm="1">
        <f t="array" aca="1" ref="FB44" ca="1">IF(INDIRECT($ET$36&amp;EU44)=0,"",INDIRECT($ET$36&amp;EU44))</f>
        <v/>
      </c>
      <c r="FC44" s="22" t="str" cm="1">
        <f t="array" aca="1" ref="FC44" ca="1">IF(INDIRECT($ET$37&amp;EU44)=0,"",INDIRECT($ET$37&amp;EU44))</f>
        <v/>
      </c>
      <c r="GC44" s="472" t="s">
        <v>5510</v>
      </c>
      <c r="GE44" s="597">
        <v>27</v>
      </c>
      <c r="GF44" s="597" cm="1">
        <f t="array" aca="1" ref="GF44" ca="1">INDIRECT(Respostas_usuario!$AB$2&amp;$GE44,1)</f>
        <v>0</v>
      </c>
      <c r="GG44" s="597" cm="1">
        <f t="array" aca="1" ref="GG44" ca="1">INDIRECT($GE$6&amp;$GG$38&amp;$GE44,1)</f>
        <v>0</v>
      </c>
      <c r="GH44" s="601" t="b">
        <f>Respostas_usuario!AB8</f>
        <v>0</v>
      </c>
      <c r="GI44" s="602" cm="1">
        <f t="array" aca="1" ref="GI44" ca="1">INDIRECT($GE$7&amp;$GF$38&amp;$GE44,1)</f>
        <v>0</v>
      </c>
      <c r="GJ44" s="597" cm="1">
        <f t="array" aca="1" ref="GJ44" ca="1">INDIRECT($GE$7&amp;$GG$38&amp;$GE44,1)</f>
        <v>0</v>
      </c>
      <c r="GK44" s="603" t="b">
        <f>Respostas_usuario!AC8</f>
        <v>0</v>
      </c>
      <c r="GY44" s="492" t="str">
        <f t="shared" ca="1" si="42"/>
        <v/>
      </c>
      <c r="GZ44" s="495" t="str" cm="1">
        <f t="array" aca="1" ref="GZ44" ca="1">IFERROR(
IF(
AND(
 GY44&lt;&gt;"",
  ISERR(FIND(HA$31, $GY44)),
  ISERR(FIND(HB$31, $GY44)),
  ISERR(FIND(HC$31, $GY44))),
_xlfn.XLOOKUP(TRIM($GY44), tb_codigos_GHS_ABNT[Código], tb_codigos_GHS_ABNT[Código] &amp; ": " &amp; tb_codigos_GHS_ABNT[Frases de perigo]),
""),"-")</f>
        <v/>
      </c>
      <c r="HA44" s="495" t="str">
        <f t="shared" ca="1" si="43"/>
        <v/>
      </c>
      <c r="HB44" s="495" t="str">
        <f t="shared" ca="1" si="44"/>
        <v/>
      </c>
      <c r="HC44" s="495" t="str">
        <f t="shared" ca="1" si="45"/>
        <v/>
      </c>
      <c r="HD44" s="586"/>
      <c r="HE44" s="586"/>
      <c r="HF44" s="586" t="str" cm="1">
        <f t="array" ref="HF44">IFERROR(
IF(HE44&lt;&gt;"",_xlfn.XLOOKUP(HE44, tb_codigos_GHS_ABNT[Código], tb_codigos_GHS_ABNT[Código] &amp; ": " &amp; tb_codigos_GHS_ABNT[Frases de perigo]),
""),"Frase de perigo: -Erro-")</f>
        <v/>
      </c>
      <c r="HJ44" s="501"/>
      <c r="HK44" s="501" t="s">
        <v>380</v>
      </c>
      <c r="HL44" s="518" t="s">
        <v>6045</v>
      </c>
      <c r="HM44" s="568" t="s">
        <v>5824</v>
      </c>
      <c r="HN44" s="426"/>
    </row>
    <row r="45" spans="1:224" x14ac:dyDescent="0.25">
      <c r="A45" s="605" t="s">
        <v>5799</v>
      </c>
      <c r="F45" s="606" t="s">
        <v>7263</v>
      </c>
      <c r="G45" s="606"/>
      <c r="H45" s="606"/>
      <c r="I45" s="606"/>
      <c r="J45" s="606"/>
      <c r="K45" s="606"/>
      <c r="L45" s="606"/>
      <c r="M45" s="606"/>
      <c r="AA45" s="607" t="s">
        <v>7294</v>
      </c>
      <c r="AB45" s="20" t="s">
        <v>7296</v>
      </c>
      <c r="AD45" s="475"/>
      <c r="AV45" s="469" t="s">
        <v>5510</v>
      </c>
      <c r="AW45" s="570" t="str" cm="1">
        <f t="array" aca="1" ref="AW45" ca="1">IF(INDIRECT("'Micronucleo(1)'!N76",1)&lt;&gt;"sim",AX45,AX46)</f>
        <v>Dose Máxima Tolerada - DMT (mg/kg pc)</v>
      </c>
      <c r="AX45" s="20" t="s">
        <v>5769</v>
      </c>
      <c r="AY45" s="570" t="str" cm="1">
        <f t="array" aca="1" ref="AY45" ca="1">IF(INDIRECT("'Micronucleo(1)'!N76",1)&lt;&gt;"sim",AZ45,AZ46)</f>
        <v>Qual foi a dose de DL50 encontrada? (mg/kg pc)</v>
      </c>
      <c r="AZ45" s="20" t="s">
        <v>6475</v>
      </c>
      <c r="BF45" s="469" t="s">
        <v>5510</v>
      </c>
      <c r="BG45" s="469">
        <v>4</v>
      </c>
      <c r="BH45" s="539" t="s">
        <v>8040</v>
      </c>
      <c r="BI45" s="539">
        <f t="shared" si="51"/>
        <v>50</v>
      </c>
      <c r="BJ45" s="539" cm="1">
        <f t="array" aca="1" ref="BJ45" ca="1">INDIRECT($BM$2&amp;BJ$7&amp;$BI45,1)</f>
        <v>0</v>
      </c>
      <c r="BK45" s="539" cm="1">
        <f t="array" aca="1" ref="BK45" ca="1">INDIRECT($BM$2&amp;BK$7&amp;$BI45,1)</f>
        <v>0</v>
      </c>
      <c r="BL45" s="539" cm="1">
        <f t="array" aca="1" ref="BL45" ca="1">INDIRECT($BM$2&amp;BL$7&amp;$BI45,1)</f>
        <v>0</v>
      </c>
      <c r="BM45" s="539" cm="1">
        <f t="array" aca="1" ref="BM45" ca="1">INDIRECT($BM$2&amp;BM$7&amp;$BI45,1)</f>
        <v>0</v>
      </c>
      <c r="BN45" s="539" cm="1">
        <f t="array" aca="1" ref="BN45" ca="1">INDIRECT($BM$2&amp;BN$7&amp;$BI45,1)</f>
        <v>0</v>
      </c>
      <c r="BO45" s="539" t="str">
        <f t="shared" ca="1" si="48"/>
        <v>-</v>
      </c>
      <c r="BP45" s="494" t="s">
        <v>8222</v>
      </c>
      <c r="BQ45" s="20"/>
      <c r="BR45" s="469">
        <v>4</v>
      </c>
      <c r="BS45" s="539" t="s">
        <v>8040</v>
      </c>
      <c r="BT45" s="539">
        <f t="shared" si="52"/>
        <v>396</v>
      </c>
      <c r="BU45" s="539" cm="1">
        <f t="array" aca="1" ref="BU45" ca="1">INDIRECT($BM$2&amp;BU$7&amp;$BT45,1)</f>
        <v>0</v>
      </c>
      <c r="BV45" s="539" cm="1">
        <f t="array" aca="1" ref="BV45" ca="1">INDIRECT($BM$2&amp;BV$7&amp;$BT45,1)</f>
        <v>0</v>
      </c>
      <c r="BW45" s="539" cm="1">
        <f t="array" aca="1" ref="BW45" ca="1">INDIRECT($BM$2&amp;BW$7&amp;$BT45,1)</f>
        <v>0</v>
      </c>
      <c r="BX45" s="539" cm="1">
        <f t="array" aca="1" ref="BX45" ca="1">INDIRECT($BM$2&amp;BX$7&amp;$BT45,1)</f>
        <v>0</v>
      </c>
      <c r="BY45" s="539" cm="1">
        <f t="array" aca="1" ref="BY45" ca="1">INDIRECT($BM$2&amp;BY$7&amp;$BT45,1)</f>
        <v>0</v>
      </c>
      <c r="BZ45" s="539" t="str">
        <f t="shared" ca="1" si="49"/>
        <v>-</v>
      </c>
      <c r="CA45" s="494" t="s">
        <v>8222</v>
      </c>
      <c r="CC45" s="469">
        <v>4</v>
      </c>
      <c r="CD45" s="539" t="s">
        <v>8040</v>
      </c>
      <c r="CE45" s="539">
        <f t="shared" si="53"/>
        <v>742</v>
      </c>
      <c r="CF45" s="539" cm="1">
        <f t="array" aca="1" ref="CF45" ca="1">INDIRECT($BM$2&amp;CF$7&amp;$CE45,1)</f>
        <v>0</v>
      </c>
      <c r="CG45" s="539" cm="1">
        <f t="array" aca="1" ref="CG45" ca="1">INDIRECT($BM$2&amp;CG$7&amp;$CE45,1)</f>
        <v>0</v>
      </c>
      <c r="CH45" s="539" cm="1">
        <f t="array" aca="1" ref="CH45" ca="1">INDIRECT($BM$2&amp;CH$7&amp;$CE45,1)</f>
        <v>0</v>
      </c>
      <c r="CI45" s="539" cm="1">
        <f t="array" aca="1" ref="CI45" ca="1">INDIRECT($BM$2&amp;CI$7&amp;$CE45,1)</f>
        <v>0</v>
      </c>
      <c r="CJ45" s="539" cm="1">
        <f t="array" aca="1" ref="CJ45" ca="1">INDIRECT($BM$2&amp;CJ$7&amp;$CE45,1)</f>
        <v>0</v>
      </c>
      <c r="CK45" s="539" t="str">
        <f t="shared" ca="1" si="50"/>
        <v>-</v>
      </c>
      <c r="CL45" s="494" t="s">
        <v>8222</v>
      </c>
      <c r="CN45" s="571">
        <f t="shared" ref="CN45:CN48" si="54">MATCH(CO45&amp;"-",$BS$1:$BS$325,0)</f>
        <v>42</v>
      </c>
      <c r="CO45" s="537" t="s">
        <v>91</v>
      </c>
      <c r="CP45" s="577" t="str" cm="1">
        <f t="array" aca="1" ref="CP45" ca="1">IF(INDIRECT($CP$42&amp;CN45)=0,"---","Preenchido")</f>
        <v>---</v>
      </c>
      <c r="CQ45" s="537" t="s">
        <v>96</v>
      </c>
      <c r="CR45" s="577" t="str" cm="1">
        <f t="array" aca="1" ref="CR45" ca="1">IF(INDIRECT($CP$42&amp;CS45)=0,"---","Preenchido")</f>
        <v>---</v>
      </c>
      <c r="CS45" s="571">
        <f t="shared" ref="CS45:CS47" si="55">MATCH(CQ45&amp;"-",$BS$1:$BS$325,0)</f>
        <v>202</v>
      </c>
      <c r="CU45" s="469" t="s">
        <v>5510</v>
      </c>
      <c r="CV45" s="22" t="s">
        <v>5775</v>
      </c>
      <c r="CW45" s="522">
        <f t="shared" si="41"/>
        <v>37</v>
      </c>
      <c r="CX45" s="22" cm="1">
        <f t="array" aca="1" ref="CX45" ca="1">INDIRECT($DD$2&amp;CX$28&amp;$CW45)</f>
        <v>0</v>
      </c>
      <c r="CY45" s="22" cm="1">
        <f t="array" aca="1" ref="CY45" ca="1">INDIRECT($DD$2&amp;CY$28&amp;$CW45)</f>
        <v>0</v>
      </c>
      <c r="CZ45" s="22" cm="1">
        <f t="array" aca="1" ref="CZ45" ca="1">INDIRECT($DD$2&amp;CZ$28&amp;$CW45)</f>
        <v>0</v>
      </c>
      <c r="DA45" s="22" cm="1">
        <f t="array" aca="1" ref="DA45" ca="1">INDIRECT($DD$2&amp;DA$28&amp;$CW45)</f>
        <v>0</v>
      </c>
      <c r="DB45" s="22" cm="1">
        <f t="array" aca="1" ref="DB45" ca="1">INDIRECT($DD$2&amp;DB$28&amp;$CW45)</f>
        <v>0</v>
      </c>
      <c r="DC45" s="22" cm="1">
        <f t="array" aca="1" ref="DC45" ca="1">INDIRECT($DD$2&amp;DC$28&amp;$CW45)</f>
        <v>0</v>
      </c>
      <c r="DD45" s="22" t="str">
        <f t="shared" ca="1" si="39"/>
        <v/>
      </c>
      <c r="DE45" s="22" t="str">
        <f t="shared" ca="1" si="40"/>
        <v/>
      </c>
      <c r="EQ45" s="469" t="s">
        <v>5510</v>
      </c>
      <c r="ES45" s="504"/>
      <c r="ET45" s="507"/>
      <c r="EU45" s="585">
        <v>46</v>
      </c>
      <c r="EW45" s="22" t="str" cm="1">
        <f t="array" aca="1" ref="EW45" ca="1">IF(INDIRECT($ET$31&amp;EU45)=0,"-",INDIRECT($ET$31&amp;EU45))</f>
        <v>-</v>
      </c>
      <c r="EX45" s="22" t="str" cm="1">
        <f t="array" aca="1" ref="EX45" ca="1">IF(INDIRECT($ET$32&amp;EU45)=0,"",INDIRECT($ET$32&amp;EU45))</f>
        <v/>
      </c>
      <c r="EY45" s="22" t="str" cm="1">
        <f t="array" aca="1" ref="EY45" ca="1">INDIRECT($ET$33&amp;EU45)</f>
        <v/>
      </c>
      <c r="EZ45" s="22" t="str" cm="1">
        <f t="array" aca="1" ref="EZ45" ca="1">IF(INDIRECT($ET$34&amp;EU45)=0,"",INDIRECT($ET$34&amp;EU45))</f>
        <v/>
      </c>
      <c r="FA45" s="22" t="str" cm="1">
        <f t="array" aca="1" ref="FA45" ca="1">IF(INDIRECT($ET$35&amp;EU45)=0,"",INDIRECT($ET$35&amp;EU45))</f>
        <v/>
      </c>
      <c r="FB45" s="22" t="str" cm="1">
        <f t="array" aca="1" ref="FB45" ca="1">IF(INDIRECT($ET$36&amp;EU45)=0,"",INDIRECT($ET$36&amp;EU45))</f>
        <v/>
      </c>
      <c r="FC45" s="22" t="str" cm="1">
        <f t="array" aca="1" ref="FC45" ca="1">IF(INDIRECT($ET$37&amp;EU45)=0,"",INDIRECT($ET$37&amp;EU45))</f>
        <v/>
      </c>
      <c r="GC45" s="472" t="s">
        <v>5510</v>
      </c>
      <c r="GE45" s="597">
        <v>28</v>
      </c>
      <c r="GF45" s="597" cm="1">
        <f t="array" aca="1" ref="GF45" ca="1">INDIRECT(Respostas_usuario!$AB$2&amp;$GE45,1)</f>
        <v>0</v>
      </c>
      <c r="GG45" s="597" cm="1">
        <f t="array" aca="1" ref="GG45" ca="1">INDIRECT($GE$6&amp;$GG$38&amp;$GE45,1)</f>
        <v>0</v>
      </c>
      <c r="GH45" s="601" t="b">
        <f>Respostas_usuario!AB9</f>
        <v>0</v>
      </c>
      <c r="GI45" s="602" cm="1">
        <f t="array" aca="1" ref="GI45" ca="1">INDIRECT($GE$7&amp;$GF$38&amp;$GE45,1)</f>
        <v>0</v>
      </c>
      <c r="GJ45" s="597" cm="1">
        <f t="array" aca="1" ref="GJ45" ca="1">INDIRECT($GE$7&amp;$GG$38&amp;$GE45,1)</f>
        <v>0</v>
      </c>
      <c r="GK45" s="603" t="b">
        <f>Respostas_usuario!AC9</f>
        <v>0</v>
      </c>
      <c r="GY45" s="492" t="str">
        <f t="shared" ca="1" si="42"/>
        <v/>
      </c>
      <c r="GZ45" s="495" t="str" cm="1">
        <f t="array" aca="1" ref="GZ45" ca="1">IFERROR(
IF(
AND(
 GY45&lt;&gt;"",
  ISERR(FIND(HA$31, $GY45)),
  ISERR(FIND(HB$31, $GY45)),
  ISERR(FIND(HC$31, $GY45))),
_xlfn.XLOOKUP(TRIM($GY45), tb_codigos_GHS_ABNT[Código], tb_codigos_GHS_ABNT[Código] &amp; ": " &amp; tb_codigos_GHS_ABNT[Frases de perigo]),
""),"-")</f>
        <v/>
      </c>
      <c r="HA45" s="495" t="str">
        <f t="shared" ca="1" si="43"/>
        <v/>
      </c>
      <c r="HB45" s="495" t="str">
        <f t="shared" ca="1" si="44"/>
        <v/>
      </c>
      <c r="HC45" s="495" t="str">
        <f t="shared" ca="1" si="45"/>
        <v/>
      </c>
      <c r="HD45" s="586"/>
      <c r="HE45" s="586"/>
      <c r="HF45" s="586" t="str" cm="1">
        <f t="array" ref="HF45">IFERROR(
IF(HE45&lt;&gt;"",_xlfn.XLOOKUP(HE45, tb_codigos_GHS_ABNT[Código], tb_codigos_GHS_ABNT[Código] &amp; ": " &amp; tb_codigos_GHS_ABNT[Frases de perigo]),
""),"Frase de perigo: -Erro-")</f>
        <v/>
      </c>
      <c r="HJ45" s="501"/>
      <c r="HK45" s="501" t="s">
        <v>380</v>
      </c>
      <c r="HL45" s="518" t="s">
        <v>6046</v>
      </c>
      <c r="HM45" s="568" t="s">
        <v>5824</v>
      </c>
      <c r="HN45" s="426"/>
    </row>
    <row r="46" spans="1:224" x14ac:dyDescent="0.25">
      <c r="F46" s="608"/>
      <c r="G46" s="608"/>
      <c r="H46" s="608"/>
      <c r="I46" s="608"/>
      <c r="J46" s="608"/>
      <c r="K46" s="608"/>
      <c r="L46" s="608"/>
      <c r="M46" s="608"/>
      <c r="AA46" s="479" t="s">
        <v>7298</v>
      </c>
      <c r="AB46" s="479" t="s">
        <v>7297</v>
      </c>
      <c r="AC46" s="479" t="s">
        <v>7295</v>
      </c>
      <c r="AD46" s="479" t="s">
        <v>5448</v>
      </c>
      <c r="AV46" s="469" t="s">
        <v>5510</v>
      </c>
      <c r="AW46" s="570" t="str" cm="1">
        <f t="array" aca="1" ref="AW46" ca="1">IF(INDIRECT("'Micronucleo(1)'!N76",1)&lt;&gt;"sim","",AX47)</f>
        <v/>
      </c>
      <c r="AX46" s="20" t="s">
        <v>5768</v>
      </c>
      <c r="AY46" s="570" t="str" cm="1">
        <f t="array" aca="1" ref="AY46" ca="1">IF(INDIRECT("'Micronucleo(1)'!N76",1)&lt;&gt;"sim","",AZ47)</f>
        <v/>
      </c>
      <c r="AZ46" s="20" t="s">
        <v>5770</v>
      </c>
      <c r="BF46" s="469" t="s">
        <v>5510</v>
      </c>
      <c r="BG46" s="469">
        <v>5</v>
      </c>
      <c r="BH46" s="539" t="s">
        <v>8040</v>
      </c>
      <c r="BI46" s="539">
        <f t="shared" si="51"/>
        <v>51</v>
      </c>
      <c r="BJ46" s="539" cm="1">
        <f t="array" aca="1" ref="BJ46" ca="1">INDIRECT($BM$2&amp;BJ$7&amp;$BI46,1)</f>
        <v>0</v>
      </c>
      <c r="BK46" s="539" cm="1">
        <f t="array" aca="1" ref="BK46" ca="1">INDIRECT($BM$2&amp;BK$7&amp;$BI46,1)</f>
        <v>0</v>
      </c>
      <c r="BL46" s="539" cm="1">
        <f t="array" aca="1" ref="BL46" ca="1">INDIRECT($BM$2&amp;BL$7&amp;$BI46,1)</f>
        <v>0</v>
      </c>
      <c r="BM46" s="539" cm="1">
        <f t="array" aca="1" ref="BM46" ca="1">INDIRECT($BM$2&amp;BM$7&amp;$BI46,1)</f>
        <v>0</v>
      </c>
      <c r="BN46" s="539" cm="1">
        <f t="array" aca="1" ref="BN46" ca="1">INDIRECT($BM$2&amp;BN$7&amp;$BI46,1)</f>
        <v>0</v>
      </c>
      <c r="BO46" s="539" t="str">
        <f t="shared" ca="1" si="48"/>
        <v>-</v>
      </c>
      <c r="BP46" s="494" t="s">
        <v>8222</v>
      </c>
      <c r="BQ46" s="20"/>
      <c r="BR46" s="469">
        <v>5</v>
      </c>
      <c r="BS46" s="539" t="s">
        <v>8040</v>
      </c>
      <c r="BT46" s="539">
        <f t="shared" si="52"/>
        <v>397</v>
      </c>
      <c r="BU46" s="539" cm="1">
        <f t="array" aca="1" ref="BU46" ca="1">INDIRECT($BM$2&amp;BU$7&amp;$BT46,1)</f>
        <v>0</v>
      </c>
      <c r="BV46" s="539" cm="1">
        <f t="array" aca="1" ref="BV46" ca="1">INDIRECT($BM$2&amp;BV$7&amp;$BT46,1)</f>
        <v>0</v>
      </c>
      <c r="BW46" s="539" cm="1">
        <f t="array" aca="1" ref="BW46" ca="1">INDIRECT($BM$2&amp;BW$7&amp;$BT46,1)</f>
        <v>0</v>
      </c>
      <c r="BX46" s="539" cm="1">
        <f t="array" aca="1" ref="BX46" ca="1">INDIRECT($BM$2&amp;BX$7&amp;$BT46,1)</f>
        <v>0</v>
      </c>
      <c r="BY46" s="539" cm="1">
        <f t="array" aca="1" ref="BY46" ca="1">INDIRECT($BM$2&amp;BY$7&amp;$BT46,1)</f>
        <v>0</v>
      </c>
      <c r="BZ46" s="539" t="str">
        <f t="shared" ca="1" si="49"/>
        <v>-</v>
      </c>
      <c r="CA46" s="494" t="s">
        <v>8222</v>
      </c>
      <c r="CC46" s="469">
        <v>5</v>
      </c>
      <c r="CD46" s="539" t="s">
        <v>8040</v>
      </c>
      <c r="CE46" s="539">
        <f t="shared" si="53"/>
        <v>743</v>
      </c>
      <c r="CF46" s="539" cm="1">
        <f t="array" aca="1" ref="CF46" ca="1">INDIRECT($BM$2&amp;CF$7&amp;$CE46,1)</f>
        <v>0</v>
      </c>
      <c r="CG46" s="539" cm="1">
        <f t="array" aca="1" ref="CG46" ca="1">INDIRECT($BM$2&amp;CG$7&amp;$CE46,1)</f>
        <v>0</v>
      </c>
      <c r="CH46" s="539" cm="1">
        <f t="array" aca="1" ref="CH46" ca="1">INDIRECT($BM$2&amp;CH$7&amp;$CE46,1)</f>
        <v>0</v>
      </c>
      <c r="CI46" s="539" cm="1">
        <f t="array" aca="1" ref="CI46" ca="1">INDIRECT($BM$2&amp;CI$7&amp;$CE46,1)</f>
        <v>0</v>
      </c>
      <c r="CJ46" s="539" cm="1">
        <f t="array" aca="1" ref="CJ46" ca="1">INDIRECT($BM$2&amp;CJ$7&amp;$CE46,1)</f>
        <v>0</v>
      </c>
      <c r="CK46" s="539" t="str">
        <f t="shared" ca="1" si="50"/>
        <v>-</v>
      </c>
      <c r="CL46" s="494" t="s">
        <v>8222</v>
      </c>
      <c r="CN46" s="571">
        <f t="shared" si="54"/>
        <v>74</v>
      </c>
      <c r="CO46" s="537" t="s">
        <v>92</v>
      </c>
      <c r="CP46" s="577" t="str" cm="1">
        <f t="array" aca="1" ref="CP46" ca="1">IF(INDIRECT($CP$42&amp;CN46)=0,"---","Preenchido")</f>
        <v>---</v>
      </c>
      <c r="CQ46" s="537" t="s">
        <v>97</v>
      </c>
      <c r="CR46" s="577" t="str" cm="1">
        <f t="array" aca="1" ref="CR46" ca="1">IF(INDIRECT($CP$42&amp;CS46)=0,"---","Preenchido")</f>
        <v>---</v>
      </c>
      <c r="CS46" s="571">
        <f t="shared" si="55"/>
        <v>234</v>
      </c>
      <c r="CU46" s="469" t="s">
        <v>5510</v>
      </c>
      <c r="CV46" s="22" t="s">
        <v>5775</v>
      </c>
      <c r="CW46" s="522">
        <f t="shared" si="41"/>
        <v>38</v>
      </c>
      <c r="CX46" s="22" cm="1">
        <f t="array" aca="1" ref="CX46" ca="1">INDIRECT($DD$2&amp;CX$28&amp;$CW46)</f>
        <v>0</v>
      </c>
      <c r="CY46" s="22" cm="1">
        <f t="array" aca="1" ref="CY46" ca="1">INDIRECT($DD$2&amp;CY$28&amp;$CW46)</f>
        <v>0</v>
      </c>
      <c r="CZ46" s="22" cm="1">
        <f t="array" aca="1" ref="CZ46" ca="1">INDIRECT($DD$2&amp;CZ$28&amp;$CW46)</f>
        <v>0</v>
      </c>
      <c r="DA46" s="22" cm="1">
        <f t="array" aca="1" ref="DA46" ca="1">INDIRECT($DD$2&amp;DA$28&amp;$CW46)</f>
        <v>0</v>
      </c>
      <c r="DB46" s="22" cm="1">
        <f t="array" aca="1" ref="DB46" ca="1">INDIRECT($DD$2&amp;DB$28&amp;$CW46)</f>
        <v>0</v>
      </c>
      <c r="DC46" s="22" cm="1">
        <f t="array" aca="1" ref="DC46" ca="1">INDIRECT($DD$2&amp;DC$28&amp;$CW46)</f>
        <v>0</v>
      </c>
      <c r="DD46" s="22" t="str">
        <f t="shared" ca="1" si="39"/>
        <v/>
      </c>
      <c r="DE46" s="22" t="str">
        <f t="shared" ca="1" si="40"/>
        <v/>
      </c>
      <c r="EQ46" s="469" t="s">
        <v>5510</v>
      </c>
      <c r="ES46" s="504"/>
      <c r="ET46" s="507"/>
      <c r="EU46" s="585">
        <v>47</v>
      </c>
      <c r="EW46" s="22" t="str" cm="1">
        <f t="array" aca="1" ref="EW46" ca="1">IF(INDIRECT($ET$31&amp;EU46)=0,"-",INDIRECT($ET$31&amp;EU46))</f>
        <v>-</v>
      </c>
      <c r="EX46" s="22" t="str" cm="1">
        <f t="array" aca="1" ref="EX46" ca="1">IF(INDIRECT($ET$32&amp;EU46)=0,"",INDIRECT($ET$32&amp;EU46))</f>
        <v/>
      </c>
      <c r="EY46" s="22" t="str" cm="1">
        <f t="array" aca="1" ref="EY46" ca="1">INDIRECT($ET$33&amp;EU46)</f>
        <v/>
      </c>
      <c r="EZ46" s="22" t="str" cm="1">
        <f t="array" aca="1" ref="EZ46" ca="1">IF(INDIRECT($ET$34&amp;EU46)=0,"",INDIRECT($ET$34&amp;EU46))</f>
        <v/>
      </c>
      <c r="FA46" s="22" t="str" cm="1">
        <f t="array" aca="1" ref="FA46" ca="1">IF(INDIRECT($ET$35&amp;EU46)=0,"",INDIRECT($ET$35&amp;EU46))</f>
        <v/>
      </c>
      <c r="FB46" s="22" t="str" cm="1">
        <f t="array" aca="1" ref="FB46" ca="1">IF(INDIRECT($ET$36&amp;EU46)=0,"",INDIRECT($ET$36&amp;EU46))</f>
        <v/>
      </c>
      <c r="FC46" s="22" t="str" cm="1">
        <f t="array" aca="1" ref="FC46" ca="1">IF(INDIRECT($ET$37&amp;EU46)=0,"",INDIRECT($ET$37&amp;EU46))</f>
        <v/>
      </c>
      <c r="GC46" s="472" t="s">
        <v>5510</v>
      </c>
      <c r="GE46" s="597">
        <v>29</v>
      </c>
      <c r="GF46" s="597" cm="1">
        <f t="array" aca="1" ref="GF46" ca="1">INDIRECT(Respostas_usuario!$AB$2&amp;$GE46,1)</f>
        <v>0</v>
      </c>
      <c r="GG46" s="597" cm="1">
        <f t="array" aca="1" ref="GG46" ca="1">INDIRECT($GE$6&amp;$GG$38&amp;$GE46,1)</f>
        <v>0</v>
      </c>
      <c r="GH46" s="601" t="b">
        <f>Respostas_usuario!AB10</f>
        <v>0</v>
      </c>
      <c r="GI46" s="602" cm="1">
        <f t="array" aca="1" ref="GI46" ca="1">INDIRECT($GE$7&amp;$GF$38&amp;$GE46,1)</f>
        <v>0</v>
      </c>
      <c r="GJ46" s="597" cm="1">
        <f t="array" aca="1" ref="GJ46" ca="1">INDIRECT($GE$7&amp;$GG$38&amp;$GE46,1)</f>
        <v>0</v>
      </c>
      <c r="GK46" s="603" t="b">
        <f>Respostas_usuario!AC10</f>
        <v>0</v>
      </c>
      <c r="GY46" s="492" t="str">
        <f t="shared" ca="1" si="42"/>
        <v/>
      </c>
      <c r="GZ46" s="495" t="str" cm="1">
        <f t="array" aca="1" ref="GZ46" ca="1">IFERROR(
IF(
AND(
 GY46&lt;&gt;"",
  ISERR(FIND(HA$31, $GY46)),
  ISERR(FIND(HB$31, $GY46)),
  ISERR(FIND(HC$31, $GY46))),
_xlfn.XLOOKUP(TRIM($GY46), tb_codigos_GHS_ABNT[Código], tb_codigos_GHS_ABNT[Código] &amp; ": " &amp; tb_codigos_GHS_ABNT[Frases de perigo]),
""),"-")</f>
        <v/>
      </c>
      <c r="HA46" s="495" t="str">
        <f t="shared" ca="1" si="43"/>
        <v/>
      </c>
      <c r="HB46" s="495" t="str">
        <f t="shared" ca="1" si="44"/>
        <v/>
      </c>
      <c r="HC46" s="495" t="str">
        <f t="shared" ca="1" si="45"/>
        <v/>
      </c>
      <c r="HD46" s="586"/>
      <c r="HE46" s="586"/>
      <c r="HF46" s="586" t="str" cm="1">
        <f t="array" ref="HF46">IFERROR(
IF(HE46&lt;&gt;"",_xlfn.XLOOKUP(HE46, tb_codigos_GHS_ABNT[Código], tb_codigos_GHS_ABNT[Código] &amp; ": " &amp; tb_codigos_GHS_ABNT[Frases de perigo]),
""),"Frase de perigo: -Erro-")</f>
        <v/>
      </c>
      <c r="HK46" s="23" t="s">
        <v>5858</v>
      </c>
      <c r="HN46" s="426"/>
    </row>
    <row r="47" spans="1:224" ht="15.75" thickBot="1" x14ac:dyDescent="0.3">
      <c r="A47" s="552" t="s">
        <v>5801</v>
      </c>
      <c r="B47" s="552" t="s">
        <v>5800</v>
      </c>
      <c r="F47" s="609" t="s">
        <v>5596</v>
      </c>
      <c r="G47" s="609" t="s">
        <v>5578</v>
      </c>
      <c r="H47" s="610"/>
      <c r="I47" s="608"/>
      <c r="J47" s="608"/>
      <c r="K47" s="611"/>
      <c r="L47" s="608"/>
      <c r="M47" s="608"/>
      <c r="AA47" s="496" t="str" cm="1">
        <f t="array" aca="1" ref="AA47" ca="1">IFERROR(
INDEX($E$4:$E$18,MATCH(0,INDEX(COUNTIF($AA$45:AA46,$E$4:$E$18),),)),"")</f>
        <v/>
      </c>
      <c r="AB47" s="496" t="str">
        <f t="shared" ref="AB47:AB61" ca="1" si="56">IF(COUNTIF($H$4:$H$43,AA47)&gt;0,"",AA47)</f>
        <v/>
      </c>
      <c r="AC47" s="496" t="str">
        <f ca="1">IF(AB47="","",
IF((COUNTA(AB48:$AB$61)-COUNTIF(AB48:$AB$61,""))=0,AB47&amp;". ",AB47&amp;"; "))</f>
        <v/>
      </c>
      <c r="AD47" s="475" t="str">
        <f ca="1">IF(COUNTIF(AA47:AA61,"")=15,"",IF(
(COUNTIF(AC47:AC61,"")-COUNTA(AC47:AC61))=0,"Todos os ativos constam na declaração de composição.",_xlfn.CONCAT("Ativos não informados (Nº CAS): ",AC47:AC61)))</f>
        <v/>
      </c>
      <c r="AV47" s="469" t="s">
        <v>5510</v>
      </c>
      <c r="AX47" s="20" t="s">
        <v>212</v>
      </c>
      <c r="AZ47" s="20" t="s">
        <v>5771</v>
      </c>
      <c r="BF47" s="469" t="s">
        <v>5510</v>
      </c>
      <c r="BG47" s="469">
        <v>6</v>
      </c>
      <c r="BH47" s="539" t="s">
        <v>8040</v>
      </c>
      <c r="BI47" s="539">
        <f t="shared" si="51"/>
        <v>52</v>
      </c>
      <c r="BJ47" s="539" cm="1">
        <f t="array" aca="1" ref="BJ47" ca="1">INDIRECT($BM$2&amp;BJ$7&amp;$BI47,1)</f>
        <v>0</v>
      </c>
      <c r="BK47" s="539" cm="1">
        <f t="array" aca="1" ref="BK47" ca="1">INDIRECT($BM$2&amp;BK$7&amp;$BI47,1)</f>
        <v>0</v>
      </c>
      <c r="BL47" s="539" cm="1">
        <f t="array" aca="1" ref="BL47" ca="1">INDIRECT($BM$2&amp;BL$7&amp;$BI47,1)</f>
        <v>0</v>
      </c>
      <c r="BM47" s="539" cm="1">
        <f t="array" aca="1" ref="BM47" ca="1">INDIRECT($BM$2&amp;BM$7&amp;$BI47,1)</f>
        <v>0</v>
      </c>
      <c r="BN47" s="539" cm="1">
        <f t="array" aca="1" ref="BN47" ca="1">INDIRECT($BM$2&amp;BN$7&amp;$BI47,1)</f>
        <v>0</v>
      </c>
      <c r="BO47" s="539" t="str">
        <f t="shared" ca="1" si="48"/>
        <v>-</v>
      </c>
      <c r="BP47" s="494" t="s">
        <v>8222</v>
      </c>
      <c r="BQ47" s="20"/>
      <c r="BR47" s="469">
        <v>6</v>
      </c>
      <c r="BS47" s="539" t="s">
        <v>8040</v>
      </c>
      <c r="BT47" s="539">
        <f t="shared" si="52"/>
        <v>398</v>
      </c>
      <c r="BU47" s="539" cm="1">
        <f t="array" aca="1" ref="BU47" ca="1">INDIRECT($BM$2&amp;BU$7&amp;$BT47,1)</f>
        <v>0</v>
      </c>
      <c r="BV47" s="539" cm="1">
        <f t="array" aca="1" ref="BV47" ca="1">INDIRECT($BM$2&amp;BV$7&amp;$BT47,1)</f>
        <v>0</v>
      </c>
      <c r="BW47" s="539" cm="1">
        <f t="array" aca="1" ref="BW47" ca="1">INDIRECT($BM$2&amp;BW$7&amp;$BT47,1)</f>
        <v>0</v>
      </c>
      <c r="BX47" s="539" cm="1">
        <f t="array" aca="1" ref="BX47" ca="1">INDIRECT($BM$2&amp;BX$7&amp;$BT47,1)</f>
        <v>0</v>
      </c>
      <c r="BY47" s="539" cm="1">
        <f t="array" aca="1" ref="BY47" ca="1">INDIRECT($BM$2&amp;BY$7&amp;$BT47,1)</f>
        <v>0</v>
      </c>
      <c r="BZ47" s="539" t="str">
        <f t="shared" ca="1" si="49"/>
        <v>-</v>
      </c>
      <c r="CA47" s="494" t="s">
        <v>8222</v>
      </c>
      <c r="CC47" s="469">
        <v>6</v>
      </c>
      <c r="CD47" s="539" t="s">
        <v>8040</v>
      </c>
      <c r="CE47" s="539">
        <f t="shared" si="53"/>
        <v>744</v>
      </c>
      <c r="CF47" s="539" cm="1">
        <f t="array" aca="1" ref="CF47" ca="1">INDIRECT($BM$2&amp;CF$7&amp;$CE47,1)</f>
        <v>0</v>
      </c>
      <c r="CG47" s="539" cm="1">
        <f t="array" aca="1" ref="CG47" ca="1">INDIRECT($BM$2&amp;CG$7&amp;$CE47,1)</f>
        <v>0</v>
      </c>
      <c r="CH47" s="539" cm="1">
        <f t="array" aca="1" ref="CH47" ca="1">INDIRECT($BM$2&amp;CH$7&amp;$CE47,1)</f>
        <v>0</v>
      </c>
      <c r="CI47" s="539" cm="1">
        <f t="array" aca="1" ref="CI47" ca="1">INDIRECT($BM$2&amp;CI$7&amp;$CE47,1)</f>
        <v>0</v>
      </c>
      <c r="CJ47" s="539" cm="1">
        <f t="array" aca="1" ref="CJ47" ca="1">INDIRECT($BM$2&amp;CJ$7&amp;$CE47,1)</f>
        <v>0</v>
      </c>
      <c r="CK47" s="539" t="str">
        <f t="shared" ca="1" si="50"/>
        <v>-</v>
      </c>
      <c r="CL47" s="494" t="s">
        <v>8222</v>
      </c>
      <c r="CN47" s="571">
        <f t="shared" si="54"/>
        <v>106</v>
      </c>
      <c r="CO47" s="537" t="s">
        <v>93</v>
      </c>
      <c r="CP47" s="577" t="str" cm="1">
        <f t="array" aca="1" ref="CP47" ca="1">IF(INDIRECT($CP$42&amp;CN47)=0,"---","Preenchido")</f>
        <v>---</v>
      </c>
      <c r="CQ47" s="537" t="s">
        <v>98</v>
      </c>
      <c r="CR47" s="577" t="str" cm="1">
        <f t="array" aca="1" ref="CR47" ca="1">IF(INDIRECT($CP$42&amp;CS47)=0,"---","Preenchido")</f>
        <v>---</v>
      </c>
      <c r="CS47" s="571">
        <f t="shared" si="55"/>
        <v>266</v>
      </c>
      <c r="CU47" s="469" t="s">
        <v>5510</v>
      </c>
      <c r="CV47" s="22" t="s">
        <v>5775</v>
      </c>
      <c r="CW47" s="522">
        <f t="shared" si="41"/>
        <v>39</v>
      </c>
      <c r="CX47" s="22" cm="1">
        <f t="array" aca="1" ref="CX47" ca="1">INDIRECT($DD$2&amp;CX$28&amp;$CW47)</f>
        <v>0</v>
      </c>
      <c r="CY47" s="22" cm="1">
        <f t="array" aca="1" ref="CY47" ca="1">INDIRECT($DD$2&amp;CY$28&amp;$CW47)</f>
        <v>0</v>
      </c>
      <c r="CZ47" s="22" cm="1">
        <f t="array" aca="1" ref="CZ47" ca="1">INDIRECT($DD$2&amp;CZ$28&amp;$CW47)</f>
        <v>0</v>
      </c>
      <c r="DA47" s="22" cm="1">
        <f t="array" aca="1" ref="DA47" ca="1">INDIRECT($DD$2&amp;DA$28&amp;$CW47)</f>
        <v>0</v>
      </c>
      <c r="DB47" s="22" cm="1">
        <f t="array" aca="1" ref="DB47" ca="1">INDIRECT($DD$2&amp;DB$28&amp;$CW47)</f>
        <v>0</v>
      </c>
      <c r="DC47" s="22" cm="1">
        <f t="array" aca="1" ref="DC47" ca="1">INDIRECT($DD$2&amp;DC$28&amp;$CW47)</f>
        <v>0</v>
      </c>
      <c r="DD47" s="22" t="str">
        <f t="shared" ca="1" si="39"/>
        <v/>
      </c>
      <c r="DE47" s="22" t="str">
        <f t="shared" ca="1" si="40"/>
        <v/>
      </c>
      <c r="DG47" s="468" t="s">
        <v>5810</v>
      </c>
      <c r="DH47" s="468"/>
      <c r="DI47" s="468"/>
      <c r="DJ47" s="468"/>
      <c r="DK47" s="468"/>
      <c r="DL47" s="468"/>
      <c r="DM47" s="468"/>
      <c r="DN47" s="468"/>
      <c r="DO47" s="468"/>
      <c r="EQ47" s="469" t="s">
        <v>5510</v>
      </c>
      <c r="ES47" s="504"/>
      <c r="ET47" s="507"/>
      <c r="EU47" s="585">
        <v>48</v>
      </c>
      <c r="EW47" s="22" t="str" cm="1">
        <f t="array" aca="1" ref="EW47" ca="1">IF(INDIRECT($ET$31&amp;EU47)=0,"-",INDIRECT($ET$31&amp;EU47))</f>
        <v>-</v>
      </c>
      <c r="EX47" s="22" t="str" cm="1">
        <f t="array" aca="1" ref="EX47" ca="1">IF(INDIRECT($ET$32&amp;EU47)=0,"",INDIRECT($ET$32&amp;EU47))</f>
        <v/>
      </c>
      <c r="EY47" s="22" t="str" cm="1">
        <f t="array" aca="1" ref="EY47" ca="1">INDIRECT($ET$33&amp;EU47)</f>
        <v/>
      </c>
      <c r="EZ47" s="22" t="str" cm="1">
        <f t="array" aca="1" ref="EZ47" ca="1">IF(INDIRECT($ET$34&amp;EU47)=0,"",INDIRECT($ET$34&amp;EU47))</f>
        <v/>
      </c>
      <c r="FA47" s="22" t="str" cm="1">
        <f t="array" aca="1" ref="FA47" ca="1">IF(INDIRECT($ET$35&amp;EU47)=0,"",INDIRECT($ET$35&amp;EU47))</f>
        <v/>
      </c>
      <c r="FB47" s="22" t="str" cm="1">
        <f t="array" aca="1" ref="FB47" ca="1">IF(INDIRECT($ET$36&amp;EU47)=0,"",INDIRECT($ET$36&amp;EU47))</f>
        <v/>
      </c>
      <c r="FC47" s="22" t="str" cm="1">
        <f t="array" aca="1" ref="FC47" ca="1">IF(INDIRECT($ET$37&amp;EU47)=0,"",INDIRECT($ET$37&amp;EU47))</f>
        <v/>
      </c>
      <c r="GC47" s="472" t="s">
        <v>5510</v>
      </c>
      <c r="GE47" s="597">
        <v>30</v>
      </c>
      <c r="GF47" s="597" cm="1">
        <f t="array" aca="1" ref="GF47" ca="1">INDIRECT(Respostas_usuario!$AB$2&amp;$GE47,1)</f>
        <v>0</v>
      </c>
      <c r="GG47" s="597" cm="1">
        <f t="array" aca="1" ref="GG47" ca="1">INDIRECT($GE$6&amp;$GG$38&amp;$GE47,1)</f>
        <v>0</v>
      </c>
      <c r="GH47" s="601" t="b">
        <f>Respostas_usuario!AB11</f>
        <v>0</v>
      </c>
      <c r="GI47" s="602" cm="1">
        <f t="array" aca="1" ref="GI47" ca="1">INDIRECT($GE$7&amp;$GF$38&amp;$GE47,1)</f>
        <v>0</v>
      </c>
      <c r="GJ47" s="597" cm="1">
        <f t="array" aca="1" ref="GJ47" ca="1">INDIRECT($GE$7&amp;$GG$38&amp;$GE47,1)</f>
        <v>0</v>
      </c>
      <c r="GK47" s="603" t="b">
        <f>Respostas_usuario!AC11</f>
        <v>0</v>
      </c>
      <c r="GY47" s="492" t="str">
        <f t="shared" ca="1" si="42"/>
        <v/>
      </c>
      <c r="GZ47" s="495" t="str" cm="1">
        <f t="array" aca="1" ref="GZ47" ca="1">IFERROR(
IF(
AND(
 GY47&lt;&gt;"",
  ISERR(FIND(HA$31, $GY47)),
  ISERR(FIND(HB$31, $GY47)),
  ISERR(FIND(HC$31, $GY47))),
_xlfn.XLOOKUP(TRIM($GY47), tb_codigos_GHS_ABNT[Código], tb_codigos_GHS_ABNT[Código] &amp; ": " &amp; tb_codigos_GHS_ABNT[Frases de perigo]),
""),"-")</f>
        <v/>
      </c>
      <c r="HA47" s="495" t="str">
        <f t="shared" ca="1" si="43"/>
        <v/>
      </c>
      <c r="HB47" s="495" t="str">
        <f t="shared" ca="1" si="44"/>
        <v/>
      </c>
      <c r="HC47" s="495" t="str">
        <f t="shared" ca="1" si="45"/>
        <v/>
      </c>
      <c r="HD47" s="586"/>
      <c r="HE47" s="586"/>
      <c r="HF47" s="586" t="str" cm="1">
        <f t="array" ref="HF47">IFERROR(
IF(HE47&lt;&gt;"",_xlfn.XLOOKUP(HE47, tb_codigos_GHS_ABNT[Código], tb_codigos_GHS_ABNT[Código] &amp; ": " &amp; tb_codigos_GHS_ABNT[Frases de perigo]),
""),"Frase de perigo: -Erro-")</f>
        <v/>
      </c>
      <c r="HK47" s="23" t="s">
        <v>5859</v>
      </c>
      <c r="HN47" s="492" t="s">
        <v>5868</v>
      </c>
    </row>
    <row r="48" spans="1:224" x14ac:dyDescent="0.25">
      <c r="A48" s="25" t="s">
        <v>5689</v>
      </c>
      <c r="B48" s="25">
        <v>0.15</v>
      </c>
      <c r="F48" s="609" t="s">
        <v>8022</v>
      </c>
      <c r="G48" s="612" t="s">
        <v>5804</v>
      </c>
      <c r="H48" s="613">
        <f ca="1">IFERROR(LARGE(K54:K57,1),0)</f>
        <v>0</v>
      </c>
      <c r="I48" s="608"/>
      <c r="J48" s="614" t="s">
        <v>6519</v>
      </c>
      <c r="K48" s="615" cm="1">
        <f t="array" aca="1" ref="K48" ca="1">INDIRECT($G$47&amp;$L$48,1)</f>
        <v>0</v>
      </c>
      <c r="L48" s="609" t="s">
        <v>7335</v>
      </c>
      <c r="M48" s="608"/>
      <c r="AA48" s="496" t="str" cm="1">
        <f t="array" aca="1" ref="AA48" ca="1">IFERROR(
INDEX($E$4:$E$18,MATCH(0,INDEX(COUNTIF($AA$45:AA47,$E$4:$E$18),),)),"")</f>
        <v/>
      </c>
      <c r="AB48" s="496" t="str">
        <f t="shared" ca="1" si="56"/>
        <v/>
      </c>
      <c r="AC48" s="496" t="str">
        <f ca="1">IF(AB48="","",
IF((COUNTA(AB49:$AB$61)-COUNTIF(AB49:$AB$61,""))=0,AB48&amp;". ",AB48&amp;"; "))</f>
        <v/>
      </c>
      <c r="AD48" s="475"/>
      <c r="AF48" s="616" t="s">
        <v>5791</v>
      </c>
      <c r="AG48" s="481" t="s">
        <v>5791</v>
      </c>
      <c r="AH48" s="481" t="s">
        <v>5791</v>
      </c>
      <c r="AI48" s="481" t="s">
        <v>5791</v>
      </c>
      <c r="AJ48" s="481" t="s">
        <v>5791</v>
      </c>
      <c r="AK48" s="616" t="s">
        <v>5791</v>
      </c>
      <c r="AL48" s="481" t="s">
        <v>5791</v>
      </c>
      <c r="AM48" s="481" t="s">
        <v>5791</v>
      </c>
      <c r="AN48" s="481" t="s">
        <v>5791</v>
      </c>
      <c r="AO48" s="481" t="s">
        <v>5791</v>
      </c>
      <c r="AP48" s="481" t="s">
        <v>5791</v>
      </c>
      <c r="AQ48" s="481" t="s">
        <v>5791</v>
      </c>
      <c r="AR48" s="616" t="s">
        <v>5791</v>
      </c>
      <c r="AS48" s="481" t="s">
        <v>5791</v>
      </c>
      <c r="AT48" s="481" t="s">
        <v>5791</v>
      </c>
      <c r="AU48" s="481" t="s">
        <v>5791</v>
      </c>
      <c r="AV48" s="469" t="s">
        <v>5510</v>
      </c>
      <c r="AW48" s="579" t="s">
        <v>7269</v>
      </c>
      <c r="AX48" s="579" t="s">
        <v>6519</v>
      </c>
      <c r="BF48" s="469" t="s">
        <v>5510</v>
      </c>
      <c r="BG48" s="469">
        <v>7</v>
      </c>
      <c r="BH48" s="539" t="s">
        <v>8040</v>
      </c>
      <c r="BI48" s="539">
        <f t="shared" si="51"/>
        <v>53</v>
      </c>
      <c r="BJ48" s="539" cm="1">
        <f t="array" aca="1" ref="BJ48" ca="1">INDIRECT($BM$2&amp;BJ$7&amp;$BI48,1)</f>
        <v>0</v>
      </c>
      <c r="BK48" s="539" cm="1">
        <f t="array" aca="1" ref="BK48" ca="1">INDIRECT($BM$2&amp;BK$7&amp;$BI48,1)</f>
        <v>0</v>
      </c>
      <c r="BL48" s="539" cm="1">
        <f t="array" aca="1" ref="BL48" ca="1">INDIRECT($BM$2&amp;BL$7&amp;$BI48,1)</f>
        <v>0</v>
      </c>
      <c r="BM48" s="539" cm="1">
        <f t="array" aca="1" ref="BM48" ca="1">INDIRECT($BM$2&amp;BM$7&amp;$BI48,1)</f>
        <v>0</v>
      </c>
      <c r="BN48" s="539" cm="1">
        <f t="array" aca="1" ref="BN48" ca="1">INDIRECT($BM$2&amp;BN$7&amp;$BI48,1)</f>
        <v>0</v>
      </c>
      <c r="BO48" s="539" t="str">
        <f t="shared" ca="1" si="48"/>
        <v>-</v>
      </c>
      <c r="BP48" s="494" t="s">
        <v>8222</v>
      </c>
      <c r="BQ48" s="20"/>
      <c r="BR48" s="469">
        <v>7</v>
      </c>
      <c r="BS48" s="539" t="s">
        <v>8040</v>
      </c>
      <c r="BT48" s="539">
        <f t="shared" si="52"/>
        <v>399</v>
      </c>
      <c r="BU48" s="539" cm="1">
        <f t="array" aca="1" ref="BU48" ca="1">INDIRECT($BM$2&amp;BU$7&amp;$BT48,1)</f>
        <v>0</v>
      </c>
      <c r="BV48" s="539" cm="1">
        <f t="array" aca="1" ref="BV48" ca="1">INDIRECT($BM$2&amp;BV$7&amp;$BT48,1)</f>
        <v>0</v>
      </c>
      <c r="BW48" s="539" cm="1">
        <f t="array" aca="1" ref="BW48" ca="1">INDIRECT($BM$2&amp;BW$7&amp;$BT48,1)</f>
        <v>0</v>
      </c>
      <c r="BX48" s="539" cm="1">
        <f t="array" aca="1" ref="BX48" ca="1">INDIRECT($BM$2&amp;BX$7&amp;$BT48,1)</f>
        <v>0</v>
      </c>
      <c r="BY48" s="539" cm="1">
        <f t="array" aca="1" ref="BY48" ca="1">INDIRECT($BM$2&amp;BY$7&amp;$BT48,1)</f>
        <v>0</v>
      </c>
      <c r="BZ48" s="539" t="str">
        <f t="shared" ca="1" si="49"/>
        <v>-</v>
      </c>
      <c r="CA48" s="494" t="s">
        <v>8222</v>
      </c>
      <c r="CC48" s="469">
        <v>7</v>
      </c>
      <c r="CD48" s="539" t="s">
        <v>8040</v>
      </c>
      <c r="CE48" s="539">
        <f t="shared" si="53"/>
        <v>745</v>
      </c>
      <c r="CF48" s="539" cm="1">
        <f t="array" aca="1" ref="CF48" ca="1">INDIRECT($BM$2&amp;CF$7&amp;$CE48,1)</f>
        <v>0</v>
      </c>
      <c r="CG48" s="539" cm="1">
        <f t="array" aca="1" ref="CG48" ca="1">INDIRECT($BM$2&amp;CG$7&amp;$CE48,1)</f>
        <v>0</v>
      </c>
      <c r="CH48" s="539" cm="1">
        <f t="array" aca="1" ref="CH48" ca="1">INDIRECT($BM$2&amp;CH$7&amp;$CE48,1)</f>
        <v>0</v>
      </c>
      <c r="CI48" s="539" cm="1">
        <f t="array" aca="1" ref="CI48" ca="1">INDIRECT($BM$2&amp;CI$7&amp;$CE48,1)</f>
        <v>0</v>
      </c>
      <c r="CJ48" s="539" cm="1">
        <f t="array" aca="1" ref="CJ48" ca="1">INDIRECT($BM$2&amp;CJ$7&amp;$CE48,1)</f>
        <v>0</v>
      </c>
      <c r="CK48" s="539" t="str">
        <f t="shared" ca="1" si="50"/>
        <v>-</v>
      </c>
      <c r="CL48" s="494" t="s">
        <v>8222</v>
      </c>
      <c r="CN48" s="571">
        <f t="shared" si="54"/>
        <v>138</v>
      </c>
      <c r="CO48" s="537" t="s">
        <v>94</v>
      </c>
      <c r="CP48" s="577" t="str" cm="1">
        <f t="array" aca="1" ref="CP48" ca="1">IF(INDIRECT($CP$42&amp;CN48)=0,"---","Preenchido")</f>
        <v>---</v>
      </c>
      <c r="CQ48" s="537" t="s">
        <v>8224</v>
      </c>
      <c r="CR48" s="577" t="str" cm="1">
        <f t="array" aca="1" ref="CR48" ca="1">IF(INDIRECT($CP$42&amp;CS48)=0,"---","Preenchido")</f>
        <v>---</v>
      </c>
      <c r="CS48" s="571">
        <f>MATCH(CQ48&amp;"-",$BS$1:$BS$325,0)</f>
        <v>298</v>
      </c>
      <c r="CU48" s="469" t="s">
        <v>5510</v>
      </c>
      <c r="CV48" s="22" t="s">
        <v>5775</v>
      </c>
      <c r="CW48" s="522">
        <f t="shared" si="41"/>
        <v>40</v>
      </c>
      <c r="CX48" s="22" cm="1">
        <f t="array" aca="1" ref="CX48" ca="1">INDIRECT($DD$2&amp;CX$28&amp;$CW48)</f>
        <v>0</v>
      </c>
      <c r="CY48" s="22" cm="1">
        <f t="array" aca="1" ref="CY48" ca="1">INDIRECT($DD$2&amp;CY$28&amp;$CW48)</f>
        <v>0</v>
      </c>
      <c r="CZ48" s="22" cm="1">
        <f t="array" aca="1" ref="CZ48" ca="1">INDIRECT($DD$2&amp;CZ$28&amp;$CW48)</f>
        <v>0</v>
      </c>
      <c r="DA48" s="22" cm="1">
        <f t="array" aca="1" ref="DA48" ca="1">INDIRECT($DD$2&amp;DA$28&amp;$CW48)</f>
        <v>0</v>
      </c>
      <c r="DB48" s="22" cm="1">
        <f t="array" aca="1" ref="DB48" ca="1">INDIRECT($DD$2&amp;DB$28&amp;$CW48)</f>
        <v>0</v>
      </c>
      <c r="DC48" s="22" cm="1">
        <f t="array" aca="1" ref="DC48" ca="1">INDIRECT($DD$2&amp;DC$28&amp;$CW48)</f>
        <v>0</v>
      </c>
      <c r="DD48" s="22" t="str">
        <f t="shared" ca="1" si="39"/>
        <v/>
      </c>
      <c r="DE48" s="22" t="str">
        <f t="shared" ca="1" si="40"/>
        <v/>
      </c>
      <c r="EQ48" s="469" t="s">
        <v>5510</v>
      </c>
      <c r="ES48" s="504"/>
      <c r="ET48" s="507"/>
      <c r="EU48" s="585">
        <v>49</v>
      </c>
      <c r="EW48" s="22" t="str" cm="1">
        <f t="array" aca="1" ref="EW48" ca="1">IF(INDIRECT($ET$31&amp;EU48)=0,"-",INDIRECT($ET$31&amp;EU48))</f>
        <v>-</v>
      </c>
      <c r="EX48" s="22" t="str" cm="1">
        <f t="array" aca="1" ref="EX48" ca="1">IF(INDIRECT($ET$32&amp;EU48)=0,"",INDIRECT($ET$32&amp;EU48))</f>
        <v/>
      </c>
      <c r="EY48" s="22" t="str" cm="1">
        <f t="array" aca="1" ref="EY48" ca="1">INDIRECT($ET$33&amp;EU48)</f>
        <v/>
      </c>
      <c r="EZ48" s="22" t="str" cm="1">
        <f t="array" aca="1" ref="EZ48" ca="1">IF(INDIRECT($ET$34&amp;EU48)=0,"",INDIRECT($ET$34&amp;EU48))</f>
        <v/>
      </c>
      <c r="FA48" s="22" t="str" cm="1">
        <f t="array" aca="1" ref="FA48" ca="1">IF(INDIRECT($ET$35&amp;EU48)=0,"",INDIRECT($ET$35&amp;EU48))</f>
        <v/>
      </c>
      <c r="FB48" s="22" t="str" cm="1">
        <f t="array" aca="1" ref="FB48" ca="1">IF(INDIRECT($ET$36&amp;EU48)=0,"",INDIRECT($ET$36&amp;EU48))</f>
        <v/>
      </c>
      <c r="FC48" s="22" t="str" cm="1">
        <f t="array" aca="1" ref="FC48" ca="1">IF(INDIRECT($ET$37&amp;EU48)=0,"",INDIRECT($ET$37&amp;EU48))</f>
        <v/>
      </c>
      <c r="GC48" s="472" t="s">
        <v>5510</v>
      </c>
      <c r="GE48" s="597">
        <v>31</v>
      </c>
      <c r="GF48" s="597" cm="1">
        <f t="array" aca="1" ref="GF48" ca="1">INDIRECT(Respostas_usuario!$AB$2&amp;$GE48,1)</f>
        <v>0</v>
      </c>
      <c r="GG48" s="597" cm="1">
        <f t="array" aca="1" ref="GG48" ca="1">INDIRECT($GE$6&amp;$GG$38&amp;$GE48,1)</f>
        <v>0</v>
      </c>
      <c r="GH48" s="601" t="b">
        <f>Respostas_usuario!AB12</f>
        <v>0</v>
      </c>
      <c r="GI48" s="602" cm="1">
        <f t="array" aca="1" ref="GI48" ca="1">INDIRECT($GE$7&amp;$GF$38&amp;$GE48,1)</f>
        <v>0</v>
      </c>
      <c r="GJ48" s="597" cm="1">
        <f t="array" aca="1" ref="GJ48" ca="1">INDIRECT($GE$7&amp;$GG$38&amp;$GE48,1)</f>
        <v>0</v>
      </c>
      <c r="GK48" s="603" t="b">
        <f>Respostas_usuario!AC12</f>
        <v>0</v>
      </c>
      <c r="GY48" s="492" t="str">
        <f t="shared" ca="1" si="42"/>
        <v/>
      </c>
      <c r="GZ48" s="495" t="str" cm="1">
        <f t="array" aca="1" ref="GZ48" ca="1">IFERROR(
IF(
AND(
 GY48&lt;&gt;"",
  ISERR(FIND(HA$31, $GY48)),
  ISERR(FIND(HB$31, $GY48)),
  ISERR(FIND(HC$31, $GY48))),
_xlfn.XLOOKUP(TRIM($GY48), tb_codigos_GHS_ABNT[Código], tb_codigos_GHS_ABNT[Código] &amp; ": " &amp; tb_codigos_GHS_ABNT[Frases de perigo]),
""),"-")</f>
        <v/>
      </c>
      <c r="HA48" s="495" t="str">
        <f t="shared" ca="1" si="43"/>
        <v/>
      </c>
      <c r="HB48" s="495" t="str">
        <f t="shared" ca="1" si="44"/>
        <v/>
      </c>
      <c r="HC48" s="495" t="str">
        <f t="shared" ca="1" si="45"/>
        <v/>
      </c>
      <c r="HD48" s="586"/>
      <c r="HE48" s="586"/>
      <c r="HF48" s="586" t="str" cm="1">
        <f t="array" ref="HF48">IFERROR(
IF(HE48&lt;&gt;"",_xlfn.XLOOKUP(HE48, tb_codigos_GHS_ABNT[Código], tb_codigos_GHS_ABNT[Código] &amp; ": " &amp; tb_codigos_GHS_ABNT[Frases de perigo]),
""),"Frase de perigo: -Erro-")</f>
        <v/>
      </c>
      <c r="HK48" s="23" t="s">
        <v>5860</v>
      </c>
      <c r="HN48" s="492" t="s">
        <v>5869</v>
      </c>
    </row>
    <row r="49" spans="1:223" x14ac:dyDescent="0.25">
      <c r="A49" s="25" t="s">
        <v>5690</v>
      </c>
      <c r="B49" s="25">
        <v>0.3</v>
      </c>
      <c r="F49" s="609" t="s">
        <v>8023</v>
      </c>
      <c r="G49" s="617" t="s">
        <v>5803</v>
      </c>
      <c r="H49" s="613">
        <f ca="1">IFERROR(LARGE(M54:M57,1),0)</f>
        <v>0</v>
      </c>
      <c r="I49" s="608"/>
      <c r="J49" s="614" t="s">
        <v>14</v>
      </c>
      <c r="K49" s="615">
        <f ca="1">IF(COUNTIF(K48,"*429*")&gt;0,1,
IF(COUNTIF(K48,"*442*")&gt;0,2,0))</f>
        <v>0</v>
      </c>
      <c r="L49" s="608"/>
      <c r="M49" s="608"/>
      <c r="AA49" s="496" t="str" cm="1">
        <f t="array" aca="1" ref="AA49" ca="1">IFERROR(
INDEX($E$4:$E$18,MATCH(0,INDEX(COUNTIF($AA$45:AA48,$E$4:$E$18),),)),"")</f>
        <v/>
      </c>
      <c r="AB49" s="496" t="str">
        <f t="shared" ca="1" si="56"/>
        <v/>
      </c>
      <c r="AC49" s="496" t="str">
        <f ca="1">IF(AB49="","",
IF((COUNTA(AB50:$AB$61)-COUNTIF(AB50:$AB$61,""))=0,AB49&amp;". ",AB49&amp;"; "))</f>
        <v/>
      </c>
      <c r="AD49" s="475"/>
      <c r="AV49" s="469" t="s">
        <v>5510</v>
      </c>
      <c r="AW49" s="555">
        <f ca="1">IFERROR(FIND("487",AX49,1),0)</f>
        <v>0</v>
      </c>
      <c r="AX49" s="618" cm="1">
        <f t="array" aca="1" ref="AX49" ca="1">INDIRECT("'Micronucleo(1)'!N13",1)</f>
        <v>0</v>
      </c>
      <c r="BF49" s="469" t="s">
        <v>5510</v>
      </c>
      <c r="BG49" s="469">
        <v>8</v>
      </c>
      <c r="BH49" s="539" t="s">
        <v>8040</v>
      </c>
      <c r="BI49" s="539">
        <f t="shared" si="51"/>
        <v>54</v>
      </c>
      <c r="BJ49" s="539" cm="1">
        <f t="array" aca="1" ref="BJ49" ca="1">INDIRECT($BM$2&amp;BJ$7&amp;$BI49,1)</f>
        <v>0</v>
      </c>
      <c r="BK49" s="539" cm="1">
        <f t="array" aca="1" ref="BK49" ca="1">INDIRECT($BM$2&amp;BK$7&amp;$BI49,1)</f>
        <v>0</v>
      </c>
      <c r="BL49" s="539" cm="1">
        <f t="array" aca="1" ref="BL49" ca="1">INDIRECT($BM$2&amp;BL$7&amp;$BI49,1)</f>
        <v>0</v>
      </c>
      <c r="BM49" s="539" cm="1">
        <f t="array" aca="1" ref="BM49" ca="1">INDIRECT($BM$2&amp;BM$7&amp;$BI49,1)</f>
        <v>0</v>
      </c>
      <c r="BN49" s="539" cm="1">
        <f t="array" aca="1" ref="BN49" ca="1">INDIRECT($BM$2&amp;BN$7&amp;$BI49,1)</f>
        <v>0</v>
      </c>
      <c r="BO49" s="539" t="str">
        <f t="shared" ca="1" si="48"/>
        <v>-</v>
      </c>
      <c r="BP49" s="494" t="s">
        <v>8222</v>
      </c>
      <c r="BQ49" s="20"/>
      <c r="BR49" s="469">
        <v>8</v>
      </c>
      <c r="BS49" s="539" t="s">
        <v>8040</v>
      </c>
      <c r="BT49" s="539">
        <f t="shared" si="52"/>
        <v>400</v>
      </c>
      <c r="BU49" s="539" cm="1">
        <f t="array" aca="1" ref="BU49" ca="1">INDIRECT($BM$2&amp;BU$7&amp;$BT49,1)</f>
        <v>0</v>
      </c>
      <c r="BV49" s="539" cm="1">
        <f t="array" aca="1" ref="BV49" ca="1">INDIRECT($BM$2&amp;BV$7&amp;$BT49,1)</f>
        <v>0</v>
      </c>
      <c r="BW49" s="539" cm="1">
        <f t="array" aca="1" ref="BW49" ca="1">INDIRECT($BM$2&amp;BW$7&amp;$BT49,1)</f>
        <v>0</v>
      </c>
      <c r="BX49" s="539" cm="1">
        <f t="array" aca="1" ref="BX49" ca="1">INDIRECT($BM$2&amp;BX$7&amp;$BT49,1)</f>
        <v>0</v>
      </c>
      <c r="BY49" s="539" cm="1">
        <f t="array" aca="1" ref="BY49" ca="1">INDIRECT($BM$2&amp;BY$7&amp;$BT49,1)</f>
        <v>0</v>
      </c>
      <c r="BZ49" s="539" t="str">
        <f t="shared" ca="1" si="49"/>
        <v>-</v>
      </c>
      <c r="CA49" s="494" t="s">
        <v>8222</v>
      </c>
      <c r="CC49" s="469">
        <v>8</v>
      </c>
      <c r="CD49" s="539" t="s">
        <v>8040</v>
      </c>
      <c r="CE49" s="539">
        <f t="shared" si="53"/>
        <v>746</v>
      </c>
      <c r="CF49" s="539" cm="1">
        <f t="array" aca="1" ref="CF49" ca="1">INDIRECT($BM$2&amp;CF$7&amp;$CE49,1)</f>
        <v>0</v>
      </c>
      <c r="CG49" s="539" cm="1">
        <f t="array" aca="1" ref="CG49" ca="1">INDIRECT($BM$2&amp;CG$7&amp;$CE49,1)</f>
        <v>0</v>
      </c>
      <c r="CH49" s="539" cm="1">
        <f t="array" aca="1" ref="CH49" ca="1">INDIRECT($BM$2&amp;CH$7&amp;$CE49,1)</f>
        <v>0</v>
      </c>
      <c r="CI49" s="539" cm="1">
        <f t="array" aca="1" ref="CI49" ca="1">INDIRECT($BM$2&amp;CI$7&amp;$CE49,1)</f>
        <v>0</v>
      </c>
      <c r="CJ49" s="539" cm="1">
        <f t="array" aca="1" ref="CJ49" ca="1">INDIRECT($BM$2&amp;CJ$7&amp;$CE49,1)</f>
        <v>0</v>
      </c>
      <c r="CK49" s="539" t="str">
        <f t="shared" ca="1" si="50"/>
        <v>-</v>
      </c>
      <c r="CL49" s="494" t="s">
        <v>8222</v>
      </c>
      <c r="CU49" s="469" t="s">
        <v>5510</v>
      </c>
      <c r="CV49" s="22" t="s">
        <v>5775</v>
      </c>
      <c r="CW49" s="522">
        <f t="shared" si="41"/>
        <v>41</v>
      </c>
      <c r="CX49" s="22" cm="1">
        <f t="array" aca="1" ref="CX49" ca="1">INDIRECT($DD$2&amp;CX$28&amp;$CW49)</f>
        <v>0</v>
      </c>
      <c r="CY49" s="22" cm="1">
        <f t="array" aca="1" ref="CY49" ca="1">INDIRECT($DD$2&amp;CY$28&amp;$CW49)</f>
        <v>0</v>
      </c>
      <c r="CZ49" s="22" cm="1">
        <f t="array" aca="1" ref="CZ49" ca="1">INDIRECT($DD$2&amp;CZ$28&amp;$CW49)</f>
        <v>0</v>
      </c>
      <c r="DA49" s="22" cm="1">
        <f t="array" aca="1" ref="DA49" ca="1">INDIRECT($DD$2&amp;DA$28&amp;$CW49)</f>
        <v>0</v>
      </c>
      <c r="DB49" s="22" cm="1">
        <f t="array" aca="1" ref="DB49" ca="1">INDIRECT($DD$2&amp;DB$28&amp;$CW49)</f>
        <v>0</v>
      </c>
      <c r="DC49" s="22" cm="1">
        <f t="array" aca="1" ref="DC49" ca="1">INDIRECT($DD$2&amp;DC$28&amp;$CW49)</f>
        <v>0</v>
      </c>
      <c r="DD49" s="22" t="str">
        <f t="shared" ca="1" si="39"/>
        <v/>
      </c>
      <c r="DE49" s="22" t="str">
        <f t="shared" ca="1" si="40"/>
        <v/>
      </c>
      <c r="DG49" s="479" t="s">
        <v>8218</v>
      </c>
      <c r="DH49" s="619" t="str">
        <f>"Aumento estatístico significativo"&amp;CHAR(10)</f>
        <v xml:space="preserve">Aumento estatístico significativo
</v>
      </c>
      <c r="EQ49" s="469" t="s">
        <v>5510</v>
      </c>
      <c r="ES49" s="504"/>
      <c r="ET49" s="507"/>
      <c r="EU49" s="585">
        <v>50</v>
      </c>
      <c r="EW49" s="22" t="str" cm="1">
        <f t="array" aca="1" ref="EW49" ca="1">IF(INDIRECT($ET$31&amp;EU49)=0,"-",INDIRECT($ET$31&amp;EU49))</f>
        <v>-</v>
      </c>
      <c r="EX49" s="22" t="str" cm="1">
        <f t="array" aca="1" ref="EX49" ca="1">IF(INDIRECT($ET$32&amp;EU49)=0,"",INDIRECT($ET$32&amp;EU49))</f>
        <v/>
      </c>
      <c r="EY49" s="22" t="str" cm="1">
        <f t="array" aca="1" ref="EY49" ca="1">INDIRECT($ET$33&amp;EU49)</f>
        <v/>
      </c>
      <c r="EZ49" s="22" t="str" cm="1">
        <f t="array" aca="1" ref="EZ49" ca="1">IF(INDIRECT($ET$34&amp;EU49)=0,"",INDIRECT($ET$34&amp;EU49))</f>
        <v/>
      </c>
      <c r="FA49" s="22" t="str" cm="1">
        <f t="array" aca="1" ref="FA49" ca="1">IF(INDIRECT($ET$35&amp;EU49)=0,"",INDIRECT($ET$35&amp;EU49))</f>
        <v/>
      </c>
      <c r="FB49" s="22" t="str" cm="1">
        <f t="array" aca="1" ref="FB49" ca="1">IF(INDIRECT($ET$36&amp;EU49)=0,"",INDIRECT($ET$36&amp;EU49))</f>
        <v/>
      </c>
      <c r="FC49" s="22" t="str" cm="1">
        <f t="array" aca="1" ref="FC49" ca="1">IF(INDIRECT($ET$37&amp;EU49)=0,"",INDIRECT($ET$37&amp;EU49))</f>
        <v/>
      </c>
      <c r="GC49" s="472" t="s">
        <v>5510</v>
      </c>
      <c r="GE49" s="597">
        <v>32</v>
      </c>
      <c r="GF49" s="597" cm="1">
        <f t="array" aca="1" ref="GF49" ca="1">INDIRECT(Respostas_usuario!$AB$2&amp;$GE49,1)</f>
        <v>0</v>
      </c>
      <c r="GG49" s="597" cm="1">
        <f t="array" aca="1" ref="GG49" ca="1">INDIRECT($GE$6&amp;$GG$38&amp;$GE49,1)</f>
        <v>0</v>
      </c>
      <c r="GH49" s="601" t="b">
        <f>Respostas_usuario!AB13</f>
        <v>0</v>
      </c>
      <c r="GI49" s="602" cm="1">
        <f t="array" aca="1" ref="GI49" ca="1">INDIRECT($GE$7&amp;$GF$38&amp;$GE49,1)</f>
        <v>0</v>
      </c>
      <c r="GJ49" s="597" cm="1">
        <f t="array" aca="1" ref="GJ49" ca="1">INDIRECT($GE$7&amp;$GG$38&amp;$GE49,1)</f>
        <v>0</v>
      </c>
      <c r="GK49" s="603" t="b">
        <f>Respostas_usuario!AC13</f>
        <v>0</v>
      </c>
      <c r="GY49" s="492" t="str">
        <f t="shared" ca="1" si="42"/>
        <v/>
      </c>
      <c r="GZ49" s="495" t="str" cm="1">
        <f t="array" aca="1" ref="GZ49" ca="1">IFERROR(
IF(
AND(
 GY49&lt;&gt;"",
  ISERR(FIND(HA$31, $GY49)),
  ISERR(FIND(HB$31, $GY49)),
  ISERR(FIND(HC$31, $GY49))),
_xlfn.XLOOKUP(TRIM($GY49), tb_codigos_GHS_ABNT[Código], tb_codigos_GHS_ABNT[Código] &amp; ": " &amp; tb_codigos_GHS_ABNT[Frases de perigo]),
""),"-")</f>
        <v/>
      </c>
      <c r="HA49" s="495" t="str">
        <f t="shared" ca="1" si="43"/>
        <v/>
      </c>
      <c r="HB49" s="495" t="str">
        <f t="shared" ca="1" si="44"/>
        <v/>
      </c>
      <c r="HC49" s="495" t="str">
        <f t="shared" ca="1" si="45"/>
        <v/>
      </c>
      <c r="HD49" s="586"/>
      <c r="HE49" s="586"/>
      <c r="HF49" s="586" t="str" cm="1">
        <f t="array" ref="HF49">IFERROR(
IF(HE49&lt;&gt;"",_xlfn.XLOOKUP(HE49, tb_codigos_GHS_ABNT[Código], tb_codigos_GHS_ABNT[Código] &amp; ": " &amp; tb_codigos_GHS_ABNT[Frases de perigo]),
""),"Frase de perigo: -Erro-")</f>
        <v/>
      </c>
      <c r="HK49" s="23" t="s">
        <v>5861</v>
      </c>
      <c r="HN49" s="492" t="s">
        <v>5870</v>
      </c>
    </row>
    <row r="50" spans="1:223" x14ac:dyDescent="0.25">
      <c r="A50" s="25"/>
      <c r="B50" s="25"/>
      <c r="F50" s="620"/>
      <c r="G50" s="617" t="s">
        <v>18</v>
      </c>
      <c r="H50" s="613" t="str">
        <f ca="1">IFERROR(
IF(AND(K49=1,H48&gt;=$B$51),$B$65&amp;H48&amp;")",
IF(AND(K49=2,H48&gt;=$B$53,H48&lt;=$C$53),$B$66&amp;H48&amp;")",
IF(AND(K49=2,H48&gt;=$B$52),#REF!&amp;H48&amp;")",
IF(K49&lt;&gt;0,$B$67,"-")))),"-")</f>
        <v>-</v>
      </c>
      <c r="I50" s="621"/>
      <c r="J50" s="621"/>
      <c r="K50" s="610"/>
      <c r="L50" s="621"/>
      <c r="M50" s="621"/>
      <c r="AA50" s="496" t="str" cm="1">
        <f t="array" aca="1" ref="AA50" ca="1">IFERROR(
INDEX($E$4:$E$18,MATCH(0,INDEX(COUNTIF($AA$45:AA49,$E$4:$E$18),),)),"")</f>
        <v/>
      </c>
      <c r="AB50" s="496" t="str">
        <f t="shared" ca="1" si="56"/>
        <v/>
      </c>
      <c r="AC50" s="496" t="str">
        <f ca="1">IF(AB50="","",
IF((COUNTA(AB51:$AB$61)-COUNTIF(AB51:$AB$61,""))=0,AB50&amp;". ",AB50&amp;"; "))</f>
        <v/>
      </c>
      <c r="AD50" s="475"/>
      <c r="AK50" s="622" t="s">
        <v>7279</v>
      </c>
      <c r="AM50" s="372"/>
      <c r="AV50" s="469" t="s">
        <v>5510</v>
      </c>
      <c r="BF50" s="469" t="s">
        <v>5510</v>
      </c>
      <c r="BG50" s="469">
        <v>9</v>
      </c>
      <c r="BH50" s="539" t="s">
        <v>8040</v>
      </c>
      <c r="BI50" s="539">
        <f t="shared" si="51"/>
        <v>55</v>
      </c>
      <c r="BJ50" s="539" cm="1">
        <f t="array" aca="1" ref="BJ50" ca="1">INDIRECT($BM$2&amp;BJ$7&amp;$BI50,1)</f>
        <v>0</v>
      </c>
      <c r="BK50" s="539" cm="1">
        <f t="array" aca="1" ref="BK50" ca="1">INDIRECT($BM$2&amp;BK$7&amp;$BI50,1)</f>
        <v>0</v>
      </c>
      <c r="BL50" s="539" cm="1">
        <f t="array" aca="1" ref="BL50" ca="1">INDIRECT($BM$2&amp;BL$7&amp;$BI50,1)</f>
        <v>0</v>
      </c>
      <c r="BM50" s="539" cm="1">
        <f t="array" aca="1" ref="BM50" ca="1">INDIRECT($BM$2&amp;BM$7&amp;$BI50,1)</f>
        <v>0</v>
      </c>
      <c r="BN50" s="539" cm="1">
        <f t="array" aca="1" ref="BN50" ca="1">INDIRECT($BM$2&amp;BN$7&amp;$BI50,1)</f>
        <v>0</v>
      </c>
      <c r="BO50" s="539" t="str">
        <f t="shared" ca="1" si="48"/>
        <v>-</v>
      </c>
      <c r="BP50" s="494" t="s">
        <v>8222</v>
      </c>
      <c r="BQ50" s="20"/>
      <c r="BR50" s="469">
        <v>9</v>
      </c>
      <c r="BS50" s="539" t="s">
        <v>8040</v>
      </c>
      <c r="BT50" s="539">
        <f t="shared" si="52"/>
        <v>401</v>
      </c>
      <c r="BU50" s="539" cm="1">
        <f t="array" aca="1" ref="BU50" ca="1">INDIRECT($BM$2&amp;BU$7&amp;$BT50,1)</f>
        <v>0</v>
      </c>
      <c r="BV50" s="539" cm="1">
        <f t="array" aca="1" ref="BV50" ca="1">INDIRECT($BM$2&amp;BV$7&amp;$BT50,1)</f>
        <v>0</v>
      </c>
      <c r="BW50" s="539" cm="1">
        <f t="array" aca="1" ref="BW50" ca="1">INDIRECT($BM$2&amp;BW$7&amp;$BT50,1)</f>
        <v>0</v>
      </c>
      <c r="BX50" s="539" cm="1">
        <f t="array" aca="1" ref="BX50" ca="1">INDIRECT($BM$2&amp;BX$7&amp;$BT50,1)</f>
        <v>0</v>
      </c>
      <c r="BY50" s="539" cm="1">
        <f t="array" aca="1" ref="BY50" ca="1">INDIRECT($BM$2&amp;BY$7&amp;$BT50,1)</f>
        <v>0</v>
      </c>
      <c r="BZ50" s="539" t="str">
        <f t="shared" ca="1" si="49"/>
        <v>-</v>
      </c>
      <c r="CA50" s="494" t="s">
        <v>8222</v>
      </c>
      <c r="CC50" s="469">
        <v>9</v>
      </c>
      <c r="CD50" s="539" t="s">
        <v>8040</v>
      </c>
      <c r="CE50" s="539">
        <f t="shared" si="53"/>
        <v>747</v>
      </c>
      <c r="CF50" s="539" cm="1">
        <f t="array" aca="1" ref="CF50" ca="1">INDIRECT($BM$2&amp;CF$7&amp;$CE50,1)</f>
        <v>0</v>
      </c>
      <c r="CG50" s="539" cm="1">
        <f t="array" aca="1" ref="CG50" ca="1">INDIRECT($BM$2&amp;CG$7&amp;$CE50,1)</f>
        <v>0</v>
      </c>
      <c r="CH50" s="539" cm="1">
        <f t="array" aca="1" ref="CH50" ca="1">INDIRECT($BM$2&amp;CH$7&amp;$CE50,1)</f>
        <v>0</v>
      </c>
      <c r="CI50" s="539" cm="1">
        <f t="array" aca="1" ref="CI50" ca="1">INDIRECT($BM$2&amp;CI$7&amp;$CE50,1)</f>
        <v>0</v>
      </c>
      <c r="CJ50" s="539" cm="1">
        <f t="array" aca="1" ref="CJ50" ca="1">INDIRECT($BM$2&amp;CJ$7&amp;$CE50,1)</f>
        <v>0</v>
      </c>
      <c r="CK50" s="539" t="str">
        <f t="shared" ca="1" si="50"/>
        <v>-</v>
      </c>
      <c r="CL50" s="494" t="s">
        <v>8222</v>
      </c>
      <c r="CU50" s="469" t="s">
        <v>5510</v>
      </c>
      <c r="CV50" s="22" t="s">
        <v>5775</v>
      </c>
      <c r="CW50" s="522">
        <f t="shared" si="41"/>
        <v>42</v>
      </c>
      <c r="CX50" s="22" cm="1">
        <f t="array" aca="1" ref="CX50" ca="1">INDIRECT($DD$2&amp;CX$28&amp;$CW50)</f>
        <v>0</v>
      </c>
      <c r="CY50" s="22" cm="1">
        <f t="array" aca="1" ref="CY50" ca="1">INDIRECT($DD$2&amp;CY$28&amp;$CW50)</f>
        <v>0</v>
      </c>
      <c r="CZ50" s="22" cm="1">
        <f t="array" aca="1" ref="CZ50" ca="1">INDIRECT($DD$2&amp;CZ$28&amp;$CW50)</f>
        <v>0</v>
      </c>
      <c r="DA50" s="22" cm="1">
        <f t="array" aca="1" ref="DA50" ca="1">INDIRECT($DD$2&amp;DA$28&amp;$CW50)</f>
        <v>0</v>
      </c>
      <c r="DB50" s="22" cm="1">
        <f t="array" aca="1" ref="DB50" ca="1">INDIRECT($DD$2&amp;DB$28&amp;$CW50)</f>
        <v>0</v>
      </c>
      <c r="DC50" s="22" cm="1">
        <f t="array" aca="1" ref="DC50" ca="1">INDIRECT($DD$2&amp;DC$28&amp;$CW50)</f>
        <v>0</v>
      </c>
      <c r="DD50" s="22" t="str">
        <f t="shared" ca="1" si="39"/>
        <v/>
      </c>
      <c r="DE50" s="22" t="str">
        <f t="shared" ca="1" si="40"/>
        <v/>
      </c>
      <c r="DG50" s="479" t="s">
        <v>8218</v>
      </c>
      <c r="DH50" s="619" t="str">
        <f>"Significância estatística com relevância biológica"&amp;CHAR(10)</f>
        <v xml:space="preserve">Significância estatística com relevância biológica
</v>
      </c>
      <c r="EQ50" s="469" t="s">
        <v>5510</v>
      </c>
      <c r="ES50" s="504"/>
      <c r="ET50" s="507"/>
      <c r="EU50" s="585">
        <v>51</v>
      </c>
      <c r="EW50" s="22" t="str" cm="1">
        <f t="array" aca="1" ref="EW50" ca="1">IF(INDIRECT($ET$31&amp;EU50)=0,"-",INDIRECT($ET$31&amp;EU50))</f>
        <v>-</v>
      </c>
      <c r="EX50" s="22" t="str" cm="1">
        <f t="array" aca="1" ref="EX50" ca="1">IF(INDIRECT($ET$32&amp;EU50)=0,"",INDIRECT($ET$32&amp;EU50))</f>
        <v/>
      </c>
      <c r="EY50" s="22" t="str" cm="1">
        <f t="array" aca="1" ref="EY50" ca="1">INDIRECT($ET$33&amp;EU50)</f>
        <v/>
      </c>
      <c r="EZ50" s="22" t="str" cm="1">
        <f t="array" aca="1" ref="EZ50" ca="1">IF(INDIRECT($ET$34&amp;EU50)=0,"",INDIRECT($ET$34&amp;EU50))</f>
        <v/>
      </c>
      <c r="FA50" s="22" t="str" cm="1">
        <f t="array" aca="1" ref="FA50" ca="1">IF(INDIRECT($ET$35&amp;EU50)=0,"",INDIRECT($ET$35&amp;EU50))</f>
        <v/>
      </c>
      <c r="FB50" s="22" t="str" cm="1">
        <f t="array" aca="1" ref="FB50" ca="1">IF(INDIRECT($ET$36&amp;EU50)=0,"",INDIRECT($ET$36&amp;EU50))</f>
        <v/>
      </c>
      <c r="FC50" s="22" t="str" cm="1">
        <f t="array" aca="1" ref="FC50" ca="1">IF(INDIRECT($ET$37&amp;EU50)=0,"",INDIRECT($ET$37&amp;EU50))</f>
        <v/>
      </c>
      <c r="GC50" s="472" t="s">
        <v>5510</v>
      </c>
      <c r="GE50" s="597">
        <v>33</v>
      </c>
      <c r="GF50" s="597" cm="1">
        <f t="array" aca="1" ref="GF50" ca="1">INDIRECT(Respostas_usuario!$AB$2&amp;$GE50,1)</f>
        <v>0</v>
      </c>
      <c r="GG50" s="597" cm="1">
        <f t="array" aca="1" ref="GG50" ca="1">INDIRECT($GE$6&amp;$GG$38&amp;$GE50,1)</f>
        <v>0</v>
      </c>
      <c r="GH50" s="601" t="b">
        <f>Respostas_usuario!AB14</f>
        <v>0</v>
      </c>
      <c r="GI50" s="602" cm="1">
        <f t="array" aca="1" ref="GI50" ca="1">INDIRECT($GE$7&amp;$GF$38&amp;$GE50,1)</f>
        <v>0</v>
      </c>
      <c r="GJ50" s="597" cm="1">
        <f t="array" aca="1" ref="GJ50" ca="1">INDIRECT($GE$7&amp;$GG$38&amp;$GE50,1)</f>
        <v>0</v>
      </c>
      <c r="GK50" s="603" t="b">
        <f>Respostas_usuario!AC14</f>
        <v>0</v>
      </c>
      <c r="GY50" s="492" t="str">
        <f t="shared" ca="1" si="42"/>
        <v/>
      </c>
      <c r="GZ50" s="495" t="str" cm="1">
        <f t="array" aca="1" ref="GZ50" ca="1">IFERROR(
IF(
AND(
 GY50&lt;&gt;"",
  ISERR(FIND(HA$31, $GY50)),
  ISERR(FIND(HB$31, $GY50)),
  ISERR(FIND(HC$31, $GY50))),
_xlfn.XLOOKUP(TRIM($GY50), tb_codigos_GHS_ABNT[Código], tb_codigos_GHS_ABNT[Código] &amp; ": " &amp; tb_codigos_GHS_ABNT[Frases de perigo]),
""),"-")</f>
        <v/>
      </c>
      <c r="HA50" s="495" t="str">
        <f t="shared" ca="1" si="43"/>
        <v/>
      </c>
      <c r="HB50" s="495" t="str">
        <f t="shared" ca="1" si="44"/>
        <v/>
      </c>
      <c r="HC50" s="495" t="str">
        <f t="shared" ca="1" si="45"/>
        <v/>
      </c>
      <c r="HD50" s="586"/>
      <c r="HE50" s="586"/>
      <c r="HF50" s="586" t="str" cm="1">
        <f t="array" ref="HF50">IFERROR(
IF(HE50&lt;&gt;"",_xlfn.XLOOKUP(HE50, tb_codigos_GHS_ABNT[Código], tb_codigos_GHS_ABNT[Código] &amp; ": " &amp; tb_codigos_GHS_ABNT[Frases de perigo]),
""),"Frase de perigo: -Erro-")</f>
        <v/>
      </c>
      <c r="HK50" s="23" t="s">
        <v>5862</v>
      </c>
      <c r="HN50" s="492" t="s">
        <v>5871</v>
      </c>
    </row>
    <row r="51" spans="1:223" x14ac:dyDescent="0.25">
      <c r="A51" s="25" t="s">
        <v>7098</v>
      </c>
      <c r="B51" s="25">
        <v>3</v>
      </c>
      <c r="F51" s="608"/>
      <c r="G51" s="608"/>
      <c r="H51" s="608"/>
      <c r="I51" s="608"/>
      <c r="J51" s="608"/>
      <c r="K51" s="623"/>
      <c r="L51" s="608"/>
      <c r="M51" s="608"/>
      <c r="AA51" s="496" t="str" cm="1">
        <f t="array" aca="1" ref="AA51" ca="1">IFERROR(
INDEX($E$4:$E$18,MATCH(0,INDEX(COUNTIF($AA$45:AA50,$E$4:$E$18),),)),"")</f>
        <v/>
      </c>
      <c r="AB51" s="496" t="str">
        <f t="shared" ca="1" si="56"/>
        <v/>
      </c>
      <c r="AC51" s="496" t="str">
        <f ca="1">IF(AB51="","",
IF((COUNTA(AB52:$AB$61)-COUNTIF(AB52:$AB$61,""))=0,AB51&amp;". ",AB51&amp;"; "))</f>
        <v/>
      </c>
      <c r="AD51" s="475"/>
      <c r="AV51" s="469" t="s">
        <v>5510</v>
      </c>
      <c r="BF51" s="469" t="s">
        <v>5510</v>
      </c>
      <c r="BG51" s="469">
        <v>10</v>
      </c>
      <c r="BH51" s="539" t="s">
        <v>8040</v>
      </c>
      <c r="BI51" s="539">
        <f t="shared" si="51"/>
        <v>56</v>
      </c>
      <c r="BJ51" s="539" cm="1">
        <f t="array" aca="1" ref="BJ51" ca="1">INDIRECT($BM$2&amp;BJ$7&amp;$BI51,1)</f>
        <v>0</v>
      </c>
      <c r="BK51" s="539" cm="1">
        <f t="array" aca="1" ref="BK51" ca="1">INDIRECT($BM$2&amp;BK$7&amp;$BI51,1)</f>
        <v>0</v>
      </c>
      <c r="BL51" s="539" cm="1">
        <f t="array" aca="1" ref="BL51" ca="1">INDIRECT($BM$2&amp;BL$7&amp;$BI51,1)</f>
        <v>0</v>
      </c>
      <c r="BM51" s="539" cm="1">
        <f t="array" aca="1" ref="BM51" ca="1">INDIRECT($BM$2&amp;BM$7&amp;$BI51,1)</f>
        <v>0</v>
      </c>
      <c r="BN51" s="539" cm="1">
        <f t="array" aca="1" ref="BN51" ca="1">INDIRECT($BM$2&amp;BN$7&amp;$BI51,1)</f>
        <v>0</v>
      </c>
      <c r="BO51" s="539" t="str">
        <f t="shared" ca="1" si="48"/>
        <v>-</v>
      </c>
      <c r="BP51" s="494" t="s">
        <v>8222</v>
      </c>
      <c r="BQ51" s="20"/>
      <c r="BR51" s="469">
        <v>10</v>
      </c>
      <c r="BS51" s="539" t="s">
        <v>8040</v>
      </c>
      <c r="BT51" s="539">
        <f t="shared" si="52"/>
        <v>402</v>
      </c>
      <c r="BU51" s="539" cm="1">
        <f t="array" aca="1" ref="BU51" ca="1">INDIRECT($BM$2&amp;BU$7&amp;$BT51,1)</f>
        <v>0</v>
      </c>
      <c r="BV51" s="539" cm="1">
        <f t="array" aca="1" ref="BV51" ca="1">INDIRECT($BM$2&amp;BV$7&amp;$BT51,1)</f>
        <v>0</v>
      </c>
      <c r="BW51" s="539" cm="1">
        <f t="array" aca="1" ref="BW51" ca="1">INDIRECT($BM$2&amp;BW$7&amp;$BT51,1)</f>
        <v>0</v>
      </c>
      <c r="BX51" s="539" cm="1">
        <f t="array" aca="1" ref="BX51" ca="1">INDIRECT($BM$2&amp;BX$7&amp;$BT51,1)</f>
        <v>0</v>
      </c>
      <c r="BY51" s="539" cm="1">
        <f t="array" aca="1" ref="BY51" ca="1">INDIRECT($BM$2&amp;BY$7&amp;$BT51,1)</f>
        <v>0</v>
      </c>
      <c r="BZ51" s="539" t="str">
        <f t="shared" ca="1" si="49"/>
        <v>-</v>
      </c>
      <c r="CA51" s="494" t="s">
        <v>8222</v>
      </c>
      <c r="CC51" s="469">
        <v>10</v>
      </c>
      <c r="CD51" s="539" t="s">
        <v>8040</v>
      </c>
      <c r="CE51" s="539">
        <f t="shared" si="53"/>
        <v>748</v>
      </c>
      <c r="CF51" s="539" cm="1">
        <f t="array" aca="1" ref="CF51" ca="1">INDIRECT($BM$2&amp;CF$7&amp;$CE51,1)</f>
        <v>0</v>
      </c>
      <c r="CG51" s="539" cm="1">
        <f t="array" aca="1" ref="CG51" ca="1">INDIRECT($BM$2&amp;CG$7&amp;$CE51,1)</f>
        <v>0</v>
      </c>
      <c r="CH51" s="539" cm="1">
        <f t="array" aca="1" ref="CH51" ca="1">INDIRECT($BM$2&amp;CH$7&amp;$CE51,1)</f>
        <v>0</v>
      </c>
      <c r="CI51" s="539" cm="1">
        <f t="array" aca="1" ref="CI51" ca="1">INDIRECT($BM$2&amp;CI$7&amp;$CE51,1)</f>
        <v>0</v>
      </c>
      <c r="CJ51" s="539" cm="1">
        <f t="array" aca="1" ref="CJ51" ca="1">INDIRECT($BM$2&amp;CJ$7&amp;$CE51,1)</f>
        <v>0</v>
      </c>
      <c r="CK51" s="539" t="str">
        <f t="shared" ca="1" si="50"/>
        <v>-</v>
      </c>
      <c r="CL51" s="494" t="s">
        <v>8222</v>
      </c>
      <c r="CU51" s="469" t="s">
        <v>5510</v>
      </c>
      <c r="CV51" s="566">
        <v>1</v>
      </c>
      <c r="CW51" s="558">
        <f t="shared" si="41"/>
        <v>50</v>
      </c>
      <c r="CX51" s="492" cm="1">
        <f t="array" aca="1" ref="CX51" ca="1">INDIRECT($DD$2&amp;CX$28&amp;$CW51)</f>
        <v>0</v>
      </c>
      <c r="CY51" s="492" cm="1">
        <f t="array" aca="1" ref="CY51" ca="1">INDIRECT($DD$2&amp;CY$28&amp;$CW51)</f>
        <v>0</v>
      </c>
      <c r="CZ51" s="492" cm="1">
        <f t="array" aca="1" ref="CZ51" ca="1">INDIRECT($DD$2&amp;CZ$28&amp;$CW51)</f>
        <v>0</v>
      </c>
      <c r="DA51" s="492" cm="1">
        <f t="array" aca="1" ref="DA51" ca="1">INDIRECT($DD$2&amp;DA$28&amp;$CW51)</f>
        <v>0</v>
      </c>
      <c r="DB51" s="492" cm="1">
        <f t="array" aca="1" ref="DB51" ca="1">INDIRECT($DD$2&amp;DB$28&amp;$CW51)</f>
        <v>0</v>
      </c>
      <c r="DC51" s="492" cm="1">
        <f t="array" aca="1" ref="DC51" ca="1">INDIRECT($DD$2&amp;DC$28&amp;$CW51)</f>
        <v>0</v>
      </c>
      <c r="DD51" s="492" t="str">
        <f t="shared" ca="1" si="39"/>
        <v/>
      </c>
      <c r="DE51" s="492" t="str">
        <f t="shared" ca="1" si="40"/>
        <v/>
      </c>
      <c r="DG51" s="479" t="s">
        <v>8218</v>
      </c>
      <c r="DH51" s="619" t="s">
        <v>8639</v>
      </c>
      <c r="EQ51" s="469" t="s">
        <v>5510</v>
      </c>
      <c r="ES51" s="504"/>
      <c r="ET51" s="507"/>
      <c r="EU51" s="585">
        <v>52</v>
      </c>
      <c r="EW51" s="22" t="str" cm="1">
        <f t="array" aca="1" ref="EW51" ca="1">IF(INDIRECT($ET$31&amp;EU51)=0,"-",INDIRECT($ET$31&amp;EU51))</f>
        <v>-</v>
      </c>
      <c r="EX51" s="22" t="str" cm="1">
        <f t="array" aca="1" ref="EX51" ca="1">IF(INDIRECT($ET$32&amp;EU51)=0,"",INDIRECT($ET$32&amp;EU51))</f>
        <v/>
      </c>
      <c r="EY51" s="22" t="str" cm="1">
        <f t="array" aca="1" ref="EY51" ca="1">INDIRECT($ET$33&amp;EU51)</f>
        <v/>
      </c>
      <c r="EZ51" s="22" t="str" cm="1">
        <f t="array" aca="1" ref="EZ51" ca="1">IF(INDIRECT($ET$34&amp;EU51)=0,"",INDIRECT($ET$34&amp;EU51))</f>
        <v/>
      </c>
      <c r="FA51" s="22" t="str" cm="1">
        <f t="array" aca="1" ref="FA51" ca="1">IF(INDIRECT($ET$35&amp;EU51)=0,"",INDIRECT($ET$35&amp;EU51))</f>
        <v/>
      </c>
      <c r="FB51" s="22" t="str" cm="1">
        <f t="array" aca="1" ref="FB51" ca="1">IF(INDIRECT($ET$36&amp;EU51)=0,"",INDIRECT($ET$36&amp;EU51))</f>
        <v/>
      </c>
      <c r="FC51" s="22" t="str" cm="1">
        <f t="array" aca="1" ref="FC51" ca="1">IF(INDIRECT($ET$37&amp;EU51)=0,"",INDIRECT($ET$37&amp;EU51))</f>
        <v/>
      </c>
      <c r="GC51" s="472" t="s">
        <v>5510</v>
      </c>
      <c r="GE51" s="597">
        <v>34</v>
      </c>
      <c r="GF51" s="597" cm="1">
        <f t="array" aca="1" ref="GF51" ca="1">INDIRECT(Respostas_usuario!$AB$2&amp;$GE51,1)</f>
        <v>0</v>
      </c>
      <c r="GG51" s="597" cm="1">
        <f t="array" aca="1" ref="GG51" ca="1">INDIRECT($GE$6&amp;$GG$38&amp;$GE51,1)</f>
        <v>0</v>
      </c>
      <c r="GH51" s="601" t="b">
        <f>Respostas_usuario!AB15</f>
        <v>0</v>
      </c>
      <c r="GI51" s="602" cm="1">
        <f t="array" aca="1" ref="GI51" ca="1">INDIRECT($GE$7&amp;$GF$38&amp;$GE51,1)</f>
        <v>0</v>
      </c>
      <c r="GJ51" s="597" cm="1">
        <f t="array" aca="1" ref="GJ51" ca="1">INDIRECT($GE$7&amp;$GG$38&amp;$GE51,1)</f>
        <v>0</v>
      </c>
      <c r="GK51" s="603" t="b">
        <f>Respostas_usuario!AC15</f>
        <v>0</v>
      </c>
      <c r="GY51" s="492" t="str">
        <f t="shared" ca="1" si="42"/>
        <v/>
      </c>
      <c r="GZ51" s="495" t="str" cm="1">
        <f t="array" aca="1" ref="GZ51" ca="1">IFERROR(
IF(
AND(
 GY51&lt;&gt;"",
  ISERR(FIND(HA$31, $GY51)),
  ISERR(FIND(HB$31, $GY51)),
  ISERR(FIND(HC$31, $GY51))),
_xlfn.XLOOKUP(TRIM($GY51), tb_codigos_GHS_ABNT[Código], tb_codigos_GHS_ABNT[Código] &amp; ": " &amp; tb_codigos_GHS_ABNT[Frases de perigo]),
""),"-")</f>
        <v/>
      </c>
      <c r="HA51" s="495" t="str">
        <f t="shared" ca="1" si="43"/>
        <v/>
      </c>
      <c r="HB51" s="495" t="str">
        <f t="shared" ca="1" si="44"/>
        <v/>
      </c>
      <c r="HC51" s="495" t="str">
        <f t="shared" ca="1" si="45"/>
        <v/>
      </c>
      <c r="HD51" s="586"/>
      <c r="HE51" s="586"/>
      <c r="HF51" s="586" t="str" cm="1">
        <f t="array" ref="HF51">IFERROR(
IF(HE51&lt;&gt;"",_xlfn.XLOOKUP(HE51, tb_codigos_GHS_ABNT[Código], tb_codigos_GHS_ABNT[Código] &amp; ": " &amp; tb_codigos_GHS_ABNT[Frases de perigo]),
""),"Frase de perigo: -Erro-")</f>
        <v/>
      </c>
      <c r="HK51" s="23" t="s">
        <v>5863</v>
      </c>
      <c r="HN51" s="492" t="s">
        <v>5872</v>
      </c>
    </row>
    <row r="52" spans="1:223" x14ac:dyDescent="0.25">
      <c r="A52" s="25" t="s">
        <v>7099</v>
      </c>
      <c r="B52" s="25">
        <v>1.6</v>
      </c>
      <c r="F52" s="609" t="s">
        <v>5550</v>
      </c>
      <c r="G52" s="609" t="s">
        <v>8016</v>
      </c>
      <c r="H52" s="609" t="s">
        <v>8020</v>
      </c>
      <c r="I52" s="609" t="s">
        <v>8021</v>
      </c>
      <c r="J52" s="610" t="str">
        <f ca="1">Calculos!AY30</f>
        <v>Desintegrações por minuto (DPM)</v>
      </c>
      <c r="K52" s="610" t="s">
        <v>7265</v>
      </c>
      <c r="L52" s="610" t="s">
        <v>8019</v>
      </c>
      <c r="M52" s="610" t="s">
        <v>7266</v>
      </c>
      <c r="AA52" s="496" t="str" cm="1">
        <f t="array" aca="1" ref="AA52" ca="1">IFERROR(
INDEX($E$4:$E$18,MATCH(0,INDEX(COUNTIF($AA$45:AA51,$E$4:$E$18),),)),"")</f>
        <v/>
      </c>
      <c r="AB52" s="496" t="str">
        <f t="shared" ca="1" si="56"/>
        <v/>
      </c>
      <c r="AC52" s="496" t="str">
        <f ca="1">IF(AB52="","",
IF((COUNTA(AB53:$AB$61)-COUNTIF(AB53:$AB$61,""))=0,AB52&amp;". ",AB52&amp;"; "))</f>
        <v/>
      </c>
      <c r="AD52" s="475"/>
      <c r="AK52" s="479" t="s">
        <v>7055</v>
      </c>
      <c r="AV52" s="469" t="s">
        <v>5510</v>
      </c>
      <c r="BF52" s="469" t="s">
        <v>5510</v>
      </c>
      <c r="BG52" s="469">
        <v>11</v>
      </c>
      <c r="BH52" s="539" t="s">
        <v>8040</v>
      </c>
      <c r="BI52" s="539">
        <f t="shared" si="51"/>
        <v>57</v>
      </c>
      <c r="BJ52" s="539" cm="1">
        <f t="array" aca="1" ref="BJ52" ca="1">INDIRECT($BM$2&amp;BJ$7&amp;$BI52,1)</f>
        <v>0</v>
      </c>
      <c r="BK52" s="539" cm="1">
        <f t="array" aca="1" ref="BK52" ca="1">INDIRECT($BM$2&amp;BK$7&amp;$BI52,1)</f>
        <v>0</v>
      </c>
      <c r="BL52" s="539" cm="1">
        <f t="array" aca="1" ref="BL52" ca="1">INDIRECT($BM$2&amp;BL$7&amp;$BI52,1)</f>
        <v>0</v>
      </c>
      <c r="BM52" s="539" cm="1">
        <f t="array" aca="1" ref="BM52" ca="1">INDIRECT($BM$2&amp;BM$7&amp;$BI52,1)</f>
        <v>0</v>
      </c>
      <c r="BN52" s="539" cm="1">
        <f t="array" aca="1" ref="BN52" ca="1">INDIRECT($BM$2&amp;BN$7&amp;$BI52,1)</f>
        <v>0</v>
      </c>
      <c r="BO52" s="539" t="str">
        <f t="shared" ca="1" si="48"/>
        <v>-</v>
      </c>
      <c r="BP52" s="494" t="s">
        <v>8222</v>
      </c>
      <c r="BQ52" s="20"/>
      <c r="BR52" s="469">
        <v>11</v>
      </c>
      <c r="BS52" s="539" t="s">
        <v>8040</v>
      </c>
      <c r="BT52" s="539">
        <f t="shared" si="52"/>
        <v>403</v>
      </c>
      <c r="BU52" s="539" cm="1">
        <f t="array" aca="1" ref="BU52" ca="1">INDIRECT($BM$2&amp;BU$7&amp;$BT52,1)</f>
        <v>0</v>
      </c>
      <c r="BV52" s="539" cm="1">
        <f t="array" aca="1" ref="BV52" ca="1">INDIRECT($BM$2&amp;BV$7&amp;$BT52,1)</f>
        <v>0</v>
      </c>
      <c r="BW52" s="539" cm="1">
        <f t="array" aca="1" ref="BW52" ca="1">INDIRECT($BM$2&amp;BW$7&amp;$BT52,1)</f>
        <v>0</v>
      </c>
      <c r="BX52" s="539" cm="1">
        <f t="array" aca="1" ref="BX52" ca="1">INDIRECT($BM$2&amp;BX$7&amp;$BT52,1)</f>
        <v>0</v>
      </c>
      <c r="BY52" s="539" cm="1">
        <f t="array" aca="1" ref="BY52" ca="1">INDIRECT($BM$2&amp;BY$7&amp;$BT52,1)</f>
        <v>0</v>
      </c>
      <c r="BZ52" s="539" t="str">
        <f t="shared" ca="1" si="49"/>
        <v>-</v>
      </c>
      <c r="CA52" s="494" t="s">
        <v>8222</v>
      </c>
      <c r="CC52" s="469">
        <v>11</v>
      </c>
      <c r="CD52" s="539" t="s">
        <v>8040</v>
      </c>
      <c r="CE52" s="539">
        <f t="shared" si="53"/>
        <v>749</v>
      </c>
      <c r="CF52" s="539" cm="1">
        <f t="array" aca="1" ref="CF52" ca="1">INDIRECT($BM$2&amp;CF$7&amp;$CE52,1)</f>
        <v>0</v>
      </c>
      <c r="CG52" s="539" cm="1">
        <f t="array" aca="1" ref="CG52" ca="1">INDIRECT($BM$2&amp;CG$7&amp;$CE52,1)</f>
        <v>0</v>
      </c>
      <c r="CH52" s="539" cm="1">
        <f t="array" aca="1" ref="CH52" ca="1">INDIRECT($BM$2&amp;CH$7&amp;$CE52,1)</f>
        <v>0</v>
      </c>
      <c r="CI52" s="539" cm="1">
        <f t="array" aca="1" ref="CI52" ca="1">INDIRECT($BM$2&amp;CI$7&amp;$CE52,1)</f>
        <v>0</v>
      </c>
      <c r="CJ52" s="539" cm="1">
        <f t="array" aca="1" ref="CJ52" ca="1">INDIRECT($BM$2&amp;CJ$7&amp;$CE52,1)</f>
        <v>0</v>
      </c>
      <c r="CK52" s="539" t="str">
        <f t="shared" ca="1" si="50"/>
        <v>-</v>
      </c>
      <c r="CL52" s="494" t="s">
        <v>8222</v>
      </c>
      <c r="CU52" s="469" t="s">
        <v>5510</v>
      </c>
      <c r="CV52" s="492">
        <v>1</v>
      </c>
      <c r="CW52" s="558">
        <f t="shared" si="41"/>
        <v>51</v>
      </c>
      <c r="CX52" s="492" cm="1">
        <f t="array" aca="1" ref="CX52" ca="1">INDIRECT($DD$2&amp;CX$28&amp;$CW52)</f>
        <v>0</v>
      </c>
      <c r="CY52" s="492" cm="1">
        <f t="array" aca="1" ref="CY52" ca="1">INDIRECT($DD$2&amp;CY$28&amp;$CW52)</f>
        <v>0</v>
      </c>
      <c r="CZ52" s="492" cm="1">
        <f t="array" aca="1" ref="CZ52" ca="1">INDIRECT($DD$2&amp;CZ$28&amp;$CW52)</f>
        <v>0</v>
      </c>
      <c r="DA52" s="492" cm="1">
        <f t="array" aca="1" ref="DA52" ca="1">INDIRECT($DD$2&amp;DA$28&amp;$CW52)</f>
        <v>0</v>
      </c>
      <c r="DB52" s="492" cm="1">
        <f t="array" aca="1" ref="DB52" ca="1">INDIRECT($DD$2&amp;DB$28&amp;$CW52)</f>
        <v>0</v>
      </c>
      <c r="DC52" s="492" cm="1">
        <f t="array" aca="1" ref="DC52" ca="1">INDIRECT($DD$2&amp;DC$28&amp;$CW52)</f>
        <v>0</v>
      </c>
      <c r="DD52" s="492" t="str">
        <f t="shared" ca="1" si="39"/>
        <v/>
      </c>
      <c r="DE52" s="492" t="str">
        <f t="shared" ca="1" si="40"/>
        <v/>
      </c>
      <c r="EQ52" s="469" t="s">
        <v>5510</v>
      </c>
      <c r="ES52" s="504"/>
      <c r="ET52" s="507"/>
      <c r="EU52" s="585">
        <v>53</v>
      </c>
      <c r="EW52" s="22" t="str" cm="1">
        <f t="array" aca="1" ref="EW52" ca="1">IF(INDIRECT($ET$31&amp;EU52)=0,"-",INDIRECT($ET$31&amp;EU52))</f>
        <v>-</v>
      </c>
      <c r="EX52" s="22" t="str" cm="1">
        <f t="array" aca="1" ref="EX52" ca="1">IF(INDIRECT($ET$32&amp;EU52)=0,"",INDIRECT($ET$32&amp;EU52))</f>
        <v/>
      </c>
      <c r="EY52" s="22" t="str" cm="1">
        <f t="array" aca="1" ref="EY52" ca="1">INDIRECT($ET$33&amp;EU52)</f>
        <v/>
      </c>
      <c r="EZ52" s="22" t="str" cm="1">
        <f t="array" aca="1" ref="EZ52" ca="1">IF(INDIRECT($ET$34&amp;EU52)=0,"",INDIRECT($ET$34&amp;EU52))</f>
        <v/>
      </c>
      <c r="FA52" s="22" t="str" cm="1">
        <f t="array" aca="1" ref="FA52" ca="1">IF(INDIRECT($ET$35&amp;EU52)=0,"",INDIRECT($ET$35&amp;EU52))</f>
        <v/>
      </c>
      <c r="FB52" s="22" t="str" cm="1">
        <f t="array" aca="1" ref="FB52" ca="1">IF(INDIRECT($ET$36&amp;EU52)=0,"",INDIRECT($ET$36&amp;EU52))</f>
        <v/>
      </c>
      <c r="FC52" s="22" t="str" cm="1">
        <f t="array" aca="1" ref="FC52" ca="1">IF(INDIRECT($ET$37&amp;EU52)=0,"",INDIRECT($ET$37&amp;EU52))</f>
        <v/>
      </c>
      <c r="GC52" s="472" t="s">
        <v>5510</v>
      </c>
      <c r="GE52" s="597">
        <v>35</v>
      </c>
      <c r="GF52" s="597" cm="1">
        <f t="array" aca="1" ref="GF52" ca="1">INDIRECT(Respostas_usuario!$AB$2&amp;$GE52,1)</f>
        <v>0</v>
      </c>
      <c r="GG52" s="597" cm="1">
        <f t="array" aca="1" ref="GG52" ca="1">INDIRECT($GE$6&amp;$GG$38&amp;$GE52,1)</f>
        <v>0</v>
      </c>
      <c r="GH52" s="601" t="b">
        <f>Respostas_usuario!AB16</f>
        <v>0</v>
      </c>
      <c r="GI52" s="602" cm="1">
        <f t="array" aca="1" ref="GI52" ca="1">INDIRECT($GE$7&amp;$GF$38&amp;$GE52,1)</f>
        <v>0</v>
      </c>
      <c r="GJ52" s="597" cm="1">
        <f t="array" aca="1" ref="GJ52" ca="1">INDIRECT($GE$7&amp;$GG$38&amp;$GE52,1)</f>
        <v>0</v>
      </c>
      <c r="GK52" s="603" t="b">
        <f>Respostas_usuario!AC16</f>
        <v>0</v>
      </c>
      <c r="GY52" s="492" t="str">
        <f t="shared" ca="1" si="42"/>
        <v/>
      </c>
      <c r="GZ52" s="495" t="str" cm="1">
        <f t="array" aca="1" ref="GZ52" ca="1">IFERROR(
IF(
AND(
 GY52&lt;&gt;"",
  ISERR(FIND(HA$31, $GY52)),
  ISERR(FIND(HB$31, $GY52)),
  ISERR(FIND(HC$31, $GY52))),
_xlfn.XLOOKUP(TRIM($GY52), tb_codigos_GHS_ABNT[Código], tb_codigos_GHS_ABNT[Código] &amp; ": " &amp; tb_codigos_GHS_ABNT[Frases de perigo]),
""),"-")</f>
        <v/>
      </c>
      <c r="HA52" s="495" t="str">
        <f t="shared" ca="1" si="43"/>
        <v/>
      </c>
      <c r="HB52" s="495" t="str">
        <f t="shared" ca="1" si="44"/>
        <v/>
      </c>
      <c r="HC52" s="495" t="str">
        <f t="shared" ca="1" si="45"/>
        <v/>
      </c>
      <c r="HD52" s="586"/>
      <c r="HE52" s="586"/>
      <c r="HF52" s="586" t="str" cm="1">
        <f t="array" ref="HF52">IFERROR(
IF(HE52&lt;&gt;"",_xlfn.XLOOKUP(HE52, tb_codigos_GHS_ABNT[Código], tb_codigos_GHS_ABNT[Código] &amp; ": " &amp; tb_codigos_GHS_ABNT[Frases de perigo]),
""),"Frase de perigo: -Erro-")</f>
        <v/>
      </c>
      <c r="HK52" s="23" t="s">
        <v>5864</v>
      </c>
    </row>
    <row r="53" spans="1:223" x14ac:dyDescent="0.25">
      <c r="A53" s="25" t="s">
        <v>7100</v>
      </c>
      <c r="B53" s="25">
        <v>1.6</v>
      </c>
      <c r="C53" s="25">
        <v>1.9</v>
      </c>
      <c r="F53" s="624" t="s">
        <v>133</v>
      </c>
      <c r="G53" s="609" t="s">
        <v>5735</v>
      </c>
      <c r="H53" s="609">
        <v>64</v>
      </c>
      <c r="I53" s="609">
        <v>65</v>
      </c>
      <c r="J53" s="539" cm="1">
        <f t="array" aca="1" ref="J53" ca="1">INDIRECT($G$47&amp;$G53&amp;$H53,1)</f>
        <v>0</v>
      </c>
      <c r="K53" s="539" t="str">
        <f ca="1">IFERROR(J53/$J$53,"-")</f>
        <v>-</v>
      </c>
      <c r="L53" s="539" cm="1">
        <f t="array" aca="1" ref="L53" ca="1">INDIRECT($G$47&amp;$G53&amp;$I53,1)</f>
        <v>0</v>
      </c>
      <c r="M53" s="625" t="str">
        <f t="shared" ref="M53:M58" ca="1" si="57">IFERROR(L53/$L$53,"-")</f>
        <v>-</v>
      </c>
      <c r="AA53" s="496" t="str" cm="1">
        <f t="array" aca="1" ref="AA53" ca="1">IFERROR(
INDEX($E$4:$E$18,MATCH(0,INDEX(COUNTIF($AA$45:AA52,$E$4:$E$18),),)),"")</f>
        <v/>
      </c>
      <c r="AB53" s="496" t="str">
        <f t="shared" ca="1" si="56"/>
        <v/>
      </c>
      <c r="AC53" s="496" t="str">
        <f ca="1">IF(AB53="","",
IF((COUNTA(AB54:$AB$61)-COUNTIF(AB54:$AB$61,""))=0,AB53&amp;". ",AB53&amp;"; "))</f>
        <v/>
      </c>
      <c r="AD53" s="475"/>
      <c r="AJ53" s="20" t="s">
        <v>7282</v>
      </c>
      <c r="AK53" s="23" t="str">
        <f ca="1">GW6&amp;CHAR(10)</f>
        <v xml:space="preserve">a definir
</v>
      </c>
      <c r="AL53" s="20" t="str">
        <f ca="1">AJ53&amp;AK53</f>
        <v xml:space="preserve">Toxicidade oral aguda: a definir
</v>
      </c>
      <c r="AV53" s="469" t="s">
        <v>5510</v>
      </c>
      <c r="BF53" s="469" t="s">
        <v>5510</v>
      </c>
      <c r="BG53" s="469">
        <v>12</v>
      </c>
      <c r="BH53" s="539" t="s">
        <v>8040</v>
      </c>
      <c r="BI53" s="539">
        <f t="shared" si="51"/>
        <v>58</v>
      </c>
      <c r="BJ53" s="539" cm="1">
        <f t="array" aca="1" ref="BJ53" ca="1">INDIRECT($BM$2&amp;BJ$7&amp;$BI53,1)</f>
        <v>0</v>
      </c>
      <c r="BK53" s="539" cm="1">
        <f t="array" aca="1" ref="BK53" ca="1">INDIRECT($BM$2&amp;BK$7&amp;$BI53,1)</f>
        <v>0</v>
      </c>
      <c r="BL53" s="539" cm="1">
        <f t="array" aca="1" ref="BL53" ca="1">INDIRECT($BM$2&amp;BL$7&amp;$BI53,1)</f>
        <v>0</v>
      </c>
      <c r="BM53" s="539" cm="1">
        <f t="array" aca="1" ref="BM53" ca="1">INDIRECT($BM$2&amp;BM$7&amp;$BI53,1)</f>
        <v>0</v>
      </c>
      <c r="BN53" s="539" t="str" cm="1">
        <f t="array" aca="1" ref="BN53" ca="1">INDIRECT($BM$2&amp;BN$7&amp;$BI53,1)</f>
        <v>-</v>
      </c>
      <c r="BO53" s="539" t="str">
        <f t="shared" ca="1" si="48"/>
        <v>-</v>
      </c>
      <c r="BP53" s="561" t="s">
        <v>8223</v>
      </c>
      <c r="BQ53" s="20"/>
      <c r="BR53" s="469">
        <v>12</v>
      </c>
      <c r="BS53" s="539" t="s">
        <v>8040</v>
      </c>
      <c r="BT53" s="539">
        <f t="shared" si="52"/>
        <v>404</v>
      </c>
      <c r="BU53" s="539" cm="1">
        <f t="array" aca="1" ref="BU53" ca="1">INDIRECT($BM$2&amp;BU$7&amp;$BT53,1)</f>
        <v>0</v>
      </c>
      <c r="BV53" s="539" cm="1">
        <f t="array" aca="1" ref="BV53" ca="1">INDIRECT($BM$2&amp;BV$7&amp;$BT53,1)</f>
        <v>0</v>
      </c>
      <c r="BW53" s="539" cm="1">
        <f t="array" aca="1" ref="BW53" ca="1">INDIRECT($BM$2&amp;BW$7&amp;$BT53,1)</f>
        <v>0</v>
      </c>
      <c r="BX53" s="539" cm="1">
        <f t="array" aca="1" ref="BX53" ca="1">INDIRECT($BM$2&amp;BX$7&amp;$BT53,1)</f>
        <v>0</v>
      </c>
      <c r="BY53" s="539" t="str" cm="1">
        <f t="array" aca="1" ref="BY53" ca="1">INDIRECT($BM$2&amp;BY$7&amp;$BT53,1)</f>
        <v>-</v>
      </c>
      <c r="BZ53" s="539" t="str">
        <f t="shared" ca="1" si="49"/>
        <v>-</v>
      </c>
      <c r="CA53" s="561" t="s">
        <v>8223</v>
      </c>
      <c r="CC53" s="469">
        <v>12</v>
      </c>
      <c r="CD53" s="539" t="s">
        <v>8040</v>
      </c>
      <c r="CE53" s="539">
        <f t="shared" si="53"/>
        <v>750</v>
      </c>
      <c r="CF53" s="539" cm="1">
        <f t="array" aca="1" ref="CF53" ca="1">INDIRECT($BM$2&amp;CF$7&amp;$CE53,1)</f>
        <v>0</v>
      </c>
      <c r="CG53" s="539" cm="1">
        <f t="array" aca="1" ref="CG53" ca="1">INDIRECT($BM$2&amp;CG$7&amp;$CE53,1)</f>
        <v>0</v>
      </c>
      <c r="CH53" s="539" cm="1">
        <f t="array" aca="1" ref="CH53" ca="1">INDIRECT($BM$2&amp;CH$7&amp;$CE53,1)</f>
        <v>0</v>
      </c>
      <c r="CI53" s="539" cm="1">
        <f t="array" aca="1" ref="CI53" ca="1">INDIRECT($BM$2&amp;CI$7&amp;$CE53,1)</f>
        <v>0</v>
      </c>
      <c r="CJ53" s="539" t="str" cm="1">
        <f t="array" aca="1" ref="CJ53" ca="1">INDIRECT($BM$2&amp;CJ$7&amp;$CE53,1)</f>
        <v>-</v>
      </c>
      <c r="CK53" s="539" t="str">
        <f t="shared" ca="1" si="50"/>
        <v>-</v>
      </c>
      <c r="CL53" s="561" t="s">
        <v>8223</v>
      </c>
      <c r="CU53" s="469" t="s">
        <v>5510</v>
      </c>
      <c r="CV53" s="492">
        <v>1</v>
      </c>
      <c r="CW53" s="558">
        <f t="shared" si="41"/>
        <v>52</v>
      </c>
      <c r="CX53" s="492" cm="1">
        <f t="array" aca="1" ref="CX53" ca="1">INDIRECT($DD$2&amp;CX$28&amp;$CW53)</f>
        <v>0</v>
      </c>
      <c r="CY53" s="492" cm="1">
        <f t="array" aca="1" ref="CY53" ca="1">INDIRECT($DD$2&amp;CY$28&amp;$CW53)</f>
        <v>0</v>
      </c>
      <c r="CZ53" s="492" cm="1">
        <f t="array" aca="1" ref="CZ53" ca="1">INDIRECT($DD$2&amp;CZ$28&amp;$CW53)</f>
        <v>0</v>
      </c>
      <c r="DA53" s="492" cm="1">
        <f t="array" aca="1" ref="DA53" ca="1">INDIRECT($DD$2&amp;DA$28&amp;$CW53)</f>
        <v>0</v>
      </c>
      <c r="DB53" s="492" cm="1">
        <f t="array" aca="1" ref="DB53" ca="1">INDIRECT($DD$2&amp;DB$28&amp;$CW53)</f>
        <v>0</v>
      </c>
      <c r="DC53" s="492" cm="1">
        <f t="array" aca="1" ref="DC53" ca="1">INDIRECT($DD$2&amp;DC$28&amp;$CW53)</f>
        <v>0</v>
      </c>
      <c r="DD53" s="492" t="str">
        <f t="shared" ca="1" si="39"/>
        <v/>
      </c>
      <c r="DE53" s="492" t="str">
        <f t="shared" ca="1" si="40"/>
        <v/>
      </c>
      <c r="EQ53" s="469" t="s">
        <v>5510</v>
      </c>
      <c r="ES53" s="504"/>
      <c r="ET53" s="507"/>
      <c r="EU53" s="585">
        <v>54</v>
      </c>
      <c r="EW53" s="22" t="str" cm="1">
        <f t="array" aca="1" ref="EW53" ca="1">IF(INDIRECT($ET$31&amp;EU53)=0,"-",INDIRECT($ET$31&amp;EU53))</f>
        <v>-</v>
      </c>
      <c r="EX53" s="22" t="str" cm="1">
        <f t="array" aca="1" ref="EX53" ca="1">IF(INDIRECT($ET$32&amp;EU53)=0,"",INDIRECT($ET$32&amp;EU53))</f>
        <v/>
      </c>
      <c r="EY53" s="22" t="str" cm="1">
        <f t="array" aca="1" ref="EY53" ca="1">INDIRECT($ET$33&amp;EU53)</f>
        <v/>
      </c>
      <c r="EZ53" s="22" t="str" cm="1">
        <f t="array" aca="1" ref="EZ53" ca="1">IF(INDIRECT($ET$34&amp;EU53)=0,"",INDIRECT($ET$34&amp;EU53))</f>
        <v/>
      </c>
      <c r="FA53" s="22" t="str" cm="1">
        <f t="array" aca="1" ref="FA53" ca="1">IF(INDIRECT($ET$35&amp;EU53)=0,"",INDIRECT($ET$35&amp;EU53))</f>
        <v/>
      </c>
      <c r="FB53" s="22" t="str" cm="1">
        <f t="array" aca="1" ref="FB53" ca="1">IF(INDIRECT($ET$36&amp;EU53)=0,"",INDIRECT($ET$36&amp;EU53))</f>
        <v/>
      </c>
      <c r="FC53" s="22" t="str" cm="1">
        <f t="array" aca="1" ref="FC53" ca="1">IF(INDIRECT($ET$37&amp;EU53)=0,"",INDIRECT($ET$37&amp;EU53))</f>
        <v/>
      </c>
      <c r="GC53" s="472" t="s">
        <v>5510</v>
      </c>
      <c r="GE53" s="597">
        <v>36</v>
      </c>
      <c r="GF53" s="597" cm="1">
        <f t="array" aca="1" ref="GF53" ca="1">INDIRECT(Respostas_usuario!$AB$2&amp;$GE53,1)</f>
        <v>0</v>
      </c>
      <c r="GG53" s="597" cm="1">
        <f t="array" aca="1" ref="GG53" ca="1">INDIRECT($GE$6&amp;$GG$38&amp;$GE53,1)</f>
        <v>0</v>
      </c>
      <c r="GH53" s="601" t="b">
        <f>Respostas_usuario!AB17</f>
        <v>0</v>
      </c>
      <c r="GI53" s="602" cm="1">
        <f t="array" aca="1" ref="GI53" ca="1">INDIRECT($GE$7&amp;$GF$38&amp;$GE53,1)</f>
        <v>0</v>
      </c>
      <c r="GJ53" s="597" cm="1">
        <f t="array" aca="1" ref="GJ53" ca="1">INDIRECT($GE$7&amp;$GG$38&amp;$GE53,1)</f>
        <v>0</v>
      </c>
      <c r="GK53" s="603" t="b">
        <f>Respostas_usuario!AC17</f>
        <v>0</v>
      </c>
      <c r="GY53" s="492" t="str">
        <f t="shared" ca="1" si="42"/>
        <v/>
      </c>
      <c r="GZ53" s="495" t="str" cm="1">
        <f t="array" aca="1" ref="GZ53" ca="1">IFERROR(
IF(
AND(
 GY53&lt;&gt;"",
  ISERR(FIND(HA$31, $GY53)),
  ISERR(FIND(HB$31, $GY53)),
  ISERR(FIND(HC$31, $GY53))),
_xlfn.XLOOKUP(TRIM($GY53), tb_codigos_GHS_ABNT[Código], tb_codigos_GHS_ABNT[Código] &amp; ": " &amp; tb_codigos_GHS_ABNT[Frases de perigo]),
""),"-")</f>
        <v/>
      </c>
      <c r="HA53" s="495" t="str">
        <f t="shared" ca="1" si="43"/>
        <v/>
      </c>
      <c r="HB53" s="495" t="str">
        <f t="shared" ca="1" si="44"/>
        <v/>
      </c>
      <c r="HC53" s="495" t="str">
        <f t="shared" ca="1" si="45"/>
        <v/>
      </c>
      <c r="HD53" s="586"/>
      <c r="HE53" s="586"/>
      <c r="HF53" s="586" t="str" cm="1">
        <f t="array" ref="HF53">IFERROR(
IF(HE53&lt;&gt;"",_xlfn.XLOOKUP(HE53, tb_codigos_GHS_ABNT[Código], tb_codigos_GHS_ABNT[Código] &amp; ": " &amp; tb_codigos_GHS_ABNT[Frases de perigo]),
""),"Frase de perigo: -Erro-")</f>
        <v/>
      </c>
    </row>
    <row r="54" spans="1:223" x14ac:dyDescent="0.25">
      <c r="C54" s="626" t="s">
        <v>5580</v>
      </c>
      <c r="D54" s="626" t="s">
        <v>5581</v>
      </c>
      <c r="F54" s="624" t="s">
        <v>134</v>
      </c>
      <c r="G54" s="609" t="s">
        <v>5738</v>
      </c>
      <c r="H54" s="609">
        <v>64</v>
      </c>
      <c r="I54" s="609">
        <v>65</v>
      </c>
      <c r="J54" s="539" cm="1">
        <f t="array" aca="1" ref="J54" ca="1">INDIRECT($G$47&amp;$G54&amp;$H54,1)</f>
        <v>0</v>
      </c>
      <c r="K54" s="539" t="str">
        <f ca="1">IFERROR(J54/$J$53,"-")</f>
        <v>-</v>
      </c>
      <c r="L54" s="539" cm="1">
        <f t="array" aca="1" ref="L54" ca="1">INDIRECT($G$47&amp;$G54&amp;$I54,1)</f>
        <v>0</v>
      </c>
      <c r="M54" s="625" t="str">
        <f t="shared" ca="1" si="57"/>
        <v>-</v>
      </c>
      <c r="AA54" s="496" t="str" cm="1">
        <f t="array" aca="1" ref="AA54" ca="1">IFERROR(
INDEX($E$4:$E$18,MATCH(0,INDEX(COUNTIF($AA$45:AA53,$E$4:$E$18),),)),"")</f>
        <v/>
      </c>
      <c r="AB54" s="496" t="str">
        <f t="shared" ca="1" si="56"/>
        <v/>
      </c>
      <c r="AC54" s="496" t="str">
        <f ca="1">IF(AB54="","",
IF((COUNTA(AB55:$AB$61)-COUNTIF(AB55:$AB$61,""))=0,AB54&amp;". ",AB54&amp;"; "))</f>
        <v/>
      </c>
      <c r="AD54" s="475"/>
      <c r="AJ54" s="20" t="s">
        <v>7283</v>
      </c>
      <c r="AK54" s="23" t="str">
        <f ca="1">GW10&amp;CHAR(10)</f>
        <v xml:space="preserve">a definir
</v>
      </c>
      <c r="AL54" s="20" t="str">
        <f t="shared" ref="AL54:AL59" ca="1" si="58">AJ54&amp;AK54</f>
        <v xml:space="preserve">Toxicidade cutânea aguda: a definir
</v>
      </c>
      <c r="AV54" s="469" t="s">
        <v>5510</v>
      </c>
      <c r="BF54" s="469" t="s">
        <v>5510</v>
      </c>
      <c r="BL54" s="372"/>
      <c r="BO54" s="472"/>
      <c r="BQ54" s="20"/>
      <c r="BT54" s="372"/>
      <c r="BU54" s="472"/>
      <c r="BV54" s="472"/>
      <c r="BW54" s="372"/>
      <c r="BX54" s="472"/>
      <c r="BY54" s="372"/>
      <c r="BZ54" s="472"/>
      <c r="CA54" s="372"/>
      <c r="CE54" s="372"/>
      <c r="CF54" s="472"/>
      <c r="CG54" s="472"/>
      <c r="CH54" s="372"/>
      <c r="CI54" s="472"/>
      <c r="CJ54" s="372"/>
      <c r="CK54" s="472"/>
      <c r="CL54" s="372"/>
      <c r="CU54" s="469" t="s">
        <v>5510</v>
      </c>
      <c r="CV54" s="492">
        <v>1</v>
      </c>
      <c r="CW54" s="558">
        <f t="shared" si="41"/>
        <v>53</v>
      </c>
      <c r="CX54" s="492" cm="1">
        <f t="array" aca="1" ref="CX54" ca="1">INDIRECT($DD$2&amp;CX$28&amp;$CW54)</f>
        <v>0</v>
      </c>
      <c r="CY54" s="492" cm="1">
        <f t="array" aca="1" ref="CY54" ca="1">INDIRECT($DD$2&amp;CY$28&amp;$CW54)</f>
        <v>0</v>
      </c>
      <c r="CZ54" s="492" cm="1">
        <f t="array" aca="1" ref="CZ54" ca="1">INDIRECT($DD$2&amp;CZ$28&amp;$CW54)</f>
        <v>0</v>
      </c>
      <c r="DA54" s="492" cm="1">
        <f t="array" aca="1" ref="DA54" ca="1">INDIRECT($DD$2&amp;DA$28&amp;$CW54)</f>
        <v>0</v>
      </c>
      <c r="DB54" s="492" cm="1">
        <f t="array" aca="1" ref="DB54" ca="1">INDIRECT($DD$2&amp;DB$28&amp;$CW54)</f>
        <v>0</v>
      </c>
      <c r="DC54" s="492" cm="1">
        <f t="array" aca="1" ref="DC54" ca="1">INDIRECT($DD$2&amp;DC$28&amp;$CW54)</f>
        <v>0</v>
      </c>
      <c r="DD54" s="492" t="str">
        <f t="shared" ca="1" si="39"/>
        <v/>
      </c>
      <c r="DE54" s="492" t="str">
        <f t="shared" ca="1" si="40"/>
        <v/>
      </c>
      <c r="EQ54" s="469" t="s">
        <v>5510</v>
      </c>
      <c r="ES54" s="504"/>
      <c r="ET54" s="507"/>
      <c r="EU54" s="585">
        <v>55</v>
      </c>
      <c r="EW54" s="22" t="str" cm="1">
        <f t="array" aca="1" ref="EW54" ca="1">IF(INDIRECT($ET$31&amp;EU54)=0,"-",INDIRECT($ET$31&amp;EU54))</f>
        <v>-</v>
      </c>
      <c r="EX54" s="22" t="str" cm="1">
        <f t="array" aca="1" ref="EX54" ca="1">IF(INDIRECT($ET$32&amp;EU54)=0,"",INDIRECT($ET$32&amp;EU54))</f>
        <v/>
      </c>
      <c r="EY54" s="22" t="str" cm="1">
        <f t="array" aca="1" ref="EY54" ca="1">INDIRECT($ET$33&amp;EU54)</f>
        <v/>
      </c>
      <c r="EZ54" s="22" t="str" cm="1">
        <f t="array" aca="1" ref="EZ54" ca="1">IF(INDIRECT($ET$34&amp;EU54)=0,"",INDIRECT($ET$34&amp;EU54))</f>
        <v/>
      </c>
      <c r="FA54" s="22" t="str" cm="1">
        <f t="array" aca="1" ref="FA54" ca="1">IF(INDIRECT($ET$35&amp;EU54)=0,"",INDIRECT($ET$35&amp;EU54))</f>
        <v/>
      </c>
      <c r="FB54" s="22" t="str" cm="1">
        <f t="array" aca="1" ref="FB54" ca="1">IF(INDIRECT($ET$36&amp;EU54)=0,"",INDIRECT($ET$36&amp;EU54))</f>
        <v/>
      </c>
      <c r="FC54" s="22" t="str" cm="1">
        <f t="array" aca="1" ref="FC54" ca="1">IF(INDIRECT($ET$37&amp;EU54)=0,"",INDIRECT($ET$37&amp;EU54))</f>
        <v/>
      </c>
      <c r="GC54" s="472" t="s">
        <v>5510</v>
      </c>
      <c r="GE54" s="597">
        <v>37</v>
      </c>
      <c r="GF54" s="597" cm="1">
        <f t="array" aca="1" ref="GF54" ca="1">INDIRECT(Respostas_usuario!$AB$2&amp;$GE54,1)</f>
        <v>0</v>
      </c>
      <c r="GG54" s="597" cm="1">
        <f t="array" aca="1" ref="GG54" ca="1">INDIRECT($GE$6&amp;$GG$38&amp;$GE54,1)</f>
        <v>0</v>
      </c>
      <c r="GH54" s="601" t="b">
        <f>Respostas_usuario!AB18</f>
        <v>0</v>
      </c>
      <c r="GI54" s="627" cm="1">
        <f t="array" aca="1" ref="GI54" ca="1">INDIRECT($GE$7&amp;$GF$38&amp;$GE54,1)</f>
        <v>0</v>
      </c>
      <c r="GJ54" s="628" cm="1">
        <f t="array" aca="1" ref="GJ54" ca="1">INDIRECT($GE$7&amp;$GG$38&amp;$GE54,1)</f>
        <v>0</v>
      </c>
      <c r="GK54" s="629" t="b">
        <f>Respostas_usuario!AC18</f>
        <v>0</v>
      </c>
      <c r="GY54" s="492" t="str">
        <f t="shared" ca="1" si="42"/>
        <v/>
      </c>
      <c r="GZ54" s="495" t="str" cm="1">
        <f t="array" aca="1" ref="GZ54" ca="1">IFERROR(
IF(
AND(
 GY54&lt;&gt;"",
  ISERR(FIND(HA$31, $GY54)),
  ISERR(FIND(HB$31, $GY54)),
  ISERR(FIND(HC$31, $GY54))),
_xlfn.XLOOKUP(TRIM($GY54), tb_codigos_GHS_ABNT[Código], tb_codigos_GHS_ABNT[Código] &amp; ": " &amp; tb_codigos_GHS_ABNT[Frases de perigo]),
""),"-")</f>
        <v/>
      </c>
      <c r="HA54" s="495" t="str">
        <f t="shared" ca="1" si="43"/>
        <v/>
      </c>
      <c r="HB54" s="495" t="str">
        <f t="shared" ca="1" si="44"/>
        <v/>
      </c>
      <c r="HC54" s="495" t="str">
        <f t="shared" ca="1" si="45"/>
        <v/>
      </c>
      <c r="HD54" s="586"/>
      <c r="HE54" s="586"/>
      <c r="HF54" s="586" t="str" cm="1">
        <f t="array" ref="HF54">IFERROR(
IF(HE54&lt;&gt;"",_xlfn.XLOOKUP(HE54, tb_codigos_GHS_ABNT[Código], tb_codigos_GHS_ABNT[Código] &amp; ": " &amp; tb_codigos_GHS_ABNT[Frases de perigo]),
""),"Frase de perigo: -Erro-")</f>
        <v/>
      </c>
    </row>
    <row r="55" spans="1:223" x14ac:dyDescent="0.25">
      <c r="A55" s="477" t="s">
        <v>78</v>
      </c>
      <c r="B55" s="630" t="s">
        <v>7049</v>
      </c>
      <c r="C55" s="552" t="s">
        <v>10</v>
      </c>
      <c r="D55" s="552" t="s">
        <v>10</v>
      </c>
      <c r="F55" s="624" t="s">
        <v>136</v>
      </c>
      <c r="G55" s="609" t="s">
        <v>5740</v>
      </c>
      <c r="H55" s="609">
        <v>64</v>
      </c>
      <c r="I55" s="609">
        <v>65</v>
      </c>
      <c r="J55" s="539" cm="1">
        <f t="array" aca="1" ref="J55" ca="1">INDIRECT($G$47&amp;$G55&amp;$H55,1)</f>
        <v>0</v>
      </c>
      <c r="K55" s="539" t="str">
        <f ca="1">IFERROR(J55/$J$53,"-")</f>
        <v>-</v>
      </c>
      <c r="L55" s="539" cm="1">
        <f t="array" aca="1" ref="L55" ca="1">INDIRECT($G$47&amp;$G55&amp;$I55,1)</f>
        <v>0</v>
      </c>
      <c r="M55" s="625" t="str">
        <f t="shared" ca="1" si="57"/>
        <v>-</v>
      </c>
      <c r="AA55" s="496" t="str" cm="1">
        <f t="array" aca="1" ref="AA55" ca="1">IFERROR(
INDEX($E$4:$E$18,MATCH(0,INDEX(COUNTIF($AA$45:AA54,$E$4:$E$18),),)),"")</f>
        <v/>
      </c>
      <c r="AB55" s="496" t="str">
        <f t="shared" ca="1" si="56"/>
        <v/>
      </c>
      <c r="AC55" s="496" t="str">
        <f ca="1">IF(AB55="","",
IF((COUNTA(AB56:$AB$61)-COUNTIF(AB56:$AB$61,""))=0,AB55&amp;". ",AB55&amp;"; "))</f>
        <v/>
      </c>
      <c r="AD55" s="475"/>
      <c r="AJ55" s="20" t="s">
        <v>7964</v>
      </c>
      <c r="AK55" s="23" t="str">
        <f ca="1">GW12&amp;CHAR(10)</f>
        <v xml:space="preserve">a definir
</v>
      </c>
      <c r="AL55" s="20" t="str">
        <f t="shared" ca="1" si="58"/>
        <v xml:space="preserve">Toxicidade inalatória aguda: a definir
</v>
      </c>
      <c r="AV55" s="469" t="s">
        <v>5510</v>
      </c>
      <c r="BF55" s="469" t="s">
        <v>5510</v>
      </c>
      <c r="BL55" s="372"/>
      <c r="BO55" s="472"/>
      <c r="BQ55" s="20"/>
      <c r="BT55" s="372"/>
      <c r="BU55" s="472"/>
      <c r="BV55" s="472"/>
      <c r="BW55" s="372"/>
      <c r="BX55" s="472"/>
      <c r="BY55" s="372"/>
      <c r="BZ55" s="472"/>
      <c r="CA55" s="372"/>
      <c r="CE55" s="372"/>
      <c r="CF55" s="472"/>
      <c r="CG55" s="472"/>
      <c r="CH55" s="372"/>
      <c r="CI55" s="472"/>
      <c r="CJ55" s="372"/>
      <c r="CK55" s="472"/>
      <c r="CL55" s="372"/>
      <c r="CU55" s="469" t="s">
        <v>5510</v>
      </c>
      <c r="CV55" s="492">
        <v>1</v>
      </c>
      <c r="CW55" s="558">
        <f t="shared" si="41"/>
        <v>54</v>
      </c>
      <c r="CX55" s="492" cm="1">
        <f t="array" aca="1" ref="CX55" ca="1">INDIRECT($DD$2&amp;CX$28&amp;$CW55)</f>
        <v>0</v>
      </c>
      <c r="CY55" s="492" cm="1">
        <f t="array" aca="1" ref="CY55" ca="1">INDIRECT($DD$2&amp;CY$28&amp;$CW55)</f>
        <v>0</v>
      </c>
      <c r="CZ55" s="492" cm="1">
        <f t="array" aca="1" ref="CZ55" ca="1">INDIRECT($DD$2&amp;CZ$28&amp;$CW55)</f>
        <v>0</v>
      </c>
      <c r="DA55" s="492" cm="1">
        <f t="array" aca="1" ref="DA55" ca="1">INDIRECT($DD$2&amp;DA$28&amp;$CW55)</f>
        <v>0</v>
      </c>
      <c r="DB55" s="492" cm="1">
        <f t="array" aca="1" ref="DB55" ca="1">INDIRECT($DD$2&amp;DB$28&amp;$CW55)</f>
        <v>0</v>
      </c>
      <c r="DC55" s="492" cm="1">
        <f t="array" aca="1" ref="DC55" ca="1">INDIRECT($DD$2&amp;DC$28&amp;$CW55)</f>
        <v>0</v>
      </c>
      <c r="DD55" s="492" t="str">
        <f t="shared" ca="1" si="39"/>
        <v/>
      </c>
      <c r="DE55" s="492" t="str">
        <f t="shared" ca="1" si="40"/>
        <v/>
      </c>
      <c r="DG55" s="631" t="s">
        <v>8232</v>
      </c>
      <c r="DH55" s="480" t="s">
        <v>7646</v>
      </c>
      <c r="DI55" s="426" t="str" cm="1">
        <f t="array" aca="1" ref="DI55" ca="1">IF(INDIRECT($CW$2&amp;$DH55)="sim",DH49,"")</f>
        <v/>
      </c>
      <c r="EQ55" s="469" t="s">
        <v>5510</v>
      </c>
      <c r="ES55" s="504"/>
      <c r="ET55" s="507"/>
      <c r="EU55" s="585">
        <v>56</v>
      </c>
      <c r="EW55" s="22" t="str" cm="1">
        <f t="array" aca="1" ref="EW55" ca="1">IF(INDIRECT($ET$31&amp;EU55)=0,"-",INDIRECT($ET$31&amp;EU55))</f>
        <v>-</v>
      </c>
      <c r="EX55" s="22" t="str" cm="1">
        <f t="array" aca="1" ref="EX55" ca="1">IF(INDIRECT($ET$32&amp;EU55)=0,"",INDIRECT($ET$32&amp;EU55))</f>
        <v/>
      </c>
      <c r="EY55" s="22" t="str" cm="1">
        <f t="array" aca="1" ref="EY55" ca="1">INDIRECT($ET$33&amp;EU55)</f>
        <v/>
      </c>
      <c r="EZ55" s="22" t="str" cm="1">
        <f t="array" aca="1" ref="EZ55" ca="1">IF(INDIRECT($ET$34&amp;EU55)=0,"",INDIRECT($ET$34&amp;EU55))</f>
        <v/>
      </c>
      <c r="FA55" s="22" t="str" cm="1">
        <f t="array" aca="1" ref="FA55" ca="1">IF(INDIRECT($ET$35&amp;EU55)=0,"",INDIRECT($ET$35&amp;EU55))</f>
        <v/>
      </c>
      <c r="FB55" s="22" t="str" cm="1">
        <f t="array" aca="1" ref="FB55" ca="1">IF(INDIRECT($ET$36&amp;EU55)=0,"",INDIRECT($ET$36&amp;EU55))</f>
        <v/>
      </c>
      <c r="FC55" s="22" t="str" cm="1">
        <f t="array" aca="1" ref="FC55" ca="1">IF(INDIRECT($ET$37&amp;EU55)=0,"",INDIRECT($ET$37&amp;EU55))</f>
        <v/>
      </c>
      <c r="GC55" s="472" t="s">
        <v>5510</v>
      </c>
      <c r="GY55" s="492" t="str">
        <f t="shared" ca="1" si="42"/>
        <v/>
      </c>
      <c r="GZ55" s="495" t="str" cm="1">
        <f t="array" aca="1" ref="GZ55" ca="1">IFERROR(
IF(
AND(
 GY55&lt;&gt;"",
  ISERR(FIND(HA$31, $GY55)),
  ISERR(FIND(HB$31, $GY55)),
  ISERR(FIND(HC$31, $GY55))),
_xlfn.XLOOKUP(TRIM($GY55), tb_codigos_GHS_ABNT[Código], tb_codigos_GHS_ABNT[Código] &amp; ": " &amp; tb_codigos_GHS_ABNT[Frases de perigo]),
""),"-")</f>
        <v/>
      </c>
      <c r="HA55" s="495" t="str">
        <f t="shared" ca="1" si="43"/>
        <v/>
      </c>
      <c r="HB55" s="495" t="str">
        <f t="shared" ca="1" si="44"/>
        <v/>
      </c>
      <c r="HC55" s="495" t="str">
        <f t="shared" ca="1" si="45"/>
        <v/>
      </c>
      <c r="HD55" s="586"/>
      <c r="HE55" s="586"/>
      <c r="HF55" s="586" t="str" cm="1">
        <f t="array" ref="HF55">IFERROR(
IF(HE55&lt;&gt;"",_xlfn.XLOOKUP(HE55, tb_codigos_GHS_ABNT[Código], tb_codigos_GHS_ABNT[Código] &amp; ": " &amp; tb_codigos_GHS_ABNT[Frases de perigo]),
""),"Frase de perigo: -Erro-")</f>
        <v/>
      </c>
    </row>
    <row r="56" spans="1:223" x14ac:dyDescent="0.25">
      <c r="A56" s="426">
        <v>1</v>
      </c>
      <c r="B56" s="632" t="s">
        <v>7050</v>
      </c>
      <c r="C56" s="525" cm="1">
        <f t="array" aca="1" ref="C56" ca="1">INDIRECT(C$54&amp;$B56,1)</f>
        <v>0</v>
      </c>
      <c r="D56" s="525" cm="1">
        <f t="array" aca="1" ref="D56" ca="1">INDIRECT(D$54&amp;$B56,1)</f>
        <v>0</v>
      </c>
      <c r="F56" s="624" t="s">
        <v>137</v>
      </c>
      <c r="G56" s="609" t="s">
        <v>6321</v>
      </c>
      <c r="H56" s="609">
        <v>64</v>
      </c>
      <c r="I56" s="609">
        <v>65</v>
      </c>
      <c r="J56" s="539" cm="1">
        <f t="array" aca="1" ref="J56" ca="1">INDIRECT($G$47&amp;$G56&amp;$H56,1)</f>
        <v>0</v>
      </c>
      <c r="K56" s="539" t="str">
        <f ca="1">IFERROR(J56/$J$53,"-")</f>
        <v>-</v>
      </c>
      <c r="L56" s="539" cm="1">
        <f t="array" aca="1" ref="L56" ca="1">INDIRECT($G$47&amp;$G56&amp;$I56,1)</f>
        <v>0</v>
      </c>
      <c r="M56" s="625" t="str">
        <f t="shared" ca="1" si="57"/>
        <v>-</v>
      </c>
      <c r="AA56" s="496" t="str" cm="1">
        <f t="array" aca="1" ref="AA56" ca="1">IFERROR(
INDEX($E$4:$E$18,MATCH(0,INDEX(COUNTIF($AA$45:AA55,$E$4:$E$18),),)),"")</f>
        <v/>
      </c>
      <c r="AB56" s="496" t="str">
        <f t="shared" ca="1" si="56"/>
        <v/>
      </c>
      <c r="AC56" s="496" t="str">
        <f ca="1">IF(AB56="","",
IF((COUNTA(AB57:$AB$61)-COUNTIF(AB57:$AB$61,""))=0,AB56&amp;". ",AB56&amp;"; "))</f>
        <v/>
      </c>
      <c r="AD56" s="475"/>
      <c r="AJ56" s="20" t="s">
        <v>7284</v>
      </c>
      <c r="AK56" s="23" t="str">
        <f ca="1">GW14&amp;CHAR(10)</f>
        <v xml:space="preserve">a definir
</v>
      </c>
      <c r="AL56" s="20" t="str">
        <f t="shared" ca="1" si="58"/>
        <v xml:space="preserve">Corrosão/irritação ocular: a definir
</v>
      </c>
      <c r="AV56" s="469" t="s">
        <v>5510</v>
      </c>
      <c r="BF56" s="469" t="s">
        <v>5510</v>
      </c>
      <c r="BQ56" s="20"/>
      <c r="BT56" s="372"/>
      <c r="BU56" s="472"/>
      <c r="BV56" s="472"/>
      <c r="BW56" s="472"/>
      <c r="BX56" s="472"/>
      <c r="BY56" s="372"/>
      <c r="BZ56" s="372"/>
      <c r="CA56" s="372"/>
      <c r="CE56" s="372"/>
      <c r="CF56" s="472"/>
      <c r="CG56" s="472"/>
      <c r="CH56" s="472"/>
      <c r="CI56" s="472"/>
      <c r="CJ56" s="372"/>
      <c r="CK56" s="372"/>
      <c r="CL56" s="372"/>
      <c r="CU56" s="469" t="s">
        <v>5510</v>
      </c>
      <c r="CV56" s="492">
        <v>1</v>
      </c>
      <c r="CW56" s="558">
        <f t="shared" si="41"/>
        <v>55</v>
      </c>
      <c r="CX56" s="492" cm="1">
        <f t="array" aca="1" ref="CX56" ca="1">INDIRECT($DD$2&amp;CX$28&amp;$CW56)</f>
        <v>0</v>
      </c>
      <c r="CY56" s="492" cm="1">
        <f t="array" aca="1" ref="CY56" ca="1">INDIRECT($DD$2&amp;CY$28&amp;$CW56)</f>
        <v>0</v>
      </c>
      <c r="CZ56" s="492" cm="1">
        <f t="array" aca="1" ref="CZ56" ca="1">INDIRECT($DD$2&amp;CZ$28&amp;$CW56)</f>
        <v>0</v>
      </c>
      <c r="DA56" s="492" cm="1">
        <f t="array" aca="1" ref="DA56" ca="1">INDIRECT($DD$2&amp;DA$28&amp;$CW56)</f>
        <v>0</v>
      </c>
      <c r="DB56" s="492" cm="1">
        <f t="array" aca="1" ref="DB56" ca="1">INDIRECT($DD$2&amp;DB$28&amp;$CW56)</f>
        <v>0</v>
      </c>
      <c r="DC56" s="492" cm="1">
        <f t="array" aca="1" ref="DC56" ca="1">INDIRECT($DD$2&amp;DC$28&amp;$CW56)</f>
        <v>0</v>
      </c>
      <c r="DD56" s="492" t="str">
        <f t="shared" ca="1" si="39"/>
        <v/>
      </c>
      <c r="DE56" s="492" t="str">
        <f t="shared" ca="1" si="40"/>
        <v/>
      </c>
      <c r="DG56" s="633" t="s">
        <v>5812</v>
      </c>
      <c r="DH56" s="480" t="s">
        <v>8233</v>
      </c>
      <c r="DI56" s="426" t="str" cm="1">
        <f t="array" aca="1" ref="DI56" ca="1">IF(INDIRECT($CW$2&amp;$DH56)="sim",DH50,"")</f>
        <v/>
      </c>
      <c r="EQ56" s="469" t="s">
        <v>5510</v>
      </c>
      <c r="ES56" s="504"/>
      <c r="ET56" s="507"/>
      <c r="EU56" s="585">
        <v>57</v>
      </c>
      <c r="EW56" s="22" t="str" cm="1">
        <f t="array" aca="1" ref="EW56" ca="1">IF(INDIRECT($ET$31&amp;EU56)=0,"-",INDIRECT($ET$31&amp;EU56))</f>
        <v>-</v>
      </c>
      <c r="EX56" s="22" t="str" cm="1">
        <f t="array" aca="1" ref="EX56" ca="1">IF(INDIRECT($ET$32&amp;EU56)=0,"",INDIRECT($ET$32&amp;EU56))</f>
        <v/>
      </c>
      <c r="EY56" s="22" t="str" cm="1">
        <f t="array" aca="1" ref="EY56" ca="1">INDIRECT($ET$33&amp;EU56)</f>
        <v/>
      </c>
      <c r="EZ56" s="22" t="str" cm="1">
        <f t="array" aca="1" ref="EZ56" ca="1">IF(INDIRECT($ET$34&amp;EU56)=0,"",INDIRECT($ET$34&amp;EU56))</f>
        <v/>
      </c>
      <c r="FA56" s="22" t="str" cm="1">
        <f t="array" aca="1" ref="FA56" ca="1">IF(INDIRECT($ET$35&amp;EU56)=0,"",INDIRECT($ET$35&amp;EU56))</f>
        <v/>
      </c>
      <c r="FB56" s="22" t="str" cm="1">
        <f t="array" aca="1" ref="FB56" ca="1">IF(INDIRECT($ET$36&amp;EU56)=0,"",INDIRECT($ET$36&amp;EU56))</f>
        <v/>
      </c>
      <c r="FC56" s="22" t="str" cm="1">
        <f t="array" aca="1" ref="FC56" ca="1">IF(INDIRECT($ET$37&amp;EU56)=0,"",INDIRECT($ET$37&amp;EU56))</f>
        <v/>
      </c>
      <c r="GC56" s="472" t="s">
        <v>5510</v>
      </c>
      <c r="GF56" s="508" t="s">
        <v>5540</v>
      </c>
      <c r="GJ56" s="508" t="s">
        <v>5541</v>
      </c>
      <c r="GK56" s="591"/>
      <c r="GL56" s="591"/>
      <c r="GM56" s="592"/>
      <c r="GY56" s="492" t="str">
        <f t="shared" ca="1" si="42"/>
        <v/>
      </c>
      <c r="GZ56" s="495" t="str" cm="1">
        <f t="array" aca="1" ref="GZ56" ca="1">IFERROR(
IF(
AND(
 GY56&lt;&gt;"",
  ISERR(FIND(HA$31, $GY56)),
  ISERR(FIND(HB$31, $GY56)),
  ISERR(FIND(HC$31, $GY56))),
_xlfn.XLOOKUP(TRIM($GY56), tb_codigos_GHS_ABNT[Código], tb_codigos_GHS_ABNT[Código] &amp; ": " &amp; tb_codigos_GHS_ABNT[Frases de perigo]),
""),"-")</f>
        <v/>
      </c>
      <c r="HA56" s="495" t="str">
        <f t="shared" ca="1" si="43"/>
        <v/>
      </c>
      <c r="HB56" s="495" t="str">
        <f t="shared" ca="1" si="44"/>
        <v/>
      </c>
      <c r="HC56" s="495" t="str">
        <f t="shared" ca="1" si="45"/>
        <v/>
      </c>
      <c r="HD56" s="586"/>
      <c r="HE56" s="586"/>
      <c r="HF56" s="586" t="str" cm="1">
        <f t="array" ref="HF56">IFERROR(
IF(HE56&lt;&gt;"",_xlfn.XLOOKUP(HE56, tb_codigos_GHS_ABNT[Código], tb_codigos_GHS_ABNT[Código] &amp; ": " &amp; tb_codigos_GHS_ABNT[Frases de perigo]),
""),"Frase de perigo: -Erro-")</f>
        <v/>
      </c>
      <c r="HJ56" s="20" t="s">
        <v>8445</v>
      </c>
      <c r="HK56" s="20" t="s">
        <v>8446</v>
      </c>
      <c r="HL56" s="20" t="s">
        <v>8447</v>
      </c>
      <c r="HM56" s="20" t="s">
        <v>5846</v>
      </c>
      <c r="HN56" s="20" t="s">
        <v>383</v>
      </c>
      <c r="HO56" s="20" t="s">
        <v>8536</v>
      </c>
    </row>
    <row r="57" spans="1:223" x14ac:dyDescent="0.25">
      <c r="A57" s="426">
        <v>2</v>
      </c>
      <c r="B57" s="632" t="s">
        <v>7051</v>
      </c>
      <c r="C57" s="525" cm="1">
        <f t="array" aca="1" ref="C57" ca="1">INDIRECT(C$54&amp;$B57,1)</f>
        <v>0</v>
      </c>
      <c r="D57" s="525" cm="1">
        <f t="array" aca="1" ref="D57" ca="1">INDIRECT(D$54&amp;$B57,1)</f>
        <v>0</v>
      </c>
      <c r="F57" s="624" t="s">
        <v>138</v>
      </c>
      <c r="G57" s="609" t="s">
        <v>5781</v>
      </c>
      <c r="H57" s="609">
        <v>64</v>
      </c>
      <c r="I57" s="609">
        <v>65</v>
      </c>
      <c r="J57" s="539" cm="1">
        <f t="array" aca="1" ref="J57" ca="1">INDIRECT($G$47&amp;$G57&amp;$H57,1)</f>
        <v>0</v>
      </c>
      <c r="K57" s="539" t="str">
        <f ca="1">IFERROR(J57/$J$53,"-")</f>
        <v>-</v>
      </c>
      <c r="L57" s="539" cm="1">
        <f t="array" aca="1" ref="L57" ca="1">INDIRECT($G$47&amp;$G57&amp;$I57,1)</f>
        <v>0</v>
      </c>
      <c r="M57" s="625" t="str">
        <f t="shared" ca="1" si="57"/>
        <v>-</v>
      </c>
      <c r="AA57" s="496" t="str" cm="1">
        <f t="array" aca="1" ref="AA57" ca="1">IFERROR(
INDEX($E$4:$E$18,MATCH(0,INDEX(COUNTIF($AA$45:AA56,$E$4:$E$18),),)),"")</f>
        <v/>
      </c>
      <c r="AB57" s="496" t="str">
        <f t="shared" ca="1" si="56"/>
        <v/>
      </c>
      <c r="AC57" s="496" t="str">
        <f ca="1">IF(AB57="","",
IF((COUNTA(AB58:$AB$61)-COUNTIF(AB58:$AB$61,""))=0,AB57&amp;". ",AB57&amp;"; "))</f>
        <v/>
      </c>
      <c r="AD57" s="475"/>
      <c r="AJ57" s="20" t="s">
        <v>7285</v>
      </c>
      <c r="AK57" s="23" t="str">
        <f ca="1">GW16&amp;CHAR(10)</f>
        <v xml:space="preserve">a definir
</v>
      </c>
      <c r="AL57" s="20" t="str">
        <f t="shared" ca="1" si="58"/>
        <v xml:space="preserve">Corrosão/irritação cutânea: a definir
</v>
      </c>
      <c r="AV57" s="469" t="s">
        <v>5510</v>
      </c>
      <c r="BF57" s="469" t="s">
        <v>5510</v>
      </c>
      <c r="BQ57" s="20"/>
      <c r="BT57" s="372"/>
      <c r="BU57" s="472"/>
      <c r="BV57" s="472"/>
      <c r="BW57" s="472"/>
      <c r="BX57" s="472"/>
      <c r="BY57" s="372"/>
      <c r="BZ57" s="372"/>
      <c r="CA57" s="372"/>
      <c r="CE57" s="372"/>
      <c r="CF57" s="472"/>
      <c r="CG57" s="472"/>
      <c r="CH57" s="472"/>
      <c r="CI57" s="472"/>
      <c r="CJ57" s="372"/>
      <c r="CK57" s="372"/>
      <c r="CL57" s="372"/>
      <c r="CU57" s="469" t="s">
        <v>5510</v>
      </c>
      <c r="CV57" s="492">
        <v>1</v>
      </c>
      <c r="CW57" s="558">
        <f t="shared" si="41"/>
        <v>56</v>
      </c>
      <c r="CX57" s="492" cm="1">
        <f t="array" aca="1" ref="CX57" ca="1">INDIRECT($DD$2&amp;CX$28&amp;$CW57)</f>
        <v>0</v>
      </c>
      <c r="CY57" s="492" cm="1">
        <f t="array" aca="1" ref="CY57" ca="1">INDIRECT($DD$2&amp;CY$28&amp;$CW57)</f>
        <v>0</v>
      </c>
      <c r="CZ57" s="492" cm="1">
        <f t="array" aca="1" ref="CZ57" ca="1">INDIRECT($DD$2&amp;CZ$28&amp;$CW57)</f>
        <v>0</v>
      </c>
      <c r="DA57" s="492" cm="1">
        <f t="array" aca="1" ref="DA57" ca="1">INDIRECT($DD$2&amp;DA$28&amp;$CW57)</f>
        <v>0</v>
      </c>
      <c r="DB57" s="492" cm="1">
        <f t="array" aca="1" ref="DB57" ca="1">INDIRECT($DD$2&amp;DB$28&amp;$CW57)</f>
        <v>0</v>
      </c>
      <c r="DC57" s="492" cm="1">
        <f t="array" aca="1" ref="DC57" ca="1">INDIRECT($DD$2&amp;DC$28&amp;$CW57)</f>
        <v>0</v>
      </c>
      <c r="DD57" s="492" t="str">
        <f t="shared" ca="1" si="39"/>
        <v/>
      </c>
      <c r="DE57" s="492" t="str">
        <f t="shared" ca="1" si="40"/>
        <v/>
      </c>
      <c r="DG57" s="633" t="s">
        <v>8234</v>
      </c>
      <c r="DH57" s="480" t="s">
        <v>10</v>
      </c>
      <c r="DI57" s="426" t="str">
        <f ca="1">IF(COUNTIF(DM19:DN24,1),DH51,"")</f>
        <v/>
      </c>
      <c r="EQ57" s="469" t="s">
        <v>5510</v>
      </c>
      <c r="ES57" s="504"/>
      <c r="ET57" s="507"/>
      <c r="EU57" s="585">
        <v>58</v>
      </c>
      <c r="EW57" s="22" t="str" cm="1">
        <f t="array" aca="1" ref="EW57" ca="1">IF(INDIRECT($ET$31&amp;EU57)=0,"-",INDIRECT($ET$31&amp;EU57))</f>
        <v>-</v>
      </c>
      <c r="EX57" s="22" t="str" cm="1">
        <f t="array" aca="1" ref="EX57" ca="1">IF(INDIRECT($ET$32&amp;EU57)=0,"",INDIRECT($ET$32&amp;EU57))</f>
        <v/>
      </c>
      <c r="EY57" s="22" t="str" cm="1">
        <f t="array" aca="1" ref="EY57" ca="1">INDIRECT($ET$33&amp;EU57)</f>
        <v/>
      </c>
      <c r="EZ57" s="22" t="str" cm="1">
        <f t="array" aca="1" ref="EZ57" ca="1">IF(INDIRECT($ET$34&amp;EU57)=0,"",INDIRECT($ET$34&amp;EU57))</f>
        <v/>
      </c>
      <c r="FA57" s="22" t="str" cm="1">
        <f t="array" aca="1" ref="FA57" ca="1">IF(INDIRECT($ET$35&amp;EU57)=0,"",INDIRECT($ET$35&amp;EU57))</f>
        <v/>
      </c>
      <c r="FB57" s="22" t="str" cm="1">
        <f t="array" aca="1" ref="FB57" ca="1">IF(INDIRECT($ET$36&amp;EU57)=0,"",INDIRECT($ET$36&amp;EU57))</f>
        <v/>
      </c>
      <c r="FC57" s="22" t="str" cm="1">
        <f t="array" aca="1" ref="FC57" ca="1">IF(INDIRECT($ET$37&amp;EU57)=0,"",INDIRECT($ET$37&amp;EU57))</f>
        <v/>
      </c>
      <c r="GC57" s="472" t="s">
        <v>5510</v>
      </c>
      <c r="GF57" s="480" t="s">
        <v>6156</v>
      </c>
      <c r="GG57" s="480" t="s">
        <v>5734</v>
      </c>
      <c r="GH57" s="480" t="s">
        <v>5738</v>
      </c>
      <c r="GJ57" s="594"/>
      <c r="GM57" s="595"/>
      <c r="GO57" s="20" t="s">
        <v>8207</v>
      </c>
      <c r="GP57" s="634" t="s">
        <v>1592</v>
      </c>
      <c r="GQ57" s="481"/>
      <c r="GR57" s="481"/>
      <c r="GY57" s="492" t="str">
        <f t="shared" ca="1" si="42"/>
        <v/>
      </c>
      <c r="GZ57" s="495" t="str" cm="1">
        <f t="array" aca="1" ref="GZ57" ca="1">IFERROR(
IF(
AND(
 GY57&lt;&gt;"",
  ISERR(FIND(HA$31, $GY57)),
  ISERR(FIND(HB$31, $GY57)),
  ISERR(FIND(HC$31, $GY57))),
_xlfn.XLOOKUP(TRIM($GY57), tb_codigos_GHS_ABNT[Código], tb_codigos_GHS_ABNT[Código] &amp; ": " &amp; tb_codigos_GHS_ABNT[Frases de perigo]),
""),"-")</f>
        <v/>
      </c>
      <c r="HA57" s="495" t="str">
        <f t="shared" ca="1" si="43"/>
        <v/>
      </c>
      <c r="HB57" s="495" t="str">
        <f t="shared" ca="1" si="44"/>
        <v/>
      </c>
      <c r="HC57" s="495" t="str">
        <f t="shared" ca="1" si="45"/>
        <v/>
      </c>
      <c r="HD57" s="586"/>
      <c r="HE57" s="586"/>
      <c r="HF57" s="586" t="str" cm="1">
        <f t="array" ref="HF57">IFERROR(
IF(HE57&lt;&gt;"",_xlfn.XLOOKUP(HE57, tb_codigos_GHS_ABNT[Código], tb_codigos_GHS_ABNT[Código] &amp; ": " &amp; tb_codigos_GHS_ABNT[Frases de perigo]),
""),"Frase de perigo: -Erro-")</f>
        <v/>
      </c>
      <c r="HJ57" s="20" t="s">
        <v>8450</v>
      </c>
      <c r="HK57" s="20" t="s">
        <v>5823</v>
      </c>
      <c r="HL57" s="20" t="s">
        <v>8451</v>
      </c>
      <c r="HM57" s="20" t="s">
        <v>8452</v>
      </c>
      <c r="HN57" s="20" t="s">
        <v>8448</v>
      </c>
      <c r="HO57" s="20" t="str">
        <f>tb_codigos_GHS_ABNT[[#This Row],[Código]]&amp;": "&amp;tb_codigos_GHS_ABNT[[#This Row],[Frases de perigo]]</f>
        <v>H300: Fatal se ingerido</v>
      </c>
    </row>
    <row r="58" spans="1:223" x14ac:dyDescent="0.25">
      <c r="A58" s="426">
        <v>3</v>
      </c>
      <c r="B58" s="632" t="s">
        <v>7052</v>
      </c>
      <c r="C58" s="525" cm="1">
        <f t="array" aca="1" ref="C58" ca="1">INDIRECT(C$54&amp;$B58,1)</f>
        <v>0</v>
      </c>
      <c r="D58" s="525" cm="1">
        <f t="array" aca="1" ref="D58" ca="1">INDIRECT(D$54&amp;$B58,1)</f>
        <v>0</v>
      </c>
      <c r="F58" s="624" t="s">
        <v>135</v>
      </c>
      <c r="G58" s="609" t="s">
        <v>5782</v>
      </c>
      <c r="H58" s="609">
        <v>64</v>
      </c>
      <c r="I58" s="609">
        <v>65</v>
      </c>
      <c r="J58" s="539" cm="1">
        <f t="array" aca="1" ref="J58" ca="1">INDIRECT($G$47&amp;$G58&amp;$H58,1)</f>
        <v>0</v>
      </c>
      <c r="K58" s="539" t="str">
        <f ca="1">IFERROR(
IF($J$59&gt;0,
$J$58/J$59,
$J$58/$J$53),"-")</f>
        <v>-</v>
      </c>
      <c r="L58" s="539" cm="1">
        <f t="array" aca="1" ref="L58" ca="1">INDIRECT($G$47&amp;$G58&amp;$I58,1)</f>
        <v>0</v>
      </c>
      <c r="M58" s="625" t="str">
        <f t="shared" ca="1" si="57"/>
        <v>-</v>
      </c>
      <c r="AA58" s="496" t="str" cm="1">
        <f t="array" aca="1" ref="AA58" ca="1">IFERROR(
INDEX($E$4:$E$18,MATCH(0,INDEX(COUNTIF($AA$45:AA57,$E$4:$E$18),),)),"")</f>
        <v/>
      </c>
      <c r="AB58" s="496" t="str">
        <f t="shared" ca="1" si="56"/>
        <v/>
      </c>
      <c r="AC58" s="496" t="str">
        <f ca="1">IF(AB58="","",
IF((COUNTA(AB59:$AB$61)-COUNTIF(AB59:$AB$61,""))=0,AB58&amp;". ",AB58&amp;"; "))</f>
        <v/>
      </c>
      <c r="AD58" s="475"/>
      <c r="AJ58" s="20" t="s">
        <v>7286</v>
      </c>
      <c r="AK58" s="23" t="str">
        <f ca="1">GW18&amp;CHAR(10)</f>
        <v xml:space="preserve">a definir
</v>
      </c>
      <c r="AL58" s="20" t="str">
        <f t="shared" ca="1" si="58"/>
        <v xml:space="preserve">Sensibilização cutânea: a definir
</v>
      </c>
      <c r="AV58" s="469" t="s">
        <v>5510</v>
      </c>
      <c r="BF58" s="469" t="s">
        <v>5510</v>
      </c>
      <c r="BG58" s="469">
        <v>1</v>
      </c>
      <c r="BH58" s="539" t="s">
        <v>8039</v>
      </c>
      <c r="BI58" s="539">
        <f>BI53+$BO$5</f>
        <v>64</v>
      </c>
      <c r="BJ58" s="539" cm="1">
        <f t="array" aca="1" ref="BJ58" ca="1">INDIRECT($BM$2&amp;BJ$7&amp;$BI58,1)</f>
        <v>0</v>
      </c>
      <c r="BK58" s="539" cm="1">
        <f t="array" aca="1" ref="BK58" ca="1">INDIRECT($BM$2&amp;BK$7&amp;$BI58,1)</f>
        <v>0</v>
      </c>
      <c r="BL58" s="539" cm="1">
        <f t="array" aca="1" ref="BL58" ca="1">INDIRECT($BM$2&amp;BL$7&amp;$BI58,1)</f>
        <v>0</v>
      </c>
      <c r="BM58" s="539" cm="1">
        <f t="array" aca="1" ref="BM58" ca="1">INDIRECT($BM$2&amp;BM$7&amp;$BI58,1)</f>
        <v>0</v>
      </c>
      <c r="BN58" s="539" cm="1">
        <f t="array" aca="1" ref="BN58" ca="1">INDIRECT($BM$2&amp;BN$7&amp;$BI58,1)</f>
        <v>0</v>
      </c>
      <c r="BO58" s="539" t="str">
        <f ca="1">IFERROR(BK58/BK$58,"-")</f>
        <v>-</v>
      </c>
      <c r="BP58" s="540" t="s">
        <v>8221</v>
      </c>
      <c r="BQ58" s="20"/>
      <c r="BR58" s="469">
        <v>1</v>
      </c>
      <c r="BS58" s="539" t="s">
        <v>8039</v>
      </c>
      <c r="BT58" s="539">
        <f>BT53+$BO$5</f>
        <v>410</v>
      </c>
      <c r="BU58" s="539" cm="1">
        <f t="array" aca="1" ref="BU58" ca="1">INDIRECT($BM$2&amp;BU$7&amp;$BT58,1)</f>
        <v>0</v>
      </c>
      <c r="BV58" s="539" cm="1">
        <f t="array" aca="1" ref="BV58" ca="1">INDIRECT($BM$2&amp;BV$7&amp;$BT58,1)</f>
        <v>0</v>
      </c>
      <c r="BW58" s="539" cm="1">
        <f t="array" aca="1" ref="BW58" ca="1">INDIRECT($BM$2&amp;BW$7&amp;$BT58,1)</f>
        <v>0</v>
      </c>
      <c r="BX58" s="539" cm="1">
        <f t="array" aca="1" ref="BX58" ca="1">INDIRECT($BM$2&amp;BX$7&amp;$BT58,1)</f>
        <v>0</v>
      </c>
      <c r="BY58" s="539" cm="1">
        <f t="array" aca="1" ref="BY58" ca="1">INDIRECT($BM$2&amp;BY$7&amp;$BT58,1)</f>
        <v>0</v>
      </c>
      <c r="BZ58" s="539" t="str">
        <f ca="1">IFERROR(BV58/BV$58,"-")</f>
        <v>-</v>
      </c>
      <c r="CA58" s="540" t="s">
        <v>8221</v>
      </c>
      <c r="CC58" s="469">
        <v>1</v>
      </c>
      <c r="CD58" s="539" t="s">
        <v>8039</v>
      </c>
      <c r="CE58" s="539">
        <f>CE53+$BO$5</f>
        <v>756</v>
      </c>
      <c r="CF58" s="539" cm="1">
        <f t="array" aca="1" ref="CF58" ca="1">INDIRECT($BM$2&amp;CF$7&amp;$CE58,1)</f>
        <v>0</v>
      </c>
      <c r="CG58" s="539" cm="1">
        <f t="array" aca="1" ref="CG58" ca="1">INDIRECT($BM$2&amp;CG$7&amp;$CE58,1)</f>
        <v>0</v>
      </c>
      <c r="CH58" s="539" cm="1">
        <f t="array" aca="1" ref="CH58" ca="1">INDIRECT($BM$2&amp;CH$7&amp;$CE58,1)</f>
        <v>0</v>
      </c>
      <c r="CI58" s="539" cm="1">
        <f t="array" aca="1" ref="CI58" ca="1">INDIRECT($BM$2&amp;CI$7&amp;$CE58,1)</f>
        <v>0</v>
      </c>
      <c r="CJ58" s="539" cm="1">
        <f t="array" aca="1" ref="CJ58" ca="1">INDIRECT($BM$2&amp;CJ$7&amp;$CE58,1)</f>
        <v>0</v>
      </c>
      <c r="CK58" s="539" t="str">
        <f ca="1">IFERROR(CG58/CG$58,"-")</f>
        <v>-</v>
      </c>
      <c r="CL58" s="540" t="s">
        <v>8221</v>
      </c>
      <c r="CU58" s="469" t="s">
        <v>5510</v>
      </c>
      <c r="CV58" s="492">
        <v>1</v>
      </c>
      <c r="CW58" s="558">
        <f t="shared" si="41"/>
        <v>57</v>
      </c>
      <c r="CX58" s="492" cm="1">
        <f t="array" aca="1" ref="CX58" ca="1">INDIRECT($DD$2&amp;CX$28&amp;$CW58)</f>
        <v>0</v>
      </c>
      <c r="CY58" s="492" cm="1">
        <f t="array" aca="1" ref="CY58" ca="1">INDIRECT($DD$2&amp;CY$28&amp;$CW58)</f>
        <v>0</v>
      </c>
      <c r="CZ58" s="492" cm="1">
        <f t="array" aca="1" ref="CZ58" ca="1">INDIRECT($DD$2&amp;CZ$28&amp;$CW58)</f>
        <v>0</v>
      </c>
      <c r="DA58" s="492" cm="1">
        <f t="array" aca="1" ref="DA58" ca="1">INDIRECT($DD$2&amp;DA$28&amp;$CW58)</f>
        <v>0</v>
      </c>
      <c r="DB58" s="492" cm="1">
        <f t="array" aca="1" ref="DB58" ca="1">INDIRECT($DD$2&amp;DB$28&amp;$CW58)</f>
        <v>0</v>
      </c>
      <c r="DC58" s="492" cm="1">
        <f t="array" aca="1" ref="DC58" ca="1">INDIRECT($DD$2&amp;DC$28&amp;$CW58)</f>
        <v>0</v>
      </c>
      <c r="DD58" s="492" t="str">
        <f t="shared" ca="1" si="39"/>
        <v/>
      </c>
      <c r="DE58" s="492" t="str">
        <f t="shared" ca="1" si="40"/>
        <v/>
      </c>
      <c r="EQ58" s="469" t="s">
        <v>5510</v>
      </c>
      <c r="ES58" s="504"/>
      <c r="ET58" s="507"/>
      <c r="EU58" s="585">
        <v>59</v>
      </c>
      <c r="EW58" s="22" t="str" cm="1">
        <f t="array" aca="1" ref="EW58" ca="1">IF(INDIRECT($ET$31&amp;EU58)=0,"-",INDIRECT($ET$31&amp;EU58))</f>
        <v>-</v>
      </c>
      <c r="EX58" s="22" t="str" cm="1">
        <f t="array" aca="1" ref="EX58" ca="1">IF(INDIRECT($ET$32&amp;EU58)=0,"",INDIRECT($ET$32&amp;EU58))</f>
        <v/>
      </c>
      <c r="EY58" s="22" t="str" cm="1">
        <f t="array" aca="1" ref="EY58" ca="1">INDIRECT($ET$33&amp;EU58)</f>
        <v/>
      </c>
      <c r="EZ58" s="22" t="str" cm="1">
        <f t="array" aca="1" ref="EZ58" ca="1">IF(INDIRECT($ET$34&amp;EU58)=0,"",INDIRECT($ET$34&amp;EU58))</f>
        <v/>
      </c>
      <c r="FA58" s="22" t="str" cm="1">
        <f t="array" aca="1" ref="FA58" ca="1">IF(INDIRECT($ET$35&amp;EU58)=0,"",INDIRECT($ET$35&amp;EU58))</f>
        <v/>
      </c>
      <c r="FB58" s="22" t="str" cm="1">
        <f t="array" aca="1" ref="FB58" ca="1">IF(INDIRECT($ET$36&amp;EU58)=0,"",INDIRECT($ET$36&amp;EU58))</f>
        <v/>
      </c>
      <c r="FC58" s="22" t="str" cm="1">
        <f t="array" aca="1" ref="FC58" ca="1">IF(INDIRECT($ET$37&amp;EU58)=0,"",INDIRECT($ET$37&amp;EU58))</f>
        <v/>
      </c>
      <c r="GC58" s="472" t="s">
        <v>5510</v>
      </c>
      <c r="GE58" s="593" t="s">
        <v>8003</v>
      </c>
      <c r="GF58" s="593" t="s">
        <v>6328</v>
      </c>
      <c r="GG58" s="593" t="s">
        <v>8201</v>
      </c>
      <c r="GH58" s="593" t="s">
        <v>8202</v>
      </c>
      <c r="GI58" s="593" t="s">
        <v>7765</v>
      </c>
      <c r="GJ58" s="598" t="s">
        <v>6328</v>
      </c>
      <c r="GK58" s="593" t="s">
        <v>8201</v>
      </c>
      <c r="GL58" s="593" t="s">
        <v>8202</v>
      </c>
      <c r="GM58" s="599" t="s">
        <v>7765</v>
      </c>
      <c r="GO58" s="20" t="s">
        <v>8208</v>
      </c>
      <c r="GP58" s="634" t="s">
        <v>6552</v>
      </c>
      <c r="GY58" s="492" t="str">
        <f t="shared" ca="1" si="42"/>
        <v/>
      </c>
      <c r="GZ58" s="495" t="str" cm="1">
        <f t="array" aca="1" ref="GZ58" ca="1">IFERROR(
IF(
AND(
 GY58&lt;&gt;"",
  ISERR(FIND(HA$31, $GY58)),
  ISERR(FIND(HB$31, $GY58)),
  ISERR(FIND(HC$31, $GY58))),
_xlfn.XLOOKUP(TRIM($GY58), tb_codigos_GHS_ABNT[Código], tb_codigos_GHS_ABNT[Código] &amp; ": " &amp; tb_codigos_GHS_ABNT[Frases de perigo]),
""),"-")</f>
        <v/>
      </c>
      <c r="HA58" s="495" t="str">
        <f t="shared" ca="1" si="43"/>
        <v/>
      </c>
      <c r="HB58" s="495" t="str">
        <f t="shared" ca="1" si="44"/>
        <v/>
      </c>
      <c r="HC58" s="495" t="str">
        <f t="shared" ca="1" si="45"/>
        <v/>
      </c>
      <c r="HD58" s="586"/>
      <c r="HE58" s="586"/>
      <c r="HF58" s="586" t="str" cm="1">
        <f t="array" ref="HF58">IFERROR(
IF(HE58&lt;&gt;"",_xlfn.XLOOKUP(HE58, tb_codigos_GHS_ABNT[Código], tb_codigos_GHS_ABNT[Código] &amp; ": " &amp; tb_codigos_GHS_ABNT[Frases de perigo]),
""),"Frase de perigo: -Erro-")</f>
        <v/>
      </c>
      <c r="HJ58" s="20" t="s">
        <v>8453</v>
      </c>
      <c r="HK58" s="20" t="s">
        <v>8454</v>
      </c>
      <c r="HL58" s="20" t="s">
        <v>8451</v>
      </c>
      <c r="HM58" s="20" t="s">
        <v>5826</v>
      </c>
      <c r="HN58" s="20" t="s">
        <v>8448</v>
      </c>
      <c r="HO58" s="20" t="str">
        <f>tb_codigos_GHS_ABNT[[#This Row],[Código]]&amp;": "&amp;tb_codigos_GHS_ABNT[[#This Row],[Frases de perigo]]</f>
        <v>H301: Tóxico se ingerido</v>
      </c>
    </row>
    <row r="59" spans="1:223" x14ac:dyDescent="0.25">
      <c r="A59" s="426">
        <v>4</v>
      </c>
      <c r="B59" s="632" t="s">
        <v>7037</v>
      </c>
      <c r="C59" s="525" cm="1">
        <f t="array" aca="1" ref="C59" ca="1">INDIRECT(C$54&amp;$B59,1)</f>
        <v>0</v>
      </c>
      <c r="D59" s="525" cm="1">
        <f t="array" aca="1" ref="D59" ca="1">INDIRECT(D$54&amp;$B59,1)</f>
        <v>0</v>
      </c>
      <c r="F59" s="624" t="s">
        <v>8018</v>
      </c>
      <c r="G59" s="609" t="s">
        <v>5912</v>
      </c>
      <c r="H59" s="609">
        <v>52</v>
      </c>
      <c r="I59" s="609">
        <v>52</v>
      </c>
      <c r="J59" s="539" cm="1">
        <f t="array" aca="1" ref="J59" ca="1">INDIRECT($G$47&amp;$G59&amp;$H59,1)</f>
        <v>0</v>
      </c>
      <c r="K59" s="623"/>
      <c r="L59" s="539" cm="1">
        <f t="array" aca="1" ref="L59" ca="1">INDIRECT($G$47&amp;$G60&amp;$I59,1)</f>
        <v>0</v>
      </c>
      <c r="M59" s="611"/>
      <c r="AA59" s="496" t="str" cm="1">
        <f t="array" aca="1" ref="AA59" ca="1">IFERROR(
INDEX($E$4:$E$18,MATCH(0,INDEX(COUNTIF($AA$45:AA58,$E$4:$E$18),),)),"")</f>
        <v/>
      </c>
      <c r="AB59" s="496" t="str">
        <f t="shared" ca="1" si="56"/>
        <v/>
      </c>
      <c r="AC59" s="496" t="str">
        <f ca="1">IF(AB59="","",
IF((COUNTA(AB60:$AB$61)-COUNTIF(AB60:$AB$61,""))=0,AB59&amp;". ",AB59&amp;"; "))</f>
        <v/>
      </c>
      <c r="AD59" s="475"/>
      <c r="AJ59" s="20" t="s">
        <v>7287</v>
      </c>
      <c r="AK59" s="23" t="str">
        <f ca="1">GW22&amp;CHAR(10)</f>
        <v xml:space="preserve">a definir
</v>
      </c>
      <c r="AL59" s="20" t="str">
        <f t="shared" ca="1" si="58"/>
        <v xml:space="preserve">Mutagenicidade: a definir
</v>
      </c>
      <c r="AV59" s="469" t="s">
        <v>5510</v>
      </c>
      <c r="BF59" s="469" t="s">
        <v>5510</v>
      </c>
      <c r="BG59" s="469">
        <v>2</v>
      </c>
      <c r="BH59" s="539" t="s">
        <v>8039</v>
      </c>
      <c r="BI59" s="539">
        <f>BI58+1</f>
        <v>65</v>
      </c>
      <c r="BJ59" s="539" cm="1">
        <f t="array" aca="1" ref="BJ59" ca="1">INDIRECT($BM$2&amp;BJ$7&amp;$BI59,1)</f>
        <v>0</v>
      </c>
      <c r="BK59" s="539" cm="1">
        <f t="array" aca="1" ref="BK59" ca="1">INDIRECT($BM$2&amp;BK$7&amp;$BI59,1)</f>
        <v>0</v>
      </c>
      <c r="BL59" s="539" cm="1">
        <f t="array" aca="1" ref="BL59" ca="1">INDIRECT($BM$2&amp;BL$7&amp;$BI59,1)</f>
        <v>0</v>
      </c>
      <c r="BM59" s="539" cm="1">
        <f t="array" aca="1" ref="BM59" ca="1">INDIRECT($BM$2&amp;BM$7&amp;$BI59,1)</f>
        <v>0</v>
      </c>
      <c r="BN59" s="539" cm="1">
        <f t="array" aca="1" ref="BN59" ca="1">INDIRECT($BM$2&amp;BN$7&amp;$BI59,1)</f>
        <v>0</v>
      </c>
      <c r="BO59" s="539" t="str">
        <f t="shared" ref="BO59:BO69" ca="1" si="59">IF(BK59=0,"-",IFERROR(BK59/BK$58,"-"))</f>
        <v>-</v>
      </c>
      <c r="BP59" s="494" t="s">
        <v>8222</v>
      </c>
      <c r="BQ59" s="20"/>
      <c r="BR59" s="469">
        <v>2</v>
      </c>
      <c r="BS59" s="539" t="s">
        <v>8039</v>
      </c>
      <c r="BT59" s="539">
        <f>BT58+1</f>
        <v>411</v>
      </c>
      <c r="BU59" s="539" cm="1">
        <f t="array" aca="1" ref="BU59" ca="1">INDIRECT($BM$2&amp;BU$7&amp;$BT59,1)</f>
        <v>0</v>
      </c>
      <c r="BV59" s="539" cm="1">
        <f t="array" aca="1" ref="BV59" ca="1">INDIRECT($BM$2&amp;BV$7&amp;$BT59,1)</f>
        <v>0</v>
      </c>
      <c r="BW59" s="539" cm="1">
        <f t="array" aca="1" ref="BW59" ca="1">INDIRECT($BM$2&amp;BW$7&amp;$BT59,1)</f>
        <v>0</v>
      </c>
      <c r="BX59" s="539" cm="1">
        <f t="array" aca="1" ref="BX59" ca="1">INDIRECT($BM$2&amp;BX$7&amp;$BT59,1)</f>
        <v>0</v>
      </c>
      <c r="BY59" s="539" cm="1">
        <f t="array" aca="1" ref="BY59" ca="1">INDIRECT($BM$2&amp;BY$7&amp;$BT59,1)</f>
        <v>0</v>
      </c>
      <c r="BZ59" s="539" t="str">
        <f t="shared" ref="BZ59:BZ69" ca="1" si="60">IF(BV59=0,"-",IFERROR(BV59/BV$58,"-"))</f>
        <v>-</v>
      </c>
      <c r="CA59" s="494" t="s">
        <v>8222</v>
      </c>
      <c r="CC59" s="469">
        <v>2</v>
      </c>
      <c r="CD59" s="539" t="s">
        <v>8039</v>
      </c>
      <c r="CE59" s="539">
        <f>CE58+1</f>
        <v>757</v>
      </c>
      <c r="CF59" s="539" cm="1">
        <f t="array" aca="1" ref="CF59" ca="1">INDIRECT($BM$2&amp;CF$7&amp;$CE59,1)</f>
        <v>0</v>
      </c>
      <c r="CG59" s="539" cm="1">
        <f t="array" aca="1" ref="CG59" ca="1">INDIRECT($BM$2&amp;CG$7&amp;$CE59,1)</f>
        <v>0</v>
      </c>
      <c r="CH59" s="539" cm="1">
        <f t="array" aca="1" ref="CH59" ca="1">INDIRECT($BM$2&amp;CH$7&amp;$CE59,1)</f>
        <v>0</v>
      </c>
      <c r="CI59" s="539" cm="1">
        <f t="array" aca="1" ref="CI59" ca="1">INDIRECT($BM$2&amp;CI$7&amp;$CE59,1)</f>
        <v>0</v>
      </c>
      <c r="CJ59" s="539" cm="1">
        <f t="array" aca="1" ref="CJ59" ca="1">INDIRECT($BM$2&amp;CJ$7&amp;$CE59,1)</f>
        <v>0</v>
      </c>
      <c r="CK59" s="539" t="str">
        <f t="shared" ref="CK59:CK69" ca="1" si="61">IF(CG59=0,"-",IFERROR(CG59/CG$58,"-"))</f>
        <v>-</v>
      </c>
      <c r="CL59" s="494" t="s">
        <v>8222</v>
      </c>
      <c r="CU59" s="469" t="s">
        <v>5510</v>
      </c>
      <c r="CV59" s="492">
        <v>1</v>
      </c>
      <c r="CW59" s="558">
        <f t="shared" si="41"/>
        <v>58</v>
      </c>
      <c r="CX59" s="492" cm="1">
        <f t="array" aca="1" ref="CX59" ca="1">INDIRECT($DD$2&amp;CX$28&amp;$CW59)</f>
        <v>0</v>
      </c>
      <c r="CY59" s="492" cm="1">
        <f t="array" aca="1" ref="CY59" ca="1">INDIRECT($DD$2&amp;CY$28&amp;$CW59)</f>
        <v>0</v>
      </c>
      <c r="CZ59" s="492" cm="1">
        <f t="array" aca="1" ref="CZ59" ca="1">INDIRECT($DD$2&amp;CZ$28&amp;$CW59)</f>
        <v>0</v>
      </c>
      <c r="DA59" s="492" cm="1">
        <f t="array" aca="1" ref="DA59" ca="1">INDIRECT($DD$2&amp;DA$28&amp;$CW59)</f>
        <v>0</v>
      </c>
      <c r="DB59" s="492" cm="1">
        <f t="array" aca="1" ref="DB59" ca="1">INDIRECT($DD$2&amp;DB$28&amp;$CW59)</f>
        <v>0</v>
      </c>
      <c r="DC59" s="492" cm="1">
        <f t="array" aca="1" ref="DC59" ca="1">INDIRECT($DD$2&amp;DC$28&amp;$CW59)</f>
        <v>0</v>
      </c>
      <c r="DD59" s="492" t="str">
        <f t="shared" ca="1" si="39"/>
        <v/>
      </c>
      <c r="DE59" s="492" t="str">
        <f t="shared" ca="1" si="40"/>
        <v/>
      </c>
      <c r="EQ59" s="469" t="s">
        <v>5510</v>
      </c>
      <c r="ES59" s="504"/>
      <c r="ET59" s="507"/>
      <c r="EU59" s="585">
        <v>60</v>
      </c>
      <c r="EW59" s="22" t="str" cm="1">
        <f t="array" aca="1" ref="EW59" ca="1">IF(INDIRECT($ET$31&amp;EU59)=0,"-",INDIRECT($ET$31&amp;EU59))</f>
        <v>-</v>
      </c>
      <c r="EX59" s="22" t="str" cm="1">
        <f t="array" aca="1" ref="EX59" ca="1">IF(INDIRECT($ET$32&amp;EU59)=0,"",INDIRECT($ET$32&amp;EU59))</f>
        <v/>
      </c>
      <c r="EY59" s="22" t="str" cm="1">
        <f t="array" aca="1" ref="EY59" ca="1">INDIRECT($ET$33&amp;EU59)</f>
        <v/>
      </c>
      <c r="EZ59" s="22" t="str" cm="1">
        <f t="array" aca="1" ref="EZ59" ca="1">IF(INDIRECT($ET$34&amp;EU59)=0,"",INDIRECT($ET$34&amp;EU59))</f>
        <v/>
      </c>
      <c r="FA59" s="22" t="str" cm="1">
        <f t="array" aca="1" ref="FA59" ca="1">IF(INDIRECT($ET$35&amp;EU59)=0,"",INDIRECT($ET$35&amp;EU59))</f>
        <v/>
      </c>
      <c r="FB59" s="22" t="str" cm="1">
        <f t="array" aca="1" ref="FB59" ca="1">IF(INDIRECT($ET$36&amp;EU59)=0,"",INDIRECT($ET$36&amp;EU59))</f>
        <v/>
      </c>
      <c r="FC59" s="22" t="str" cm="1">
        <f t="array" aca="1" ref="FC59" ca="1">IF(INDIRECT($ET$37&amp;EU59)=0,"",INDIRECT($ET$37&amp;EU59))</f>
        <v/>
      </c>
      <c r="GC59" s="472" t="s">
        <v>5510</v>
      </c>
      <c r="GD59" s="572"/>
      <c r="GE59" s="597">
        <v>22</v>
      </c>
      <c r="GF59" s="597" cm="1">
        <f t="array" aca="1" ref="GF59" ca="1">INDIRECT($GE$8&amp;GF$57&amp;$GE59,1)</f>
        <v>0</v>
      </c>
      <c r="GG59" s="597" cm="1">
        <f t="array" aca="1" ref="GG59" ca="1">INDIRECT($GE$8&amp;GG$57&amp;$GE59,1)</f>
        <v>0</v>
      </c>
      <c r="GH59" s="597" cm="1">
        <f t="array" aca="1" ref="GH59" ca="1">INDIRECT($GE$8&amp;GH$57&amp;$GE59,1)</f>
        <v>0</v>
      </c>
      <c r="GI59" s="601" t="b">
        <f>Respostas_usuario!AB24</f>
        <v>0</v>
      </c>
      <c r="GJ59" s="602" cm="1">
        <f t="array" aca="1" ref="GJ59" ca="1">INDIRECT($GE$9&amp;GF$57&amp;$GE59,1)</f>
        <v>0</v>
      </c>
      <c r="GK59" s="597" cm="1">
        <f t="array" aca="1" ref="GK59" ca="1">INDIRECT($GE$9&amp;GG$57&amp;$GE59,1)</f>
        <v>0</v>
      </c>
      <c r="GL59" s="597" cm="1">
        <f t="array" aca="1" ref="GL59" ca="1">INDIRECT($GE$9&amp;GH$57&amp;$GE59,1)</f>
        <v>0</v>
      </c>
      <c r="GM59" s="603" t="b">
        <f>Respostas_usuario!AC24</f>
        <v>0</v>
      </c>
      <c r="GO59" s="20" t="s">
        <v>8209</v>
      </c>
      <c r="GP59" s="634" t="s">
        <v>8210</v>
      </c>
      <c r="GQ59" s="572"/>
      <c r="GY59" s="492" t="str">
        <f t="shared" ca="1" si="42"/>
        <v/>
      </c>
      <c r="GZ59" s="495" t="str" cm="1">
        <f t="array" aca="1" ref="GZ59" ca="1">IFERROR(
IF(
AND(
 GY59&lt;&gt;"",
  ISERR(FIND(HA$31, $GY59)),
  ISERR(FIND(HB$31, $GY59)),
  ISERR(FIND(HC$31, $GY59))),
_xlfn.XLOOKUP(TRIM($GY59), tb_codigos_GHS_ABNT[Código], tb_codigos_GHS_ABNT[Código] &amp; ": " &amp; tb_codigos_GHS_ABNT[Frases de perigo]),
""),"-")</f>
        <v/>
      </c>
      <c r="HA59" s="495" t="str">
        <f t="shared" ca="1" si="43"/>
        <v/>
      </c>
      <c r="HB59" s="495" t="str">
        <f t="shared" ca="1" si="44"/>
        <v/>
      </c>
      <c r="HC59" s="495" t="str">
        <f t="shared" ca="1" si="45"/>
        <v/>
      </c>
      <c r="HD59" s="586"/>
      <c r="HE59" s="586"/>
      <c r="HF59" s="586" t="str" cm="1">
        <f t="array" ref="HF59">IFERROR(
IF(HE59&lt;&gt;"",_xlfn.XLOOKUP(HE59, tb_codigos_GHS_ABNT[Código], tb_codigos_GHS_ABNT[Código] &amp; ": " &amp; tb_codigos_GHS_ABNT[Frases de perigo]),
""),"Frase de perigo: -Erro-")</f>
        <v/>
      </c>
      <c r="HJ59" s="20" t="s">
        <v>8455</v>
      </c>
      <c r="HK59" s="20" t="s">
        <v>5831</v>
      </c>
      <c r="HL59" s="20" t="s">
        <v>8451</v>
      </c>
      <c r="HM59" s="20" t="s">
        <v>5829</v>
      </c>
      <c r="HN59" s="20" t="s">
        <v>8449</v>
      </c>
      <c r="HO59" s="20" t="str">
        <f>tb_codigos_GHS_ABNT[[#This Row],[Código]]&amp;": "&amp;tb_codigos_GHS_ABNT[[#This Row],[Frases de perigo]]</f>
        <v>H302: Nocivo se ingerido</v>
      </c>
    </row>
    <row r="60" spans="1:223" x14ac:dyDescent="0.25">
      <c r="A60" s="426" t="s">
        <v>5802</v>
      </c>
      <c r="B60" s="632" t="s">
        <v>5797</v>
      </c>
      <c r="C60" s="525" cm="1">
        <f t="array" aca="1" ref="C60" ca="1">INDIRECT(C$54&amp;$B60,1)</f>
        <v>0</v>
      </c>
      <c r="D60" s="525" cm="1">
        <f t="array" aca="1" ref="D60" ca="1">INDIRECT(D$54&amp;$B60,1)</f>
        <v>0</v>
      </c>
      <c r="F60" s="624" t="s">
        <v>8018</v>
      </c>
      <c r="G60" s="635" t="s">
        <v>8017</v>
      </c>
      <c r="H60" s="608"/>
      <c r="I60" s="608"/>
      <c r="J60" s="611"/>
      <c r="K60" s="623"/>
      <c r="L60" s="611"/>
      <c r="M60" s="611"/>
      <c r="AA60" s="496" t="str" cm="1">
        <f t="array" aca="1" ref="AA60" ca="1">IFERROR(
INDEX($E$4:$E$18,MATCH(0,INDEX(COUNTIF($AA$45:AA59,$E$4:$E$18),),)),"")</f>
        <v/>
      </c>
      <c r="AB60" s="496" t="str">
        <f t="shared" ca="1" si="56"/>
        <v/>
      </c>
      <c r="AC60" s="496" t="str">
        <f ca="1">IF(AB60="","",
IF((COUNTA(AB61:$AB$61)-COUNTIF(AB61:$AB$61,""))=0,AB60&amp;". ",AB60&amp;"; "))</f>
        <v/>
      </c>
      <c r="AD60" s="475"/>
      <c r="AV60" s="469" t="s">
        <v>5510</v>
      </c>
      <c r="BF60" s="469" t="s">
        <v>5510</v>
      </c>
      <c r="BG60" s="469">
        <v>3</v>
      </c>
      <c r="BH60" s="539" t="s">
        <v>8039</v>
      </c>
      <c r="BI60" s="539">
        <f t="shared" ref="BI60:BI69" si="62">BI59+1</f>
        <v>66</v>
      </c>
      <c r="BJ60" s="539" cm="1">
        <f t="array" aca="1" ref="BJ60" ca="1">INDIRECT($BM$2&amp;BJ$7&amp;$BI60,1)</f>
        <v>0</v>
      </c>
      <c r="BK60" s="539" cm="1">
        <f t="array" aca="1" ref="BK60" ca="1">INDIRECT($BM$2&amp;BK$7&amp;$BI60,1)</f>
        <v>0</v>
      </c>
      <c r="BL60" s="539" cm="1">
        <f t="array" aca="1" ref="BL60" ca="1">INDIRECT($BM$2&amp;BL$7&amp;$BI60,1)</f>
        <v>0</v>
      </c>
      <c r="BM60" s="539" cm="1">
        <f t="array" aca="1" ref="BM60" ca="1">INDIRECT($BM$2&amp;BM$7&amp;$BI60,1)</f>
        <v>0</v>
      </c>
      <c r="BN60" s="539" cm="1">
        <f t="array" aca="1" ref="BN60" ca="1">INDIRECT($BM$2&amp;BN$7&amp;$BI60,1)</f>
        <v>0</v>
      </c>
      <c r="BO60" s="539" t="str">
        <f t="shared" ca="1" si="59"/>
        <v>-</v>
      </c>
      <c r="BP60" s="494" t="s">
        <v>8222</v>
      </c>
      <c r="BQ60" s="20"/>
      <c r="BR60" s="469">
        <v>3</v>
      </c>
      <c r="BS60" s="539" t="s">
        <v>8039</v>
      </c>
      <c r="BT60" s="539">
        <f t="shared" ref="BT60:BT69" si="63">BT59+1</f>
        <v>412</v>
      </c>
      <c r="BU60" s="539" cm="1">
        <f t="array" aca="1" ref="BU60" ca="1">INDIRECT($BM$2&amp;BU$7&amp;$BT60,1)</f>
        <v>0</v>
      </c>
      <c r="BV60" s="539" cm="1">
        <f t="array" aca="1" ref="BV60" ca="1">INDIRECT($BM$2&amp;BV$7&amp;$BT60,1)</f>
        <v>0</v>
      </c>
      <c r="BW60" s="539" cm="1">
        <f t="array" aca="1" ref="BW60" ca="1">INDIRECT($BM$2&amp;BW$7&amp;$BT60,1)</f>
        <v>0</v>
      </c>
      <c r="BX60" s="539" cm="1">
        <f t="array" aca="1" ref="BX60" ca="1">INDIRECT($BM$2&amp;BX$7&amp;$BT60,1)</f>
        <v>0</v>
      </c>
      <c r="BY60" s="539" cm="1">
        <f t="array" aca="1" ref="BY60" ca="1">INDIRECT($BM$2&amp;BY$7&amp;$BT60,1)</f>
        <v>0</v>
      </c>
      <c r="BZ60" s="539" t="str">
        <f t="shared" ca="1" si="60"/>
        <v>-</v>
      </c>
      <c r="CA60" s="494" t="s">
        <v>8222</v>
      </c>
      <c r="CC60" s="469">
        <v>3</v>
      </c>
      <c r="CD60" s="539" t="s">
        <v>8039</v>
      </c>
      <c r="CE60" s="539">
        <f t="shared" ref="CE60:CE69" si="64">CE59+1</f>
        <v>758</v>
      </c>
      <c r="CF60" s="539" cm="1">
        <f t="array" aca="1" ref="CF60" ca="1">INDIRECT($BM$2&amp;CF$7&amp;$CE60,1)</f>
        <v>0</v>
      </c>
      <c r="CG60" s="539" cm="1">
        <f t="array" aca="1" ref="CG60" ca="1">INDIRECT($BM$2&amp;CG$7&amp;$CE60,1)</f>
        <v>0</v>
      </c>
      <c r="CH60" s="539" cm="1">
        <f t="array" aca="1" ref="CH60" ca="1">INDIRECT($BM$2&amp;CH$7&amp;$CE60,1)</f>
        <v>0</v>
      </c>
      <c r="CI60" s="539" cm="1">
        <f t="array" aca="1" ref="CI60" ca="1">INDIRECT($BM$2&amp;CI$7&amp;$CE60,1)</f>
        <v>0</v>
      </c>
      <c r="CJ60" s="539" cm="1">
        <f t="array" aca="1" ref="CJ60" ca="1">INDIRECT($BM$2&amp;CJ$7&amp;$CE60,1)</f>
        <v>0</v>
      </c>
      <c r="CK60" s="539" t="str">
        <f t="shared" ca="1" si="61"/>
        <v>-</v>
      </c>
      <c r="CL60" s="494" t="s">
        <v>8222</v>
      </c>
      <c r="CU60" s="469" t="s">
        <v>5510</v>
      </c>
      <c r="CV60" s="636">
        <v>1</v>
      </c>
      <c r="CW60" s="558">
        <f t="shared" si="41"/>
        <v>59</v>
      </c>
      <c r="CX60" s="492" cm="1">
        <f t="array" aca="1" ref="CX60" ca="1">INDIRECT($DD$2&amp;CX$28&amp;$CW60)</f>
        <v>0</v>
      </c>
      <c r="CY60" s="492" cm="1">
        <f t="array" aca="1" ref="CY60" ca="1">INDIRECT($DD$2&amp;CY$28&amp;$CW60)</f>
        <v>0</v>
      </c>
      <c r="CZ60" s="492" cm="1">
        <f t="array" aca="1" ref="CZ60" ca="1">INDIRECT($DD$2&amp;CZ$28&amp;$CW60)</f>
        <v>0</v>
      </c>
      <c r="DA60" s="492" cm="1">
        <f t="array" aca="1" ref="DA60" ca="1">INDIRECT($DD$2&amp;DA$28&amp;$CW60)</f>
        <v>0</v>
      </c>
      <c r="DB60" s="492" cm="1">
        <f t="array" aca="1" ref="DB60" ca="1">INDIRECT($DD$2&amp;DB$28&amp;$CW60)</f>
        <v>0</v>
      </c>
      <c r="DC60" s="492" cm="1">
        <f t="array" aca="1" ref="DC60" ca="1">INDIRECT($DD$2&amp;DC$28&amp;$CW60)</f>
        <v>0</v>
      </c>
      <c r="DD60" s="492" t="str">
        <f t="shared" ca="1" si="39"/>
        <v/>
      </c>
      <c r="DE60" s="492" t="str">
        <f t="shared" ca="1" si="40"/>
        <v/>
      </c>
      <c r="EQ60" s="469" t="s">
        <v>5510</v>
      </c>
      <c r="ES60" s="504"/>
      <c r="ET60" s="507"/>
      <c r="EU60" s="585">
        <v>61</v>
      </c>
      <c r="EW60" s="22" t="str" cm="1">
        <f t="array" aca="1" ref="EW60" ca="1">IF(INDIRECT($ET$31&amp;EU60)=0,"-",INDIRECT($ET$31&amp;EU60))</f>
        <v>-</v>
      </c>
      <c r="EX60" s="22" t="str" cm="1">
        <f t="array" aca="1" ref="EX60" ca="1">IF(INDIRECT($ET$32&amp;EU60)=0,"",INDIRECT($ET$32&amp;EU60))</f>
        <v/>
      </c>
      <c r="EY60" s="22" t="str" cm="1">
        <f t="array" aca="1" ref="EY60" ca="1">INDIRECT($ET$33&amp;EU60)</f>
        <v/>
      </c>
      <c r="EZ60" s="22" t="str" cm="1">
        <f t="array" aca="1" ref="EZ60" ca="1">IF(INDIRECT($ET$34&amp;EU60)=0,"",INDIRECT($ET$34&amp;EU60))</f>
        <v/>
      </c>
      <c r="FA60" s="22" t="str" cm="1">
        <f t="array" aca="1" ref="FA60" ca="1">IF(INDIRECT($ET$35&amp;EU60)=0,"",INDIRECT($ET$35&amp;EU60))</f>
        <v/>
      </c>
      <c r="FB60" s="22" t="str" cm="1">
        <f t="array" aca="1" ref="FB60" ca="1">IF(INDIRECT($ET$36&amp;EU60)=0,"",INDIRECT($ET$36&amp;EU60))</f>
        <v/>
      </c>
      <c r="FC60" s="22" t="str" cm="1">
        <f t="array" aca="1" ref="FC60" ca="1">IF(INDIRECT($ET$37&amp;EU60)=0,"",INDIRECT($ET$37&amp;EU60))</f>
        <v/>
      </c>
      <c r="GC60" s="472" t="s">
        <v>5510</v>
      </c>
      <c r="GE60" s="597">
        <v>23</v>
      </c>
      <c r="GF60" s="597" cm="1">
        <f t="array" aca="1" ref="GF60" ca="1">INDIRECT($GE$8&amp;GF$57&amp;$GE60,1)</f>
        <v>0</v>
      </c>
      <c r="GG60" s="597" cm="1">
        <f t="array" aca="1" ref="GG60" ca="1">INDIRECT($GE$8&amp;GG$57&amp;$GE60,1)</f>
        <v>0</v>
      </c>
      <c r="GH60" s="597" cm="1">
        <f t="array" aca="1" ref="GH60" ca="1">INDIRECT($GE$8&amp;GH$57&amp;$GE60,1)</f>
        <v>0</v>
      </c>
      <c r="GI60" s="601" t="b">
        <f>Respostas_usuario!AB25</f>
        <v>0</v>
      </c>
      <c r="GJ60" s="602" cm="1">
        <f t="array" aca="1" ref="GJ60" ca="1">INDIRECT($GE$9&amp;GF$57&amp;$GE60,1)</f>
        <v>0</v>
      </c>
      <c r="GK60" s="597" cm="1">
        <f t="array" aca="1" ref="GK60" ca="1">INDIRECT($GE$9&amp;GG$57&amp;$GE60,1)</f>
        <v>0</v>
      </c>
      <c r="GL60" s="597" cm="1">
        <f t="array" aca="1" ref="GL60" ca="1">INDIRECT($GE$9&amp;GH$57&amp;$GE60,1)</f>
        <v>0</v>
      </c>
      <c r="GM60" s="603" t="b">
        <f>Respostas_usuario!AC25</f>
        <v>0</v>
      </c>
      <c r="GY60" s="492" t="str">
        <f t="shared" ca="1" si="42"/>
        <v/>
      </c>
      <c r="GZ60" s="495" t="str" cm="1">
        <f t="array" aca="1" ref="GZ60" ca="1">IFERROR(
IF(
AND(
 GY60&lt;&gt;"",
  ISERR(FIND(HA$31, $GY60)),
  ISERR(FIND(HB$31, $GY60)),
  ISERR(FIND(HC$31, $GY60))),
_xlfn.XLOOKUP(TRIM($GY60), tb_codigos_GHS_ABNT[Código], tb_codigos_GHS_ABNT[Código] &amp; ": " &amp; tb_codigos_GHS_ABNT[Frases de perigo]),
""),"-")</f>
        <v/>
      </c>
      <c r="HA60" s="495" t="str">
        <f t="shared" ca="1" si="43"/>
        <v/>
      </c>
      <c r="HB60" s="495" t="str">
        <f t="shared" ca="1" si="44"/>
        <v/>
      </c>
      <c r="HC60" s="495" t="str">
        <f t="shared" ca="1" si="45"/>
        <v/>
      </c>
      <c r="HD60" s="586"/>
      <c r="HE60" s="586"/>
      <c r="HF60" s="586" t="str" cm="1">
        <f t="array" ref="HF60">IFERROR(
IF(HE60&lt;&gt;"",_xlfn.XLOOKUP(HE60, tb_codigos_GHS_ABNT[Código], tb_codigos_GHS_ABNT[Código] &amp; ": " &amp; tb_codigos_GHS_ABNT[Frases de perigo]),
""),"Frase de perigo: -Erro-")</f>
        <v/>
      </c>
      <c r="HJ60" s="20" t="s">
        <v>8456</v>
      </c>
      <c r="HK60" s="20" t="s">
        <v>5834</v>
      </c>
      <c r="HL60" s="20" t="s">
        <v>8451</v>
      </c>
      <c r="HM60" s="20" t="s">
        <v>5832</v>
      </c>
      <c r="HO60" s="20" t="str">
        <f>tb_codigos_GHS_ABNT[[#This Row],[Código]]&amp;": "&amp;tb_codigos_GHS_ABNT[[#This Row],[Frases de perigo]]</f>
        <v>H303: Pode ser nocivo se ingerido</v>
      </c>
    </row>
    <row r="61" spans="1:223" x14ac:dyDescent="0.25">
      <c r="B61" s="637" t="s">
        <v>7053</v>
      </c>
      <c r="C61" s="638">
        <f ca="1">LARGE(C56:C60,1)</f>
        <v>0</v>
      </c>
      <c r="D61" s="638">
        <f ca="1">LARGE(D56:D60,1)</f>
        <v>0</v>
      </c>
      <c r="F61" s="608"/>
      <c r="G61" s="608"/>
      <c r="H61" s="608"/>
      <c r="I61" s="608"/>
      <c r="J61" s="611"/>
      <c r="K61" s="623"/>
      <c r="L61" s="611"/>
      <c r="M61" s="611"/>
      <c r="AA61" s="496" t="str" cm="1">
        <f t="array" aca="1" ref="AA61" ca="1">IFERROR(
INDEX($E$4:$E$18,MATCH(0,INDEX(COUNTIF($AA$45:AA60,$E$4:$E$18),),)),"")</f>
        <v/>
      </c>
      <c r="AB61" s="496" t="str">
        <f t="shared" ca="1" si="56"/>
        <v/>
      </c>
      <c r="AC61" s="496" t="str">
        <f ca="1">IF(AB61="","",
IF((COUNTA(AB$61:$AB62)-COUNTIF(AB$61:$AB62,""))=0,AB61&amp;". ",AB61&amp;"; "))</f>
        <v/>
      </c>
      <c r="AD61" s="475"/>
      <c r="AV61" s="469" t="s">
        <v>5510</v>
      </c>
      <c r="BF61" s="469" t="s">
        <v>5510</v>
      </c>
      <c r="BG61" s="469">
        <v>4</v>
      </c>
      <c r="BH61" s="539" t="s">
        <v>8039</v>
      </c>
      <c r="BI61" s="539">
        <f t="shared" si="62"/>
        <v>67</v>
      </c>
      <c r="BJ61" s="539" cm="1">
        <f t="array" aca="1" ref="BJ61" ca="1">INDIRECT($BM$2&amp;BJ$7&amp;$BI61,1)</f>
        <v>0</v>
      </c>
      <c r="BK61" s="539" cm="1">
        <f t="array" aca="1" ref="BK61" ca="1">INDIRECT($BM$2&amp;BK$7&amp;$BI61,1)</f>
        <v>0</v>
      </c>
      <c r="BL61" s="539" cm="1">
        <f t="array" aca="1" ref="BL61" ca="1">INDIRECT($BM$2&amp;BL$7&amp;$BI61,1)</f>
        <v>0</v>
      </c>
      <c r="BM61" s="539" cm="1">
        <f t="array" aca="1" ref="BM61" ca="1">INDIRECT($BM$2&amp;BM$7&amp;$BI61,1)</f>
        <v>0</v>
      </c>
      <c r="BN61" s="539" cm="1">
        <f t="array" aca="1" ref="BN61" ca="1">INDIRECT($BM$2&amp;BN$7&amp;$BI61,1)</f>
        <v>0</v>
      </c>
      <c r="BO61" s="539" t="str">
        <f t="shared" ca="1" si="59"/>
        <v>-</v>
      </c>
      <c r="BP61" s="494" t="s">
        <v>8222</v>
      </c>
      <c r="BQ61" s="20"/>
      <c r="BR61" s="469">
        <v>4</v>
      </c>
      <c r="BS61" s="539" t="s">
        <v>8039</v>
      </c>
      <c r="BT61" s="539">
        <f t="shared" si="63"/>
        <v>413</v>
      </c>
      <c r="BU61" s="539" cm="1">
        <f t="array" aca="1" ref="BU61" ca="1">INDIRECT($BM$2&amp;BU$7&amp;$BT61,1)</f>
        <v>0</v>
      </c>
      <c r="BV61" s="539" cm="1">
        <f t="array" aca="1" ref="BV61" ca="1">INDIRECT($BM$2&amp;BV$7&amp;$BT61,1)</f>
        <v>0</v>
      </c>
      <c r="BW61" s="539" cm="1">
        <f t="array" aca="1" ref="BW61" ca="1">INDIRECT($BM$2&amp;BW$7&amp;$BT61,1)</f>
        <v>0</v>
      </c>
      <c r="BX61" s="539" cm="1">
        <f t="array" aca="1" ref="BX61" ca="1">INDIRECT($BM$2&amp;BX$7&amp;$BT61,1)</f>
        <v>0</v>
      </c>
      <c r="BY61" s="539" cm="1">
        <f t="array" aca="1" ref="BY61" ca="1">INDIRECT($BM$2&amp;BY$7&amp;$BT61,1)</f>
        <v>0</v>
      </c>
      <c r="BZ61" s="539" t="str">
        <f t="shared" ca="1" si="60"/>
        <v>-</v>
      </c>
      <c r="CA61" s="494" t="s">
        <v>8222</v>
      </c>
      <c r="CC61" s="469">
        <v>4</v>
      </c>
      <c r="CD61" s="539" t="s">
        <v>8039</v>
      </c>
      <c r="CE61" s="539">
        <f t="shared" si="64"/>
        <v>759</v>
      </c>
      <c r="CF61" s="539" cm="1">
        <f t="array" aca="1" ref="CF61" ca="1">INDIRECT($BM$2&amp;CF$7&amp;$CE61,1)</f>
        <v>0</v>
      </c>
      <c r="CG61" s="539" cm="1">
        <f t="array" aca="1" ref="CG61" ca="1">INDIRECT($BM$2&amp;CG$7&amp;$CE61,1)</f>
        <v>0</v>
      </c>
      <c r="CH61" s="539" cm="1">
        <f t="array" aca="1" ref="CH61" ca="1">INDIRECT($BM$2&amp;CH$7&amp;$CE61,1)</f>
        <v>0</v>
      </c>
      <c r="CI61" s="539" cm="1">
        <f t="array" aca="1" ref="CI61" ca="1">INDIRECT($BM$2&amp;CI$7&amp;$CE61,1)</f>
        <v>0</v>
      </c>
      <c r="CJ61" s="539" cm="1">
        <f t="array" aca="1" ref="CJ61" ca="1">INDIRECT($BM$2&amp;CJ$7&amp;$CE61,1)</f>
        <v>0</v>
      </c>
      <c r="CK61" s="539" t="str">
        <f t="shared" ca="1" si="61"/>
        <v>-</v>
      </c>
      <c r="CL61" s="494" t="s">
        <v>8222</v>
      </c>
      <c r="CU61" s="469" t="s">
        <v>5510</v>
      </c>
      <c r="CV61" s="22">
        <v>2</v>
      </c>
      <c r="CW61" s="522">
        <f t="shared" si="41"/>
        <v>67</v>
      </c>
      <c r="CX61" s="22" cm="1">
        <f t="array" aca="1" ref="CX61" ca="1">INDIRECT($DD$2&amp;CX$28&amp;$CW61)</f>
        <v>0</v>
      </c>
      <c r="CY61" s="22" cm="1">
        <f t="array" aca="1" ref="CY61" ca="1">INDIRECT($DD$2&amp;CY$28&amp;$CW61)</f>
        <v>0</v>
      </c>
      <c r="CZ61" s="22" cm="1">
        <f t="array" aca="1" ref="CZ61" ca="1">INDIRECT($DD$2&amp;CZ$28&amp;$CW61)</f>
        <v>0</v>
      </c>
      <c r="DA61" s="22" cm="1">
        <f t="array" aca="1" ref="DA61" ca="1">INDIRECT($DD$2&amp;DA$28&amp;$CW61)</f>
        <v>0</v>
      </c>
      <c r="DB61" s="22" cm="1">
        <f t="array" aca="1" ref="DB61" ca="1">INDIRECT($DD$2&amp;DB$28&amp;$CW61)</f>
        <v>0</v>
      </c>
      <c r="DC61" s="22" cm="1">
        <f t="array" aca="1" ref="DC61" ca="1">INDIRECT($DD$2&amp;DC$28&amp;$CW61)</f>
        <v>0</v>
      </c>
      <c r="DD61" s="22" t="str">
        <f t="shared" ca="1" si="39"/>
        <v/>
      </c>
      <c r="DE61" s="22" t="str">
        <f t="shared" ca="1" si="40"/>
        <v/>
      </c>
      <c r="EQ61" s="469" t="s">
        <v>5510</v>
      </c>
      <c r="ES61" s="504"/>
      <c r="ET61" s="507"/>
      <c r="EU61" s="585">
        <v>62</v>
      </c>
      <c r="EW61" s="22" t="str" cm="1">
        <f t="array" aca="1" ref="EW61" ca="1">IF(INDIRECT($ET$31&amp;EU61)=0,"-",INDIRECT($ET$31&amp;EU61))</f>
        <v>-</v>
      </c>
      <c r="EX61" s="22" t="str" cm="1">
        <f t="array" aca="1" ref="EX61" ca="1">IF(INDIRECT($ET$32&amp;EU61)=0,"",INDIRECT($ET$32&amp;EU61))</f>
        <v/>
      </c>
      <c r="EY61" s="22" t="str" cm="1">
        <f t="array" aca="1" ref="EY61" ca="1">INDIRECT($ET$33&amp;EU61)</f>
        <v/>
      </c>
      <c r="EZ61" s="22" t="str" cm="1">
        <f t="array" aca="1" ref="EZ61" ca="1">IF(INDIRECT($ET$34&amp;EU61)=0,"",INDIRECT($ET$34&amp;EU61))</f>
        <v/>
      </c>
      <c r="FA61" s="22" t="str" cm="1">
        <f t="array" aca="1" ref="FA61" ca="1">IF(INDIRECT($ET$35&amp;EU61)=0,"",INDIRECT($ET$35&amp;EU61))</f>
        <v/>
      </c>
      <c r="FB61" s="22" t="str" cm="1">
        <f t="array" aca="1" ref="FB61" ca="1">IF(INDIRECT($ET$36&amp;EU61)=0,"",INDIRECT($ET$36&amp;EU61))</f>
        <v/>
      </c>
      <c r="FC61" s="22" t="str" cm="1">
        <f t="array" aca="1" ref="FC61" ca="1">IF(INDIRECT($ET$37&amp;EU61)=0,"",INDIRECT($ET$37&amp;EU61))</f>
        <v/>
      </c>
      <c r="GC61" s="472" t="s">
        <v>5510</v>
      </c>
      <c r="GE61" s="597">
        <v>24</v>
      </c>
      <c r="GF61" s="597" cm="1">
        <f t="array" aca="1" ref="GF61" ca="1">INDIRECT($GE$8&amp;GF$57&amp;$GE61,1)</f>
        <v>0</v>
      </c>
      <c r="GG61" s="597" cm="1">
        <f t="array" aca="1" ref="GG61" ca="1">INDIRECT($GE$8&amp;GG$57&amp;$GE61,1)</f>
        <v>0</v>
      </c>
      <c r="GH61" s="597" cm="1">
        <f t="array" aca="1" ref="GH61" ca="1">INDIRECT($GE$8&amp;GH$57&amp;$GE61,1)</f>
        <v>0</v>
      </c>
      <c r="GI61" s="601" t="b">
        <f>Respostas_usuario!AB26</f>
        <v>0</v>
      </c>
      <c r="GJ61" s="602" cm="1">
        <f t="array" aca="1" ref="GJ61" ca="1">INDIRECT($GE$9&amp;GF$57&amp;$GE61,1)</f>
        <v>0</v>
      </c>
      <c r="GK61" s="597" cm="1">
        <f t="array" aca="1" ref="GK61" ca="1">INDIRECT($GE$9&amp;GG$57&amp;$GE61,1)</f>
        <v>0</v>
      </c>
      <c r="GL61" s="597" cm="1">
        <f t="array" aca="1" ref="GL61" ca="1">INDIRECT($GE$9&amp;GH$57&amp;$GE61,1)</f>
        <v>0</v>
      </c>
      <c r="GM61" s="603" t="b">
        <f>Respostas_usuario!AC26</f>
        <v>0</v>
      </c>
      <c r="GP61" s="477" t="s">
        <v>6024</v>
      </c>
      <c r="GQ61" s="477" t="s">
        <v>8230</v>
      </c>
      <c r="GY61" s="492" t="str">
        <f t="shared" ca="1" si="42"/>
        <v/>
      </c>
      <c r="GZ61" s="495" t="str" cm="1">
        <f t="array" aca="1" ref="GZ61" ca="1">IFERROR(
IF(
AND(
 GY61&lt;&gt;"",
  ISERR(FIND(HA$31, $GY61)),
  ISERR(FIND(HB$31, $GY61)),
  ISERR(FIND(HC$31, $GY61))),
_xlfn.XLOOKUP(TRIM($GY61), tb_codigos_GHS_ABNT[Código], tb_codigos_GHS_ABNT[Código] &amp; ": " &amp; tb_codigos_GHS_ABNT[Frases de perigo]),
""),"-")</f>
        <v/>
      </c>
      <c r="HA61" s="495" t="str">
        <f t="shared" ca="1" si="43"/>
        <v/>
      </c>
      <c r="HB61" s="495" t="str">
        <f t="shared" ca="1" si="44"/>
        <v/>
      </c>
      <c r="HC61" s="495" t="str">
        <f t="shared" ca="1" si="45"/>
        <v/>
      </c>
      <c r="HD61" s="586"/>
      <c r="HE61" s="586"/>
      <c r="HF61" s="586" t="str" cm="1">
        <f t="array" ref="HF61">IFERROR(
IF(HE61&lt;&gt;"",_xlfn.XLOOKUP(HE61, tb_codigos_GHS_ABNT[Código], tb_codigos_GHS_ABNT[Código] &amp; ": " &amp; tb_codigos_GHS_ABNT[Frases de perigo]),
""),"Frase de perigo: -Erro-")</f>
        <v/>
      </c>
      <c r="HJ61" s="20" t="s">
        <v>8457</v>
      </c>
      <c r="HK61" s="20" t="s">
        <v>8458</v>
      </c>
      <c r="HL61" s="20" t="s">
        <v>8459</v>
      </c>
      <c r="HM61" s="20" t="s">
        <v>5821</v>
      </c>
      <c r="HN61" s="20" t="s">
        <v>8448</v>
      </c>
      <c r="HO61" s="20" t="str">
        <f>tb_codigos_GHS_ABNT[[#This Row],[Código]]&amp;": "&amp;tb_codigos_GHS_ABNT[[#This Row],[Frases de perigo]]</f>
        <v>H304: Pode ser fatal se ingerido e penetrar nas vias respiratórias</v>
      </c>
    </row>
    <row r="62" spans="1:223" x14ac:dyDescent="0.25">
      <c r="B62" s="632" t="s">
        <v>18</v>
      </c>
      <c r="C62" s="525" t="str">
        <f ca="1">IFERROR(IF(C60=$A$48,
       IF(C61&gt;=$B$48,$B$68,$B$67),
       IF(C61&gt;=$B$49,$B$68,$B$67)),
"-")</f>
        <v>Negativo</v>
      </c>
      <c r="D62" s="525" t="str">
        <f ca="1">IFERROR(IF(D60=$A$48,
       IF(D61&gt;=$B$48,$B$68,$B$67),
       IF(D61&gt;=$B$49,$B$68,$B$67)),
"-")</f>
        <v>Negativo</v>
      </c>
      <c r="J62" s="472"/>
      <c r="K62" s="372"/>
      <c r="L62" s="472"/>
      <c r="M62" s="472"/>
      <c r="AA62" s="639"/>
      <c r="AB62" s="639"/>
      <c r="AC62" s="639"/>
      <c r="AD62" s="475"/>
      <c r="AV62" s="469" t="s">
        <v>5510</v>
      </c>
      <c r="BF62" s="469" t="s">
        <v>5510</v>
      </c>
      <c r="BG62" s="469">
        <v>5</v>
      </c>
      <c r="BH62" s="539" t="s">
        <v>8039</v>
      </c>
      <c r="BI62" s="539">
        <f t="shared" si="62"/>
        <v>68</v>
      </c>
      <c r="BJ62" s="539" cm="1">
        <f t="array" aca="1" ref="BJ62" ca="1">INDIRECT($BM$2&amp;BJ$7&amp;$BI62,1)</f>
        <v>0</v>
      </c>
      <c r="BK62" s="539" cm="1">
        <f t="array" aca="1" ref="BK62" ca="1">INDIRECT($BM$2&amp;BK$7&amp;$BI62,1)</f>
        <v>0</v>
      </c>
      <c r="BL62" s="539" cm="1">
        <f t="array" aca="1" ref="BL62" ca="1">INDIRECT($BM$2&amp;BL$7&amp;$BI62,1)</f>
        <v>0</v>
      </c>
      <c r="BM62" s="539" cm="1">
        <f t="array" aca="1" ref="BM62" ca="1">INDIRECT($BM$2&amp;BM$7&amp;$BI62,1)</f>
        <v>0</v>
      </c>
      <c r="BN62" s="539" cm="1">
        <f t="array" aca="1" ref="BN62" ca="1">INDIRECT($BM$2&amp;BN$7&amp;$BI62,1)</f>
        <v>0</v>
      </c>
      <c r="BO62" s="539" t="str">
        <f t="shared" ca="1" si="59"/>
        <v>-</v>
      </c>
      <c r="BP62" s="494" t="s">
        <v>8222</v>
      </c>
      <c r="BQ62" s="20"/>
      <c r="BR62" s="469">
        <v>5</v>
      </c>
      <c r="BS62" s="539" t="s">
        <v>8039</v>
      </c>
      <c r="BT62" s="539">
        <f t="shared" si="63"/>
        <v>414</v>
      </c>
      <c r="BU62" s="539" cm="1">
        <f t="array" aca="1" ref="BU62" ca="1">INDIRECT($BM$2&amp;BU$7&amp;$BT62,1)</f>
        <v>0</v>
      </c>
      <c r="BV62" s="539" cm="1">
        <f t="array" aca="1" ref="BV62" ca="1">INDIRECT($BM$2&amp;BV$7&amp;$BT62,1)</f>
        <v>0</v>
      </c>
      <c r="BW62" s="539" cm="1">
        <f t="array" aca="1" ref="BW62" ca="1">INDIRECT($BM$2&amp;BW$7&amp;$BT62,1)</f>
        <v>0</v>
      </c>
      <c r="BX62" s="539" cm="1">
        <f t="array" aca="1" ref="BX62" ca="1">INDIRECT($BM$2&amp;BX$7&amp;$BT62,1)</f>
        <v>0</v>
      </c>
      <c r="BY62" s="539" cm="1">
        <f t="array" aca="1" ref="BY62" ca="1">INDIRECT($BM$2&amp;BY$7&amp;$BT62,1)</f>
        <v>0</v>
      </c>
      <c r="BZ62" s="539" t="str">
        <f t="shared" ca="1" si="60"/>
        <v>-</v>
      </c>
      <c r="CA62" s="494" t="s">
        <v>8222</v>
      </c>
      <c r="CC62" s="469">
        <v>5</v>
      </c>
      <c r="CD62" s="539" t="s">
        <v>8039</v>
      </c>
      <c r="CE62" s="539">
        <f t="shared" si="64"/>
        <v>760</v>
      </c>
      <c r="CF62" s="539" cm="1">
        <f t="array" aca="1" ref="CF62" ca="1">INDIRECT($BM$2&amp;CF$7&amp;$CE62,1)</f>
        <v>0</v>
      </c>
      <c r="CG62" s="539" cm="1">
        <f t="array" aca="1" ref="CG62" ca="1">INDIRECT($BM$2&amp;CG$7&amp;$CE62,1)</f>
        <v>0</v>
      </c>
      <c r="CH62" s="539" cm="1">
        <f t="array" aca="1" ref="CH62" ca="1">INDIRECT($BM$2&amp;CH$7&amp;$CE62,1)</f>
        <v>0</v>
      </c>
      <c r="CI62" s="539" cm="1">
        <f t="array" aca="1" ref="CI62" ca="1">INDIRECT($BM$2&amp;CI$7&amp;$CE62,1)</f>
        <v>0</v>
      </c>
      <c r="CJ62" s="539" cm="1">
        <f t="array" aca="1" ref="CJ62" ca="1">INDIRECT($BM$2&amp;CJ$7&amp;$CE62,1)</f>
        <v>0</v>
      </c>
      <c r="CK62" s="539" t="str">
        <f t="shared" ca="1" si="61"/>
        <v>-</v>
      </c>
      <c r="CL62" s="494" t="s">
        <v>8222</v>
      </c>
      <c r="CU62" s="469" t="s">
        <v>5510</v>
      </c>
      <c r="CV62" s="22">
        <v>2</v>
      </c>
      <c r="CW62" s="522">
        <f t="shared" si="41"/>
        <v>68</v>
      </c>
      <c r="CX62" s="22" cm="1">
        <f t="array" aca="1" ref="CX62" ca="1">INDIRECT($DD$2&amp;CX$28&amp;$CW62)</f>
        <v>0</v>
      </c>
      <c r="CY62" s="22" cm="1">
        <f t="array" aca="1" ref="CY62" ca="1">INDIRECT($DD$2&amp;CY$28&amp;$CW62)</f>
        <v>0</v>
      </c>
      <c r="CZ62" s="22" cm="1">
        <f t="array" aca="1" ref="CZ62" ca="1">INDIRECT($DD$2&amp;CZ$28&amp;$CW62)</f>
        <v>0</v>
      </c>
      <c r="DA62" s="22" cm="1">
        <f t="array" aca="1" ref="DA62" ca="1">INDIRECT($DD$2&amp;DA$28&amp;$CW62)</f>
        <v>0</v>
      </c>
      <c r="DB62" s="22" cm="1">
        <f t="array" aca="1" ref="DB62" ca="1">INDIRECT($DD$2&amp;DB$28&amp;$CW62)</f>
        <v>0</v>
      </c>
      <c r="DC62" s="22" cm="1">
        <f t="array" aca="1" ref="DC62" ca="1">INDIRECT($DD$2&amp;DC$28&amp;$CW62)</f>
        <v>0</v>
      </c>
      <c r="DD62" s="22" t="str">
        <f t="shared" ca="1" si="39"/>
        <v/>
      </c>
      <c r="DE62" s="22" t="str">
        <f t="shared" ca="1" si="40"/>
        <v/>
      </c>
      <c r="EQ62" s="469" t="s">
        <v>5510</v>
      </c>
      <c r="ES62" s="504"/>
      <c r="ET62" s="507"/>
      <c r="EU62" s="585">
        <v>63</v>
      </c>
      <c r="EW62" s="22" t="str" cm="1">
        <f t="array" aca="1" ref="EW62" ca="1">IF(INDIRECT($ET$31&amp;EU62)=0,"-",INDIRECT($ET$31&amp;EU62))</f>
        <v>-</v>
      </c>
      <c r="EX62" s="22" t="str" cm="1">
        <f t="array" aca="1" ref="EX62" ca="1">IF(INDIRECT($ET$32&amp;EU62)=0,"",INDIRECT($ET$32&amp;EU62))</f>
        <v/>
      </c>
      <c r="EY62" s="22" t="str" cm="1">
        <f t="array" aca="1" ref="EY62" ca="1">INDIRECT($ET$33&amp;EU62)</f>
        <v/>
      </c>
      <c r="EZ62" s="22" t="str" cm="1">
        <f t="array" aca="1" ref="EZ62" ca="1">IF(INDIRECT($ET$34&amp;EU62)=0,"",INDIRECT($ET$34&amp;EU62))</f>
        <v/>
      </c>
      <c r="FA62" s="22" t="str" cm="1">
        <f t="array" aca="1" ref="FA62" ca="1">IF(INDIRECT($ET$35&amp;EU62)=0,"",INDIRECT($ET$35&amp;EU62))</f>
        <v/>
      </c>
      <c r="FB62" s="22" t="str" cm="1">
        <f t="array" aca="1" ref="FB62" ca="1">IF(INDIRECT($ET$36&amp;EU62)=0,"",INDIRECT($ET$36&amp;EU62))</f>
        <v/>
      </c>
      <c r="FC62" s="22" t="str" cm="1">
        <f t="array" aca="1" ref="FC62" ca="1">IF(INDIRECT($ET$37&amp;EU62)=0,"",INDIRECT($ET$37&amp;EU62))</f>
        <v/>
      </c>
      <c r="GC62" s="472" t="s">
        <v>5510</v>
      </c>
      <c r="GE62" s="597">
        <v>25</v>
      </c>
      <c r="GF62" s="597" cm="1">
        <f t="array" aca="1" ref="GF62" ca="1">INDIRECT($GE$8&amp;GF$57&amp;$GE62,1)</f>
        <v>0</v>
      </c>
      <c r="GG62" s="597" cm="1">
        <f t="array" aca="1" ref="GG62" ca="1">INDIRECT($GE$8&amp;GG$57&amp;$GE62,1)</f>
        <v>0</v>
      </c>
      <c r="GH62" s="597" cm="1">
        <f t="array" aca="1" ref="GH62" ca="1">INDIRECT($GE$8&amp;GH$57&amp;$GE62,1)</f>
        <v>0</v>
      </c>
      <c r="GI62" s="601" t="b">
        <f>Respostas_usuario!AB27</f>
        <v>0</v>
      </c>
      <c r="GJ62" s="602" cm="1">
        <f t="array" aca="1" ref="GJ62" ca="1">INDIRECT($GE$9&amp;GF$57&amp;$GE62,1)</f>
        <v>0</v>
      </c>
      <c r="GK62" s="597" cm="1">
        <f t="array" aca="1" ref="GK62" ca="1">INDIRECT($GE$9&amp;GG$57&amp;$GE62,1)</f>
        <v>0</v>
      </c>
      <c r="GL62" s="597" cm="1">
        <f t="array" aca="1" ref="GL62" ca="1">INDIRECT($GE$9&amp;GH$57&amp;$GE62,1)</f>
        <v>0</v>
      </c>
      <c r="GM62" s="603" t="b">
        <f>Respostas_usuario!AC27</f>
        <v>0</v>
      </c>
      <c r="GO62" s="477" t="s">
        <v>8206</v>
      </c>
      <c r="GP62" s="640" t="str">
        <f ca="1">IF(COUNTIF(INDIRECT($GE$14&amp;$GP$59),HN31)&gt;0,HN31,
 IF(COUNTIF(INDIRECT($GE$14&amp;$GP$59),HN32)&gt;0,HN32,
 IF(COUNTIF(INDIRECT($GE$14&amp;$GP$59),HN33)&gt;0,HN33,"-")))</f>
        <v>-</v>
      </c>
      <c r="GQ62" s="641">
        <f>IFERROR(
IF(GP65=TRUE,1,
IF(GP66=TRUE,2,
IF(GP67=TRUE,3,
IF(GP68=TRUE,4,
0)))),
"Erro")</f>
        <v>0</v>
      </c>
      <c r="GY62" s="492" t="str">
        <f t="shared" ca="1" si="42"/>
        <v/>
      </c>
      <c r="GZ62" s="495" t="str" cm="1">
        <f t="array" aca="1" ref="GZ62" ca="1">IFERROR(
IF(
AND(
 GY62&lt;&gt;"",
  ISERR(FIND(HA$31, $GY62)),
  ISERR(FIND(HB$31, $GY62)),
  ISERR(FIND(HC$31, $GY62))),
_xlfn.XLOOKUP(TRIM($GY62), tb_codigos_GHS_ABNT[Código], tb_codigos_GHS_ABNT[Código] &amp; ": " &amp; tb_codigos_GHS_ABNT[Frases de perigo]),
""),"-")</f>
        <v/>
      </c>
      <c r="HA62" s="495" t="str">
        <f t="shared" ca="1" si="43"/>
        <v/>
      </c>
      <c r="HB62" s="495" t="str">
        <f t="shared" ca="1" si="44"/>
        <v/>
      </c>
      <c r="HC62" s="495" t="str">
        <f t="shared" ca="1" si="45"/>
        <v/>
      </c>
      <c r="HD62" s="586"/>
      <c r="HE62" s="586"/>
      <c r="HF62" s="586" t="str" cm="1">
        <f t="array" ref="HF62">IFERROR(
IF(HE62&lt;&gt;"",_xlfn.XLOOKUP(HE62, tb_codigos_GHS_ABNT[Código], tb_codigos_GHS_ABNT[Código] &amp; ": " &amp; tb_codigos_GHS_ABNT[Frases de perigo]),
""),"Frase de perigo: -Erro-")</f>
        <v/>
      </c>
      <c r="HJ62" s="20" t="s">
        <v>8460</v>
      </c>
      <c r="HK62" s="20" t="s">
        <v>8458</v>
      </c>
      <c r="HL62" s="20" t="s">
        <v>8459</v>
      </c>
      <c r="HM62" s="20" t="s">
        <v>5824</v>
      </c>
      <c r="HN62" s="20" t="s">
        <v>8449</v>
      </c>
      <c r="HO62" s="20" t="str">
        <f>tb_codigos_GHS_ABNT[[#This Row],[Código]]&amp;": "&amp;tb_codigos_GHS_ABNT[[#This Row],[Frases de perigo]]</f>
        <v>H305: Pode ser fatal se ingerido e penetrar nas vias respiratórias</v>
      </c>
    </row>
    <row r="63" spans="1:223" x14ac:dyDescent="0.25">
      <c r="F63" s="608"/>
      <c r="G63" s="608"/>
      <c r="H63" s="608"/>
      <c r="I63" s="608"/>
      <c r="J63" s="611"/>
      <c r="K63" s="623"/>
      <c r="L63" s="611"/>
      <c r="M63" s="611"/>
      <c r="N63" s="20"/>
      <c r="AV63" s="469" t="s">
        <v>5510</v>
      </c>
      <c r="BF63" s="469" t="s">
        <v>5510</v>
      </c>
      <c r="BG63" s="469">
        <v>6</v>
      </c>
      <c r="BH63" s="539" t="s">
        <v>8039</v>
      </c>
      <c r="BI63" s="539">
        <f t="shared" si="62"/>
        <v>69</v>
      </c>
      <c r="BJ63" s="539" cm="1">
        <f t="array" aca="1" ref="BJ63" ca="1">INDIRECT($BM$2&amp;BJ$7&amp;$BI63,1)</f>
        <v>0</v>
      </c>
      <c r="BK63" s="539" cm="1">
        <f t="array" aca="1" ref="BK63" ca="1">INDIRECT($BM$2&amp;BK$7&amp;$BI63,1)</f>
        <v>0</v>
      </c>
      <c r="BL63" s="539" cm="1">
        <f t="array" aca="1" ref="BL63" ca="1">INDIRECT($BM$2&amp;BL$7&amp;$BI63,1)</f>
        <v>0</v>
      </c>
      <c r="BM63" s="539" cm="1">
        <f t="array" aca="1" ref="BM63" ca="1">INDIRECT($BM$2&amp;BM$7&amp;$BI63,1)</f>
        <v>0</v>
      </c>
      <c r="BN63" s="539" cm="1">
        <f t="array" aca="1" ref="BN63" ca="1">INDIRECT($BM$2&amp;BN$7&amp;$BI63,1)</f>
        <v>0</v>
      </c>
      <c r="BO63" s="539" t="str">
        <f t="shared" ca="1" si="59"/>
        <v>-</v>
      </c>
      <c r="BP63" s="494" t="s">
        <v>8222</v>
      </c>
      <c r="BQ63" s="20"/>
      <c r="BR63" s="469">
        <v>6</v>
      </c>
      <c r="BS63" s="539" t="s">
        <v>8039</v>
      </c>
      <c r="BT63" s="539">
        <f t="shared" si="63"/>
        <v>415</v>
      </c>
      <c r="BU63" s="539" cm="1">
        <f t="array" aca="1" ref="BU63" ca="1">INDIRECT($BM$2&amp;BU$7&amp;$BT63,1)</f>
        <v>0</v>
      </c>
      <c r="BV63" s="539" cm="1">
        <f t="array" aca="1" ref="BV63" ca="1">INDIRECT($BM$2&amp;BV$7&amp;$BT63,1)</f>
        <v>0</v>
      </c>
      <c r="BW63" s="539" cm="1">
        <f t="array" aca="1" ref="BW63" ca="1">INDIRECT($BM$2&amp;BW$7&amp;$BT63,1)</f>
        <v>0</v>
      </c>
      <c r="BX63" s="539" cm="1">
        <f t="array" aca="1" ref="BX63" ca="1">INDIRECT($BM$2&amp;BX$7&amp;$BT63,1)</f>
        <v>0</v>
      </c>
      <c r="BY63" s="539" cm="1">
        <f t="array" aca="1" ref="BY63" ca="1">INDIRECT($BM$2&amp;BY$7&amp;$BT63,1)</f>
        <v>0</v>
      </c>
      <c r="BZ63" s="539" t="str">
        <f t="shared" ca="1" si="60"/>
        <v>-</v>
      </c>
      <c r="CA63" s="494" t="s">
        <v>8222</v>
      </c>
      <c r="CC63" s="469">
        <v>6</v>
      </c>
      <c r="CD63" s="539" t="s">
        <v>8039</v>
      </c>
      <c r="CE63" s="539">
        <f t="shared" si="64"/>
        <v>761</v>
      </c>
      <c r="CF63" s="539" cm="1">
        <f t="array" aca="1" ref="CF63" ca="1">INDIRECT($BM$2&amp;CF$7&amp;$CE63,1)</f>
        <v>0</v>
      </c>
      <c r="CG63" s="539" cm="1">
        <f t="array" aca="1" ref="CG63" ca="1">INDIRECT($BM$2&amp;CG$7&amp;$CE63,1)</f>
        <v>0</v>
      </c>
      <c r="CH63" s="539" cm="1">
        <f t="array" aca="1" ref="CH63" ca="1">INDIRECT($BM$2&amp;CH$7&amp;$CE63,1)</f>
        <v>0</v>
      </c>
      <c r="CI63" s="539" cm="1">
        <f t="array" aca="1" ref="CI63" ca="1">INDIRECT($BM$2&amp;CI$7&amp;$CE63,1)</f>
        <v>0</v>
      </c>
      <c r="CJ63" s="539" cm="1">
        <f t="array" aca="1" ref="CJ63" ca="1">INDIRECT($BM$2&amp;CJ$7&amp;$CE63,1)</f>
        <v>0</v>
      </c>
      <c r="CK63" s="539" t="str">
        <f t="shared" ca="1" si="61"/>
        <v>-</v>
      </c>
      <c r="CL63" s="494" t="s">
        <v>8222</v>
      </c>
      <c r="CU63" s="469" t="s">
        <v>5510</v>
      </c>
      <c r="CV63" s="22">
        <v>2</v>
      </c>
      <c r="CW63" s="522">
        <f t="shared" si="41"/>
        <v>69</v>
      </c>
      <c r="CX63" s="22" cm="1">
        <f t="array" aca="1" ref="CX63" ca="1">INDIRECT($DD$2&amp;CX$28&amp;$CW63)</f>
        <v>0</v>
      </c>
      <c r="CY63" s="22" cm="1">
        <f t="array" aca="1" ref="CY63" ca="1">INDIRECT($DD$2&amp;CY$28&amp;$CW63)</f>
        <v>0</v>
      </c>
      <c r="CZ63" s="22" cm="1">
        <f t="array" aca="1" ref="CZ63" ca="1">INDIRECT($DD$2&amp;CZ$28&amp;$CW63)</f>
        <v>0</v>
      </c>
      <c r="DA63" s="22" cm="1">
        <f t="array" aca="1" ref="DA63" ca="1">INDIRECT($DD$2&amp;DA$28&amp;$CW63)</f>
        <v>0</v>
      </c>
      <c r="DB63" s="22" cm="1">
        <f t="array" aca="1" ref="DB63" ca="1">INDIRECT($DD$2&amp;DB$28&amp;$CW63)</f>
        <v>0</v>
      </c>
      <c r="DC63" s="22" cm="1">
        <f t="array" aca="1" ref="DC63" ca="1">INDIRECT($DD$2&amp;DC$28&amp;$CW63)</f>
        <v>0</v>
      </c>
      <c r="DD63" s="22" t="str">
        <f t="shared" ref="DD63:DD94" ca="1" si="65">IFERROR(DB63/CZ63,"")</f>
        <v/>
      </c>
      <c r="DE63" s="22" t="str">
        <f t="shared" ref="DE63:DE94" ca="1" si="66">IFERROR(DC63/DA63,"")</f>
        <v/>
      </c>
      <c r="EQ63" s="469" t="s">
        <v>5510</v>
      </c>
      <c r="ES63" s="504"/>
      <c r="ET63" s="507"/>
      <c r="EU63" s="585">
        <v>64</v>
      </c>
      <c r="EW63" s="22" t="str" cm="1">
        <f t="array" aca="1" ref="EW63" ca="1">IF(INDIRECT($ET$31&amp;EU63)=0,"-",INDIRECT($ET$31&amp;EU63))</f>
        <v>-</v>
      </c>
      <c r="EX63" s="22" t="str" cm="1">
        <f t="array" aca="1" ref="EX63" ca="1">IF(INDIRECT($ET$32&amp;EU63)=0,"",INDIRECT($ET$32&amp;EU63))</f>
        <v/>
      </c>
      <c r="EY63" s="22" t="str" cm="1">
        <f t="array" aca="1" ref="EY63" ca="1">INDIRECT($ET$33&amp;EU63)</f>
        <v/>
      </c>
      <c r="EZ63" s="22" t="str" cm="1">
        <f t="array" aca="1" ref="EZ63" ca="1">IF(INDIRECT($ET$34&amp;EU63)=0,"",INDIRECT($ET$34&amp;EU63))</f>
        <v/>
      </c>
      <c r="FA63" s="22" t="str" cm="1">
        <f t="array" aca="1" ref="FA63" ca="1">IF(INDIRECT($ET$35&amp;EU63)=0,"",INDIRECT($ET$35&amp;EU63))</f>
        <v/>
      </c>
      <c r="FB63" s="22" t="str" cm="1">
        <f t="array" aca="1" ref="FB63" ca="1">IF(INDIRECT($ET$36&amp;EU63)=0,"",INDIRECT($ET$36&amp;EU63))</f>
        <v/>
      </c>
      <c r="FC63" s="22" t="str" cm="1">
        <f t="array" aca="1" ref="FC63" ca="1">IF(INDIRECT($ET$37&amp;EU63)=0,"",INDIRECT($ET$37&amp;EU63))</f>
        <v/>
      </c>
      <c r="GC63" s="472" t="s">
        <v>5510</v>
      </c>
      <c r="GE63" s="597">
        <v>26</v>
      </c>
      <c r="GF63" s="597" cm="1">
        <f t="array" aca="1" ref="GF63" ca="1">INDIRECT($GE$8&amp;GF$57&amp;$GE63,1)</f>
        <v>0</v>
      </c>
      <c r="GG63" s="597" cm="1">
        <f t="array" aca="1" ref="GG63" ca="1">INDIRECT($GE$8&amp;GG$57&amp;$GE63,1)</f>
        <v>0</v>
      </c>
      <c r="GH63" s="597" cm="1">
        <f t="array" aca="1" ref="GH63" ca="1">INDIRECT($GE$8&amp;GH$57&amp;$GE63,1)</f>
        <v>0</v>
      </c>
      <c r="GI63" s="601" t="b">
        <f>Respostas_usuario!AB28</f>
        <v>0</v>
      </c>
      <c r="GJ63" s="602" cm="1">
        <f t="array" aca="1" ref="GJ63" ca="1">INDIRECT($GE$9&amp;GF$57&amp;$GE63,1)</f>
        <v>0</v>
      </c>
      <c r="GK63" s="597" cm="1">
        <f t="array" aca="1" ref="GK63" ca="1">INDIRECT($GE$9&amp;GG$57&amp;$GE63,1)</f>
        <v>0</v>
      </c>
      <c r="GL63" s="597" cm="1">
        <f t="array" aca="1" ref="GL63" ca="1">INDIRECT($GE$9&amp;GH$57&amp;$GE63,1)</f>
        <v>0</v>
      </c>
      <c r="GM63" s="603" t="b">
        <f>Respostas_usuario!AC28</f>
        <v>0</v>
      </c>
      <c r="GO63" s="477" t="s">
        <v>8211</v>
      </c>
      <c r="GP63" s="640" t="str">
        <f ca="1">IF(COUNTIF(INDIRECT($GE$15&amp;$GP$59),HN31)&gt;0,HN31,
 IF(COUNTIF(INDIRECT($GE$15&amp;$GP$59),HN32)&gt;0,HN32,
 IF(COUNTIF(INDIRECT($GE$15&amp;$GP$59),HN33)&gt;0,HN33,"-")))</f>
        <v>-</v>
      </c>
      <c r="GQ63" s="641">
        <f>IFERROR(IF(GR65=TRUE,1,
IF(GR66=TRUE,2,
IF(GR67=TRUE,3,
IF(GR68=TRUE,4,
0)))),
"Erro")</f>
        <v>0</v>
      </c>
      <c r="GY63" s="492" t="str">
        <f t="shared" ca="1" si="42"/>
        <v/>
      </c>
      <c r="GZ63" s="495" t="str" cm="1">
        <f t="array" aca="1" ref="GZ63" ca="1">IFERROR(
IF(
AND(
 GY63&lt;&gt;"",
  ISERR(FIND(HA$31, $GY63)),
  ISERR(FIND(HB$31, $GY63)),
  ISERR(FIND(HC$31, $GY63))),
_xlfn.XLOOKUP(TRIM($GY63), tb_codigos_GHS_ABNT[Código], tb_codigos_GHS_ABNT[Código] &amp; ": " &amp; tb_codigos_GHS_ABNT[Frases de perigo]),
""),"-")</f>
        <v/>
      </c>
      <c r="HA63" s="495" t="str">
        <f t="shared" ca="1" si="43"/>
        <v/>
      </c>
      <c r="HB63" s="495" t="str">
        <f t="shared" ca="1" si="44"/>
        <v/>
      </c>
      <c r="HC63" s="495" t="str">
        <f t="shared" ca="1" si="45"/>
        <v/>
      </c>
      <c r="HD63" s="586"/>
      <c r="HE63" s="586"/>
      <c r="HF63" s="586" t="str" cm="1">
        <f t="array" ref="HF63">IFERROR(
IF(HE63&lt;&gt;"",_xlfn.XLOOKUP(HE63, tb_codigos_GHS_ABNT[Código], tb_codigos_GHS_ABNT[Código] &amp; ": " &amp; tb_codigos_GHS_ABNT[Frases de perigo]),
""),"Frase de perigo: -Erro-")</f>
        <v/>
      </c>
      <c r="HJ63" s="20" t="s">
        <v>8461</v>
      </c>
      <c r="HK63" s="20" t="s">
        <v>5837</v>
      </c>
      <c r="HL63" s="20" t="s">
        <v>8462</v>
      </c>
      <c r="HM63" s="20" t="s">
        <v>8452</v>
      </c>
      <c r="HN63" s="20" t="s">
        <v>8448</v>
      </c>
      <c r="HO63" s="20" t="str">
        <f>tb_codigos_GHS_ABNT[[#This Row],[Código]]&amp;": "&amp;tb_codigos_GHS_ABNT[[#This Row],[Frases de perigo]]</f>
        <v>H310: Fatal em contato com a pele</v>
      </c>
    </row>
    <row r="64" spans="1:223" x14ac:dyDescent="0.25">
      <c r="F64" s="609" t="s">
        <v>5596</v>
      </c>
      <c r="G64" s="642" t="s">
        <v>5579</v>
      </c>
      <c r="H64" s="610"/>
      <c r="I64" s="608"/>
      <c r="J64" s="611"/>
      <c r="K64" s="623"/>
      <c r="L64" s="611"/>
      <c r="M64" s="611"/>
      <c r="N64" s="20"/>
      <c r="AV64" s="469" t="s">
        <v>5510</v>
      </c>
      <c r="BF64" s="469" t="s">
        <v>5510</v>
      </c>
      <c r="BG64" s="469">
        <v>7</v>
      </c>
      <c r="BH64" s="539" t="s">
        <v>8039</v>
      </c>
      <c r="BI64" s="539">
        <f t="shared" si="62"/>
        <v>70</v>
      </c>
      <c r="BJ64" s="539" cm="1">
        <f t="array" aca="1" ref="BJ64" ca="1">INDIRECT($BM$2&amp;BJ$7&amp;$BI64,1)</f>
        <v>0</v>
      </c>
      <c r="BK64" s="539" cm="1">
        <f t="array" aca="1" ref="BK64" ca="1">INDIRECT($BM$2&amp;BK$7&amp;$BI64,1)</f>
        <v>0</v>
      </c>
      <c r="BL64" s="539" cm="1">
        <f t="array" aca="1" ref="BL64" ca="1">INDIRECT($BM$2&amp;BL$7&amp;$BI64,1)</f>
        <v>0</v>
      </c>
      <c r="BM64" s="539" cm="1">
        <f t="array" aca="1" ref="BM64" ca="1">INDIRECT($BM$2&amp;BM$7&amp;$BI64,1)</f>
        <v>0</v>
      </c>
      <c r="BN64" s="539" cm="1">
        <f t="array" aca="1" ref="BN64" ca="1">INDIRECT($BM$2&amp;BN$7&amp;$BI64,1)</f>
        <v>0</v>
      </c>
      <c r="BO64" s="539" t="str">
        <f t="shared" ca="1" si="59"/>
        <v>-</v>
      </c>
      <c r="BP64" s="494" t="s">
        <v>8222</v>
      </c>
      <c r="BQ64" s="20"/>
      <c r="BR64" s="469">
        <v>7</v>
      </c>
      <c r="BS64" s="539" t="s">
        <v>8039</v>
      </c>
      <c r="BT64" s="539">
        <f t="shared" si="63"/>
        <v>416</v>
      </c>
      <c r="BU64" s="539" cm="1">
        <f t="array" aca="1" ref="BU64" ca="1">INDIRECT($BM$2&amp;BU$7&amp;$BT64,1)</f>
        <v>0</v>
      </c>
      <c r="BV64" s="539" cm="1">
        <f t="array" aca="1" ref="BV64" ca="1">INDIRECT($BM$2&amp;BV$7&amp;$BT64,1)</f>
        <v>0</v>
      </c>
      <c r="BW64" s="539" cm="1">
        <f t="array" aca="1" ref="BW64" ca="1">INDIRECT($BM$2&amp;BW$7&amp;$BT64,1)</f>
        <v>0</v>
      </c>
      <c r="BX64" s="539" cm="1">
        <f t="array" aca="1" ref="BX64" ca="1">INDIRECT($BM$2&amp;BX$7&amp;$BT64,1)</f>
        <v>0</v>
      </c>
      <c r="BY64" s="539" cm="1">
        <f t="array" aca="1" ref="BY64" ca="1">INDIRECT($BM$2&amp;BY$7&amp;$BT64,1)</f>
        <v>0</v>
      </c>
      <c r="BZ64" s="539" t="str">
        <f t="shared" ca="1" si="60"/>
        <v>-</v>
      </c>
      <c r="CA64" s="494" t="s">
        <v>8222</v>
      </c>
      <c r="CC64" s="469">
        <v>7</v>
      </c>
      <c r="CD64" s="539" t="s">
        <v>8039</v>
      </c>
      <c r="CE64" s="539">
        <f t="shared" si="64"/>
        <v>762</v>
      </c>
      <c r="CF64" s="539" cm="1">
        <f t="array" aca="1" ref="CF64" ca="1">INDIRECT($BM$2&amp;CF$7&amp;$CE64,1)</f>
        <v>0</v>
      </c>
      <c r="CG64" s="539" cm="1">
        <f t="array" aca="1" ref="CG64" ca="1">INDIRECT($BM$2&amp;CG$7&amp;$CE64,1)</f>
        <v>0</v>
      </c>
      <c r="CH64" s="539" cm="1">
        <f t="array" aca="1" ref="CH64" ca="1">INDIRECT($BM$2&amp;CH$7&amp;$CE64,1)</f>
        <v>0</v>
      </c>
      <c r="CI64" s="539" cm="1">
        <f t="array" aca="1" ref="CI64" ca="1">INDIRECT($BM$2&amp;CI$7&amp;$CE64,1)</f>
        <v>0</v>
      </c>
      <c r="CJ64" s="539" cm="1">
        <f t="array" aca="1" ref="CJ64" ca="1">INDIRECT($BM$2&amp;CJ$7&amp;$CE64,1)</f>
        <v>0</v>
      </c>
      <c r="CK64" s="539" t="str">
        <f t="shared" ca="1" si="61"/>
        <v>-</v>
      </c>
      <c r="CL64" s="494" t="s">
        <v>8222</v>
      </c>
      <c r="CU64" s="469" t="s">
        <v>5510</v>
      </c>
      <c r="CV64" s="22">
        <v>2</v>
      </c>
      <c r="CW64" s="522">
        <f t="shared" ref="CW64:CW95" si="67">IF(CV64=CV63,CW63+1,CW63+$DD$4)</f>
        <v>70</v>
      </c>
      <c r="CX64" s="22" cm="1">
        <f t="array" aca="1" ref="CX64" ca="1">INDIRECT($DD$2&amp;CX$28&amp;$CW64)</f>
        <v>0</v>
      </c>
      <c r="CY64" s="22" cm="1">
        <f t="array" aca="1" ref="CY64" ca="1">INDIRECT($DD$2&amp;CY$28&amp;$CW64)</f>
        <v>0</v>
      </c>
      <c r="CZ64" s="22" cm="1">
        <f t="array" aca="1" ref="CZ64" ca="1">INDIRECT($DD$2&amp;CZ$28&amp;$CW64)</f>
        <v>0</v>
      </c>
      <c r="DA64" s="22" cm="1">
        <f t="array" aca="1" ref="DA64" ca="1">INDIRECT($DD$2&amp;DA$28&amp;$CW64)</f>
        <v>0</v>
      </c>
      <c r="DB64" s="22" cm="1">
        <f t="array" aca="1" ref="DB64" ca="1">INDIRECT($DD$2&amp;DB$28&amp;$CW64)</f>
        <v>0</v>
      </c>
      <c r="DC64" s="22" cm="1">
        <f t="array" aca="1" ref="DC64" ca="1">INDIRECT($DD$2&amp;DC$28&amp;$CW64)</f>
        <v>0</v>
      </c>
      <c r="DD64" s="22" t="str">
        <f t="shared" ca="1" si="65"/>
        <v/>
      </c>
      <c r="DE64" s="22" t="str">
        <f t="shared" ca="1" si="66"/>
        <v/>
      </c>
      <c r="EQ64" s="469" t="s">
        <v>5510</v>
      </c>
      <c r="ES64" s="504"/>
      <c r="ET64" s="507"/>
      <c r="EU64" s="585">
        <v>65</v>
      </c>
      <c r="EW64" s="22" t="str" cm="1">
        <f t="array" aca="1" ref="EW64" ca="1">IF(INDIRECT($ET$31&amp;EU64)=0,"-",INDIRECT($ET$31&amp;EU64))</f>
        <v>-</v>
      </c>
      <c r="EX64" s="22" t="str" cm="1">
        <f t="array" aca="1" ref="EX64" ca="1">IF(INDIRECT($ET$32&amp;EU64)=0,"",INDIRECT($ET$32&amp;EU64))</f>
        <v/>
      </c>
      <c r="EY64" s="22" t="str" cm="1">
        <f t="array" aca="1" ref="EY64" ca="1">INDIRECT($ET$33&amp;EU64)</f>
        <v/>
      </c>
      <c r="EZ64" s="22" t="str" cm="1">
        <f t="array" aca="1" ref="EZ64" ca="1">IF(INDIRECT($ET$34&amp;EU64)=0,"",INDIRECT($ET$34&amp;EU64))</f>
        <v/>
      </c>
      <c r="FA64" s="22" t="str" cm="1">
        <f t="array" aca="1" ref="FA64" ca="1">IF(INDIRECT($ET$35&amp;EU64)=0,"",INDIRECT($ET$35&amp;EU64))</f>
        <v/>
      </c>
      <c r="FB64" s="22" t="str" cm="1">
        <f t="array" aca="1" ref="FB64" ca="1">IF(INDIRECT($ET$36&amp;EU64)=0,"",INDIRECT($ET$36&amp;EU64))</f>
        <v/>
      </c>
      <c r="FC64" s="22" t="str" cm="1">
        <f t="array" aca="1" ref="FC64" ca="1">IF(INDIRECT($ET$37&amp;EU64)=0,"",INDIRECT($ET$37&amp;EU64))</f>
        <v/>
      </c>
      <c r="GC64" s="472" t="s">
        <v>5510</v>
      </c>
      <c r="GE64" s="597">
        <v>27</v>
      </c>
      <c r="GF64" s="597" cm="1">
        <f t="array" aca="1" ref="GF64" ca="1">INDIRECT($GE$8&amp;GF$57&amp;$GE64,1)</f>
        <v>0</v>
      </c>
      <c r="GG64" s="597" cm="1">
        <f t="array" aca="1" ref="GG64" ca="1">INDIRECT($GE$8&amp;GG$57&amp;$GE64,1)</f>
        <v>0</v>
      </c>
      <c r="GH64" s="597" cm="1">
        <f t="array" aca="1" ref="GH64" ca="1">INDIRECT($GE$8&amp;GH$57&amp;$GE64,1)</f>
        <v>0</v>
      </c>
      <c r="GI64" s="601" t="b">
        <f>Respostas_usuario!AB29</f>
        <v>0</v>
      </c>
      <c r="GJ64" s="602" cm="1">
        <f t="array" aca="1" ref="GJ64" ca="1">INDIRECT($GE$9&amp;GF$57&amp;$GE64,1)</f>
        <v>0</v>
      </c>
      <c r="GK64" s="597" cm="1">
        <f t="array" aca="1" ref="GK64" ca="1">INDIRECT($GE$9&amp;GG$57&amp;$GE64,1)</f>
        <v>0</v>
      </c>
      <c r="GL64" s="597" cm="1">
        <f t="array" aca="1" ref="GL64" ca="1">INDIRECT($GE$9&amp;GH$57&amp;$GE64,1)</f>
        <v>0</v>
      </c>
      <c r="GM64" s="603" t="b">
        <f>Respostas_usuario!AC29</f>
        <v>0</v>
      </c>
      <c r="GY64" s="492" t="str">
        <f t="shared" ca="1" si="42"/>
        <v/>
      </c>
      <c r="GZ64" s="495" t="str" cm="1">
        <f t="array" aca="1" ref="GZ64" ca="1">IFERROR(
IF(
AND(
 GY64&lt;&gt;"",
  ISERR(FIND(HA$31, $GY64)),
  ISERR(FIND(HB$31, $GY64)),
  ISERR(FIND(HC$31, $GY64))),
_xlfn.XLOOKUP(TRIM($GY64), tb_codigos_GHS_ABNT[Código], tb_codigos_GHS_ABNT[Código] &amp; ": " &amp; tb_codigos_GHS_ABNT[Frases de perigo]),
""),"-")</f>
        <v/>
      </c>
      <c r="HA64" s="495" t="str">
        <f t="shared" ca="1" si="43"/>
        <v/>
      </c>
      <c r="HB64" s="495" t="str">
        <f t="shared" ca="1" si="44"/>
        <v/>
      </c>
      <c r="HC64" s="495" t="str">
        <f t="shared" ca="1" si="45"/>
        <v/>
      </c>
      <c r="HD64" s="586"/>
      <c r="HE64" s="586"/>
      <c r="HF64" s="586" t="str" cm="1">
        <f t="array" ref="HF64">IFERROR(
IF(HE64&lt;&gt;"",_xlfn.XLOOKUP(HE64, tb_codigos_GHS_ABNT[Código], tb_codigos_GHS_ABNT[Código] &amp; ": " &amp; tb_codigos_GHS_ABNT[Frases de perigo]),
""),"Frase de perigo: -Erro-")</f>
        <v/>
      </c>
      <c r="HJ64" s="20" t="s">
        <v>8463</v>
      </c>
      <c r="HK64" s="20" t="s">
        <v>5838</v>
      </c>
      <c r="HL64" s="20" t="s">
        <v>8462</v>
      </c>
      <c r="HM64" s="20" t="s">
        <v>5826</v>
      </c>
      <c r="HN64" s="20" t="s">
        <v>8448</v>
      </c>
      <c r="HO64" s="20" t="str">
        <f>tb_codigos_GHS_ABNT[[#This Row],[Código]]&amp;": "&amp;tb_codigos_GHS_ABNT[[#This Row],[Frases de perigo]]</f>
        <v>H311: Tóxico em contato com a pele</v>
      </c>
    </row>
    <row r="65" spans="1:223" x14ac:dyDescent="0.25">
      <c r="A65" s="552" t="s">
        <v>8218</v>
      </c>
      <c r="B65" s="632" t="s">
        <v>8238</v>
      </c>
      <c r="F65" s="609" t="s">
        <v>8022</v>
      </c>
      <c r="G65" s="612" t="s">
        <v>5804</v>
      </c>
      <c r="H65" s="613">
        <f ca="1">IFERROR(LARGE(K71:K74,1),0)</f>
        <v>0</v>
      </c>
      <c r="I65" s="608"/>
      <c r="J65" s="617" t="s">
        <v>6519</v>
      </c>
      <c r="K65" s="615" cm="1">
        <f t="array" aca="1" ref="K65" ca="1">INDIRECT($G$64&amp;$L$48,1)</f>
        <v>0</v>
      </c>
      <c r="L65" s="611"/>
      <c r="M65" s="611"/>
      <c r="N65" s="20"/>
      <c r="AV65" s="469" t="s">
        <v>5510</v>
      </c>
      <c r="BF65" s="469" t="s">
        <v>5510</v>
      </c>
      <c r="BG65" s="469">
        <v>8</v>
      </c>
      <c r="BH65" s="539" t="s">
        <v>8039</v>
      </c>
      <c r="BI65" s="539">
        <f t="shared" si="62"/>
        <v>71</v>
      </c>
      <c r="BJ65" s="539" cm="1">
        <f t="array" aca="1" ref="BJ65" ca="1">INDIRECT($BM$2&amp;BJ$7&amp;$BI65,1)</f>
        <v>0</v>
      </c>
      <c r="BK65" s="539" cm="1">
        <f t="array" aca="1" ref="BK65" ca="1">INDIRECT($BM$2&amp;BK$7&amp;$BI65,1)</f>
        <v>0</v>
      </c>
      <c r="BL65" s="539" cm="1">
        <f t="array" aca="1" ref="BL65" ca="1">INDIRECT($BM$2&amp;BL$7&amp;$BI65,1)</f>
        <v>0</v>
      </c>
      <c r="BM65" s="539" cm="1">
        <f t="array" aca="1" ref="BM65" ca="1">INDIRECT($BM$2&amp;BM$7&amp;$BI65,1)</f>
        <v>0</v>
      </c>
      <c r="BN65" s="539" cm="1">
        <f t="array" aca="1" ref="BN65" ca="1">INDIRECT($BM$2&amp;BN$7&amp;$BI65,1)</f>
        <v>0</v>
      </c>
      <c r="BO65" s="539" t="str">
        <f t="shared" ca="1" si="59"/>
        <v>-</v>
      </c>
      <c r="BP65" s="494" t="s">
        <v>8222</v>
      </c>
      <c r="BQ65" s="20"/>
      <c r="BR65" s="469">
        <v>8</v>
      </c>
      <c r="BS65" s="539" t="s">
        <v>8039</v>
      </c>
      <c r="BT65" s="539">
        <f t="shared" si="63"/>
        <v>417</v>
      </c>
      <c r="BU65" s="539" cm="1">
        <f t="array" aca="1" ref="BU65" ca="1">INDIRECT($BM$2&amp;BU$7&amp;$BT65,1)</f>
        <v>0</v>
      </c>
      <c r="BV65" s="539" cm="1">
        <f t="array" aca="1" ref="BV65" ca="1">INDIRECT($BM$2&amp;BV$7&amp;$BT65,1)</f>
        <v>0</v>
      </c>
      <c r="BW65" s="539" cm="1">
        <f t="array" aca="1" ref="BW65" ca="1">INDIRECT($BM$2&amp;BW$7&amp;$BT65,1)</f>
        <v>0</v>
      </c>
      <c r="BX65" s="539" cm="1">
        <f t="array" aca="1" ref="BX65" ca="1">INDIRECT($BM$2&amp;BX$7&amp;$BT65,1)</f>
        <v>0</v>
      </c>
      <c r="BY65" s="539" cm="1">
        <f t="array" aca="1" ref="BY65" ca="1">INDIRECT($BM$2&amp;BY$7&amp;$BT65,1)</f>
        <v>0</v>
      </c>
      <c r="BZ65" s="539" t="str">
        <f t="shared" ca="1" si="60"/>
        <v>-</v>
      </c>
      <c r="CA65" s="494" t="s">
        <v>8222</v>
      </c>
      <c r="CC65" s="469">
        <v>8</v>
      </c>
      <c r="CD65" s="539" t="s">
        <v>8039</v>
      </c>
      <c r="CE65" s="539">
        <f t="shared" si="64"/>
        <v>763</v>
      </c>
      <c r="CF65" s="539" cm="1">
        <f t="array" aca="1" ref="CF65" ca="1">INDIRECT($BM$2&amp;CF$7&amp;$CE65,1)</f>
        <v>0</v>
      </c>
      <c r="CG65" s="539" cm="1">
        <f t="array" aca="1" ref="CG65" ca="1">INDIRECT($BM$2&amp;CG$7&amp;$CE65,1)</f>
        <v>0</v>
      </c>
      <c r="CH65" s="539" cm="1">
        <f t="array" aca="1" ref="CH65" ca="1">INDIRECT($BM$2&amp;CH$7&amp;$CE65,1)</f>
        <v>0</v>
      </c>
      <c r="CI65" s="539" cm="1">
        <f t="array" aca="1" ref="CI65" ca="1">INDIRECT($BM$2&amp;CI$7&amp;$CE65,1)</f>
        <v>0</v>
      </c>
      <c r="CJ65" s="539" cm="1">
        <f t="array" aca="1" ref="CJ65" ca="1">INDIRECT($BM$2&amp;CJ$7&amp;$CE65,1)</f>
        <v>0</v>
      </c>
      <c r="CK65" s="539" t="str">
        <f t="shared" ca="1" si="61"/>
        <v>-</v>
      </c>
      <c r="CL65" s="494" t="s">
        <v>8222</v>
      </c>
      <c r="CU65" s="469" t="s">
        <v>5510</v>
      </c>
      <c r="CV65" s="22">
        <v>2</v>
      </c>
      <c r="CW65" s="522">
        <f t="shared" si="67"/>
        <v>71</v>
      </c>
      <c r="CX65" s="22" cm="1">
        <f t="array" aca="1" ref="CX65" ca="1">INDIRECT($DD$2&amp;CX$28&amp;$CW65)</f>
        <v>0</v>
      </c>
      <c r="CY65" s="22" cm="1">
        <f t="array" aca="1" ref="CY65" ca="1">INDIRECT($DD$2&amp;CY$28&amp;$CW65)</f>
        <v>0</v>
      </c>
      <c r="CZ65" s="22" cm="1">
        <f t="array" aca="1" ref="CZ65" ca="1">INDIRECT($DD$2&amp;CZ$28&amp;$CW65)</f>
        <v>0</v>
      </c>
      <c r="DA65" s="22" cm="1">
        <f t="array" aca="1" ref="DA65" ca="1">INDIRECT($DD$2&amp;DA$28&amp;$CW65)</f>
        <v>0</v>
      </c>
      <c r="DB65" s="22" cm="1">
        <f t="array" aca="1" ref="DB65" ca="1">INDIRECT($DD$2&amp;DB$28&amp;$CW65)</f>
        <v>0</v>
      </c>
      <c r="DC65" s="22" cm="1">
        <f t="array" aca="1" ref="DC65" ca="1">INDIRECT($DD$2&amp;DC$28&amp;$CW65)</f>
        <v>0</v>
      </c>
      <c r="DD65" s="22" t="str">
        <f t="shared" ca="1" si="65"/>
        <v/>
      </c>
      <c r="DE65" s="22" t="str">
        <f t="shared" ca="1" si="66"/>
        <v/>
      </c>
      <c r="EQ65" s="469" t="s">
        <v>5510</v>
      </c>
      <c r="ES65" s="504"/>
      <c r="ET65" s="507"/>
      <c r="EU65" s="585">
        <v>66</v>
      </c>
      <c r="EW65" s="22" t="str" cm="1">
        <f t="array" aca="1" ref="EW65" ca="1">IF(INDIRECT($ET$31&amp;EU65)=0,"-",INDIRECT($ET$31&amp;EU65))</f>
        <v>-</v>
      </c>
      <c r="EX65" s="22" t="str" cm="1">
        <f t="array" aca="1" ref="EX65" ca="1">IF(INDIRECT($ET$32&amp;EU65)=0,"",INDIRECT($ET$32&amp;EU65))</f>
        <v/>
      </c>
      <c r="EY65" s="22" t="str" cm="1">
        <f t="array" aca="1" ref="EY65" ca="1">INDIRECT($ET$33&amp;EU65)</f>
        <v/>
      </c>
      <c r="EZ65" s="22" t="str" cm="1">
        <f t="array" aca="1" ref="EZ65" ca="1">IF(INDIRECT($ET$34&amp;EU65)=0,"",INDIRECT($ET$34&amp;EU65))</f>
        <v/>
      </c>
      <c r="FA65" s="22" t="str" cm="1">
        <f t="array" aca="1" ref="FA65" ca="1">IF(INDIRECT($ET$35&amp;EU65)=0,"",INDIRECT($ET$35&amp;EU65))</f>
        <v/>
      </c>
      <c r="FB65" s="22" t="str" cm="1">
        <f t="array" aca="1" ref="FB65" ca="1">IF(INDIRECT($ET$36&amp;EU65)=0,"",INDIRECT($ET$36&amp;EU65))</f>
        <v/>
      </c>
      <c r="FC65" s="22" t="str" cm="1">
        <f t="array" aca="1" ref="FC65" ca="1">IF(INDIRECT($ET$37&amp;EU65)=0,"",INDIRECT($ET$37&amp;EU65))</f>
        <v/>
      </c>
      <c r="GC65" s="472" t="s">
        <v>5510</v>
      </c>
      <c r="GE65" s="597">
        <v>28</v>
      </c>
      <c r="GF65" s="597" cm="1">
        <f t="array" aca="1" ref="GF65" ca="1">INDIRECT($GE$8&amp;GF$57&amp;$GE65,1)</f>
        <v>0</v>
      </c>
      <c r="GG65" s="597" cm="1">
        <f t="array" aca="1" ref="GG65" ca="1">INDIRECT($GE$8&amp;GG$57&amp;$GE65,1)</f>
        <v>0</v>
      </c>
      <c r="GH65" s="597" cm="1">
        <f t="array" aca="1" ref="GH65" ca="1">INDIRECT($GE$8&amp;GH$57&amp;$GE65,1)</f>
        <v>0</v>
      </c>
      <c r="GI65" s="601" t="b">
        <f>Respostas_usuario!AB30</f>
        <v>0</v>
      </c>
      <c r="GJ65" s="602" cm="1">
        <f t="array" aca="1" ref="GJ65" ca="1">INDIRECT($GE$9&amp;GF$57&amp;$GE65,1)</f>
        <v>0</v>
      </c>
      <c r="GK65" s="597" cm="1">
        <f t="array" aca="1" ref="GK65" ca="1">INDIRECT($GE$9&amp;GG$57&amp;$GE65,1)</f>
        <v>0</v>
      </c>
      <c r="GL65" s="597" cm="1">
        <f t="array" aca="1" ref="GL65" ca="1">INDIRECT($GE$9&amp;GH$57&amp;$GE65,1)</f>
        <v>0</v>
      </c>
      <c r="GM65" s="603" t="b">
        <f>Respostas_usuario!AC30</f>
        <v>0</v>
      </c>
      <c r="GO65" s="479" t="s">
        <v>5637</v>
      </c>
      <c r="GP65" s="643" t="b">
        <f>Respostas_usuario!T11</f>
        <v>0</v>
      </c>
      <c r="GQ65" s="479" t="s">
        <v>5641</v>
      </c>
      <c r="GR65" s="644" t="b">
        <f>Respostas_usuario!V11</f>
        <v>0</v>
      </c>
      <c r="GY65" s="492" t="str">
        <f t="shared" ca="1" si="42"/>
        <v/>
      </c>
      <c r="GZ65" s="495" t="str" cm="1">
        <f t="array" aca="1" ref="GZ65" ca="1">IFERROR(
IF(
AND(
 GY65&lt;&gt;"",
  ISERR(FIND(HA$31, $GY65)),
  ISERR(FIND(HB$31, $GY65)),
  ISERR(FIND(HC$31, $GY65))),
_xlfn.XLOOKUP(TRIM($GY65), tb_codigos_GHS_ABNT[Código], tb_codigos_GHS_ABNT[Código] &amp; ": " &amp; tb_codigos_GHS_ABNT[Frases de perigo]),
""),"-")</f>
        <v/>
      </c>
      <c r="HA65" s="495" t="str">
        <f t="shared" ca="1" si="43"/>
        <v/>
      </c>
      <c r="HB65" s="495" t="str">
        <f t="shared" ca="1" si="44"/>
        <v/>
      </c>
      <c r="HC65" s="495" t="str">
        <f t="shared" ca="1" si="45"/>
        <v/>
      </c>
      <c r="HD65" s="586"/>
      <c r="HE65" s="586"/>
      <c r="HF65" s="586" t="str" cm="1">
        <f t="array" ref="HF65">IFERROR(
IF(HE65&lt;&gt;"",_xlfn.XLOOKUP(HE65, tb_codigos_GHS_ABNT[Código], tb_codigos_GHS_ABNT[Código] &amp; ": " &amp; tb_codigos_GHS_ABNT[Frases de perigo]),
""),"Frase de perigo: -Erro-")</f>
        <v/>
      </c>
      <c r="HJ65" s="20" t="s">
        <v>8464</v>
      </c>
      <c r="HK65" s="20" t="s">
        <v>5839</v>
      </c>
      <c r="HL65" s="20" t="s">
        <v>8462</v>
      </c>
      <c r="HM65" s="20" t="s">
        <v>5829</v>
      </c>
      <c r="HN65" s="20" t="s">
        <v>8449</v>
      </c>
      <c r="HO65" s="20" t="str">
        <f>tb_codigos_GHS_ABNT[[#This Row],[Código]]&amp;": "&amp;tb_codigos_GHS_ABNT[[#This Row],[Frases de perigo]]</f>
        <v>H312: Nocivo em contato com a pele</v>
      </c>
    </row>
    <row r="66" spans="1:223" x14ac:dyDescent="0.25">
      <c r="A66" s="552" t="s">
        <v>8218</v>
      </c>
      <c r="B66" s="632" t="s">
        <v>8239</v>
      </c>
      <c r="F66" s="609" t="s">
        <v>8023</v>
      </c>
      <c r="G66" s="617" t="s">
        <v>5803</v>
      </c>
      <c r="H66" s="613">
        <f ca="1">IFERROR(LARGE(M71:M74,1),0)</f>
        <v>0</v>
      </c>
      <c r="I66" s="608"/>
      <c r="J66" s="617" t="s">
        <v>14</v>
      </c>
      <c r="K66" s="615">
        <f ca="1">IF(COUNTIF(K65,"*429*")&gt;0,1,
IF(COUNTIF(K65,"*442*")&gt;0,2,0))</f>
        <v>0</v>
      </c>
      <c r="L66" s="611"/>
      <c r="M66" s="611"/>
      <c r="N66" s="20"/>
      <c r="AV66" s="469" t="s">
        <v>5510</v>
      </c>
      <c r="BF66" s="469" t="s">
        <v>5510</v>
      </c>
      <c r="BG66" s="469">
        <v>9</v>
      </c>
      <c r="BH66" s="539" t="s">
        <v>8039</v>
      </c>
      <c r="BI66" s="539">
        <f t="shared" si="62"/>
        <v>72</v>
      </c>
      <c r="BJ66" s="539" cm="1">
        <f t="array" aca="1" ref="BJ66" ca="1">INDIRECT($BM$2&amp;BJ$7&amp;$BI66,1)</f>
        <v>0</v>
      </c>
      <c r="BK66" s="539" cm="1">
        <f t="array" aca="1" ref="BK66" ca="1">INDIRECT($BM$2&amp;BK$7&amp;$BI66,1)</f>
        <v>0</v>
      </c>
      <c r="BL66" s="539" cm="1">
        <f t="array" aca="1" ref="BL66" ca="1">INDIRECT($BM$2&amp;BL$7&amp;$BI66,1)</f>
        <v>0</v>
      </c>
      <c r="BM66" s="539" cm="1">
        <f t="array" aca="1" ref="BM66" ca="1">INDIRECT($BM$2&amp;BM$7&amp;$BI66,1)</f>
        <v>0</v>
      </c>
      <c r="BN66" s="539" cm="1">
        <f t="array" aca="1" ref="BN66" ca="1">INDIRECT($BM$2&amp;BN$7&amp;$BI66,1)</f>
        <v>0</v>
      </c>
      <c r="BO66" s="539" t="str">
        <f t="shared" ca="1" si="59"/>
        <v>-</v>
      </c>
      <c r="BP66" s="494" t="s">
        <v>8222</v>
      </c>
      <c r="BQ66" s="20"/>
      <c r="BR66" s="469">
        <v>9</v>
      </c>
      <c r="BS66" s="539" t="s">
        <v>8039</v>
      </c>
      <c r="BT66" s="539">
        <f t="shared" si="63"/>
        <v>418</v>
      </c>
      <c r="BU66" s="539" cm="1">
        <f t="array" aca="1" ref="BU66" ca="1">INDIRECT($BM$2&amp;BU$7&amp;$BT66,1)</f>
        <v>0</v>
      </c>
      <c r="BV66" s="539" cm="1">
        <f t="array" aca="1" ref="BV66" ca="1">INDIRECT($BM$2&amp;BV$7&amp;$BT66,1)</f>
        <v>0</v>
      </c>
      <c r="BW66" s="539" cm="1">
        <f t="array" aca="1" ref="BW66" ca="1">INDIRECT($BM$2&amp;BW$7&amp;$BT66,1)</f>
        <v>0</v>
      </c>
      <c r="BX66" s="539" cm="1">
        <f t="array" aca="1" ref="BX66" ca="1">INDIRECT($BM$2&amp;BX$7&amp;$BT66,1)</f>
        <v>0</v>
      </c>
      <c r="BY66" s="539" cm="1">
        <f t="array" aca="1" ref="BY66" ca="1">INDIRECT($BM$2&amp;BY$7&amp;$BT66,1)</f>
        <v>0</v>
      </c>
      <c r="BZ66" s="539" t="str">
        <f t="shared" ca="1" si="60"/>
        <v>-</v>
      </c>
      <c r="CA66" s="494" t="s">
        <v>8222</v>
      </c>
      <c r="CC66" s="469">
        <v>9</v>
      </c>
      <c r="CD66" s="539" t="s">
        <v>8039</v>
      </c>
      <c r="CE66" s="539">
        <f t="shared" si="64"/>
        <v>764</v>
      </c>
      <c r="CF66" s="539" cm="1">
        <f t="array" aca="1" ref="CF66" ca="1">INDIRECT($BM$2&amp;CF$7&amp;$CE66,1)</f>
        <v>0</v>
      </c>
      <c r="CG66" s="539" cm="1">
        <f t="array" aca="1" ref="CG66" ca="1">INDIRECT($BM$2&amp;CG$7&amp;$CE66,1)</f>
        <v>0</v>
      </c>
      <c r="CH66" s="539" cm="1">
        <f t="array" aca="1" ref="CH66" ca="1">INDIRECT($BM$2&amp;CH$7&amp;$CE66,1)</f>
        <v>0</v>
      </c>
      <c r="CI66" s="539" cm="1">
        <f t="array" aca="1" ref="CI66" ca="1">INDIRECT($BM$2&amp;CI$7&amp;$CE66,1)</f>
        <v>0</v>
      </c>
      <c r="CJ66" s="539" cm="1">
        <f t="array" aca="1" ref="CJ66" ca="1">INDIRECT($BM$2&amp;CJ$7&amp;$CE66,1)</f>
        <v>0</v>
      </c>
      <c r="CK66" s="539" t="str">
        <f t="shared" ca="1" si="61"/>
        <v>-</v>
      </c>
      <c r="CL66" s="494" t="s">
        <v>8222</v>
      </c>
      <c r="CU66" s="469" t="s">
        <v>5510</v>
      </c>
      <c r="CV66" s="22">
        <v>2</v>
      </c>
      <c r="CW66" s="522">
        <f t="shared" si="67"/>
        <v>72</v>
      </c>
      <c r="CX66" s="22" cm="1">
        <f t="array" aca="1" ref="CX66" ca="1">INDIRECT($DD$2&amp;CX$28&amp;$CW66)</f>
        <v>0</v>
      </c>
      <c r="CY66" s="22" cm="1">
        <f t="array" aca="1" ref="CY66" ca="1">INDIRECT($DD$2&amp;CY$28&amp;$CW66)</f>
        <v>0</v>
      </c>
      <c r="CZ66" s="22" cm="1">
        <f t="array" aca="1" ref="CZ66" ca="1">INDIRECT($DD$2&amp;CZ$28&amp;$CW66)</f>
        <v>0</v>
      </c>
      <c r="DA66" s="22" cm="1">
        <f t="array" aca="1" ref="DA66" ca="1">INDIRECT($DD$2&amp;DA$28&amp;$CW66)</f>
        <v>0</v>
      </c>
      <c r="DB66" s="22" cm="1">
        <f t="array" aca="1" ref="DB66" ca="1">INDIRECT($DD$2&amp;DB$28&amp;$CW66)</f>
        <v>0</v>
      </c>
      <c r="DC66" s="22" cm="1">
        <f t="array" aca="1" ref="DC66" ca="1">INDIRECT($DD$2&amp;DC$28&amp;$CW66)</f>
        <v>0</v>
      </c>
      <c r="DD66" s="22" t="str">
        <f t="shared" ca="1" si="65"/>
        <v/>
      </c>
      <c r="DE66" s="22" t="str">
        <f t="shared" ca="1" si="66"/>
        <v/>
      </c>
      <c r="EQ66" s="469" t="s">
        <v>5510</v>
      </c>
      <c r="ES66" s="504"/>
      <c r="ET66" s="507"/>
      <c r="EU66" s="585">
        <v>67</v>
      </c>
      <c r="EW66" s="22" t="str" cm="1">
        <f t="array" aca="1" ref="EW66" ca="1">IF(INDIRECT($ET$31&amp;EU66)=0,"-",INDIRECT($ET$31&amp;EU66))</f>
        <v>-</v>
      </c>
      <c r="EX66" s="22" t="str" cm="1">
        <f t="array" aca="1" ref="EX66" ca="1">IF(INDIRECT($ET$32&amp;EU66)=0,"",INDIRECT($ET$32&amp;EU66))</f>
        <v/>
      </c>
      <c r="EY66" s="22" t="str" cm="1">
        <f t="array" aca="1" ref="EY66" ca="1">INDIRECT($ET$33&amp;EU66)</f>
        <v/>
      </c>
      <c r="EZ66" s="22" t="str" cm="1">
        <f t="array" aca="1" ref="EZ66" ca="1">IF(INDIRECT($ET$34&amp;EU66)=0,"",INDIRECT($ET$34&amp;EU66))</f>
        <v/>
      </c>
      <c r="FA66" s="22" t="str" cm="1">
        <f t="array" aca="1" ref="FA66" ca="1">IF(INDIRECT($ET$35&amp;EU66)=0,"",INDIRECT($ET$35&amp;EU66))</f>
        <v/>
      </c>
      <c r="FB66" s="22" t="str" cm="1">
        <f t="array" aca="1" ref="FB66" ca="1">IF(INDIRECT($ET$36&amp;EU66)=0,"",INDIRECT($ET$36&amp;EU66))</f>
        <v/>
      </c>
      <c r="FC66" s="22" t="str" cm="1">
        <f t="array" aca="1" ref="FC66" ca="1">IF(INDIRECT($ET$37&amp;EU66)=0,"",INDIRECT($ET$37&amp;EU66))</f>
        <v/>
      </c>
      <c r="GC66" s="472" t="s">
        <v>5510</v>
      </c>
      <c r="GE66" s="597">
        <v>29</v>
      </c>
      <c r="GF66" s="597" cm="1">
        <f t="array" aca="1" ref="GF66" ca="1">INDIRECT($GE$8&amp;GF$57&amp;$GE66,1)</f>
        <v>0</v>
      </c>
      <c r="GG66" s="597" cm="1">
        <f t="array" aca="1" ref="GG66" ca="1">INDIRECT($GE$8&amp;GG$57&amp;$GE66,1)</f>
        <v>0</v>
      </c>
      <c r="GH66" s="597" cm="1">
        <f t="array" aca="1" ref="GH66" ca="1">INDIRECT($GE$8&amp;GH$57&amp;$GE66,1)</f>
        <v>0</v>
      </c>
      <c r="GI66" s="601" t="b">
        <f>Respostas_usuario!AB31</f>
        <v>0</v>
      </c>
      <c r="GJ66" s="602" cm="1">
        <f t="array" aca="1" ref="GJ66" ca="1">INDIRECT($GE$9&amp;GF$57&amp;$GE66,1)</f>
        <v>0</v>
      </c>
      <c r="GK66" s="597" cm="1">
        <f t="array" aca="1" ref="GK66" ca="1">INDIRECT($GE$9&amp;GG$57&amp;$GE66,1)</f>
        <v>0</v>
      </c>
      <c r="GL66" s="597" cm="1">
        <f t="array" aca="1" ref="GL66" ca="1">INDIRECT($GE$9&amp;GH$57&amp;$GE66,1)</f>
        <v>0</v>
      </c>
      <c r="GM66" s="603" t="b">
        <f>Respostas_usuario!AC31</f>
        <v>0</v>
      </c>
      <c r="GO66" s="479" t="s">
        <v>5638</v>
      </c>
      <c r="GP66" s="643" t="b">
        <f>Respostas_usuario!T12</f>
        <v>0</v>
      </c>
      <c r="GQ66" s="479" t="s">
        <v>5642</v>
      </c>
      <c r="GR66" s="644" t="b">
        <f>Respostas_usuario!V12</f>
        <v>0</v>
      </c>
      <c r="GY66" s="492" t="str">
        <f t="shared" ca="1" si="42"/>
        <v/>
      </c>
      <c r="GZ66" s="495" t="str" cm="1">
        <f t="array" aca="1" ref="GZ66" ca="1">IFERROR(
IF(
AND(
 GY66&lt;&gt;"",
  ISERR(FIND(HA$31, $GY66)),
  ISERR(FIND(HB$31, $GY66)),
  ISERR(FIND(HC$31, $GY66))),
_xlfn.XLOOKUP(TRIM($GY66), tb_codigos_GHS_ABNT[Código], tb_codigos_GHS_ABNT[Código] &amp; ": " &amp; tb_codigos_GHS_ABNT[Frases de perigo]),
""),"-")</f>
        <v/>
      </c>
      <c r="HA66" s="495" t="str">
        <f t="shared" ca="1" si="43"/>
        <v/>
      </c>
      <c r="HB66" s="495" t="str">
        <f t="shared" ca="1" si="44"/>
        <v/>
      </c>
      <c r="HC66" s="495" t="str">
        <f t="shared" ca="1" si="45"/>
        <v/>
      </c>
      <c r="HD66" s="586"/>
      <c r="HE66" s="586"/>
      <c r="HF66" s="586" t="str" cm="1">
        <f t="array" ref="HF66">IFERROR(
IF(HE66&lt;&gt;"",_xlfn.XLOOKUP(HE66, tb_codigos_GHS_ABNT[Código], tb_codigos_GHS_ABNT[Código] &amp; ": " &amp; tb_codigos_GHS_ABNT[Frases de perigo]),
""),"Frase de perigo: -Erro-")</f>
        <v/>
      </c>
      <c r="HJ66" s="20" t="s">
        <v>8465</v>
      </c>
      <c r="HK66" s="20" t="s">
        <v>5840</v>
      </c>
      <c r="HL66" s="20" t="s">
        <v>8462</v>
      </c>
      <c r="HM66" s="20" t="s">
        <v>5832</v>
      </c>
      <c r="HO66" s="20" t="str">
        <f>tb_codigos_GHS_ABNT[[#This Row],[Código]]&amp;": "&amp;tb_codigos_GHS_ABNT[[#This Row],[Frases de perigo]]</f>
        <v>H313: Pode ser nocivo em contato com a pele</v>
      </c>
    </row>
    <row r="67" spans="1:223" x14ac:dyDescent="0.25">
      <c r="A67" s="552" t="s">
        <v>8218</v>
      </c>
      <c r="B67" s="632" t="s">
        <v>7273</v>
      </c>
      <c r="F67" s="620"/>
      <c r="G67" s="617" t="s">
        <v>18</v>
      </c>
      <c r="H67" s="613" t="str">
        <f ca="1">IFERROR(
IF(AND(K66=1,H65&gt;=$B$51),$B$65&amp;H65&amp;")",
IF(AND(K66=2,H65&gt;=$B$53,H65&lt;=$C$53),$B$66&amp;H65&amp;")",
IF(AND(K66=2,H65&gt;=$B$52),$B$65&amp;H65&amp;")",
IF(K66&lt;&gt;0,$B$67,"-")))),"-")</f>
        <v>-</v>
      </c>
      <c r="I67" s="608"/>
      <c r="J67" s="611"/>
      <c r="K67" s="623"/>
      <c r="L67" s="611"/>
      <c r="M67" s="611"/>
      <c r="N67" s="20"/>
      <c r="AV67" s="469" t="s">
        <v>5510</v>
      </c>
      <c r="BF67" s="469" t="s">
        <v>5510</v>
      </c>
      <c r="BG67" s="469">
        <v>10</v>
      </c>
      <c r="BH67" s="539" t="s">
        <v>8039</v>
      </c>
      <c r="BI67" s="539">
        <f t="shared" si="62"/>
        <v>73</v>
      </c>
      <c r="BJ67" s="539" cm="1">
        <f t="array" aca="1" ref="BJ67" ca="1">INDIRECT($BM$2&amp;BJ$7&amp;$BI67,1)</f>
        <v>0</v>
      </c>
      <c r="BK67" s="539" cm="1">
        <f t="array" aca="1" ref="BK67" ca="1">INDIRECT($BM$2&amp;BK$7&amp;$BI67,1)</f>
        <v>0</v>
      </c>
      <c r="BL67" s="539" cm="1">
        <f t="array" aca="1" ref="BL67" ca="1">INDIRECT($BM$2&amp;BL$7&amp;$BI67,1)</f>
        <v>0</v>
      </c>
      <c r="BM67" s="539" cm="1">
        <f t="array" aca="1" ref="BM67" ca="1">INDIRECT($BM$2&amp;BM$7&amp;$BI67,1)</f>
        <v>0</v>
      </c>
      <c r="BN67" s="539" cm="1">
        <f t="array" aca="1" ref="BN67" ca="1">INDIRECT($BM$2&amp;BN$7&amp;$BI67,1)</f>
        <v>0</v>
      </c>
      <c r="BO67" s="539" t="str">
        <f t="shared" ca="1" si="59"/>
        <v>-</v>
      </c>
      <c r="BP67" s="494" t="s">
        <v>8222</v>
      </c>
      <c r="BQ67" s="20"/>
      <c r="BR67" s="469">
        <v>10</v>
      </c>
      <c r="BS67" s="539" t="s">
        <v>8039</v>
      </c>
      <c r="BT67" s="539">
        <f t="shared" si="63"/>
        <v>419</v>
      </c>
      <c r="BU67" s="539" cm="1">
        <f t="array" aca="1" ref="BU67" ca="1">INDIRECT($BM$2&amp;BU$7&amp;$BT67,1)</f>
        <v>0</v>
      </c>
      <c r="BV67" s="539" cm="1">
        <f t="array" aca="1" ref="BV67" ca="1">INDIRECT($BM$2&amp;BV$7&amp;$BT67,1)</f>
        <v>0</v>
      </c>
      <c r="BW67" s="539" cm="1">
        <f t="array" aca="1" ref="BW67" ca="1">INDIRECT($BM$2&amp;BW$7&amp;$BT67,1)</f>
        <v>0</v>
      </c>
      <c r="BX67" s="539" cm="1">
        <f t="array" aca="1" ref="BX67" ca="1">INDIRECT($BM$2&amp;BX$7&amp;$BT67,1)</f>
        <v>0</v>
      </c>
      <c r="BY67" s="539" cm="1">
        <f t="array" aca="1" ref="BY67" ca="1">INDIRECT($BM$2&amp;BY$7&amp;$BT67,1)</f>
        <v>0</v>
      </c>
      <c r="BZ67" s="539" t="str">
        <f t="shared" ca="1" si="60"/>
        <v>-</v>
      </c>
      <c r="CA67" s="494" t="s">
        <v>8222</v>
      </c>
      <c r="CC67" s="469">
        <v>10</v>
      </c>
      <c r="CD67" s="539" t="s">
        <v>8039</v>
      </c>
      <c r="CE67" s="539">
        <f t="shared" si="64"/>
        <v>765</v>
      </c>
      <c r="CF67" s="539" cm="1">
        <f t="array" aca="1" ref="CF67" ca="1">INDIRECT($BM$2&amp;CF$7&amp;$CE67,1)</f>
        <v>0</v>
      </c>
      <c r="CG67" s="539" cm="1">
        <f t="array" aca="1" ref="CG67" ca="1">INDIRECT($BM$2&amp;CG$7&amp;$CE67,1)</f>
        <v>0</v>
      </c>
      <c r="CH67" s="539" cm="1">
        <f t="array" aca="1" ref="CH67" ca="1">INDIRECT($BM$2&amp;CH$7&amp;$CE67,1)</f>
        <v>0</v>
      </c>
      <c r="CI67" s="539" cm="1">
        <f t="array" aca="1" ref="CI67" ca="1">INDIRECT($BM$2&amp;CI$7&amp;$CE67,1)</f>
        <v>0</v>
      </c>
      <c r="CJ67" s="539" cm="1">
        <f t="array" aca="1" ref="CJ67" ca="1">INDIRECT($BM$2&amp;CJ$7&amp;$CE67,1)</f>
        <v>0</v>
      </c>
      <c r="CK67" s="539" t="str">
        <f t="shared" ca="1" si="61"/>
        <v>-</v>
      </c>
      <c r="CL67" s="494" t="s">
        <v>8222</v>
      </c>
      <c r="CU67" s="469" t="s">
        <v>5510</v>
      </c>
      <c r="CV67" s="22">
        <v>2</v>
      </c>
      <c r="CW67" s="522">
        <f t="shared" si="67"/>
        <v>73</v>
      </c>
      <c r="CX67" s="22" cm="1">
        <f t="array" aca="1" ref="CX67" ca="1">INDIRECT($DD$2&amp;CX$28&amp;$CW67)</f>
        <v>0</v>
      </c>
      <c r="CY67" s="22" cm="1">
        <f t="array" aca="1" ref="CY67" ca="1">INDIRECT($DD$2&amp;CY$28&amp;$CW67)</f>
        <v>0</v>
      </c>
      <c r="CZ67" s="22" cm="1">
        <f t="array" aca="1" ref="CZ67" ca="1">INDIRECT($DD$2&amp;CZ$28&amp;$CW67)</f>
        <v>0</v>
      </c>
      <c r="DA67" s="22" cm="1">
        <f t="array" aca="1" ref="DA67" ca="1">INDIRECT($DD$2&amp;DA$28&amp;$CW67)</f>
        <v>0</v>
      </c>
      <c r="DB67" s="22" cm="1">
        <f t="array" aca="1" ref="DB67" ca="1">INDIRECT($DD$2&amp;DB$28&amp;$CW67)</f>
        <v>0</v>
      </c>
      <c r="DC67" s="22" cm="1">
        <f t="array" aca="1" ref="DC67" ca="1">INDIRECT($DD$2&amp;DC$28&amp;$CW67)</f>
        <v>0</v>
      </c>
      <c r="DD67" s="22" t="str">
        <f t="shared" ca="1" si="65"/>
        <v/>
      </c>
      <c r="DE67" s="22" t="str">
        <f t="shared" ca="1" si="66"/>
        <v/>
      </c>
      <c r="EQ67" s="469" t="s">
        <v>5510</v>
      </c>
      <c r="ES67" s="504"/>
      <c r="ET67" s="507"/>
      <c r="EU67" s="585">
        <v>68</v>
      </c>
      <c r="EW67" s="22" t="str" cm="1">
        <f t="array" aca="1" ref="EW67" ca="1">IF(INDIRECT($ET$31&amp;EU67)=0,"-",INDIRECT($ET$31&amp;EU67))</f>
        <v>-</v>
      </c>
      <c r="EX67" s="22" t="str" cm="1">
        <f t="array" aca="1" ref="EX67" ca="1">IF(INDIRECT($ET$32&amp;EU67)=0,"",INDIRECT($ET$32&amp;EU67))</f>
        <v/>
      </c>
      <c r="EY67" s="22" t="str" cm="1">
        <f t="array" aca="1" ref="EY67" ca="1">INDIRECT($ET$33&amp;EU67)</f>
        <v/>
      </c>
      <c r="EZ67" s="22" t="str" cm="1">
        <f t="array" aca="1" ref="EZ67" ca="1">IF(INDIRECT($ET$34&amp;EU67)=0,"",INDIRECT($ET$34&amp;EU67))</f>
        <v/>
      </c>
      <c r="FA67" s="22" t="str" cm="1">
        <f t="array" aca="1" ref="FA67" ca="1">IF(INDIRECT($ET$35&amp;EU67)=0,"",INDIRECT($ET$35&amp;EU67))</f>
        <v/>
      </c>
      <c r="FB67" s="22" t="str" cm="1">
        <f t="array" aca="1" ref="FB67" ca="1">IF(INDIRECT($ET$36&amp;EU67)=0,"",INDIRECT($ET$36&amp;EU67))</f>
        <v/>
      </c>
      <c r="FC67" s="22" t="str" cm="1">
        <f t="array" aca="1" ref="FC67" ca="1">IF(INDIRECT($ET$37&amp;EU67)=0,"",INDIRECT($ET$37&amp;EU67))</f>
        <v/>
      </c>
      <c r="GC67" s="472" t="s">
        <v>5510</v>
      </c>
      <c r="GE67" s="597">
        <v>30</v>
      </c>
      <c r="GF67" s="597" cm="1">
        <f t="array" aca="1" ref="GF67" ca="1">INDIRECT($GE$8&amp;GF$57&amp;$GE67,1)</f>
        <v>0</v>
      </c>
      <c r="GG67" s="597" cm="1">
        <f t="array" aca="1" ref="GG67" ca="1">INDIRECT($GE$8&amp;GG$57&amp;$GE67,1)</f>
        <v>0</v>
      </c>
      <c r="GH67" s="597" cm="1">
        <f t="array" aca="1" ref="GH67" ca="1">INDIRECT($GE$8&amp;GH$57&amp;$GE67,1)</f>
        <v>0</v>
      </c>
      <c r="GI67" s="601" t="b">
        <f>Respostas_usuario!AB32</f>
        <v>0</v>
      </c>
      <c r="GJ67" s="602" cm="1">
        <f t="array" aca="1" ref="GJ67" ca="1">INDIRECT($GE$9&amp;GF$57&amp;$GE67,1)</f>
        <v>0</v>
      </c>
      <c r="GK67" s="597" cm="1">
        <f t="array" aca="1" ref="GK67" ca="1">INDIRECT($GE$9&amp;GG$57&amp;$GE67,1)</f>
        <v>0</v>
      </c>
      <c r="GL67" s="597" cm="1">
        <f t="array" aca="1" ref="GL67" ca="1">INDIRECT($GE$9&amp;GH$57&amp;$GE67,1)</f>
        <v>0</v>
      </c>
      <c r="GM67" s="603" t="b">
        <f>Respostas_usuario!AC32</f>
        <v>0</v>
      </c>
      <c r="GO67" s="479" t="s">
        <v>5639</v>
      </c>
      <c r="GP67" s="643" t="b">
        <f>Respostas_usuario!T13</f>
        <v>0</v>
      </c>
      <c r="GQ67" s="479" t="s">
        <v>5643</v>
      </c>
      <c r="GR67" s="644" t="b">
        <f>Respostas_usuario!V13</f>
        <v>0</v>
      </c>
      <c r="GY67" s="492" t="str">
        <f t="shared" ca="1" si="42"/>
        <v/>
      </c>
      <c r="GZ67" s="495" t="str" cm="1">
        <f t="array" aca="1" ref="GZ67" ca="1">IFERROR(
IF(
AND(
 GY67&lt;&gt;"",
  ISERR(FIND(HA$31, $GY67)),
  ISERR(FIND(HB$31, $GY67)),
  ISERR(FIND(HC$31, $GY67))),
_xlfn.XLOOKUP(TRIM($GY67), tb_codigos_GHS_ABNT[Código], tb_codigos_GHS_ABNT[Código] &amp; ": " &amp; tb_codigos_GHS_ABNT[Frases de perigo]),
""),"-")</f>
        <v/>
      </c>
      <c r="HA67" s="495" t="str">
        <f t="shared" ca="1" si="43"/>
        <v/>
      </c>
      <c r="HB67" s="495" t="str">
        <f t="shared" ca="1" si="44"/>
        <v/>
      </c>
      <c r="HC67" s="495" t="str">
        <f t="shared" ca="1" si="45"/>
        <v/>
      </c>
      <c r="HD67" s="586"/>
      <c r="HE67" s="586"/>
      <c r="HF67" s="586" t="str" cm="1">
        <f t="array" ref="HF67">IFERROR(
IF(HE67&lt;&gt;"",_xlfn.XLOOKUP(HE67, tb_codigos_GHS_ABNT[Código], tb_codigos_GHS_ABNT[Código] &amp; ": " &amp; tb_codigos_GHS_ABNT[Frases de perigo]),
""),"Frase de perigo: -Erro-")</f>
        <v/>
      </c>
      <c r="HJ67" s="20" t="s">
        <v>8466</v>
      </c>
      <c r="HK67" s="20" t="s">
        <v>8467</v>
      </c>
      <c r="HL67" s="20" t="s">
        <v>7088</v>
      </c>
      <c r="HM67" s="20" t="s">
        <v>8468</v>
      </c>
      <c r="HN67" s="20" t="s">
        <v>8448</v>
      </c>
      <c r="HO67" s="20" t="str">
        <f>tb_codigos_GHS_ABNT[[#This Row],[Código]]&amp;": "&amp;tb_codigos_GHS_ABNT[[#This Row],[Frases de perigo]]</f>
        <v>H314: Provoca queimadura severa à pele e dano aos olhos</v>
      </c>
    </row>
    <row r="68" spans="1:223" x14ac:dyDescent="0.25">
      <c r="A68" s="552" t="s">
        <v>8218</v>
      </c>
      <c r="B68" s="632" t="s">
        <v>7272</v>
      </c>
      <c r="F68" s="608"/>
      <c r="G68" s="608"/>
      <c r="H68" s="608"/>
      <c r="I68" s="608"/>
      <c r="J68" s="611"/>
      <c r="K68" s="611"/>
      <c r="L68" s="611"/>
      <c r="M68" s="611"/>
      <c r="N68" s="20"/>
      <c r="AV68" s="469" t="s">
        <v>5510</v>
      </c>
      <c r="BF68" s="469" t="s">
        <v>5510</v>
      </c>
      <c r="BG68" s="469">
        <v>11</v>
      </c>
      <c r="BH68" s="539" t="s">
        <v>8039</v>
      </c>
      <c r="BI68" s="539">
        <f t="shared" si="62"/>
        <v>74</v>
      </c>
      <c r="BJ68" s="539" cm="1">
        <f t="array" aca="1" ref="BJ68" ca="1">INDIRECT($BM$2&amp;BJ$7&amp;$BI68,1)</f>
        <v>0</v>
      </c>
      <c r="BK68" s="539" cm="1">
        <f t="array" aca="1" ref="BK68" ca="1">INDIRECT($BM$2&amp;BK$7&amp;$BI68,1)</f>
        <v>0</v>
      </c>
      <c r="BL68" s="539" cm="1">
        <f t="array" aca="1" ref="BL68" ca="1">INDIRECT($BM$2&amp;BL$7&amp;$BI68,1)</f>
        <v>0</v>
      </c>
      <c r="BM68" s="539" cm="1">
        <f t="array" aca="1" ref="BM68" ca="1">INDIRECT($BM$2&amp;BM$7&amp;$BI68,1)</f>
        <v>0</v>
      </c>
      <c r="BN68" s="539" cm="1">
        <f t="array" aca="1" ref="BN68" ca="1">INDIRECT($BM$2&amp;BN$7&amp;$BI68,1)</f>
        <v>0</v>
      </c>
      <c r="BO68" s="539" t="str">
        <f t="shared" ca="1" si="59"/>
        <v>-</v>
      </c>
      <c r="BP68" s="494" t="s">
        <v>8222</v>
      </c>
      <c r="BQ68" s="20"/>
      <c r="BR68" s="469">
        <v>11</v>
      </c>
      <c r="BS68" s="539" t="s">
        <v>8039</v>
      </c>
      <c r="BT68" s="539">
        <f t="shared" si="63"/>
        <v>420</v>
      </c>
      <c r="BU68" s="539" cm="1">
        <f t="array" aca="1" ref="BU68" ca="1">INDIRECT($BM$2&amp;BU$7&amp;$BT68,1)</f>
        <v>0</v>
      </c>
      <c r="BV68" s="539" cm="1">
        <f t="array" aca="1" ref="BV68" ca="1">INDIRECT($BM$2&amp;BV$7&amp;$BT68,1)</f>
        <v>0</v>
      </c>
      <c r="BW68" s="539" cm="1">
        <f t="array" aca="1" ref="BW68" ca="1">INDIRECT($BM$2&amp;BW$7&amp;$BT68,1)</f>
        <v>0</v>
      </c>
      <c r="BX68" s="539" cm="1">
        <f t="array" aca="1" ref="BX68" ca="1">INDIRECT($BM$2&amp;BX$7&amp;$BT68,1)</f>
        <v>0</v>
      </c>
      <c r="BY68" s="539" cm="1">
        <f t="array" aca="1" ref="BY68" ca="1">INDIRECT($BM$2&amp;BY$7&amp;$BT68,1)</f>
        <v>0</v>
      </c>
      <c r="BZ68" s="539" t="str">
        <f t="shared" ca="1" si="60"/>
        <v>-</v>
      </c>
      <c r="CA68" s="494" t="s">
        <v>8222</v>
      </c>
      <c r="CC68" s="469">
        <v>11</v>
      </c>
      <c r="CD68" s="539" t="s">
        <v>8039</v>
      </c>
      <c r="CE68" s="539">
        <f t="shared" si="64"/>
        <v>766</v>
      </c>
      <c r="CF68" s="539" cm="1">
        <f t="array" aca="1" ref="CF68" ca="1">INDIRECT($BM$2&amp;CF$7&amp;$CE68,1)</f>
        <v>0</v>
      </c>
      <c r="CG68" s="539" cm="1">
        <f t="array" aca="1" ref="CG68" ca="1">INDIRECT($BM$2&amp;CG$7&amp;$CE68,1)</f>
        <v>0</v>
      </c>
      <c r="CH68" s="539" cm="1">
        <f t="array" aca="1" ref="CH68" ca="1">INDIRECT($BM$2&amp;CH$7&amp;$CE68,1)</f>
        <v>0</v>
      </c>
      <c r="CI68" s="539" cm="1">
        <f t="array" aca="1" ref="CI68" ca="1">INDIRECT($BM$2&amp;CI$7&amp;$CE68,1)</f>
        <v>0</v>
      </c>
      <c r="CJ68" s="539" cm="1">
        <f t="array" aca="1" ref="CJ68" ca="1">INDIRECT($BM$2&amp;CJ$7&amp;$CE68,1)</f>
        <v>0</v>
      </c>
      <c r="CK68" s="539" t="str">
        <f t="shared" ca="1" si="61"/>
        <v>-</v>
      </c>
      <c r="CL68" s="494" t="s">
        <v>8222</v>
      </c>
      <c r="CU68" s="469" t="s">
        <v>5510</v>
      </c>
      <c r="CV68" s="22">
        <v>2</v>
      </c>
      <c r="CW68" s="522">
        <f t="shared" si="67"/>
        <v>74</v>
      </c>
      <c r="CX68" s="22" cm="1">
        <f t="array" aca="1" ref="CX68" ca="1">INDIRECT($DD$2&amp;CX$28&amp;$CW68)</f>
        <v>0</v>
      </c>
      <c r="CY68" s="22" cm="1">
        <f t="array" aca="1" ref="CY68" ca="1">INDIRECT($DD$2&amp;CY$28&amp;$CW68)</f>
        <v>0</v>
      </c>
      <c r="CZ68" s="22" cm="1">
        <f t="array" aca="1" ref="CZ68" ca="1">INDIRECT($DD$2&amp;CZ$28&amp;$CW68)</f>
        <v>0</v>
      </c>
      <c r="DA68" s="22" cm="1">
        <f t="array" aca="1" ref="DA68" ca="1">INDIRECT($DD$2&amp;DA$28&amp;$CW68)</f>
        <v>0</v>
      </c>
      <c r="DB68" s="22" cm="1">
        <f t="array" aca="1" ref="DB68" ca="1">INDIRECT($DD$2&amp;DB$28&amp;$CW68)</f>
        <v>0</v>
      </c>
      <c r="DC68" s="22" cm="1">
        <f t="array" aca="1" ref="DC68" ca="1">INDIRECT($DD$2&amp;DC$28&amp;$CW68)</f>
        <v>0</v>
      </c>
      <c r="DD68" s="22" t="str">
        <f t="shared" ca="1" si="65"/>
        <v/>
      </c>
      <c r="DE68" s="22" t="str">
        <f t="shared" ca="1" si="66"/>
        <v/>
      </c>
      <c r="EQ68" s="469" t="s">
        <v>5510</v>
      </c>
      <c r="ES68" s="504"/>
      <c r="ET68" s="507"/>
      <c r="EU68" s="585">
        <v>69</v>
      </c>
      <c r="EW68" s="22" t="str" cm="1">
        <f t="array" aca="1" ref="EW68" ca="1">IF(INDIRECT($ET$31&amp;EU68)=0,"-",INDIRECT($ET$31&amp;EU68))</f>
        <v>-</v>
      </c>
      <c r="EX68" s="22" t="str" cm="1">
        <f t="array" aca="1" ref="EX68" ca="1">IF(INDIRECT($ET$32&amp;EU68)=0,"",INDIRECT($ET$32&amp;EU68))</f>
        <v/>
      </c>
      <c r="EY68" s="22" t="str" cm="1">
        <f t="array" aca="1" ref="EY68" ca="1">INDIRECT($ET$33&amp;EU68)</f>
        <v/>
      </c>
      <c r="EZ68" s="22" t="str" cm="1">
        <f t="array" aca="1" ref="EZ68" ca="1">IF(INDIRECT($ET$34&amp;EU68)=0,"",INDIRECT($ET$34&amp;EU68))</f>
        <v/>
      </c>
      <c r="FA68" s="22" t="str" cm="1">
        <f t="array" aca="1" ref="FA68" ca="1">IF(INDIRECT($ET$35&amp;EU68)=0,"",INDIRECT($ET$35&amp;EU68))</f>
        <v/>
      </c>
      <c r="FB68" s="22" t="str" cm="1">
        <f t="array" aca="1" ref="FB68" ca="1">IF(INDIRECT($ET$36&amp;EU68)=0,"",INDIRECT($ET$36&amp;EU68))</f>
        <v/>
      </c>
      <c r="FC68" s="22" t="str" cm="1">
        <f t="array" aca="1" ref="FC68" ca="1">IF(INDIRECT($ET$37&amp;EU68)=0,"",INDIRECT($ET$37&amp;EU68))</f>
        <v/>
      </c>
      <c r="GC68" s="472" t="s">
        <v>5510</v>
      </c>
      <c r="GE68" s="597">
        <v>31</v>
      </c>
      <c r="GF68" s="597" cm="1">
        <f t="array" aca="1" ref="GF68" ca="1">INDIRECT($GE$8&amp;GF$57&amp;$GE68,1)</f>
        <v>0</v>
      </c>
      <c r="GG68" s="597" cm="1">
        <f t="array" aca="1" ref="GG68" ca="1">INDIRECT($GE$8&amp;GG$57&amp;$GE68,1)</f>
        <v>0</v>
      </c>
      <c r="GH68" s="597" cm="1">
        <f t="array" aca="1" ref="GH68" ca="1">INDIRECT($GE$8&amp;GH$57&amp;$GE68,1)</f>
        <v>0</v>
      </c>
      <c r="GI68" s="601" t="b">
        <f>Respostas_usuario!AB33</f>
        <v>0</v>
      </c>
      <c r="GJ68" s="602" cm="1">
        <f t="array" aca="1" ref="GJ68" ca="1">INDIRECT($GE$9&amp;GF$57&amp;$GE68,1)</f>
        <v>0</v>
      </c>
      <c r="GK68" s="597" cm="1">
        <f t="array" aca="1" ref="GK68" ca="1">INDIRECT($GE$9&amp;GG$57&amp;$GE68,1)</f>
        <v>0</v>
      </c>
      <c r="GL68" s="597" cm="1">
        <f t="array" aca="1" ref="GL68" ca="1">INDIRECT($GE$9&amp;GH$57&amp;$GE68,1)</f>
        <v>0</v>
      </c>
      <c r="GM68" s="603" t="b">
        <f>Respostas_usuario!AC33</f>
        <v>0</v>
      </c>
      <c r="GO68" s="479" t="s">
        <v>5640</v>
      </c>
      <c r="GP68" s="643" t="b">
        <f>Respostas_usuario!T14</f>
        <v>0</v>
      </c>
      <c r="GQ68" s="479" t="s">
        <v>5644</v>
      </c>
      <c r="GR68" s="644" t="b">
        <f>Respostas_usuario!V14</f>
        <v>0</v>
      </c>
      <c r="GY68" s="492" t="str">
        <f t="shared" ca="1" si="42"/>
        <v/>
      </c>
      <c r="GZ68" s="495" t="str" cm="1">
        <f t="array" aca="1" ref="GZ68" ca="1">IFERROR(
IF(
AND(
 GY68&lt;&gt;"",
  ISERR(FIND(HA$31, $GY68)),
  ISERR(FIND(HB$31, $GY68)),
  ISERR(FIND(HC$31, $GY68))),
_xlfn.XLOOKUP(TRIM($GY68), tb_codigos_GHS_ABNT[Código], tb_codigos_GHS_ABNT[Código] &amp; ": " &amp; tb_codigos_GHS_ABNT[Frases de perigo]),
""),"-")</f>
        <v/>
      </c>
      <c r="HA68" s="495" t="str">
        <f t="shared" ca="1" si="43"/>
        <v/>
      </c>
      <c r="HB68" s="495" t="str">
        <f t="shared" ca="1" si="44"/>
        <v/>
      </c>
      <c r="HC68" s="495" t="str">
        <f t="shared" ca="1" si="45"/>
        <v/>
      </c>
      <c r="HD68" s="586"/>
      <c r="HE68" s="586"/>
      <c r="HF68" s="586" t="str" cm="1">
        <f t="array" ref="HF68">IFERROR(
IF(HE68&lt;&gt;"",_xlfn.XLOOKUP(HE68, tb_codigos_GHS_ABNT[Código], tb_codigos_GHS_ABNT[Código] &amp; ": " &amp; tb_codigos_GHS_ABNT[Frases de perigo]),
""),"Frase de perigo: -Erro-")</f>
        <v/>
      </c>
      <c r="HJ68" s="20" t="s">
        <v>8469</v>
      </c>
      <c r="HK68" s="20" t="s">
        <v>5886</v>
      </c>
      <c r="HL68" s="20" t="s">
        <v>7088</v>
      </c>
      <c r="HM68" s="20" t="s">
        <v>5824</v>
      </c>
      <c r="HN68" s="20" t="s">
        <v>8449</v>
      </c>
      <c r="HO68" s="20" t="str">
        <f>tb_codigos_GHS_ABNT[[#This Row],[Código]]&amp;": "&amp;tb_codigos_GHS_ABNT[[#This Row],[Frases de perigo]]</f>
        <v>H315: Provoca irritação à pele</v>
      </c>
    </row>
    <row r="69" spans="1:223" x14ac:dyDescent="0.25">
      <c r="F69" s="609" t="s">
        <v>5550</v>
      </c>
      <c r="G69" s="609" t="s">
        <v>8016</v>
      </c>
      <c r="H69" s="609" t="s">
        <v>8020</v>
      </c>
      <c r="I69" s="609" t="s">
        <v>8021</v>
      </c>
      <c r="J69" s="610">
        <f>'Calculos(2)'!AY48</f>
        <v>0</v>
      </c>
      <c r="K69" s="610" t="s">
        <v>7265</v>
      </c>
      <c r="L69" s="610" t="s">
        <v>8019</v>
      </c>
      <c r="M69" s="610" t="s">
        <v>7266</v>
      </c>
      <c r="N69" s="20"/>
      <c r="AV69" s="469" t="s">
        <v>5510</v>
      </c>
      <c r="BF69" s="469" t="s">
        <v>5510</v>
      </c>
      <c r="BG69" s="469">
        <v>12</v>
      </c>
      <c r="BH69" s="539" t="s">
        <v>8039</v>
      </c>
      <c r="BI69" s="539">
        <f t="shared" si="62"/>
        <v>75</v>
      </c>
      <c r="BJ69" s="539" cm="1">
        <f t="array" aca="1" ref="BJ69" ca="1">INDIRECT($BM$2&amp;BJ$7&amp;$BI69,1)</f>
        <v>0</v>
      </c>
      <c r="BK69" s="539" cm="1">
        <f t="array" aca="1" ref="BK69" ca="1">INDIRECT($BM$2&amp;BK$7&amp;$BI69,1)</f>
        <v>0</v>
      </c>
      <c r="BL69" s="539" cm="1">
        <f t="array" aca="1" ref="BL69" ca="1">INDIRECT($BM$2&amp;BL$7&amp;$BI69,1)</f>
        <v>0</v>
      </c>
      <c r="BM69" s="539" cm="1">
        <f t="array" aca="1" ref="BM69" ca="1">INDIRECT($BM$2&amp;BM$7&amp;$BI69,1)</f>
        <v>0</v>
      </c>
      <c r="BN69" s="539" t="str" cm="1">
        <f t="array" aca="1" ref="BN69" ca="1">INDIRECT($BM$2&amp;BN$7&amp;$BI69,1)</f>
        <v>-</v>
      </c>
      <c r="BO69" s="539" t="str">
        <f t="shared" ca="1" si="59"/>
        <v>-</v>
      </c>
      <c r="BP69" s="561" t="s">
        <v>8223</v>
      </c>
      <c r="BQ69" s="20"/>
      <c r="BR69" s="469">
        <v>12</v>
      </c>
      <c r="BS69" s="539" t="s">
        <v>8039</v>
      </c>
      <c r="BT69" s="539">
        <f t="shared" si="63"/>
        <v>421</v>
      </c>
      <c r="BU69" s="539" cm="1">
        <f t="array" aca="1" ref="BU69" ca="1">INDIRECT($BM$2&amp;BU$7&amp;$BT69,1)</f>
        <v>0</v>
      </c>
      <c r="BV69" s="539" cm="1">
        <f t="array" aca="1" ref="BV69" ca="1">INDIRECT($BM$2&amp;BV$7&amp;$BT69,1)</f>
        <v>0</v>
      </c>
      <c r="BW69" s="539" cm="1">
        <f t="array" aca="1" ref="BW69" ca="1">INDIRECT($BM$2&amp;BW$7&amp;$BT69,1)</f>
        <v>0</v>
      </c>
      <c r="BX69" s="539" cm="1">
        <f t="array" aca="1" ref="BX69" ca="1">INDIRECT($BM$2&amp;BX$7&amp;$BT69,1)</f>
        <v>0</v>
      </c>
      <c r="BY69" s="539" t="str" cm="1">
        <f t="array" aca="1" ref="BY69" ca="1">INDIRECT($BM$2&amp;BY$7&amp;$BT69,1)</f>
        <v>-</v>
      </c>
      <c r="BZ69" s="539" t="str">
        <f t="shared" ca="1" si="60"/>
        <v>-</v>
      </c>
      <c r="CA69" s="561" t="s">
        <v>8223</v>
      </c>
      <c r="CC69" s="469">
        <v>12</v>
      </c>
      <c r="CD69" s="539" t="s">
        <v>8039</v>
      </c>
      <c r="CE69" s="539">
        <f t="shared" si="64"/>
        <v>767</v>
      </c>
      <c r="CF69" s="539" cm="1">
        <f t="array" aca="1" ref="CF69" ca="1">INDIRECT($BM$2&amp;CF$7&amp;$CE69,1)</f>
        <v>0</v>
      </c>
      <c r="CG69" s="539" cm="1">
        <f t="array" aca="1" ref="CG69" ca="1">INDIRECT($BM$2&amp;CG$7&amp;$CE69,1)</f>
        <v>0</v>
      </c>
      <c r="CH69" s="539" cm="1">
        <f t="array" aca="1" ref="CH69" ca="1">INDIRECT($BM$2&amp;CH$7&amp;$CE69,1)</f>
        <v>0</v>
      </c>
      <c r="CI69" s="539" cm="1">
        <f t="array" aca="1" ref="CI69" ca="1">INDIRECT($BM$2&amp;CI$7&amp;$CE69,1)</f>
        <v>0</v>
      </c>
      <c r="CJ69" s="539" t="str" cm="1">
        <f t="array" aca="1" ref="CJ69" ca="1">INDIRECT($BM$2&amp;CJ$7&amp;$CE69,1)</f>
        <v>-</v>
      </c>
      <c r="CK69" s="539" t="str">
        <f t="shared" ca="1" si="61"/>
        <v>-</v>
      </c>
      <c r="CL69" s="561" t="s">
        <v>8223</v>
      </c>
      <c r="CU69" s="469" t="s">
        <v>5510</v>
      </c>
      <c r="CV69" s="22">
        <v>2</v>
      </c>
      <c r="CW69" s="522">
        <f t="shared" si="67"/>
        <v>75</v>
      </c>
      <c r="CX69" s="22" cm="1">
        <f t="array" aca="1" ref="CX69" ca="1">INDIRECT($DD$2&amp;CX$28&amp;$CW69)</f>
        <v>0</v>
      </c>
      <c r="CY69" s="22" cm="1">
        <f t="array" aca="1" ref="CY69" ca="1">INDIRECT($DD$2&amp;CY$28&amp;$CW69)</f>
        <v>0</v>
      </c>
      <c r="CZ69" s="22" cm="1">
        <f t="array" aca="1" ref="CZ69" ca="1">INDIRECT($DD$2&amp;CZ$28&amp;$CW69)</f>
        <v>0</v>
      </c>
      <c r="DA69" s="22" cm="1">
        <f t="array" aca="1" ref="DA69" ca="1">INDIRECT($DD$2&amp;DA$28&amp;$CW69)</f>
        <v>0</v>
      </c>
      <c r="DB69" s="22" cm="1">
        <f t="array" aca="1" ref="DB69" ca="1">INDIRECT($DD$2&amp;DB$28&amp;$CW69)</f>
        <v>0</v>
      </c>
      <c r="DC69" s="22" cm="1">
        <f t="array" aca="1" ref="DC69" ca="1">INDIRECT($DD$2&amp;DC$28&amp;$CW69)</f>
        <v>0</v>
      </c>
      <c r="DD69" s="22" t="str">
        <f t="shared" ca="1" si="65"/>
        <v/>
      </c>
      <c r="DE69" s="22" t="str">
        <f t="shared" ca="1" si="66"/>
        <v/>
      </c>
      <c r="EQ69" s="469" t="s">
        <v>5510</v>
      </c>
      <c r="ES69" s="504"/>
      <c r="ET69" s="507"/>
      <c r="EU69" s="585">
        <v>70</v>
      </c>
      <c r="EW69" s="22" t="str" cm="1">
        <f t="array" aca="1" ref="EW69" ca="1">IF(INDIRECT($ET$31&amp;EU69)=0,"-",INDIRECT($ET$31&amp;EU69))</f>
        <v>-</v>
      </c>
      <c r="EX69" s="22" t="str" cm="1">
        <f t="array" aca="1" ref="EX69" ca="1">IF(INDIRECT($ET$32&amp;EU69)=0,"",INDIRECT($ET$32&amp;EU69))</f>
        <v/>
      </c>
      <c r="EY69" s="22" t="str" cm="1">
        <f t="array" aca="1" ref="EY69" ca="1">INDIRECT($ET$33&amp;EU69)</f>
        <v/>
      </c>
      <c r="EZ69" s="22" t="str" cm="1">
        <f t="array" aca="1" ref="EZ69" ca="1">IF(INDIRECT($ET$34&amp;EU69)=0,"",INDIRECT($ET$34&amp;EU69))</f>
        <v/>
      </c>
      <c r="FA69" s="22" t="str" cm="1">
        <f t="array" aca="1" ref="FA69" ca="1">IF(INDIRECT($ET$35&amp;EU69)=0,"",INDIRECT($ET$35&amp;EU69))</f>
        <v/>
      </c>
      <c r="FB69" s="22" t="str" cm="1">
        <f t="array" aca="1" ref="FB69" ca="1">IF(INDIRECT($ET$36&amp;EU69)=0,"",INDIRECT($ET$36&amp;EU69))</f>
        <v/>
      </c>
      <c r="FC69" s="22" t="str" cm="1">
        <f t="array" aca="1" ref="FC69" ca="1">IF(INDIRECT($ET$37&amp;EU69)=0,"",INDIRECT($ET$37&amp;EU69))</f>
        <v/>
      </c>
      <c r="GC69" s="472" t="s">
        <v>5510</v>
      </c>
      <c r="GE69" s="597">
        <v>32</v>
      </c>
      <c r="GF69" s="597" cm="1">
        <f t="array" aca="1" ref="GF69" ca="1">INDIRECT($GE$8&amp;GF$57&amp;$GE69,1)</f>
        <v>0</v>
      </c>
      <c r="GG69" s="597" cm="1">
        <f t="array" aca="1" ref="GG69" ca="1">INDIRECT($GE$8&amp;GG$57&amp;$GE69,1)</f>
        <v>0</v>
      </c>
      <c r="GH69" s="597" cm="1">
        <f t="array" aca="1" ref="GH69" ca="1">INDIRECT($GE$8&amp;GH$57&amp;$GE69,1)</f>
        <v>0</v>
      </c>
      <c r="GI69" s="601" t="b">
        <f>Respostas_usuario!AB34</f>
        <v>0</v>
      </c>
      <c r="GJ69" s="602" cm="1">
        <f t="array" aca="1" ref="GJ69" ca="1">INDIRECT($GE$9&amp;GF$57&amp;$GE69,1)</f>
        <v>0</v>
      </c>
      <c r="GK69" s="597" cm="1">
        <f t="array" aca="1" ref="GK69" ca="1">INDIRECT($GE$9&amp;GG$57&amp;$GE69,1)</f>
        <v>0</v>
      </c>
      <c r="GL69" s="597" cm="1">
        <f t="array" aca="1" ref="GL69" ca="1">INDIRECT($GE$9&amp;GH$57&amp;$GE69,1)</f>
        <v>0</v>
      </c>
      <c r="GM69" s="603" t="b">
        <f>Respostas_usuario!AC34</f>
        <v>0</v>
      </c>
      <c r="GY69" s="492" t="str">
        <f t="shared" ca="1" si="42"/>
        <v/>
      </c>
      <c r="GZ69" s="495" t="str" cm="1">
        <f t="array" aca="1" ref="GZ69" ca="1">IFERROR(
IF(
AND(
 GY69&lt;&gt;"",
  ISERR(FIND(HA$31, $GY69)),
  ISERR(FIND(HB$31, $GY69)),
  ISERR(FIND(HC$31, $GY69))),
_xlfn.XLOOKUP(TRIM($GY69), tb_codigos_GHS_ABNT[Código], tb_codigos_GHS_ABNT[Código] &amp; ": " &amp; tb_codigos_GHS_ABNT[Frases de perigo]),
""),"-")</f>
        <v/>
      </c>
      <c r="HA69" s="495" t="str">
        <f t="shared" ca="1" si="43"/>
        <v/>
      </c>
      <c r="HB69" s="495" t="str">
        <f t="shared" ca="1" si="44"/>
        <v/>
      </c>
      <c r="HC69" s="495" t="str">
        <f t="shared" ca="1" si="45"/>
        <v/>
      </c>
      <c r="HD69" s="586"/>
      <c r="HE69" s="586"/>
      <c r="HF69" s="586" t="str" cm="1">
        <f t="array" ref="HF69">IFERROR(
IF(HE69&lt;&gt;"",_xlfn.XLOOKUP(HE69, tb_codigos_GHS_ABNT[Código], tb_codigos_GHS_ABNT[Código] &amp; ": " &amp; tb_codigos_GHS_ABNT[Frases de perigo]),
""),"Frase de perigo: -Erro-")</f>
        <v/>
      </c>
      <c r="HJ69" s="20" t="s">
        <v>8470</v>
      </c>
      <c r="HK69" s="20" t="s">
        <v>8471</v>
      </c>
      <c r="HL69" s="20" t="s">
        <v>7088</v>
      </c>
      <c r="HM69" s="20" t="s">
        <v>5826</v>
      </c>
      <c r="HN69" s="20" t="s">
        <v>8449</v>
      </c>
      <c r="HO69" s="20" t="str">
        <f>tb_codigos_GHS_ABNT[[#This Row],[Código]]&amp;": "&amp;tb_codigos_GHS_ABNT[[#This Row],[Frases de perigo]]</f>
        <v>H316: Provoca irritação leve à pele</v>
      </c>
    </row>
    <row r="70" spans="1:223" ht="15" customHeight="1" x14ac:dyDescent="0.25">
      <c r="F70" s="624" t="s">
        <v>133</v>
      </c>
      <c r="G70" s="609" t="s">
        <v>5735</v>
      </c>
      <c r="H70" s="609">
        <v>64</v>
      </c>
      <c r="I70" s="609">
        <v>65</v>
      </c>
      <c r="J70" s="539" cm="1">
        <f t="array" aca="1" ref="J70" ca="1">INDIRECT($G$64&amp;$G70&amp;$H70,1)</f>
        <v>0</v>
      </c>
      <c r="K70" s="539" t="str">
        <f ca="1">IFERROR(J70/$J$70,"-")</f>
        <v>-</v>
      </c>
      <c r="L70" s="539" cm="1">
        <f t="array" aca="1" ref="L70" ca="1">INDIRECT($G$64&amp;$G70&amp;$I70,1)</f>
        <v>0</v>
      </c>
      <c r="M70" s="625" t="str">
        <f ca="1">IFERROR(L70/$L$70,"-")</f>
        <v>-</v>
      </c>
      <c r="N70" s="20"/>
      <c r="AV70" s="469" t="s">
        <v>5510</v>
      </c>
      <c r="BF70" s="469" t="s">
        <v>5510</v>
      </c>
      <c r="BL70" s="372"/>
      <c r="BO70" s="472"/>
      <c r="BQ70" s="20"/>
      <c r="BT70" s="372"/>
      <c r="BU70" s="472"/>
      <c r="BV70" s="472"/>
      <c r="BW70" s="372"/>
      <c r="BX70" s="472"/>
      <c r="BY70" s="372"/>
      <c r="BZ70" s="472"/>
      <c r="CA70" s="372"/>
      <c r="CE70" s="372"/>
      <c r="CF70" s="472"/>
      <c r="CG70" s="472"/>
      <c r="CH70" s="372"/>
      <c r="CI70" s="472"/>
      <c r="CJ70" s="372"/>
      <c r="CK70" s="472"/>
      <c r="CL70" s="372"/>
      <c r="CU70" s="469" t="s">
        <v>5510</v>
      </c>
      <c r="CV70" s="22">
        <v>2</v>
      </c>
      <c r="CW70" s="522">
        <f t="shared" si="67"/>
        <v>76</v>
      </c>
      <c r="CX70" s="22" cm="1">
        <f t="array" aca="1" ref="CX70" ca="1">INDIRECT($DD$2&amp;CX$28&amp;$CW70)</f>
        <v>0</v>
      </c>
      <c r="CY70" s="22" cm="1">
        <f t="array" aca="1" ref="CY70" ca="1">INDIRECT($DD$2&amp;CY$28&amp;$CW70)</f>
        <v>0</v>
      </c>
      <c r="CZ70" s="22" cm="1">
        <f t="array" aca="1" ref="CZ70" ca="1">INDIRECT($DD$2&amp;CZ$28&amp;$CW70)</f>
        <v>0</v>
      </c>
      <c r="DA70" s="22" cm="1">
        <f t="array" aca="1" ref="DA70" ca="1">INDIRECT($DD$2&amp;DA$28&amp;$CW70)</f>
        <v>0</v>
      </c>
      <c r="DB70" s="22" cm="1">
        <f t="array" aca="1" ref="DB70" ca="1">INDIRECT($DD$2&amp;DB$28&amp;$CW70)</f>
        <v>0</v>
      </c>
      <c r="DC70" s="22" cm="1">
        <f t="array" aca="1" ref="DC70" ca="1">INDIRECT($DD$2&amp;DC$28&amp;$CW70)</f>
        <v>0</v>
      </c>
      <c r="DD70" s="22" t="str">
        <f t="shared" ca="1" si="65"/>
        <v/>
      </c>
      <c r="DE70" s="22" t="str">
        <f t="shared" ca="1" si="66"/>
        <v/>
      </c>
      <c r="EQ70" s="469" t="s">
        <v>5510</v>
      </c>
      <c r="ES70" s="504"/>
      <c r="ET70" s="507"/>
      <c r="EU70" s="585">
        <v>71</v>
      </c>
      <c r="EW70" s="22" t="str" cm="1">
        <f t="array" aca="1" ref="EW70" ca="1">IF(INDIRECT($ET$31&amp;EU70)=0,"-",INDIRECT($ET$31&amp;EU70))</f>
        <v>-</v>
      </c>
      <c r="EX70" s="22" t="str" cm="1">
        <f t="array" aca="1" ref="EX70" ca="1">IF(INDIRECT($ET$32&amp;EU70)=0,"",INDIRECT($ET$32&amp;EU70))</f>
        <v/>
      </c>
      <c r="EY70" s="22" t="str" cm="1">
        <f t="array" aca="1" ref="EY70" ca="1">INDIRECT($ET$33&amp;EU70)</f>
        <v/>
      </c>
      <c r="EZ70" s="22" t="str" cm="1">
        <f t="array" aca="1" ref="EZ70" ca="1">IF(INDIRECT($ET$34&amp;EU70)=0,"",INDIRECT($ET$34&amp;EU70))</f>
        <v/>
      </c>
      <c r="FA70" s="22" t="str" cm="1">
        <f t="array" aca="1" ref="FA70" ca="1">IF(INDIRECT($ET$35&amp;EU70)=0,"",INDIRECT($ET$35&amp;EU70))</f>
        <v/>
      </c>
      <c r="FB70" s="22" t="str" cm="1">
        <f t="array" aca="1" ref="FB70" ca="1">IF(INDIRECT($ET$36&amp;EU70)=0,"",INDIRECT($ET$36&amp;EU70))</f>
        <v/>
      </c>
      <c r="FC70" s="22" t="str" cm="1">
        <f t="array" aca="1" ref="FC70" ca="1">IF(INDIRECT($ET$37&amp;EU70)=0,"",INDIRECT($ET$37&amp;EU70))</f>
        <v/>
      </c>
      <c r="GC70" s="472" t="s">
        <v>5510</v>
      </c>
      <c r="GE70" s="597">
        <v>33</v>
      </c>
      <c r="GF70" s="597" cm="1">
        <f t="array" aca="1" ref="GF70" ca="1">INDIRECT($GE$8&amp;GF$57&amp;$GE70,1)</f>
        <v>0</v>
      </c>
      <c r="GG70" s="597" cm="1">
        <f t="array" aca="1" ref="GG70" ca="1">INDIRECT($GE$8&amp;GG$57&amp;$GE70,1)</f>
        <v>0</v>
      </c>
      <c r="GH70" s="597" cm="1">
        <f t="array" aca="1" ref="GH70" ca="1">INDIRECT($GE$8&amp;GH$57&amp;$GE70,1)</f>
        <v>0</v>
      </c>
      <c r="GI70" s="601" t="b">
        <f>Respostas_usuario!AB35</f>
        <v>0</v>
      </c>
      <c r="GJ70" s="602" cm="1">
        <f t="array" aca="1" ref="GJ70" ca="1">INDIRECT($GE$9&amp;GF$57&amp;$GE70,1)</f>
        <v>0</v>
      </c>
      <c r="GK70" s="597" cm="1">
        <f t="array" aca="1" ref="GK70" ca="1">INDIRECT($GE$9&amp;GG$57&amp;$GE70,1)</f>
        <v>0</v>
      </c>
      <c r="GL70" s="597" cm="1">
        <f t="array" aca="1" ref="GL70" ca="1">INDIRECT($GE$9&amp;GH$57&amp;$GE70,1)</f>
        <v>0</v>
      </c>
      <c r="GM70" s="603" t="b">
        <f>Respostas_usuario!AC35</f>
        <v>0</v>
      </c>
      <c r="GY70" s="492" t="str">
        <f t="shared" ca="1" si="42"/>
        <v/>
      </c>
      <c r="GZ70" s="495" t="str" cm="1">
        <f t="array" aca="1" ref="GZ70" ca="1">IFERROR(
IF(
AND(
 GY70&lt;&gt;"",
  ISERR(FIND(HA$31, $GY70)),
  ISERR(FIND(HB$31, $GY70)),
  ISERR(FIND(HC$31, $GY70))),
_xlfn.XLOOKUP(TRIM($GY70), tb_codigos_GHS_ABNT[Código], tb_codigos_GHS_ABNT[Código] &amp; ": " &amp; tb_codigos_GHS_ABNT[Frases de perigo]),
""),"-")</f>
        <v/>
      </c>
      <c r="HA70" s="495" t="str">
        <f t="shared" ca="1" si="43"/>
        <v/>
      </c>
      <c r="HB70" s="495" t="str">
        <f t="shared" ca="1" si="44"/>
        <v/>
      </c>
      <c r="HC70" s="495" t="str">
        <f t="shared" ca="1" si="45"/>
        <v/>
      </c>
      <c r="HD70" s="586"/>
      <c r="HE70" s="586"/>
      <c r="HF70" s="586" t="str" cm="1">
        <f t="array" ref="HF70">IFERROR(
IF(HE70&lt;&gt;"",_xlfn.XLOOKUP(HE70, tb_codigos_GHS_ABNT[Código], tb_codigos_GHS_ABNT[Código] &amp; ": " &amp; tb_codigos_GHS_ABNT[Frases de perigo]),
""),"Frase de perigo: -Erro-")</f>
        <v/>
      </c>
      <c r="HJ70" s="20" t="s">
        <v>8472</v>
      </c>
      <c r="HK70" s="20" t="s">
        <v>8473</v>
      </c>
      <c r="HL70" s="20" t="s">
        <v>8474</v>
      </c>
      <c r="HM70" s="20" t="s">
        <v>5821</v>
      </c>
      <c r="HN70" s="20" t="s">
        <v>8449</v>
      </c>
      <c r="HO70" s="20" t="str">
        <f>tb_codigos_GHS_ABNT[[#This Row],[Código]]&amp;": "&amp;tb_codigos_GHS_ABNT[[#This Row],[Frases de perigo]]</f>
        <v>H317: Pode provocar reações alérgicas na pele</v>
      </c>
    </row>
    <row r="71" spans="1:223" ht="15" customHeight="1" x14ac:dyDescent="0.25">
      <c r="F71" s="624" t="s">
        <v>134</v>
      </c>
      <c r="G71" s="609" t="s">
        <v>5738</v>
      </c>
      <c r="H71" s="609">
        <v>64</v>
      </c>
      <c r="I71" s="609">
        <v>65</v>
      </c>
      <c r="J71" s="539" cm="1">
        <f t="array" aca="1" ref="J71" ca="1">INDIRECT($G$64&amp;$G71&amp;$H71,1)</f>
        <v>0</v>
      </c>
      <c r="K71" s="539" t="str">
        <f t="shared" ref="K71:K75" ca="1" si="68">IFERROR(J71/$J$70,"-")</f>
        <v>-</v>
      </c>
      <c r="L71" s="539" cm="1">
        <f t="array" aca="1" ref="L71" ca="1">INDIRECT($G$64&amp;$G71&amp;$I71,1)</f>
        <v>0</v>
      </c>
      <c r="M71" s="625" t="str">
        <f t="shared" ref="M71:M75" ca="1" si="69">IFERROR(L71/$L$70,"-")</f>
        <v>-</v>
      </c>
      <c r="N71" s="20"/>
      <c r="AV71" s="469" t="s">
        <v>5510</v>
      </c>
      <c r="BF71" s="469" t="s">
        <v>5510</v>
      </c>
      <c r="BL71" s="372"/>
      <c r="BO71" s="472"/>
      <c r="BQ71" s="20"/>
      <c r="BT71" s="372"/>
      <c r="BU71" s="472"/>
      <c r="BV71" s="472"/>
      <c r="BW71" s="372"/>
      <c r="BX71" s="472"/>
      <c r="BY71" s="372"/>
      <c r="BZ71" s="472"/>
      <c r="CA71" s="372"/>
      <c r="CE71" s="372"/>
      <c r="CF71" s="472"/>
      <c r="CG71" s="472"/>
      <c r="CH71" s="372"/>
      <c r="CI71" s="472"/>
      <c r="CJ71" s="372"/>
      <c r="CK71" s="472"/>
      <c r="CL71" s="372"/>
      <c r="CU71" s="469" t="s">
        <v>5510</v>
      </c>
      <c r="CV71" s="566">
        <v>3</v>
      </c>
      <c r="CW71" s="558">
        <f t="shared" si="67"/>
        <v>84</v>
      </c>
      <c r="CX71" s="492" cm="1">
        <f t="array" aca="1" ref="CX71" ca="1">INDIRECT($DD$2&amp;CX$28&amp;$CW71)</f>
        <v>0</v>
      </c>
      <c r="CY71" s="492" cm="1">
        <f t="array" aca="1" ref="CY71" ca="1">INDIRECT($DD$2&amp;CY$28&amp;$CW71)</f>
        <v>0</v>
      </c>
      <c r="CZ71" s="492" cm="1">
        <f t="array" aca="1" ref="CZ71" ca="1">INDIRECT($DD$2&amp;CZ$28&amp;$CW71)</f>
        <v>0</v>
      </c>
      <c r="DA71" s="492" cm="1">
        <f t="array" aca="1" ref="DA71" ca="1">INDIRECT($DD$2&amp;DA$28&amp;$CW71)</f>
        <v>0</v>
      </c>
      <c r="DB71" s="492" cm="1">
        <f t="array" aca="1" ref="DB71" ca="1">INDIRECT($DD$2&amp;DB$28&amp;$CW71)</f>
        <v>0</v>
      </c>
      <c r="DC71" s="492" cm="1">
        <f t="array" aca="1" ref="DC71" ca="1">INDIRECT($DD$2&amp;DC$28&amp;$CW71)</f>
        <v>0</v>
      </c>
      <c r="DD71" s="492" t="str">
        <f t="shared" ca="1" si="65"/>
        <v/>
      </c>
      <c r="DE71" s="492" t="str">
        <f t="shared" ca="1" si="66"/>
        <v/>
      </c>
      <c r="EQ71" s="469" t="s">
        <v>5510</v>
      </c>
      <c r="ES71" s="20" t="s">
        <v>5788</v>
      </c>
      <c r="ET71" s="543" t="s">
        <v>8184</v>
      </c>
      <c r="EW71" s="22" t="str">
        <f ca="1">AD4</f>
        <v>Não foi declarado componente toxicologicamente relevante</v>
      </c>
      <c r="GC71" s="472" t="s">
        <v>5510</v>
      </c>
      <c r="GE71" s="597">
        <v>34</v>
      </c>
      <c r="GF71" s="597" cm="1">
        <f t="array" aca="1" ref="GF71" ca="1">INDIRECT($GE$8&amp;GF$57&amp;$GE71,1)</f>
        <v>0</v>
      </c>
      <c r="GG71" s="597" cm="1">
        <f t="array" aca="1" ref="GG71" ca="1">INDIRECT($GE$8&amp;GG$57&amp;$GE71,1)</f>
        <v>0</v>
      </c>
      <c r="GH71" s="597" cm="1">
        <f t="array" aca="1" ref="GH71" ca="1">INDIRECT($GE$8&amp;GH$57&amp;$GE71,1)</f>
        <v>0</v>
      </c>
      <c r="GI71" s="601" t="b">
        <f>Respostas_usuario!AB36</f>
        <v>0</v>
      </c>
      <c r="GJ71" s="602" cm="1">
        <f t="array" aca="1" ref="GJ71" ca="1">INDIRECT($GE$9&amp;GF$57&amp;$GE71,1)</f>
        <v>0</v>
      </c>
      <c r="GK71" s="597" cm="1">
        <f t="array" aca="1" ref="GK71" ca="1">INDIRECT($GE$9&amp;GG$57&amp;$GE71,1)</f>
        <v>0</v>
      </c>
      <c r="GL71" s="597" cm="1">
        <f t="array" aca="1" ref="GL71" ca="1">INDIRECT($GE$9&amp;GH$57&amp;$GE71,1)</f>
        <v>0</v>
      </c>
      <c r="GM71" s="603" t="b">
        <f>Respostas_usuario!AC36</f>
        <v>0</v>
      </c>
      <c r="GY71" s="492" t="str">
        <f t="shared" ca="1" si="42"/>
        <v/>
      </c>
      <c r="GZ71" s="495" t="str" cm="1">
        <f t="array" aca="1" ref="GZ71" ca="1">IFERROR(
IF(
AND(
 GY71&lt;&gt;"",
  ISERR(FIND(HA$31, $GY71)),
  ISERR(FIND(HB$31, $GY71)),
  ISERR(FIND(HC$31, $GY71))),
_xlfn.XLOOKUP(TRIM($GY71), tb_codigos_GHS_ABNT[Código], tb_codigos_GHS_ABNT[Código] &amp; ": " &amp; tb_codigos_GHS_ABNT[Frases de perigo]),
""),"-")</f>
        <v/>
      </c>
      <c r="HA71" s="495" t="str">
        <f t="shared" ca="1" si="43"/>
        <v/>
      </c>
      <c r="HB71" s="495" t="str">
        <f t="shared" ca="1" si="44"/>
        <v/>
      </c>
      <c r="HC71" s="495" t="str">
        <f t="shared" ca="1" si="45"/>
        <v/>
      </c>
      <c r="HD71" s="586"/>
      <c r="HE71" s="586"/>
      <c r="HF71" s="586" t="str" cm="1">
        <f t="array" ref="HF71">IFERROR(
IF(HE71&lt;&gt;"",_xlfn.XLOOKUP(HE71, tb_codigos_GHS_ABNT[Código], tb_codigos_GHS_ABNT[Código] &amp; ": " &amp; tb_codigos_GHS_ABNT[Frases de perigo]),
""),"Frase de perigo: -Erro-")</f>
        <v/>
      </c>
      <c r="HJ71" s="20" t="s">
        <v>8475</v>
      </c>
      <c r="HK71" s="20" t="s">
        <v>5888</v>
      </c>
      <c r="HL71" s="20" t="s">
        <v>8476</v>
      </c>
      <c r="HM71" s="20" t="s">
        <v>5821</v>
      </c>
      <c r="HN71" s="20" t="s">
        <v>8448</v>
      </c>
      <c r="HO71" s="20" t="str">
        <f>tb_codigos_GHS_ABNT[[#This Row],[Código]]&amp;": "&amp;tb_codigos_GHS_ABNT[[#This Row],[Frases de perigo]]</f>
        <v>H318: Provoca lesões oculares graves</v>
      </c>
    </row>
    <row r="72" spans="1:223" x14ac:dyDescent="0.25">
      <c r="F72" s="624" t="s">
        <v>136</v>
      </c>
      <c r="G72" s="609" t="s">
        <v>5740</v>
      </c>
      <c r="H72" s="609">
        <v>64</v>
      </c>
      <c r="I72" s="609">
        <v>65</v>
      </c>
      <c r="J72" s="539" cm="1">
        <f t="array" aca="1" ref="J72" ca="1">INDIRECT($G$64&amp;$G72&amp;$H72,1)</f>
        <v>0</v>
      </c>
      <c r="K72" s="539" t="str">
        <f t="shared" ca="1" si="68"/>
        <v>-</v>
      </c>
      <c r="L72" s="539" cm="1">
        <f t="array" aca="1" ref="L72" ca="1">INDIRECT($G$64&amp;$G72&amp;$I72,1)</f>
        <v>0</v>
      </c>
      <c r="M72" s="625" t="str">
        <f t="shared" ca="1" si="69"/>
        <v>-</v>
      </c>
      <c r="N72" s="20"/>
      <c r="AV72" s="469" t="s">
        <v>5510</v>
      </c>
      <c r="BF72" s="469" t="s">
        <v>5510</v>
      </c>
      <c r="BQ72" s="20"/>
      <c r="BT72" s="372"/>
      <c r="BU72" s="472"/>
      <c r="BV72" s="472"/>
      <c r="BW72" s="472"/>
      <c r="BX72" s="472"/>
      <c r="BY72" s="372"/>
      <c r="BZ72" s="372"/>
      <c r="CA72" s="372"/>
      <c r="CE72" s="372"/>
      <c r="CF72" s="472"/>
      <c r="CG72" s="472"/>
      <c r="CH72" s="472"/>
      <c r="CI72" s="472"/>
      <c r="CJ72" s="372"/>
      <c r="CK72" s="372"/>
      <c r="CL72" s="372"/>
      <c r="CU72" s="469" t="s">
        <v>5510</v>
      </c>
      <c r="CV72" s="492">
        <v>3</v>
      </c>
      <c r="CW72" s="558">
        <f t="shared" si="67"/>
        <v>85</v>
      </c>
      <c r="CX72" s="492" cm="1">
        <f t="array" aca="1" ref="CX72" ca="1">INDIRECT($DD$2&amp;CX$28&amp;$CW72)</f>
        <v>0</v>
      </c>
      <c r="CY72" s="492" cm="1">
        <f t="array" aca="1" ref="CY72" ca="1">INDIRECT($DD$2&amp;CY$28&amp;$CW72)</f>
        <v>0</v>
      </c>
      <c r="CZ72" s="492" cm="1">
        <f t="array" aca="1" ref="CZ72" ca="1">INDIRECT($DD$2&amp;CZ$28&amp;$CW72)</f>
        <v>0</v>
      </c>
      <c r="DA72" s="492" cm="1">
        <f t="array" aca="1" ref="DA72" ca="1">INDIRECT($DD$2&amp;DA$28&amp;$CW72)</f>
        <v>0</v>
      </c>
      <c r="DB72" s="492" cm="1">
        <f t="array" aca="1" ref="DB72" ca="1">INDIRECT($DD$2&amp;DB$28&amp;$CW72)</f>
        <v>0</v>
      </c>
      <c r="DC72" s="492" cm="1">
        <f t="array" aca="1" ref="DC72" ca="1">INDIRECT($DD$2&amp;DC$28&amp;$CW72)</f>
        <v>0</v>
      </c>
      <c r="DD72" s="492" t="str">
        <f t="shared" ca="1" si="65"/>
        <v/>
      </c>
      <c r="DE72" s="492" t="str">
        <f t="shared" ca="1" si="66"/>
        <v/>
      </c>
      <c r="EQ72" s="469" t="s">
        <v>5510</v>
      </c>
      <c r="ES72" s="504" t="s">
        <v>8190</v>
      </c>
      <c r="ET72" s="507" t="s">
        <v>8191</v>
      </c>
      <c r="EU72" s="585">
        <v>20</v>
      </c>
      <c r="EV72" s="20" t="s">
        <v>125</v>
      </c>
      <c r="EW72" s="22" t="str" cm="1">
        <f t="array" aca="1" ref="EW72" ca="1">IF(INDIRECT($ET$72&amp;EU72)=0,"Não apresentado",
IF(INDIRECT($ET$73&amp;EU72)&lt;&gt;0,INDIRECT($ET$73&amp;EU72),
IF(INDIRECT($ET$74&amp;EU72)&lt;&gt;0,INDIRECT($ET$74&amp;EU72),"Não informado")))</f>
        <v>Não apresentado</v>
      </c>
      <c r="GC72" s="472" t="s">
        <v>5510</v>
      </c>
      <c r="GE72" s="597">
        <v>35</v>
      </c>
      <c r="GF72" s="597" cm="1">
        <f t="array" aca="1" ref="GF72" ca="1">INDIRECT($GE$8&amp;GF$57&amp;$GE72,1)</f>
        <v>0</v>
      </c>
      <c r="GG72" s="597" cm="1">
        <f t="array" aca="1" ref="GG72" ca="1">INDIRECT($GE$8&amp;GG$57&amp;$GE72,1)</f>
        <v>0</v>
      </c>
      <c r="GH72" s="597" cm="1">
        <f t="array" aca="1" ref="GH72" ca="1">INDIRECT($GE$8&amp;GH$57&amp;$GE72,1)</f>
        <v>0</v>
      </c>
      <c r="GI72" s="601" t="b">
        <f>Respostas_usuario!AB37</f>
        <v>0</v>
      </c>
      <c r="GJ72" s="602" cm="1">
        <f t="array" aca="1" ref="GJ72" ca="1">INDIRECT($GE$9&amp;GF$57&amp;$GE72,1)</f>
        <v>0</v>
      </c>
      <c r="GK72" s="597" cm="1">
        <f t="array" aca="1" ref="GK72" ca="1">INDIRECT($GE$9&amp;GG$57&amp;$GE72,1)</f>
        <v>0</v>
      </c>
      <c r="GL72" s="597" cm="1">
        <f t="array" aca="1" ref="GL72" ca="1">INDIRECT($GE$9&amp;GH$57&amp;$GE72,1)</f>
        <v>0</v>
      </c>
      <c r="GM72" s="603" t="b">
        <f>Respostas_usuario!AC37</f>
        <v>0</v>
      </c>
      <c r="GO72" s="20" t="s">
        <v>8207</v>
      </c>
      <c r="GP72" s="634" t="s">
        <v>1592</v>
      </c>
      <c r="HJ72" s="20" t="s">
        <v>8477</v>
      </c>
      <c r="HK72" s="20" t="s">
        <v>8478</v>
      </c>
      <c r="HL72" s="20" t="s">
        <v>8476</v>
      </c>
      <c r="HM72" s="20" t="s">
        <v>8479</v>
      </c>
      <c r="HN72" s="20" t="s">
        <v>8449</v>
      </c>
      <c r="HO72" s="20" t="str">
        <f>tb_codigos_GHS_ABNT[[#This Row],[Código]]&amp;": "&amp;tb_codigos_GHS_ABNT[[#This Row],[Frases de perigo]]</f>
        <v>H319: Provoca irritação ocular grave</v>
      </c>
    </row>
    <row r="73" spans="1:223" x14ac:dyDescent="0.25">
      <c r="F73" s="624" t="s">
        <v>137</v>
      </c>
      <c r="G73" s="609" t="s">
        <v>6321</v>
      </c>
      <c r="H73" s="609">
        <v>64</v>
      </c>
      <c r="I73" s="609">
        <v>65</v>
      </c>
      <c r="J73" s="539" cm="1">
        <f t="array" aca="1" ref="J73" ca="1">INDIRECT($G$64&amp;$G73&amp;$H73,1)</f>
        <v>0</v>
      </c>
      <c r="K73" s="539" t="str">
        <f t="shared" ca="1" si="68"/>
        <v>-</v>
      </c>
      <c r="L73" s="539" cm="1">
        <f t="array" aca="1" ref="L73" ca="1">INDIRECT($G$64&amp;$G73&amp;$I73,1)</f>
        <v>0</v>
      </c>
      <c r="M73" s="625" t="str">
        <f t="shared" ca="1" si="69"/>
        <v>-</v>
      </c>
      <c r="N73" s="20"/>
      <c r="Y73" s="20"/>
      <c r="AF73" s="20"/>
      <c r="AK73" s="20"/>
      <c r="AV73" s="469" t="s">
        <v>5510</v>
      </c>
      <c r="BF73" s="469" t="s">
        <v>5510</v>
      </c>
      <c r="BQ73" s="20"/>
      <c r="BT73" s="372"/>
      <c r="BU73" s="472"/>
      <c r="BV73" s="472"/>
      <c r="BW73" s="472"/>
      <c r="BX73" s="472"/>
      <c r="BY73" s="372"/>
      <c r="BZ73" s="372"/>
      <c r="CA73" s="372"/>
      <c r="CE73" s="372"/>
      <c r="CF73" s="472"/>
      <c r="CG73" s="472"/>
      <c r="CH73" s="472"/>
      <c r="CI73" s="472"/>
      <c r="CJ73" s="372"/>
      <c r="CK73" s="372"/>
      <c r="CL73" s="372"/>
      <c r="CU73" s="469" t="s">
        <v>5510</v>
      </c>
      <c r="CV73" s="492">
        <v>3</v>
      </c>
      <c r="CW73" s="558">
        <f t="shared" si="67"/>
        <v>86</v>
      </c>
      <c r="CX73" s="492" cm="1">
        <f t="array" aca="1" ref="CX73" ca="1">INDIRECT($DD$2&amp;CX$28&amp;$CW73)</f>
        <v>0</v>
      </c>
      <c r="CY73" s="492" cm="1">
        <f t="array" aca="1" ref="CY73" ca="1">INDIRECT($DD$2&amp;CY$28&amp;$CW73)</f>
        <v>0</v>
      </c>
      <c r="CZ73" s="492" cm="1">
        <f t="array" aca="1" ref="CZ73" ca="1">INDIRECT($DD$2&amp;CZ$28&amp;$CW73)</f>
        <v>0</v>
      </c>
      <c r="DA73" s="492" cm="1">
        <f t="array" aca="1" ref="DA73" ca="1">INDIRECT($DD$2&amp;DA$28&amp;$CW73)</f>
        <v>0</v>
      </c>
      <c r="DB73" s="492" cm="1">
        <f t="array" aca="1" ref="DB73" ca="1">INDIRECT($DD$2&amp;DB$28&amp;$CW73)</f>
        <v>0</v>
      </c>
      <c r="DC73" s="492" cm="1">
        <f t="array" aca="1" ref="DC73" ca="1">INDIRECT($DD$2&amp;DC$28&amp;$CW73)</f>
        <v>0</v>
      </c>
      <c r="DD73" s="492" t="str">
        <f t="shared" ca="1" si="65"/>
        <v/>
      </c>
      <c r="DE73" s="492" t="str">
        <f t="shared" ca="1" si="66"/>
        <v/>
      </c>
      <c r="EQ73" s="469" t="s">
        <v>5510</v>
      </c>
      <c r="ES73" s="504" t="s">
        <v>8186</v>
      </c>
      <c r="ET73" s="507" t="s">
        <v>8188</v>
      </c>
      <c r="EU73" s="585">
        <v>21</v>
      </c>
      <c r="EV73" s="20" t="s">
        <v>19</v>
      </c>
      <c r="EW73" s="22" t="str" cm="1">
        <f t="array" aca="1" ref="EW73" ca="1">IF(INDIRECT($ET$72&amp;EU73)=0,"Não apresentado",
IF(INDIRECT($ET$73&amp;EU73)&lt;&gt;0,INDIRECT($ET$73&amp;EU73),
IF(INDIRECT($ET$74&amp;EU73)&lt;&gt;0,INDIRECT($ET$74&amp;EU73),"Não informado")))</f>
        <v>Não apresentado</v>
      </c>
      <c r="GC73" s="472" t="s">
        <v>5510</v>
      </c>
      <c r="GE73" s="597">
        <v>36</v>
      </c>
      <c r="GF73" s="597" cm="1">
        <f t="array" aca="1" ref="GF73" ca="1">INDIRECT($GE$8&amp;GF$57&amp;$GE73,1)</f>
        <v>0</v>
      </c>
      <c r="GG73" s="597" cm="1">
        <f t="array" aca="1" ref="GG73" ca="1">INDIRECT($GE$8&amp;GG$57&amp;$GE73,1)</f>
        <v>0</v>
      </c>
      <c r="GH73" s="597" cm="1">
        <f t="array" aca="1" ref="GH73" ca="1">INDIRECT($GE$8&amp;GH$57&amp;$GE73,1)</f>
        <v>0</v>
      </c>
      <c r="GI73" s="601" t="b">
        <f>Respostas_usuario!AB38</f>
        <v>0</v>
      </c>
      <c r="GJ73" s="627" cm="1">
        <f t="array" aca="1" ref="GJ73" ca="1">INDIRECT($GE$9&amp;GF$57&amp;$GE73,1)</f>
        <v>0</v>
      </c>
      <c r="GK73" s="628" cm="1">
        <f t="array" aca="1" ref="GK73" ca="1">INDIRECT($GE$9&amp;GG$57&amp;$GE73,1)</f>
        <v>0</v>
      </c>
      <c r="GL73" s="628" cm="1">
        <f t="array" aca="1" ref="GL73" ca="1">INDIRECT($GE$9&amp;GH$57&amp;$GE73,1)</f>
        <v>0</v>
      </c>
      <c r="GM73" s="629" t="b">
        <f>Respostas_usuario!AC38</f>
        <v>0</v>
      </c>
      <c r="GO73" s="20" t="s">
        <v>8208</v>
      </c>
      <c r="GP73" s="634" t="s">
        <v>6552</v>
      </c>
      <c r="HJ73" s="20" t="s">
        <v>8480</v>
      </c>
      <c r="HK73" s="20" t="s">
        <v>8481</v>
      </c>
      <c r="HL73" s="20" t="s">
        <v>8476</v>
      </c>
      <c r="HM73" s="20" t="s">
        <v>8482</v>
      </c>
      <c r="HN73" s="20" t="s">
        <v>8449</v>
      </c>
      <c r="HO73" s="20" t="str">
        <f>tb_codigos_GHS_ABNT[[#This Row],[Código]]&amp;": "&amp;tb_codigos_GHS_ABNT[[#This Row],[Frases de perigo]]</f>
        <v>H320: Provoca irritação ocular</v>
      </c>
    </row>
    <row r="74" spans="1:223" x14ac:dyDescent="0.25">
      <c r="F74" s="624" t="s">
        <v>138</v>
      </c>
      <c r="G74" s="609" t="s">
        <v>5781</v>
      </c>
      <c r="H74" s="609">
        <v>64</v>
      </c>
      <c r="I74" s="609">
        <v>65</v>
      </c>
      <c r="J74" s="539" cm="1">
        <f t="array" aca="1" ref="J74" ca="1">INDIRECT($G$64&amp;$G74&amp;$H74,1)</f>
        <v>0</v>
      </c>
      <c r="K74" s="539" t="str">
        <f t="shared" ca="1" si="68"/>
        <v>-</v>
      </c>
      <c r="L74" s="539" cm="1">
        <f t="array" aca="1" ref="L74" ca="1">INDIRECT($G$64&amp;$G74&amp;$I74,1)</f>
        <v>0</v>
      </c>
      <c r="M74" s="625" t="str">
        <f t="shared" ca="1" si="69"/>
        <v>-</v>
      </c>
      <c r="N74" s="20"/>
      <c r="Y74" s="20"/>
      <c r="AF74" s="20"/>
      <c r="AK74" s="20"/>
      <c r="AV74" s="469" t="s">
        <v>5510</v>
      </c>
      <c r="BF74" s="469" t="s">
        <v>5510</v>
      </c>
      <c r="BG74" s="469">
        <v>1</v>
      </c>
      <c r="BH74" s="539" t="s">
        <v>8041</v>
      </c>
      <c r="BI74" s="539">
        <f>BI69+$BO$6</f>
        <v>81</v>
      </c>
      <c r="BJ74" s="539" cm="1">
        <f t="array" aca="1" ref="BJ74" ca="1">INDIRECT($BM$2&amp;BJ$7&amp;$BI74,1)</f>
        <v>0</v>
      </c>
      <c r="BK74" s="539" cm="1">
        <f t="array" aca="1" ref="BK74" ca="1">INDIRECT($BM$2&amp;BK$7&amp;$BI74,1)</f>
        <v>0</v>
      </c>
      <c r="BL74" s="539" cm="1">
        <f t="array" aca="1" ref="BL74" ca="1">INDIRECT($BM$2&amp;BL$7&amp;$BI74,1)</f>
        <v>0</v>
      </c>
      <c r="BM74" s="539" cm="1">
        <f t="array" aca="1" ref="BM74" ca="1">INDIRECT($BM$2&amp;BM$7&amp;$BI74,1)</f>
        <v>0</v>
      </c>
      <c r="BN74" s="539" cm="1">
        <f t="array" aca="1" ref="BN74" ca="1">INDIRECT($BM$2&amp;BN$7&amp;$BI74,1)</f>
        <v>0</v>
      </c>
      <c r="BO74" s="539" t="str">
        <f ca="1">IFERROR(BK74/BK$74,"-")</f>
        <v>-</v>
      </c>
      <c r="BP74" s="540" t="s">
        <v>8221</v>
      </c>
      <c r="BQ74" s="20"/>
      <c r="BR74" s="469">
        <v>1</v>
      </c>
      <c r="BS74" s="539" t="s">
        <v>8041</v>
      </c>
      <c r="BT74" s="539">
        <f>BT69+$BO$6</f>
        <v>427</v>
      </c>
      <c r="BU74" s="539" cm="1">
        <f t="array" aca="1" ref="BU74" ca="1">INDIRECT($BM$2&amp;BU$7&amp;$BT74,1)</f>
        <v>0</v>
      </c>
      <c r="BV74" s="539" cm="1">
        <f t="array" aca="1" ref="BV74" ca="1">INDIRECT($BM$2&amp;BV$7&amp;$BT74,1)</f>
        <v>0</v>
      </c>
      <c r="BW74" s="539" cm="1">
        <f t="array" aca="1" ref="BW74" ca="1">INDIRECT($BM$2&amp;BW$7&amp;$BT74,1)</f>
        <v>0</v>
      </c>
      <c r="BX74" s="539" cm="1">
        <f t="array" aca="1" ref="BX74" ca="1">INDIRECT($BM$2&amp;BX$7&amp;$BT74,1)</f>
        <v>0</v>
      </c>
      <c r="BY74" s="539" cm="1">
        <f t="array" aca="1" ref="BY74" ca="1">INDIRECT($BM$2&amp;BY$7&amp;$BT74,1)</f>
        <v>0</v>
      </c>
      <c r="BZ74" s="539" t="str">
        <f ca="1">IFERROR(BV74/BV$74,"-")</f>
        <v>-</v>
      </c>
      <c r="CA74" s="540" t="s">
        <v>8221</v>
      </c>
      <c r="CC74" s="469">
        <v>1</v>
      </c>
      <c r="CD74" s="539" t="s">
        <v>8041</v>
      </c>
      <c r="CE74" s="539">
        <f>CE69+$BO$6</f>
        <v>773</v>
      </c>
      <c r="CF74" s="539" cm="1">
        <f t="array" aca="1" ref="CF74" ca="1">INDIRECT($BM$2&amp;CF$7&amp;$CE74,1)</f>
        <v>0</v>
      </c>
      <c r="CG74" s="539" cm="1">
        <f t="array" aca="1" ref="CG74" ca="1">INDIRECT($BM$2&amp;CG$7&amp;$CE74,1)</f>
        <v>0</v>
      </c>
      <c r="CH74" s="539" cm="1">
        <f t="array" aca="1" ref="CH74" ca="1">INDIRECT($BM$2&amp;CH$7&amp;$CE74,1)</f>
        <v>0</v>
      </c>
      <c r="CI74" s="539" cm="1">
        <f t="array" aca="1" ref="CI74" ca="1">INDIRECT($BM$2&amp;CI$7&amp;$CE74,1)</f>
        <v>0</v>
      </c>
      <c r="CJ74" s="539" cm="1">
        <f t="array" aca="1" ref="CJ74" ca="1">INDIRECT($BM$2&amp;CJ$7&amp;$CE74,1)</f>
        <v>0</v>
      </c>
      <c r="CK74" s="539" t="str">
        <f ca="1">IFERROR(CG74/CG$74,"-")</f>
        <v>-</v>
      </c>
      <c r="CL74" s="540" t="s">
        <v>8221</v>
      </c>
      <c r="CU74" s="469" t="s">
        <v>5510</v>
      </c>
      <c r="CV74" s="492">
        <v>3</v>
      </c>
      <c r="CW74" s="558">
        <f t="shared" si="67"/>
        <v>87</v>
      </c>
      <c r="CX74" s="492" cm="1">
        <f t="array" aca="1" ref="CX74" ca="1">INDIRECT($DD$2&amp;CX$28&amp;$CW74)</f>
        <v>0</v>
      </c>
      <c r="CY74" s="492" cm="1">
        <f t="array" aca="1" ref="CY74" ca="1">INDIRECT($DD$2&amp;CY$28&amp;$CW74)</f>
        <v>0</v>
      </c>
      <c r="CZ74" s="492" cm="1">
        <f t="array" aca="1" ref="CZ74" ca="1">INDIRECT($DD$2&amp;CZ$28&amp;$CW74)</f>
        <v>0</v>
      </c>
      <c r="DA74" s="492" cm="1">
        <f t="array" aca="1" ref="DA74" ca="1">INDIRECT($DD$2&amp;DA$28&amp;$CW74)</f>
        <v>0</v>
      </c>
      <c r="DB74" s="492" cm="1">
        <f t="array" aca="1" ref="DB74" ca="1">INDIRECT($DD$2&amp;DB$28&amp;$CW74)</f>
        <v>0</v>
      </c>
      <c r="DC74" s="492" cm="1">
        <f t="array" aca="1" ref="DC74" ca="1">INDIRECT($DD$2&amp;DC$28&amp;$CW74)</f>
        <v>0</v>
      </c>
      <c r="DD74" s="492" t="str">
        <f t="shared" ca="1" si="65"/>
        <v/>
      </c>
      <c r="DE74" s="492" t="str">
        <f t="shared" ca="1" si="66"/>
        <v/>
      </c>
      <c r="EQ74" s="469" t="s">
        <v>5510</v>
      </c>
      <c r="ES74" s="504" t="s">
        <v>8187</v>
      </c>
      <c r="ET74" s="507" t="s">
        <v>8189</v>
      </c>
      <c r="EU74" s="585">
        <v>22</v>
      </c>
      <c r="EV74" s="20" t="s">
        <v>20</v>
      </c>
      <c r="EW74" s="22" t="str" cm="1">
        <f t="array" aca="1" ref="EW74" ca="1">IF(INDIRECT($ET$72&amp;EU74)=0,"Não apresentado",
IF(INDIRECT($ET$73&amp;EU74)&lt;&gt;0,INDIRECT($ET$73&amp;EU74),
IF(INDIRECT($ET$74&amp;EU74)&lt;&gt;0,INDIRECT($ET$74&amp;EU74),"Não informado")))</f>
        <v>Não apresentado</v>
      </c>
      <c r="GC74" s="472" t="s">
        <v>5510</v>
      </c>
      <c r="GO74" s="20" t="s">
        <v>8209</v>
      </c>
      <c r="GP74" s="634" t="s">
        <v>8210</v>
      </c>
      <c r="HJ74" s="20" t="s">
        <v>8483</v>
      </c>
      <c r="HK74" s="20" t="s">
        <v>5842</v>
      </c>
      <c r="HL74" s="20" t="s">
        <v>8484</v>
      </c>
      <c r="HM74" s="20" t="s">
        <v>8452</v>
      </c>
      <c r="HN74" s="20" t="s">
        <v>8448</v>
      </c>
      <c r="HO74" s="20" t="str">
        <f>tb_codigos_GHS_ABNT[[#This Row],[Código]]&amp;": "&amp;tb_codigos_GHS_ABNT[[#This Row],[Frases de perigo]]</f>
        <v>H330: Fatal se inalado</v>
      </c>
    </row>
    <row r="75" spans="1:223" x14ac:dyDescent="0.25">
      <c r="F75" s="624" t="s">
        <v>135</v>
      </c>
      <c r="G75" s="609" t="s">
        <v>5782</v>
      </c>
      <c r="H75" s="609">
        <v>64</v>
      </c>
      <c r="I75" s="609">
        <v>65</v>
      </c>
      <c r="J75" s="539" cm="1">
        <f t="array" aca="1" ref="J75" ca="1">INDIRECT($G$64&amp;$G75&amp;$H75,1)</f>
        <v>0</v>
      </c>
      <c r="K75" s="539" t="str">
        <f t="shared" ca="1" si="68"/>
        <v>-</v>
      </c>
      <c r="L75" s="539" cm="1">
        <f t="array" aca="1" ref="L75" ca="1">INDIRECT($G$64&amp;$G75&amp;$I75,1)</f>
        <v>0</v>
      </c>
      <c r="M75" s="625" t="str">
        <f t="shared" ca="1" si="69"/>
        <v>-</v>
      </c>
      <c r="N75" s="20"/>
      <c r="Y75" s="20"/>
      <c r="AF75" s="20"/>
      <c r="AK75" s="20"/>
      <c r="AV75" s="469" t="s">
        <v>5510</v>
      </c>
      <c r="BF75" s="469" t="s">
        <v>5510</v>
      </c>
      <c r="BG75" s="469">
        <v>2</v>
      </c>
      <c r="BH75" s="539" t="s">
        <v>8041</v>
      </c>
      <c r="BI75" s="539">
        <f>BI74+1</f>
        <v>82</v>
      </c>
      <c r="BJ75" s="539" cm="1">
        <f t="array" aca="1" ref="BJ75" ca="1">INDIRECT($BM$2&amp;BJ$7&amp;$BI75,1)</f>
        <v>0</v>
      </c>
      <c r="BK75" s="539" cm="1">
        <f t="array" aca="1" ref="BK75" ca="1">INDIRECT($BM$2&amp;BK$7&amp;$BI75,1)</f>
        <v>0</v>
      </c>
      <c r="BL75" s="539" cm="1">
        <f t="array" aca="1" ref="BL75" ca="1">INDIRECT($BM$2&amp;BL$7&amp;$BI75,1)</f>
        <v>0</v>
      </c>
      <c r="BM75" s="539" cm="1">
        <f t="array" aca="1" ref="BM75" ca="1">INDIRECT($BM$2&amp;BM$7&amp;$BI75,1)</f>
        <v>0</v>
      </c>
      <c r="BN75" s="539" cm="1">
        <f t="array" aca="1" ref="BN75" ca="1">INDIRECT($BM$2&amp;BN$7&amp;$BI75,1)</f>
        <v>0</v>
      </c>
      <c r="BO75" s="539" t="str">
        <f t="shared" ref="BO75:BO85" ca="1" si="70">IF(BK75=0,"-",IFERROR(BK75/BK$74,"-"))</f>
        <v>-</v>
      </c>
      <c r="BP75" s="494" t="s">
        <v>8222</v>
      </c>
      <c r="BQ75" s="20"/>
      <c r="BR75" s="469">
        <v>2</v>
      </c>
      <c r="BS75" s="539" t="s">
        <v>8041</v>
      </c>
      <c r="BT75" s="539">
        <f>BT74+1</f>
        <v>428</v>
      </c>
      <c r="BU75" s="539" cm="1">
        <f t="array" aca="1" ref="BU75" ca="1">INDIRECT($BM$2&amp;BU$7&amp;$BT75,1)</f>
        <v>0</v>
      </c>
      <c r="BV75" s="539" cm="1">
        <f t="array" aca="1" ref="BV75" ca="1">INDIRECT($BM$2&amp;BV$7&amp;$BT75,1)</f>
        <v>0</v>
      </c>
      <c r="BW75" s="539" cm="1">
        <f t="array" aca="1" ref="BW75" ca="1">INDIRECT($BM$2&amp;BW$7&amp;$BT75,1)</f>
        <v>0</v>
      </c>
      <c r="BX75" s="539" cm="1">
        <f t="array" aca="1" ref="BX75" ca="1">INDIRECT($BM$2&amp;BX$7&amp;$BT75,1)</f>
        <v>0</v>
      </c>
      <c r="BY75" s="539" cm="1">
        <f t="array" aca="1" ref="BY75" ca="1">INDIRECT($BM$2&amp;BY$7&amp;$BT75,1)</f>
        <v>0</v>
      </c>
      <c r="BZ75" s="539" t="str">
        <f t="shared" ref="BZ75:BZ85" ca="1" si="71">IF(BV75=0,"-",IFERROR(BV75/BV$74,"-"))</f>
        <v>-</v>
      </c>
      <c r="CA75" s="494" t="s">
        <v>8222</v>
      </c>
      <c r="CC75" s="469">
        <v>2</v>
      </c>
      <c r="CD75" s="539" t="s">
        <v>8041</v>
      </c>
      <c r="CE75" s="539">
        <f>CE74+1</f>
        <v>774</v>
      </c>
      <c r="CF75" s="539" cm="1">
        <f t="array" aca="1" ref="CF75" ca="1">INDIRECT($BM$2&amp;CF$7&amp;$CE75,1)</f>
        <v>0</v>
      </c>
      <c r="CG75" s="539" cm="1">
        <f t="array" aca="1" ref="CG75" ca="1">INDIRECT($BM$2&amp;CG$7&amp;$CE75,1)</f>
        <v>0</v>
      </c>
      <c r="CH75" s="539" cm="1">
        <f t="array" aca="1" ref="CH75" ca="1">INDIRECT($BM$2&amp;CH$7&amp;$CE75,1)</f>
        <v>0</v>
      </c>
      <c r="CI75" s="539" cm="1">
        <f t="array" aca="1" ref="CI75" ca="1">INDIRECT($BM$2&amp;CI$7&amp;$CE75,1)</f>
        <v>0</v>
      </c>
      <c r="CJ75" s="539" cm="1">
        <f t="array" aca="1" ref="CJ75" ca="1">INDIRECT($BM$2&amp;CJ$7&amp;$CE75,1)</f>
        <v>0</v>
      </c>
      <c r="CK75" s="539" t="str">
        <f t="shared" ref="CK75:CK85" ca="1" si="72">IF(CG75=0,"-",IFERROR(CG75/CG$74,"-"))</f>
        <v>-</v>
      </c>
      <c r="CL75" s="494" t="s">
        <v>8222</v>
      </c>
      <c r="CU75" s="469" t="s">
        <v>5510</v>
      </c>
      <c r="CV75" s="492">
        <v>3</v>
      </c>
      <c r="CW75" s="558">
        <f t="shared" si="67"/>
        <v>88</v>
      </c>
      <c r="CX75" s="492" cm="1">
        <f t="array" aca="1" ref="CX75" ca="1">INDIRECT($DD$2&amp;CX$28&amp;$CW75)</f>
        <v>0</v>
      </c>
      <c r="CY75" s="492" cm="1">
        <f t="array" aca="1" ref="CY75" ca="1">INDIRECT($DD$2&amp;CY$28&amp;$CW75)</f>
        <v>0</v>
      </c>
      <c r="CZ75" s="492" cm="1">
        <f t="array" aca="1" ref="CZ75" ca="1">INDIRECT($DD$2&amp;CZ$28&amp;$CW75)</f>
        <v>0</v>
      </c>
      <c r="DA75" s="492" cm="1">
        <f t="array" aca="1" ref="DA75" ca="1">INDIRECT($DD$2&amp;DA$28&amp;$CW75)</f>
        <v>0</v>
      </c>
      <c r="DB75" s="492" cm="1">
        <f t="array" aca="1" ref="DB75" ca="1">INDIRECT($DD$2&amp;DB$28&amp;$CW75)</f>
        <v>0</v>
      </c>
      <c r="DC75" s="492" cm="1">
        <f t="array" aca="1" ref="DC75" ca="1">INDIRECT($DD$2&amp;DC$28&amp;$CW75)</f>
        <v>0</v>
      </c>
      <c r="DD75" s="492" t="str">
        <f t="shared" ca="1" si="65"/>
        <v/>
      </c>
      <c r="DE75" s="492" t="str">
        <f t="shared" ca="1" si="66"/>
        <v/>
      </c>
      <c r="EQ75" s="469" t="s">
        <v>5510</v>
      </c>
      <c r="ES75" s="504"/>
      <c r="ET75" s="507"/>
      <c r="EU75" s="585">
        <v>23</v>
      </c>
      <c r="EV75" s="20" t="s">
        <v>234</v>
      </c>
      <c r="EW75" s="22" t="str" cm="1">
        <f t="array" aca="1" ref="EW75" ca="1">IF(INDIRECT($ET$72&amp;EU75)=0,"Não apresentado",
IF(INDIRECT($ET$73&amp;EU75)&lt;&gt;0,INDIRECT($ET$73&amp;EU75),
IF(INDIRECT($ET$74&amp;EU75)&lt;&gt;0,INDIRECT($ET$74&amp;EU75),"Não informado")))</f>
        <v>Não apresentado</v>
      </c>
      <c r="GC75" s="472" t="s">
        <v>5510</v>
      </c>
      <c r="GF75" s="508" t="s">
        <v>8204</v>
      </c>
      <c r="GJ75" s="508" t="s">
        <v>8203</v>
      </c>
      <c r="GK75" s="591"/>
      <c r="GL75" s="591"/>
      <c r="GM75" s="592"/>
      <c r="HJ75" s="20" t="s">
        <v>8485</v>
      </c>
      <c r="HK75" s="20" t="s">
        <v>5843</v>
      </c>
      <c r="HL75" s="20" t="s">
        <v>8484</v>
      </c>
      <c r="HM75" s="20" t="s">
        <v>5826</v>
      </c>
      <c r="HN75" s="20" t="s">
        <v>8448</v>
      </c>
      <c r="HO75" s="20" t="str">
        <f>tb_codigos_GHS_ABNT[[#This Row],[Código]]&amp;": "&amp;tb_codigos_GHS_ABNT[[#This Row],[Frases de perigo]]</f>
        <v>H331: Tóxico se inalado</v>
      </c>
    </row>
    <row r="76" spans="1:223" x14ac:dyDescent="0.25">
      <c r="F76" s="624" t="s">
        <v>8018</v>
      </c>
      <c r="G76" s="609" t="s">
        <v>5912</v>
      </c>
      <c r="H76" s="609">
        <v>52</v>
      </c>
      <c r="I76" s="609">
        <v>52</v>
      </c>
      <c r="J76" s="539" cm="1">
        <f t="array" aca="1" ref="J76" ca="1">INDIRECT($G$64&amp;$G76&amp;$H76,1)</f>
        <v>0</v>
      </c>
      <c r="K76" s="611"/>
      <c r="L76" s="539" cm="1">
        <f t="array" aca="1" ref="L76" ca="1">INDIRECT($G$64&amp;$G76&amp;$I76,1)</f>
        <v>0</v>
      </c>
      <c r="M76" s="611"/>
      <c r="N76" s="20"/>
      <c r="Y76" s="20"/>
      <c r="AF76" s="20"/>
      <c r="AK76" s="20"/>
      <c r="AV76" s="469" t="s">
        <v>5510</v>
      </c>
      <c r="AW76" s="469"/>
      <c r="AY76" s="645" t="s">
        <v>5699</v>
      </c>
      <c r="AZ76" s="20" cm="1">
        <f t="array" aca="1" ref="AZ76" ca="1">INDIRECT("'Sensibilizacao(1)'!N18",1)</f>
        <v>0</v>
      </c>
      <c r="BF76" s="469" t="s">
        <v>5510</v>
      </c>
      <c r="BG76" s="469">
        <v>3</v>
      </c>
      <c r="BH76" s="539" t="s">
        <v>8041</v>
      </c>
      <c r="BI76" s="539">
        <f t="shared" ref="BI76:BI85" si="73">BI75+1</f>
        <v>83</v>
      </c>
      <c r="BJ76" s="539" cm="1">
        <f t="array" aca="1" ref="BJ76" ca="1">INDIRECT($BM$2&amp;BJ$7&amp;$BI76,1)</f>
        <v>0</v>
      </c>
      <c r="BK76" s="539" cm="1">
        <f t="array" aca="1" ref="BK76" ca="1">INDIRECT($BM$2&amp;BK$7&amp;$BI76,1)</f>
        <v>0</v>
      </c>
      <c r="BL76" s="539" cm="1">
        <f t="array" aca="1" ref="BL76" ca="1">INDIRECT($BM$2&amp;BL$7&amp;$BI76,1)</f>
        <v>0</v>
      </c>
      <c r="BM76" s="539" cm="1">
        <f t="array" aca="1" ref="BM76" ca="1">INDIRECT($BM$2&amp;BM$7&amp;$BI76,1)</f>
        <v>0</v>
      </c>
      <c r="BN76" s="539" cm="1">
        <f t="array" aca="1" ref="BN76" ca="1">INDIRECT($BM$2&amp;BN$7&amp;$BI76,1)</f>
        <v>0</v>
      </c>
      <c r="BO76" s="539" t="str">
        <f t="shared" ca="1" si="70"/>
        <v>-</v>
      </c>
      <c r="BP76" s="494" t="s">
        <v>8222</v>
      </c>
      <c r="BQ76" s="20"/>
      <c r="BR76" s="469">
        <v>3</v>
      </c>
      <c r="BS76" s="539" t="s">
        <v>8041</v>
      </c>
      <c r="BT76" s="539">
        <f t="shared" ref="BT76:BT85" si="74">BT75+1</f>
        <v>429</v>
      </c>
      <c r="BU76" s="539" cm="1">
        <f t="array" aca="1" ref="BU76" ca="1">INDIRECT($BM$2&amp;BU$7&amp;$BT76,1)</f>
        <v>0</v>
      </c>
      <c r="BV76" s="539" cm="1">
        <f t="array" aca="1" ref="BV76" ca="1">INDIRECT($BM$2&amp;BV$7&amp;$BT76,1)</f>
        <v>0</v>
      </c>
      <c r="BW76" s="539" cm="1">
        <f t="array" aca="1" ref="BW76" ca="1">INDIRECT($BM$2&amp;BW$7&amp;$BT76,1)</f>
        <v>0</v>
      </c>
      <c r="BX76" s="539" cm="1">
        <f t="array" aca="1" ref="BX76" ca="1">INDIRECT($BM$2&amp;BX$7&amp;$BT76,1)</f>
        <v>0</v>
      </c>
      <c r="BY76" s="539" cm="1">
        <f t="array" aca="1" ref="BY76" ca="1">INDIRECT($BM$2&amp;BY$7&amp;$BT76,1)</f>
        <v>0</v>
      </c>
      <c r="BZ76" s="539" t="str">
        <f t="shared" ca="1" si="71"/>
        <v>-</v>
      </c>
      <c r="CA76" s="494" t="s">
        <v>8222</v>
      </c>
      <c r="CC76" s="469">
        <v>3</v>
      </c>
      <c r="CD76" s="539" t="s">
        <v>8041</v>
      </c>
      <c r="CE76" s="539">
        <f t="shared" ref="CE76:CE85" si="75">CE75+1</f>
        <v>775</v>
      </c>
      <c r="CF76" s="539" cm="1">
        <f t="array" aca="1" ref="CF76" ca="1">INDIRECT($BM$2&amp;CF$7&amp;$CE76,1)</f>
        <v>0</v>
      </c>
      <c r="CG76" s="539" cm="1">
        <f t="array" aca="1" ref="CG76" ca="1">INDIRECT($BM$2&amp;CG$7&amp;$CE76,1)</f>
        <v>0</v>
      </c>
      <c r="CH76" s="539" cm="1">
        <f t="array" aca="1" ref="CH76" ca="1">INDIRECT($BM$2&amp;CH$7&amp;$CE76,1)</f>
        <v>0</v>
      </c>
      <c r="CI76" s="539" cm="1">
        <f t="array" aca="1" ref="CI76" ca="1">INDIRECT($BM$2&amp;CI$7&amp;$CE76,1)</f>
        <v>0</v>
      </c>
      <c r="CJ76" s="539" cm="1">
        <f t="array" aca="1" ref="CJ76" ca="1">INDIRECT($BM$2&amp;CJ$7&amp;$CE76,1)</f>
        <v>0</v>
      </c>
      <c r="CK76" s="539" t="str">
        <f t="shared" ca="1" si="72"/>
        <v>-</v>
      </c>
      <c r="CL76" s="494" t="s">
        <v>8222</v>
      </c>
      <c r="CU76" s="469" t="s">
        <v>5510</v>
      </c>
      <c r="CV76" s="492">
        <v>3</v>
      </c>
      <c r="CW76" s="558">
        <f t="shared" si="67"/>
        <v>89</v>
      </c>
      <c r="CX76" s="492" cm="1">
        <f t="array" aca="1" ref="CX76" ca="1">INDIRECT($DD$2&amp;CX$28&amp;$CW76)</f>
        <v>0</v>
      </c>
      <c r="CY76" s="492" cm="1">
        <f t="array" aca="1" ref="CY76" ca="1">INDIRECT($DD$2&amp;CY$28&amp;$CW76)</f>
        <v>0</v>
      </c>
      <c r="CZ76" s="492" cm="1">
        <f t="array" aca="1" ref="CZ76" ca="1">INDIRECT($DD$2&amp;CZ$28&amp;$CW76)</f>
        <v>0</v>
      </c>
      <c r="DA76" s="492" cm="1">
        <f t="array" aca="1" ref="DA76" ca="1">INDIRECT($DD$2&amp;DA$28&amp;$CW76)</f>
        <v>0</v>
      </c>
      <c r="DB76" s="492" cm="1">
        <f t="array" aca="1" ref="DB76" ca="1">INDIRECT($DD$2&amp;DB$28&amp;$CW76)</f>
        <v>0</v>
      </c>
      <c r="DC76" s="492" cm="1">
        <f t="array" aca="1" ref="DC76" ca="1">INDIRECT($DD$2&amp;DC$28&amp;$CW76)</f>
        <v>0</v>
      </c>
      <c r="DD76" s="492" t="str">
        <f t="shared" ca="1" si="65"/>
        <v/>
      </c>
      <c r="DE76" s="492" t="str">
        <f t="shared" ca="1" si="66"/>
        <v/>
      </c>
      <c r="EQ76" s="469" t="s">
        <v>5510</v>
      </c>
      <c r="ES76" s="504"/>
      <c r="ET76" s="507"/>
      <c r="EU76" s="585">
        <v>24</v>
      </c>
      <c r="EV76" s="20" t="s">
        <v>21</v>
      </c>
      <c r="EW76" s="22" t="str" cm="1">
        <f t="array" aca="1" ref="EW76" ca="1">IF(INDIRECT($ET$72&amp;EU76)=0,"Não apresentado",
IF(INDIRECT($ET$73&amp;EU76)&lt;&gt;0,INDIRECT($ET$73&amp;EU76),
IF(INDIRECT($ET$74&amp;EU76)&lt;&gt;0,INDIRECT($ET$74&amp;EU76),"Não informado")))</f>
        <v>Não apresentado</v>
      </c>
      <c r="GC76" s="472" t="s">
        <v>5510</v>
      </c>
      <c r="GF76" s="480" t="s">
        <v>6156</v>
      </c>
      <c r="GG76" s="480" t="s">
        <v>5734</v>
      </c>
      <c r="GH76" s="480" t="s">
        <v>5738</v>
      </c>
      <c r="GJ76" s="594"/>
      <c r="GM76" s="595"/>
      <c r="GP76" s="477" t="s">
        <v>6024</v>
      </c>
      <c r="GQ76" s="477" t="s">
        <v>8230</v>
      </c>
      <c r="HJ76" s="20" t="s">
        <v>8486</v>
      </c>
      <c r="HK76" s="20" t="s">
        <v>5844</v>
      </c>
      <c r="HL76" s="20" t="s">
        <v>8484</v>
      </c>
      <c r="HM76" s="20" t="s">
        <v>5829</v>
      </c>
      <c r="HN76" s="20" t="s">
        <v>8449</v>
      </c>
      <c r="HO76" s="20" t="str">
        <f>tb_codigos_GHS_ABNT[[#This Row],[Código]]&amp;": "&amp;tb_codigos_GHS_ABNT[[#This Row],[Frases de perigo]]</f>
        <v>H332: Nocivo se inalado</v>
      </c>
    </row>
    <row r="77" spans="1:223" x14ac:dyDescent="0.25">
      <c r="F77" s="624" t="s">
        <v>8018</v>
      </c>
      <c r="G77" s="635" t="s">
        <v>8017</v>
      </c>
      <c r="H77" s="608"/>
      <c r="I77" s="608"/>
      <c r="J77" s="611"/>
      <c r="K77" s="611"/>
      <c r="L77" s="611"/>
      <c r="M77" s="611"/>
      <c r="N77" s="20"/>
      <c r="Y77" s="20"/>
      <c r="AV77" s="469" t="s">
        <v>5510</v>
      </c>
      <c r="AW77" s="579" t="s">
        <v>5695</v>
      </c>
      <c r="AX77" s="579" t="s">
        <v>5696</v>
      </c>
      <c r="AZ77" s="506" t="s">
        <v>5697</v>
      </c>
      <c r="BA77" s="20" t="s">
        <v>5689</v>
      </c>
      <c r="BF77" s="469" t="s">
        <v>5510</v>
      </c>
      <c r="BG77" s="469">
        <v>4</v>
      </c>
      <c r="BH77" s="539" t="s">
        <v>8041</v>
      </c>
      <c r="BI77" s="539">
        <f t="shared" si="73"/>
        <v>84</v>
      </c>
      <c r="BJ77" s="539" cm="1">
        <f t="array" aca="1" ref="BJ77" ca="1">INDIRECT($BM$2&amp;BJ$7&amp;$BI77,1)</f>
        <v>0</v>
      </c>
      <c r="BK77" s="539" cm="1">
        <f t="array" aca="1" ref="BK77" ca="1">INDIRECT($BM$2&amp;BK$7&amp;$BI77,1)</f>
        <v>0</v>
      </c>
      <c r="BL77" s="539" cm="1">
        <f t="array" aca="1" ref="BL77" ca="1">INDIRECT($BM$2&amp;BL$7&amp;$BI77,1)</f>
        <v>0</v>
      </c>
      <c r="BM77" s="539" cm="1">
        <f t="array" aca="1" ref="BM77" ca="1">INDIRECT($BM$2&amp;BM$7&amp;$BI77,1)</f>
        <v>0</v>
      </c>
      <c r="BN77" s="539" cm="1">
        <f t="array" aca="1" ref="BN77" ca="1">INDIRECT($BM$2&amp;BN$7&amp;$BI77,1)</f>
        <v>0</v>
      </c>
      <c r="BO77" s="539" t="str">
        <f t="shared" ca="1" si="70"/>
        <v>-</v>
      </c>
      <c r="BP77" s="494" t="s">
        <v>8222</v>
      </c>
      <c r="BQ77" s="20"/>
      <c r="BR77" s="469">
        <v>4</v>
      </c>
      <c r="BS77" s="539" t="s">
        <v>8041</v>
      </c>
      <c r="BT77" s="539">
        <f t="shared" si="74"/>
        <v>430</v>
      </c>
      <c r="BU77" s="539" cm="1">
        <f t="array" aca="1" ref="BU77" ca="1">INDIRECT($BM$2&amp;BU$7&amp;$BT77,1)</f>
        <v>0</v>
      </c>
      <c r="BV77" s="539" cm="1">
        <f t="array" aca="1" ref="BV77" ca="1">INDIRECT($BM$2&amp;BV$7&amp;$BT77,1)</f>
        <v>0</v>
      </c>
      <c r="BW77" s="539" cm="1">
        <f t="array" aca="1" ref="BW77" ca="1">INDIRECT($BM$2&amp;BW$7&amp;$BT77,1)</f>
        <v>0</v>
      </c>
      <c r="BX77" s="539" cm="1">
        <f t="array" aca="1" ref="BX77" ca="1">INDIRECT($BM$2&amp;BX$7&amp;$BT77,1)</f>
        <v>0</v>
      </c>
      <c r="BY77" s="539" cm="1">
        <f t="array" aca="1" ref="BY77" ca="1">INDIRECT($BM$2&amp;BY$7&amp;$BT77,1)</f>
        <v>0</v>
      </c>
      <c r="BZ77" s="539" t="str">
        <f t="shared" ca="1" si="71"/>
        <v>-</v>
      </c>
      <c r="CA77" s="494" t="s">
        <v>8222</v>
      </c>
      <c r="CC77" s="469">
        <v>4</v>
      </c>
      <c r="CD77" s="539" t="s">
        <v>8041</v>
      </c>
      <c r="CE77" s="539">
        <f t="shared" si="75"/>
        <v>776</v>
      </c>
      <c r="CF77" s="539" cm="1">
        <f t="array" aca="1" ref="CF77" ca="1">INDIRECT($BM$2&amp;CF$7&amp;$CE77,1)</f>
        <v>0</v>
      </c>
      <c r="CG77" s="539" cm="1">
        <f t="array" aca="1" ref="CG77" ca="1">INDIRECT($BM$2&amp;CG$7&amp;$CE77,1)</f>
        <v>0</v>
      </c>
      <c r="CH77" s="539" cm="1">
        <f t="array" aca="1" ref="CH77" ca="1">INDIRECT($BM$2&amp;CH$7&amp;$CE77,1)</f>
        <v>0</v>
      </c>
      <c r="CI77" s="539" cm="1">
        <f t="array" aca="1" ref="CI77" ca="1">INDIRECT($BM$2&amp;CI$7&amp;$CE77,1)</f>
        <v>0</v>
      </c>
      <c r="CJ77" s="539" cm="1">
        <f t="array" aca="1" ref="CJ77" ca="1">INDIRECT($BM$2&amp;CJ$7&amp;$CE77,1)</f>
        <v>0</v>
      </c>
      <c r="CK77" s="539" t="str">
        <f t="shared" ca="1" si="72"/>
        <v>-</v>
      </c>
      <c r="CL77" s="494" t="s">
        <v>8222</v>
      </c>
      <c r="CU77" s="469" t="s">
        <v>5510</v>
      </c>
      <c r="CV77" s="492">
        <v>3</v>
      </c>
      <c r="CW77" s="558">
        <f t="shared" si="67"/>
        <v>90</v>
      </c>
      <c r="CX77" s="492" cm="1">
        <f t="array" aca="1" ref="CX77" ca="1">INDIRECT($DD$2&amp;CX$28&amp;$CW77)</f>
        <v>0</v>
      </c>
      <c r="CY77" s="492" cm="1">
        <f t="array" aca="1" ref="CY77" ca="1">INDIRECT($DD$2&amp;CY$28&amp;$CW77)</f>
        <v>0</v>
      </c>
      <c r="CZ77" s="492" cm="1">
        <f t="array" aca="1" ref="CZ77" ca="1">INDIRECT($DD$2&amp;CZ$28&amp;$CW77)</f>
        <v>0</v>
      </c>
      <c r="DA77" s="492" cm="1">
        <f t="array" aca="1" ref="DA77" ca="1">INDIRECT($DD$2&amp;DA$28&amp;$CW77)</f>
        <v>0</v>
      </c>
      <c r="DB77" s="492" cm="1">
        <f t="array" aca="1" ref="DB77" ca="1">INDIRECT($DD$2&amp;DB$28&amp;$CW77)</f>
        <v>0</v>
      </c>
      <c r="DC77" s="492" cm="1">
        <f t="array" aca="1" ref="DC77" ca="1">INDIRECT($DD$2&amp;DC$28&amp;$CW77)</f>
        <v>0</v>
      </c>
      <c r="DD77" s="492" t="str">
        <f t="shared" ca="1" si="65"/>
        <v/>
      </c>
      <c r="DE77" s="492" t="str">
        <f t="shared" ca="1" si="66"/>
        <v/>
      </c>
      <c r="EQ77" s="469" t="s">
        <v>5510</v>
      </c>
      <c r="ES77" s="504"/>
      <c r="ET77" s="507"/>
      <c r="EU77" s="585">
        <v>25</v>
      </c>
      <c r="EV77" s="20" t="s">
        <v>22</v>
      </c>
      <c r="EW77" s="22" t="str" cm="1">
        <f t="array" aca="1" ref="EW77" ca="1">IF(INDIRECT($ET$72&amp;EU77)=0,"Não apresentado",
IF(INDIRECT($ET$73&amp;EU77)&lt;&gt;0,INDIRECT($ET$73&amp;EU77),
IF(INDIRECT($ET$74&amp;EU77)&lt;&gt;0,INDIRECT($ET$74&amp;EU77),"Não informado")))</f>
        <v>Não apresentado</v>
      </c>
      <c r="GC77" s="472" t="s">
        <v>5510</v>
      </c>
      <c r="GE77" s="593" t="s">
        <v>8003</v>
      </c>
      <c r="GF77" s="593" t="s">
        <v>6328</v>
      </c>
      <c r="GG77" s="593" t="s">
        <v>8201</v>
      </c>
      <c r="GH77" s="593" t="s">
        <v>8202</v>
      </c>
      <c r="GI77" s="593" t="s">
        <v>7765</v>
      </c>
      <c r="GJ77" s="598" t="s">
        <v>6328</v>
      </c>
      <c r="GK77" s="593" t="s">
        <v>8201</v>
      </c>
      <c r="GL77" s="593" t="s">
        <v>8202</v>
      </c>
      <c r="GM77" s="599" t="s">
        <v>7765</v>
      </c>
      <c r="GO77" s="477" t="s">
        <v>5548</v>
      </c>
      <c r="GP77" s="640" t="str">
        <f ca="1">IF(COUNTIF(INDIRECT($GE$16&amp;$GP$74),HN25)&gt;0,HN25,
 IF(COUNTIF(INDIRECT($GE$16&amp;$GP$74),HN26)&gt;0,HN26,
 IF(COUNTIF(INDIRECT($GE$16&amp;$GP$74),HN27)&gt;0,HN27,
 IF(COUNTIF(INDIRECT($GE$16&amp;$GP$74),HN28)&gt;0,HN28,"-"))))</f>
        <v>-</v>
      </c>
      <c r="GQ77" s="641">
        <f>IFERROR(
IF(GP$80=TRUE,1,
IF(GP$81=TRUE,2,
IF(GP$82=TRUE,3,
IF(GP$83=TRUE,4,
IF(GP$84=TRUE,5,
IF(GP$85=TRUE,6,
0)))))),
"Erro")</f>
        <v>0</v>
      </c>
      <c r="HJ77" s="20" t="s">
        <v>8487</v>
      </c>
      <c r="HK77" s="20" t="s">
        <v>5845</v>
      </c>
      <c r="HL77" s="20" t="s">
        <v>8484</v>
      </c>
      <c r="HM77" s="20" t="s">
        <v>5832</v>
      </c>
      <c r="HO77" s="20" t="str">
        <f>tb_codigos_GHS_ABNT[[#This Row],[Código]]&amp;": "&amp;tb_codigos_GHS_ABNT[[#This Row],[Frases de perigo]]</f>
        <v>H333: Pode ser nocivo se inalado</v>
      </c>
    </row>
    <row r="78" spans="1:223" x14ac:dyDescent="0.25">
      <c r="F78" s="608"/>
      <c r="G78" s="608"/>
      <c r="H78" s="608"/>
      <c r="I78" s="608"/>
      <c r="J78" s="608"/>
      <c r="K78" s="608"/>
      <c r="L78" s="608"/>
      <c r="M78" s="608"/>
      <c r="N78" s="20"/>
      <c r="Y78" s="20"/>
      <c r="AV78" s="469" t="s">
        <v>5510</v>
      </c>
      <c r="AW78" s="570" t="str">
        <f ca="1">IF(AZ76=Tabelas_fonte!$AM$11,"Dose (%)"&amp;CHAR(10)&amp;"Injeção intradérmica (?)","Dose (%)")</f>
        <v>Dose (%)</v>
      </c>
      <c r="AX78" s="570" t="str">
        <f ca="1">IF($AZ$76=Tabelas_fonte!$AM$11,"Dose (%)"&amp;CHAR(10)&amp;"Aplicação tópica (?)","")</f>
        <v/>
      </c>
      <c r="AZ78" s="506" t="s">
        <v>5698</v>
      </c>
      <c r="BA78" s="20" t="s">
        <v>5690</v>
      </c>
      <c r="BF78" s="469" t="s">
        <v>5510</v>
      </c>
      <c r="BG78" s="469">
        <v>5</v>
      </c>
      <c r="BH78" s="539" t="s">
        <v>8041</v>
      </c>
      <c r="BI78" s="539">
        <f t="shared" si="73"/>
        <v>85</v>
      </c>
      <c r="BJ78" s="539" cm="1">
        <f t="array" aca="1" ref="BJ78" ca="1">INDIRECT($BM$2&amp;BJ$7&amp;$BI78,1)</f>
        <v>0</v>
      </c>
      <c r="BK78" s="539" cm="1">
        <f t="array" aca="1" ref="BK78" ca="1">INDIRECT($BM$2&amp;BK$7&amp;$BI78,1)</f>
        <v>0</v>
      </c>
      <c r="BL78" s="539" cm="1">
        <f t="array" aca="1" ref="BL78" ca="1">INDIRECT($BM$2&amp;BL$7&amp;$BI78,1)</f>
        <v>0</v>
      </c>
      <c r="BM78" s="539" cm="1">
        <f t="array" aca="1" ref="BM78" ca="1">INDIRECT($BM$2&amp;BM$7&amp;$BI78,1)</f>
        <v>0</v>
      </c>
      <c r="BN78" s="539" cm="1">
        <f t="array" aca="1" ref="BN78" ca="1">INDIRECT($BM$2&amp;BN$7&amp;$BI78,1)</f>
        <v>0</v>
      </c>
      <c r="BO78" s="539" t="str">
        <f t="shared" ca="1" si="70"/>
        <v>-</v>
      </c>
      <c r="BP78" s="494" t="s">
        <v>8222</v>
      </c>
      <c r="BQ78" s="20"/>
      <c r="BR78" s="469">
        <v>5</v>
      </c>
      <c r="BS78" s="539" t="s">
        <v>8041</v>
      </c>
      <c r="BT78" s="539">
        <f t="shared" si="74"/>
        <v>431</v>
      </c>
      <c r="BU78" s="539" cm="1">
        <f t="array" aca="1" ref="BU78" ca="1">INDIRECT($BM$2&amp;BU$7&amp;$BT78,1)</f>
        <v>0</v>
      </c>
      <c r="BV78" s="539" cm="1">
        <f t="array" aca="1" ref="BV78" ca="1">INDIRECT($BM$2&amp;BV$7&amp;$BT78,1)</f>
        <v>0</v>
      </c>
      <c r="BW78" s="539" cm="1">
        <f t="array" aca="1" ref="BW78" ca="1">INDIRECT($BM$2&amp;BW$7&amp;$BT78,1)</f>
        <v>0</v>
      </c>
      <c r="BX78" s="539" cm="1">
        <f t="array" aca="1" ref="BX78" ca="1">INDIRECT($BM$2&amp;BX$7&amp;$BT78,1)</f>
        <v>0</v>
      </c>
      <c r="BY78" s="539" cm="1">
        <f t="array" aca="1" ref="BY78" ca="1">INDIRECT($BM$2&amp;BY$7&amp;$BT78,1)</f>
        <v>0</v>
      </c>
      <c r="BZ78" s="539" t="str">
        <f t="shared" ca="1" si="71"/>
        <v>-</v>
      </c>
      <c r="CA78" s="494" t="s">
        <v>8222</v>
      </c>
      <c r="CC78" s="469">
        <v>5</v>
      </c>
      <c r="CD78" s="539" t="s">
        <v>8041</v>
      </c>
      <c r="CE78" s="539">
        <f t="shared" si="75"/>
        <v>777</v>
      </c>
      <c r="CF78" s="539" cm="1">
        <f t="array" aca="1" ref="CF78" ca="1">INDIRECT($BM$2&amp;CF$7&amp;$CE78,1)</f>
        <v>0</v>
      </c>
      <c r="CG78" s="539" cm="1">
        <f t="array" aca="1" ref="CG78" ca="1">INDIRECT($BM$2&amp;CG$7&amp;$CE78,1)</f>
        <v>0</v>
      </c>
      <c r="CH78" s="539" cm="1">
        <f t="array" aca="1" ref="CH78" ca="1">INDIRECT($BM$2&amp;CH$7&amp;$CE78,1)</f>
        <v>0</v>
      </c>
      <c r="CI78" s="539" cm="1">
        <f t="array" aca="1" ref="CI78" ca="1">INDIRECT($BM$2&amp;CI$7&amp;$CE78,1)</f>
        <v>0</v>
      </c>
      <c r="CJ78" s="539" cm="1">
        <f t="array" aca="1" ref="CJ78" ca="1">INDIRECT($BM$2&amp;CJ$7&amp;$CE78,1)</f>
        <v>0</v>
      </c>
      <c r="CK78" s="539" t="str">
        <f t="shared" ca="1" si="72"/>
        <v>-</v>
      </c>
      <c r="CL78" s="494" t="s">
        <v>8222</v>
      </c>
      <c r="CU78" s="469" t="s">
        <v>5510</v>
      </c>
      <c r="CV78" s="492">
        <v>3</v>
      </c>
      <c r="CW78" s="558">
        <f t="shared" si="67"/>
        <v>91</v>
      </c>
      <c r="CX78" s="492" cm="1">
        <f t="array" aca="1" ref="CX78" ca="1">INDIRECT($DD$2&amp;CX$28&amp;$CW78)</f>
        <v>0</v>
      </c>
      <c r="CY78" s="492" cm="1">
        <f t="array" aca="1" ref="CY78" ca="1">INDIRECT($DD$2&amp;CY$28&amp;$CW78)</f>
        <v>0</v>
      </c>
      <c r="CZ78" s="492" cm="1">
        <f t="array" aca="1" ref="CZ78" ca="1">INDIRECT($DD$2&amp;CZ$28&amp;$CW78)</f>
        <v>0</v>
      </c>
      <c r="DA78" s="492" cm="1">
        <f t="array" aca="1" ref="DA78" ca="1">INDIRECT($DD$2&amp;DA$28&amp;$CW78)</f>
        <v>0</v>
      </c>
      <c r="DB78" s="492" cm="1">
        <f t="array" aca="1" ref="DB78" ca="1">INDIRECT($DD$2&amp;DB$28&amp;$CW78)</f>
        <v>0</v>
      </c>
      <c r="DC78" s="492" cm="1">
        <f t="array" aca="1" ref="DC78" ca="1">INDIRECT($DD$2&amp;DC$28&amp;$CW78)</f>
        <v>0</v>
      </c>
      <c r="DD78" s="492" t="str">
        <f t="shared" ca="1" si="65"/>
        <v/>
      </c>
      <c r="DE78" s="492" t="str">
        <f t="shared" ca="1" si="66"/>
        <v/>
      </c>
      <c r="EQ78" s="469" t="s">
        <v>5510</v>
      </c>
      <c r="ES78" s="504"/>
      <c r="ET78" s="507"/>
      <c r="EU78" s="585">
        <v>26</v>
      </c>
      <c r="EV78" s="20" t="s">
        <v>23</v>
      </c>
      <c r="EW78" s="22" t="str" cm="1">
        <f t="array" aca="1" ref="EW78" ca="1">IF(INDIRECT($ET$72&amp;EU78)=0,"Não apresentado",
IF(INDIRECT($ET$73&amp;EU78)&lt;&gt;0,INDIRECT($ET$73&amp;EU78),
IF(INDIRECT($ET$74&amp;EU78)&lt;&gt;0,INDIRECT($ET$74&amp;EU78),"Não informado")))</f>
        <v>Não apresentado</v>
      </c>
      <c r="GC78" s="472" t="s">
        <v>5510</v>
      </c>
      <c r="GE78" s="597">
        <v>28</v>
      </c>
      <c r="GF78" s="597" cm="1">
        <f t="array" aca="1" ref="GF78" ca="1">INDIRECT($GE$10&amp;GF$76&amp;$GE78,1)</f>
        <v>0</v>
      </c>
      <c r="GG78" s="597" cm="1">
        <f t="array" aca="1" ref="GG78" ca="1">INDIRECT($GE$10&amp;GG$76&amp;$GE78,1)</f>
        <v>0</v>
      </c>
      <c r="GH78" s="597" cm="1">
        <f t="array" aca="1" ref="GH78" ca="1">INDIRECT($GE$10&amp;GH$76&amp;$GE78,1)</f>
        <v>0</v>
      </c>
      <c r="GI78" s="601" t="b">
        <f>Respostas_usuario!AB44</f>
        <v>0</v>
      </c>
      <c r="GJ78" s="602" cm="1">
        <f t="array" aca="1" ref="GJ78" ca="1">INDIRECT($GE$11&amp;GF$76&amp;$GE78,1)</f>
        <v>0</v>
      </c>
      <c r="GK78" s="602" cm="1">
        <f t="array" aca="1" ref="GK78" ca="1">INDIRECT($GE$11&amp;GG$76&amp;$GE78,1)</f>
        <v>0</v>
      </c>
      <c r="GL78" s="602" cm="1">
        <f t="array" aca="1" ref="GL78" ca="1">INDIRECT($GE$11&amp;GH$76&amp;$GE78,1)</f>
        <v>0</v>
      </c>
      <c r="GM78" s="603" t="b">
        <f>Respostas_usuario!AC44</f>
        <v>0</v>
      </c>
      <c r="GO78" s="477" t="s">
        <v>5549</v>
      </c>
      <c r="GP78" s="640" t="str">
        <f ca="1">IF(COUNTIF(INDIRECT($GE$17&amp;$GP$74),HN25)&gt;0,HN25,
 IF(COUNTIF(INDIRECT($GE$17&amp;$GP$74),HN26)&gt;0,HN26,
 IF(COUNTIF(INDIRECT($GE$17&amp;$GP$74),HN27)&gt;0,HN27,
 IF(COUNTIF(INDIRECT($GE$17&amp;$GP$74),HN28)&gt;0,HN28,"-"))))</f>
        <v>-</v>
      </c>
      <c r="GQ78" s="641">
        <f>IFERROR(
IF(GR$80=TRUE,1,
IF(GR$81=TRUE,2,
IF(GR$82=TRUE,3,
IF(GR$83=TRUE,4,
IF(GR$84=TRUE,5,
IF(GR$85=TRUE,6,
0)))))),
"Erro")</f>
        <v>0</v>
      </c>
      <c r="HJ78" s="20" t="s">
        <v>8488</v>
      </c>
      <c r="HK78" s="20" t="s">
        <v>8489</v>
      </c>
      <c r="HL78" s="20" t="s">
        <v>8490</v>
      </c>
      <c r="HM78" s="20" t="s">
        <v>5821</v>
      </c>
      <c r="HN78" s="20" t="s">
        <v>8448</v>
      </c>
      <c r="HO78" s="20" t="str">
        <f>tb_codigos_GHS_ABNT[[#This Row],[Código]]&amp;": "&amp;tb_codigos_GHS_ABNT[[#This Row],[Frases de perigo]]</f>
        <v>H334: Quando inalado pode provocar sintomas alérgicos, de asma ou dificuldades respiratórias</v>
      </c>
    </row>
    <row r="79" spans="1:223" x14ac:dyDescent="0.25">
      <c r="N79" s="372"/>
      <c r="O79" s="372"/>
      <c r="P79" s="372"/>
      <c r="Q79" s="372"/>
      <c r="R79" s="372"/>
      <c r="S79" s="372"/>
      <c r="T79" s="372"/>
      <c r="U79" s="372"/>
      <c r="V79" s="372"/>
      <c r="W79" s="372"/>
      <c r="X79" s="372"/>
      <c r="Z79" s="372"/>
      <c r="AA79" s="372"/>
      <c r="AB79" s="372"/>
      <c r="AC79" s="372"/>
      <c r="AD79" s="372"/>
      <c r="AE79" s="372"/>
      <c r="AF79" s="372"/>
      <c r="AG79" s="372"/>
      <c r="AH79" s="372"/>
      <c r="AI79" s="372"/>
      <c r="AJ79" s="372"/>
      <c r="AK79" s="372"/>
      <c r="AL79" s="372"/>
      <c r="AM79" s="372"/>
      <c r="AN79" s="372"/>
      <c r="AO79" s="372"/>
      <c r="AV79" s="469" t="s">
        <v>5510</v>
      </c>
      <c r="AW79" s="570" t="str">
        <f ca="1">IF(AZ76=Tabelas_fonte!$AM$11,"Injeção intradérmica","Aplicação tópica")</f>
        <v>Aplicação tópica</v>
      </c>
      <c r="AX79" s="570" t="str">
        <f ca="1">IF(AZ76=Tabelas_fonte!$AM$11,"Aplicação tópica","")</f>
        <v/>
      </c>
      <c r="BF79" s="469" t="s">
        <v>5510</v>
      </c>
      <c r="BG79" s="469">
        <v>6</v>
      </c>
      <c r="BH79" s="539" t="s">
        <v>8041</v>
      </c>
      <c r="BI79" s="539">
        <f t="shared" si="73"/>
        <v>86</v>
      </c>
      <c r="BJ79" s="539" cm="1">
        <f t="array" aca="1" ref="BJ79" ca="1">INDIRECT($BM$2&amp;BJ$7&amp;$BI79,1)</f>
        <v>0</v>
      </c>
      <c r="BK79" s="539" cm="1">
        <f t="array" aca="1" ref="BK79" ca="1">INDIRECT($BM$2&amp;BK$7&amp;$BI79,1)</f>
        <v>0</v>
      </c>
      <c r="BL79" s="539" cm="1">
        <f t="array" aca="1" ref="BL79" ca="1">INDIRECT($BM$2&amp;BL$7&amp;$BI79,1)</f>
        <v>0</v>
      </c>
      <c r="BM79" s="539" cm="1">
        <f t="array" aca="1" ref="BM79" ca="1">INDIRECT($BM$2&amp;BM$7&amp;$BI79,1)</f>
        <v>0</v>
      </c>
      <c r="BN79" s="539" cm="1">
        <f t="array" aca="1" ref="BN79" ca="1">INDIRECT($BM$2&amp;BN$7&amp;$BI79,1)</f>
        <v>0</v>
      </c>
      <c r="BO79" s="539" t="str">
        <f t="shared" ca="1" si="70"/>
        <v>-</v>
      </c>
      <c r="BP79" s="494" t="s">
        <v>8222</v>
      </c>
      <c r="BQ79" s="20"/>
      <c r="BR79" s="469">
        <v>6</v>
      </c>
      <c r="BS79" s="539" t="s">
        <v>8041</v>
      </c>
      <c r="BT79" s="539">
        <f t="shared" si="74"/>
        <v>432</v>
      </c>
      <c r="BU79" s="539" cm="1">
        <f t="array" aca="1" ref="BU79" ca="1">INDIRECT($BM$2&amp;BU$7&amp;$BT79,1)</f>
        <v>0</v>
      </c>
      <c r="BV79" s="539" cm="1">
        <f t="array" aca="1" ref="BV79" ca="1">INDIRECT($BM$2&amp;BV$7&amp;$BT79,1)</f>
        <v>0</v>
      </c>
      <c r="BW79" s="539" cm="1">
        <f t="array" aca="1" ref="BW79" ca="1">INDIRECT($BM$2&amp;BW$7&amp;$BT79,1)</f>
        <v>0</v>
      </c>
      <c r="BX79" s="539" cm="1">
        <f t="array" aca="1" ref="BX79" ca="1">INDIRECT($BM$2&amp;BX$7&amp;$BT79,1)</f>
        <v>0</v>
      </c>
      <c r="BY79" s="539" cm="1">
        <f t="array" aca="1" ref="BY79" ca="1">INDIRECT($BM$2&amp;BY$7&amp;$BT79,1)</f>
        <v>0</v>
      </c>
      <c r="BZ79" s="539" t="str">
        <f t="shared" ca="1" si="71"/>
        <v>-</v>
      </c>
      <c r="CA79" s="494" t="s">
        <v>8222</v>
      </c>
      <c r="CC79" s="469">
        <v>6</v>
      </c>
      <c r="CD79" s="539" t="s">
        <v>8041</v>
      </c>
      <c r="CE79" s="539">
        <f t="shared" si="75"/>
        <v>778</v>
      </c>
      <c r="CF79" s="539" cm="1">
        <f t="array" aca="1" ref="CF79" ca="1">INDIRECT($BM$2&amp;CF$7&amp;$CE79,1)</f>
        <v>0</v>
      </c>
      <c r="CG79" s="539" cm="1">
        <f t="array" aca="1" ref="CG79" ca="1">INDIRECT($BM$2&amp;CG$7&amp;$CE79,1)</f>
        <v>0</v>
      </c>
      <c r="CH79" s="539" cm="1">
        <f t="array" aca="1" ref="CH79" ca="1">INDIRECT($BM$2&amp;CH$7&amp;$CE79,1)</f>
        <v>0</v>
      </c>
      <c r="CI79" s="539" cm="1">
        <f t="array" aca="1" ref="CI79" ca="1">INDIRECT($BM$2&amp;CI$7&amp;$CE79,1)</f>
        <v>0</v>
      </c>
      <c r="CJ79" s="539" cm="1">
        <f t="array" aca="1" ref="CJ79" ca="1">INDIRECT($BM$2&amp;CJ$7&amp;$CE79,1)</f>
        <v>0</v>
      </c>
      <c r="CK79" s="539" t="str">
        <f t="shared" ca="1" si="72"/>
        <v>-</v>
      </c>
      <c r="CL79" s="494" t="s">
        <v>8222</v>
      </c>
      <c r="CU79" s="469" t="s">
        <v>5510</v>
      </c>
      <c r="CV79" s="492">
        <v>3</v>
      </c>
      <c r="CW79" s="558">
        <f t="shared" si="67"/>
        <v>92</v>
      </c>
      <c r="CX79" s="492" cm="1">
        <f t="array" aca="1" ref="CX79" ca="1">INDIRECT($DD$2&amp;CX$28&amp;$CW79)</f>
        <v>0</v>
      </c>
      <c r="CY79" s="492" cm="1">
        <f t="array" aca="1" ref="CY79" ca="1">INDIRECT($DD$2&amp;CY$28&amp;$CW79)</f>
        <v>0</v>
      </c>
      <c r="CZ79" s="492" cm="1">
        <f t="array" aca="1" ref="CZ79" ca="1">INDIRECT($DD$2&amp;CZ$28&amp;$CW79)</f>
        <v>0</v>
      </c>
      <c r="DA79" s="492" cm="1">
        <f t="array" aca="1" ref="DA79" ca="1">INDIRECT($DD$2&amp;DA$28&amp;$CW79)</f>
        <v>0</v>
      </c>
      <c r="DB79" s="492" cm="1">
        <f t="array" aca="1" ref="DB79" ca="1">INDIRECT($DD$2&amp;DB$28&amp;$CW79)</f>
        <v>0</v>
      </c>
      <c r="DC79" s="492" cm="1">
        <f t="array" aca="1" ref="DC79" ca="1">INDIRECT($DD$2&amp;DC$28&amp;$CW79)</f>
        <v>0</v>
      </c>
      <c r="DD79" s="492" t="str">
        <f t="shared" ca="1" si="65"/>
        <v/>
      </c>
      <c r="DE79" s="492" t="str">
        <f t="shared" ca="1" si="66"/>
        <v/>
      </c>
      <c r="EQ79" s="469" t="s">
        <v>5510</v>
      </c>
      <c r="ES79" s="504"/>
      <c r="ET79" s="507"/>
      <c r="EU79" s="585">
        <v>27</v>
      </c>
      <c r="EV79" s="20" t="s">
        <v>24</v>
      </c>
      <c r="EW79" s="22" t="str" cm="1">
        <f t="array" aca="1" ref="EW79" ca="1">IF(INDIRECT($ET$72&amp;EU79)=0,"Não apresentado",
IF(INDIRECT($ET$73&amp;EU79)&lt;&gt;0,INDIRECT($ET$73&amp;EU79),
IF(INDIRECT($ET$74&amp;EU79)&lt;&gt;0,INDIRECT($ET$74&amp;EU79),"Não informado")))</f>
        <v>Não apresentado</v>
      </c>
      <c r="GC79" s="472" t="s">
        <v>5510</v>
      </c>
      <c r="GE79" s="597">
        <v>29</v>
      </c>
      <c r="GF79" s="597" cm="1">
        <f t="array" aca="1" ref="GF79" ca="1">INDIRECT($GE$10&amp;GF$76&amp;$GE79,1)</f>
        <v>0</v>
      </c>
      <c r="GG79" s="597" cm="1">
        <f t="array" aca="1" ref="GG79" ca="1">INDIRECT($GE$10&amp;GG$76&amp;$GE79,1)</f>
        <v>0</v>
      </c>
      <c r="GH79" s="597" cm="1">
        <f t="array" aca="1" ref="GH79" ca="1">INDIRECT($GE$10&amp;GH$76&amp;$GE79,1)</f>
        <v>0</v>
      </c>
      <c r="GI79" s="601" t="b">
        <f>Respostas_usuario!AB45</f>
        <v>0</v>
      </c>
      <c r="GJ79" s="602" cm="1">
        <f t="array" aca="1" ref="GJ79" ca="1">INDIRECT($GE$11&amp;GF$76&amp;$GE79,1)</f>
        <v>0</v>
      </c>
      <c r="GK79" s="602" cm="1">
        <f t="array" aca="1" ref="GK79" ca="1">INDIRECT($GE$11&amp;GG$76&amp;$GE79,1)</f>
        <v>0</v>
      </c>
      <c r="GL79" s="602" cm="1">
        <f t="array" aca="1" ref="GL79" ca="1">INDIRECT($GE$11&amp;GH$76&amp;$GE79,1)</f>
        <v>0</v>
      </c>
      <c r="GM79" s="603" t="b">
        <f>Respostas_usuario!AC45</f>
        <v>0</v>
      </c>
      <c r="HJ79" s="20" t="s">
        <v>8491</v>
      </c>
      <c r="HK79" s="20" t="s">
        <v>8492</v>
      </c>
      <c r="HL79" s="20" t="s">
        <v>8493</v>
      </c>
      <c r="HM79" s="20" t="s">
        <v>5826</v>
      </c>
      <c r="HN79" s="20" t="s">
        <v>8449</v>
      </c>
      <c r="HO79" s="20" t="str">
        <f>tb_codigos_GHS_ABNT[[#This Row],[Código]]&amp;": "&amp;tb_codigos_GHS_ABNT[[#This Row],[Frases de perigo]]</f>
        <v>H335: Pode provocar irritação das vias respiratórias</v>
      </c>
    </row>
    <row r="80" spans="1:223" x14ac:dyDescent="0.25">
      <c r="N80" s="372"/>
      <c r="O80" s="372"/>
      <c r="P80" s="372"/>
      <c r="Q80" s="372"/>
      <c r="R80" s="372"/>
      <c r="S80" s="372"/>
      <c r="T80" s="372"/>
      <c r="U80" s="372"/>
      <c r="V80" s="372"/>
      <c r="W80" s="372"/>
      <c r="X80" s="372"/>
      <c r="Z80" s="372"/>
      <c r="AA80" s="372"/>
      <c r="AB80" s="372"/>
      <c r="AC80" s="372"/>
      <c r="AD80" s="372"/>
      <c r="AF80" s="20"/>
      <c r="AN80" s="372"/>
      <c r="AO80" s="372"/>
      <c r="AV80" s="469" t="s">
        <v>5510</v>
      </c>
      <c r="AW80" s="469"/>
      <c r="BF80" s="469" t="s">
        <v>5510</v>
      </c>
      <c r="BG80" s="469">
        <v>7</v>
      </c>
      <c r="BH80" s="539" t="s">
        <v>8041</v>
      </c>
      <c r="BI80" s="539">
        <f t="shared" si="73"/>
        <v>87</v>
      </c>
      <c r="BJ80" s="539" cm="1">
        <f t="array" aca="1" ref="BJ80" ca="1">INDIRECT($BM$2&amp;BJ$7&amp;$BI80,1)</f>
        <v>0</v>
      </c>
      <c r="BK80" s="539" cm="1">
        <f t="array" aca="1" ref="BK80" ca="1">INDIRECT($BM$2&amp;BK$7&amp;$BI80,1)</f>
        <v>0</v>
      </c>
      <c r="BL80" s="539" cm="1">
        <f t="array" aca="1" ref="BL80" ca="1">INDIRECT($BM$2&amp;BL$7&amp;$BI80,1)</f>
        <v>0</v>
      </c>
      <c r="BM80" s="539" cm="1">
        <f t="array" aca="1" ref="BM80" ca="1">INDIRECT($BM$2&amp;BM$7&amp;$BI80,1)</f>
        <v>0</v>
      </c>
      <c r="BN80" s="539" cm="1">
        <f t="array" aca="1" ref="BN80" ca="1">INDIRECT($BM$2&amp;BN$7&amp;$BI80,1)</f>
        <v>0</v>
      </c>
      <c r="BO80" s="539" t="str">
        <f t="shared" ca="1" si="70"/>
        <v>-</v>
      </c>
      <c r="BP80" s="494" t="s">
        <v>8222</v>
      </c>
      <c r="BQ80" s="20"/>
      <c r="BR80" s="469">
        <v>7</v>
      </c>
      <c r="BS80" s="539" t="s">
        <v>8041</v>
      </c>
      <c r="BT80" s="539">
        <f t="shared" si="74"/>
        <v>433</v>
      </c>
      <c r="BU80" s="539" cm="1">
        <f t="array" aca="1" ref="BU80" ca="1">INDIRECT($BM$2&amp;BU$7&amp;$BT80,1)</f>
        <v>0</v>
      </c>
      <c r="BV80" s="539" cm="1">
        <f t="array" aca="1" ref="BV80" ca="1">INDIRECT($BM$2&amp;BV$7&amp;$BT80,1)</f>
        <v>0</v>
      </c>
      <c r="BW80" s="539" cm="1">
        <f t="array" aca="1" ref="BW80" ca="1">INDIRECT($BM$2&amp;BW$7&amp;$BT80,1)</f>
        <v>0</v>
      </c>
      <c r="BX80" s="539" cm="1">
        <f t="array" aca="1" ref="BX80" ca="1">INDIRECT($BM$2&amp;BX$7&amp;$BT80,1)</f>
        <v>0</v>
      </c>
      <c r="BY80" s="539" cm="1">
        <f t="array" aca="1" ref="BY80" ca="1">INDIRECT($BM$2&amp;BY$7&amp;$BT80,1)</f>
        <v>0</v>
      </c>
      <c r="BZ80" s="539" t="str">
        <f t="shared" ca="1" si="71"/>
        <v>-</v>
      </c>
      <c r="CA80" s="494" t="s">
        <v>8222</v>
      </c>
      <c r="CC80" s="469">
        <v>7</v>
      </c>
      <c r="CD80" s="539" t="s">
        <v>8041</v>
      </c>
      <c r="CE80" s="539">
        <f t="shared" si="75"/>
        <v>779</v>
      </c>
      <c r="CF80" s="539" cm="1">
        <f t="array" aca="1" ref="CF80" ca="1">INDIRECT($BM$2&amp;CF$7&amp;$CE80,1)</f>
        <v>0</v>
      </c>
      <c r="CG80" s="539" cm="1">
        <f t="array" aca="1" ref="CG80" ca="1">INDIRECT($BM$2&amp;CG$7&amp;$CE80,1)</f>
        <v>0</v>
      </c>
      <c r="CH80" s="539" cm="1">
        <f t="array" aca="1" ref="CH80" ca="1">INDIRECT($BM$2&amp;CH$7&amp;$CE80,1)</f>
        <v>0</v>
      </c>
      <c r="CI80" s="539" cm="1">
        <f t="array" aca="1" ref="CI80" ca="1">INDIRECT($BM$2&amp;CI$7&amp;$CE80,1)</f>
        <v>0</v>
      </c>
      <c r="CJ80" s="539" cm="1">
        <f t="array" aca="1" ref="CJ80" ca="1">INDIRECT($BM$2&amp;CJ$7&amp;$CE80,1)</f>
        <v>0</v>
      </c>
      <c r="CK80" s="539" t="str">
        <f t="shared" ca="1" si="72"/>
        <v>-</v>
      </c>
      <c r="CL80" s="494" t="s">
        <v>8222</v>
      </c>
      <c r="CU80" s="469" t="s">
        <v>5510</v>
      </c>
      <c r="CV80" s="636">
        <v>3</v>
      </c>
      <c r="CW80" s="558">
        <f t="shared" si="67"/>
        <v>93</v>
      </c>
      <c r="CX80" s="492" cm="1">
        <f t="array" aca="1" ref="CX80" ca="1">INDIRECT($DD$2&amp;CX$28&amp;$CW80)</f>
        <v>0</v>
      </c>
      <c r="CY80" s="492" cm="1">
        <f t="array" aca="1" ref="CY80" ca="1">INDIRECT($DD$2&amp;CY$28&amp;$CW80)</f>
        <v>0</v>
      </c>
      <c r="CZ80" s="492" cm="1">
        <f t="array" aca="1" ref="CZ80" ca="1">INDIRECT($DD$2&amp;CZ$28&amp;$CW80)</f>
        <v>0</v>
      </c>
      <c r="DA80" s="492" cm="1">
        <f t="array" aca="1" ref="DA80" ca="1">INDIRECT($DD$2&amp;DA$28&amp;$CW80)</f>
        <v>0</v>
      </c>
      <c r="DB80" s="492" cm="1">
        <f t="array" aca="1" ref="DB80" ca="1">INDIRECT($DD$2&amp;DB$28&amp;$CW80)</f>
        <v>0</v>
      </c>
      <c r="DC80" s="492" cm="1">
        <f t="array" aca="1" ref="DC80" ca="1">INDIRECT($DD$2&amp;DC$28&amp;$CW80)</f>
        <v>0</v>
      </c>
      <c r="DD80" s="492" t="str">
        <f t="shared" ca="1" si="65"/>
        <v/>
      </c>
      <c r="DE80" s="492" t="str">
        <f t="shared" ca="1" si="66"/>
        <v/>
      </c>
      <c r="EQ80" s="469" t="s">
        <v>5510</v>
      </c>
      <c r="ES80" s="504"/>
      <c r="ET80" s="507"/>
      <c r="EU80" s="585">
        <v>28</v>
      </c>
      <c r="EV80" s="20" t="s">
        <v>25</v>
      </c>
      <c r="EW80" s="22" t="str" cm="1">
        <f t="array" aca="1" ref="EW80" ca="1">IF(INDIRECT($ET$72&amp;EU80)=0,"Não apresentado",
IF(INDIRECT($ET$73&amp;EU80)&lt;&gt;0,INDIRECT($ET$73&amp;EU80),
IF(INDIRECT($ET$74&amp;EU80)&lt;&gt;0,INDIRECT($ET$74&amp;EU80),"Não informado")))</f>
        <v>Não apresentado</v>
      </c>
      <c r="GC80" s="472" t="s">
        <v>5510</v>
      </c>
      <c r="GE80" s="597">
        <v>30</v>
      </c>
      <c r="GF80" s="597" cm="1">
        <f t="array" aca="1" ref="GF80" ca="1">INDIRECT($GE$10&amp;GF$76&amp;$GE80,1)</f>
        <v>0</v>
      </c>
      <c r="GG80" s="597" cm="1">
        <f t="array" aca="1" ref="GG80" ca="1">INDIRECT($GE$10&amp;GG$76&amp;$GE80,1)</f>
        <v>0</v>
      </c>
      <c r="GH80" s="597" cm="1">
        <f t="array" aca="1" ref="GH80" ca="1">INDIRECT($GE$10&amp;GH$76&amp;$GE80,1)</f>
        <v>0</v>
      </c>
      <c r="GI80" s="601" t="b">
        <f>Respostas_usuario!AB46</f>
        <v>0</v>
      </c>
      <c r="GJ80" s="602" cm="1">
        <f t="array" aca="1" ref="GJ80" ca="1">INDIRECT($GE$11&amp;GF$76&amp;$GE80,1)</f>
        <v>0</v>
      </c>
      <c r="GK80" s="602" cm="1">
        <f t="array" aca="1" ref="GK80" ca="1">INDIRECT($GE$11&amp;GG$76&amp;$GE80,1)</f>
        <v>0</v>
      </c>
      <c r="GL80" s="602" cm="1">
        <f t="array" aca="1" ref="GL80" ca="1">INDIRECT($GE$11&amp;GH$76&amp;$GE80,1)</f>
        <v>0</v>
      </c>
      <c r="GM80" s="603" t="b">
        <f>Respostas_usuario!AC46</f>
        <v>0</v>
      </c>
      <c r="GO80" s="479" t="s">
        <v>5651</v>
      </c>
      <c r="GP80" s="643" t="b">
        <f>Respostas_usuario!X6</f>
        <v>0</v>
      </c>
      <c r="GQ80" s="479" t="s">
        <v>5657</v>
      </c>
      <c r="GR80" s="643" t="b">
        <f>Respostas_usuario!Z6</f>
        <v>0</v>
      </c>
      <c r="HJ80" s="20" t="s">
        <v>8494</v>
      </c>
      <c r="HK80" s="20" t="s">
        <v>8495</v>
      </c>
      <c r="HL80" s="20" t="s">
        <v>8496</v>
      </c>
      <c r="HM80" s="20" t="s">
        <v>5826</v>
      </c>
      <c r="HN80" s="20" t="s">
        <v>8449</v>
      </c>
      <c r="HO80" s="20" t="str">
        <f>tb_codigos_GHS_ABNT[[#This Row],[Código]]&amp;": "&amp;tb_codigos_GHS_ABNT[[#This Row],[Frases de perigo]]</f>
        <v>H336: Pode provocar sonolência ou vertigem</v>
      </c>
    </row>
    <row r="81" spans="1:223" x14ac:dyDescent="0.25">
      <c r="AF81" s="20"/>
      <c r="AV81" s="469" t="s">
        <v>5510</v>
      </c>
      <c r="BF81" s="469" t="s">
        <v>5510</v>
      </c>
      <c r="BG81" s="469">
        <v>8</v>
      </c>
      <c r="BH81" s="539" t="s">
        <v>8041</v>
      </c>
      <c r="BI81" s="539">
        <f t="shared" si="73"/>
        <v>88</v>
      </c>
      <c r="BJ81" s="539" cm="1">
        <f t="array" aca="1" ref="BJ81" ca="1">INDIRECT($BM$2&amp;BJ$7&amp;$BI81,1)</f>
        <v>0</v>
      </c>
      <c r="BK81" s="539" cm="1">
        <f t="array" aca="1" ref="BK81" ca="1">INDIRECT($BM$2&amp;BK$7&amp;$BI81,1)</f>
        <v>0</v>
      </c>
      <c r="BL81" s="539" cm="1">
        <f t="array" aca="1" ref="BL81" ca="1">INDIRECT($BM$2&amp;BL$7&amp;$BI81,1)</f>
        <v>0</v>
      </c>
      <c r="BM81" s="539" cm="1">
        <f t="array" aca="1" ref="BM81" ca="1">INDIRECT($BM$2&amp;BM$7&amp;$BI81,1)</f>
        <v>0</v>
      </c>
      <c r="BN81" s="539" cm="1">
        <f t="array" aca="1" ref="BN81" ca="1">INDIRECT($BM$2&amp;BN$7&amp;$BI81,1)</f>
        <v>0</v>
      </c>
      <c r="BO81" s="539" t="str">
        <f t="shared" ca="1" si="70"/>
        <v>-</v>
      </c>
      <c r="BP81" s="494" t="s">
        <v>8222</v>
      </c>
      <c r="BQ81" s="20"/>
      <c r="BR81" s="469">
        <v>8</v>
      </c>
      <c r="BS81" s="539" t="s">
        <v>8041</v>
      </c>
      <c r="BT81" s="539">
        <f t="shared" si="74"/>
        <v>434</v>
      </c>
      <c r="BU81" s="539" cm="1">
        <f t="array" aca="1" ref="BU81" ca="1">INDIRECT($BM$2&amp;BU$7&amp;$BT81,1)</f>
        <v>0</v>
      </c>
      <c r="BV81" s="539" cm="1">
        <f t="array" aca="1" ref="BV81" ca="1">INDIRECT($BM$2&amp;BV$7&amp;$BT81,1)</f>
        <v>0</v>
      </c>
      <c r="BW81" s="539" cm="1">
        <f t="array" aca="1" ref="BW81" ca="1">INDIRECT($BM$2&amp;BW$7&amp;$BT81,1)</f>
        <v>0</v>
      </c>
      <c r="BX81" s="539" cm="1">
        <f t="array" aca="1" ref="BX81" ca="1">INDIRECT($BM$2&amp;BX$7&amp;$BT81,1)</f>
        <v>0</v>
      </c>
      <c r="BY81" s="539" cm="1">
        <f t="array" aca="1" ref="BY81" ca="1">INDIRECT($BM$2&amp;BY$7&amp;$BT81,1)</f>
        <v>0</v>
      </c>
      <c r="BZ81" s="539" t="str">
        <f t="shared" ca="1" si="71"/>
        <v>-</v>
      </c>
      <c r="CA81" s="494" t="s">
        <v>8222</v>
      </c>
      <c r="CC81" s="469">
        <v>8</v>
      </c>
      <c r="CD81" s="539" t="s">
        <v>8041</v>
      </c>
      <c r="CE81" s="539">
        <f t="shared" si="75"/>
        <v>780</v>
      </c>
      <c r="CF81" s="539" cm="1">
        <f t="array" aca="1" ref="CF81" ca="1">INDIRECT($BM$2&amp;CF$7&amp;$CE81,1)</f>
        <v>0</v>
      </c>
      <c r="CG81" s="539" cm="1">
        <f t="array" aca="1" ref="CG81" ca="1">INDIRECT($BM$2&amp;CG$7&amp;$CE81,1)</f>
        <v>0</v>
      </c>
      <c r="CH81" s="539" cm="1">
        <f t="array" aca="1" ref="CH81" ca="1">INDIRECT($BM$2&amp;CH$7&amp;$CE81,1)</f>
        <v>0</v>
      </c>
      <c r="CI81" s="539" cm="1">
        <f t="array" aca="1" ref="CI81" ca="1">INDIRECT($BM$2&amp;CI$7&amp;$CE81,1)</f>
        <v>0</v>
      </c>
      <c r="CJ81" s="539" cm="1">
        <f t="array" aca="1" ref="CJ81" ca="1">INDIRECT($BM$2&amp;CJ$7&amp;$CE81,1)</f>
        <v>0</v>
      </c>
      <c r="CK81" s="539" t="str">
        <f t="shared" ca="1" si="72"/>
        <v>-</v>
      </c>
      <c r="CL81" s="494" t="s">
        <v>8222</v>
      </c>
      <c r="CU81" s="469" t="s">
        <v>5510</v>
      </c>
      <c r="CV81" s="22">
        <v>4</v>
      </c>
      <c r="CW81" s="522">
        <f t="shared" si="67"/>
        <v>101</v>
      </c>
      <c r="CX81" s="22" cm="1">
        <f t="array" aca="1" ref="CX81" ca="1">INDIRECT($DD$2&amp;CX$28&amp;$CW81)</f>
        <v>0</v>
      </c>
      <c r="CY81" s="22" cm="1">
        <f t="array" aca="1" ref="CY81" ca="1">INDIRECT($DD$2&amp;CY$28&amp;$CW81)</f>
        <v>0</v>
      </c>
      <c r="CZ81" s="22" cm="1">
        <f t="array" aca="1" ref="CZ81" ca="1">INDIRECT($DD$2&amp;CZ$28&amp;$CW81)</f>
        <v>0</v>
      </c>
      <c r="DA81" s="22" cm="1">
        <f t="array" aca="1" ref="DA81" ca="1">INDIRECT($DD$2&amp;DA$28&amp;$CW81)</f>
        <v>0</v>
      </c>
      <c r="DB81" s="22" cm="1">
        <f t="array" aca="1" ref="DB81" ca="1">INDIRECT($DD$2&amp;DB$28&amp;$CW81)</f>
        <v>0</v>
      </c>
      <c r="DC81" s="22" cm="1">
        <f t="array" aca="1" ref="DC81" ca="1">INDIRECT($DD$2&amp;DC$28&amp;$CW81)</f>
        <v>0</v>
      </c>
      <c r="DD81" s="22" t="str">
        <f t="shared" ca="1" si="65"/>
        <v/>
      </c>
      <c r="DE81" s="22" t="str">
        <f t="shared" ca="1" si="66"/>
        <v/>
      </c>
      <c r="EQ81" s="469" t="s">
        <v>5510</v>
      </c>
      <c r="ES81" s="504"/>
      <c r="ET81" s="507"/>
      <c r="EU81" s="585">
        <v>29</v>
      </c>
      <c r="EW81" s="22" cm="1">
        <f t="array" aca="1" ref="EW81" ca="1">IF(INDIRECT($ET$72&amp;EU81)=0,0,
IF(INDIRECT($ET$73&amp;EU81)&lt;&gt;0,INDIRECT($ET$73&amp;EU81),
IF(INDIRECT($ET$74&amp;EU81)&lt;&gt;0,INDIRECT($ET$74&amp;EU81),"Não informado")))</f>
        <v>0</v>
      </c>
      <c r="GC81" s="472" t="s">
        <v>5510</v>
      </c>
      <c r="GE81" s="597">
        <v>31</v>
      </c>
      <c r="GF81" s="597" cm="1">
        <f t="array" aca="1" ref="GF81" ca="1">INDIRECT($GE$10&amp;GF$76&amp;$GE81,1)</f>
        <v>0</v>
      </c>
      <c r="GG81" s="597" cm="1">
        <f t="array" aca="1" ref="GG81" ca="1">INDIRECT($GE$10&amp;GG$76&amp;$GE81,1)</f>
        <v>0</v>
      </c>
      <c r="GH81" s="597" cm="1">
        <f t="array" aca="1" ref="GH81" ca="1">INDIRECT($GE$10&amp;GH$76&amp;$GE81,1)</f>
        <v>0</v>
      </c>
      <c r="GI81" s="601" t="b">
        <f>Respostas_usuario!AB47</f>
        <v>0</v>
      </c>
      <c r="GJ81" s="602" cm="1">
        <f t="array" aca="1" ref="GJ81" ca="1">INDIRECT($GE$11&amp;GF$76&amp;$GE81,1)</f>
        <v>0</v>
      </c>
      <c r="GK81" s="602" cm="1">
        <f t="array" aca="1" ref="GK81" ca="1">INDIRECT($GE$11&amp;GG$76&amp;$GE81,1)</f>
        <v>0</v>
      </c>
      <c r="GL81" s="602" cm="1">
        <f t="array" aca="1" ref="GL81" ca="1">INDIRECT($GE$11&amp;GH$76&amp;$GE81,1)</f>
        <v>0</v>
      </c>
      <c r="GM81" s="603" t="b">
        <f>Respostas_usuario!AC47</f>
        <v>0</v>
      </c>
      <c r="GO81" s="479" t="s">
        <v>5652</v>
      </c>
      <c r="GP81" s="643" t="b">
        <f>Respostas_usuario!X7</f>
        <v>0</v>
      </c>
      <c r="GQ81" s="479" t="s">
        <v>5658</v>
      </c>
      <c r="GR81" s="643" t="b">
        <f>Respostas_usuario!Z7</f>
        <v>0</v>
      </c>
      <c r="HJ81" s="20" t="s">
        <v>8497</v>
      </c>
      <c r="HK81" s="20" t="s">
        <v>5892</v>
      </c>
      <c r="HL81" s="20" t="s">
        <v>8498</v>
      </c>
      <c r="HM81" s="20" t="s">
        <v>8499</v>
      </c>
      <c r="HN81" s="20" t="s">
        <v>8448</v>
      </c>
      <c r="HO81" s="20" t="str">
        <f>tb_codigos_GHS_ABNT[[#This Row],[Código]]&amp;": "&amp;tb_codigos_GHS_ABNT[[#This Row],[Frases de perigo]]</f>
        <v>H340: Pode provocar defeitos genéticos</v>
      </c>
    </row>
    <row r="82" spans="1:223" x14ac:dyDescent="0.25">
      <c r="AF82" s="20"/>
      <c r="AV82" s="469" t="s">
        <v>5510</v>
      </c>
      <c r="AW82" s="20" t="s">
        <v>5957</v>
      </c>
      <c r="AX82" s="472"/>
      <c r="AY82" s="472" t="s">
        <v>5969</v>
      </c>
      <c r="AZ82" s="472" t="s">
        <v>5970</v>
      </c>
      <c r="BA82" s="475"/>
      <c r="BB82" s="472"/>
      <c r="BF82" s="469" t="s">
        <v>5510</v>
      </c>
      <c r="BG82" s="469">
        <v>9</v>
      </c>
      <c r="BH82" s="539" t="s">
        <v>8041</v>
      </c>
      <c r="BI82" s="539">
        <f t="shared" si="73"/>
        <v>89</v>
      </c>
      <c r="BJ82" s="539" cm="1">
        <f t="array" aca="1" ref="BJ82" ca="1">INDIRECT($BM$2&amp;BJ$7&amp;$BI82,1)</f>
        <v>0</v>
      </c>
      <c r="BK82" s="539" cm="1">
        <f t="array" aca="1" ref="BK82" ca="1">INDIRECT($BM$2&amp;BK$7&amp;$BI82,1)</f>
        <v>0</v>
      </c>
      <c r="BL82" s="539" cm="1">
        <f t="array" aca="1" ref="BL82" ca="1">INDIRECT($BM$2&amp;BL$7&amp;$BI82,1)</f>
        <v>0</v>
      </c>
      <c r="BM82" s="539" cm="1">
        <f t="array" aca="1" ref="BM82" ca="1">INDIRECT($BM$2&amp;BM$7&amp;$BI82,1)</f>
        <v>0</v>
      </c>
      <c r="BN82" s="539" cm="1">
        <f t="array" aca="1" ref="BN82" ca="1">INDIRECT($BM$2&amp;BN$7&amp;$BI82,1)</f>
        <v>0</v>
      </c>
      <c r="BO82" s="539" t="str">
        <f t="shared" ca="1" si="70"/>
        <v>-</v>
      </c>
      <c r="BP82" s="494" t="s">
        <v>8222</v>
      </c>
      <c r="BQ82" s="20"/>
      <c r="BR82" s="469">
        <v>9</v>
      </c>
      <c r="BS82" s="539" t="s">
        <v>8041</v>
      </c>
      <c r="BT82" s="539">
        <f t="shared" si="74"/>
        <v>435</v>
      </c>
      <c r="BU82" s="539" cm="1">
        <f t="array" aca="1" ref="BU82" ca="1">INDIRECT($BM$2&amp;BU$7&amp;$BT82,1)</f>
        <v>0</v>
      </c>
      <c r="BV82" s="539" cm="1">
        <f t="array" aca="1" ref="BV82" ca="1">INDIRECT($BM$2&amp;BV$7&amp;$BT82,1)</f>
        <v>0</v>
      </c>
      <c r="BW82" s="539" cm="1">
        <f t="array" aca="1" ref="BW82" ca="1">INDIRECT($BM$2&amp;BW$7&amp;$BT82,1)</f>
        <v>0</v>
      </c>
      <c r="BX82" s="539" cm="1">
        <f t="array" aca="1" ref="BX82" ca="1">INDIRECT($BM$2&amp;BX$7&amp;$BT82,1)</f>
        <v>0</v>
      </c>
      <c r="BY82" s="539" cm="1">
        <f t="array" aca="1" ref="BY82" ca="1">INDIRECT($BM$2&amp;BY$7&amp;$BT82,1)</f>
        <v>0</v>
      </c>
      <c r="BZ82" s="539" t="str">
        <f t="shared" ca="1" si="71"/>
        <v>-</v>
      </c>
      <c r="CA82" s="494" t="s">
        <v>8222</v>
      </c>
      <c r="CC82" s="469">
        <v>9</v>
      </c>
      <c r="CD82" s="539" t="s">
        <v>8041</v>
      </c>
      <c r="CE82" s="539">
        <f t="shared" si="75"/>
        <v>781</v>
      </c>
      <c r="CF82" s="539" cm="1">
        <f t="array" aca="1" ref="CF82" ca="1">INDIRECT($BM$2&amp;CF$7&amp;$CE82,1)</f>
        <v>0</v>
      </c>
      <c r="CG82" s="539" cm="1">
        <f t="array" aca="1" ref="CG82" ca="1">INDIRECT($BM$2&amp;CG$7&amp;$CE82,1)</f>
        <v>0</v>
      </c>
      <c r="CH82" s="539" cm="1">
        <f t="array" aca="1" ref="CH82" ca="1">INDIRECT($BM$2&amp;CH$7&amp;$CE82,1)</f>
        <v>0</v>
      </c>
      <c r="CI82" s="539" cm="1">
        <f t="array" aca="1" ref="CI82" ca="1">INDIRECT($BM$2&amp;CI$7&amp;$CE82,1)</f>
        <v>0</v>
      </c>
      <c r="CJ82" s="539" cm="1">
        <f t="array" aca="1" ref="CJ82" ca="1">INDIRECT($BM$2&amp;CJ$7&amp;$CE82,1)</f>
        <v>0</v>
      </c>
      <c r="CK82" s="539" t="str">
        <f t="shared" ca="1" si="72"/>
        <v>-</v>
      </c>
      <c r="CL82" s="494" t="s">
        <v>8222</v>
      </c>
      <c r="CU82" s="469" t="s">
        <v>5510</v>
      </c>
      <c r="CV82" s="22">
        <v>4</v>
      </c>
      <c r="CW82" s="522">
        <f t="shared" si="67"/>
        <v>102</v>
      </c>
      <c r="CX82" s="22" cm="1">
        <f t="array" aca="1" ref="CX82" ca="1">INDIRECT($DD$2&amp;CX$28&amp;$CW82)</f>
        <v>0</v>
      </c>
      <c r="CY82" s="22" cm="1">
        <f t="array" aca="1" ref="CY82" ca="1">INDIRECT($DD$2&amp;CY$28&amp;$CW82)</f>
        <v>0</v>
      </c>
      <c r="CZ82" s="22" cm="1">
        <f t="array" aca="1" ref="CZ82" ca="1">INDIRECT($DD$2&amp;CZ$28&amp;$CW82)</f>
        <v>0</v>
      </c>
      <c r="DA82" s="22" cm="1">
        <f t="array" aca="1" ref="DA82" ca="1">INDIRECT($DD$2&amp;DA$28&amp;$CW82)</f>
        <v>0</v>
      </c>
      <c r="DB82" s="22" cm="1">
        <f t="array" aca="1" ref="DB82" ca="1">INDIRECT($DD$2&amp;DB$28&amp;$CW82)</f>
        <v>0</v>
      </c>
      <c r="DC82" s="22" cm="1">
        <f t="array" aca="1" ref="DC82" ca="1">INDIRECT($DD$2&amp;DC$28&amp;$CW82)</f>
        <v>0</v>
      </c>
      <c r="DD82" s="22" t="str">
        <f t="shared" ca="1" si="65"/>
        <v/>
      </c>
      <c r="DE82" s="22" t="str">
        <f t="shared" ca="1" si="66"/>
        <v/>
      </c>
      <c r="EQ82" s="469" t="s">
        <v>5510</v>
      </c>
      <c r="ES82" s="504"/>
      <c r="ET82" s="507"/>
      <c r="EU82" s="585">
        <v>30</v>
      </c>
      <c r="EW82" s="22" cm="1">
        <f t="array" aca="1" ref="EW82" ca="1">IF(INDIRECT($ET$72&amp;EU82)=0,0,
IF(INDIRECT($ET$73&amp;EU82)&lt;&gt;0,INDIRECT($ET$73&amp;EU82),
IF(INDIRECT($ET$74&amp;EU82)&lt;&gt;0,INDIRECT($ET$74&amp;EU82),"Não informado")))</f>
        <v>0</v>
      </c>
      <c r="GC82" s="472" t="s">
        <v>5510</v>
      </c>
      <c r="GE82" s="597">
        <v>32</v>
      </c>
      <c r="GF82" s="597" cm="1">
        <f t="array" aca="1" ref="GF82" ca="1">INDIRECT($GE$10&amp;GF$76&amp;$GE82,1)</f>
        <v>0</v>
      </c>
      <c r="GG82" s="597" cm="1">
        <f t="array" aca="1" ref="GG82" ca="1">INDIRECT($GE$10&amp;GG$76&amp;$GE82,1)</f>
        <v>0</v>
      </c>
      <c r="GH82" s="597" cm="1">
        <f t="array" aca="1" ref="GH82" ca="1">INDIRECT($GE$10&amp;GH$76&amp;$GE82,1)</f>
        <v>0</v>
      </c>
      <c r="GI82" s="601" t="b">
        <f>Respostas_usuario!AB48</f>
        <v>0</v>
      </c>
      <c r="GJ82" s="602" cm="1">
        <f t="array" aca="1" ref="GJ82" ca="1">INDIRECT($GE$11&amp;GF$76&amp;$GE82,1)</f>
        <v>0</v>
      </c>
      <c r="GK82" s="602" cm="1">
        <f t="array" aca="1" ref="GK82" ca="1">INDIRECT($GE$11&amp;GG$76&amp;$GE82,1)</f>
        <v>0</v>
      </c>
      <c r="GL82" s="602" cm="1">
        <f t="array" aca="1" ref="GL82" ca="1">INDIRECT($GE$11&amp;GH$76&amp;$GE82,1)</f>
        <v>0</v>
      </c>
      <c r="GM82" s="603" t="b">
        <f>Respostas_usuario!AC48</f>
        <v>0</v>
      </c>
      <c r="GO82" s="479" t="s">
        <v>5653</v>
      </c>
      <c r="GP82" s="643" t="b">
        <f>Respostas_usuario!X8</f>
        <v>0</v>
      </c>
      <c r="GQ82" s="479" t="s">
        <v>5659</v>
      </c>
      <c r="GR82" s="643" t="b">
        <f>Respostas_usuario!Z8</f>
        <v>0</v>
      </c>
      <c r="HJ82" s="20" t="s">
        <v>8500</v>
      </c>
      <c r="HK82" s="20" t="s">
        <v>5893</v>
      </c>
      <c r="HL82" s="20" t="s">
        <v>8498</v>
      </c>
      <c r="HM82" s="20" t="s">
        <v>5824</v>
      </c>
      <c r="HN82" s="20" t="s">
        <v>8449</v>
      </c>
      <c r="HO82" s="20" t="str">
        <f>tb_codigos_GHS_ABNT[[#This Row],[Código]]&amp;": "&amp;tb_codigos_GHS_ABNT[[#This Row],[Frases de perigo]]</f>
        <v>H341: Suspeito de provocar defeitos genéticos</v>
      </c>
    </row>
    <row r="83" spans="1:223" x14ac:dyDescent="0.25">
      <c r="A83" s="481" t="s">
        <v>5791</v>
      </c>
      <c r="B83" s="481" t="s">
        <v>5791</v>
      </c>
      <c r="C83" s="481" t="s">
        <v>5791</v>
      </c>
      <c r="D83" s="481" t="s">
        <v>5791</v>
      </c>
      <c r="E83" s="481" t="s">
        <v>5791</v>
      </c>
      <c r="F83" s="481" t="s">
        <v>5791</v>
      </c>
      <c r="G83" s="481" t="s">
        <v>5791</v>
      </c>
      <c r="H83" s="481" t="s">
        <v>5791</v>
      </c>
      <c r="I83" s="481" t="s">
        <v>5791</v>
      </c>
      <c r="J83" s="481" t="s">
        <v>5791</v>
      </c>
      <c r="K83" s="481" t="s">
        <v>5791</v>
      </c>
      <c r="L83" s="481" t="s">
        <v>5791</v>
      </c>
      <c r="AF83" s="20"/>
      <c r="AV83" s="469" t="s">
        <v>5510</v>
      </c>
      <c r="AW83" s="646" t="s">
        <v>5580</v>
      </c>
      <c r="AX83" s="643" t="s">
        <v>5958</v>
      </c>
      <c r="AY83" s="624" cm="1">
        <f t="array" aca="1" ref="AY83" ca="1">INDIRECT($AW$83&amp;"N48",1)</f>
        <v>0</v>
      </c>
      <c r="AZ83" s="624" cm="1">
        <f t="array" aca="1" ref="AZ83" ca="1">INDIRECT($AW$83&amp;"S48",1)</f>
        <v>0</v>
      </c>
      <c r="BA83" s="475" t="s">
        <v>5964</v>
      </c>
      <c r="BB83" s="472"/>
      <c r="BF83" s="469" t="s">
        <v>5510</v>
      </c>
      <c r="BG83" s="469">
        <v>10</v>
      </c>
      <c r="BH83" s="539" t="s">
        <v>8041</v>
      </c>
      <c r="BI83" s="539">
        <f t="shared" si="73"/>
        <v>90</v>
      </c>
      <c r="BJ83" s="539" cm="1">
        <f t="array" aca="1" ref="BJ83" ca="1">INDIRECT($BM$2&amp;BJ$7&amp;$BI83,1)</f>
        <v>0</v>
      </c>
      <c r="BK83" s="539" cm="1">
        <f t="array" aca="1" ref="BK83" ca="1">INDIRECT($BM$2&amp;BK$7&amp;$BI83,1)</f>
        <v>0</v>
      </c>
      <c r="BL83" s="539" cm="1">
        <f t="array" aca="1" ref="BL83" ca="1">INDIRECT($BM$2&amp;BL$7&amp;$BI83,1)</f>
        <v>0</v>
      </c>
      <c r="BM83" s="539" cm="1">
        <f t="array" aca="1" ref="BM83" ca="1">INDIRECT($BM$2&amp;BM$7&amp;$BI83,1)</f>
        <v>0</v>
      </c>
      <c r="BN83" s="539" cm="1">
        <f t="array" aca="1" ref="BN83" ca="1">INDIRECT($BM$2&amp;BN$7&amp;$BI83,1)</f>
        <v>0</v>
      </c>
      <c r="BO83" s="539" t="str">
        <f t="shared" ca="1" si="70"/>
        <v>-</v>
      </c>
      <c r="BP83" s="494" t="s">
        <v>8222</v>
      </c>
      <c r="BQ83" s="20"/>
      <c r="BR83" s="469">
        <v>10</v>
      </c>
      <c r="BS83" s="539" t="s">
        <v>8041</v>
      </c>
      <c r="BT83" s="539">
        <f t="shared" si="74"/>
        <v>436</v>
      </c>
      <c r="BU83" s="539" cm="1">
        <f t="array" aca="1" ref="BU83" ca="1">INDIRECT($BM$2&amp;BU$7&amp;$BT83,1)</f>
        <v>0</v>
      </c>
      <c r="BV83" s="539" cm="1">
        <f t="array" aca="1" ref="BV83" ca="1">INDIRECT($BM$2&amp;BV$7&amp;$BT83,1)</f>
        <v>0</v>
      </c>
      <c r="BW83" s="539" cm="1">
        <f t="array" aca="1" ref="BW83" ca="1">INDIRECT($BM$2&amp;BW$7&amp;$BT83,1)</f>
        <v>0</v>
      </c>
      <c r="BX83" s="539" cm="1">
        <f t="array" aca="1" ref="BX83" ca="1">INDIRECT($BM$2&amp;BX$7&amp;$BT83,1)</f>
        <v>0</v>
      </c>
      <c r="BY83" s="539" cm="1">
        <f t="array" aca="1" ref="BY83" ca="1">INDIRECT($BM$2&amp;BY$7&amp;$BT83,1)</f>
        <v>0</v>
      </c>
      <c r="BZ83" s="539" t="str">
        <f t="shared" ca="1" si="71"/>
        <v>-</v>
      </c>
      <c r="CA83" s="494" t="s">
        <v>8222</v>
      </c>
      <c r="CC83" s="469">
        <v>10</v>
      </c>
      <c r="CD83" s="539" t="s">
        <v>8041</v>
      </c>
      <c r="CE83" s="539">
        <f t="shared" si="75"/>
        <v>782</v>
      </c>
      <c r="CF83" s="539" cm="1">
        <f t="array" aca="1" ref="CF83" ca="1">INDIRECT($BM$2&amp;CF$7&amp;$CE83,1)</f>
        <v>0</v>
      </c>
      <c r="CG83" s="539" cm="1">
        <f t="array" aca="1" ref="CG83" ca="1">INDIRECT($BM$2&amp;CG$7&amp;$CE83,1)</f>
        <v>0</v>
      </c>
      <c r="CH83" s="539" cm="1">
        <f t="array" aca="1" ref="CH83" ca="1">INDIRECT($BM$2&amp;CH$7&amp;$CE83,1)</f>
        <v>0</v>
      </c>
      <c r="CI83" s="539" cm="1">
        <f t="array" aca="1" ref="CI83" ca="1">INDIRECT($BM$2&amp;CI$7&amp;$CE83,1)</f>
        <v>0</v>
      </c>
      <c r="CJ83" s="539" cm="1">
        <f t="array" aca="1" ref="CJ83" ca="1">INDIRECT($BM$2&amp;CJ$7&amp;$CE83,1)</f>
        <v>0</v>
      </c>
      <c r="CK83" s="539" t="str">
        <f t="shared" ca="1" si="72"/>
        <v>-</v>
      </c>
      <c r="CL83" s="494" t="s">
        <v>8222</v>
      </c>
      <c r="CU83" s="469" t="s">
        <v>5510</v>
      </c>
      <c r="CV83" s="22">
        <v>4</v>
      </c>
      <c r="CW83" s="522">
        <f t="shared" si="67"/>
        <v>103</v>
      </c>
      <c r="CX83" s="22" cm="1">
        <f t="array" aca="1" ref="CX83" ca="1">INDIRECT($DD$2&amp;CX$28&amp;$CW83)</f>
        <v>0</v>
      </c>
      <c r="CY83" s="22" cm="1">
        <f t="array" aca="1" ref="CY83" ca="1">INDIRECT($DD$2&amp;CY$28&amp;$CW83)</f>
        <v>0</v>
      </c>
      <c r="CZ83" s="22" cm="1">
        <f t="array" aca="1" ref="CZ83" ca="1">INDIRECT($DD$2&amp;CZ$28&amp;$CW83)</f>
        <v>0</v>
      </c>
      <c r="DA83" s="22" cm="1">
        <f t="array" aca="1" ref="DA83" ca="1">INDIRECT($DD$2&amp;DA$28&amp;$CW83)</f>
        <v>0</v>
      </c>
      <c r="DB83" s="22" cm="1">
        <f t="array" aca="1" ref="DB83" ca="1">INDIRECT($DD$2&amp;DB$28&amp;$CW83)</f>
        <v>0</v>
      </c>
      <c r="DC83" s="22" cm="1">
        <f t="array" aca="1" ref="DC83" ca="1">INDIRECT($DD$2&amp;DC$28&amp;$CW83)</f>
        <v>0</v>
      </c>
      <c r="DD83" s="22" t="str">
        <f t="shared" ca="1" si="65"/>
        <v/>
      </c>
      <c r="DE83" s="22" t="str">
        <f t="shared" ca="1" si="66"/>
        <v/>
      </c>
      <c r="EQ83" s="469" t="s">
        <v>5510</v>
      </c>
      <c r="ES83" s="504"/>
      <c r="ET83" s="507"/>
      <c r="EU83" s="585">
        <v>31</v>
      </c>
      <c r="EW83" s="22" cm="1">
        <f t="array" aca="1" ref="EW83" ca="1">IF(INDIRECT($ET$72&amp;EU83)=0,0,
IF(INDIRECT($ET$73&amp;EU83)&lt;&gt;0,INDIRECT($ET$73&amp;EU83),
IF(INDIRECT($ET$74&amp;EU83)&lt;&gt;0,INDIRECT($ET$74&amp;EU83),"Não informado")))</f>
        <v>0</v>
      </c>
      <c r="GC83" s="472" t="s">
        <v>5510</v>
      </c>
      <c r="GE83" s="597">
        <v>33</v>
      </c>
      <c r="GF83" s="597" cm="1">
        <f t="array" aca="1" ref="GF83" ca="1">INDIRECT($GE$10&amp;GF$76&amp;$GE83,1)</f>
        <v>0</v>
      </c>
      <c r="GG83" s="597" cm="1">
        <f t="array" aca="1" ref="GG83" ca="1">INDIRECT($GE$10&amp;GG$76&amp;$GE83,1)</f>
        <v>0</v>
      </c>
      <c r="GH83" s="597" cm="1">
        <f t="array" aca="1" ref="GH83" ca="1">INDIRECT($GE$10&amp;GH$76&amp;$GE83,1)</f>
        <v>0</v>
      </c>
      <c r="GI83" s="601" t="b">
        <f>Respostas_usuario!AB49</f>
        <v>0</v>
      </c>
      <c r="GJ83" s="602" cm="1">
        <f t="array" aca="1" ref="GJ83" ca="1">INDIRECT($GE$11&amp;GF$76&amp;$GE83,1)</f>
        <v>0</v>
      </c>
      <c r="GK83" s="602" cm="1">
        <f t="array" aca="1" ref="GK83" ca="1">INDIRECT($GE$11&amp;GG$76&amp;$GE83,1)</f>
        <v>0</v>
      </c>
      <c r="GL83" s="602" cm="1">
        <f t="array" aca="1" ref="GL83" ca="1">INDIRECT($GE$11&amp;GH$76&amp;$GE83,1)</f>
        <v>0</v>
      </c>
      <c r="GM83" s="603" t="b">
        <f>Respostas_usuario!AC49</f>
        <v>0</v>
      </c>
      <c r="GO83" s="479" t="s">
        <v>5654</v>
      </c>
      <c r="GP83" s="643" t="b">
        <f>Respostas_usuario!X9</f>
        <v>0</v>
      </c>
      <c r="GQ83" s="479" t="s">
        <v>5660</v>
      </c>
      <c r="GR83" s="643" t="b">
        <f>Respostas_usuario!Z9</f>
        <v>0</v>
      </c>
      <c r="HJ83" s="20" t="s">
        <v>8501</v>
      </c>
      <c r="HK83" s="20" t="s">
        <v>8502</v>
      </c>
      <c r="HL83" s="20" t="s">
        <v>8503</v>
      </c>
      <c r="HM83" s="20" t="s">
        <v>8499</v>
      </c>
      <c r="HN83" s="20" t="s">
        <v>8448</v>
      </c>
      <c r="HO83" s="20" t="str">
        <f>tb_codigos_GHS_ABNT[[#This Row],[Código]]&amp;": "&amp;tb_codigos_GHS_ABNT[[#This Row],[Frases de perigo]]</f>
        <v>H350: Pode provocar câncer</v>
      </c>
    </row>
    <row r="84" spans="1:223" x14ac:dyDescent="0.25">
      <c r="AF84" s="20"/>
      <c r="AV84" s="469" t="s">
        <v>5510</v>
      </c>
      <c r="AW84" s="535"/>
      <c r="AX84" s="643" t="s">
        <v>5961</v>
      </c>
      <c r="AY84" s="624" cm="1">
        <f t="array" aca="1" ref="AY84" ca="1">IF(INDIRECT($AW$83&amp;"R64",1)&lt;&gt;"",
INDIRECT($AW$83&amp;"R64",1),
INDIRECT($AW$83&amp;"R63",1))</f>
        <v>0</v>
      </c>
      <c r="AZ84" s="624" cm="1">
        <f t="array" aca="1" ref="AZ84" ca="1">IF(INDIRECT($AW$83&amp;"V64",1)&lt;&gt;"",
INDIRECT($AW$83&amp;"V64",1),
INDIRECT($AW$83&amp;"V63",1))</f>
        <v>0</v>
      </c>
      <c r="BA84" s="475" t="s">
        <v>5960</v>
      </c>
      <c r="BB84" s="472"/>
      <c r="BF84" s="469" t="s">
        <v>5510</v>
      </c>
      <c r="BG84" s="469">
        <v>11</v>
      </c>
      <c r="BH84" s="539" t="s">
        <v>8041</v>
      </c>
      <c r="BI84" s="539">
        <f t="shared" si="73"/>
        <v>91</v>
      </c>
      <c r="BJ84" s="539" cm="1">
        <f t="array" aca="1" ref="BJ84" ca="1">INDIRECT($BM$2&amp;BJ$7&amp;$BI84,1)</f>
        <v>0</v>
      </c>
      <c r="BK84" s="539" cm="1">
        <f t="array" aca="1" ref="BK84" ca="1">INDIRECT($BM$2&amp;BK$7&amp;$BI84,1)</f>
        <v>0</v>
      </c>
      <c r="BL84" s="539" cm="1">
        <f t="array" aca="1" ref="BL84" ca="1">INDIRECT($BM$2&amp;BL$7&amp;$BI84,1)</f>
        <v>0</v>
      </c>
      <c r="BM84" s="539" cm="1">
        <f t="array" aca="1" ref="BM84" ca="1">INDIRECT($BM$2&amp;BM$7&amp;$BI84,1)</f>
        <v>0</v>
      </c>
      <c r="BN84" s="539" cm="1">
        <f t="array" aca="1" ref="BN84" ca="1">INDIRECT($BM$2&amp;BN$7&amp;$BI84,1)</f>
        <v>0</v>
      </c>
      <c r="BO84" s="539" t="str">
        <f t="shared" ca="1" si="70"/>
        <v>-</v>
      </c>
      <c r="BP84" s="494" t="s">
        <v>8222</v>
      </c>
      <c r="BQ84" s="20"/>
      <c r="BR84" s="469">
        <v>11</v>
      </c>
      <c r="BS84" s="539" t="s">
        <v>8041</v>
      </c>
      <c r="BT84" s="539">
        <f t="shared" si="74"/>
        <v>437</v>
      </c>
      <c r="BU84" s="539" cm="1">
        <f t="array" aca="1" ref="BU84" ca="1">INDIRECT($BM$2&amp;BU$7&amp;$BT84,1)</f>
        <v>0</v>
      </c>
      <c r="BV84" s="539" cm="1">
        <f t="array" aca="1" ref="BV84" ca="1">INDIRECT($BM$2&amp;BV$7&amp;$BT84,1)</f>
        <v>0</v>
      </c>
      <c r="BW84" s="539" cm="1">
        <f t="array" aca="1" ref="BW84" ca="1">INDIRECT($BM$2&amp;BW$7&amp;$BT84,1)</f>
        <v>0</v>
      </c>
      <c r="BX84" s="539" cm="1">
        <f t="array" aca="1" ref="BX84" ca="1">INDIRECT($BM$2&amp;BX$7&amp;$BT84,1)</f>
        <v>0</v>
      </c>
      <c r="BY84" s="539" cm="1">
        <f t="array" aca="1" ref="BY84" ca="1">INDIRECT($BM$2&amp;BY$7&amp;$BT84,1)</f>
        <v>0</v>
      </c>
      <c r="BZ84" s="539" t="str">
        <f t="shared" ca="1" si="71"/>
        <v>-</v>
      </c>
      <c r="CA84" s="494" t="s">
        <v>8222</v>
      </c>
      <c r="CC84" s="469">
        <v>11</v>
      </c>
      <c r="CD84" s="539" t="s">
        <v>8041</v>
      </c>
      <c r="CE84" s="539">
        <f t="shared" si="75"/>
        <v>783</v>
      </c>
      <c r="CF84" s="539" cm="1">
        <f t="array" aca="1" ref="CF84" ca="1">INDIRECT($BM$2&amp;CF$7&amp;$CE84,1)</f>
        <v>0</v>
      </c>
      <c r="CG84" s="539" cm="1">
        <f t="array" aca="1" ref="CG84" ca="1">INDIRECT($BM$2&amp;CG$7&amp;$CE84,1)</f>
        <v>0</v>
      </c>
      <c r="CH84" s="539" cm="1">
        <f t="array" aca="1" ref="CH84" ca="1">INDIRECT($BM$2&amp;CH$7&amp;$CE84,1)</f>
        <v>0</v>
      </c>
      <c r="CI84" s="539" cm="1">
        <f t="array" aca="1" ref="CI84" ca="1">INDIRECT($BM$2&amp;CI$7&amp;$CE84,1)</f>
        <v>0</v>
      </c>
      <c r="CJ84" s="539" cm="1">
        <f t="array" aca="1" ref="CJ84" ca="1">INDIRECT($BM$2&amp;CJ$7&amp;$CE84,1)</f>
        <v>0</v>
      </c>
      <c r="CK84" s="539" t="str">
        <f t="shared" ca="1" si="72"/>
        <v>-</v>
      </c>
      <c r="CL84" s="494" t="s">
        <v>8222</v>
      </c>
      <c r="CU84" s="469" t="s">
        <v>5510</v>
      </c>
      <c r="CV84" s="22">
        <v>4</v>
      </c>
      <c r="CW84" s="522">
        <f t="shared" si="67"/>
        <v>104</v>
      </c>
      <c r="CX84" s="22" cm="1">
        <f t="array" aca="1" ref="CX84" ca="1">INDIRECT($DD$2&amp;CX$28&amp;$CW84)</f>
        <v>0</v>
      </c>
      <c r="CY84" s="22" cm="1">
        <f t="array" aca="1" ref="CY84" ca="1">INDIRECT($DD$2&amp;CY$28&amp;$CW84)</f>
        <v>0</v>
      </c>
      <c r="CZ84" s="22" cm="1">
        <f t="array" aca="1" ref="CZ84" ca="1">INDIRECT($DD$2&amp;CZ$28&amp;$CW84)</f>
        <v>0</v>
      </c>
      <c r="DA84" s="22" cm="1">
        <f t="array" aca="1" ref="DA84" ca="1">INDIRECT($DD$2&amp;DA$28&amp;$CW84)</f>
        <v>0</v>
      </c>
      <c r="DB84" s="22" cm="1">
        <f t="array" aca="1" ref="DB84" ca="1">INDIRECT($DD$2&amp;DB$28&amp;$CW84)</f>
        <v>0</v>
      </c>
      <c r="DC84" s="22" cm="1">
        <f t="array" aca="1" ref="DC84" ca="1">INDIRECT($DD$2&amp;DC$28&amp;$CW84)</f>
        <v>0</v>
      </c>
      <c r="DD84" s="22" t="str">
        <f t="shared" ca="1" si="65"/>
        <v/>
      </c>
      <c r="DE84" s="22" t="str">
        <f t="shared" ca="1" si="66"/>
        <v/>
      </c>
      <c r="EQ84" s="469" t="s">
        <v>5510</v>
      </c>
      <c r="ES84" s="504"/>
      <c r="ET84" s="507"/>
      <c r="EU84" s="585">
        <v>32</v>
      </c>
      <c r="EW84" s="22" cm="1">
        <f t="array" aca="1" ref="EW84" ca="1">IF(INDIRECT($ET$72&amp;EU84)=0,0,
IF(INDIRECT($ET$73&amp;EU84)&lt;&gt;0,INDIRECT($ET$73&amp;EU84),
IF(INDIRECT($ET$74&amp;EU84)&lt;&gt;0,INDIRECT($ET$74&amp;EU84),"Não informado")))</f>
        <v>0</v>
      </c>
      <c r="GC84" s="472" t="s">
        <v>5510</v>
      </c>
      <c r="GE84" s="597">
        <v>34</v>
      </c>
      <c r="GF84" s="597" cm="1">
        <f t="array" aca="1" ref="GF84" ca="1">INDIRECT($GE$10&amp;GF$76&amp;$GE84,1)</f>
        <v>0</v>
      </c>
      <c r="GG84" s="597" cm="1">
        <f t="array" aca="1" ref="GG84" ca="1">INDIRECT($GE$10&amp;GG$76&amp;$GE84,1)</f>
        <v>0</v>
      </c>
      <c r="GH84" s="597" cm="1">
        <f t="array" aca="1" ref="GH84" ca="1">INDIRECT($GE$10&amp;GH$76&amp;$GE84,1)</f>
        <v>0</v>
      </c>
      <c r="GI84" s="601" t="b">
        <f>Respostas_usuario!AB50</f>
        <v>0</v>
      </c>
      <c r="GJ84" s="602" cm="1">
        <f t="array" aca="1" ref="GJ84" ca="1">INDIRECT($GE$11&amp;GF$76&amp;$GE84,1)</f>
        <v>0</v>
      </c>
      <c r="GK84" s="602" cm="1">
        <f t="array" aca="1" ref="GK84" ca="1">INDIRECT($GE$11&amp;GG$76&amp;$GE84,1)</f>
        <v>0</v>
      </c>
      <c r="GL84" s="602" cm="1">
        <f t="array" aca="1" ref="GL84" ca="1">INDIRECT($GE$11&amp;GH$76&amp;$GE84,1)</f>
        <v>0</v>
      </c>
      <c r="GM84" s="603" t="b">
        <f>Respostas_usuario!AC50</f>
        <v>0</v>
      </c>
      <c r="GO84" s="479" t="s">
        <v>5655</v>
      </c>
      <c r="GP84" s="643" t="b">
        <f>Respostas_usuario!X10</f>
        <v>0</v>
      </c>
      <c r="GQ84" s="479" t="s">
        <v>5661</v>
      </c>
      <c r="GR84" s="643" t="b">
        <f>Respostas_usuario!Z10</f>
        <v>0</v>
      </c>
      <c r="HJ84" s="20" t="s">
        <v>8504</v>
      </c>
      <c r="HK84" s="20" t="s">
        <v>8505</v>
      </c>
      <c r="HL84" s="20" t="s">
        <v>8503</v>
      </c>
      <c r="HM84" s="20" t="s">
        <v>5824</v>
      </c>
      <c r="HN84" s="20" t="s">
        <v>8449</v>
      </c>
      <c r="HO84" s="20" t="str">
        <f>tb_codigos_GHS_ABNT[[#This Row],[Código]]&amp;": "&amp;tb_codigos_GHS_ABNT[[#This Row],[Frases de perigo]]</f>
        <v>H351: Suspeito de provocar câncer</v>
      </c>
    </row>
    <row r="85" spans="1:223" x14ac:dyDescent="0.25">
      <c r="AF85" s="20"/>
      <c r="AV85" s="469" t="s">
        <v>5510</v>
      </c>
      <c r="AX85" s="643" t="s">
        <v>5972</v>
      </c>
      <c r="AY85" s="624" t="b">
        <f ca="1">AY83=AY84</f>
        <v>1</v>
      </c>
      <c r="AZ85" s="624" t="b">
        <f ca="1">AZ83=AZ84</f>
        <v>1</v>
      </c>
      <c r="BA85" s="20" t="s">
        <v>5971</v>
      </c>
      <c r="BB85" s="472"/>
      <c r="BF85" s="469" t="s">
        <v>5510</v>
      </c>
      <c r="BG85" s="469">
        <v>12</v>
      </c>
      <c r="BH85" s="539" t="s">
        <v>8041</v>
      </c>
      <c r="BI85" s="539">
        <f t="shared" si="73"/>
        <v>92</v>
      </c>
      <c r="BJ85" s="539" cm="1">
        <f t="array" aca="1" ref="BJ85" ca="1">INDIRECT($BM$2&amp;BJ$7&amp;$BI85,1)</f>
        <v>0</v>
      </c>
      <c r="BK85" s="539" cm="1">
        <f t="array" aca="1" ref="BK85" ca="1">INDIRECT($BM$2&amp;BK$7&amp;$BI85,1)</f>
        <v>0</v>
      </c>
      <c r="BL85" s="539" cm="1">
        <f t="array" aca="1" ref="BL85" ca="1">INDIRECT($BM$2&amp;BL$7&amp;$BI85,1)</f>
        <v>0</v>
      </c>
      <c r="BM85" s="539" cm="1">
        <f t="array" aca="1" ref="BM85" ca="1">INDIRECT($BM$2&amp;BM$7&amp;$BI85,1)</f>
        <v>0</v>
      </c>
      <c r="BN85" s="539" t="str" cm="1">
        <f t="array" aca="1" ref="BN85" ca="1">INDIRECT($BM$2&amp;BN$7&amp;$BI85,1)</f>
        <v>-</v>
      </c>
      <c r="BO85" s="539" t="str">
        <f t="shared" ca="1" si="70"/>
        <v>-</v>
      </c>
      <c r="BP85" s="561" t="s">
        <v>8223</v>
      </c>
      <c r="BQ85" s="20"/>
      <c r="BR85" s="469">
        <v>12</v>
      </c>
      <c r="BS85" s="539" t="s">
        <v>8041</v>
      </c>
      <c r="BT85" s="539">
        <f t="shared" si="74"/>
        <v>438</v>
      </c>
      <c r="BU85" s="539" cm="1">
        <f t="array" aca="1" ref="BU85" ca="1">INDIRECT($BM$2&amp;BU$7&amp;$BT85,1)</f>
        <v>0</v>
      </c>
      <c r="BV85" s="539" cm="1">
        <f t="array" aca="1" ref="BV85" ca="1">INDIRECT($BM$2&amp;BV$7&amp;$BT85,1)</f>
        <v>0</v>
      </c>
      <c r="BW85" s="539" cm="1">
        <f t="array" aca="1" ref="BW85" ca="1">INDIRECT($BM$2&amp;BW$7&amp;$BT85,1)</f>
        <v>0</v>
      </c>
      <c r="BX85" s="539" cm="1">
        <f t="array" aca="1" ref="BX85" ca="1">INDIRECT($BM$2&amp;BX$7&amp;$BT85,1)</f>
        <v>0</v>
      </c>
      <c r="BY85" s="539" t="str" cm="1">
        <f t="array" aca="1" ref="BY85" ca="1">INDIRECT($BM$2&amp;BY$7&amp;$BT85,1)</f>
        <v>-</v>
      </c>
      <c r="BZ85" s="539" t="str">
        <f t="shared" ca="1" si="71"/>
        <v>-</v>
      </c>
      <c r="CA85" s="561" t="s">
        <v>8223</v>
      </c>
      <c r="CC85" s="469">
        <v>12</v>
      </c>
      <c r="CD85" s="539" t="s">
        <v>8041</v>
      </c>
      <c r="CE85" s="539">
        <f t="shared" si="75"/>
        <v>784</v>
      </c>
      <c r="CF85" s="539" cm="1">
        <f t="array" aca="1" ref="CF85" ca="1">INDIRECT($BM$2&amp;CF$7&amp;$CE85,1)</f>
        <v>0</v>
      </c>
      <c r="CG85" s="539" cm="1">
        <f t="array" aca="1" ref="CG85" ca="1">INDIRECT($BM$2&amp;CG$7&amp;$CE85,1)</f>
        <v>0</v>
      </c>
      <c r="CH85" s="539" cm="1">
        <f t="array" aca="1" ref="CH85" ca="1">INDIRECT($BM$2&amp;CH$7&amp;$CE85,1)</f>
        <v>0</v>
      </c>
      <c r="CI85" s="539" cm="1">
        <f t="array" aca="1" ref="CI85" ca="1">INDIRECT($BM$2&amp;CI$7&amp;$CE85,1)</f>
        <v>0</v>
      </c>
      <c r="CJ85" s="539" t="str" cm="1">
        <f t="array" aca="1" ref="CJ85" ca="1">INDIRECT($BM$2&amp;CJ$7&amp;$CE85,1)</f>
        <v>-</v>
      </c>
      <c r="CK85" s="539" t="str">
        <f t="shared" ca="1" si="72"/>
        <v>-</v>
      </c>
      <c r="CL85" s="561" t="s">
        <v>8223</v>
      </c>
      <c r="CU85" s="469" t="s">
        <v>5510</v>
      </c>
      <c r="CV85" s="22">
        <v>4</v>
      </c>
      <c r="CW85" s="522">
        <f t="shared" si="67"/>
        <v>105</v>
      </c>
      <c r="CX85" s="22" cm="1">
        <f t="array" aca="1" ref="CX85" ca="1">INDIRECT($DD$2&amp;CX$28&amp;$CW85)</f>
        <v>0</v>
      </c>
      <c r="CY85" s="22" cm="1">
        <f t="array" aca="1" ref="CY85" ca="1">INDIRECT($DD$2&amp;CY$28&amp;$CW85)</f>
        <v>0</v>
      </c>
      <c r="CZ85" s="22" cm="1">
        <f t="array" aca="1" ref="CZ85" ca="1">INDIRECT($DD$2&amp;CZ$28&amp;$CW85)</f>
        <v>0</v>
      </c>
      <c r="DA85" s="22" cm="1">
        <f t="array" aca="1" ref="DA85" ca="1">INDIRECT($DD$2&amp;DA$28&amp;$CW85)</f>
        <v>0</v>
      </c>
      <c r="DB85" s="22" cm="1">
        <f t="array" aca="1" ref="DB85" ca="1">INDIRECT($DD$2&amp;DB$28&amp;$CW85)</f>
        <v>0</v>
      </c>
      <c r="DC85" s="22" cm="1">
        <f t="array" aca="1" ref="DC85" ca="1">INDIRECT($DD$2&amp;DC$28&amp;$CW85)</f>
        <v>0</v>
      </c>
      <c r="DD85" s="22" t="str">
        <f t="shared" ca="1" si="65"/>
        <v/>
      </c>
      <c r="DE85" s="22" t="str">
        <f t="shared" ca="1" si="66"/>
        <v/>
      </c>
      <c r="EQ85" s="469" t="s">
        <v>5510</v>
      </c>
      <c r="ES85" s="504"/>
      <c r="ET85" s="507"/>
      <c r="EU85" s="585">
        <v>33</v>
      </c>
      <c r="EW85" s="22" cm="1">
        <f t="array" aca="1" ref="EW85" ca="1">IF(INDIRECT($ET$72&amp;EU85)=0,0,
IF(INDIRECT($ET$73&amp;EU85)&lt;&gt;0,INDIRECT($ET$73&amp;EU85),
IF(INDIRECT($ET$74&amp;EU85)&lt;&gt;0,INDIRECT($ET$74&amp;EU85),"Não informado")))</f>
        <v>0</v>
      </c>
      <c r="GC85" s="472" t="s">
        <v>5510</v>
      </c>
      <c r="GE85" s="597">
        <v>35</v>
      </c>
      <c r="GF85" s="597" cm="1">
        <f t="array" aca="1" ref="GF85" ca="1">INDIRECT($GE$10&amp;GF$76&amp;$GE85,1)</f>
        <v>0</v>
      </c>
      <c r="GG85" s="597" cm="1">
        <f t="array" aca="1" ref="GG85" ca="1">INDIRECT($GE$10&amp;GG$76&amp;$GE85,1)</f>
        <v>0</v>
      </c>
      <c r="GH85" s="597" cm="1">
        <f t="array" aca="1" ref="GH85" ca="1">INDIRECT($GE$10&amp;GH$76&amp;$GE85,1)</f>
        <v>0</v>
      </c>
      <c r="GI85" s="601" t="b">
        <f>Respostas_usuario!AB51</f>
        <v>0</v>
      </c>
      <c r="GJ85" s="602" cm="1">
        <f t="array" aca="1" ref="GJ85" ca="1">INDIRECT($GE$11&amp;GF$76&amp;$GE85,1)</f>
        <v>0</v>
      </c>
      <c r="GK85" s="602" cm="1">
        <f t="array" aca="1" ref="GK85" ca="1">INDIRECT($GE$11&amp;GG$76&amp;$GE85,1)</f>
        <v>0</v>
      </c>
      <c r="GL85" s="602" cm="1">
        <f t="array" aca="1" ref="GL85" ca="1">INDIRECT($GE$11&amp;GH$76&amp;$GE85,1)</f>
        <v>0</v>
      </c>
      <c r="GM85" s="603" t="b">
        <f>Respostas_usuario!AC51</f>
        <v>0</v>
      </c>
      <c r="GO85" s="479" t="s">
        <v>5656</v>
      </c>
      <c r="GP85" s="643" t="b">
        <f>Respostas_usuario!X11</f>
        <v>0</v>
      </c>
      <c r="GQ85" s="479" t="s">
        <v>5662</v>
      </c>
      <c r="GR85" s="643" t="b">
        <f>Respostas_usuario!Z11</f>
        <v>0</v>
      </c>
      <c r="HJ85" s="20" t="s">
        <v>8506</v>
      </c>
      <c r="HK85" s="20" t="s">
        <v>8507</v>
      </c>
      <c r="HL85" s="20" t="s">
        <v>8508</v>
      </c>
      <c r="HM85" s="20" t="s">
        <v>8499</v>
      </c>
      <c r="HN85" s="20" t="s">
        <v>8448</v>
      </c>
      <c r="HO85" s="20" t="str">
        <f>tb_codigos_GHS_ABNT[[#This Row],[Código]]&amp;": "&amp;tb_codigos_GHS_ABNT[[#This Row],[Frases de perigo]]</f>
        <v>H360: Pode prejudicar a fertilidade ou o feto</v>
      </c>
    </row>
    <row r="86" spans="1:223" x14ac:dyDescent="0.25">
      <c r="AF86" s="20"/>
      <c r="AV86" s="469" t="s">
        <v>5510</v>
      </c>
      <c r="BB86" s="472"/>
      <c r="BF86" s="469" t="s">
        <v>5510</v>
      </c>
      <c r="BL86" s="372"/>
      <c r="BO86" s="472"/>
      <c r="BQ86" s="20"/>
      <c r="BT86" s="372"/>
      <c r="BU86" s="472"/>
      <c r="BV86" s="472"/>
      <c r="BW86" s="372"/>
      <c r="BX86" s="472"/>
      <c r="BY86" s="372"/>
      <c r="BZ86" s="472"/>
      <c r="CA86" s="372"/>
      <c r="CE86" s="372"/>
      <c r="CF86" s="472"/>
      <c r="CG86" s="472"/>
      <c r="CH86" s="372"/>
      <c r="CI86" s="472"/>
      <c r="CJ86" s="372"/>
      <c r="CK86" s="472"/>
      <c r="CL86" s="372"/>
      <c r="CU86" s="469" t="s">
        <v>5510</v>
      </c>
      <c r="CV86" s="22">
        <v>4</v>
      </c>
      <c r="CW86" s="522">
        <f t="shared" si="67"/>
        <v>106</v>
      </c>
      <c r="CX86" s="22" cm="1">
        <f t="array" aca="1" ref="CX86" ca="1">INDIRECT($DD$2&amp;CX$28&amp;$CW86)</f>
        <v>0</v>
      </c>
      <c r="CY86" s="22" cm="1">
        <f t="array" aca="1" ref="CY86" ca="1">INDIRECT($DD$2&amp;CY$28&amp;$CW86)</f>
        <v>0</v>
      </c>
      <c r="CZ86" s="22" cm="1">
        <f t="array" aca="1" ref="CZ86" ca="1">INDIRECT($DD$2&amp;CZ$28&amp;$CW86)</f>
        <v>0</v>
      </c>
      <c r="DA86" s="22" cm="1">
        <f t="array" aca="1" ref="DA86" ca="1">INDIRECT($DD$2&amp;DA$28&amp;$CW86)</f>
        <v>0</v>
      </c>
      <c r="DB86" s="22" cm="1">
        <f t="array" aca="1" ref="DB86" ca="1">INDIRECT($DD$2&amp;DB$28&amp;$CW86)</f>
        <v>0</v>
      </c>
      <c r="DC86" s="22" cm="1">
        <f t="array" aca="1" ref="DC86" ca="1">INDIRECT($DD$2&amp;DC$28&amp;$CW86)</f>
        <v>0</v>
      </c>
      <c r="DD86" s="22" t="str">
        <f t="shared" ca="1" si="65"/>
        <v/>
      </c>
      <c r="DE86" s="22" t="str">
        <f t="shared" ca="1" si="66"/>
        <v/>
      </c>
      <c r="EQ86" s="469" t="s">
        <v>5510</v>
      </c>
      <c r="ES86" s="504"/>
      <c r="ET86" s="507"/>
      <c r="EU86" s="585">
        <v>34</v>
      </c>
      <c r="EW86" s="22" cm="1">
        <f t="array" aca="1" ref="EW86" ca="1">IF(INDIRECT($ET$72&amp;EU86)=0,0,
IF(INDIRECT($ET$73&amp;EU86)&lt;&gt;0,INDIRECT($ET$73&amp;EU86),
IF(INDIRECT($ET$74&amp;EU86)&lt;&gt;0,INDIRECT($ET$74&amp;EU86),"Não informado")))</f>
        <v>0</v>
      </c>
      <c r="GC86" s="472" t="s">
        <v>5510</v>
      </c>
      <c r="GE86" s="597">
        <v>36</v>
      </c>
      <c r="GF86" s="597" cm="1">
        <f t="array" aca="1" ref="GF86" ca="1">INDIRECT($GE$10&amp;GF$76&amp;$GE86,1)</f>
        <v>0</v>
      </c>
      <c r="GG86" s="597" cm="1">
        <f t="array" aca="1" ref="GG86" ca="1">INDIRECT($GE$10&amp;GG$76&amp;$GE86,1)</f>
        <v>0</v>
      </c>
      <c r="GH86" s="597" cm="1">
        <f t="array" aca="1" ref="GH86" ca="1">INDIRECT($GE$10&amp;GH$76&amp;$GE86,1)</f>
        <v>0</v>
      </c>
      <c r="GI86" s="601" t="b">
        <f>Respostas_usuario!AB52</f>
        <v>0</v>
      </c>
      <c r="GJ86" s="602" cm="1">
        <f t="array" aca="1" ref="GJ86" ca="1">INDIRECT($GE$11&amp;GF$76&amp;$GE86,1)</f>
        <v>0</v>
      </c>
      <c r="GK86" s="602" cm="1">
        <f t="array" aca="1" ref="GK86" ca="1">INDIRECT($GE$11&amp;GG$76&amp;$GE86,1)</f>
        <v>0</v>
      </c>
      <c r="GL86" s="602" cm="1">
        <f t="array" aca="1" ref="GL86" ca="1">INDIRECT($GE$11&amp;GH$76&amp;$GE86,1)</f>
        <v>0</v>
      </c>
      <c r="GM86" s="603" t="b">
        <f>Respostas_usuario!AC52</f>
        <v>0</v>
      </c>
      <c r="HJ86" s="20" t="s">
        <v>8509</v>
      </c>
      <c r="HK86" s="20" t="s">
        <v>8510</v>
      </c>
      <c r="HL86" s="20" t="s">
        <v>8508</v>
      </c>
      <c r="HM86" s="20" t="s">
        <v>5824</v>
      </c>
      <c r="HN86" s="20" t="s">
        <v>8449</v>
      </c>
      <c r="HO86" s="20" t="str">
        <f>tb_codigos_GHS_ABNT[[#This Row],[Código]]&amp;": "&amp;tb_codigos_GHS_ABNT[[#This Row],[Frases de perigo]]</f>
        <v>H361: Suspeita-se que prejudique a fertilidade ou o feto</v>
      </c>
    </row>
    <row r="87" spans="1:223" x14ac:dyDescent="0.25">
      <c r="AF87" s="20"/>
      <c r="AV87" s="469" t="s">
        <v>5510</v>
      </c>
      <c r="BB87" s="472"/>
      <c r="BF87" s="469" t="s">
        <v>5510</v>
      </c>
      <c r="BL87" s="372"/>
      <c r="BO87" s="472"/>
      <c r="BQ87" s="20"/>
      <c r="BT87" s="372"/>
      <c r="BU87" s="472"/>
      <c r="BV87" s="472"/>
      <c r="BW87" s="372"/>
      <c r="BX87" s="472"/>
      <c r="BY87" s="372"/>
      <c r="BZ87" s="472"/>
      <c r="CA87" s="372"/>
      <c r="CE87" s="372"/>
      <c r="CF87" s="472"/>
      <c r="CG87" s="472"/>
      <c r="CH87" s="372"/>
      <c r="CI87" s="472"/>
      <c r="CJ87" s="372"/>
      <c r="CK87" s="472"/>
      <c r="CL87" s="372"/>
      <c r="CU87" s="469" t="s">
        <v>5510</v>
      </c>
      <c r="CV87" s="22">
        <v>4</v>
      </c>
      <c r="CW87" s="522">
        <f t="shared" si="67"/>
        <v>107</v>
      </c>
      <c r="CX87" s="22" cm="1">
        <f t="array" aca="1" ref="CX87" ca="1">INDIRECT($DD$2&amp;CX$28&amp;$CW87)</f>
        <v>0</v>
      </c>
      <c r="CY87" s="22" cm="1">
        <f t="array" aca="1" ref="CY87" ca="1">INDIRECT($DD$2&amp;CY$28&amp;$CW87)</f>
        <v>0</v>
      </c>
      <c r="CZ87" s="22" cm="1">
        <f t="array" aca="1" ref="CZ87" ca="1">INDIRECT($DD$2&amp;CZ$28&amp;$CW87)</f>
        <v>0</v>
      </c>
      <c r="DA87" s="22" cm="1">
        <f t="array" aca="1" ref="DA87" ca="1">INDIRECT($DD$2&amp;DA$28&amp;$CW87)</f>
        <v>0</v>
      </c>
      <c r="DB87" s="22" cm="1">
        <f t="array" aca="1" ref="DB87" ca="1">INDIRECT($DD$2&amp;DB$28&amp;$CW87)</f>
        <v>0</v>
      </c>
      <c r="DC87" s="22" cm="1">
        <f t="array" aca="1" ref="DC87" ca="1">INDIRECT($DD$2&amp;DC$28&amp;$CW87)</f>
        <v>0</v>
      </c>
      <c r="DD87" s="22" t="str">
        <f t="shared" ca="1" si="65"/>
        <v/>
      </c>
      <c r="DE87" s="22" t="str">
        <f t="shared" ca="1" si="66"/>
        <v/>
      </c>
      <c r="EQ87" s="469" t="s">
        <v>5510</v>
      </c>
      <c r="ES87" s="504"/>
      <c r="ET87" s="507"/>
      <c r="EU87" s="585">
        <v>35</v>
      </c>
      <c r="EW87" s="22" cm="1">
        <f t="array" aca="1" ref="EW87" ca="1">IF(INDIRECT($ET$72&amp;EU87)=0,0,
IF(INDIRECT($ET$73&amp;EU87)&lt;&gt;0,INDIRECT($ET$73&amp;EU87),
IF(INDIRECT($ET$74&amp;EU87)&lt;&gt;0,INDIRECT($ET$74&amp;EU87),"Não informado")))</f>
        <v>0</v>
      </c>
      <c r="GC87" s="472" t="s">
        <v>5510</v>
      </c>
      <c r="GE87" s="597">
        <v>37</v>
      </c>
      <c r="GF87" s="597" cm="1">
        <f t="array" aca="1" ref="GF87" ca="1">INDIRECT($GE$10&amp;GF$76&amp;$GE87,1)</f>
        <v>0</v>
      </c>
      <c r="GG87" s="597" cm="1">
        <f t="array" aca="1" ref="GG87" ca="1">INDIRECT($GE$10&amp;GG$76&amp;$GE87,1)</f>
        <v>0</v>
      </c>
      <c r="GH87" s="597" cm="1">
        <f t="array" aca="1" ref="GH87" ca="1">INDIRECT($GE$10&amp;GH$76&amp;$GE87,1)</f>
        <v>0</v>
      </c>
      <c r="GI87" s="601" t="b">
        <f>Respostas_usuario!AB53</f>
        <v>0</v>
      </c>
      <c r="GJ87" s="602" cm="1">
        <f t="array" aca="1" ref="GJ87" ca="1">INDIRECT($GE$11&amp;GF$76&amp;$GE87,1)</f>
        <v>0</v>
      </c>
      <c r="GK87" s="602" cm="1">
        <f t="array" aca="1" ref="GK87" ca="1">INDIRECT($GE$11&amp;GG$76&amp;$GE87,1)</f>
        <v>0</v>
      </c>
      <c r="GL87" s="602" cm="1">
        <f t="array" aca="1" ref="GL87" ca="1">INDIRECT($GE$11&amp;GH$76&amp;$GE87,1)</f>
        <v>0</v>
      </c>
      <c r="GM87" s="603" t="b">
        <f>Respostas_usuario!AC53</f>
        <v>0</v>
      </c>
      <c r="HJ87" s="20" t="s">
        <v>8511</v>
      </c>
      <c r="HK87" s="20" t="s">
        <v>8512</v>
      </c>
      <c r="HL87" s="20" t="s">
        <v>8513</v>
      </c>
      <c r="HM87" s="20" t="s">
        <v>8514</v>
      </c>
      <c r="HO87" s="20" t="str">
        <f>tb_codigos_GHS_ABNT[[#This Row],[Código]]&amp;": "&amp;tb_codigos_GHS_ABNT[[#This Row],[Frases de perigo]]</f>
        <v>H362: Pode ser nocivo às crianças alimentadas com leite materno</v>
      </c>
    </row>
    <row r="88" spans="1:223" x14ac:dyDescent="0.25">
      <c r="AF88" s="20"/>
      <c r="AV88" s="469" t="s">
        <v>5510</v>
      </c>
      <c r="BB88" s="472"/>
      <c r="BF88" s="469" t="s">
        <v>5510</v>
      </c>
      <c r="BQ88" s="20"/>
      <c r="BT88" s="372"/>
      <c r="BU88" s="472"/>
      <c r="BV88" s="472"/>
      <c r="BW88" s="472"/>
      <c r="BX88" s="472"/>
      <c r="BY88" s="372"/>
      <c r="BZ88" s="372"/>
      <c r="CA88" s="372"/>
      <c r="CE88" s="372"/>
      <c r="CF88" s="472"/>
      <c r="CG88" s="472"/>
      <c r="CH88" s="472"/>
      <c r="CI88" s="472"/>
      <c r="CJ88" s="372"/>
      <c r="CK88" s="372"/>
      <c r="CL88" s="372"/>
      <c r="CU88" s="469" t="s">
        <v>5510</v>
      </c>
      <c r="CV88" s="22">
        <v>4</v>
      </c>
      <c r="CW88" s="522">
        <f t="shared" si="67"/>
        <v>108</v>
      </c>
      <c r="CX88" s="22" cm="1">
        <f t="array" aca="1" ref="CX88" ca="1">INDIRECT($DD$2&amp;CX$28&amp;$CW88)</f>
        <v>0</v>
      </c>
      <c r="CY88" s="22" cm="1">
        <f t="array" aca="1" ref="CY88" ca="1">INDIRECT($DD$2&amp;CY$28&amp;$CW88)</f>
        <v>0</v>
      </c>
      <c r="CZ88" s="22" cm="1">
        <f t="array" aca="1" ref="CZ88" ca="1">INDIRECT($DD$2&amp;CZ$28&amp;$CW88)</f>
        <v>0</v>
      </c>
      <c r="DA88" s="22" cm="1">
        <f t="array" aca="1" ref="DA88" ca="1">INDIRECT($DD$2&amp;DA$28&amp;$CW88)</f>
        <v>0</v>
      </c>
      <c r="DB88" s="22" cm="1">
        <f t="array" aca="1" ref="DB88" ca="1">INDIRECT($DD$2&amp;DB$28&amp;$CW88)</f>
        <v>0</v>
      </c>
      <c r="DC88" s="22" cm="1">
        <f t="array" aca="1" ref="DC88" ca="1">INDIRECT($DD$2&amp;DC$28&amp;$CW88)</f>
        <v>0</v>
      </c>
      <c r="DD88" s="22" t="str">
        <f t="shared" ca="1" si="65"/>
        <v/>
      </c>
      <c r="DE88" s="22" t="str">
        <f t="shared" ca="1" si="66"/>
        <v/>
      </c>
      <c r="EQ88" s="469" t="s">
        <v>5510</v>
      </c>
      <c r="ES88" s="504"/>
      <c r="ET88" s="507"/>
      <c r="EU88" s="585">
        <v>36</v>
      </c>
      <c r="EW88" s="22" cm="1">
        <f t="array" aca="1" ref="EW88" ca="1">IF(INDIRECT($ET$72&amp;EU88)=0,0,
IF(INDIRECT($ET$73&amp;EU88)&lt;&gt;0,INDIRECT($ET$73&amp;EU88),
IF(INDIRECT($ET$74&amp;EU88)&lt;&gt;0,INDIRECT($ET$74&amp;EU88),"Não informado")))</f>
        <v>0</v>
      </c>
      <c r="GC88" s="472" t="s">
        <v>5510</v>
      </c>
      <c r="GE88" s="597">
        <v>38</v>
      </c>
      <c r="GF88" s="597" cm="1">
        <f t="array" aca="1" ref="GF88" ca="1">INDIRECT($GE$10&amp;GF$76&amp;$GE88,1)</f>
        <v>0</v>
      </c>
      <c r="GG88" s="597" cm="1">
        <f t="array" aca="1" ref="GG88" ca="1">INDIRECT($GE$10&amp;GG$76&amp;$GE88,1)</f>
        <v>0</v>
      </c>
      <c r="GH88" s="597" cm="1">
        <f t="array" aca="1" ref="GH88" ca="1">INDIRECT($GE$10&amp;GH$76&amp;$GE88,1)</f>
        <v>0</v>
      </c>
      <c r="GI88" s="601" t="b">
        <f>Respostas_usuario!AB54</f>
        <v>0</v>
      </c>
      <c r="GJ88" s="602" cm="1">
        <f t="array" aca="1" ref="GJ88" ca="1">INDIRECT($GE$11&amp;GF$76&amp;$GE88,1)</f>
        <v>0</v>
      </c>
      <c r="GK88" s="602" cm="1">
        <f t="array" aca="1" ref="GK88" ca="1">INDIRECT($GE$11&amp;GG$76&amp;$GE88,1)</f>
        <v>0</v>
      </c>
      <c r="GL88" s="602" cm="1">
        <f t="array" aca="1" ref="GL88" ca="1">INDIRECT($GE$11&amp;GH$76&amp;$GE88,1)</f>
        <v>0</v>
      </c>
      <c r="GM88" s="603" t="b">
        <f>Respostas_usuario!AC54</f>
        <v>0</v>
      </c>
      <c r="HJ88" s="20" t="s">
        <v>8515</v>
      </c>
      <c r="HK88" s="20" t="s">
        <v>8516</v>
      </c>
      <c r="HL88" s="20" t="s">
        <v>8517</v>
      </c>
      <c r="HM88" s="20" t="s">
        <v>5821</v>
      </c>
      <c r="HN88" s="20" t="s">
        <v>8448</v>
      </c>
      <c r="HO88" s="20" t="str">
        <f>tb_codigos_GHS_ABNT[[#This Row],[Código]]&amp;": "&amp;tb_codigos_GHS_ABNT[[#This Row],[Frases de perigo]]</f>
        <v>H370: Provoca danos aos órgãos</v>
      </c>
    </row>
    <row r="89" spans="1:223" x14ac:dyDescent="0.25">
      <c r="AF89" s="20"/>
      <c r="AV89" s="469" t="s">
        <v>5510</v>
      </c>
      <c r="AX89" s="643" t="s">
        <v>5959</v>
      </c>
      <c r="AZ89" s="624" cm="1">
        <f t="array" aca="1" ref="AZ89" ca="1">INDIRECT($AW$83&amp;"S49",1)</f>
        <v>0</v>
      </c>
      <c r="BA89" s="475" t="s">
        <v>5965</v>
      </c>
      <c r="BF89" s="469" t="s">
        <v>5510</v>
      </c>
      <c r="BQ89" s="20"/>
      <c r="BT89" s="372"/>
      <c r="BU89" s="472"/>
      <c r="BV89" s="472"/>
      <c r="BW89" s="472"/>
      <c r="BX89" s="472"/>
      <c r="BY89" s="372"/>
      <c r="BZ89" s="372"/>
      <c r="CA89" s="372"/>
      <c r="CE89" s="372"/>
      <c r="CF89" s="472"/>
      <c r="CG89" s="472"/>
      <c r="CH89" s="472"/>
      <c r="CI89" s="472"/>
      <c r="CJ89" s="372"/>
      <c r="CK89" s="372"/>
      <c r="CL89" s="372"/>
      <c r="CU89" s="469" t="s">
        <v>5510</v>
      </c>
      <c r="CV89" s="22">
        <v>4</v>
      </c>
      <c r="CW89" s="522">
        <f t="shared" si="67"/>
        <v>109</v>
      </c>
      <c r="CX89" s="22" cm="1">
        <f t="array" aca="1" ref="CX89" ca="1">INDIRECT($DD$2&amp;CX$28&amp;$CW89)</f>
        <v>0</v>
      </c>
      <c r="CY89" s="22" cm="1">
        <f t="array" aca="1" ref="CY89" ca="1">INDIRECT($DD$2&amp;CY$28&amp;$CW89)</f>
        <v>0</v>
      </c>
      <c r="CZ89" s="22" cm="1">
        <f t="array" aca="1" ref="CZ89" ca="1">INDIRECT($DD$2&amp;CZ$28&amp;$CW89)</f>
        <v>0</v>
      </c>
      <c r="DA89" s="22" cm="1">
        <f t="array" aca="1" ref="DA89" ca="1">INDIRECT($DD$2&amp;DA$28&amp;$CW89)</f>
        <v>0</v>
      </c>
      <c r="DB89" s="22" cm="1">
        <f t="array" aca="1" ref="DB89" ca="1">INDIRECT($DD$2&amp;DB$28&amp;$CW89)</f>
        <v>0</v>
      </c>
      <c r="DC89" s="22" cm="1">
        <f t="array" aca="1" ref="DC89" ca="1">INDIRECT($DD$2&amp;DC$28&amp;$CW89)</f>
        <v>0</v>
      </c>
      <c r="DD89" s="22" t="str">
        <f t="shared" ca="1" si="65"/>
        <v/>
      </c>
      <c r="DE89" s="22" t="str">
        <f t="shared" ca="1" si="66"/>
        <v/>
      </c>
      <c r="EQ89" s="469" t="s">
        <v>5510</v>
      </c>
      <c r="ES89" s="504"/>
      <c r="ET89" s="507"/>
      <c r="EU89" s="585">
        <v>37</v>
      </c>
      <c r="EW89" s="22" cm="1">
        <f t="array" aca="1" ref="EW89" ca="1">IF(INDIRECT($ET$72&amp;EU89)=0,0,
IF(INDIRECT($ET$73&amp;EU89)&lt;&gt;0,INDIRECT($ET$73&amp;EU89),
IF(INDIRECT($ET$74&amp;EU89)&lt;&gt;0,INDIRECT($ET$74&amp;EU89),"Não informado")))</f>
        <v>0</v>
      </c>
      <c r="GC89" s="472" t="s">
        <v>5510</v>
      </c>
      <c r="GE89" s="597">
        <v>39</v>
      </c>
      <c r="GF89" s="597" cm="1">
        <f t="array" aca="1" ref="GF89" ca="1">INDIRECT($GE$10&amp;GF$76&amp;$GE89,1)</f>
        <v>0</v>
      </c>
      <c r="GG89" s="597" cm="1">
        <f t="array" aca="1" ref="GG89" ca="1">INDIRECT($GE$10&amp;GG$76&amp;$GE89,1)</f>
        <v>0</v>
      </c>
      <c r="GH89" s="597" cm="1">
        <f t="array" aca="1" ref="GH89" ca="1">INDIRECT($GE$10&amp;GH$76&amp;$GE89,1)</f>
        <v>0</v>
      </c>
      <c r="GI89" s="601" t="b">
        <f>Respostas_usuario!AB55</f>
        <v>0</v>
      </c>
      <c r="GJ89" s="602" cm="1">
        <f t="array" aca="1" ref="GJ89" ca="1">INDIRECT($GE$11&amp;GF$76&amp;$GE89,1)</f>
        <v>0</v>
      </c>
      <c r="GK89" s="602" cm="1">
        <f t="array" aca="1" ref="GK89" ca="1">INDIRECT($GE$11&amp;GG$76&amp;$GE89,1)</f>
        <v>0</v>
      </c>
      <c r="GL89" s="602" cm="1">
        <f t="array" aca="1" ref="GL89" ca="1">INDIRECT($GE$11&amp;GH$76&amp;$GE89,1)</f>
        <v>0</v>
      </c>
      <c r="GM89" s="603" t="b">
        <f>Respostas_usuario!AC55</f>
        <v>0</v>
      </c>
      <c r="HJ89" s="20" t="s">
        <v>8518</v>
      </c>
      <c r="HK89" s="20" t="s">
        <v>8519</v>
      </c>
      <c r="HL89" s="20" t="s">
        <v>8517</v>
      </c>
      <c r="HM89" s="20" t="s">
        <v>5824</v>
      </c>
      <c r="HN89" s="20" t="s">
        <v>8449</v>
      </c>
      <c r="HO89" s="20" t="str">
        <f>tb_codigos_GHS_ABNT[[#This Row],[Código]]&amp;": "&amp;tb_codigos_GHS_ABNT[[#This Row],[Frases de perigo]]</f>
        <v>H371: Pode provocar danos aos órgãos</v>
      </c>
    </row>
    <row r="90" spans="1:223" x14ac:dyDescent="0.25">
      <c r="AF90" s="20"/>
      <c r="AV90" s="469" t="s">
        <v>5510</v>
      </c>
      <c r="AX90" s="643" t="s">
        <v>5962</v>
      </c>
      <c r="AZ90" s="624" cm="1">
        <f t="array" aca="1" ref="AZ90" ca="1">INDIRECT($AW$83&amp;"N73",1)</f>
        <v>0</v>
      </c>
      <c r="BA90" s="475" t="s">
        <v>5963</v>
      </c>
      <c r="BF90" s="469" t="s">
        <v>5510</v>
      </c>
      <c r="BG90" s="469">
        <v>1</v>
      </c>
      <c r="BH90" s="539" t="s">
        <v>8042</v>
      </c>
      <c r="BI90" s="539">
        <f>BI85+$BO$5</f>
        <v>98</v>
      </c>
      <c r="BJ90" s="539" cm="1">
        <f t="array" aca="1" ref="BJ90" ca="1">INDIRECT($BM$2&amp;BJ$7&amp;$BI90,1)</f>
        <v>0</v>
      </c>
      <c r="BK90" s="539" cm="1">
        <f t="array" aca="1" ref="BK90" ca="1">INDIRECT($BM$2&amp;BK$7&amp;$BI90,1)</f>
        <v>0</v>
      </c>
      <c r="BL90" s="539" cm="1">
        <f t="array" aca="1" ref="BL90" ca="1">INDIRECT($BM$2&amp;BL$7&amp;$BI90,1)</f>
        <v>0</v>
      </c>
      <c r="BM90" s="539" cm="1">
        <f t="array" aca="1" ref="BM90" ca="1">INDIRECT($BM$2&amp;BM$7&amp;$BI90,1)</f>
        <v>0</v>
      </c>
      <c r="BN90" s="539" cm="1">
        <f t="array" aca="1" ref="BN90" ca="1">INDIRECT($BM$2&amp;BN$7&amp;$BI90,1)</f>
        <v>0</v>
      </c>
      <c r="BO90" s="539" t="str">
        <f ca="1">IFERROR(BK90/BK$90,"-")</f>
        <v>-</v>
      </c>
      <c r="BP90" s="540" t="s">
        <v>8221</v>
      </c>
      <c r="BQ90" s="20"/>
      <c r="BR90" s="469">
        <v>1</v>
      </c>
      <c r="BS90" s="539" t="s">
        <v>8042</v>
      </c>
      <c r="BT90" s="539">
        <f>BT85+$BO$5</f>
        <v>444</v>
      </c>
      <c r="BU90" s="539" cm="1">
        <f t="array" aca="1" ref="BU90" ca="1">INDIRECT($BM$2&amp;BU$7&amp;$BT90,1)</f>
        <v>0</v>
      </c>
      <c r="BV90" s="539" cm="1">
        <f t="array" aca="1" ref="BV90" ca="1">INDIRECT($BM$2&amp;BV$7&amp;$BT90,1)</f>
        <v>0</v>
      </c>
      <c r="BW90" s="539" cm="1">
        <f t="array" aca="1" ref="BW90" ca="1">INDIRECT($BM$2&amp;BW$7&amp;$BT90,1)</f>
        <v>0</v>
      </c>
      <c r="BX90" s="539" cm="1">
        <f t="array" aca="1" ref="BX90" ca="1">INDIRECT($BM$2&amp;BX$7&amp;$BT90,1)</f>
        <v>0</v>
      </c>
      <c r="BY90" s="539" cm="1">
        <f t="array" aca="1" ref="BY90" ca="1">INDIRECT($BM$2&amp;BY$7&amp;$BT90,1)</f>
        <v>0</v>
      </c>
      <c r="BZ90" s="539" t="str">
        <f ca="1">IFERROR(BV90/BV$90,"-")</f>
        <v>-</v>
      </c>
      <c r="CA90" s="540" t="s">
        <v>8221</v>
      </c>
      <c r="CC90" s="469">
        <v>1</v>
      </c>
      <c r="CD90" s="539" t="s">
        <v>8042</v>
      </c>
      <c r="CE90" s="539">
        <f>CE85+$BO$5</f>
        <v>790</v>
      </c>
      <c r="CF90" s="539" cm="1">
        <f t="array" aca="1" ref="CF90" ca="1">INDIRECT($BM$2&amp;CF$7&amp;$CE90,1)</f>
        <v>0</v>
      </c>
      <c r="CG90" s="539" cm="1">
        <f t="array" aca="1" ref="CG90" ca="1">INDIRECT($BM$2&amp;CG$7&amp;$CE90,1)</f>
        <v>0</v>
      </c>
      <c r="CH90" s="539" cm="1">
        <f t="array" aca="1" ref="CH90" ca="1">INDIRECT($BM$2&amp;CH$7&amp;$CE90,1)</f>
        <v>0</v>
      </c>
      <c r="CI90" s="539" cm="1">
        <f t="array" aca="1" ref="CI90" ca="1">INDIRECT($BM$2&amp;CI$7&amp;$CE90,1)</f>
        <v>0</v>
      </c>
      <c r="CJ90" s="539" cm="1">
        <f t="array" aca="1" ref="CJ90" ca="1">INDIRECT($BM$2&amp;CJ$7&amp;$CE90,1)</f>
        <v>0</v>
      </c>
      <c r="CK90" s="539" t="str">
        <f ca="1">IFERROR(CG90/CG$90,"-")</f>
        <v>-</v>
      </c>
      <c r="CL90" s="540" t="s">
        <v>8221</v>
      </c>
      <c r="CU90" s="469" t="s">
        <v>5510</v>
      </c>
      <c r="CV90" s="22">
        <v>4</v>
      </c>
      <c r="CW90" s="522">
        <f t="shared" si="67"/>
        <v>110</v>
      </c>
      <c r="CX90" s="22" cm="1">
        <f t="array" aca="1" ref="CX90" ca="1">INDIRECT($DD$2&amp;CX$28&amp;$CW90)</f>
        <v>0</v>
      </c>
      <c r="CY90" s="22" cm="1">
        <f t="array" aca="1" ref="CY90" ca="1">INDIRECT($DD$2&amp;CY$28&amp;$CW90)</f>
        <v>0</v>
      </c>
      <c r="CZ90" s="22" cm="1">
        <f t="array" aca="1" ref="CZ90" ca="1">INDIRECT($DD$2&amp;CZ$28&amp;$CW90)</f>
        <v>0</v>
      </c>
      <c r="DA90" s="22" cm="1">
        <f t="array" aca="1" ref="DA90" ca="1">INDIRECT($DD$2&amp;DA$28&amp;$CW90)</f>
        <v>0</v>
      </c>
      <c r="DB90" s="22" cm="1">
        <f t="array" aca="1" ref="DB90" ca="1">INDIRECT($DD$2&amp;DB$28&amp;$CW90)</f>
        <v>0</v>
      </c>
      <c r="DC90" s="22" cm="1">
        <f t="array" aca="1" ref="DC90" ca="1">INDIRECT($DD$2&amp;DC$28&amp;$CW90)</f>
        <v>0</v>
      </c>
      <c r="DD90" s="22" t="str">
        <f t="shared" ca="1" si="65"/>
        <v/>
      </c>
      <c r="DE90" s="22" t="str">
        <f t="shared" ca="1" si="66"/>
        <v/>
      </c>
      <c r="EQ90" s="469" t="s">
        <v>5510</v>
      </c>
      <c r="ES90" s="504"/>
      <c r="ET90" s="507"/>
      <c r="EU90" s="585">
        <v>38</v>
      </c>
      <c r="EW90" s="22" cm="1">
        <f t="array" aca="1" ref="EW90" ca="1">IF(INDIRECT($ET$72&amp;EU90)=0,0,
IF(INDIRECT($ET$73&amp;EU90)&lt;&gt;0,INDIRECT($ET$73&amp;EU90),
IF(INDIRECT($ET$74&amp;EU90)&lt;&gt;0,INDIRECT($ET$74&amp;EU90),"Não informado")))</f>
        <v>0</v>
      </c>
      <c r="GC90" s="472" t="s">
        <v>5510</v>
      </c>
      <c r="GE90" s="597">
        <v>40</v>
      </c>
      <c r="GF90" s="597" cm="1">
        <f t="array" aca="1" ref="GF90" ca="1">INDIRECT($GE$10&amp;GF$76&amp;$GE90,1)</f>
        <v>0</v>
      </c>
      <c r="GG90" s="597" cm="1">
        <f t="array" aca="1" ref="GG90" ca="1">INDIRECT($GE$10&amp;GG$76&amp;$GE90,1)</f>
        <v>0</v>
      </c>
      <c r="GH90" s="597" cm="1">
        <f t="array" aca="1" ref="GH90" ca="1">INDIRECT($GE$10&amp;GH$76&amp;$GE90,1)</f>
        <v>0</v>
      </c>
      <c r="GI90" s="601" t="b">
        <f>Respostas_usuario!AB56</f>
        <v>0</v>
      </c>
      <c r="GJ90" s="602" cm="1">
        <f t="array" aca="1" ref="GJ90" ca="1">INDIRECT($GE$11&amp;GF$76&amp;$GE90,1)</f>
        <v>0</v>
      </c>
      <c r="GK90" s="602" cm="1">
        <f t="array" aca="1" ref="GK90" ca="1">INDIRECT($GE$11&amp;GG$76&amp;$GE90,1)</f>
        <v>0</v>
      </c>
      <c r="GL90" s="602" cm="1">
        <f t="array" aca="1" ref="GL90" ca="1">INDIRECT($GE$11&amp;GH$76&amp;$GE90,1)</f>
        <v>0</v>
      </c>
      <c r="GM90" s="603" t="b">
        <f>Respostas_usuario!AC56</f>
        <v>0</v>
      </c>
      <c r="HJ90" s="20" t="s">
        <v>8520</v>
      </c>
      <c r="HK90" s="20" t="s">
        <v>8521</v>
      </c>
      <c r="HL90" s="20" t="s">
        <v>8522</v>
      </c>
      <c r="HM90" s="20" t="s">
        <v>5821</v>
      </c>
      <c r="HN90" s="20" t="s">
        <v>8448</v>
      </c>
      <c r="HO90" s="20" t="str">
        <f>tb_codigos_GHS_ABNT[[#This Row],[Código]]&amp;": "&amp;tb_codigos_GHS_ABNT[[#This Row],[Frases de perigo]]</f>
        <v>H372: Provoca danos aos órgãos por exposição repetida ou prolongada</v>
      </c>
    </row>
    <row r="91" spans="1:223" x14ac:dyDescent="0.25">
      <c r="AF91" s="20"/>
      <c r="AV91" s="469" t="s">
        <v>5510</v>
      </c>
      <c r="AX91" s="643" t="s">
        <v>5972</v>
      </c>
      <c r="AZ91" s="624" t="b">
        <f ca="1">AZ89=AZ90</f>
        <v>1</v>
      </c>
      <c r="BA91" s="20" t="s">
        <v>5971</v>
      </c>
      <c r="BF91" s="469" t="s">
        <v>5510</v>
      </c>
      <c r="BG91" s="469">
        <v>2</v>
      </c>
      <c r="BH91" s="539" t="s">
        <v>8042</v>
      </c>
      <c r="BI91" s="539">
        <f>BI90+1</f>
        <v>99</v>
      </c>
      <c r="BJ91" s="539" cm="1">
        <f t="array" aca="1" ref="BJ91" ca="1">INDIRECT($BM$2&amp;BJ$7&amp;$BI91,1)</f>
        <v>0</v>
      </c>
      <c r="BK91" s="539" cm="1">
        <f t="array" aca="1" ref="BK91" ca="1">INDIRECT($BM$2&amp;BK$7&amp;$BI91,1)</f>
        <v>0</v>
      </c>
      <c r="BL91" s="539" cm="1">
        <f t="array" aca="1" ref="BL91" ca="1">INDIRECT($BM$2&amp;BL$7&amp;$BI91,1)</f>
        <v>0</v>
      </c>
      <c r="BM91" s="539" cm="1">
        <f t="array" aca="1" ref="BM91" ca="1">INDIRECT($BM$2&amp;BM$7&amp;$BI91,1)</f>
        <v>0</v>
      </c>
      <c r="BN91" s="539" cm="1">
        <f t="array" aca="1" ref="BN91" ca="1">INDIRECT($BM$2&amp;BN$7&amp;$BI91,1)</f>
        <v>0</v>
      </c>
      <c r="BO91" s="539" t="str">
        <f t="shared" ref="BO91:BO101" ca="1" si="76">IF(BK91=0,"-",IFERROR(BK91/BK$90,"-"))</f>
        <v>-</v>
      </c>
      <c r="BP91" s="494" t="s">
        <v>8222</v>
      </c>
      <c r="BQ91" s="20"/>
      <c r="BR91" s="469">
        <v>2</v>
      </c>
      <c r="BS91" s="539" t="s">
        <v>8042</v>
      </c>
      <c r="BT91" s="539">
        <f>BT90+1</f>
        <v>445</v>
      </c>
      <c r="BU91" s="539" cm="1">
        <f t="array" aca="1" ref="BU91" ca="1">INDIRECT($BM$2&amp;BU$7&amp;$BT91,1)</f>
        <v>0</v>
      </c>
      <c r="BV91" s="539" cm="1">
        <f t="array" aca="1" ref="BV91" ca="1">INDIRECT($BM$2&amp;BV$7&amp;$BT91,1)</f>
        <v>0</v>
      </c>
      <c r="BW91" s="539" cm="1">
        <f t="array" aca="1" ref="BW91" ca="1">INDIRECT($BM$2&amp;BW$7&amp;$BT91,1)</f>
        <v>0</v>
      </c>
      <c r="BX91" s="539" cm="1">
        <f t="array" aca="1" ref="BX91" ca="1">INDIRECT($BM$2&amp;BX$7&amp;$BT91,1)</f>
        <v>0</v>
      </c>
      <c r="BY91" s="539" cm="1">
        <f t="array" aca="1" ref="BY91" ca="1">INDIRECT($BM$2&amp;BY$7&amp;$BT91,1)</f>
        <v>0</v>
      </c>
      <c r="BZ91" s="539" t="str">
        <f t="shared" ref="BZ91:BZ101" ca="1" si="77">IF(BV91=0,"-",IFERROR(BV91/BV$90,"-"))</f>
        <v>-</v>
      </c>
      <c r="CA91" s="494" t="s">
        <v>8222</v>
      </c>
      <c r="CC91" s="469">
        <v>2</v>
      </c>
      <c r="CD91" s="539" t="s">
        <v>8042</v>
      </c>
      <c r="CE91" s="539">
        <f>CE90+1</f>
        <v>791</v>
      </c>
      <c r="CF91" s="539" cm="1">
        <f t="array" aca="1" ref="CF91" ca="1">INDIRECT($BM$2&amp;CF$7&amp;$CE91,1)</f>
        <v>0</v>
      </c>
      <c r="CG91" s="539" cm="1">
        <f t="array" aca="1" ref="CG91" ca="1">INDIRECT($BM$2&amp;CG$7&amp;$CE91,1)</f>
        <v>0</v>
      </c>
      <c r="CH91" s="539" cm="1">
        <f t="array" aca="1" ref="CH91" ca="1">INDIRECT($BM$2&amp;CH$7&amp;$CE91,1)</f>
        <v>0</v>
      </c>
      <c r="CI91" s="539" cm="1">
        <f t="array" aca="1" ref="CI91" ca="1">INDIRECT($BM$2&amp;CI$7&amp;$CE91,1)</f>
        <v>0</v>
      </c>
      <c r="CJ91" s="539" cm="1">
        <f t="array" aca="1" ref="CJ91" ca="1">INDIRECT($BM$2&amp;CJ$7&amp;$CE91,1)</f>
        <v>0</v>
      </c>
      <c r="CK91" s="539" t="str">
        <f t="shared" ref="CK91:CK101" ca="1" si="78">IF(CG91=0,"-",IFERROR(CG91/CG$90,"-"))</f>
        <v>-</v>
      </c>
      <c r="CL91" s="494" t="s">
        <v>8222</v>
      </c>
      <c r="CU91" s="469" t="s">
        <v>5510</v>
      </c>
      <c r="CV91" s="566">
        <v>5</v>
      </c>
      <c r="CW91" s="558">
        <f t="shared" si="67"/>
        <v>118</v>
      </c>
      <c r="CX91" s="492" cm="1">
        <f t="array" aca="1" ref="CX91" ca="1">INDIRECT($DD$2&amp;CX$28&amp;$CW91)</f>
        <v>0</v>
      </c>
      <c r="CY91" s="492" cm="1">
        <f t="array" aca="1" ref="CY91" ca="1">INDIRECT($DD$2&amp;CY$28&amp;$CW91)</f>
        <v>0</v>
      </c>
      <c r="CZ91" s="492" cm="1">
        <f t="array" aca="1" ref="CZ91" ca="1">INDIRECT($DD$2&amp;CZ$28&amp;$CW91)</f>
        <v>0</v>
      </c>
      <c r="DA91" s="492" cm="1">
        <f t="array" aca="1" ref="DA91" ca="1">INDIRECT($DD$2&amp;DA$28&amp;$CW91)</f>
        <v>0</v>
      </c>
      <c r="DB91" s="492" cm="1">
        <f t="array" aca="1" ref="DB91" ca="1">INDIRECT($DD$2&amp;DB$28&amp;$CW91)</f>
        <v>0</v>
      </c>
      <c r="DC91" s="492" cm="1">
        <f t="array" aca="1" ref="DC91" ca="1">INDIRECT($DD$2&amp;DC$28&amp;$CW91)</f>
        <v>0</v>
      </c>
      <c r="DD91" s="492" t="str">
        <f t="shared" ca="1" si="65"/>
        <v/>
      </c>
      <c r="DE91" s="492" t="str">
        <f t="shared" ca="1" si="66"/>
        <v/>
      </c>
      <c r="EQ91" s="469" t="s">
        <v>5510</v>
      </c>
      <c r="ES91" s="504"/>
      <c r="ET91" s="507"/>
      <c r="EU91" s="585">
        <v>39</v>
      </c>
      <c r="EW91" s="22" cm="1">
        <f t="array" aca="1" ref="EW91" ca="1">IF(INDIRECT($ET$72&amp;EU91)=0,0,
IF(INDIRECT($ET$73&amp;EU91)&lt;&gt;0,INDIRECT($ET$73&amp;EU91),
IF(INDIRECT($ET$74&amp;EU91)&lt;&gt;0,INDIRECT($ET$74&amp;EU91),"Não informado")))</f>
        <v>0</v>
      </c>
      <c r="GC91" s="472" t="s">
        <v>5510</v>
      </c>
      <c r="GE91" s="597">
        <v>41</v>
      </c>
      <c r="GF91" s="597" cm="1">
        <f t="array" aca="1" ref="GF91" ca="1">INDIRECT($GE$10&amp;GF$76&amp;$GE91,1)</f>
        <v>0</v>
      </c>
      <c r="GG91" s="597" cm="1">
        <f t="array" aca="1" ref="GG91" ca="1">INDIRECT($GE$10&amp;GG$76&amp;$GE91,1)</f>
        <v>0</v>
      </c>
      <c r="GH91" s="597" cm="1">
        <f t="array" aca="1" ref="GH91" ca="1">INDIRECT($GE$10&amp;GH$76&amp;$GE91,1)</f>
        <v>0</v>
      </c>
      <c r="GI91" s="601" t="b">
        <f>Respostas_usuario!AB57</f>
        <v>0</v>
      </c>
      <c r="GJ91" s="602" cm="1">
        <f t="array" aca="1" ref="GJ91" ca="1">INDIRECT($GE$11&amp;GF$76&amp;$GE91,1)</f>
        <v>0</v>
      </c>
      <c r="GK91" s="602" cm="1">
        <f t="array" aca="1" ref="GK91" ca="1">INDIRECT($GE$11&amp;GG$76&amp;$GE91,1)</f>
        <v>0</v>
      </c>
      <c r="GL91" s="602" cm="1">
        <f t="array" aca="1" ref="GL91" ca="1">INDIRECT($GE$11&amp;GH$76&amp;$GE91,1)</f>
        <v>0</v>
      </c>
      <c r="GM91" s="603" t="b">
        <f>Respostas_usuario!AC57</f>
        <v>0</v>
      </c>
      <c r="HJ91" s="20" t="s">
        <v>8523</v>
      </c>
      <c r="HK91" s="20" t="s">
        <v>8524</v>
      </c>
      <c r="HL91" s="20" t="s">
        <v>8522</v>
      </c>
      <c r="HM91" s="20" t="s">
        <v>5824</v>
      </c>
      <c r="HN91" s="20" t="s">
        <v>8449</v>
      </c>
      <c r="HO91" s="20" t="str">
        <f>tb_codigos_GHS_ABNT[[#This Row],[Código]]&amp;": "&amp;tb_codigos_GHS_ABNT[[#This Row],[Frases de perigo]]</f>
        <v>H373: Pode provocar danos a órgãos por exposição repetida ou prolongada</v>
      </c>
    </row>
    <row r="92" spans="1:223" x14ac:dyDescent="0.25">
      <c r="AF92" s="20"/>
      <c r="AV92" s="469" t="s">
        <v>5510</v>
      </c>
      <c r="BF92" s="469" t="s">
        <v>5510</v>
      </c>
      <c r="BG92" s="469">
        <v>3</v>
      </c>
      <c r="BH92" s="539" t="s">
        <v>8042</v>
      </c>
      <c r="BI92" s="539">
        <f t="shared" ref="BI92:BI101" si="79">BI91+1</f>
        <v>100</v>
      </c>
      <c r="BJ92" s="539" cm="1">
        <f t="array" aca="1" ref="BJ92" ca="1">INDIRECT($BM$2&amp;BJ$7&amp;$BI92,1)</f>
        <v>0</v>
      </c>
      <c r="BK92" s="539" cm="1">
        <f t="array" aca="1" ref="BK92" ca="1">INDIRECT($BM$2&amp;BK$7&amp;$BI92,1)</f>
        <v>0</v>
      </c>
      <c r="BL92" s="539" cm="1">
        <f t="array" aca="1" ref="BL92" ca="1">INDIRECT($BM$2&amp;BL$7&amp;$BI92,1)</f>
        <v>0</v>
      </c>
      <c r="BM92" s="539" cm="1">
        <f t="array" aca="1" ref="BM92" ca="1">INDIRECT($BM$2&amp;BM$7&amp;$BI92,1)</f>
        <v>0</v>
      </c>
      <c r="BN92" s="539" cm="1">
        <f t="array" aca="1" ref="BN92" ca="1">INDIRECT($BM$2&amp;BN$7&amp;$BI92,1)</f>
        <v>0</v>
      </c>
      <c r="BO92" s="539" t="str">
        <f t="shared" ca="1" si="76"/>
        <v>-</v>
      </c>
      <c r="BP92" s="494" t="s">
        <v>8222</v>
      </c>
      <c r="BQ92" s="20"/>
      <c r="BR92" s="469">
        <v>3</v>
      </c>
      <c r="BS92" s="539" t="s">
        <v>8042</v>
      </c>
      <c r="BT92" s="539">
        <f t="shared" ref="BT92:BT101" si="80">BT91+1</f>
        <v>446</v>
      </c>
      <c r="BU92" s="539" cm="1">
        <f t="array" aca="1" ref="BU92" ca="1">INDIRECT($BM$2&amp;BU$7&amp;$BT92,1)</f>
        <v>0</v>
      </c>
      <c r="BV92" s="539" cm="1">
        <f t="array" aca="1" ref="BV92" ca="1">INDIRECT($BM$2&amp;BV$7&amp;$BT92,1)</f>
        <v>0</v>
      </c>
      <c r="BW92" s="539" cm="1">
        <f t="array" aca="1" ref="BW92" ca="1">INDIRECT($BM$2&amp;BW$7&amp;$BT92,1)</f>
        <v>0</v>
      </c>
      <c r="BX92" s="539" cm="1">
        <f t="array" aca="1" ref="BX92" ca="1">INDIRECT($BM$2&amp;BX$7&amp;$BT92,1)</f>
        <v>0</v>
      </c>
      <c r="BY92" s="539" cm="1">
        <f t="array" aca="1" ref="BY92" ca="1">INDIRECT($BM$2&amp;BY$7&amp;$BT92,1)</f>
        <v>0</v>
      </c>
      <c r="BZ92" s="539" t="str">
        <f t="shared" ca="1" si="77"/>
        <v>-</v>
      </c>
      <c r="CA92" s="494" t="s">
        <v>8222</v>
      </c>
      <c r="CC92" s="469">
        <v>3</v>
      </c>
      <c r="CD92" s="539" t="s">
        <v>8042</v>
      </c>
      <c r="CE92" s="539">
        <f t="shared" ref="CE92:CE101" si="81">CE91+1</f>
        <v>792</v>
      </c>
      <c r="CF92" s="539" cm="1">
        <f t="array" aca="1" ref="CF92" ca="1">INDIRECT($BM$2&amp;CF$7&amp;$CE92,1)</f>
        <v>0</v>
      </c>
      <c r="CG92" s="539" cm="1">
        <f t="array" aca="1" ref="CG92" ca="1">INDIRECT($BM$2&amp;CG$7&amp;$CE92,1)</f>
        <v>0</v>
      </c>
      <c r="CH92" s="539" cm="1">
        <f t="array" aca="1" ref="CH92" ca="1">INDIRECT($BM$2&amp;CH$7&amp;$CE92,1)</f>
        <v>0</v>
      </c>
      <c r="CI92" s="539" cm="1">
        <f t="array" aca="1" ref="CI92" ca="1">INDIRECT($BM$2&amp;CI$7&amp;$CE92,1)</f>
        <v>0</v>
      </c>
      <c r="CJ92" s="539" cm="1">
        <f t="array" aca="1" ref="CJ92" ca="1">INDIRECT($BM$2&amp;CJ$7&amp;$CE92,1)</f>
        <v>0</v>
      </c>
      <c r="CK92" s="539" t="str">
        <f t="shared" ca="1" si="78"/>
        <v>-</v>
      </c>
      <c r="CL92" s="494" t="s">
        <v>8222</v>
      </c>
      <c r="CU92" s="469" t="s">
        <v>5510</v>
      </c>
      <c r="CV92" s="492">
        <v>5</v>
      </c>
      <c r="CW92" s="558">
        <f t="shared" si="67"/>
        <v>119</v>
      </c>
      <c r="CX92" s="492" cm="1">
        <f t="array" aca="1" ref="CX92" ca="1">INDIRECT($DD$2&amp;CX$28&amp;$CW92)</f>
        <v>0</v>
      </c>
      <c r="CY92" s="492" cm="1">
        <f t="array" aca="1" ref="CY92" ca="1">INDIRECT($DD$2&amp;CY$28&amp;$CW92)</f>
        <v>0</v>
      </c>
      <c r="CZ92" s="492" cm="1">
        <f t="array" aca="1" ref="CZ92" ca="1">INDIRECT($DD$2&amp;CZ$28&amp;$CW92)</f>
        <v>0</v>
      </c>
      <c r="DA92" s="492" cm="1">
        <f t="array" aca="1" ref="DA92" ca="1">INDIRECT($DD$2&amp;DA$28&amp;$CW92)</f>
        <v>0</v>
      </c>
      <c r="DB92" s="492" cm="1">
        <f t="array" aca="1" ref="DB92" ca="1">INDIRECT($DD$2&amp;DB$28&amp;$CW92)</f>
        <v>0</v>
      </c>
      <c r="DC92" s="492" cm="1">
        <f t="array" aca="1" ref="DC92" ca="1">INDIRECT($DD$2&amp;DC$28&amp;$CW92)</f>
        <v>0</v>
      </c>
      <c r="DD92" s="492" t="str">
        <f t="shared" ca="1" si="65"/>
        <v/>
      </c>
      <c r="DE92" s="492" t="str">
        <f t="shared" ca="1" si="66"/>
        <v/>
      </c>
      <c r="EQ92" s="469" t="s">
        <v>5510</v>
      </c>
      <c r="ES92" s="504"/>
      <c r="ET92" s="507"/>
      <c r="EU92" s="585"/>
      <c r="GC92" s="472" t="s">
        <v>5510</v>
      </c>
      <c r="GE92" s="597">
        <v>42</v>
      </c>
      <c r="GF92" s="597" cm="1">
        <f t="array" aca="1" ref="GF92" ca="1">INDIRECT($GE$10&amp;GF$76&amp;$GE92,1)</f>
        <v>0</v>
      </c>
      <c r="GG92" s="597" cm="1">
        <f t="array" aca="1" ref="GG92" ca="1">INDIRECT($GE$10&amp;GG$76&amp;$GE92,1)</f>
        <v>0</v>
      </c>
      <c r="GH92" s="597" cm="1">
        <f t="array" aca="1" ref="GH92" ca="1">INDIRECT($GE$10&amp;GH$76&amp;$GE92,1)</f>
        <v>0</v>
      </c>
      <c r="GI92" s="601" t="b">
        <f>Respostas_usuario!AB58</f>
        <v>0</v>
      </c>
      <c r="GJ92" s="602" cm="1">
        <f t="array" aca="1" ref="GJ92" ca="1">INDIRECT($GE$11&amp;GF$76&amp;$GE92,1)</f>
        <v>0</v>
      </c>
      <c r="GK92" s="602" cm="1">
        <f t="array" aca="1" ref="GK92" ca="1">INDIRECT($GE$11&amp;GG$76&amp;$GE92,1)</f>
        <v>0</v>
      </c>
      <c r="GL92" s="602" cm="1">
        <f t="array" aca="1" ref="GL92" ca="1">INDIRECT($GE$11&amp;GH$76&amp;$GE92,1)</f>
        <v>0</v>
      </c>
      <c r="GM92" s="603" t="b">
        <f>Respostas_usuario!AC58</f>
        <v>0</v>
      </c>
    </row>
    <row r="93" spans="1:223" x14ac:dyDescent="0.25">
      <c r="AF93" s="20"/>
      <c r="AV93" s="469" t="s">
        <v>5510</v>
      </c>
      <c r="BF93" s="469" t="s">
        <v>5510</v>
      </c>
      <c r="BG93" s="469">
        <v>4</v>
      </c>
      <c r="BH93" s="539" t="s">
        <v>8042</v>
      </c>
      <c r="BI93" s="539">
        <f t="shared" si="79"/>
        <v>101</v>
      </c>
      <c r="BJ93" s="539" cm="1">
        <f t="array" aca="1" ref="BJ93" ca="1">INDIRECT($BM$2&amp;BJ$7&amp;$BI93,1)</f>
        <v>0</v>
      </c>
      <c r="BK93" s="539" cm="1">
        <f t="array" aca="1" ref="BK93" ca="1">INDIRECT($BM$2&amp;BK$7&amp;$BI93,1)</f>
        <v>0</v>
      </c>
      <c r="BL93" s="539" cm="1">
        <f t="array" aca="1" ref="BL93" ca="1">INDIRECT($BM$2&amp;BL$7&amp;$BI93,1)</f>
        <v>0</v>
      </c>
      <c r="BM93" s="539" cm="1">
        <f t="array" aca="1" ref="BM93" ca="1">INDIRECT($BM$2&amp;BM$7&amp;$BI93,1)</f>
        <v>0</v>
      </c>
      <c r="BN93" s="539" cm="1">
        <f t="array" aca="1" ref="BN93" ca="1">INDIRECT($BM$2&amp;BN$7&amp;$BI93,1)</f>
        <v>0</v>
      </c>
      <c r="BO93" s="539" t="str">
        <f t="shared" ca="1" si="76"/>
        <v>-</v>
      </c>
      <c r="BP93" s="494" t="s">
        <v>8222</v>
      </c>
      <c r="BQ93" s="20"/>
      <c r="BR93" s="469">
        <v>4</v>
      </c>
      <c r="BS93" s="539" t="s">
        <v>8042</v>
      </c>
      <c r="BT93" s="539">
        <f t="shared" si="80"/>
        <v>447</v>
      </c>
      <c r="BU93" s="539" cm="1">
        <f t="array" aca="1" ref="BU93" ca="1">INDIRECT($BM$2&amp;BU$7&amp;$BT93,1)</f>
        <v>0</v>
      </c>
      <c r="BV93" s="539" cm="1">
        <f t="array" aca="1" ref="BV93" ca="1">INDIRECT($BM$2&amp;BV$7&amp;$BT93,1)</f>
        <v>0</v>
      </c>
      <c r="BW93" s="539" cm="1">
        <f t="array" aca="1" ref="BW93" ca="1">INDIRECT($BM$2&amp;BW$7&amp;$BT93,1)</f>
        <v>0</v>
      </c>
      <c r="BX93" s="539" cm="1">
        <f t="array" aca="1" ref="BX93" ca="1">INDIRECT($BM$2&amp;BX$7&amp;$BT93,1)</f>
        <v>0</v>
      </c>
      <c r="BY93" s="539" cm="1">
        <f t="array" aca="1" ref="BY93" ca="1">INDIRECT($BM$2&amp;BY$7&amp;$BT93,1)</f>
        <v>0</v>
      </c>
      <c r="BZ93" s="539" t="str">
        <f t="shared" ca="1" si="77"/>
        <v>-</v>
      </c>
      <c r="CA93" s="494" t="s">
        <v>8222</v>
      </c>
      <c r="CC93" s="469">
        <v>4</v>
      </c>
      <c r="CD93" s="539" t="s">
        <v>8042</v>
      </c>
      <c r="CE93" s="539">
        <f t="shared" si="81"/>
        <v>793</v>
      </c>
      <c r="CF93" s="539" cm="1">
        <f t="array" aca="1" ref="CF93" ca="1">INDIRECT($BM$2&amp;CF$7&amp;$CE93,1)</f>
        <v>0</v>
      </c>
      <c r="CG93" s="539" cm="1">
        <f t="array" aca="1" ref="CG93" ca="1">INDIRECT($BM$2&amp;CG$7&amp;$CE93,1)</f>
        <v>0</v>
      </c>
      <c r="CH93" s="539" cm="1">
        <f t="array" aca="1" ref="CH93" ca="1">INDIRECT($BM$2&amp;CH$7&amp;$CE93,1)</f>
        <v>0</v>
      </c>
      <c r="CI93" s="539" cm="1">
        <f t="array" aca="1" ref="CI93" ca="1">INDIRECT($BM$2&amp;CI$7&amp;$CE93,1)</f>
        <v>0</v>
      </c>
      <c r="CJ93" s="539" cm="1">
        <f t="array" aca="1" ref="CJ93" ca="1">INDIRECT($BM$2&amp;CJ$7&amp;$CE93,1)</f>
        <v>0</v>
      </c>
      <c r="CK93" s="539" t="str">
        <f t="shared" ca="1" si="78"/>
        <v>-</v>
      </c>
      <c r="CL93" s="494" t="s">
        <v>8222</v>
      </c>
      <c r="CU93" s="469" t="s">
        <v>5510</v>
      </c>
      <c r="CV93" s="492">
        <v>5</v>
      </c>
      <c r="CW93" s="558">
        <f t="shared" si="67"/>
        <v>120</v>
      </c>
      <c r="CX93" s="492" cm="1">
        <f t="array" aca="1" ref="CX93" ca="1">INDIRECT($DD$2&amp;CX$28&amp;$CW93)</f>
        <v>0</v>
      </c>
      <c r="CY93" s="492" cm="1">
        <f t="array" aca="1" ref="CY93" ca="1">INDIRECT($DD$2&amp;CY$28&amp;$CW93)</f>
        <v>0</v>
      </c>
      <c r="CZ93" s="492" cm="1">
        <f t="array" aca="1" ref="CZ93" ca="1">INDIRECT($DD$2&amp;CZ$28&amp;$CW93)</f>
        <v>0</v>
      </c>
      <c r="DA93" s="492" cm="1">
        <f t="array" aca="1" ref="DA93" ca="1">INDIRECT($DD$2&amp;DA$28&amp;$CW93)</f>
        <v>0</v>
      </c>
      <c r="DB93" s="492" cm="1">
        <f t="array" aca="1" ref="DB93" ca="1">INDIRECT($DD$2&amp;DB$28&amp;$CW93)</f>
        <v>0</v>
      </c>
      <c r="DC93" s="492" cm="1">
        <f t="array" aca="1" ref="DC93" ca="1">INDIRECT($DD$2&amp;DC$28&amp;$CW93)</f>
        <v>0</v>
      </c>
      <c r="DD93" s="492" t="str">
        <f t="shared" ca="1" si="65"/>
        <v/>
      </c>
      <c r="DE93" s="492" t="str">
        <f t="shared" ca="1" si="66"/>
        <v/>
      </c>
      <c r="EQ93" s="469" t="s">
        <v>5510</v>
      </c>
      <c r="ES93" s="504"/>
      <c r="ET93" s="507"/>
      <c r="EU93" s="585"/>
      <c r="GC93" s="472" t="s">
        <v>5510</v>
      </c>
    </row>
    <row r="94" spans="1:223" x14ac:dyDescent="0.25">
      <c r="AF94" s="20"/>
      <c r="AV94" s="469" t="s">
        <v>5510</v>
      </c>
      <c r="AW94" s="605" t="s">
        <v>7069</v>
      </c>
      <c r="BF94" s="469" t="s">
        <v>5510</v>
      </c>
      <c r="BG94" s="469">
        <v>5</v>
      </c>
      <c r="BH94" s="539" t="s">
        <v>8042</v>
      </c>
      <c r="BI94" s="539">
        <f t="shared" si="79"/>
        <v>102</v>
      </c>
      <c r="BJ94" s="539" cm="1">
        <f t="array" aca="1" ref="BJ94" ca="1">INDIRECT($BM$2&amp;BJ$7&amp;$BI94,1)</f>
        <v>0</v>
      </c>
      <c r="BK94" s="539" cm="1">
        <f t="array" aca="1" ref="BK94" ca="1">INDIRECT($BM$2&amp;BK$7&amp;$BI94,1)</f>
        <v>0</v>
      </c>
      <c r="BL94" s="539" cm="1">
        <f t="array" aca="1" ref="BL94" ca="1">INDIRECT($BM$2&amp;BL$7&amp;$BI94,1)</f>
        <v>0</v>
      </c>
      <c r="BM94" s="539" cm="1">
        <f t="array" aca="1" ref="BM94" ca="1">INDIRECT($BM$2&amp;BM$7&amp;$BI94,1)</f>
        <v>0</v>
      </c>
      <c r="BN94" s="539" cm="1">
        <f t="array" aca="1" ref="BN94" ca="1">INDIRECT($BM$2&amp;BN$7&amp;$BI94,1)</f>
        <v>0</v>
      </c>
      <c r="BO94" s="539" t="str">
        <f t="shared" ca="1" si="76"/>
        <v>-</v>
      </c>
      <c r="BP94" s="494" t="s">
        <v>8222</v>
      </c>
      <c r="BQ94" s="20"/>
      <c r="BR94" s="469">
        <v>5</v>
      </c>
      <c r="BS94" s="539" t="s">
        <v>8042</v>
      </c>
      <c r="BT94" s="539">
        <f t="shared" si="80"/>
        <v>448</v>
      </c>
      <c r="BU94" s="539" cm="1">
        <f t="array" aca="1" ref="BU94" ca="1">INDIRECT($BM$2&amp;BU$7&amp;$BT94,1)</f>
        <v>0</v>
      </c>
      <c r="BV94" s="539" cm="1">
        <f t="array" aca="1" ref="BV94" ca="1">INDIRECT($BM$2&amp;BV$7&amp;$BT94,1)</f>
        <v>0</v>
      </c>
      <c r="BW94" s="539" cm="1">
        <f t="array" aca="1" ref="BW94" ca="1">INDIRECT($BM$2&amp;BW$7&amp;$BT94,1)</f>
        <v>0</v>
      </c>
      <c r="BX94" s="539" cm="1">
        <f t="array" aca="1" ref="BX94" ca="1">INDIRECT($BM$2&amp;BX$7&amp;$BT94,1)</f>
        <v>0</v>
      </c>
      <c r="BY94" s="539" cm="1">
        <f t="array" aca="1" ref="BY94" ca="1">INDIRECT($BM$2&amp;BY$7&amp;$BT94,1)</f>
        <v>0</v>
      </c>
      <c r="BZ94" s="539" t="str">
        <f t="shared" ca="1" si="77"/>
        <v>-</v>
      </c>
      <c r="CA94" s="494" t="s">
        <v>8222</v>
      </c>
      <c r="CC94" s="469">
        <v>5</v>
      </c>
      <c r="CD94" s="539" t="s">
        <v>8042</v>
      </c>
      <c r="CE94" s="539">
        <f t="shared" si="81"/>
        <v>794</v>
      </c>
      <c r="CF94" s="539" cm="1">
        <f t="array" aca="1" ref="CF94" ca="1">INDIRECT($BM$2&amp;CF$7&amp;$CE94,1)</f>
        <v>0</v>
      </c>
      <c r="CG94" s="539" cm="1">
        <f t="array" aca="1" ref="CG94" ca="1">INDIRECT($BM$2&amp;CG$7&amp;$CE94,1)</f>
        <v>0</v>
      </c>
      <c r="CH94" s="539" cm="1">
        <f t="array" aca="1" ref="CH94" ca="1">INDIRECT($BM$2&amp;CH$7&amp;$CE94,1)</f>
        <v>0</v>
      </c>
      <c r="CI94" s="539" cm="1">
        <f t="array" aca="1" ref="CI94" ca="1">INDIRECT($BM$2&amp;CI$7&amp;$CE94,1)</f>
        <v>0</v>
      </c>
      <c r="CJ94" s="539" cm="1">
        <f t="array" aca="1" ref="CJ94" ca="1">INDIRECT($BM$2&amp;CJ$7&amp;$CE94,1)</f>
        <v>0</v>
      </c>
      <c r="CK94" s="539" t="str">
        <f t="shared" ca="1" si="78"/>
        <v>-</v>
      </c>
      <c r="CL94" s="494" t="s">
        <v>8222</v>
      </c>
      <c r="CU94" s="469" t="s">
        <v>5510</v>
      </c>
      <c r="CV94" s="492">
        <v>5</v>
      </c>
      <c r="CW94" s="558">
        <f t="shared" si="67"/>
        <v>121</v>
      </c>
      <c r="CX94" s="492" cm="1">
        <f t="array" aca="1" ref="CX94" ca="1">INDIRECT($DD$2&amp;CX$28&amp;$CW94)</f>
        <v>0</v>
      </c>
      <c r="CY94" s="492" cm="1">
        <f t="array" aca="1" ref="CY94" ca="1">INDIRECT($DD$2&amp;CY$28&amp;$CW94)</f>
        <v>0</v>
      </c>
      <c r="CZ94" s="492" cm="1">
        <f t="array" aca="1" ref="CZ94" ca="1">INDIRECT($DD$2&amp;CZ$28&amp;$CW94)</f>
        <v>0</v>
      </c>
      <c r="DA94" s="492" cm="1">
        <f t="array" aca="1" ref="DA94" ca="1">INDIRECT($DD$2&amp;DA$28&amp;$CW94)</f>
        <v>0</v>
      </c>
      <c r="DB94" s="492" cm="1">
        <f t="array" aca="1" ref="DB94" ca="1">INDIRECT($DD$2&amp;DB$28&amp;$CW94)</f>
        <v>0</v>
      </c>
      <c r="DC94" s="492" cm="1">
        <f t="array" aca="1" ref="DC94" ca="1">INDIRECT($DD$2&amp;DC$28&amp;$CW94)</f>
        <v>0</v>
      </c>
      <c r="DD94" s="492" t="str">
        <f t="shared" ca="1" si="65"/>
        <v/>
      </c>
      <c r="DE94" s="492" t="str">
        <f t="shared" ca="1" si="66"/>
        <v/>
      </c>
      <c r="EQ94" s="469" t="s">
        <v>5510</v>
      </c>
      <c r="ES94" s="504"/>
      <c r="ET94" s="507"/>
      <c r="EU94" s="585"/>
      <c r="GC94" s="472" t="s">
        <v>5510</v>
      </c>
      <c r="GF94" s="508" t="s">
        <v>5544</v>
      </c>
      <c r="GJ94" s="508" t="s">
        <v>5545</v>
      </c>
      <c r="GK94" s="591"/>
      <c r="GL94" s="591"/>
      <c r="GM94" s="592"/>
      <c r="GO94" s="20" t="s">
        <v>8235</v>
      </c>
      <c r="GP94" s="634" t="s">
        <v>7270</v>
      </c>
    </row>
    <row r="95" spans="1:223" x14ac:dyDescent="0.25">
      <c r="AF95" s="20"/>
      <c r="AV95" s="469" t="s">
        <v>5510</v>
      </c>
      <c r="AW95" s="572" t="s">
        <v>7071</v>
      </c>
      <c r="AX95" s="20" t="s">
        <v>5829</v>
      </c>
      <c r="BF95" s="469" t="s">
        <v>5510</v>
      </c>
      <c r="BG95" s="469">
        <v>6</v>
      </c>
      <c r="BH95" s="539" t="s">
        <v>8042</v>
      </c>
      <c r="BI95" s="539">
        <f t="shared" si="79"/>
        <v>103</v>
      </c>
      <c r="BJ95" s="539" cm="1">
        <f t="array" aca="1" ref="BJ95" ca="1">INDIRECT($BM$2&amp;BJ$7&amp;$BI95,1)</f>
        <v>0</v>
      </c>
      <c r="BK95" s="539" cm="1">
        <f t="array" aca="1" ref="BK95" ca="1">INDIRECT($BM$2&amp;BK$7&amp;$BI95,1)</f>
        <v>0</v>
      </c>
      <c r="BL95" s="539" cm="1">
        <f t="array" aca="1" ref="BL95" ca="1">INDIRECT($BM$2&amp;BL$7&amp;$BI95,1)</f>
        <v>0</v>
      </c>
      <c r="BM95" s="539" cm="1">
        <f t="array" aca="1" ref="BM95" ca="1">INDIRECT($BM$2&amp;BM$7&amp;$BI95,1)</f>
        <v>0</v>
      </c>
      <c r="BN95" s="539" cm="1">
        <f t="array" aca="1" ref="BN95" ca="1">INDIRECT($BM$2&amp;BN$7&amp;$BI95,1)</f>
        <v>0</v>
      </c>
      <c r="BO95" s="539" t="str">
        <f t="shared" ca="1" si="76"/>
        <v>-</v>
      </c>
      <c r="BP95" s="494" t="s">
        <v>8222</v>
      </c>
      <c r="BQ95" s="20"/>
      <c r="BR95" s="469">
        <v>6</v>
      </c>
      <c r="BS95" s="539" t="s">
        <v>8042</v>
      </c>
      <c r="BT95" s="539">
        <f t="shared" si="80"/>
        <v>449</v>
      </c>
      <c r="BU95" s="539" cm="1">
        <f t="array" aca="1" ref="BU95" ca="1">INDIRECT($BM$2&amp;BU$7&amp;$BT95,1)</f>
        <v>0</v>
      </c>
      <c r="BV95" s="539" cm="1">
        <f t="array" aca="1" ref="BV95" ca="1">INDIRECT($BM$2&amp;BV$7&amp;$BT95,1)</f>
        <v>0</v>
      </c>
      <c r="BW95" s="539" cm="1">
        <f t="array" aca="1" ref="BW95" ca="1">INDIRECT($BM$2&amp;BW$7&amp;$BT95,1)</f>
        <v>0</v>
      </c>
      <c r="BX95" s="539" cm="1">
        <f t="array" aca="1" ref="BX95" ca="1">INDIRECT($BM$2&amp;BX$7&amp;$BT95,1)</f>
        <v>0</v>
      </c>
      <c r="BY95" s="539" cm="1">
        <f t="array" aca="1" ref="BY95" ca="1">INDIRECT($BM$2&amp;BY$7&amp;$BT95,1)</f>
        <v>0</v>
      </c>
      <c r="BZ95" s="539" t="str">
        <f t="shared" ca="1" si="77"/>
        <v>-</v>
      </c>
      <c r="CA95" s="494" t="s">
        <v>8222</v>
      </c>
      <c r="CC95" s="469">
        <v>6</v>
      </c>
      <c r="CD95" s="539" t="s">
        <v>8042</v>
      </c>
      <c r="CE95" s="539">
        <f t="shared" si="81"/>
        <v>795</v>
      </c>
      <c r="CF95" s="539" cm="1">
        <f t="array" aca="1" ref="CF95" ca="1">INDIRECT($BM$2&amp;CF$7&amp;$CE95,1)</f>
        <v>0</v>
      </c>
      <c r="CG95" s="539" cm="1">
        <f t="array" aca="1" ref="CG95" ca="1">INDIRECT($BM$2&amp;CG$7&amp;$CE95,1)</f>
        <v>0</v>
      </c>
      <c r="CH95" s="539" cm="1">
        <f t="array" aca="1" ref="CH95" ca="1">INDIRECT($BM$2&amp;CH$7&amp;$CE95,1)</f>
        <v>0</v>
      </c>
      <c r="CI95" s="539" cm="1">
        <f t="array" aca="1" ref="CI95" ca="1">INDIRECT($BM$2&amp;CI$7&amp;$CE95,1)</f>
        <v>0</v>
      </c>
      <c r="CJ95" s="539" cm="1">
        <f t="array" aca="1" ref="CJ95" ca="1">INDIRECT($BM$2&amp;CJ$7&amp;$CE95,1)</f>
        <v>0</v>
      </c>
      <c r="CK95" s="539" t="str">
        <f t="shared" ca="1" si="78"/>
        <v>-</v>
      </c>
      <c r="CL95" s="494" t="s">
        <v>8222</v>
      </c>
      <c r="CU95" s="469" t="s">
        <v>5510</v>
      </c>
      <c r="CV95" s="492">
        <v>5</v>
      </c>
      <c r="CW95" s="558">
        <f t="shared" si="67"/>
        <v>122</v>
      </c>
      <c r="CX95" s="492" cm="1">
        <f t="array" aca="1" ref="CX95" ca="1">INDIRECT($DD$2&amp;CX$28&amp;$CW95)</f>
        <v>0</v>
      </c>
      <c r="CY95" s="492" cm="1">
        <f t="array" aca="1" ref="CY95" ca="1">INDIRECT($DD$2&amp;CY$28&amp;$CW95)</f>
        <v>0</v>
      </c>
      <c r="CZ95" s="492" cm="1">
        <f t="array" aca="1" ref="CZ95" ca="1">INDIRECT($DD$2&amp;CZ$28&amp;$CW95)</f>
        <v>0</v>
      </c>
      <c r="DA95" s="492" cm="1">
        <f t="array" aca="1" ref="DA95" ca="1">INDIRECT($DD$2&amp;DA$28&amp;$CW95)</f>
        <v>0</v>
      </c>
      <c r="DB95" s="492" cm="1">
        <f t="array" aca="1" ref="DB95" ca="1">INDIRECT($DD$2&amp;DB$28&amp;$CW95)</f>
        <v>0</v>
      </c>
      <c r="DC95" s="492" cm="1">
        <f t="array" aca="1" ref="DC95" ca="1">INDIRECT($DD$2&amp;DC$28&amp;$CW95)</f>
        <v>0</v>
      </c>
      <c r="DD95" s="492" t="str">
        <f t="shared" ref="DD95:DD110" ca="1" si="82">IFERROR(DB95/CZ95,"")</f>
        <v/>
      </c>
      <c r="DE95" s="492" t="str">
        <f t="shared" ref="DE95:DE110" ca="1" si="83">IFERROR(DC95/DA95,"")</f>
        <v/>
      </c>
      <c r="EQ95" s="469" t="s">
        <v>5510</v>
      </c>
      <c r="ES95" s="504"/>
      <c r="ET95" s="507"/>
      <c r="EU95" s="585"/>
      <c r="GC95" s="472" t="s">
        <v>5510</v>
      </c>
      <c r="GF95" s="480" t="s">
        <v>5737</v>
      </c>
      <c r="GG95" s="480" t="s">
        <v>5531</v>
      </c>
      <c r="GH95" s="480" t="s">
        <v>5910</v>
      </c>
      <c r="GJ95" s="594"/>
      <c r="GM95" s="595"/>
    </row>
    <row r="96" spans="1:223" x14ac:dyDescent="0.25">
      <c r="AF96" s="20"/>
      <c r="AV96" s="469" t="s">
        <v>5510</v>
      </c>
      <c r="AW96" s="20" t="s">
        <v>7063</v>
      </c>
      <c r="AX96" s="20" t="s">
        <v>7077</v>
      </c>
      <c r="BF96" s="469" t="s">
        <v>5510</v>
      </c>
      <c r="BG96" s="469">
        <v>7</v>
      </c>
      <c r="BH96" s="539" t="s">
        <v>8042</v>
      </c>
      <c r="BI96" s="539">
        <f t="shared" si="79"/>
        <v>104</v>
      </c>
      <c r="BJ96" s="539" cm="1">
        <f t="array" aca="1" ref="BJ96" ca="1">INDIRECT($BM$2&amp;BJ$7&amp;$BI96,1)</f>
        <v>0</v>
      </c>
      <c r="BK96" s="539" cm="1">
        <f t="array" aca="1" ref="BK96" ca="1">INDIRECT($BM$2&amp;BK$7&amp;$BI96,1)</f>
        <v>0</v>
      </c>
      <c r="BL96" s="539" cm="1">
        <f t="array" aca="1" ref="BL96" ca="1">INDIRECT($BM$2&amp;BL$7&amp;$BI96,1)</f>
        <v>0</v>
      </c>
      <c r="BM96" s="539" cm="1">
        <f t="array" aca="1" ref="BM96" ca="1">INDIRECT($BM$2&amp;BM$7&amp;$BI96,1)</f>
        <v>0</v>
      </c>
      <c r="BN96" s="539" cm="1">
        <f t="array" aca="1" ref="BN96" ca="1">INDIRECT($BM$2&amp;BN$7&amp;$BI96,1)</f>
        <v>0</v>
      </c>
      <c r="BO96" s="539" t="str">
        <f t="shared" ca="1" si="76"/>
        <v>-</v>
      </c>
      <c r="BP96" s="494" t="s">
        <v>8222</v>
      </c>
      <c r="BQ96" s="20"/>
      <c r="BR96" s="469">
        <v>7</v>
      </c>
      <c r="BS96" s="539" t="s">
        <v>8042</v>
      </c>
      <c r="BT96" s="539">
        <f t="shared" si="80"/>
        <v>450</v>
      </c>
      <c r="BU96" s="539" cm="1">
        <f t="array" aca="1" ref="BU96" ca="1">INDIRECT($BM$2&amp;BU$7&amp;$BT96,1)</f>
        <v>0</v>
      </c>
      <c r="BV96" s="539" cm="1">
        <f t="array" aca="1" ref="BV96" ca="1">INDIRECT($BM$2&amp;BV$7&amp;$BT96,1)</f>
        <v>0</v>
      </c>
      <c r="BW96" s="539" cm="1">
        <f t="array" aca="1" ref="BW96" ca="1">INDIRECT($BM$2&amp;BW$7&amp;$BT96,1)</f>
        <v>0</v>
      </c>
      <c r="BX96" s="539" cm="1">
        <f t="array" aca="1" ref="BX96" ca="1">INDIRECT($BM$2&amp;BX$7&amp;$BT96,1)</f>
        <v>0</v>
      </c>
      <c r="BY96" s="539" cm="1">
        <f t="array" aca="1" ref="BY96" ca="1">INDIRECT($BM$2&amp;BY$7&amp;$BT96,1)</f>
        <v>0</v>
      </c>
      <c r="BZ96" s="539" t="str">
        <f t="shared" ca="1" si="77"/>
        <v>-</v>
      </c>
      <c r="CA96" s="494" t="s">
        <v>8222</v>
      </c>
      <c r="CC96" s="469">
        <v>7</v>
      </c>
      <c r="CD96" s="539" t="s">
        <v>8042</v>
      </c>
      <c r="CE96" s="539">
        <f t="shared" si="81"/>
        <v>796</v>
      </c>
      <c r="CF96" s="539" cm="1">
        <f t="array" aca="1" ref="CF96" ca="1">INDIRECT($BM$2&amp;CF$7&amp;$CE96,1)</f>
        <v>0</v>
      </c>
      <c r="CG96" s="539" cm="1">
        <f t="array" aca="1" ref="CG96" ca="1">INDIRECT($BM$2&amp;CG$7&amp;$CE96,1)</f>
        <v>0</v>
      </c>
      <c r="CH96" s="539" cm="1">
        <f t="array" aca="1" ref="CH96" ca="1">INDIRECT($BM$2&amp;CH$7&amp;$CE96,1)</f>
        <v>0</v>
      </c>
      <c r="CI96" s="539" cm="1">
        <f t="array" aca="1" ref="CI96" ca="1">INDIRECT($BM$2&amp;CI$7&amp;$CE96,1)</f>
        <v>0</v>
      </c>
      <c r="CJ96" s="539" cm="1">
        <f t="array" aca="1" ref="CJ96" ca="1">INDIRECT($BM$2&amp;CJ$7&amp;$CE96,1)</f>
        <v>0</v>
      </c>
      <c r="CK96" s="539" t="str">
        <f t="shared" ca="1" si="78"/>
        <v>-</v>
      </c>
      <c r="CL96" s="494" t="s">
        <v>8222</v>
      </c>
      <c r="CU96" s="469" t="s">
        <v>5510</v>
      </c>
      <c r="CV96" s="492">
        <v>5</v>
      </c>
      <c r="CW96" s="558">
        <f t="shared" ref="CW96:CW110" si="84">IF(CV96=CV95,CW95+1,CW95+$DD$4)</f>
        <v>123</v>
      </c>
      <c r="CX96" s="492" cm="1">
        <f t="array" aca="1" ref="CX96" ca="1">INDIRECT($DD$2&amp;CX$28&amp;$CW96)</f>
        <v>0</v>
      </c>
      <c r="CY96" s="492" cm="1">
        <f t="array" aca="1" ref="CY96" ca="1">INDIRECT($DD$2&amp;CY$28&amp;$CW96)</f>
        <v>0</v>
      </c>
      <c r="CZ96" s="492" cm="1">
        <f t="array" aca="1" ref="CZ96" ca="1">INDIRECT($DD$2&amp;CZ$28&amp;$CW96)</f>
        <v>0</v>
      </c>
      <c r="DA96" s="492" cm="1">
        <f t="array" aca="1" ref="DA96" ca="1">INDIRECT($DD$2&amp;DA$28&amp;$CW96)</f>
        <v>0</v>
      </c>
      <c r="DB96" s="492" cm="1">
        <f t="array" aca="1" ref="DB96" ca="1">INDIRECT($DD$2&amp;DB$28&amp;$CW96)</f>
        <v>0</v>
      </c>
      <c r="DC96" s="492" cm="1">
        <f t="array" aca="1" ref="DC96" ca="1">INDIRECT($DD$2&amp;DC$28&amp;$CW96)</f>
        <v>0</v>
      </c>
      <c r="DD96" s="492" t="str">
        <f t="shared" ca="1" si="82"/>
        <v/>
      </c>
      <c r="DE96" s="492" t="str">
        <f t="shared" ca="1" si="83"/>
        <v/>
      </c>
      <c r="EQ96" s="469" t="s">
        <v>5510</v>
      </c>
      <c r="ES96" s="504"/>
      <c r="ET96" s="507"/>
      <c r="EU96" s="585"/>
      <c r="GC96" s="472" t="s">
        <v>5510</v>
      </c>
      <c r="GE96" s="593" t="s">
        <v>8003</v>
      </c>
      <c r="GF96" s="593" t="s">
        <v>355</v>
      </c>
      <c r="GG96" s="593" t="s">
        <v>8201</v>
      </c>
      <c r="GH96" s="593" t="s">
        <v>8202</v>
      </c>
      <c r="GI96" s="593" t="s">
        <v>7765</v>
      </c>
      <c r="GJ96" s="593" t="s">
        <v>355</v>
      </c>
      <c r="GK96" s="593" t="s">
        <v>8201</v>
      </c>
      <c r="GL96" s="593" t="s">
        <v>8202</v>
      </c>
      <c r="GM96" s="599" t="s">
        <v>7765</v>
      </c>
      <c r="GO96" s="477" t="s">
        <v>7274</v>
      </c>
      <c r="GP96" s="647" cm="1">
        <f t="array" aca="1" ref="GP96" ca="1">INDIRECT(GE24&amp;$GP$94)</f>
        <v>0</v>
      </c>
    </row>
    <row r="97" spans="14:198" x14ac:dyDescent="0.25">
      <c r="AF97" s="20"/>
      <c r="AV97" s="469" t="s">
        <v>5510</v>
      </c>
      <c r="AW97" s="20" t="s">
        <v>7075</v>
      </c>
      <c r="AX97" s="20" t="s">
        <v>7078</v>
      </c>
      <c r="AZ97" s="20" t="s">
        <v>7961</v>
      </c>
      <c r="BF97" s="469" t="s">
        <v>5510</v>
      </c>
      <c r="BG97" s="469">
        <v>8</v>
      </c>
      <c r="BH97" s="539" t="s">
        <v>8042</v>
      </c>
      <c r="BI97" s="539">
        <f t="shared" si="79"/>
        <v>105</v>
      </c>
      <c r="BJ97" s="539" cm="1">
        <f t="array" aca="1" ref="BJ97" ca="1">INDIRECT($BM$2&amp;BJ$7&amp;$BI97,1)</f>
        <v>0</v>
      </c>
      <c r="BK97" s="539" cm="1">
        <f t="array" aca="1" ref="BK97" ca="1">INDIRECT($BM$2&amp;BK$7&amp;$BI97,1)</f>
        <v>0</v>
      </c>
      <c r="BL97" s="539" cm="1">
        <f t="array" aca="1" ref="BL97" ca="1">INDIRECT($BM$2&amp;BL$7&amp;$BI97,1)</f>
        <v>0</v>
      </c>
      <c r="BM97" s="539" cm="1">
        <f t="array" aca="1" ref="BM97" ca="1">INDIRECT($BM$2&amp;BM$7&amp;$BI97,1)</f>
        <v>0</v>
      </c>
      <c r="BN97" s="539" cm="1">
        <f t="array" aca="1" ref="BN97" ca="1">INDIRECT($BM$2&amp;BN$7&amp;$BI97,1)</f>
        <v>0</v>
      </c>
      <c r="BO97" s="539" t="str">
        <f t="shared" ca="1" si="76"/>
        <v>-</v>
      </c>
      <c r="BP97" s="494" t="s">
        <v>8222</v>
      </c>
      <c r="BQ97" s="20"/>
      <c r="BR97" s="469">
        <v>8</v>
      </c>
      <c r="BS97" s="539" t="s">
        <v>8042</v>
      </c>
      <c r="BT97" s="539">
        <f t="shared" si="80"/>
        <v>451</v>
      </c>
      <c r="BU97" s="539" cm="1">
        <f t="array" aca="1" ref="BU97" ca="1">INDIRECT($BM$2&amp;BU$7&amp;$BT97,1)</f>
        <v>0</v>
      </c>
      <c r="BV97" s="539" cm="1">
        <f t="array" aca="1" ref="BV97" ca="1">INDIRECT($BM$2&amp;BV$7&amp;$BT97,1)</f>
        <v>0</v>
      </c>
      <c r="BW97" s="539" cm="1">
        <f t="array" aca="1" ref="BW97" ca="1">INDIRECT($BM$2&amp;BW$7&amp;$BT97,1)</f>
        <v>0</v>
      </c>
      <c r="BX97" s="539" cm="1">
        <f t="array" aca="1" ref="BX97" ca="1">INDIRECT($BM$2&amp;BX$7&amp;$BT97,1)</f>
        <v>0</v>
      </c>
      <c r="BY97" s="539" cm="1">
        <f t="array" aca="1" ref="BY97" ca="1">INDIRECT($BM$2&amp;BY$7&amp;$BT97,1)</f>
        <v>0</v>
      </c>
      <c r="BZ97" s="539" t="str">
        <f t="shared" ca="1" si="77"/>
        <v>-</v>
      </c>
      <c r="CA97" s="494" t="s">
        <v>8222</v>
      </c>
      <c r="CC97" s="469">
        <v>8</v>
      </c>
      <c r="CD97" s="539" t="s">
        <v>8042</v>
      </c>
      <c r="CE97" s="539">
        <f t="shared" si="81"/>
        <v>797</v>
      </c>
      <c r="CF97" s="539" cm="1">
        <f t="array" aca="1" ref="CF97" ca="1">INDIRECT($BM$2&amp;CF$7&amp;$CE97,1)</f>
        <v>0</v>
      </c>
      <c r="CG97" s="539" cm="1">
        <f t="array" aca="1" ref="CG97" ca="1">INDIRECT($BM$2&amp;CG$7&amp;$CE97,1)</f>
        <v>0</v>
      </c>
      <c r="CH97" s="539" cm="1">
        <f t="array" aca="1" ref="CH97" ca="1">INDIRECT($BM$2&amp;CH$7&amp;$CE97,1)</f>
        <v>0</v>
      </c>
      <c r="CI97" s="539" cm="1">
        <f t="array" aca="1" ref="CI97" ca="1">INDIRECT($BM$2&amp;CI$7&amp;$CE97,1)</f>
        <v>0</v>
      </c>
      <c r="CJ97" s="539" cm="1">
        <f t="array" aca="1" ref="CJ97" ca="1">INDIRECT($BM$2&amp;CJ$7&amp;$CE97,1)</f>
        <v>0</v>
      </c>
      <c r="CK97" s="539" t="str">
        <f t="shared" ca="1" si="78"/>
        <v>-</v>
      </c>
      <c r="CL97" s="494" t="s">
        <v>8222</v>
      </c>
      <c r="CU97" s="469" t="s">
        <v>5510</v>
      </c>
      <c r="CV97" s="492">
        <v>5</v>
      </c>
      <c r="CW97" s="558">
        <f t="shared" si="84"/>
        <v>124</v>
      </c>
      <c r="CX97" s="492" cm="1">
        <f t="array" aca="1" ref="CX97" ca="1">INDIRECT($DD$2&amp;CX$28&amp;$CW97)</f>
        <v>0</v>
      </c>
      <c r="CY97" s="492" cm="1">
        <f t="array" aca="1" ref="CY97" ca="1">INDIRECT($DD$2&amp;CY$28&amp;$CW97)</f>
        <v>0</v>
      </c>
      <c r="CZ97" s="492" cm="1">
        <f t="array" aca="1" ref="CZ97" ca="1">INDIRECT($DD$2&amp;CZ$28&amp;$CW97)</f>
        <v>0</v>
      </c>
      <c r="DA97" s="492" cm="1">
        <f t="array" aca="1" ref="DA97" ca="1">INDIRECT($DD$2&amp;DA$28&amp;$CW97)</f>
        <v>0</v>
      </c>
      <c r="DB97" s="492" cm="1">
        <f t="array" aca="1" ref="DB97" ca="1">INDIRECT($DD$2&amp;DB$28&amp;$CW97)</f>
        <v>0</v>
      </c>
      <c r="DC97" s="492" cm="1">
        <f t="array" aca="1" ref="DC97" ca="1">INDIRECT($DD$2&amp;DC$28&amp;$CW97)</f>
        <v>0</v>
      </c>
      <c r="DD97" s="492" t="str">
        <f t="shared" ca="1" si="82"/>
        <v/>
      </c>
      <c r="DE97" s="492" t="str">
        <f t="shared" ca="1" si="83"/>
        <v/>
      </c>
      <c r="EQ97" s="469" t="s">
        <v>5510</v>
      </c>
      <c r="ES97" s="504"/>
      <c r="ET97" s="507"/>
      <c r="EU97" s="585"/>
      <c r="GC97" s="472" t="s">
        <v>5510</v>
      </c>
      <c r="GE97" s="597">
        <v>31</v>
      </c>
      <c r="GF97" s="597" cm="1">
        <f t="array" aca="1" ref="GF97" ca="1">INDIRECT($GE$12&amp;GF$95&amp;$GE97,1)</f>
        <v>0</v>
      </c>
      <c r="GG97" s="597" cm="1">
        <f t="array" aca="1" ref="GG97" ca="1">INDIRECT($GE$12&amp;GG$95&amp;$GE97,1)</f>
        <v>0</v>
      </c>
      <c r="GH97" s="597" cm="1">
        <f t="array" aca="1" ref="GH97" ca="1">INDIRECT($GE$12&amp;GH$95&amp;$GE97,1)</f>
        <v>0</v>
      </c>
      <c r="GI97" s="601" t="b">
        <f>Respostas_usuario!AB64</f>
        <v>0</v>
      </c>
      <c r="GJ97" s="602" cm="1">
        <f t="array" aca="1" ref="GJ97" ca="1">INDIRECT($GE$13&amp;GF$95&amp;$GE97,1)</f>
        <v>0</v>
      </c>
      <c r="GK97" s="602" cm="1">
        <f t="array" aca="1" ref="GK97" ca="1">INDIRECT($GE$13&amp;GG$95&amp;$GE97,1)</f>
        <v>0</v>
      </c>
      <c r="GL97" s="602" cm="1">
        <f t="array" aca="1" ref="GL97" ca="1">INDIRECT($GE$13&amp;GH$95&amp;$GE97,1)</f>
        <v>0</v>
      </c>
      <c r="GM97" s="603" t="b">
        <f>Respostas_usuario!AC64</f>
        <v>0</v>
      </c>
      <c r="GO97" s="477" t="s">
        <v>7275</v>
      </c>
      <c r="GP97" s="647" cm="1">
        <f t="array" aca="1" ref="GP97" ca="1">INDIRECT(GE25&amp;$GP$94)</f>
        <v>0</v>
      </c>
    </row>
    <row r="98" spans="14:198" x14ac:dyDescent="0.25">
      <c r="AF98" s="20"/>
      <c r="AV98" s="469" t="s">
        <v>5510</v>
      </c>
      <c r="AW98" s="20" t="s">
        <v>7076</v>
      </c>
      <c r="AZ98" s="20" t="s">
        <v>7962</v>
      </c>
      <c r="BF98" s="469" t="s">
        <v>5510</v>
      </c>
      <c r="BG98" s="469">
        <v>9</v>
      </c>
      <c r="BH98" s="539" t="s">
        <v>8042</v>
      </c>
      <c r="BI98" s="539">
        <f t="shared" si="79"/>
        <v>106</v>
      </c>
      <c r="BJ98" s="539" cm="1">
        <f t="array" aca="1" ref="BJ98" ca="1">INDIRECT($BM$2&amp;BJ$7&amp;$BI98,1)</f>
        <v>0</v>
      </c>
      <c r="BK98" s="539" cm="1">
        <f t="array" aca="1" ref="BK98" ca="1">INDIRECT($BM$2&amp;BK$7&amp;$BI98,1)</f>
        <v>0</v>
      </c>
      <c r="BL98" s="539" cm="1">
        <f t="array" aca="1" ref="BL98" ca="1">INDIRECT($BM$2&amp;BL$7&amp;$BI98,1)</f>
        <v>0</v>
      </c>
      <c r="BM98" s="539" cm="1">
        <f t="array" aca="1" ref="BM98" ca="1">INDIRECT($BM$2&amp;BM$7&amp;$BI98,1)</f>
        <v>0</v>
      </c>
      <c r="BN98" s="539" cm="1">
        <f t="array" aca="1" ref="BN98" ca="1">INDIRECT($BM$2&amp;BN$7&amp;$BI98,1)</f>
        <v>0</v>
      </c>
      <c r="BO98" s="539" t="str">
        <f t="shared" ca="1" si="76"/>
        <v>-</v>
      </c>
      <c r="BP98" s="494" t="s">
        <v>8222</v>
      </c>
      <c r="BQ98" s="20"/>
      <c r="BR98" s="469">
        <v>9</v>
      </c>
      <c r="BS98" s="539" t="s">
        <v>8042</v>
      </c>
      <c r="BT98" s="539">
        <f t="shared" si="80"/>
        <v>452</v>
      </c>
      <c r="BU98" s="539" cm="1">
        <f t="array" aca="1" ref="BU98" ca="1">INDIRECT($BM$2&amp;BU$7&amp;$BT98,1)</f>
        <v>0</v>
      </c>
      <c r="BV98" s="539" cm="1">
        <f t="array" aca="1" ref="BV98" ca="1">INDIRECT($BM$2&amp;BV$7&amp;$BT98,1)</f>
        <v>0</v>
      </c>
      <c r="BW98" s="539" cm="1">
        <f t="array" aca="1" ref="BW98" ca="1">INDIRECT($BM$2&amp;BW$7&amp;$BT98,1)</f>
        <v>0</v>
      </c>
      <c r="BX98" s="539" cm="1">
        <f t="array" aca="1" ref="BX98" ca="1">INDIRECT($BM$2&amp;BX$7&amp;$BT98,1)</f>
        <v>0</v>
      </c>
      <c r="BY98" s="539" cm="1">
        <f t="array" aca="1" ref="BY98" ca="1">INDIRECT($BM$2&amp;BY$7&amp;$BT98,1)</f>
        <v>0</v>
      </c>
      <c r="BZ98" s="539" t="str">
        <f t="shared" ca="1" si="77"/>
        <v>-</v>
      </c>
      <c r="CA98" s="494" t="s">
        <v>8222</v>
      </c>
      <c r="CC98" s="469">
        <v>9</v>
      </c>
      <c r="CD98" s="539" t="s">
        <v>8042</v>
      </c>
      <c r="CE98" s="539">
        <f t="shared" si="81"/>
        <v>798</v>
      </c>
      <c r="CF98" s="539" cm="1">
        <f t="array" aca="1" ref="CF98" ca="1">INDIRECT($BM$2&amp;CF$7&amp;$CE98,1)</f>
        <v>0</v>
      </c>
      <c r="CG98" s="539" cm="1">
        <f t="array" aca="1" ref="CG98" ca="1">INDIRECT($BM$2&amp;CG$7&amp;$CE98,1)</f>
        <v>0</v>
      </c>
      <c r="CH98" s="539" cm="1">
        <f t="array" aca="1" ref="CH98" ca="1">INDIRECT($BM$2&amp;CH$7&amp;$CE98,1)</f>
        <v>0</v>
      </c>
      <c r="CI98" s="539" cm="1">
        <f t="array" aca="1" ref="CI98" ca="1">INDIRECT($BM$2&amp;CI$7&amp;$CE98,1)</f>
        <v>0</v>
      </c>
      <c r="CJ98" s="539" cm="1">
        <f t="array" aca="1" ref="CJ98" ca="1">INDIRECT($BM$2&amp;CJ$7&amp;$CE98,1)</f>
        <v>0</v>
      </c>
      <c r="CK98" s="539" t="str">
        <f t="shared" ca="1" si="78"/>
        <v>-</v>
      </c>
      <c r="CL98" s="494" t="s">
        <v>8222</v>
      </c>
      <c r="CU98" s="469" t="s">
        <v>5510</v>
      </c>
      <c r="CV98" s="492">
        <v>5</v>
      </c>
      <c r="CW98" s="558">
        <f t="shared" si="84"/>
        <v>125</v>
      </c>
      <c r="CX98" s="492" cm="1">
        <f t="array" aca="1" ref="CX98" ca="1">INDIRECT($DD$2&amp;CX$28&amp;$CW98)</f>
        <v>0</v>
      </c>
      <c r="CY98" s="492" cm="1">
        <f t="array" aca="1" ref="CY98" ca="1">INDIRECT($DD$2&amp;CY$28&amp;$CW98)</f>
        <v>0</v>
      </c>
      <c r="CZ98" s="492" cm="1">
        <f t="array" aca="1" ref="CZ98" ca="1">INDIRECT($DD$2&amp;CZ$28&amp;$CW98)</f>
        <v>0</v>
      </c>
      <c r="DA98" s="492" cm="1">
        <f t="array" aca="1" ref="DA98" ca="1">INDIRECT($DD$2&amp;DA$28&amp;$CW98)</f>
        <v>0</v>
      </c>
      <c r="DB98" s="492" cm="1">
        <f t="array" aca="1" ref="DB98" ca="1">INDIRECT($DD$2&amp;DB$28&amp;$CW98)</f>
        <v>0</v>
      </c>
      <c r="DC98" s="492" cm="1">
        <f t="array" aca="1" ref="DC98" ca="1">INDIRECT($DD$2&amp;DC$28&amp;$CW98)</f>
        <v>0</v>
      </c>
      <c r="DD98" s="492" t="str">
        <f t="shared" ca="1" si="82"/>
        <v/>
      </c>
      <c r="DE98" s="492" t="str">
        <f t="shared" ca="1" si="83"/>
        <v/>
      </c>
      <c r="EQ98" s="469" t="s">
        <v>5510</v>
      </c>
      <c r="ES98" s="504"/>
      <c r="ET98" s="507"/>
      <c r="EU98" s="585"/>
      <c r="GC98" s="472" t="s">
        <v>5510</v>
      </c>
      <c r="GE98" s="597">
        <v>32</v>
      </c>
      <c r="GF98" s="597" cm="1">
        <f t="array" aca="1" ref="GF98" ca="1">INDIRECT($GE$12&amp;GF$95&amp;$GE98,1)</f>
        <v>0</v>
      </c>
      <c r="GG98" s="597" cm="1">
        <f t="array" aca="1" ref="GG98" ca="1">INDIRECT($GE$12&amp;GG$95&amp;$GE98,1)</f>
        <v>0</v>
      </c>
      <c r="GH98" s="597" cm="1">
        <f t="array" aca="1" ref="GH98" ca="1">INDIRECT($GE$12&amp;GH$95&amp;$GE98,1)</f>
        <v>0</v>
      </c>
      <c r="GI98" s="601" t="b">
        <f>Respostas_usuario!AB65</f>
        <v>0</v>
      </c>
      <c r="GJ98" s="602" cm="1">
        <f t="array" aca="1" ref="GJ98" ca="1">INDIRECT($GE$13&amp;GF$95&amp;$GE98,1)</f>
        <v>0</v>
      </c>
      <c r="GK98" s="602" cm="1">
        <f t="array" aca="1" ref="GK98" ca="1">INDIRECT($GE$13&amp;GG$95&amp;$GE98,1)</f>
        <v>0</v>
      </c>
      <c r="GL98" s="602" cm="1">
        <f t="array" aca="1" ref="GL98" ca="1">INDIRECT($GE$13&amp;GH$95&amp;$GE98,1)</f>
        <v>0</v>
      </c>
      <c r="GM98" s="603" t="b">
        <f>Respostas_usuario!AC65</f>
        <v>0</v>
      </c>
    </row>
    <row r="99" spans="14:198" x14ac:dyDescent="0.25">
      <c r="AF99" s="20"/>
      <c r="AV99" s="469" t="s">
        <v>5510</v>
      </c>
      <c r="BF99" s="469" t="s">
        <v>5510</v>
      </c>
      <c r="BG99" s="469">
        <v>10</v>
      </c>
      <c r="BH99" s="539" t="s">
        <v>8042</v>
      </c>
      <c r="BI99" s="539">
        <f t="shared" si="79"/>
        <v>107</v>
      </c>
      <c r="BJ99" s="539" cm="1">
        <f t="array" aca="1" ref="BJ99" ca="1">INDIRECT($BM$2&amp;BJ$7&amp;$BI99,1)</f>
        <v>0</v>
      </c>
      <c r="BK99" s="539" cm="1">
        <f t="array" aca="1" ref="BK99" ca="1">INDIRECT($BM$2&amp;BK$7&amp;$BI99,1)</f>
        <v>0</v>
      </c>
      <c r="BL99" s="539" cm="1">
        <f t="array" aca="1" ref="BL99" ca="1">INDIRECT($BM$2&amp;BL$7&amp;$BI99,1)</f>
        <v>0</v>
      </c>
      <c r="BM99" s="539" cm="1">
        <f t="array" aca="1" ref="BM99" ca="1">INDIRECT($BM$2&amp;BM$7&amp;$BI99,1)</f>
        <v>0</v>
      </c>
      <c r="BN99" s="539" cm="1">
        <f t="array" aca="1" ref="BN99" ca="1">INDIRECT($BM$2&amp;BN$7&amp;$BI99,1)</f>
        <v>0</v>
      </c>
      <c r="BO99" s="539" t="str">
        <f t="shared" ca="1" si="76"/>
        <v>-</v>
      </c>
      <c r="BP99" s="494" t="s">
        <v>8222</v>
      </c>
      <c r="BQ99" s="20"/>
      <c r="BR99" s="469">
        <v>10</v>
      </c>
      <c r="BS99" s="539" t="s">
        <v>8042</v>
      </c>
      <c r="BT99" s="539">
        <f t="shared" si="80"/>
        <v>453</v>
      </c>
      <c r="BU99" s="539" cm="1">
        <f t="array" aca="1" ref="BU99" ca="1">INDIRECT($BM$2&amp;BU$7&amp;$BT99,1)</f>
        <v>0</v>
      </c>
      <c r="BV99" s="539" cm="1">
        <f t="array" aca="1" ref="BV99" ca="1">INDIRECT($BM$2&amp;BV$7&amp;$BT99,1)</f>
        <v>0</v>
      </c>
      <c r="BW99" s="539" cm="1">
        <f t="array" aca="1" ref="BW99" ca="1">INDIRECT($BM$2&amp;BW$7&amp;$BT99,1)</f>
        <v>0</v>
      </c>
      <c r="BX99" s="539" cm="1">
        <f t="array" aca="1" ref="BX99" ca="1">INDIRECT($BM$2&amp;BX$7&amp;$BT99,1)</f>
        <v>0</v>
      </c>
      <c r="BY99" s="539" cm="1">
        <f t="array" aca="1" ref="BY99" ca="1">INDIRECT($BM$2&amp;BY$7&amp;$BT99,1)</f>
        <v>0</v>
      </c>
      <c r="BZ99" s="539" t="str">
        <f t="shared" ca="1" si="77"/>
        <v>-</v>
      </c>
      <c r="CA99" s="494" t="s">
        <v>8222</v>
      </c>
      <c r="CC99" s="469">
        <v>10</v>
      </c>
      <c r="CD99" s="539" t="s">
        <v>8042</v>
      </c>
      <c r="CE99" s="539">
        <f t="shared" si="81"/>
        <v>799</v>
      </c>
      <c r="CF99" s="539" cm="1">
        <f t="array" aca="1" ref="CF99" ca="1">INDIRECT($BM$2&amp;CF$7&amp;$CE99,1)</f>
        <v>0</v>
      </c>
      <c r="CG99" s="539" cm="1">
        <f t="array" aca="1" ref="CG99" ca="1">INDIRECT($BM$2&amp;CG$7&amp;$CE99,1)</f>
        <v>0</v>
      </c>
      <c r="CH99" s="539" cm="1">
        <f t="array" aca="1" ref="CH99" ca="1">INDIRECT($BM$2&amp;CH$7&amp;$CE99,1)</f>
        <v>0</v>
      </c>
      <c r="CI99" s="539" cm="1">
        <f t="array" aca="1" ref="CI99" ca="1">INDIRECT($BM$2&amp;CI$7&amp;$CE99,1)</f>
        <v>0</v>
      </c>
      <c r="CJ99" s="539" cm="1">
        <f t="array" aca="1" ref="CJ99" ca="1">INDIRECT($BM$2&amp;CJ$7&amp;$CE99,1)</f>
        <v>0</v>
      </c>
      <c r="CK99" s="539" t="str">
        <f t="shared" ca="1" si="78"/>
        <v>-</v>
      </c>
      <c r="CL99" s="494" t="s">
        <v>8222</v>
      </c>
      <c r="CU99" s="469" t="s">
        <v>5510</v>
      </c>
      <c r="CV99" s="492">
        <v>5</v>
      </c>
      <c r="CW99" s="558">
        <f t="shared" si="84"/>
        <v>126</v>
      </c>
      <c r="CX99" s="492" cm="1">
        <f t="array" aca="1" ref="CX99" ca="1">INDIRECT($DD$2&amp;CX$28&amp;$CW99)</f>
        <v>0</v>
      </c>
      <c r="CY99" s="492" cm="1">
        <f t="array" aca="1" ref="CY99" ca="1">INDIRECT($DD$2&amp;CY$28&amp;$CW99)</f>
        <v>0</v>
      </c>
      <c r="CZ99" s="492" cm="1">
        <f t="array" aca="1" ref="CZ99" ca="1">INDIRECT($DD$2&amp;CZ$28&amp;$CW99)</f>
        <v>0</v>
      </c>
      <c r="DA99" s="492" cm="1">
        <f t="array" aca="1" ref="DA99" ca="1">INDIRECT($DD$2&amp;DA$28&amp;$CW99)</f>
        <v>0</v>
      </c>
      <c r="DB99" s="492" cm="1">
        <f t="array" aca="1" ref="DB99" ca="1">INDIRECT($DD$2&amp;DB$28&amp;$CW99)</f>
        <v>0</v>
      </c>
      <c r="DC99" s="492" cm="1">
        <f t="array" aca="1" ref="DC99" ca="1">INDIRECT($DD$2&amp;DC$28&amp;$CW99)</f>
        <v>0</v>
      </c>
      <c r="DD99" s="492" t="str">
        <f t="shared" ca="1" si="82"/>
        <v/>
      </c>
      <c r="DE99" s="492" t="str">
        <f t="shared" ca="1" si="83"/>
        <v/>
      </c>
      <c r="EQ99" s="469" t="s">
        <v>5510</v>
      </c>
      <c r="ES99" s="504"/>
      <c r="ET99" s="507"/>
      <c r="EU99" s="585"/>
      <c r="GC99" s="472" t="s">
        <v>5510</v>
      </c>
      <c r="GE99" s="597">
        <v>33</v>
      </c>
      <c r="GF99" s="597" cm="1">
        <f t="array" aca="1" ref="GF99" ca="1">INDIRECT($GE$12&amp;GF$95&amp;$GE99,1)</f>
        <v>0</v>
      </c>
      <c r="GG99" s="597" cm="1">
        <f t="array" aca="1" ref="GG99" ca="1">INDIRECT($GE$12&amp;GG$95&amp;$GE99,1)</f>
        <v>0</v>
      </c>
      <c r="GH99" s="597" cm="1">
        <f t="array" aca="1" ref="GH99" ca="1">INDIRECT($GE$12&amp;GH$95&amp;$GE99,1)</f>
        <v>0</v>
      </c>
      <c r="GI99" s="601" t="b">
        <f>Respostas_usuario!AB66</f>
        <v>0</v>
      </c>
      <c r="GJ99" s="602" cm="1">
        <f t="array" aca="1" ref="GJ99" ca="1">INDIRECT($GE$13&amp;GF$95&amp;$GE99,1)</f>
        <v>0</v>
      </c>
      <c r="GK99" s="602" cm="1">
        <f t="array" aca="1" ref="GK99" ca="1">INDIRECT($GE$13&amp;GG$95&amp;$GE99,1)</f>
        <v>0</v>
      </c>
      <c r="GL99" s="602" cm="1">
        <f t="array" aca="1" ref="GL99" ca="1">INDIRECT($GE$13&amp;GH$95&amp;$GE99,1)</f>
        <v>0</v>
      </c>
      <c r="GM99" s="603" t="b">
        <f>Respostas_usuario!AC66</f>
        <v>0</v>
      </c>
    </row>
    <row r="100" spans="14:198" x14ac:dyDescent="0.25">
      <c r="AF100" s="20"/>
      <c r="AV100" s="469" t="s">
        <v>5510</v>
      </c>
      <c r="AW100" s="469" t="s">
        <v>116</v>
      </c>
      <c r="AX100" s="469" t="s">
        <v>5597</v>
      </c>
      <c r="AY100" s="469" t="s">
        <v>5829</v>
      </c>
      <c r="AZ100" s="469" t="s">
        <v>7070</v>
      </c>
      <c r="BF100" s="469" t="s">
        <v>5510</v>
      </c>
      <c r="BG100" s="469">
        <v>11</v>
      </c>
      <c r="BH100" s="539" t="s">
        <v>8042</v>
      </c>
      <c r="BI100" s="539">
        <f t="shared" si="79"/>
        <v>108</v>
      </c>
      <c r="BJ100" s="539" cm="1">
        <f t="array" aca="1" ref="BJ100" ca="1">INDIRECT($BM$2&amp;BJ$7&amp;$BI100,1)</f>
        <v>0</v>
      </c>
      <c r="BK100" s="539" cm="1">
        <f t="array" aca="1" ref="BK100" ca="1">INDIRECT($BM$2&amp;BK$7&amp;$BI100,1)</f>
        <v>0</v>
      </c>
      <c r="BL100" s="539" cm="1">
        <f t="array" aca="1" ref="BL100" ca="1">INDIRECT($BM$2&amp;BL$7&amp;$BI100,1)</f>
        <v>0</v>
      </c>
      <c r="BM100" s="539" cm="1">
        <f t="array" aca="1" ref="BM100" ca="1">INDIRECT($BM$2&amp;BM$7&amp;$BI100,1)</f>
        <v>0</v>
      </c>
      <c r="BN100" s="539" cm="1">
        <f t="array" aca="1" ref="BN100" ca="1">INDIRECT($BM$2&amp;BN$7&amp;$BI100,1)</f>
        <v>0</v>
      </c>
      <c r="BO100" s="539" t="str">
        <f t="shared" ca="1" si="76"/>
        <v>-</v>
      </c>
      <c r="BP100" s="494" t="s">
        <v>8222</v>
      </c>
      <c r="BQ100" s="20"/>
      <c r="BR100" s="469">
        <v>11</v>
      </c>
      <c r="BS100" s="539" t="s">
        <v>8042</v>
      </c>
      <c r="BT100" s="539">
        <f t="shared" si="80"/>
        <v>454</v>
      </c>
      <c r="BU100" s="539" cm="1">
        <f t="array" aca="1" ref="BU100" ca="1">INDIRECT($BM$2&amp;BU$7&amp;$BT100,1)</f>
        <v>0</v>
      </c>
      <c r="BV100" s="539" cm="1">
        <f t="array" aca="1" ref="BV100" ca="1">INDIRECT($BM$2&amp;BV$7&amp;$BT100,1)</f>
        <v>0</v>
      </c>
      <c r="BW100" s="539" cm="1">
        <f t="array" aca="1" ref="BW100" ca="1">INDIRECT($BM$2&amp;BW$7&amp;$BT100,1)</f>
        <v>0</v>
      </c>
      <c r="BX100" s="539" cm="1">
        <f t="array" aca="1" ref="BX100" ca="1">INDIRECT($BM$2&amp;BX$7&amp;$BT100,1)</f>
        <v>0</v>
      </c>
      <c r="BY100" s="539" cm="1">
        <f t="array" aca="1" ref="BY100" ca="1">INDIRECT($BM$2&amp;BY$7&amp;$BT100,1)</f>
        <v>0</v>
      </c>
      <c r="BZ100" s="539" t="str">
        <f t="shared" ca="1" si="77"/>
        <v>-</v>
      </c>
      <c r="CA100" s="494" t="s">
        <v>8222</v>
      </c>
      <c r="CC100" s="469">
        <v>11</v>
      </c>
      <c r="CD100" s="539" t="s">
        <v>8042</v>
      </c>
      <c r="CE100" s="539">
        <f t="shared" si="81"/>
        <v>800</v>
      </c>
      <c r="CF100" s="539" cm="1">
        <f t="array" aca="1" ref="CF100" ca="1">INDIRECT($BM$2&amp;CF$7&amp;$CE100,1)</f>
        <v>0</v>
      </c>
      <c r="CG100" s="539" cm="1">
        <f t="array" aca="1" ref="CG100" ca="1">INDIRECT($BM$2&amp;CG$7&amp;$CE100,1)</f>
        <v>0</v>
      </c>
      <c r="CH100" s="539" cm="1">
        <f t="array" aca="1" ref="CH100" ca="1">INDIRECT($BM$2&amp;CH$7&amp;$CE100,1)</f>
        <v>0</v>
      </c>
      <c r="CI100" s="539" cm="1">
        <f t="array" aca="1" ref="CI100" ca="1">INDIRECT($BM$2&amp;CI$7&amp;$CE100,1)</f>
        <v>0</v>
      </c>
      <c r="CJ100" s="539" cm="1">
        <f t="array" aca="1" ref="CJ100" ca="1">INDIRECT($BM$2&amp;CJ$7&amp;$CE100,1)</f>
        <v>0</v>
      </c>
      <c r="CK100" s="539" t="str">
        <f t="shared" ca="1" si="78"/>
        <v>-</v>
      </c>
      <c r="CL100" s="494" t="s">
        <v>8222</v>
      </c>
      <c r="CU100" s="469" t="s">
        <v>5510</v>
      </c>
      <c r="CV100" s="636">
        <v>5</v>
      </c>
      <c r="CW100" s="558">
        <f t="shared" si="84"/>
        <v>127</v>
      </c>
      <c r="CX100" s="492" cm="1">
        <f t="array" aca="1" ref="CX100" ca="1">INDIRECT($DD$2&amp;CX$28&amp;$CW100)</f>
        <v>0</v>
      </c>
      <c r="CY100" s="492" cm="1">
        <f t="array" aca="1" ref="CY100" ca="1">INDIRECT($DD$2&amp;CY$28&amp;$CW100)</f>
        <v>0</v>
      </c>
      <c r="CZ100" s="492" cm="1">
        <f t="array" aca="1" ref="CZ100" ca="1">INDIRECT($DD$2&amp;CZ$28&amp;$CW100)</f>
        <v>0</v>
      </c>
      <c r="DA100" s="492" cm="1">
        <f t="array" aca="1" ref="DA100" ca="1">INDIRECT($DD$2&amp;DA$28&amp;$CW100)</f>
        <v>0</v>
      </c>
      <c r="DB100" s="492" cm="1">
        <f t="array" aca="1" ref="DB100" ca="1">INDIRECT($DD$2&amp;DB$28&amp;$CW100)</f>
        <v>0</v>
      </c>
      <c r="DC100" s="492" cm="1">
        <f t="array" aca="1" ref="DC100" ca="1">INDIRECT($DD$2&amp;DC$28&amp;$CW100)</f>
        <v>0</v>
      </c>
      <c r="DD100" s="492" t="str">
        <f t="shared" ca="1" si="82"/>
        <v/>
      </c>
      <c r="DE100" s="492" t="str">
        <f t="shared" ca="1" si="83"/>
        <v/>
      </c>
      <c r="EQ100" s="469" t="s">
        <v>5510</v>
      </c>
      <c r="ES100" s="504"/>
      <c r="ET100" s="507"/>
      <c r="EU100" s="585"/>
      <c r="GC100" s="472" t="s">
        <v>5510</v>
      </c>
      <c r="GE100" s="597">
        <v>34</v>
      </c>
      <c r="GF100" s="597" cm="1">
        <f t="array" aca="1" ref="GF100" ca="1">INDIRECT($GE$12&amp;GF$95&amp;$GE100,1)</f>
        <v>0</v>
      </c>
      <c r="GG100" s="597" cm="1">
        <f t="array" aca="1" ref="GG100" ca="1">INDIRECT($GE$12&amp;GG$95&amp;$GE100,1)</f>
        <v>0</v>
      </c>
      <c r="GH100" s="597" cm="1">
        <f t="array" aca="1" ref="GH100" ca="1">INDIRECT($GE$12&amp;GH$95&amp;$GE100,1)</f>
        <v>0</v>
      </c>
      <c r="GI100" s="601" t="b">
        <f>Respostas_usuario!AB67</f>
        <v>0</v>
      </c>
      <c r="GJ100" s="602" cm="1">
        <f t="array" aca="1" ref="GJ100" ca="1">INDIRECT($GE$13&amp;GF$95&amp;$GE100,1)</f>
        <v>0</v>
      </c>
      <c r="GK100" s="602" cm="1">
        <f t="array" aca="1" ref="GK100" ca="1">INDIRECT($GE$13&amp;GG$95&amp;$GE100,1)</f>
        <v>0</v>
      </c>
      <c r="GL100" s="602" cm="1">
        <f t="array" aca="1" ref="GL100" ca="1">INDIRECT($GE$13&amp;GH$95&amp;$GE100,1)</f>
        <v>0</v>
      </c>
      <c r="GM100" s="603" t="b">
        <f>Respostas_usuario!AC67</f>
        <v>0</v>
      </c>
    </row>
    <row r="101" spans="14:198" x14ac:dyDescent="0.25">
      <c r="AF101" s="20"/>
      <c r="AV101" s="469" t="s">
        <v>5510</v>
      </c>
      <c r="AW101" s="426" t="str">
        <f>Respostas_usuario!J2</f>
        <v>'Up&amp;Down(1)'!</v>
      </c>
      <c r="AX101" s="525">
        <f>Respostas_usuario!O2</f>
        <v>0</v>
      </c>
      <c r="AY101" s="525" t="str">
        <f>"&lt;= "&amp;INDEX(HM3:HM8,MATCH($AX$95,HN3:HN8,0),1)</f>
        <v>&lt;= 2000</v>
      </c>
      <c r="AZ101" s="20" t="str">
        <f>IF(AX101=0,$AW$95&amp;$AW$96,
IF(AX101=TRUE,$AW$95&amp;$AW$97&amp;AY101&amp;$AX$96,
IF(AX101=FALSE,$AW$95&amp;$AW$98&amp;AY101&amp;$AX$96,"")))</f>
        <v xml:space="preserve"> &lt;&lt;&lt;&lt;&lt;&lt;&lt;  Aguardando preenchimento</v>
      </c>
      <c r="BF101" s="469" t="s">
        <v>5510</v>
      </c>
      <c r="BG101" s="469">
        <v>12</v>
      </c>
      <c r="BH101" s="539" t="s">
        <v>8042</v>
      </c>
      <c r="BI101" s="539">
        <f t="shared" si="79"/>
        <v>109</v>
      </c>
      <c r="BJ101" s="539" cm="1">
        <f t="array" aca="1" ref="BJ101" ca="1">INDIRECT($BM$2&amp;BJ$7&amp;$BI101,1)</f>
        <v>0</v>
      </c>
      <c r="BK101" s="539" cm="1">
        <f t="array" aca="1" ref="BK101" ca="1">INDIRECT($BM$2&amp;BK$7&amp;$BI101,1)</f>
        <v>0</v>
      </c>
      <c r="BL101" s="539" cm="1">
        <f t="array" aca="1" ref="BL101" ca="1">INDIRECT($BM$2&amp;BL$7&amp;$BI101,1)</f>
        <v>0</v>
      </c>
      <c r="BM101" s="539" cm="1">
        <f t="array" aca="1" ref="BM101" ca="1">INDIRECT($BM$2&amp;BM$7&amp;$BI101,1)</f>
        <v>0</v>
      </c>
      <c r="BN101" s="539" t="str" cm="1">
        <f t="array" aca="1" ref="BN101" ca="1">INDIRECT($BM$2&amp;BN$7&amp;$BI101,1)</f>
        <v>-</v>
      </c>
      <c r="BO101" s="539" t="str">
        <f t="shared" ca="1" si="76"/>
        <v>-</v>
      </c>
      <c r="BP101" s="561" t="s">
        <v>8223</v>
      </c>
      <c r="BQ101" s="20"/>
      <c r="BR101" s="469">
        <v>12</v>
      </c>
      <c r="BS101" s="539" t="s">
        <v>8042</v>
      </c>
      <c r="BT101" s="539">
        <f t="shared" si="80"/>
        <v>455</v>
      </c>
      <c r="BU101" s="539" cm="1">
        <f t="array" aca="1" ref="BU101" ca="1">INDIRECT($BM$2&amp;BU$7&amp;$BT101,1)</f>
        <v>0</v>
      </c>
      <c r="BV101" s="539" cm="1">
        <f t="array" aca="1" ref="BV101" ca="1">INDIRECT($BM$2&amp;BV$7&amp;$BT101,1)</f>
        <v>0</v>
      </c>
      <c r="BW101" s="539" cm="1">
        <f t="array" aca="1" ref="BW101" ca="1">INDIRECT($BM$2&amp;BW$7&amp;$BT101,1)</f>
        <v>0</v>
      </c>
      <c r="BX101" s="539" cm="1">
        <f t="array" aca="1" ref="BX101" ca="1">INDIRECT($BM$2&amp;BX$7&amp;$BT101,1)</f>
        <v>0</v>
      </c>
      <c r="BY101" s="539" t="str" cm="1">
        <f t="array" aca="1" ref="BY101" ca="1">INDIRECT($BM$2&amp;BY$7&amp;$BT101,1)</f>
        <v>-</v>
      </c>
      <c r="BZ101" s="539" t="str">
        <f t="shared" ca="1" si="77"/>
        <v>-</v>
      </c>
      <c r="CA101" s="561" t="s">
        <v>8223</v>
      </c>
      <c r="CC101" s="469">
        <v>12</v>
      </c>
      <c r="CD101" s="539" t="s">
        <v>8042</v>
      </c>
      <c r="CE101" s="539">
        <f t="shared" si="81"/>
        <v>801</v>
      </c>
      <c r="CF101" s="539" cm="1">
        <f t="array" aca="1" ref="CF101" ca="1">INDIRECT($BM$2&amp;CF$7&amp;$CE101,1)</f>
        <v>0</v>
      </c>
      <c r="CG101" s="539" cm="1">
        <f t="array" aca="1" ref="CG101" ca="1">INDIRECT($BM$2&amp;CG$7&amp;$CE101,1)</f>
        <v>0</v>
      </c>
      <c r="CH101" s="539" cm="1">
        <f t="array" aca="1" ref="CH101" ca="1">INDIRECT($BM$2&amp;CH$7&amp;$CE101,1)</f>
        <v>0</v>
      </c>
      <c r="CI101" s="539" cm="1">
        <f t="array" aca="1" ref="CI101" ca="1">INDIRECT($BM$2&amp;CI$7&amp;$CE101,1)</f>
        <v>0</v>
      </c>
      <c r="CJ101" s="539" t="str" cm="1">
        <f t="array" aca="1" ref="CJ101" ca="1">INDIRECT($BM$2&amp;CJ$7&amp;$CE101,1)</f>
        <v>-</v>
      </c>
      <c r="CK101" s="539" t="str">
        <f t="shared" ca="1" si="78"/>
        <v>-</v>
      </c>
      <c r="CL101" s="561" t="s">
        <v>8223</v>
      </c>
      <c r="CU101" s="469" t="s">
        <v>5510</v>
      </c>
      <c r="CV101" s="22">
        <v>6</v>
      </c>
      <c r="CW101" s="522">
        <f t="shared" si="84"/>
        <v>135</v>
      </c>
      <c r="CX101" s="22" cm="1">
        <f t="array" aca="1" ref="CX101" ca="1">INDIRECT($DD$2&amp;CX$28&amp;$CW101)</f>
        <v>0</v>
      </c>
      <c r="CY101" s="22" cm="1">
        <f t="array" aca="1" ref="CY101" ca="1">INDIRECT($DD$2&amp;CY$28&amp;$CW101)</f>
        <v>0</v>
      </c>
      <c r="CZ101" s="22" cm="1">
        <f t="array" aca="1" ref="CZ101" ca="1">INDIRECT($DD$2&amp;CZ$28&amp;$CW101)</f>
        <v>0</v>
      </c>
      <c r="DA101" s="22" cm="1">
        <f t="array" aca="1" ref="DA101" ca="1">INDIRECT($DD$2&amp;DA$28&amp;$CW101)</f>
        <v>0</v>
      </c>
      <c r="DB101" s="22" cm="1">
        <f t="array" aca="1" ref="DB101" ca="1">INDIRECT($DD$2&amp;DB$28&amp;$CW101)</f>
        <v>0</v>
      </c>
      <c r="DC101" s="22" cm="1">
        <f t="array" aca="1" ref="DC101" ca="1">INDIRECT($DD$2&amp;DC$28&amp;$CW101)</f>
        <v>0</v>
      </c>
      <c r="DD101" s="22" t="str">
        <f t="shared" ca="1" si="82"/>
        <v/>
      </c>
      <c r="DE101" s="22" t="str">
        <f t="shared" ca="1" si="83"/>
        <v/>
      </c>
      <c r="EQ101" s="469" t="s">
        <v>5510</v>
      </c>
      <c r="ES101" s="504"/>
      <c r="ET101" s="507"/>
      <c r="EU101" s="585"/>
      <c r="GC101" s="472" t="s">
        <v>5510</v>
      </c>
      <c r="GE101" s="597">
        <v>35</v>
      </c>
      <c r="GF101" s="597" cm="1">
        <f t="array" aca="1" ref="GF101" ca="1">INDIRECT($GE$12&amp;GF$95&amp;$GE101,1)</f>
        <v>0</v>
      </c>
      <c r="GG101" s="597" cm="1">
        <f t="array" aca="1" ref="GG101" ca="1">INDIRECT($GE$12&amp;GG$95&amp;$GE101,1)</f>
        <v>0</v>
      </c>
      <c r="GH101" s="597" cm="1">
        <f t="array" aca="1" ref="GH101" ca="1">INDIRECT($GE$12&amp;GH$95&amp;$GE101,1)</f>
        <v>0</v>
      </c>
      <c r="GI101" s="601" t="b">
        <f>Respostas_usuario!AB68</f>
        <v>0</v>
      </c>
      <c r="GJ101" s="602" cm="1">
        <f t="array" aca="1" ref="GJ101" ca="1">INDIRECT($GE$13&amp;GF$95&amp;$GE101,1)</f>
        <v>0</v>
      </c>
      <c r="GK101" s="602" cm="1">
        <f t="array" aca="1" ref="GK101" ca="1">INDIRECT($GE$13&amp;GG$95&amp;$GE101,1)</f>
        <v>0</v>
      </c>
      <c r="GL101" s="602" cm="1">
        <f t="array" aca="1" ref="GL101" ca="1">INDIRECT($GE$13&amp;GH$95&amp;$GE101,1)</f>
        <v>0</v>
      </c>
      <c r="GM101" s="603" t="b">
        <f>Respostas_usuario!AC68</f>
        <v>0</v>
      </c>
    </row>
    <row r="102" spans="14:198" x14ac:dyDescent="0.25">
      <c r="AF102" s="20"/>
      <c r="AV102" s="469" t="s">
        <v>5510</v>
      </c>
      <c r="AW102" s="426" t="str">
        <f>Respostas_usuario!J4</f>
        <v>'Dl50_Oral(1)'!</v>
      </c>
      <c r="AX102" s="525">
        <f>Respostas_usuario!O4</f>
        <v>0</v>
      </c>
      <c r="AY102" s="525" t="str">
        <f>"&lt;= "&amp;INDEX(HM3:HM8,MATCH($AX$95,HN3:HN8,0),1)</f>
        <v>&lt;= 2000</v>
      </c>
      <c r="AZ102" s="20" t="str">
        <f>IF(AX102=0,$AW$95&amp;$AW$96,
IF(AX102=TRUE,$AW$95&amp;$AW$97&amp;AY102&amp;$AX$96,
IF(AX102=FALSE,$AW$95&amp;$AW$98&amp;AY102&amp;$AX$96,"")))</f>
        <v xml:space="preserve"> &lt;&lt;&lt;&lt;&lt;&lt;&lt;  Aguardando preenchimento</v>
      </c>
      <c r="BF102" s="469" t="s">
        <v>5510</v>
      </c>
      <c r="BL102" s="372"/>
      <c r="BO102" s="472"/>
      <c r="BQ102" s="20"/>
      <c r="BT102" s="372"/>
      <c r="BU102" s="472"/>
      <c r="BV102" s="472"/>
      <c r="BW102" s="372"/>
      <c r="BX102" s="472"/>
      <c r="BY102" s="372"/>
      <c r="BZ102" s="472"/>
      <c r="CA102" s="372"/>
      <c r="CE102" s="372"/>
      <c r="CF102" s="472"/>
      <c r="CG102" s="472"/>
      <c r="CH102" s="372"/>
      <c r="CI102" s="472"/>
      <c r="CJ102" s="372"/>
      <c r="CK102" s="472"/>
      <c r="CL102" s="372"/>
      <c r="CU102" s="469" t="s">
        <v>5510</v>
      </c>
      <c r="CV102" s="22">
        <v>6</v>
      </c>
      <c r="CW102" s="522">
        <f t="shared" si="84"/>
        <v>136</v>
      </c>
      <c r="CX102" s="22" cm="1">
        <f t="array" aca="1" ref="CX102" ca="1">INDIRECT($DD$2&amp;CX$28&amp;$CW102)</f>
        <v>0</v>
      </c>
      <c r="CY102" s="22" cm="1">
        <f t="array" aca="1" ref="CY102" ca="1">INDIRECT($DD$2&amp;CY$28&amp;$CW102)</f>
        <v>0</v>
      </c>
      <c r="CZ102" s="22" cm="1">
        <f t="array" aca="1" ref="CZ102" ca="1">INDIRECT($DD$2&amp;CZ$28&amp;$CW102)</f>
        <v>0</v>
      </c>
      <c r="DA102" s="22" cm="1">
        <f t="array" aca="1" ref="DA102" ca="1">INDIRECT($DD$2&amp;DA$28&amp;$CW102)</f>
        <v>0</v>
      </c>
      <c r="DB102" s="22" cm="1">
        <f t="array" aca="1" ref="DB102" ca="1">INDIRECT($DD$2&amp;DB$28&amp;$CW102)</f>
        <v>0</v>
      </c>
      <c r="DC102" s="22" cm="1">
        <f t="array" aca="1" ref="DC102" ca="1">INDIRECT($DD$2&amp;DC$28&amp;$CW102)</f>
        <v>0</v>
      </c>
      <c r="DD102" s="22" t="str">
        <f t="shared" ca="1" si="82"/>
        <v/>
      </c>
      <c r="DE102" s="22" t="str">
        <f t="shared" ca="1" si="83"/>
        <v/>
      </c>
      <c r="EQ102" s="469" t="s">
        <v>5510</v>
      </c>
      <c r="ES102" s="504"/>
      <c r="ET102" s="507"/>
      <c r="EU102" s="585"/>
      <c r="GC102" s="472" t="s">
        <v>5510</v>
      </c>
      <c r="GE102" s="597">
        <v>36</v>
      </c>
      <c r="GF102" s="597" cm="1">
        <f t="array" aca="1" ref="GF102" ca="1">INDIRECT($GE$12&amp;GF$95&amp;$GE102,1)</f>
        <v>0</v>
      </c>
      <c r="GG102" s="597" cm="1">
        <f t="array" aca="1" ref="GG102" ca="1">INDIRECT($GE$12&amp;GG$95&amp;$GE102,1)</f>
        <v>0</v>
      </c>
      <c r="GH102" s="597" cm="1">
        <f t="array" aca="1" ref="GH102" ca="1">INDIRECT($GE$12&amp;GH$95&amp;$GE102,1)</f>
        <v>0</v>
      </c>
      <c r="GI102" s="601" t="b">
        <f>Respostas_usuario!AB69</f>
        <v>0</v>
      </c>
      <c r="GJ102" s="602" cm="1">
        <f t="array" aca="1" ref="GJ102" ca="1">INDIRECT($GE$13&amp;GF$95&amp;$GE102,1)</f>
        <v>0</v>
      </c>
      <c r="GK102" s="602" cm="1">
        <f t="array" aca="1" ref="GK102" ca="1">INDIRECT($GE$13&amp;GG$95&amp;$GE102,1)</f>
        <v>0</v>
      </c>
      <c r="GL102" s="602" cm="1">
        <f t="array" aca="1" ref="GL102" ca="1">INDIRECT($GE$13&amp;GH$95&amp;$GE102,1)</f>
        <v>0</v>
      </c>
      <c r="GM102" s="603" t="b">
        <f>Respostas_usuario!AC69</f>
        <v>0</v>
      </c>
    </row>
    <row r="103" spans="14:198" x14ac:dyDescent="0.25">
      <c r="AF103" s="20"/>
      <c r="AV103" s="469" t="s">
        <v>5510</v>
      </c>
      <c r="AW103" s="426" t="str">
        <f>Respostas_usuario!J6</f>
        <v>'DL50_Cutanea(1)'!</v>
      </c>
      <c r="AX103" s="525">
        <f>Respostas_usuario!O6</f>
        <v>0</v>
      </c>
      <c r="AY103" s="525" t="str">
        <f>"&lt;= "&amp;INDEX(HM9:HM14,MATCH($AX$95,HN9:HN14,0),1)</f>
        <v>&lt;= 2000</v>
      </c>
      <c r="AZ103" s="20" t="str">
        <f>IF(AX103=0,$AW$95&amp;$AW$96,
IF(AX103=TRUE,$AW$95&amp;$AW$97&amp;AY103&amp;$AX$96,
IF(AX103=FALSE,$AW$95&amp;$AW$98&amp;AY103&amp;$AX$96,"")))</f>
        <v xml:space="preserve"> &lt;&lt;&lt;&lt;&lt;&lt;&lt;  Aguardando preenchimento</v>
      </c>
      <c r="BF103" s="469" t="s">
        <v>5510</v>
      </c>
      <c r="BL103" s="372"/>
      <c r="BO103" s="472"/>
      <c r="BQ103" s="20"/>
      <c r="BT103" s="372"/>
      <c r="BU103" s="472"/>
      <c r="BV103" s="472"/>
      <c r="BW103" s="372"/>
      <c r="BX103" s="472"/>
      <c r="BY103" s="372"/>
      <c r="BZ103" s="472"/>
      <c r="CA103" s="372"/>
      <c r="CE103" s="372"/>
      <c r="CF103" s="472"/>
      <c r="CG103" s="472"/>
      <c r="CH103" s="372"/>
      <c r="CI103" s="472"/>
      <c r="CJ103" s="372"/>
      <c r="CK103" s="472"/>
      <c r="CL103" s="372"/>
      <c r="CU103" s="469" t="s">
        <v>5510</v>
      </c>
      <c r="CV103" s="22">
        <v>6</v>
      </c>
      <c r="CW103" s="522">
        <f t="shared" si="84"/>
        <v>137</v>
      </c>
      <c r="CX103" s="22" cm="1">
        <f t="array" aca="1" ref="CX103" ca="1">INDIRECT($DD$2&amp;CX$28&amp;$CW103)</f>
        <v>0</v>
      </c>
      <c r="CY103" s="22" cm="1">
        <f t="array" aca="1" ref="CY103" ca="1">INDIRECT($DD$2&amp;CY$28&amp;$CW103)</f>
        <v>0</v>
      </c>
      <c r="CZ103" s="22" cm="1">
        <f t="array" aca="1" ref="CZ103" ca="1">INDIRECT($DD$2&amp;CZ$28&amp;$CW103)</f>
        <v>0</v>
      </c>
      <c r="DA103" s="22" cm="1">
        <f t="array" aca="1" ref="DA103" ca="1">INDIRECT($DD$2&amp;DA$28&amp;$CW103)</f>
        <v>0</v>
      </c>
      <c r="DB103" s="22" cm="1">
        <f t="array" aca="1" ref="DB103" ca="1">INDIRECT($DD$2&amp;DB$28&amp;$CW103)</f>
        <v>0</v>
      </c>
      <c r="DC103" s="22" cm="1">
        <f t="array" aca="1" ref="DC103" ca="1">INDIRECT($DD$2&amp;DC$28&amp;$CW103)</f>
        <v>0</v>
      </c>
      <c r="DD103" s="22" t="str">
        <f t="shared" ca="1" si="82"/>
        <v/>
      </c>
      <c r="DE103" s="22" t="str">
        <f t="shared" ca="1" si="83"/>
        <v/>
      </c>
      <c r="EQ103" s="469" t="s">
        <v>5510</v>
      </c>
      <c r="ES103" s="504"/>
      <c r="ET103" s="507"/>
      <c r="EU103" s="585"/>
      <c r="GC103" s="472" t="s">
        <v>5510</v>
      </c>
      <c r="GE103" s="597">
        <v>37</v>
      </c>
      <c r="GF103" s="597" cm="1">
        <f t="array" aca="1" ref="GF103" ca="1">INDIRECT($GE$12&amp;GF$95&amp;$GE103,1)</f>
        <v>0</v>
      </c>
      <c r="GG103" s="597" cm="1">
        <f t="array" aca="1" ref="GG103" ca="1">INDIRECT($GE$12&amp;GG$95&amp;$GE103,1)</f>
        <v>0</v>
      </c>
      <c r="GH103" s="597" cm="1">
        <f t="array" aca="1" ref="GH103" ca="1">INDIRECT($GE$12&amp;GH$95&amp;$GE103,1)</f>
        <v>0</v>
      </c>
      <c r="GI103" s="601" t="b">
        <f>Respostas_usuario!AB70</f>
        <v>0</v>
      </c>
      <c r="GJ103" s="602" cm="1">
        <f t="array" aca="1" ref="GJ103" ca="1">INDIRECT($GE$13&amp;GF$95&amp;$GE103,1)</f>
        <v>0</v>
      </c>
      <c r="GK103" s="602" cm="1">
        <f t="array" aca="1" ref="GK103" ca="1">INDIRECT($GE$13&amp;GG$95&amp;$GE103,1)</f>
        <v>0</v>
      </c>
      <c r="GL103" s="602" cm="1">
        <f t="array" aca="1" ref="GL103" ca="1">INDIRECT($GE$13&amp;GH$95&amp;$GE103,1)</f>
        <v>0</v>
      </c>
      <c r="GM103" s="603" t="b">
        <f>Respostas_usuario!AC70</f>
        <v>0</v>
      </c>
    </row>
    <row r="104" spans="14:198" x14ac:dyDescent="0.25">
      <c r="AF104" s="20"/>
      <c r="AV104" s="469" t="s">
        <v>5510</v>
      </c>
      <c r="AW104" s="426" t="str">
        <f>Respostas_usuario!J8</f>
        <v>'CL50(1)'!</v>
      </c>
      <c r="AX104" s="525">
        <f>Respostas_usuario!O8</f>
        <v>0</v>
      </c>
      <c r="AY104" s="525" t="str">
        <f>"&lt;= "&amp;INDEX(HM15:HM20,MATCH($AX$95,HN15:HN20,0),1)</f>
        <v>&lt;= 5</v>
      </c>
      <c r="AZ104" s="20" t="str">
        <f>IF(AX104=0,$AW$95&amp;$AW$96,
IF(AX104=TRUE,AZ97,
IF(AX104=FALSE,AZ98,"")))</f>
        <v xml:space="preserve"> &lt;&lt;&lt;&lt;&lt;&lt;&lt;  Aguardando preenchimento</v>
      </c>
      <c r="BF104" s="469" t="s">
        <v>5510</v>
      </c>
      <c r="BQ104" s="20"/>
      <c r="BT104" s="372"/>
      <c r="BU104" s="472"/>
      <c r="BV104" s="472"/>
      <c r="BW104" s="472"/>
      <c r="BX104" s="472"/>
      <c r="BY104" s="372"/>
      <c r="BZ104" s="372"/>
      <c r="CA104" s="372"/>
      <c r="CE104" s="372"/>
      <c r="CF104" s="472"/>
      <c r="CG104" s="472"/>
      <c r="CH104" s="472"/>
      <c r="CI104" s="472"/>
      <c r="CJ104" s="372"/>
      <c r="CK104" s="372"/>
      <c r="CL104" s="372"/>
      <c r="CU104" s="469" t="s">
        <v>5510</v>
      </c>
      <c r="CV104" s="22">
        <v>6</v>
      </c>
      <c r="CW104" s="522">
        <f t="shared" si="84"/>
        <v>138</v>
      </c>
      <c r="CX104" s="22" cm="1">
        <f t="array" aca="1" ref="CX104" ca="1">INDIRECT($DD$2&amp;CX$28&amp;$CW104)</f>
        <v>0</v>
      </c>
      <c r="CY104" s="22" cm="1">
        <f t="array" aca="1" ref="CY104" ca="1">INDIRECT($DD$2&amp;CY$28&amp;$CW104)</f>
        <v>0</v>
      </c>
      <c r="CZ104" s="22" cm="1">
        <f t="array" aca="1" ref="CZ104" ca="1">INDIRECT($DD$2&amp;CZ$28&amp;$CW104)</f>
        <v>0</v>
      </c>
      <c r="DA104" s="22" cm="1">
        <f t="array" aca="1" ref="DA104" ca="1">INDIRECT($DD$2&amp;DA$28&amp;$CW104)</f>
        <v>0</v>
      </c>
      <c r="DB104" s="22" cm="1">
        <f t="array" aca="1" ref="DB104" ca="1">INDIRECT($DD$2&amp;DB$28&amp;$CW104)</f>
        <v>0</v>
      </c>
      <c r="DC104" s="22" cm="1">
        <f t="array" aca="1" ref="DC104" ca="1">INDIRECT($DD$2&amp;DC$28&amp;$CW104)</f>
        <v>0</v>
      </c>
      <c r="DD104" s="22" t="str">
        <f t="shared" ca="1" si="82"/>
        <v/>
      </c>
      <c r="DE104" s="22" t="str">
        <f t="shared" ca="1" si="83"/>
        <v/>
      </c>
      <c r="EQ104" s="469" t="s">
        <v>5510</v>
      </c>
      <c r="ES104" s="504"/>
      <c r="ET104" s="507"/>
      <c r="EU104" s="585"/>
      <c r="GC104" s="472" t="s">
        <v>5510</v>
      </c>
      <c r="GE104" s="597">
        <v>38</v>
      </c>
      <c r="GF104" s="597" cm="1">
        <f t="array" aca="1" ref="GF104" ca="1">INDIRECT($GE$12&amp;GF$95&amp;$GE104,1)</f>
        <v>0</v>
      </c>
      <c r="GG104" s="597" cm="1">
        <f t="array" aca="1" ref="GG104" ca="1">INDIRECT($GE$12&amp;GG$95&amp;$GE104,1)</f>
        <v>0</v>
      </c>
      <c r="GH104" s="597" cm="1">
        <f t="array" aca="1" ref="GH104" ca="1">INDIRECT($GE$12&amp;GH$95&amp;$GE104,1)</f>
        <v>0</v>
      </c>
      <c r="GI104" s="601" t="b">
        <f>Respostas_usuario!AB71</f>
        <v>0</v>
      </c>
      <c r="GJ104" s="602" cm="1">
        <f t="array" aca="1" ref="GJ104" ca="1">INDIRECT($GE$13&amp;GF$95&amp;$GE104,1)</f>
        <v>0</v>
      </c>
      <c r="GK104" s="602" cm="1">
        <f t="array" aca="1" ref="GK104" ca="1">INDIRECT($GE$13&amp;GG$95&amp;$GE104,1)</f>
        <v>0</v>
      </c>
      <c r="GL104" s="602" cm="1">
        <f t="array" aca="1" ref="GL104" ca="1">INDIRECT($GE$13&amp;GH$95&amp;$GE104,1)</f>
        <v>0</v>
      </c>
      <c r="GM104" s="603" t="b">
        <f>Respostas_usuario!AC71</f>
        <v>0</v>
      </c>
    </row>
    <row r="105" spans="14:198" x14ac:dyDescent="0.25">
      <c r="Y105" s="20"/>
      <c r="AF105" s="20"/>
      <c r="AV105" s="469" t="s">
        <v>5510</v>
      </c>
      <c r="BF105" s="469" t="s">
        <v>5510</v>
      </c>
      <c r="BQ105" s="20"/>
      <c r="BT105" s="372"/>
      <c r="BU105" s="472"/>
      <c r="BV105" s="472"/>
      <c r="BW105" s="472"/>
      <c r="BX105" s="472"/>
      <c r="BY105" s="372"/>
      <c r="BZ105" s="372"/>
      <c r="CA105" s="372"/>
      <c r="CE105" s="372"/>
      <c r="CF105" s="472"/>
      <c r="CG105" s="472"/>
      <c r="CH105" s="472"/>
      <c r="CI105" s="472"/>
      <c r="CJ105" s="372"/>
      <c r="CK105" s="372"/>
      <c r="CL105" s="372"/>
      <c r="CU105" s="469" t="s">
        <v>5510</v>
      </c>
      <c r="CV105" s="22">
        <v>6</v>
      </c>
      <c r="CW105" s="522">
        <f t="shared" si="84"/>
        <v>139</v>
      </c>
      <c r="CX105" s="22" cm="1">
        <f t="array" aca="1" ref="CX105" ca="1">INDIRECT($DD$2&amp;CX$28&amp;$CW105)</f>
        <v>0</v>
      </c>
      <c r="CY105" s="22" cm="1">
        <f t="array" aca="1" ref="CY105" ca="1">INDIRECT($DD$2&amp;CY$28&amp;$CW105)</f>
        <v>0</v>
      </c>
      <c r="CZ105" s="22" cm="1">
        <f t="array" aca="1" ref="CZ105" ca="1">INDIRECT($DD$2&amp;CZ$28&amp;$CW105)</f>
        <v>0</v>
      </c>
      <c r="DA105" s="22" cm="1">
        <f t="array" aca="1" ref="DA105" ca="1">INDIRECT($DD$2&amp;DA$28&amp;$CW105)</f>
        <v>0</v>
      </c>
      <c r="DB105" s="22" cm="1">
        <f t="array" aca="1" ref="DB105" ca="1">INDIRECT($DD$2&amp;DB$28&amp;$CW105)</f>
        <v>0</v>
      </c>
      <c r="DC105" s="22" cm="1">
        <f t="array" aca="1" ref="DC105" ca="1">INDIRECT($DD$2&amp;DC$28&amp;$CW105)</f>
        <v>0</v>
      </c>
      <c r="DD105" s="22" t="str">
        <f t="shared" ca="1" si="82"/>
        <v/>
      </c>
      <c r="DE105" s="22" t="str">
        <f t="shared" ca="1" si="83"/>
        <v/>
      </c>
      <c r="EQ105" s="469" t="s">
        <v>5510</v>
      </c>
      <c r="ES105" s="504"/>
      <c r="ET105" s="507"/>
      <c r="EU105" s="585"/>
      <c r="GC105" s="472" t="s">
        <v>5510</v>
      </c>
      <c r="GE105" s="597">
        <v>39</v>
      </c>
      <c r="GF105" s="597" cm="1">
        <f t="array" aca="1" ref="GF105" ca="1">INDIRECT($GE$12&amp;GF$95&amp;$GE105,1)</f>
        <v>0</v>
      </c>
      <c r="GG105" s="597" cm="1">
        <f t="array" aca="1" ref="GG105" ca="1">INDIRECT($GE$12&amp;GG$95&amp;$GE105,1)</f>
        <v>0</v>
      </c>
      <c r="GH105" s="597" cm="1">
        <f t="array" aca="1" ref="GH105" ca="1">INDIRECT($GE$12&amp;GH$95&amp;$GE105,1)</f>
        <v>0</v>
      </c>
      <c r="GI105" s="601" t="b">
        <f>Respostas_usuario!AB72</f>
        <v>0</v>
      </c>
      <c r="GJ105" s="602" cm="1">
        <f t="array" aca="1" ref="GJ105" ca="1">INDIRECT($GE$13&amp;GF$95&amp;$GE105,1)</f>
        <v>0</v>
      </c>
      <c r="GK105" s="602" cm="1">
        <f t="array" aca="1" ref="GK105" ca="1">INDIRECT($GE$13&amp;GG$95&amp;$GE105,1)</f>
        <v>0</v>
      </c>
      <c r="GL105" s="602" cm="1">
        <f t="array" aca="1" ref="GL105" ca="1">INDIRECT($GE$13&amp;GH$95&amp;$GE105,1)</f>
        <v>0</v>
      </c>
      <c r="GM105" s="603" t="b">
        <f>Respostas_usuario!AC72</f>
        <v>0</v>
      </c>
    </row>
    <row r="106" spans="14:198" x14ac:dyDescent="0.25">
      <c r="Y106" s="20"/>
      <c r="AF106" s="20"/>
      <c r="AV106" s="469" t="s">
        <v>5510</v>
      </c>
      <c r="BF106" s="469" t="s">
        <v>5510</v>
      </c>
      <c r="BG106" s="469">
        <v>1</v>
      </c>
      <c r="BH106" s="539" t="s">
        <v>8043</v>
      </c>
      <c r="BI106" s="539">
        <f>BI101+$BO$6</f>
        <v>115</v>
      </c>
      <c r="BJ106" s="539" cm="1">
        <f t="array" aca="1" ref="BJ106" ca="1">INDIRECT($BM$2&amp;BJ$7&amp;$BI106,1)</f>
        <v>0</v>
      </c>
      <c r="BK106" s="539" cm="1">
        <f t="array" aca="1" ref="BK106" ca="1">INDIRECT($BM$2&amp;BK$7&amp;$BI106,1)</f>
        <v>0</v>
      </c>
      <c r="BL106" s="539" cm="1">
        <f t="array" aca="1" ref="BL106" ca="1">INDIRECT($BM$2&amp;BL$7&amp;$BI106,1)</f>
        <v>0</v>
      </c>
      <c r="BM106" s="539" cm="1">
        <f t="array" aca="1" ref="BM106" ca="1">INDIRECT($BM$2&amp;BM$7&amp;$BI106,1)</f>
        <v>0</v>
      </c>
      <c r="BN106" s="539" cm="1">
        <f t="array" aca="1" ref="BN106" ca="1">INDIRECT($BM$2&amp;BN$7&amp;$BI106,1)</f>
        <v>0</v>
      </c>
      <c r="BO106" s="539" t="str">
        <f ca="1">IFERROR(BK106/BK$106,"-")</f>
        <v>-</v>
      </c>
      <c r="BP106" s="540" t="s">
        <v>8221</v>
      </c>
      <c r="BQ106" s="20"/>
      <c r="BR106" s="469">
        <v>1</v>
      </c>
      <c r="BS106" s="539" t="s">
        <v>8043</v>
      </c>
      <c r="BT106" s="539">
        <f>BT101+$BO$6</f>
        <v>461</v>
      </c>
      <c r="BU106" s="539" cm="1">
        <f t="array" aca="1" ref="BU106" ca="1">INDIRECT($BM$2&amp;BU$7&amp;$BT106,1)</f>
        <v>0</v>
      </c>
      <c r="BV106" s="539" cm="1">
        <f t="array" aca="1" ref="BV106" ca="1">INDIRECT($BM$2&amp;BV$7&amp;$BT106,1)</f>
        <v>0</v>
      </c>
      <c r="BW106" s="539" cm="1">
        <f t="array" aca="1" ref="BW106" ca="1">INDIRECT($BM$2&amp;BW$7&amp;$BT106,1)</f>
        <v>0</v>
      </c>
      <c r="BX106" s="539" cm="1">
        <f t="array" aca="1" ref="BX106" ca="1">INDIRECT($BM$2&amp;BX$7&amp;$BT106,1)</f>
        <v>0</v>
      </c>
      <c r="BY106" s="539" cm="1">
        <f t="array" aca="1" ref="BY106" ca="1">INDIRECT($BM$2&amp;BY$7&amp;$BT106,1)</f>
        <v>0</v>
      </c>
      <c r="BZ106" s="539" t="str">
        <f ca="1">IFERROR(BV106/BV$106,"-")</f>
        <v>-</v>
      </c>
      <c r="CA106" s="540" t="s">
        <v>8221</v>
      </c>
      <c r="CC106" s="469">
        <v>1</v>
      </c>
      <c r="CD106" s="539" t="s">
        <v>8043</v>
      </c>
      <c r="CE106" s="539">
        <f>CE101+$BO$6</f>
        <v>807</v>
      </c>
      <c r="CF106" s="539" cm="1">
        <f t="array" aca="1" ref="CF106" ca="1">INDIRECT($BM$2&amp;CF$7&amp;$CE106,1)</f>
        <v>0</v>
      </c>
      <c r="CG106" s="539" cm="1">
        <f t="array" aca="1" ref="CG106" ca="1">INDIRECT($BM$2&amp;CG$7&amp;$CE106,1)</f>
        <v>0</v>
      </c>
      <c r="CH106" s="539" cm="1">
        <f t="array" aca="1" ref="CH106" ca="1">INDIRECT($BM$2&amp;CH$7&amp;$CE106,1)</f>
        <v>0</v>
      </c>
      <c r="CI106" s="539" cm="1">
        <f t="array" aca="1" ref="CI106" ca="1">INDIRECT($BM$2&amp;CI$7&amp;$CE106,1)</f>
        <v>0</v>
      </c>
      <c r="CJ106" s="539" cm="1">
        <f t="array" aca="1" ref="CJ106" ca="1">INDIRECT($BM$2&amp;CJ$7&amp;$CE106,1)</f>
        <v>0</v>
      </c>
      <c r="CK106" s="539" t="str">
        <f ca="1">IFERROR(CG106/CG$106,"-")</f>
        <v>-</v>
      </c>
      <c r="CL106" s="540" t="s">
        <v>8221</v>
      </c>
      <c r="CU106" s="469" t="s">
        <v>5510</v>
      </c>
      <c r="CV106" s="22">
        <v>6</v>
      </c>
      <c r="CW106" s="522">
        <f t="shared" si="84"/>
        <v>140</v>
      </c>
      <c r="CX106" s="22" cm="1">
        <f t="array" aca="1" ref="CX106" ca="1">INDIRECT($DD$2&amp;CX$28&amp;$CW106)</f>
        <v>0</v>
      </c>
      <c r="CY106" s="22" cm="1">
        <f t="array" aca="1" ref="CY106" ca="1">INDIRECT($DD$2&amp;CY$28&amp;$CW106)</f>
        <v>0</v>
      </c>
      <c r="CZ106" s="22" cm="1">
        <f t="array" aca="1" ref="CZ106" ca="1">INDIRECT($DD$2&amp;CZ$28&amp;$CW106)</f>
        <v>0</v>
      </c>
      <c r="DA106" s="22" cm="1">
        <f t="array" aca="1" ref="DA106" ca="1">INDIRECT($DD$2&amp;DA$28&amp;$CW106)</f>
        <v>0</v>
      </c>
      <c r="DB106" s="22" cm="1">
        <f t="array" aca="1" ref="DB106" ca="1">INDIRECT($DD$2&amp;DB$28&amp;$CW106)</f>
        <v>0</v>
      </c>
      <c r="DC106" s="22" cm="1">
        <f t="array" aca="1" ref="DC106" ca="1">INDIRECT($DD$2&amp;DC$28&amp;$CW106)</f>
        <v>0</v>
      </c>
      <c r="DD106" s="22" t="str">
        <f t="shared" ca="1" si="82"/>
        <v/>
      </c>
      <c r="DE106" s="22" t="str">
        <f t="shared" ca="1" si="83"/>
        <v/>
      </c>
      <c r="EQ106" s="469" t="s">
        <v>5510</v>
      </c>
      <c r="ES106" s="504"/>
      <c r="ET106" s="507"/>
      <c r="EU106" s="585"/>
      <c r="GC106" s="472" t="s">
        <v>5510</v>
      </c>
      <c r="GE106" s="597">
        <v>40</v>
      </c>
      <c r="GF106" s="597" cm="1">
        <f t="array" aca="1" ref="GF106" ca="1">INDIRECT($GE$12&amp;GF$95&amp;$GE106,1)</f>
        <v>0</v>
      </c>
      <c r="GG106" s="597" cm="1">
        <f t="array" aca="1" ref="GG106" ca="1">INDIRECT($GE$12&amp;GG$95&amp;$GE106,1)</f>
        <v>0</v>
      </c>
      <c r="GH106" s="597" cm="1">
        <f t="array" aca="1" ref="GH106" ca="1">INDIRECT($GE$12&amp;GH$95&amp;$GE106,1)</f>
        <v>0</v>
      </c>
      <c r="GI106" s="601" t="b">
        <f>Respostas_usuario!AB73</f>
        <v>0</v>
      </c>
      <c r="GJ106" s="602" cm="1">
        <f t="array" aca="1" ref="GJ106" ca="1">INDIRECT($GE$13&amp;GF$95&amp;$GE106,1)</f>
        <v>0</v>
      </c>
      <c r="GK106" s="602" cm="1">
        <f t="array" aca="1" ref="GK106" ca="1">INDIRECT($GE$13&amp;GG$95&amp;$GE106,1)</f>
        <v>0</v>
      </c>
      <c r="GL106" s="602" cm="1">
        <f t="array" aca="1" ref="GL106" ca="1">INDIRECT($GE$13&amp;GH$95&amp;$GE106,1)</f>
        <v>0</v>
      </c>
      <c r="GM106" s="603" t="b">
        <f>Respostas_usuario!AC73</f>
        <v>0</v>
      </c>
    </row>
    <row r="107" spans="14:198" x14ac:dyDescent="0.25">
      <c r="Y107" s="20"/>
      <c r="AF107" s="20"/>
      <c r="AV107" s="469" t="s">
        <v>5510</v>
      </c>
      <c r="BF107" s="469" t="s">
        <v>5510</v>
      </c>
      <c r="BG107" s="469">
        <v>2</v>
      </c>
      <c r="BH107" s="539" t="s">
        <v>8043</v>
      </c>
      <c r="BI107" s="539">
        <f>BI106+1</f>
        <v>116</v>
      </c>
      <c r="BJ107" s="539" cm="1">
        <f t="array" aca="1" ref="BJ107" ca="1">INDIRECT($BM$2&amp;BJ$7&amp;$BI107,1)</f>
        <v>0</v>
      </c>
      <c r="BK107" s="539" cm="1">
        <f t="array" aca="1" ref="BK107" ca="1">INDIRECT($BM$2&amp;BK$7&amp;$BI107,1)</f>
        <v>0</v>
      </c>
      <c r="BL107" s="539" cm="1">
        <f t="array" aca="1" ref="BL107" ca="1">INDIRECT($BM$2&amp;BL$7&amp;$BI107,1)</f>
        <v>0</v>
      </c>
      <c r="BM107" s="539" cm="1">
        <f t="array" aca="1" ref="BM107" ca="1">INDIRECT($BM$2&amp;BM$7&amp;$BI107,1)</f>
        <v>0</v>
      </c>
      <c r="BN107" s="539" cm="1">
        <f t="array" aca="1" ref="BN107" ca="1">INDIRECT($BM$2&amp;BN$7&amp;$BI107,1)</f>
        <v>0</v>
      </c>
      <c r="BO107" s="539" t="str">
        <f t="shared" ref="BO107:BO117" ca="1" si="85">IF(BK107=0,"-",IFERROR(BK107/BK$106,"-"))</f>
        <v>-</v>
      </c>
      <c r="BP107" s="494" t="s">
        <v>8222</v>
      </c>
      <c r="BQ107" s="20"/>
      <c r="BR107" s="469">
        <v>2</v>
      </c>
      <c r="BS107" s="539" t="s">
        <v>8043</v>
      </c>
      <c r="BT107" s="539">
        <f>BT106+1</f>
        <v>462</v>
      </c>
      <c r="BU107" s="539" cm="1">
        <f t="array" aca="1" ref="BU107" ca="1">INDIRECT($BM$2&amp;BU$7&amp;$BT107,1)</f>
        <v>0</v>
      </c>
      <c r="BV107" s="539" cm="1">
        <f t="array" aca="1" ref="BV107" ca="1">INDIRECT($BM$2&amp;BV$7&amp;$BT107,1)</f>
        <v>0</v>
      </c>
      <c r="BW107" s="539" cm="1">
        <f t="array" aca="1" ref="BW107" ca="1">INDIRECT($BM$2&amp;BW$7&amp;$BT107,1)</f>
        <v>0</v>
      </c>
      <c r="BX107" s="539" cm="1">
        <f t="array" aca="1" ref="BX107" ca="1">INDIRECT($BM$2&amp;BX$7&amp;$BT107,1)</f>
        <v>0</v>
      </c>
      <c r="BY107" s="539" cm="1">
        <f t="array" aca="1" ref="BY107" ca="1">INDIRECT($BM$2&amp;BY$7&amp;$BT107,1)</f>
        <v>0</v>
      </c>
      <c r="BZ107" s="539" t="str">
        <f t="shared" ref="BZ107:BZ117" ca="1" si="86">IF(BV107=0,"-",IFERROR(BV107/BV$106,"-"))</f>
        <v>-</v>
      </c>
      <c r="CA107" s="494" t="s">
        <v>8222</v>
      </c>
      <c r="CC107" s="469">
        <v>2</v>
      </c>
      <c r="CD107" s="539" t="s">
        <v>8043</v>
      </c>
      <c r="CE107" s="539">
        <f>CE106+1</f>
        <v>808</v>
      </c>
      <c r="CF107" s="539" cm="1">
        <f t="array" aca="1" ref="CF107" ca="1">INDIRECT($BM$2&amp;CF$7&amp;$CE107,1)</f>
        <v>0</v>
      </c>
      <c r="CG107" s="539" cm="1">
        <f t="array" aca="1" ref="CG107" ca="1">INDIRECT($BM$2&amp;CG$7&amp;$CE107,1)</f>
        <v>0</v>
      </c>
      <c r="CH107" s="539" cm="1">
        <f t="array" aca="1" ref="CH107" ca="1">INDIRECT($BM$2&amp;CH$7&amp;$CE107,1)</f>
        <v>0</v>
      </c>
      <c r="CI107" s="539" cm="1">
        <f t="array" aca="1" ref="CI107" ca="1">INDIRECT($BM$2&amp;CI$7&amp;$CE107,1)</f>
        <v>0</v>
      </c>
      <c r="CJ107" s="539" cm="1">
        <f t="array" aca="1" ref="CJ107" ca="1">INDIRECT($BM$2&amp;CJ$7&amp;$CE107,1)</f>
        <v>0</v>
      </c>
      <c r="CK107" s="539" t="str">
        <f t="shared" ref="CK107:CK117" ca="1" si="87">IF(CG107=0,"-",IFERROR(CG107/CG$106,"-"))</f>
        <v>-</v>
      </c>
      <c r="CL107" s="494" t="s">
        <v>8222</v>
      </c>
      <c r="CU107" s="469" t="s">
        <v>5510</v>
      </c>
      <c r="CV107" s="22">
        <v>6</v>
      </c>
      <c r="CW107" s="522">
        <f t="shared" si="84"/>
        <v>141</v>
      </c>
      <c r="CX107" s="22" cm="1">
        <f t="array" aca="1" ref="CX107" ca="1">INDIRECT($DD$2&amp;CX$28&amp;$CW107)</f>
        <v>0</v>
      </c>
      <c r="CY107" s="22" cm="1">
        <f t="array" aca="1" ref="CY107" ca="1">INDIRECT($DD$2&amp;CY$28&amp;$CW107)</f>
        <v>0</v>
      </c>
      <c r="CZ107" s="22" cm="1">
        <f t="array" aca="1" ref="CZ107" ca="1">INDIRECT($DD$2&amp;CZ$28&amp;$CW107)</f>
        <v>0</v>
      </c>
      <c r="DA107" s="22" cm="1">
        <f t="array" aca="1" ref="DA107" ca="1">INDIRECT($DD$2&amp;DA$28&amp;$CW107)</f>
        <v>0</v>
      </c>
      <c r="DB107" s="22" cm="1">
        <f t="array" aca="1" ref="DB107" ca="1">INDIRECT($DD$2&amp;DB$28&amp;$CW107)</f>
        <v>0</v>
      </c>
      <c r="DC107" s="22" cm="1">
        <f t="array" aca="1" ref="DC107" ca="1">INDIRECT($DD$2&amp;DC$28&amp;$CW107)</f>
        <v>0</v>
      </c>
      <c r="DD107" s="22" t="str">
        <f t="shared" ca="1" si="82"/>
        <v/>
      </c>
      <c r="DE107" s="22" t="str">
        <f t="shared" ca="1" si="83"/>
        <v/>
      </c>
      <c r="EQ107" s="469" t="s">
        <v>5510</v>
      </c>
      <c r="ES107" s="504"/>
      <c r="ET107" s="507"/>
      <c r="EU107" s="585"/>
      <c r="GC107" s="472" t="s">
        <v>5510</v>
      </c>
    </row>
    <row r="108" spans="14:198" x14ac:dyDescent="0.25">
      <c r="Y108" s="20"/>
      <c r="AF108" s="20"/>
      <c r="AV108" s="469" t="s">
        <v>5510</v>
      </c>
      <c r="BF108" s="469" t="s">
        <v>5510</v>
      </c>
      <c r="BG108" s="469">
        <v>3</v>
      </c>
      <c r="BH108" s="539" t="s">
        <v>8043</v>
      </c>
      <c r="BI108" s="539">
        <f t="shared" ref="BI108:BI117" si="88">BI107+1</f>
        <v>117</v>
      </c>
      <c r="BJ108" s="539" cm="1">
        <f t="array" aca="1" ref="BJ108" ca="1">INDIRECT($BM$2&amp;BJ$7&amp;$BI108,1)</f>
        <v>0</v>
      </c>
      <c r="BK108" s="539" cm="1">
        <f t="array" aca="1" ref="BK108" ca="1">INDIRECT($BM$2&amp;BK$7&amp;$BI108,1)</f>
        <v>0</v>
      </c>
      <c r="BL108" s="539" cm="1">
        <f t="array" aca="1" ref="BL108" ca="1">INDIRECT($BM$2&amp;BL$7&amp;$BI108,1)</f>
        <v>0</v>
      </c>
      <c r="BM108" s="539" cm="1">
        <f t="array" aca="1" ref="BM108" ca="1">INDIRECT($BM$2&amp;BM$7&amp;$BI108,1)</f>
        <v>0</v>
      </c>
      <c r="BN108" s="539" cm="1">
        <f t="array" aca="1" ref="BN108" ca="1">INDIRECT($BM$2&amp;BN$7&amp;$BI108,1)</f>
        <v>0</v>
      </c>
      <c r="BO108" s="539" t="str">
        <f t="shared" ca="1" si="85"/>
        <v>-</v>
      </c>
      <c r="BP108" s="494" t="s">
        <v>8222</v>
      </c>
      <c r="BQ108" s="20"/>
      <c r="BR108" s="469">
        <v>3</v>
      </c>
      <c r="BS108" s="539" t="s">
        <v>8043</v>
      </c>
      <c r="BT108" s="539">
        <f t="shared" ref="BT108:BT117" si="89">BT107+1</f>
        <v>463</v>
      </c>
      <c r="BU108" s="539" cm="1">
        <f t="array" aca="1" ref="BU108" ca="1">INDIRECT($BM$2&amp;BU$7&amp;$BT108,1)</f>
        <v>0</v>
      </c>
      <c r="BV108" s="539" cm="1">
        <f t="array" aca="1" ref="BV108" ca="1">INDIRECT($BM$2&amp;BV$7&amp;$BT108,1)</f>
        <v>0</v>
      </c>
      <c r="BW108" s="539" cm="1">
        <f t="array" aca="1" ref="BW108" ca="1">INDIRECT($BM$2&amp;BW$7&amp;$BT108,1)</f>
        <v>0</v>
      </c>
      <c r="BX108" s="539" cm="1">
        <f t="array" aca="1" ref="BX108" ca="1">INDIRECT($BM$2&amp;BX$7&amp;$BT108,1)</f>
        <v>0</v>
      </c>
      <c r="BY108" s="539" cm="1">
        <f t="array" aca="1" ref="BY108" ca="1">INDIRECT($BM$2&amp;BY$7&amp;$BT108,1)</f>
        <v>0</v>
      </c>
      <c r="BZ108" s="539" t="str">
        <f t="shared" ca="1" si="86"/>
        <v>-</v>
      </c>
      <c r="CA108" s="494" t="s">
        <v>8222</v>
      </c>
      <c r="CC108" s="469">
        <v>3</v>
      </c>
      <c r="CD108" s="539" t="s">
        <v>8043</v>
      </c>
      <c r="CE108" s="539">
        <f t="shared" ref="CE108:CE117" si="90">CE107+1</f>
        <v>809</v>
      </c>
      <c r="CF108" s="539" cm="1">
        <f t="array" aca="1" ref="CF108" ca="1">INDIRECT($BM$2&amp;CF$7&amp;$CE108,1)</f>
        <v>0</v>
      </c>
      <c r="CG108" s="539" cm="1">
        <f t="array" aca="1" ref="CG108" ca="1">INDIRECT($BM$2&amp;CG$7&amp;$CE108,1)</f>
        <v>0</v>
      </c>
      <c r="CH108" s="539" cm="1">
        <f t="array" aca="1" ref="CH108" ca="1">INDIRECT($BM$2&amp;CH$7&amp;$CE108,1)</f>
        <v>0</v>
      </c>
      <c r="CI108" s="539" cm="1">
        <f t="array" aca="1" ref="CI108" ca="1">INDIRECT($BM$2&amp;CI$7&amp;$CE108,1)</f>
        <v>0</v>
      </c>
      <c r="CJ108" s="539" cm="1">
        <f t="array" aca="1" ref="CJ108" ca="1">INDIRECT($BM$2&amp;CJ$7&amp;$CE108,1)</f>
        <v>0</v>
      </c>
      <c r="CK108" s="539" t="str">
        <f t="shared" ca="1" si="87"/>
        <v>-</v>
      </c>
      <c r="CL108" s="494" t="s">
        <v>8222</v>
      </c>
      <c r="CU108" s="469" t="s">
        <v>5510</v>
      </c>
      <c r="CV108" s="22">
        <v>6</v>
      </c>
      <c r="CW108" s="522">
        <f t="shared" si="84"/>
        <v>142</v>
      </c>
      <c r="CX108" s="22" cm="1">
        <f t="array" aca="1" ref="CX108" ca="1">INDIRECT($DD$2&amp;CX$28&amp;$CW108)</f>
        <v>0</v>
      </c>
      <c r="CY108" s="22" cm="1">
        <f t="array" aca="1" ref="CY108" ca="1">INDIRECT($DD$2&amp;CY$28&amp;$CW108)</f>
        <v>0</v>
      </c>
      <c r="CZ108" s="22" cm="1">
        <f t="array" aca="1" ref="CZ108" ca="1">INDIRECT($DD$2&amp;CZ$28&amp;$CW108)</f>
        <v>0</v>
      </c>
      <c r="DA108" s="22" cm="1">
        <f t="array" aca="1" ref="DA108" ca="1">INDIRECT($DD$2&amp;DA$28&amp;$CW108)</f>
        <v>0</v>
      </c>
      <c r="DB108" s="22" cm="1">
        <f t="array" aca="1" ref="DB108" ca="1">INDIRECT($DD$2&amp;DB$28&amp;$CW108)</f>
        <v>0</v>
      </c>
      <c r="DC108" s="22" cm="1">
        <f t="array" aca="1" ref="DC108" ca="1">INDIRECT($DD$2&amp;DC$28&amp;$CW108)</f>
        <v>0</v>
      </c>
      <c r="DD108" s="22" t="str">
        <f t="shared" ca="1" si="82"/>
        <v/>
      </c>
      <c r="DE108" s="22" t="str">
        <f t="shared" ca="1" si="83"/>
        <v/>
      </c>
      <c r="EQ108" s="469" t="s">
        <v>5510</v>
      </c>
      <c r="ES108" s="504"/>
      <c r="ET108" s="507"/>
      <c r="EU108" s="585"/>
      <c r="GC108" s="472" t="s">
        <v>5510</v>
      </c>
    </row>
    <row r="109" spans="14:198" x14ac:dyDescent="0.25">
      <c r="N109" s="20"/>
      <c r="Y109" s="20"/>
      <c r="AF109" s="20"/>
      <c r="AV109" s="469" t="s">
        <v>5510</v>
      </c>
      <c r="BF109" s="469" t="s">
        <v>5510</v>
      </c>
      <c r="BG109" s="469">
        <v>4</v>
      </c>
      <c r="BH109" s="539" t="s">
        <v>8043</v>
      </c>
      <c r="BI109" s="539">
        <f t="shared" si="88"/>
        <v>118</v>
      </c>
      <c r="BJ109" s="539" cm="1">
        <f t="array" aca="1" ref="BJ109" ca="1">INDIRECT($BM$2&amp;BJ$7&amp;$BI109,1)</f>
        <v>0</v>
      </c>
      <c r="BK109" s="539" cm="1">
        <f t="array" aca="1" ref="BK109" ca="1">INDIRECT($BM$2&amp;BK$7&amp;$BI109,1)</f>
        <v>0</v>
      </c>
      <c r="BL109" s="539" cm="1">
        <f t="array" aca="1" ref="BL109" ca="1">INDIRECT($BM$2&amp;BL$7&amp;$BI109,1)</f>
        <v>0</v>
      </c>
      <c r="BM109" s="539" cm="1">
        <f t="array" aca="1" ref="BM109" ca="1">INDIRECT($BM$2&amp;BM$7&amp;$BI109,1)</f>
        <v>0</v>
      </c>
      <c r="BN109" s="539" cm="1">
        <f t="array" aca="1" ref="BN109" ca="1">INDIRECT($BM$2&amp;BN$7&amp;$BI109,1)</f>
        <v>0</v>
      </c>
      <c r="BO109" s="539" t="str">
        <f t="shared" ca="1" si="85"/>
        <v>-</v>
      </c>
      <c r="BP109" s="494" t="s">
        <v>8222</v>
      </c>
      <c r="BQ109" s="20"/>
      <c r="BR109" s="469">
        <v>4</v>
      </c>
      <c r="BS109" s="539" t="s">
        <v>8043</v>
      </c>
      <c r="BT109" s="539">
        <f t="shared" si="89"/>
        <v>464</v>
      </c>
      <c r="BU109" s="539" cm="1">
        <f t="array" aca="1" ref="BU109" ca="1">INDIRECT($BM$2&amp;BU$7&amp;$BT109,1)</f>
        <v>0</v>
      </c>
      <c r="BV109" s="539" cm="1">
        <f t="array" aca="1" ref="BV109" ca="1">INDIRECT($BM$2&amp;BV$7&amp;$BT109,1)</f>
        <v>0</v>
      </c>
      <c r="BW109" s="539" cm="1">
        <f t="array" aca="1" ref="BW109" ca="1">INDIRECT($BM$2&amp;BW$7&amp;$BT109,1)</f>
        <v>0</v>
      </c>
      <c r="BX109" s="539" cm="1">
        <f t="array" aca="1" ref="BX109" ca="1">INDIRECT($BM$2&amp;BX$7&amp;$BT109,1)</f>
        <v>0</v>
      </c>
      <c r="BY109" s="539" cm="1">
        <f t="array" aca="1" ref="BY109" ca="1">INDIRECT($BM$2&amp;BY$7&amp;$BT109,1)</f>
        <v>0</v>
      </c>
      <c r="BZ109" s="539" t="str">
        <f t="shared" ca="1" si="86"/>
        <v>-</v>
      </c>
      <c r="CA109" s="494" t="s">
        <v>8222</v>
      </c>
      <c r="CC109" s="469">
        <v>4</v>
      </c>
      <c r="CD109" s="539" t="s">
        <v>8043</v>
      </c>
      <c r="CE109" s="539">
        <f t="shared" si="90"/>
        <v>810</v>
      </c>
      <c r="CF109" s="539" cm="1">
        <f t="array" aca="1" ref="CF109" ca="1">INDIRECT($BM$2&amp;CF$7&amp;$CE109,1)</f>
        <v>0</v>
      </c>
      <c r="CG109" s="539" cm="1">
        <f t="array" aca="1" ref="CG109" ca="1">INDIRECT($BM$2&amp;CG$7&amp;$CE109,1)</f>
        <v>0</v>
      </c>
      <c r="CH109" s="539" cm="1">
        <f t="array" aca="1" ref="CH109" ca="1">INDIRECT($BM$2&amp;CH$7&amp;$CE109,1)</f>
        <v>0</v>
      </c>
      <c r="CI109" s="539" cm="1">
        <f t="array" aca="1" ref="CI109" ca="1">INDIRECT($BM$2&amp;CI$7&amp;$CE109,1)</f>
        <v>0</v>
      </c>
      <c r="CJ109" s="539" cm="1">
        <f t="array" aca="1" ref="CJ109" ca="1">INDIRECT($BM$2&amp;CJ$7&amp;$CE109,1)</f>
        <v>0</v>
      </c>
      <c r="CK109" s="539" t="str">
        <f t="shared" ca="1" si="87"/>
        <v>-</v>
      </c>
      <c r="CL109" s="494" t="s">
        <v>8222</v>
      </c>
      <c r="CU109" s="469" t="s">
        <v>5510</v>
      </c>
      <c r="CV109" s="22">
        <v>6</v>
      </c>
      <c r="CW109" s="522">
        <f t="shared" si="84"/>
        <v>143</v>
      </c>
      <c r="CX109" s="22" cm="1">
        <f t="array" aca="1" ref="CX109" ca="1">INDIRECT($DD$2&amp;CX$28&amp;$CW109)</f>
        <v>0</v>
      </c>
      <c r="CY109" s="22" cm="1">
        <f t="array" aca="1" ref="CY109" ca="1">INDIRECT($DD$2&amp;CY$28&amp;$CW109)</f>
        <v>0</v>
      </c>
      <c r="CZ109" s="22" cm="1">
        <f t="array" aca="1" ref="CZ109" ca="1">INDIRECT($DD$2&amp;CZ$28&amp;$CW109)</f>
        <v>0</v>
      </c>
      <c r="DA109" s="22" cm="1">
        <f t="array" aca="1" ref="DA109" ca="1">INDIRECT($DD$2&amp;DA$28&amp;$CW109)</f>
        <v>0</v>
      </c>
      <c r="DB109" s="22" cm="1">
        <f t="array" aca="1" ref="DB109" ca="1">INDIRECT($DD$2&amp;DB$28&amp;$CW109)</f>
        <v>0</v>
      </c>
      <c r="DC109" s="22" cm="1">
        <f t="array" aca="1" ref="DC109" ca="1">INDIRECT($DD$2&amp;DC$28&amp;$CW109)</f>
        <v>0</v>
      </c>
      <c r="DD109" s="22" t="str">
        <f t="shared" ca="1" si="82"/>
        <v/>
      </c>
      <c r="DE109" s="22" t="str">
        <f t="shared" ca="1" si="83"/>
        <v/>
      </c>
      <c r="EQ109" s="469" t="s">
        <v>5510</v>
      </c>
      <c r="ES109" s="504"/>
      <c r="ET109" s="507"/>
      <c r="EU109" s="585"/>
      <c r="GC109" s="472" t="s">
        <v>5510</v>
      </c>
    </row>
    <row r="110" spans="14:198" ht="15.75" thickBot="1" x14ac:dyDescent="0.3">
      <c r="AF110" s="20"/>
      <c r="AV110" s="469" t="s">
        <v>5510</v>
      </c>
      <c r="AW110" s="468" t="s">
        <v>7999</v>
      </c>
      <c r="AX110" s="468"/>
      <c r="AY110" s="468"/>
      <c r="BF110" s="469" t="s">
        <v>5510</v>
      </c>
      <c r="BG110" s="469">
        <v>5</v>
      </c>
      <c r="BH110" s="539" t="s">
        <v>8043</v>
      </c>
      <c r="BI110" s="539">
        <f t="shared" si="88"/>
        <v>119</v>
      </c>
      <c r="BJ110" s="539" cm="1">
        <f t="array" aca="1" ref="BJ110" ca="1">INDIRECT($BM$2&amp;BJ$7&amp;$BI110,1)</f>
        <v>0</v>
      </c>
      <c r="BK110" s="539" cm="1">
        <f t="array" aca="1" ref="BK110" ca="1">INDIRECT($BM$2&amp;BK$7&amp;$BI110,1)</f>
        <v>0</v>
      </c>
      <c r="BL110" s="539" cm="1">
        <f t="array" aca="1" ref="BL110" ca="1">INDIRECT($BM$2&amp;BL$7&amp;$BI110,1)</f>
        <v>0</v>
      </c>
      <c r="BM110" s="539" cm="1">
        <f t="array" aca="1" ref="BM110" ca="1">INDIRECT($BM$2&amp;BM$7&amp;$BI110,1)</f>
        <v>0</v>
      </c>
      <c r="BN110" s="539" cm="1">
        <f t="array" aca="1" ref="BN110" ca="1">INDIRECT($BM$2&amp;BN$7&amp;$BI110,1)</f>
        <v>0</v>
      </c>
      <c r="BO110" s="539" t="str">
        <f t="shared" ca="1" si="85"/>
        <v>-</v>
      </c>
      <c r="BP110" s="494" t="s">
        <v>8222</v>
      </c>
      <c r="BQ110" s="20"/>
      <c r="BR110" s="469">
        <v>5</v>
      </c>
      <c r="BS110" s="539" t="s">
        <v>8043</v>
      </c>
      <c r="BT110" s="539">
        <f t="shared" si="89"/>
        <v>465</v>
      </c>
      <c r="BU110" s="539" cm="1">
        <f t="array" aca="1" ref="BU110" ca="1">INDIRECT($BM$2&amp;BU$7&amp;$BT110,1)</f>
        <v>0</v>
      </c>
      <c r="BV110" s="539" cm="1">
        <f t="array" aca="1" ref="BV110" ca="1">INDIRECT($BM$2&amp;BV$7&amp;$BT110,1)</f>
        <v>0</v>
      </c>
      <c r="BW110" s="539" cm="1">
        <f t="array" aca="1" ref="BW110" ca="1">INDIRECT($BM$2&amp;BW$7&amp;$BT110,1)</f>
        <v>0</v>
      </c>
      <c r="BX110" s="539" cm="1">
        <f t="array" aca="1" ref="BX110" ca="1">INDIRECT($BM$2&amp;BX$7&amp;$BT110,1)</f>
        <v>0</v>
      </c>
      <c r="BY110" s="539" cm="1">
        <f t="array" aca="1" ref="BY110" ca="1">INDIRECT($BM$2&amp;BY$7&amp;$BT110,1)</f>
        <v>0</v>
      </c>
      <c r="BZ110" s="539" t="str">
        <f t="shared" ca="1" si="86"/>
        <v>-</v>
      </c>
      <c r="CA110" s="494" t="s">
        <v>8222</v>
      </c>
      <c r="CC110" s="469">
        <v>5</v>
      </c>
      <c r="CD110" s="539" t="s">
        <v>8043</v>
      </c>
      <c r="CE110" s="539">
        <f t="shared" si="90"/>
        <v>811</v>
      </c>
      <c r="CF110" s="539" cm="1">
        <f t="array" aca="1" ref="CF110" ca="1">INDIRECT($BM$2&amp;CF$7&amp;$CE110,1)</f>
        <v>0</v>
      </c>
      <c r="CG110" s="539" cm="1">
        <f t="array" aca="1" ref="CG110" ca="1">INDIRECT($BM$2&amp;CG$7&amp;$CE110,1)</f>
        <v>0</v>
      </c>
      <c r="CH110" s="539" cm="1">
        <f t="array" aca="1" ref="CH110" ca="1">INDIRECT($BM$2&amp;CH$7&amp;$CE110,1)</f>
        <v>0</v>
      </c>
      <c r="CI110" s="539" cm="1">
        <f t="array" aca="1" ref="CI110" ca="1">INDIRECT($BM$2&amp;CI$7&amp;$CE110,1)</f>
        <v>0</v>
      </c>
      <c r="CJ110" s="539" cm="1">
        <f t="array" aca="1" ref="CJ110" ca="1">INDIRECT($BM$2&amp;CJ$7&amp;$CE110,1)</f>
        <v>0</v>
      </c>
      <c r="CK110" s="539" t="str">
        <f t="shared" ca="1" si="87"/>
        <v>-</v>
      </c>
      <c r="CL110" s="494" t="s">
        <v>8222</v>
      </c>
      <c r="CU110" s="469" t="s">
        <v>5510</v>
      </c>
      <c r="CV110" s="22">
        <v>6</v>
      </c>
      <c r="CW110" s="522">
        <f t="shared" si="84"/>
        <v>144</v>
      </c>
      <c r="CX110" s="22" cm="1">
        <f t="array" aca="1" ref="CX110" ca="1">INDIRECT($DD$2&amp;CX$28&amp;$CW110)</f>
        <v>0</v>
      </c>
      <c r="CY110" s="22" cm="1">
        <f t="array" aca="1" ref="CY110" ca="1">INDIRECT($DD$2&amp;CY$28&amp;$CW110)</f>
        <v>0</v>
      </c>
      <c r="CZ110" s="22" cm="1">
        <f t="array" aca="1" ref="CZ110" ca="1">INDIRECT($DD$2&amp;CZ$28&amp;$CW110)</f>
        <v>0</v>
      </c>
      <c r="DA110" s="22" cm="1">
        <f t="array" aca="1" ref="DA110" ca="1">INDIRECT($DD$2&amp;DA$28&amp;$CW110)</f>
        <v>0</v>
      </c>
      <c r="DB110" s="22" cm="1">
        <f t="array" aca="1" ref="DB110" ca="1">INDIRECT($DD$2&amp;DB$28&amp;$CW110)</f>
        <v>0</v>
      </c>
      <c r="DC110" s="22" cm="1">
        <f t="array" aca="1" ref="DC110" ca="1">INDIRECT($DD$2&amp;DC$28&amp;$CW110)</f>
        <v>0</v>
      </c>
      <c r="DD110" s="22" t="str">
        <f t="shared" ca="1" si="82"/>
        <v/>
      </c>
      <c r="DE110" s="22" t="str">
        <f t="shared" ca="1" si="83"/>
        <v/>
      </c>
      <c r="EQ110" s="469" t="s">
        <v>5510</v>
      </c>
      <c r="ES110" s="504"/>
      <c r="ET110" s="507"/>
      <c r="EU110" s="585"/>
      <c r="GC110" s="472" t="s">
        <v>5510</v>
      </c>
    </row>
    <row r="111" spans="14:198" x14ac:dyDescent="0.25">
      <c r="AF111" s="20"/>
      <c r="AV111" s="469" t="s">
        <v>5510</v>
      </c>
      <c r="AW111" s="469" t="s">
        <v>8000</v>
      </c>
      <c r="AX111" s="469" t="s">
        <v>8001</v>
      </c>
      <c r="AY111" s="469" t="s">
        <v>18</v>
      </c>
      <c r="AZ111" s="493" t="s">
        <v>5972</v>
      </c>
      <c r="BA111" s="493" t="s">
        <v>7996</v>
      </c>
      <c r="BC111" s="493" t="s">
        <v>7996</v>
      </c>
      <c r="BF111" s="469" t="s">
        <v>5510</v>
      </c>
      <c r="BG111" s="469">
        <v>6</v>
      </c>
      <c r="BH111" s="539" t="s">
        <v>8043</v>
      </c>
      <c r="BI111" s="539">
        <f t="shared" si="88"/>
        <v>120</v>
      </c>
      <c r="BJ111" s="539" cm="1">
        <f t="array" aca="1" ref="BJ111" ca="1">INDIRECT($BM$2&amp;BJ$7&amp;$BI111,1)</f>
        <v>0</v>
      </c>
      <c r="BK111" s="539" cm="1">
        <f t="array" aca="1" ref="BK111" ca="1">INDIRECT($BM$2&amp;BK$7&amp;$BI111,1)</f>
        <v>0</v>
      </c>
      <c r="BL111" s="539" cm="1">
        <f t="array" aca="1" ref="BL111" ca="1">INDIRECT($BM$2&amp;BL$7&amp;$BI111,1)</f>
        <v>0</v>
      </c>
      <c r="BM111" s="539" cm="1">
        <f t="array" aca="1" ref="BM111" ca="1">INDIRECT($BM$2&amp;BM$7&amp;$BI111,1)</f>
        <v>0</v>
      </c>
      <c r="BN111" s="539" cm="1">
        <f t="array" aca="1" ref="BN111" ca="1">INDIRECT($BM$2&amp;BN$7&amp;$BI111,1)</f>
        <v>0</v>
      </c>
      <c r="BO111" s="539" t="str">
        <f t="shared" ca="1" si="85"/>
        <v>-</v>
      </c>
      <c r="BP111" s="494" t="s">
        <v>8222</v>
      </c>
      <c r="BQ111" s="20"/>
      <c r="BR111" s="469">
        <v>6</v>
      </c>
      <c r="BS111" s="539" t="s">
        <v>8043</v>
      </c>
      <c r="BT111" s="539">
        <f t="shared" si="89"/>
        <v>466</v>
      </c>
      <c r="BU111" s="539" cm="1">
        <f t="array" aca="1" ref="BU111" ca="1">INDIRECT($BM$2&amp;BU$7&amp;$BT111,1)</f>
        <v>0</v>
      </c>
      <c r="BV111" s="539" cm="1">
        <f t="array" aca="1" ref="BV111" ca="1">INDIRECT($BM$2&amp;BV$7&amp;$BT111,1)</f>
        <v>0</v>
      </c>
      <c r="BW111" s="539" cm="1">
        <f t="array" aca="1" ref="BW111" ca="1">INDIRECT($BM$2&amp;BW$7&amp;$BT111,1)</f>
        <v>0</v>
      </c>
      <c r="BX111" s="539" cm="1">
        <f t="array" aca="1" ref="BX111" ca="1">INDIRECT($BM$2&amp;BX$7&amp;$BT111,1)</f>
        <v>0</v>
      </c>
      <c r="BY111" s="539" cm="1">
        <f t="array" aca="1" ref="BY111" ca="1">INDIRECT($BM$2&amp;BY$7&amp;$BT111,1)</f>
        <v>0</v>
      </c>
      <c r="BZ111" s="539" t="str">
        <f t="shared" ca="1" si="86"/>
        <v>-</v>
      </c>
      <c r="CA111" s="494" t="s">
        <v>8222</v>
      </c>
      <c r="CC111" s="469">
        <v>6</v>
      </c>
      <c r="CD111" s="539" t="s">
        <v>8043</v>
      </c>
      <c r="CE111" s="539">
        <f t="shared" si="90"/>
        <v>812</v>
      </c>
      <c r="CF111" s="539" cm="1">
        <f t="array" aca="1" ref="CF111" ca="1">INDIRECT($BM$2&amp;CF$7&amp;$CE111,1)</f>
        <v>0</v>
      </c>
      <c r="CG111" s="539" cm="1">
        <f t="array" aca="1" ref="CG111" ca="1">INDIRECT($BM$2&amp;CG$7&amp;$CE111,1)</f>
        <v>0</v>
      </c>
      <c r="CH111" s="539" cm="1">
        <f t="array" aca="1" ref="CH111" ca="1">INDIRECT($BM$2&amp;CH$7&amp;$CE111,1)</f>
        <v>0</v>
      </c>
      <c r="CI111" s="539" cm="1">
        <f t="array" aca="1" ref="CI111" ca="1">INDIRECT($BM$2&amp;CI$7&amp;$CE111,1)</f>
        <v>0</v>
      </c>
      <c r="CJ111" s="539" cm="1">
        <f t="array" aca="1" ref="CJ111" ca="1">INDIRECT($BM$2&amp;CJ$7&amp;$CE111,1)</f>
        <v>0</v>
      </c>
      <c r="CK111" s="539" t="str">
        <f t="shared" ca="1" si="87"/>
        <v>-</v>
      </c>
      <c r="CL111" s="494" t="s">
        <v>8222</v>
      </c>
      <c r="CU111" s="469" t="s">
        <v>5510</v>
      </c>
      <c r="EQ111" s="469" t="s">
        <v>5510</v>
      </c>
      <c r="EU111" s="507">
        <v>32</v>
      </c>
      <c r="EW111" s="22" t="str" cm="1">
        <f t="array" aca="1" ref="EW111" ca="1">INDIRECT($ET$33&amp;EU31)</f>
        <v/>
      </c>
      <c r="GC111" s="472" t="s">
        <v>5510</v>
      </c>
    </row>
    <row r="112" spans="14:198" x14ac:dyDescent="0.25">
      <c r="AF112" s="20"/>
      <c r="AV112" s="469" t="s">
        <v>5510</v>
      </c>
      <c r="AW112" s="648" t="s">
        <v>5566</v>
      </c>
      <c r="AX112" s="476" t="s">
        <v>7047</v>
      </c>
      <c r="AY112" s="476" t="s">
        <v>7344</v>
      </c>
      <c r="AZ112" s="501" cm="1">
        <f t="array" aca="1" ref="AZ112" ca="1">IF(
INDIRECT($AW112&amp;$AY112,1)&lt;&gt;"",
COUNTIF(INDIRECT($AW112&amp;$AX112,1),INDIRECT($AW112&amp;$AY112,1)),
1)</f>
        <v>1</v>
      </c>
      <c r="BA112" s="495" t="str">
        <f t="shared" ref="BA112:BA117" ca="1" si="91">IF(AZ112=0,$BC$112,"")</f>
        <v/>
      </c>
      <c r="BC112" s="495" t="s">
        <v>8002</v>
      </c>
      <c r="BF112" s="469" t="s">
        <v>5510</v>
      </c>
      <c r="BG112" s="469">
        <v>7</v>
      </c>
      <c r="BH112" s="539" t="s">
        <v>8043</v>
      </c>
      <c r="BI112" s="539">
        <f t="shared" si="88"/>
        <v>121</v>
      </c>
      <c r="BJ112" s="539" cm="1">
        <f t="array" aca="1" ref="BJ112" ca="1">INDIRECT($BM$2&amp;BJ$7&amp;$BI112,1)</f>
        <v>0</v>
      </c>
      <c r="BK112" s="539" cm="1">
        <f t="array" aca="1" ref="BK112" ca="1">INDIRECT($BM$2&amp;BK$7&amp;$BI112,1)</f>
        <v>0</v>
      </c>
      <c r="BL112" s="539" cm="1">
        <f t="array" aca="1" ref="BL112" ca="1">INDIRECT($BM$2&amp;BL$7&amp;$BI112,1)</f>
        <v>0</v>
      </c>
      <c r="BM112" s="539" cm="1">
        <f t="array" aca="1" ref="BM112" ca="1">INDIRECT($BM$2&amp;BM$7&amp;$BI112,1)</f>
        <v>0</v>
      </c>
      <c r="BN112" s="539" cm="1">
        <f t="array" aca="1" ref="BN112" ca="1">INDIRECT($BM$2&amp;BN$7&amp;$BI112,1)</f>
        <v>0</v>
      </c>
      <c r="BO112" s="539" t="str">
        <f t="shared" ca="1" si="85"/>
        <v>-</v>
      </c>
      <c r="BP112" s="494" t="s">
        <v>8222</v>
      </c>
      <c r="BQ112" s="20"/>
      <c r="BR112" s="469">
        <v>7</v>
      </c>
      <c r="BS112" s="539" t="s">
        <v>8043</v>
      </c>
      <c r="BT112" s="539">
        <f t="shared" si="89"/>
        <v>467</v>
      </c>
      <c r="BU112" s="539" cm="1">
        <f t="array" aca="1" ref="BU112" ca="1">INDIRECT($BM$2&amp;BU$7&amp;$BT112,1)</f>
        <v>0</v>
      </c>
      <c r="BV112" s="539" cm="1">
        <f t="array" aca="1" ref="BV112" ca="1">INDIRECT($BM$2&amp;BV$7&amp;$BT112,1)</f>
        <v>0</v>
      </c>
      <c r="BW112" s="539" cm="1">
        <f t="array" aca="1" ref="BW112" ca="1">INDIRECT($BM$2&amp;BW$7&amp;$BT112,1)</f>
        <v>0</v>
      </c>
      <c r="BX112" s="539" cm="1">
        <f t="array" aca="1" ref="BX112" ca="1">INDIRECT($BM$2&amp;BX$7&amp;$BT112,1)</f>
        <v>0</v>
      </c>
      <c r="BY112" s="539" cm="1">
        <f t="array" aca="1" ref="BY112" ca="1">INDIRECT($BM$2&amp;BY$7&amp;$BT112,1)</f>
        <v>0</v>
      </c>
      <c r="BZ112" s="539" t="str">
        <f t="shared" ca="1" si="86"/>
        <v>-</v>
      </c>
      <c r="CA112" s="494" t="s">
        <v>8222</v>
      </c>
      <c r="CC112" s="469">
        <v>7</v>
      </c>
      <c r="CD112" s="539" t="s">
        <v>8043</v>
      </c>
      <c r="CE112" s="539">
        <f t="shared" si="90"/>
        <v>813</v>
      </c>
      <c r="CF112" s="539" cm="1">
        <f t="array" aca="1" ref="CF112" ca="1">INDIRECT($BM$2&amp;CF$7&amp;$CE112,1)</f>
        <v>0</v>
      </c>
      <c r="CG112" s="539" cm="1">
        <f t="array" aca="1" ref="CG112" ca="1">INDIRECT($BM$2&amp;CG$7&amp;$CE112,1)</f>
        <v>0</v>
      </c>
      <c r="CH112" s="539" cm="1">
        <f t="array" aca="1" ref="CH112" ca="1">INDIRECT($BM$2&amp;CH$7&amp;$CE112,1)</f>
        <v>0</v>
      </c>
      <c r="CI112" s="539" cm="1">
        <f t="array" aca="1" ref="CI112" ca="1">INDIRECT($BM$2&amp;CI$7&amp;$CE112,1)</f>
        <v>0</v>
      </c>
      <c r="CJ112" s="539" cm="1">
        <f t="array" aca="1" ref="CJ112" ca="1">INDIRECT($BM$2&amp;CJ$7&amp;$CE112,1)</f>
        <v>0</v>
      </c>
      <c r="CK112" s="539" t="str">
        <f t="shared" ca="1" si="87"/>
        <v>-</v>
      </c>
      <c r="CL112" s="494" t="s">
        <v>8222</v>
      </c>
      <c r="CU112" s="469" t="s">
        <v>5510</v>
      </c>
      <c r="EQ112" s="469" t="s">
        <v>5510</v>
      </c>
      <c r="GC112" s="472" t="s">
        <v>5510</v>
      </c>
    </row>
    <row r="113" spans="1:185" x14ac:dyDescent="0.25">
      <c r="AF113" s="20"/>
      <c r="AV113" s="469" t="s">
        <v>5510</v>
      </c>
      <c r="AW113" s="648" t="s">
        <v>5567</v>
      </c>
      <c r="AX113" s="476" t="s">
        <v>7047</v>
      </c>
      <c r="AY113" s="476" t="s">
        <v>7344</v>
      </c>
      <c r="AZ113" s="501" cm="1">
        <f t="array" aca="1" ref="AZ113" ca="1">IF(
INDIRECT($AW113&amp;$AY113,1)&lt;&gt;"",
COUNTIF(INDIRECT($AW113&amp;$AX113,1),INDIRECT($AW113&amp;$AY113,1)),
1)</f>
        <v>1</v>
      </c>
      <c r="BA113" s="495" t="str">
        <f t="shared" ca="1" si="91"/>
        <v/>
      </c>
      <c r="BF113" s="469" t="s">
        <v>5510</v>
      </c>
      <c r="BG113" s="469">
        <v>8</v>
      </c>
      <c r="BH113" s="539" t="s">
        <v>8043</v>
      </c>
      <c r="BI113" s="539">
        <f t="shared" si="88"/>
        <v>122</v>
      </c>
      <c r="BJ113" s="539" cm="1">
        <f t="array" aca="1" ref="BJ113" ca="1">INDIRECT($BM$2&amp;BJ$7&amp;$BI113,1)</f>
        <v>0</v>
      </c>
      <c r="BK113" s="539" cm="1">
        <f t="array" aca="1" ref="BK113" ca="1">INDIRECT($BM$2&amp;BK$7&amp;$BI113,1)</f>
        <v>0</v>
      </c>
      <c r="BL113" s="539" cm="1">
        <f t="array" aca="1" ref="BL113" ca="1">INDIRECT($BM$2&amp;BL$7&amp;$BI113,1)</f>
        <v>0</v>
      </c>
      <c r="BM113" s="539" cm="1">
        <f t="array" aca="1" ref="BM113" ca="1">INDIRECT($BM$2&amp;BM$7&amp;$BI113,1)</f>
        <v>0</v>
      </c>
      <c r="BN113" s="539" cm="1">
        <f t="array" aca="1" ref="BN113" ca="1">INDIRECT($BM$2&amp;BN$7&amp;$BI113,1)</f>
        <v>0</v>
      </c>
      <c r="BO113" s="539" t="str">
        <f t="shared" ca="1" si="85"/>
        <v>-</v>
      </c>
      <c r="BP113" s="494" t="s">
        <v>8222</v>
      </c>
      <c r="BQ113" s="20"/>
      <c r="BR113" s="469">
        <v>8</v>
      </c>
      <c r="BS113" s="539" t="s">
        <v>8043</v>
      </c>
      <c r="BT113" s="539">
        <f t="shared" si="89"/>
        <v>468</v>
      </c>
      <c r="BU113" s="539" cm="1">
        <f t="array" aca="1" ref="BU113" ca="1">INDIRECT($BM$2&amp;BU$7&amp;$BT113,1)</f>
        <v>0</v>
      </c>
      <c r="BV113" s="539" cm="1">
        <f t="array" aca="1" ref="BV113" ca="1">INDIRECT($BM$2&amp;BV$7&amp;$BT113,1)</f>
        <v>0</v>
      </c>
      <c r="BW113" s="539" cm="1">
        <f t="array" aca="1" ref="BW113" ca="1">INDIRECT($BM$2&amp;BW$7&amp;$BT113,1)</f>
        <v>0</v>
      </c>
      <c r="BX113" s="539" cm="1">
        <f t="array" aca="1" ref="BX113" ca="1">INDIRECT($BM$2&amp;BX$7&amp;$BT113,1)</f>
        <v>0</v>
      </c>
      <c r="BY113" s="539" cm="1">
        <f t="array" aca="1" ref="BY113" ca="1">INDIRECT($BM$2&amp;BY$7&amp;$BT113,1)</f>
        <v>0</v>
      </c>
      <c r="BZ113" s="539" t="str">
        <f t="shared" ca="1" si="86"/>
        <v>-</v>
      </c>
      <c r="CA113" s="494" t="s">
        <v>8222</v>
      </c>
      <c r="CC113" s="469">
        <v>8</v>
      </c>
      <c r="CD113" s="539" t="s">
        <v>8043</v>
      </c>
      <c r="CE113" s="539">
        <f t="shared" si="90"/>
        <v>814</v>
      </c>
      <c r="CF113" s="539" cm="1">
        <f t="array" aca="1" ref="CF113" ca="1">INDIRECT($BM$2&amp;CF$7&amp;$CE113,1)</f>
        <v>0</v>
      </c>
      <c r="CG113" s="539" cm="1">
        <f t="array" aca="1" ref="CG113" ca="1">INDIRECT($BM$2&amp;CG$7&amp;$CE113,1)</f>
        <v>0</v>
      </c>
      <c r="CH113" s="539" cm="1">
        <f t="array" aca="1" ref="CH113" ca="1">INDIRECT($BM$2&amp;CH$7&amp;$CE113,1)</f>
        <v>0</v>
      </c>
      <c r="CI113" s="539" cm="1">
        <f t="array" aca="1" ref="CI113" ca="1">INDIRECT($BM$2&amp;CI$7&amp;$CE113,1)</f>
        <v>0</v>
      </c>
      <c r="CJ113" s="539" cm="1">
        <f t="array" aca="1" ref="CJ113" ca="1">INDIRECT($BM$2&amp;CJ$7&amp;$CE113,1)</f>
        <v>0</v>
      </c>
      <c r="CK113" s="539" t="str">
        <f t="shared" ca="1" si="87"/>
        <v>-</v>
      </c>
      <c r="CL113" s="494" t="s">
        <v>8222</v>
      </c>
      <c r="CU113" s="469" t="s">
        <v>5510</v>
      </c>
      <c r="EQ113" s="469" t="s">
        <v>5510</v>
      </c>
      <c r="GC113" s="472" t="s">
        <v>5510</v>
      </c>
    </row>
    <row r="114" spans="1:185" x14ac:dyDescent="0.25">
      <c r="AF114" s="20"/>
      <c r="AV114" s="469" t="s">
        <v>5510</v>
      </c>
      <c r="AW114" s="649" t="s">
        <v>5568</v>
      </c>
      <c r="AX114" s="476" t="s">
        <v>7048</v>
      </c>
      <c r="AY114" s="476" t="s">
        <v>7376</v>
      </c>
      <c r="AZ114" s="501" cm="1">
        <f t="array" aca="1" ref="AZ114" ca="1">IF(
INDIRECT($AW114&amp;$AY114,1)&lt;&gt;"",
COUNTIF(INDIRECT($AW114&amp;$AX114,1),INDIRECT($AW114&amp;$AY114,1)),
1)</f>
        <v>1</v>
      </c>
      <c r="BA114" s="495" t="str">
        <f t="shared" ca="1" si="91"/>
        <v/>
      </c>
      <c r="BF114" s="469" t="s">
        <v>5510</v>
      </c>
      <c r="BG114" s="469">
        <v>9</v>
      </c>
      <c r="BH114" s="539" t="s">
        <v>8043</v>
      </c>
      <c r="BI114" s="539">
        <f t="shared" si="88"/>
        <v>123</v>
      </c>
      <c r="BJ114" s="539" cm="1">
        <f t="array" aca="1" ref="BJ114" ca="1">INDIRECT($BM$2&amp;BJ$7&amp;$BI114,1)</f>
        <v>0</v>
      </c>
      <c r="BK114" s="539" cm="1">
        <f t="array" aca="1" ref="BK114" ca="1">INDIRECT($BM$2&amp;BK$7&amp;$BI114,1)</f>
        <v>0</v>
      </c>
      <c r="BL114" s="539" cm="1">
        <f t="array" aca="1" ref="BL114" ca="1">INDIRECT($BM$2&amp;BL$7&amp;$BI114,1)</f>
        <v>0</v>
      </c>
      <c r="BM114" s="539" cm="1">
        <f t="array" aca="1" ref="BM114" ca="1">INDIRECT($BM$2&amp;BM$7&amp;$BI114,1)</f>
        <v>0</v>
      </c>
      <c r="BN114" s="539" cm="1">
        <f t="array" aca="1" ref="BN114" ca="1">INDIRECT($BM$2&amp;BN$7&amp;$BI114,1)</f>
        <v>0</v>
      </c>
      <c r="BO114" s="539" t="str">
        <f t="shared" ca="1" si="85"/>
        <v>-</v>
      </c>
      <c r="BP114" s="494" t="s">
        <v>8222</v>
      </c>
      <c r="BQ114" s="20"/>
      <c r="BR114" s="469">
        <v>9</v>
      </c>
      <c r="BS114" s="539" t="s">
        <v>8043</v>
      </c>
      <c r="BT114" s="539">
        <f t="shared" si="89"/>
        <v>469</v>
      </c>
      <c r="BU114" s="539" cm="1">
        <f t="array" aca="1" ref="BU114" ca="1">INDIRECT($BM$2&amp;BU$7&amp;$BT114,1)</f>
        <v>0</v>
      </c>
      <c r="BV114" s="539" cm="1">
        <f t="array" aca="1" ref="BV114" ca="1">INDIRECT($BM$2&amp;BV$7&amp;$BT114,1)</f>
        <v>0</v>
      </c>
      <c r="BW114" s="539" cm="1">
        <f t="array" aca="1" ref="BW114" ca="1">INDIRECT($BM$2&amp;BW$7&amp;$BT114,1)</f>
        <v>0</v>
      </c>
      <c r="BX114" s="539" cm="1">
        <f t="array" aca="1" ref="BX114" ca="1">INDIRECT($BM$2&amp;BX$7&amp;$BT114,1)</f>
        <v>0</v>
      </c>
      <c r="BY114" s="539" cm="1">
        <f t="array" aca="1" ref="BY114" ca="1">INDIRECT($BM$2&amp;BY$7&amp;$BT114,1)</f>
        <v>0</v>
      </c>
      <c r="BZ114" s="539" t="str">
        <f t="shared" ca="1" si="86"/>
        <v>-</v>
      </c>
      <c r="CA114" s="494" t="s">
        <v>8222</v>
      </c>
      <c r="CC114" s="469">
        <v>9</v>
      </c>
      <c r="CD114" s="539" t="s">
        <v>8043</v>
      </c>
      <c r="CE114" s="539">
        <f t="shared" si="90"/>
        <v>815</v>
      </c>
      <c r="CF114" s="539" cm="1">
        <f t="array" aca="1" ref="CF114" ca="1">INDIRECT($BM$2&amp;CF$7&amp;$CE114,1)</f>
        <v>0</v>
      </c>
      <c r="CG114" s="539" cm="1">
        <f t="array" aca="1" ref="CG114" ca="1">INDIRECT($BM$2&amp;CG$7&amp;$CE114,1)</f>
        <v>0</v>
      </c>
      <c r="CH114" s="539" cm="1">
        <f t="array" aca="1" ref="CH114" ca="1">INDIRECT($BM$2&amp;CH$7&amp;$CE114,1)</f>
        <v>0</v>
      </c>
      <c r="CI114" s="539" cm="1">
        <f t="array" aca="1" ref="CI114" ca="1">INDIRECT($BM$2&amp;CI$7&amp;$CE114,1)</f>
        <v>0</v>
      </c>
      <c r="CJ114" s="539" cm="1">
        <f t="array" aca="1" ref="CJ114" ca="1">INDIRECT($BM$2&amp;CJ$7&amp;$CE114,1)</f>
        <v>0</v>
      </c>
      <c r="CK114" s="539" t="str">
        <f t="shared" ca="1" si="87"/>
        <v>-</v>
      </c>
      <c r="CL114" s="494" t="s">
        <v>8222</v>
      </c>
      <c r="CU114" s="469" t="s">
        <v>5510</v>
      </c>
      <c r="EQ114" s="469" t="s">
        <v>5510</v>
      </c>
      <c r="GC114" s="472" t="s">
        <v>5510</v>
      </c>
    </row>
    <row r="115" spans="1:185" x14ac:dyDescent="0.25">
      <c r="AF115" s="20"/>
      <c r="AV115" s="469" t="s">
        <v>5510</v>
      </c>
      <c r="AW115" s="648" t="s">
        <v>5569</v>
      </c>
      <c r="AX115" s="476" t="s">
        <v>8008</v>
      </c>
      <c r="AY115" s="476" t="s">
        <v>8009</v>
      </c>
      <c r="AZ115" s="501" cm="1">
        <f t="array" aca="1" ref="AZ115" ca="1">IF(
INDIRECT($AW115&amp;$AY115,1)&lt;&gt;"",
COUNTIF(INDIRECT($AW115&amp;$AX115,1),INDIRECT($AW115&amp;$AY115,1)),
1)</f>
        <v>1</v>
      </c>
      <c r="BA115" s="495" t="str">
        <f t="shared" ca="1" si="91"/>
        <v/>
      </c>
      <c r="BF115" s="469" t="s">
        <v>5510</v>
      </c>
      <c r="BG115" s="469">
        <v>10</v>
      </c>
      <c r="BH115" s="539" t="s">
        <v>8043</v>
      </c>
      <c r="BI115" s="539">
        <f t="shared" si="88"/>
        <v>124</v>
      </c>
      <c r="BJ115" s="539" cm="1">
        <f t="array" aca="1" ref="BJ115" ca="1">INDIRECT($BM$2&amp;BJ$7&amp;$BI115,1)</f>
        <v>0</v>
      </c>
      <c r="BK115" s="539" cm="1">
        <f t="array" aca="1" ref="BK115" ca="1">INDIRECT($BM$2&amp;BK$7&amp;$BI115,1)</f>
        <v>0</v>
      </c>
      <c r="BL115" s="539" cm="1">
        <f t="array" aca="1" ref="BL115" ca="1">INDIRECT($BM$2&amp;BL$7&amp;$BI115,1)</f>
        <v>0</v>
      </c>
      <c r="BM115" s="539" cm="1">
        <f t="array" aca="1" ref="BM115" ca="1">INDIRECT($BM$2&amp;BM$7&amp;$BI115,1)</f>
        <v>0</v>
      </c>
      <c r="BN115" s="539" cm="1">
        <f t="array" aca="1" ref="BN115" ca="1">INDIRECT($BM$2&amp;BN$7&amp;$BI115,1)</f>
        <v>0</v>
      </c>
      <c r="BO115" s="539" t="str">
        <f t="shared" ca="1" si="85"/>
        <v>-</v>
      </c>
      <c r="BP115" s="494" t="s">
        <v>8222</v>
      </c>
      <c r="BQ115" s="20"/>
      <c r="BR115" s="469">
        <v>10</v>
      </c>
      <c r="BS115" s="539" t="s">
        <v>8043</v>
      </c>
      <c r="BT115" s="539">
        <f t="shared" si="89"/>
        <v>470</v>
      </c>
      <c r="BU115" s="539" cm="1">
        <f t="array" aca="1" ref="BU115" ca="1">INDIRECT($BM$2&amp;BU$7&amp;$BT115,1)</f>
        <v>0</v>
      </c>
      <c r="BV115" s="539" cm="1">
        <f t="array" aca="1" ref="BV115" ca="1">INDIRECT($BM$2&amp;BV$7&amp;$BT115,1)</f>
        <v>0</v>
      </c>
      <c r="BW115" s="539" cm="1">
        <f t="array" aca="1" ref="BW115" ca="1">INDIRECT($BM$2&amp;BW$7&amp;$BT115,1)</f>
        <v>0</v>
      </c>
      <c r="BX115" s="539" cm="1">
        <f t="array" aca="1" ref="BX115" ca="1">INDIRECT($BM$2&amp;BX$7&amp;$BT115,1)</f>
        <v>0</v>
      </c>
      <c r="BY115" s="539" cm="1">
        <f t="array" aca="1" ref="BY115" ca="1">INDIRECT($BM$2&amp;BY$7&amp;$BT115,1)</f>
        <v>0</v>
      </c>
      <c r="BZ115" s="539" t="str">
        <f t="shared" ca="1" si="86"/>
        <v>-</v>
      </c>
      <c r="CA115" s="494" t="s">
        <v>8222</v>
      </c>
      <c r="CC115" s="469">
        <v>10</v>
      </c>
      <c r="CD115" s="539" t="s">
        <v>8043</v>
      </c>
      <c r="CE115" s="539">
        <f t="shared" si="90"/>
        <v>816</v>
      </c>
      <c r="CF115" s="539" cm="1">
        <f t="array" aca="1" ref="CF115" ca="1">INDIRECT($BM$2&amp;CF$7&amp;$CE115,1)</f>
        <v>0</v>
      </c>
      <c r="CG115" s="539" cm="1">
        <f t="array" aca="1" ref="CG115" ca="1">INDIRECT($BM$2&amp;CG$7&amp;$CE115,1)</f>
        <v>0</v>
      </c>
      <c r="CH115" s="539" cm="1">
        <f t="array" aca="1" ref="CH115" ca="1">INDIRECT($BM$2&amp;CH$7&amp;$CE115,1)</f>
        <v>0</v>
      </c>
      <c r="CI115" s="539" cm="1">
        <f t="array" aca="1" ref="CI115" ca="1">INDIRECT($BM$2&amp;CI$7&amp;$CE115,1)</f>
        <v>0</v>
      </c>
      <c r="CJ115" s="539" cm="1">
        <f t="array" aca="1" ref="CJ115" ca="1">INDIRECT($BM$2&amp;CJ$7&amp;$CE115,1)</f>
        <v>0</v>
      </c>
      <c r="CK115" s="539" t="str">
        <f t="shared" ca="1" si="87"/>
        <v>-</v>
      </c>
      <c r="CL115" s="494" t="s">
        <v>8222</v>
      </c>
      <c r="CU115" s="469" t="s">
        <v>5510</v>
      </c>
      <c r="EQ115" s="469" t="s">
        <v>5510</v>
      </c>
      <c r="GC115" s="472" t="s">
        <v>5510</v>
      </c>
    </row>
    <row r="116" spans="1:185" x14ac:dyDescent="0.25">
      <c r="AF116" s="20"/>
      <c r="AV116" s="469" t="s">
        <v>5510</v>
      </c>
      <c r="AW116" s="649" t="s">
        <v>5570</v>
      </c>
      <c r="AX116" s="476" t="s">
        <v>7397</v>
      </c>
      <c r="AY116" s="476" t="s">
        <v>7392</v>
      </c>
      <c r="AZ116" s="501" cm="1">
        <f t="array" aca="1" ref="AZ116" ca="1">IF(
INDIRECT($AW116&amp;$AY116,1)&lt;&gt;"",
COUNTIF(INDIRECT($AW116&amp;$AX116,1),INDIRECT($AW116&amp;$AY116,1)),
1)</f>
        <v>1</v>
      </c>
      <c r="BA116" s="495" t="str">
        <f t="shared" ca="1" si="91"/>
        <v/>
      </c>
      <c r="BF116" s="469" t="s">
        <v>5510</v>
      </c>
      <c r="BG116" s="469">
        <v>11</v>
      </c>
      <c r="BH116" s="539" t="s">
        <v>8043</v>
      </c>
      <c r="BI116" s="539">
        <f t="shared" si="88"/>
        <v>125</v>
      </c>
      <c r="BJ116" s="539" cm="1">
        <f t="array" aca="1" ref="BJ116" ca="1">INDIRECT($BM$2&amp;BJ$7&amp;$BI116,1)</f>
        <v>0</v>
      </c>
      <c r="BK116" s="539" cm="1">
        <f t="array" aca="1" ref="BK116" ca="1">INDIRECT($BM$2&amp;BK$7&amp;$BI116,1)</f>
        <v>0</v>
      </c>
      <c r="BL116" s="539" cm="1">
        <f t="array" aca="1" ref="BL116" ca="1">INDIRECT($BM$2&amp;BL$7&amp;$BI116,1)</f>
        <v>0</v>
      </c>
      <c r="BM116" s="539" cm="1">
        <f t="array" aca="1" ref="BM116" ca="1">INDIRECT($BM$2&amp;BM$7&amp;$BI116,1)</f>
        <v>0</v>
      </c>
      <c r="BN116" s="539" cm="1">
        <f t="array" aca="1" ref="BN116" ca="1">INDIRECT($BM$2&amp;BN$7&amp;$BI116,1)</f>
        <v>0</v>
      </c>
      <c r="BO116" s="539" t="str">
        <f t="shared" ca="1" si="85"/>
        <v>-</v>
      </c>
      <c r="BP116" s="494" t="s">
        <v>8222</v>
      </c>
      <c r="BQ116" s="20"/>
      <c r="BR116" s="469">
        <v>11</v>
      </c>
      <c r="BS116" s="539" t="s">
        <v>8043</v>
      </c>
      <c r="BT116" s="539">
        <f t="shared" si="89"/>
        <v>471</v>
      </c>
      <c r="BU116" s="539" cm="1">
        <f t="array" aca="1" ref="BU116" ca="1">INDIRECT($BM$2&amp;BU$7&amp;$BT116,1)</f>
        <v>0</v>
      </c>
      <c r="BV116" s="539" cm="1">
        <f t="array" aca="1" ref="BV116" ca="1">INDIRECT($BM$2&amp;BV$7&amp;$BT116,1)</f>
        <v>0</v>
      </c>
      <c r="BW116" s="539" cm="1">
        <f t="array" aca="1" ref="BW116" ca="1">INDIRECT($BM$2&amp;BW$7&amp;$BT116,1)</f>
        <v>0</v>
      </c>
      <c r="BX116" s="539" cm="1">
        <f t="array" aca="1" ref="BX116" ca="1">INDIRECT($BM$2&amp;BX$7&amp;$BT116,1)</f>
        <v>0</v>
      </c>
      <c r="BY116" s="539" cm="1">
        <f t="array" aca="1" ref="BY116" ca="1">INDIRECT($BM$2&amp;BY$7&amp;$BT116,1)</f>
        <v>0</v>
      </c>
      <c r="BZ116" s="539" t="str">
        <f t="shared" ca="1" si="86"/>
        <v>-</v>
      </c>
      <c r="CA116" s="494" t="s">
        <v>8222</v>
      </c>
      <c r="CC116" s="469">
        <v>11</v>
      </c>
      <c r="CD116" s="539" t="s">
        <v>8043</v>
      </c>
      <c r="CE116" s="539">
        <f t="shared" si="90"/>
        <v>817</v>
      </c>
      <c r="CF116" s="539" cm="1">
        <f t="array" aca="1" ref="CF116" ca="1">INDIRECT($BM$2&amp;CF$7&amp;$CE116,1)</f>
        <v>0</v>
      </c>
      <c r="CG116" s="539" cm="1">
        <f t="array" aca="1" ref="CG116" ca="1">INDIRECT($BM$2&amp;CG$7&amp;$CE116,1)</f>
        <v>0</v>
      </c>
      <c r="CH116" s="539" cm="1">
        <f t="array" aca="1" ref="CH116" ca="1">INDIRECT($BM$2&amp;CH$7&amp;$CE116,1)</f>
        <v>0</v>
      </c>
      <c r="CI116" s="539" cm="1">
        <f t="array" aca="1" ref="CI116" ca="1">INDIRECT($BM$2&amp;CI$7&amp;$CE116,1)</f>
        <v>0</v>
      </c>
      <c r="CJ116" s="539" cm="1">
        <f t="array" aca="1" ref="CJ116" ca="1">INDIRECT($BM$2&amp;CJ$7&amp;$CE116,1)</f>
        <v>0</v>
      </c>
      <c r="CK116" s="539" t="str">
        <f t="shared" ca="1" si="87"/>
        <v>-</v>
      </c>
      <c r="CL116" s="494" t="s">
        <v>8222</v>
      </c>
      <c r="CU116" s="469" t="s">
        <v>5510</v>
      </c>
      <c r="EQ116" s="469" t="s">
        <v>5510</v>
      </c>
      <c r="GC116" s="472" t="s">
        <v>5510</v>
      </c>
    </row>
    <row r="117" spans="1:185" x14ac:dyDescent="0.25">
      <c r="AF117" s="20"/>
      <c r="AV117" s="469" t="s">
        <v>5510</v>
      </c>
      <c r="AW117" s="648" t="s">
        <v>5571</v>
      </c>
      <c r="AX117" s="476" t="s">
        <v>7397</v>
      </c>
      <c r="AY117" s="476" t="s">
        <v>7392</v>
      </c>
      <c r="AZ117" s="501" cm="1">
        <f t="array" aca="1" ref="AZ117" ca="1">IF(
INDIRECT($AW117&amp;$AY117,1)&lt;&gt;"",
COUNTIF(INDIRECT($AW117&amp;$AX117,1),INDIRECT($AW117&amp;$AY117,1)),
1)</f>
        <v>1</v>
      </c>
      <c r="BA117" s="495" t="str">
        <f t="shared" ca="1" si="91"/>
        <v/>
      </c>
      <c r="BF117" s="469" t="s">
        <v>5510</v>
      </c>
      <c r="BG117" s="469">
        <v>12</v>
      </c>
      <c r="BH117" s="539" t="s">
        <v>8043</v>
      </c>
      <c r="BI117" s="539">
        <f t="shared" si="88"/>
        <v>126</v>
      </c>
      <c r="BJ117" s="539" cm="1">
        <f t="array" aca="1" ref="BJ117" ca="1">INDIRECT($BM$2&amp;BJ$7&amp;$BI117,1)</f>
        <v>0</v>
      </c>
      <c r="BK117" s="539" cm="1">
        <f t="array" aca="1" ref="BK117" ca="1">INDIRECT($BM$2&amp;BK$7&amp;$BI117,1)</f>
        <v>0</v>
      </c>
      <c r="BL117" s="539" cm="1">
        <f t="array" aca="1" ref="BL117" ca="1">INDIRECT($BM$2&amp;BL$7&amp;$BI117,1)</f>
        <v>0</v>
      </c>
      <c r="BM117" s="539" cm="1">
        <f t="array" aca="1" ref="BM117" ca="1">INDIRECT($BM$2&amp;BM$7&amp;$BI117,1)</f>
        <v>0</v>
      </c>
      <c r="BN117" s="539" t="str" cm="1">
        <f t="array" aca="1" ref="BN117" ca="1">INDIRECT($BM$2&amp;BN$7&amp;$BI117,1)</f>
        <v>-</v>
      </c>
      <c r="BO117" s="539" t="str">
        <f t="shared" ca="1" si="85"/>
        <v>-</v>
      </c>
      <c r="BP117" s="561" t="s">
        <v>8223</v>
      </c>
      <c r="BQ117" s="20"/>
      <c r="BR117" s="469">
        <v>12</v>
      </c>
      <c r="BS117" s="539" t="s">
        <v>8043</v>
      </c>
      <c r="BT117" s="539">
        <f t="shared" si="89"/>
        <v>472</v>
      </c>
      <c r="BU117" s="539" cm="1">
        <f t="array" aca="1" ref="BU117" ca="1">INDIRECT($BM$2&amp;BU$7&amp;$BT117,1)</f>
        <v>0</v>
      </c>
      <c r="BV117" s="539" cm="1">
        <f t="array" aca="1" ref="BV117" ca="1">INDIRECT($BM$2&amp;BV$7&amp;$BT117,1)</f>
        <v>0</v>
      </c>
      <c r="BW117" s="539" cm="1">
        <f t="array" aca="1" ref="BW117" ca="1">INDIRECT($BM$2&amp;BW$7&amp;$BT117,1)</f>
        <v>0</v>
      </c>
      <c r="BX117" s="539" cm="1">
        <f t="array" aca="1" ref="BX117" ca="1">INDIRECT($BM$2&amp;BX$7&amp;$BT117,1)</f>
        <v>0</v>
      </c>
      <c r="BY117" s="539" t="str" cm="1">
        <f t="array" aca="1" ref="BY117" ca="1">INDIRECT($BM$2&amp;BY$7&amp;$BT117,1)</f>
        <v>-</v>
      </c>
      <c r="BZ117" s="539" t="str">
        <f t="shared" ca="1" si="86"/>
        <v>-</v>
      </c>
      <c r="CA117" s="561" t="s">
        <v>8223</v>
      </c>
      <c r="CC117" s="469">
        <v>12</v>
      </c>
      <c r="CD117" s="539" t="s">
        <v>8043</v>
      </c>
      <c r="CE117" s="539">
        <f t="shared" si="90"/>
        <v>818</v>
      </c>
      <c r="CF117" s="539" cm="1">
        <f t="array" aca="1" ref="CF117" ca="1">INDIRECT($BM$2&amp;CF$7&amp;$CE117,1)</f>
        <v>0</v>
      </c>
      <c r="CG117" s="539" cm="1">
        <f t="array" aca="1" ref="CG117" ca="1">INDIRECT($BM$2&amp;CG$7&amp;$CE117,1)</f>
        <v>0</v>
      </c>
      <c r="CH117" s="539" cm="1">
        <f t="array" aca="1" ref="CH117" ca="1">INDIRECT($BM$2&amp;CH$7&amp;$CE117,1)</f>
        <v>0</v>
      </c>
      <c r="CI117" s="539" cm="1">
        <f t="array" aca="1" ref="CI117" ca="1">INDIRECT($BM$2&amp;CI$7&amp;$CE117,1)</f>
        <v>0</v>
      </c>
      <c r="CJ117" s="539" t="str" cm="1">
        <f t="array" aca="1" ref="CJ117" ca="1">INDIRECT($BM$2&amp;CJ$7&amp;$CE117,1)</f>
        <v>-</v>
      </c>
      <c r="CK117" s="539" t="str">
        <f t="shared" ca="1" si="87"/>
        <v>-</v>
      </c>
      <c r="CL117" s="561" t="s">
        <v>8223</v>
      </c>
      <c r="CU117" s="469" t="s">
        <v>5510</v>
      </c>
      <c r="EQ117" s="469" t="s">
        <v>5510</v>
      </c>
      <c r="GC117" s="472" t="s">
        <v>5510</v>
      </c>
    </row>
    <row r="118" spans="1:185" x14ac:dyDescent="0.25">
      <c r="AF118" s="20"/>
      <c r="AV118" s="469" t="s">
        <v>5510</v>
      </c>
      <c r="BF118" s="469" t="s">
        <v>5510</v>
      </c>
      <c r="BL118" s="372"/>
      <c r="BO118" s="472"/>
      <c r="BQ118" s="20"/>
      <c r="BT118" s="372"/>
      <c r="BU118" s="472"/>
      <c r="BV118" s="472"/>
      <c r="BW118" s="372"/>
      <c r="BX118" s="472"/>
      <c r="BY118" s="372"/>
      <c r="BZ118" s="472"/>
      <c r="CA118" s="372"/>
      <c r="CE118" s="372"/>
      <c r="CF118" s="472"/>
      <c r="CG118" s="472"/>
      <c r="CH118" s="372"/>
      <c r="CI118" s="472"/>
      <c r="CJ118" s="372"/>
      <c r="CK118" s="472"/>
      <c r="CL118" s="372"/>
      <c r="CU118" s="469" t="s">
        <v>5510</v>
      </c>
      <c r="EQ118" s="469" t="s">
        <v>5510</v>
      </c>
      <c r="GC118" s="472" t="s">
        <v>5510</v>
      </c>
    </row>
    <row r="119" spans="1:185" x14ac:dyDescent="0.25">
      <c r="AF119" s="20"/>
      <c r="AV119" s="469" t="s">
        <v>5510</v>
      </c>
      <c r="BF119" s="469" t="s">
        <v>5510</v>
      </c>
      <c r="BL119" s="372"/>
      <c r="BO119" s="472"/>
      <c r="BQ119" s="20"/>
      <c r="BT119" s="372"/>
      <c r="BU119" s="472"/>
      <c r="BV119" s="472"/>
      <c r="BW119" s="372"/>
      <c r="BX119" s="472"/>
      <c r="BY119" s="372"/>
      <c r="BZ119" s="472"/>
      <c r="CA119" s="372"/>
      <c r="CE119" s="372"/>
      <c r="CF119" s="472"/>
      <c r="CG119" s="472"/>
      <c r="CH119" s="372"/>
      <c r="CI119" s="472"/>
      <c r="CJ119" s="372"/>
      <c r="CK119" s="472"/>
      <c r="CL119" s="372"/>
      <c r="CU119" s="469" t="s">
        <v>5510</v>
      </c>
      <c r="EQ119" s="469" t="s">
        <v>5510</v>
      </c>
      <c r="GC119" s="472" t="s">
        <v>5510</v>
      </c>
    </row>
    <row r="120" spans="1:185" x14ac:dyDescent="0.25">
      <c r="AF120" s="20"/>
      <c r="AV120" s="469" t="s">
        <v>5510</v>
      </c>
      <c r="BF120" s="469" t="s">
        <v>5510</v>
      </c>
      <c r="BQ120" s="20"/>
      <c r="BT120" s="372"/>
      <c r="BU120" s="472"/>
      <c r="BV120" s="472"/>
      <c r="BW120" s="472"/>
      <c r="BX120" s="472"/>
      <c r="BY120" s="372"/>
      <c r="BZ120" s="372"/>
      <c r="CA120" s="372"/>
      <c r="CE120" s="372"/>
      <c r="CF120" s="472"/>
      <c r="CG120" s="472"/>
      <c r="CH120" s="472"/>
      <c r="CI120" s="472"/>
      <c r="CJ120" s="372"/>
      <c r="CK120" s="372"/>
      <c r="CL120" s="372"/>
      <c r="CU120" s="469" t="s">
        <v>5510</v>
      </c>
      <c r="EQ120" s="469" t="s">
        <v>5510</v>
      </c>
      <c r="GC120" s="472" t="s">
        <v>5510</v>
      </c>
    </row>
    <row r="121" spans="1:185" x14ac:dyDescent="0.25">
      <c r="AF121" s="20"/>
      <c r="AV121" s="469" t="s">
        <v>5510</v>
      </c>
      <c r="AW121" s="650"/>
      <c r="BF121" s="469" t="s">
        <v>5510</v>
      </c>
      <c r="BQ121" s="20"/>
      <c r="BT121" s="372"/>
      <c r="BU121" s="472"/>
      <c r="BV121" s="472"/>
      <c r="BW121" s="472"/>
      <c r="BX121" s="472"/>
      <c r="BY121" s="372"/>
      <c r="BZ121" s="372"/>
      <c r="CA121" s="372"/>
      <c r="CE121" s="372"/>
      <c r="CF121" s="472"/>
      <c r="CG121" s="472"/>
      <c r="CH121" s="472"/>
      <c r="CI121" s="472"/>
      <c r="CJ121" s="372"/>
      <c r="CK121" s="372"/>
      <c r="CL121" s="372"/>
      <c r="CU121" s="469" t="s">
        <v>5510</v>
      </c>
      <c r="EQ121" s="469" t="s">
        <v>5510</v>
      </c>
      <c r="GC121" s="472" t="s">
        <v>5510</v>
      </c>
    </row>
    <row r="122" spans="1:185" x14ac:dyDescent="0.25">
      <c r="AF122" s="20"/>
      <c r="AV122" s="469" t="s">
        <v>5510</v>
      </c>
      <c r="AW122" s="650"/>
      <c r="BF122" s="469" t="s">
        <v>5510</v>
      </c>
      <c r="BG122" s="469">
        <v>1</v>
      </c>
      <c r="BH122" s="539" t="s">
        <v>8044</v>
      </c>
      <c r="BI122" s="539">
        <f>BI117+$BO$5</f>
        <v>132</v>
      </c>
      <c r="BJ122" s="539" cm="1">
        <f t="array" aca="1" ref="BJ122" ca="1">INDIRECT($BM$2&amp;BJ$7&amp;$BI122,1)</f>
        <v>0</v>
      </c>
      <c r="BK122" s="539" cm="1">
        <f t="array" aca="1" ref="BK122" ca="1">INDIRECT($BM$2&amp;BK$7&amp;$BI122,1)</f>
        <v>0</v>
      </c>
      <c r="BL122" s="539" cm="1">
        <f t="array" aca="1" ref="BL122" ca="1">INDIRECT($BM$2&amp;BL$7&amp;$BI122,1)</f>
        <v>0</v>
      </c>
      <c r="BM122" s="539" cm="1">
        <f t="array" aca="1" ref="BM122" ca="1">INDIRECT($BM$2&amp;BM$7&amp;$BI122,1)</f>
        <v>0</v>
      </c>
      <c r="BN122" s="539" cm="1">
        <f t="array" aca="1" ref="BN122" ca="1">INDIRECT($BM$2&amp;BN$7&amp;$BI122,1)</f>
        <v>0</v>
      </c>
      <c r="BO122" s="539" t="str">
        <f ca="1">IFERROR(BK122/BK$122,"-")</f>
        <v>-</v>
      </c>
      <c r="BP122" s="540" t="s">
        <v>8221</v>
      </c>
      <c r="BQ122" s="20"/>
      <c r="BR122" s="469">
        <v>1</v>
      </c>
      <c r="BS122" s="539" t="s">
        <v>8044</v>
      </c>
      <c r="BT122" s="539">
        <f>BT117+$BO$5</f>
        <v>478</v>
      </c>
      <c r="BU122" s="539" cm="1">
        <f t="array" aca="1" ref="BU122" ca="1">INDIRECT($BM$2&amp;BU$7&amp;$BT122,1)</f>
        <v>0</v>
      </c>
      <c r="BV122" s="539" cm="1">
        <f t="array" aca="1" ref="BV122" ca="1">INDIRECT($BM$2&amp;BV$7&amp;$BT122,1)</f>
        <v>0</v>
      </c>
      <c r="BW122" s="539" cm="1">
        <f t="array" aca="1" ref="BW122" ca="1">INDIRECT($BM$2&amp;BW$7&amp;$BT122,1)</f>
        <v>0</v>
      </c>
      <c r="BX122" s="539" cm="1">
        <f t="array" aca="1" ref="BX122" ca="1">INDIRECT($BM$2&amp;BX$7&amp;$BT122,1)</f>
        <v>0</v>
      </c>
      <c r="BY122" s="539" cm="1">
        <f t="array" aca="1" ref="BY122" ca="1">INDIRECT($BM$2&amp;BY$7&amp;$BT122,1)</f>
        <v>0</v>
      </c>
      <c r="BZ122" s="539" t="str">
        <f ca="1">IFERROR(BV122/BV$122,"-")</f>
        <v>-</v>
      </c>
      <c r="CA122" s="540" t="s">
        <v>8221</v>
      </c>
      <c r="CC122" s="469">
        <v>1</v>
      </c>
      <c r="CD122" s="539" t="s">
        <v>8044</v>
      </c>
      <c r="CE122" s="539">
        <f>CE117+$BO$5</f>
        <v>824</v>
      </c>
      <c r="CF122" s="539" cm="1">
        <f t="array" aca="1" ref="CF122" ca="1">INDIRECT($BM$2&amp;CF$7&amp;$CE122,1)</f>
        <v>0</v>
      </c>
      <c r="CG122" s="539" cm="1">
        <f t="array" aca="1" ref="CG122" ca="1">INDIRECT($BM$2&amp;CG$7&amp;$CE122,1)</f>
        <v>0</v>
      </c>
      <c r="CH122" s="539" cm="1">
        <f t="array" aca="1" ref="CH122" ca="1">INDIRECT($BM$2&amp;CH$7&amp;$CE122,1)</f>
        <v>0</v>
      </c>
      <c r="CI122" s="539" cm="1">
        <f t="array" aca="1" ref="CI122" ca="1">INDIRECT($BM$2&amp;CI$7&amp;$CE122,1)</f>
        <v>0</v>
      </c>
      <c r="CJ122" s="539" cm="1">
        <f t="array" aca="1" ref="CJ122" ca="1">INDIRECT($BM$2&amp;CJ$7&amp;$CE122,1)</f>
        <v>0</v>
      </c>
      <c r="CK122" s="539" t="str">
        <f ca="1">IFERROR(CG122/CG$122,"-")</f>
        <v>-</v>
      </c>
      <c r="CL122" s="540" t="s">
        <v>8221</v>
      </c>
      <c r="CU122" s="469" t="s">
        <v>5510</v>
      </c>
      <c r="EQ122" s="469" t="s">
        <v>5510</v>
      </c>
      <c r="GC122" s="472" t="s">
        <v>5510</v>
      </c>
    </row>
    <row r="123" spans="1:185" x14ac:dyDescent="0.25">
      <c r="A123" s="481" t="s">
        <v>5791</v>
      </c>
      <c r="B123" s="481" t="s">
        <v>5791</v>
      </c>
      <c r="C123" s="481" t="s">
        <v>5791</v>
      </c>
      <c r="D123" s="481" t="s">
        <v>5791</v>
      </c>
      <c r="E123" s="481" t="s">
        <v>5791</v>
      </c>
      <c r="F123" s="481" t="s">
        <v>5791</v>
      </c>
      <c r="G123" s="481" t="s">
        <v>5791</v>
      </c>
      <c r="H123" s="481" t="s">
        <v>5791</v>
      </c>
      <c r="I123" s="481" t="s">
        <v>5791</v>
      </c>
      <c r="J123" s="481" t="s">
        <v>5791</v>
      </c>
      <c r="K123" s="481" t="s">
        <v>5791</v>
      </c>
      <c r="L123" s="481" t="s">
        <v>5791</v>
      </c>
      <c r="AF123" s="20"/>
      <c r="AV123" s="469" t="s">
        <v>5510</v>
      </c>
      <c r="AW123" s="650"/>
      <c r="BF123" s="469" t="s">
        <v>5510</v>
      </c>
      <c r="BG123" s="469">
        <v>2</v>
      </c>
      <c r="BH123" s="539" t="s">
        <v>8044</v>
      </c>
      <c r="BI123" s="539">
        <f>BI122+1</f>
        <v>133</v>
      </c>
      <c r="BJ123" s="539" cm="1">
        <f t="array" aca="1" ref="BJ123" ca="1">INDIRECT($BM$2&amp;BJ$7&amp;$BI123,1)</f>
        <v>0</v>
      </c>
      <c r="BK123" s="539" cm="1">
        <f t="array" aca="1" ref="BK123" ca="1">INDIRECT($BM$2&amp;BK$7&amp;$BI123,1)</f>
        <v>0</v>
      </c>
      <c r="BL123" s="539" cm="1">
        <f t="array" aca="1" ref="BL123" ca="1">INDIRECT($BM$2&amp;BL$7&amp;$BI123,1)</f>
        <v>0</v>
      </c>
      <c r="BM123" s="539" cm="1">
        <f t="array" aca="1" ref="BM123" ca="1">INDIRECT($BM$2&amp;BM$7&amp;$BI123,1)</f>
        <v>0</v>
      </c>
      <c r="BN123" s="539" cm="1">
        <f t="array" aca="1" ref="BN123" ca="1">INDIRECT($BM$2&amp;BN$7&amp;$BI123,1)</f>
        <v>0</v>
      </c>
      <c r="BO123" s="539" t="str">
        <f t="shared" ref="BO123:BO133" ca="1" si="92">IF(BK123=0,"-",IFERROR(BK123/BK$122,"-"))</f>
        <v>-</v>
      </c>
      <c r="BP123" s="494" t="s">
        <v>8222</v>
      </c>
      <c r="BQ123" s="20"/>
      <c r="BR123" s="469">
        <v>2</v>
      </c>
      <c r="BS123" s="539" t="s">
        <v>8044</v>
      </c>
      <c r="BT123" s="539">
        <f>BT122+1</f>
        <v>479</v>
      </c>
      <c r="BU123" s="539" cm="1">
        <f t="array" aca="1" ref="BU123" ca="1">INDIRECT($BM$2&amp;BU$7&amp;$BT123,1)</f>
        <v>0</v>
      </c>
      <c r="BV123" s="539" cm="1">
        <f t="array" aca="1" ref="BV123" ca="1">INDIRECT($BM$2&amp;BV$7&amp;$BT123,1)</f>
        <v>0</v>
      </c>
      <c r="BW123" s="539" cm="1">
        <f t="array" aca="1" ref="BW123" ca="1">INDIRECT($BM$2&amp;BW$7&amp;$BT123,1)</f>
        <v>0</v>
      </c>
      <c r="BX123" s="539" cm="1">
        <f t="array" aca="1" ref="BX123" ca="1">INDIRECT($BM$2&amp;BX$7&amp;$BT123,1)</f>
        <v>0</v>
      </c>
      <c r="BY123" s="539" cm="1">
        <f t="array" aca="1" ref="BY123" ca="1">INDIRECT($BM$2&amp;BY$7&amp;$BT123,1)</f>
        <v>0</v>
      </c>
      <c r="BZ123" s="539" t="str">
        <f t="shared" ref="BZ123:BZ133" ca="1" si="93">IF(BV123=0,"-",IFERROR(BV123/BV$122,"-"))</f>
        <v>-</v>
      </c>
      <c r="CA123" s="494" t="s">
        <v>8222</v>
      </c>
      <c r="CC123" s="469">
        <v>2</v>
      </c>
      <c r="CD123" s="539" t="s">
        <v>8044</v>
      </c>
      <c r="CE123" s="539">
        <f>CE122+1</f>
        <v>825</v>
      </c>
      <c r="CF123" s="539" cm="1">
        <f t="array" aca="1" ref="CF123" ca="1">INDIRECT($BM$2&amp;CF$7&amp;$CE123,1)</f>
        <v>0</v>
      </c>
      <c r="CG123" s="539" cm="1">
        <f t="array" aca="1" ref="CG123" ca="1">INDIRECT($BM$2&amp;CG$7&amp;$CE123,1)</f>
        <v>0</v>
      </c>
      <c r="CH123" s="539" cm="1">
        <f t="array" aca="1" ref="CH123" ca="1">INDIRECT($BM$2&amp;CH$7&amp;$CE123,1)</f>
        <v>0</v>
      </c>
      <c r="CI123" s="539" cm="1">
        <f t="array" aca="1" ref="CI123" ca="1">INDIRECT($BM$2&amp;CI$7&amp;$CE123,1)</f>
        <v>0</v>
      </c>
      <c r="CJ123" s="539" cm="1">
        <f t="array" aca="1" ref="CJ123" ca="1">INDIRECT($BM$2&amp;CJ$7&amp;$CE123,1)</f>
        <v>0</v>
      </c>
      <c r="CK123" s="539" t="str">
        <f t="shared" ref="CK123:CK133" ca="1" si="94">IF(CG123=0,"-",IFERROR(CG123/CG$122,"-"))</f>
        <v>-</v>
      </c>
      <c r="CL123" s="494" t="s">
        <v>8222</v>
      </c>
      <c r="CU123" s="469" t="s">
        <v>5510</v>
      </c>
      <c r="EQ123" s="469" t="s">
        <v>5510</v>
      </c>
      <c r="GC123" s="472" t="s">
        <v>5510</v>
      </c>
    </row>
    <row r="124" spans="1:185" x14ac:dyDescent="0.25">
      <c r="AF124" s="20"/>
      <c r="AV124" s="469" t="s">
        <v>5510</v>
      </c>
      <c r="BF124" s="469" t="s">
        <v>5510</v>
      </c>
      <c r="BG124" s="469">
        <v>3</v>
      </c>
      <c r="BH124" s="539" t="s">
        <v>8044</v>
      </c>
      <c r="BI124" s="539">
        <f t="shared" ref="BI124:BI133" si="95">BI123+1</f>
        <v>134</v>
      </c>
      <c r="BJ124" s="539" cm="1">
        <f t="array" aca="1" ref="BJ124" ca="1">INDIRECT($BM$2&amp;BJ$7&amp;$BI124,1)</f>
        <v>0</v>
      </c>
      <c r="BK124" s="539" cm="1">
        <f t="array" aca="1" ref="BK124" ca="1">INDIRECT($BM$2&amp;BK$7&amp;$BI124,1)</f>
        <v>0</v>
      </c>
      <c r="BL124" s="539" cm="1">
        <f t="array" aca="1" ref="BL124" ca="1">INDIRECT($BM$2&amp;BL$7&amp;$BI124,1)</f>
        <v>0</v>
      </c>
      <c r="BM124" s="539" cm="1">
        <f t="array" aca="1" ref="BM124" ca="1">INDIRECT($BM$2&amp;BM$7&amp;$BI124,1)</f>
        <v>0</v>
      </c>
      <c r="BN124" s="539" cm="1">
        <f t="array" aca="1" ref="BN124" ca="1">INDIRECT($BM$2&amp;BN$7&amp;$BI124,1)</f>
        <v>0</v>
      </c>
      <c r="BO124" s="539" t="str">
        <f t="shared" ca="1" si="92"/>
        <v>-</v>
      </c>
      <c r="BP124" s="494" t="s">
        <v>8222</v>
      </c>
      <c r="BQ124" s="20"/>
      <c r="BR124" s="469">
        <v>3</v>
      </c>
      <c r="BS124" s="539" t="s">
        <v>8044</v>
      </c>
      <c r="BT124" s="539">
        <f t="shared" ref="BT124:BT133" si="96">BT123+1</f>
        <v>480</v>
      </c>
      <c r="BU124" s="539" cm="1">
        <f t="array" aca="1" ref="BU124" ca="1">INDIRECT($BM$2&amp;BU$7&amp;$BT124,1)</f>
        <v>0</v>
      </c>
      <c r="BV124" s="539" cm="1">
        <f t="array" aca="1" ref="BV124" ca="1">INDIRECT($BM$2&amp;BV$7&amp;$BT124,1)</f>
        <v>0</v>
      </c>
      <c r="BW124" s="539" cm="1">
        <f t="array" aca="1" ref="BW124" ca="1">INDIRECT($BM$2&amp;BW$7&amp;$BT124,1)</f>
        <v>0</v>
      </c>
      <c r="BX124" s="539" cm="1">
        <f t="array" aca="1" ref="BX124" ca="1">INDIRECT($BM$2&amp;BX$7&amp;$BT124,1)</f>
        <v>0</v>
      </c>
      <c r="BY124" s="539" cm="1">
        <f t="array" aca="1" ref="BY124" ca="1">INDIRECT($BM$2&amp;BY$7&amp;$BT124,1)</f>
        <v>0</v>
      </c>
      <c r="BZ124" s="539" t="str">
        <f t="shared" ca="1" si="93"/>
        <v>-</v>
      </c>
      <c r="CA124" s="494" t="s">
        <v>8222</v>
      </c>
      <c r="CC124" s="469">
        <v>3</v>
      </c>
      <c r="CD124" s="539" t="s">
        <v>8044</v>
      </c>
      <c r="CE124" s="539">
        <f t="shared" ref="CE124:CE133" si="97">CE123+1</f>
        <v>826</v>
      </c>
      <c r="CF124" s="539" cm="1">
        <f t="array" aca="1" ref="CF124" ca="1">INDIRECT($BM$2&amp;CF$7&amp;$CE124,1)</f>
        <v>0</v>
      </c>
      <c r="CG124" s="539" cm="1">
        <f t="array" aca="1" ref="CG124" ca="1">INDIRECT($BM$2&amp;CG$7&amp;$CE124,1)</f>
        <v>0</v>
      </c>
      <c r="CH124" s="539" cm="1">
        <f t="array" aca="1" ref="CH124" ca="1">INDIRECT($BM$2&amp;CH$7&amp;$CE124,1)</f>
        <v>0</v>
      </c>
      <c r="CI124" s="539" cm="1">
        <f t="array" aca="1" ref="CI124" ca="1">INDIRECT($BM$2&amp;CI$7&amp;$CE124,1)</f>
        <v>0</v>
      </c>
      <c r="CJ124" s="539" cm="1">
        <f t="array" aca="1" ref="CJ124" ca="1">INDIRECT($BM$2&amp;CJ$7&amp;$CE124,1)</f>
        <v>0</v>
      </c>
      <c r="CK124" s="539" t="str">
        <f t="shared" ca="1" si="94"/>
        <v>-</v>
      </c>
      <c r="CL124" s="494" t="s">
        <v>8222</v>
      </c>
      <c r="CU124" s="469" t="s">
        <v>5510</v>
      </c>
      <c r="EQ124" s="469" t="s">
        <v>5510</v>
      </c>
      <c r="GC124" s="472" t="s">
        <v>5510</v>
      </c>
    </row>
    <row r="125" spans="1:185" x14ac:dyDescent="0.25">
      <c r="AV125" s="469" t="s">
        <v>5510</v>
      </c>
      <c r="BF125" s="469" t="s">
        <v>5510</v>
      </c>
      <c r="BG125" s="469">
        <v>4</v>
      </c>
      <c r="BH125" s="539" t="s">
        <v>8044</v>
      </c>
      <c r="BI125" s="539">
        <f t="shared" si="95"/>
        <v>135</v>
      </c>
      <c r="BJ125" s="539" cm="1">
        <f t="array" aca="1" ref="BJ125" ca="1">INDIRECT($BM$2&amp;BJ$7&amp;$BI125,1)</f>
        <v>0</v>
      </c>
      <c r="BK125" s="539" cm="1">
        <f t="array" aca="1" ref="BK125" ca="1">INDIRECT($BM$2&amp;BK$7&amp;$BI125,1)</f>
        <v>0</v>
      </c>
      <c r="BL125" s="539" cm="1">
        <f t="array" aca="1" ref="BL125" ca="1">INDIRECT($BM$2&amp;BL$7&amp;$BI125,1)</f>
        <v>0</v>
      </c>
      <c r="BM125" s="539" cm="1">
        <f t="array" aca="1" ref="BM125" ca="1">INDIRECT($BM$2&amp;BM$7&amp;$BI125,1)</f>
        <v>0</v>
      </c>
      <c r="BN125" s="539" cm="1">
        <f t="array" aca="1" ref="BN125" ca="1">INDIRECT($BM$2&amp;BN$7&amp;$BI125,1)</f>
        <v>0</v>
      </c>
      <c r="BO125" s="539" t="str">
        <f t="shared" ca="1" si="92"/>
        <v>-</v>
      </c>
      <c r="BP125" s="494" t="s">
        <v>8222</v>
      </c>
      <c r="BQ125" s="20"/>
      <c r="BR125" s="469">
        <v>4</v>
      </c>
      <c r="BS125" s="539" t="s">
        <v>8044</v>
      </c>
      <c r="BT125" s="539">
        <f t="shared" si="96"/>
        <v>481</v>
      </c>
      <c r="BU125" s="539" cm="1">
        <f t="array" aca="1" ref="BU125" ca="1">INDIRECT($BM$2&amp;BU$7&amp;$BT125,1)</f>
        <v>0</v>
      </c>
      <c r="BV125" s="539" cm="1">
        <f t="array" aca="1" ref="BV125" ca="1">INDIRECT($BM$2&amp;BV$7&amp;$BT125,1)</f>
        <v>0</v>
      </c>
      <c r="BW125" s="539" cm="1">
        <f t="array" aca="1" ref="BW125" ca="1">INDIRECT($BM$2&amp;BW$7&amp;$BT125,1)</f>
        <v>0</v>
      </c>
      <c r="BX125" s="539" cm="1">
        <f t="array" aca="1" ref="BX125" ca="1">INDIRECT($BM$2&amp;BX$7&amp;$BT125,1)</f>
        <v>0</v>
      </c>
      <c r="BY125" s="539" cm="1">
        <f t="array" aca="1" ref="BY125" ca="1">INDIRECT($BM$2&amp;BY$7&amp;$BT125,1)</f>
        <v>0</v>
      </c>
      <c r="BZ125" s="539" t="str">
        <f t="shared" ca="1" si="93"/>
        <v>-</v>
      </c>
      <c r="CA125" s="494" t="s">
        <v>8222</v>
      </c>
      <c r="CC125" s="469">
        <v>4</v>
      </c>
      <c r="CD125" s="539" t="s">
        <v>8044</v>
      </c>
      <c r="CE125" s="539">
        <f t="shared" si="97"/>
        <v>827</v>
      </c>
      <c r="CF125" s="539" cm="1">
        <f t="array" aca="1" ref="CF125" ca="1">INDIRECT($BM$2&amp;CF$7&amp;$CE125,1)</f>
        <v>0</v>
      </c>
      <c r="CG125" s="539" cm="1">
        <f t="array" aca="1" ref="CG125" ca="1">INDIRECT($BM$2&amp;CG$7&amp;$CE125,1)</f>
        <v>0</v>
      </c>
      <c r="CH125" s="539" cm="1">
        <f t="array" aca="1" ref="CH125" ca="1">INDIRECT($BM$2&amp;CH$7&amp;$CE125,1)</f>
        <v>0</v>
      </c>
      <c r="CI125" s="539" cm="1">
        <f t="array" aca="1" ref="CI125" ca="1">INDIRECT($BM$2&amp;CI$7&amp;$CE125,1)</f>
        <v>0</v>
      </c>
      <c r="CJ125" s="539" cm="1">
        <f t="array" aca="1" ref="CJ125" ca="1">INDIRECT($BM$2&amp;CJ$7&amp;$CE125,1)</f>
        <v>0</v>
      </c>
      <c r="CK125" s="539" t="str">
        <f t="shared" ca="1" si="94"/>
        <v>-</v>
      </c>
      <c r="CL125" s="494" t="s">
        <v>8222</v>
      </c>
      <c r="CU125" s="469" t="s">
        <v>5510</v>
      </c>
      <c r="EQ125" s="469" t="s">
        <v>5510</v>
      </c>
      <c r="GC125" s="472" t="s">
        <v>5510</v>
      </c>
    </row>
    <row r="126" spans="1:185" x14ac:dyDescent="0.25">
      <c r="AV126" s="469" t="s">
        <v>5510</v>
      </c>
      <c r="BF126" s="469" t="s">
        <v>5510</v>
      </c>
      <c r="BG126" s="469">
        <v>5</v>
      </c>
      <c r="BH126" s="539" t="s">
        <v>8044</v>
      </c>
      <c r="BI126" s="539">
        <f t="shared" si="95"/>
        <v>136</v>
      </c>
      <c r="BJ126" s="539" cm="1">
        <f t="array" aca="1" ref="BJ126" ca="1">INDIRECT($BM$2&amp;BJ$7&amp;$BI126,1)</f>
        <v>0</v>
      </c>
      <c r="BK126" s="539" cm="1">
        <f t="array" aca="1" ref="BK126" ca="1">INDIRECT($BM$2&amp;BK$7&amp;$BI126,1)</f>
        <v>0</v>
      </c>
      <c r="BL126" s="539" cm="1">
        <f t="array" aca="1" ref="BL126" ca="1">INDIRECT($BM$2&amp;BL$7&amp;$BI126,1)</f>
        <v>0</v>
      </c>
      <c r="BM126" s="539" cm="1">
        <f t="array" aca="1" ref="BM126" ca="1">INDIRECT($BM$2&amp;BM$7&amp;$BI126,1)</f>
        <v>0</v>
      </c>
      <c r="BN126" s="539" cm="1">
        <f t="array" aca="1" ref="BN126" ca="1">INDIRECT($BM$2&amp;BN$7&amp;$BI126,1)</f>
        <v>0</v>
      </c>
      <c r="BO126" s="539" t="str">
        <f t="shared" ca="1" si="92"/>
        <v>-</v>
      </c>
      <c r="BP126" s="494" t="s">
        <v>8222</v>
      </c>
      <c r="BQ126" s="20"/>
      <c r="BR126" s="469">
        <v>5</v>
      </c>
      <c r="BS126" s="539" t="s">
        <v>8044</v>
      </c>
      <c r="BT126" s="539">
        <f t="shared" si="96"/>
        <v>482</v>
      </c>
      <c r="BU126" s="539" cm="1">
        <f t="array" aca="1" ref="BU126" ca="1">INDIRECT($BM$2&amp;BU$7&amp;$BT126,1)</f>
        <v>0</v>
      </c>
      <c r="BV126" s="539" cm="1">
        <f t="array" aca="1" ref="BV126" ca="1">INDIRECT($BM$2&amp;BV$7&amp;$BT126,1)</f>
        <v>0</v>
      </c>
      <c r="BW126" s="539" cm="1">
        <f t="array" aca="1" ref="BW126" ca="1">INDIRECT($BM$2&amp;BW$7&amp;$BT126,1)</f>
        <v>0</v>
      </c>
      <c r="BX126" s="539" cm="1">
        <f t="array" aca="1" ref="BX126" ca="1">INDIRECT($BM$2&amp;BX$7&amp;$BT126,1)</f>
        <v>0</v>
      </c>
      <c r="BY126" s="539" cm="1">
        <f t="array" aca="1" ref="BY126" ca="1">INDIRECT($BM$2&amp;BY$7&amp;$BT126,1)</f>
        <v>0</v>
      </c>
      <c r="BZ126" s="539" t="str">
        <f t="shared" ca="1" si="93"/>
        <v>-</v>
      </c>
      <c r="CA126" s="494" t="s">
        <v>8222</v>
      </c>
      <c r="CC126" s="469">
        <v>5</v>
      </c>
      <c r="CD126" s="539" t="s">
        <v>8044</v>
      </c>
      <c r="CE126" s="539">
        <f t="shared" si="97"/>
        <v>828</v>
      </c>
      <c r="CF126" s="539" cm="1">
        <f t="array" aca="1" ref="CF126" ca="1">INDIRECT($BM$2&amp;CF$7&amp;$CE126,1)</f>
        <v>0</v>
      </c>
      <c r="CG126" s="539" cm="1">
        <f t="array" aca="1" ref="CG126" ca="1">INDIRECT($BM$2&amp;CG$7&amp;$CE126,1)</f>
        <v>0</v>
      </c>
      <c r="CH126" s="539" cm="1">
        <f t="array" aca="1" ref="CH126" ca="1">INDIRECT($BM$2&amp;CH$7&amp;$CE126,1)</f>
        <v>0</v>
      </c>
      <c r="CI126" s="539" cm="1">
        <f t="array" aca="1" ref="CI126" ca="1">INDIRECT($BM$2&amp;CI$7&amp;$CE126,1)</f>
        <v>0</v>
      </c>
      <c r="CJ126" s="539" cm="1">
        <f t="array" aca="1" ref="CJ126" ca="1">INDIRECT($BM$2&amp;CJ$7&amp;$CE126,1)</f>
        <v>0</v>
      </c>
      <c r="CK126" s="539" t="str">
        <f t="shared" ca="1" si="94"/>
        <v>-</v>
      </c>
      <c r="CL126" s="494" t="s">
        <v>8222</v>
      </c>
      <c r="CU126" s="469" t="s">
        <v>5510</v>
      </c>
      <c r="EQ126" s="469" t="s">
        <v>5510</v>
      </c>
      <c r="GC126" s="472" t="s">
        <v>5510</v>
      </c>
    </row>
    <row r="127" spans="1:185" x14ac:dyDescent="0.25">
      <c r="AV127" s="469" t="s">
        <v>5510</v>
      </c>
      <c r="BF127" s="469" t="s">
        <v>5510</v>
      </c>
      <c r="BG127" s="469">
        <v>6</v>
      </c>
      <c r="BH127" s="539" t="s">
        <v>8044</v>
      </c>
      <c r="BI127" s="539">
        <f t="shared" si="95"/>
        <v>137</v>
      </c>
      <c r="BJ127" s="539" cm="1">
        <f t="array" aca="1" ref="BJ127" ca="1">INDIRECT($BM$2&amp;BJ$7&amp;$BI127,1)</f>
        <v>0</v>
      </c>
      <c r="BK127" s="539" cm="1">
        <f t="array" aca="1" ref="BK127" ca="1">INDIRECT($BM$2&amp;BK$7&amp;$BI127,1)</f>
        <v>0</v>
      </c>
      <c r="BL127" s="539" cm="1">
        <f t="array" aca="1" ref="BL127" ca="1">INDIRECT($BM$2&amp;BL$7&amp;$BI127,1)</f>
        <v>0</v>
      </c>
      <c r="BM127" s="539" cm="1">
        <f t="array" aca="1" ref="BM127" ca="1">INDIRECT($BM$2&amp;BM$7&amp;$BI127,1)</f>
        <v>0</v>
      </c>
      <c r="BN127" s="539" cm="1">
        <f t="array" aca="1" ref="BN127" ca="1">INDIRECT($BM$2&amp;BN$7&amp;$BI127,1)</f>
        <v>0</v>
      </c>
      <c r="BO127" s="539" t="str">
        <f t="shared" ca="1" si="92"/>
        <v>-</v>
      </c>
      <c r="BP127" s="494" t="s">
        <v>8222</v>
      </c>
      <c r="BQ127" s="20"/>
      <c r="BR127" s="469">
        <v>6</v>
      </c>
      <c r="BS127" s="539" t="s">
        <v>8044</v>
      </c>
      <c r="BT127" s="539">
        <f t="shared" si="96"/>
        <v>483</v>
      </c>
      <c r="BU127" s="539" cm="1">
        <f t="array" aca="1" ref="BU127" ca="1">INDIRECT($BM$2&amp;BU$7&amp;$BT127,1)</f>
        <v>0</v>
      </c>
      <c r="BV127" s="539" cm="1">
        <f t="array" aca="1" ref="BV127" ca="1">INDIRECT($BM$2&amp;BV$7&amp;$BT127,1)</f>
        <v>0</v>
      </c>
      <c r="BW127" s="539" cm="1">
        <f t="array" aca="1" ref="BW127" ca="1">INDIRECT($BM$2&amp;BW$7&amp;$BT127,1)</f>
        <v>0</v>
      </c>
      <c r="BX127" s="539" cm="1">
        <f t="array" aca="1" ref="BX127" ca="1">INDIRECT($BM$2&amp;BX$7&amp;$BT127,1)</f>
        <v>0</v>
      </c>
      <c r="BY127" s="539" cm="1">
        <f t="array" aca="1" ref="BY127" ca="1">INDIRECT($BM$2&amp;BY$7&amp;$BT127,1)</f>
        <v>0</v>
      </c>
      <c r="BZ127" s="539" t="str">
        <f t="shared" ca="1" si="93"/>
        <v>-</v>
      </c>
      <c r="CA127" s="494" t="s">
        <v>8222</v>
      </c>
      <c r="CC127" s="469">
        <v>6</v>
      </c>
      <c r="CD127" s="539" t="s">
        <v>8044</v>
      </c>
      <c r="CE127" s="539">
        <f t="shared" si="97"/>
        <v>829</v>
      </c>
      <c r="CF127" s="539" cm="1">
        <f t="array" aca="1" ref="CF127" ca="1">INDIRECT($BM$2&amp;CF$7&amp;$CE127,1)</f>
        <v>0</v>
      </c>
      <c r="CG127" s="539" cm="1">
        <f t="array" aca="1" ref="CG127" ca="1">INDIRECT($BM$2&amp;CG$7&amp;$CE127,1)</f>
        <v>0</v>
      </c>
      <c r="CH127" s="539" cm="1">
        <f t="array" aca="1" ref="CH127" ca="1">INDIRECT($BM$2&amp;CH$7&amp;$CE127,1)</f>
        <v>0</v>
      </c>
      <c r="CI127" s="539" cm="1">
        <f t="array" aca="1" ref="CI127" ca="1">INDIRECT($BM$2&amp;CI$7&amp;$CE127,1)</f>
        <v>0</v>
      </c>
      <c r="CJ127" s="539" cm="1">
        <f t="array" aca="1" ref="CJ127" ca="1">INDIRECT($BM$2&amp;CJ$7&amp;$CE127,1)</f>
        <v>0</v>
      </c>
      <c r="CK127" s="539" t="str">
        <f t="shared" ca="1" si="94"/>
        <v>-</v>
      </c>
      <c r="CL127" s="494" t="s">
        <v>8222</v>
      </c>
      <c r="CU127" s="469" t="s">
        <v>5510</v>
      </c>
      <c r="EQ127" s="469" t="s">
        <v>5510</v>
      </c>
      <c r="GC127" s="472" t="s">
        <v>5510</v>
      </c>
    </row>
    <row r="128" spans="1:185" x14ac:dyDescent="0.25">
      <c r="AV128" s="469" t="s">
        <v>5510</v>
      </c>
      <c r="BF128" s="469" t="s">
        <v>5510</v>
      </c>
      <c r="BG128" s="469">
        <v>7</v>
      </c>
      <c r="BH128" s="539" t="s">
        <v>8044</v>
      </c>
      <c r="BI128" s="539">
        <f t="shared" si="95"/>
        <v>138</v>
      </c>
      <c r="BJ128" s="539" cm="1">
        <f t="array" aca="1" ref="BJ128" ca="1">INDIRECT($BM$2&amp;BJ$7&amp;$BI128,1)</f>
        <v>0</v>
      </c>
      <c r="BK128" s="539" cm="1">
        <f t="array" aca="1" ref="BK128" ca="1">INDIRECT($BM$2&amp;BK$7&amp;$BI128,1)</f>
        <v>0</v>
      </c>
      <c r="BL128" s="539" cm="1">
        <f t="array" aca="1" ref="BL128" ca="1">INDIRECT($BM$2&amp;BL$7&amp;$BI128,1)</f>
        <v>0</v>
      </c>
      <c r="BM128" s="539" cm="1">
        <f t="array" aca="1" ref="BM128" ca="1">INDIRECT($BM$2&amp;BM$7&amp;$BI128,1)</f>
        <v>0</v>
      </c>
      <c r="BN128" s="539" cm="1">
        <f t="array" aca="1" ref="BN128" ca="1">INDIRECT($BM$2&amp;BN$7&amp;$BI128,1)</f>
        <v>0</v>
      </c>
      <c r="BO128" s="539" t="str">
        <f t="shared" ca="1" si="92"/>
        <v>-</v>
      </c>
      <c r="BP128" s="494" t="s">
        <v>8222</v>
      </c>
      <c r="BQ128" s="20"/>
      <c r="BR128" s="469">
        <v>7</v>
      </c>
      <c r="BS128" s="539" t="s">
        <v>8044</v>
      </c>
      <c r="BT128" s="539">
        <f t="shared" si="96"/>
        <v>484</v>
      </c>
      <c r="BU128" s="539" cm="1">
        <f t="array" aca="1" ref="BU128" ca="1">INDIRECT($BM$2&amp;BU$7&amp;$BT128,1)</f>
        <v>0</v>
      </c>
      <c r="BV128" s="539" cm="1">
        <f t="array" aca="1" ref="BV128" ca="1">INDIRECT($BM$2&amp;BV$7&amp;$BT128,1)</f>
        <v>0</v>
      </c>
      <c r="BW128" s="539" cm="1">
        <f t="array" aca="1" ref="BW128" ca="1">INDIRECT($BM$2&amp;BW$7&amp;$BT128,1)</f>
        <v>0</v>
      </c>
      <c r="BX128" s="539" cm="1">
        <f t="array" aca="1" ref="BX128" ca="1">INDIRECT($BM$2&amp;BX$7&amp;$BT128,1)</f>
        <v>0</v>
      </c>
      <c r="BY128" s="539" cm="1">
        <f t="array" aca="1" ref="BY128" ca="1">INDIRECT($BM$2&amp;BY$7&amp;$BT128,1)</f>
        <v>0</v>
      </c>
      <c r="BZ128" s="539" t="str">
        <f t="shared" ca="1" si="93"/>
        <v>-</v>
      </c>
      <c r="CA128" s="494" t="s">
        <v>8222</v>
      </c>
      <c r="CC128" s="469">
        <v>7</v>
      </c>
      <c r="CD128" s="539" t="s">
        <v>8044</v>
      </c>
      <c r="CE128" s="539">
        <f t="shared" si="97"/>
        <v>830</v>
      </c>
      <c r="CF128" s="539" cm="1">
        <f t="array" aca="1" ref="CF128" ca="1">INDIRECT($BM$2&amp;CF$7&amp;$CE128,1)</f>
        <v>0</v>
      </c>
      <c r="CG128" s="539" cm="1">
        <f t="array" aca="1" ref="CG128" ca="1">INDIRECT($BM$2&amp;CG$7&amp;$CE128,1)</f>
        <v>0</v>
      </c>
      <c r="CH128" s="539" cm="1">
        <f t="array" aca="1" ref="CH128" ca="1">INDIRECT($BM$2&amp;CH$7&amp;$CE128,1)</f>
        <v>0</v>
      </c>
      <c r="CI128" s="539" cm="1">
        <f t="array" aca="1" ref="CI128" ca="1">INDIRECT($BM$2&amp;CI$7&amp;$CE128,1)</f>
        <v>0</v>
      </c>
      <c r="CJ128" s="539" cm="1">
        <f t="array" aca="1" ref="CJ128" ca="1">INDIRECT($BM$2&amp;CJ$7&amp;$CE128,1)</f>
        <v>0</v>
      </c>
      <c r="CK128" s="539" t="str">
        <f t="shared" ca="1" si="94"/>
        <v>-</v>
      </c>
      <c r="CL128" s="494" t="s">
        <v>8222</v>
      </c>
      <c r="CU128" s="469" t="s">
        <v>5510</v>
      </c>
      <c r="EQ128" s="469" t="s">
        <v>5510</v>
      </c>
      <c r="GC128" s="472" t="s">
        <v>5510</v>
      </c>
    </row>
    <row r="129" spans="1:185" x14ac:dyDescent="0.25">
      <c r="AV129" s="469" t="s">
        <v>5510</v>
      </c>
      <c r="BF129" s="469" t="s">
        <v>5510</v>
      </c>
      <c r="BG129" s="469">
        <v>8</v>
      </c>
      <c r="BH129" s="539" t="s">
        <v>8044</v>
      </c>
      <c r="BI129" s="539">
        <f t="shared" si="95"/>
        <v>139</v>
      </c>
      <c r="BJ129" s="539" cm="1">
        <f t="array" aca="1" ref="BJ129" ca="1">INDIRECT($BM$2&amp;BJ$7&amp;$BI129,1)</f>
        <v>0</v>
      </c>
      <c r="BK129" s="539" cm="1">
        <f t="array" aca="1" ref="BK129" ca="1">INDIRECT($BM$2&amp;BK$7&amp;$BI129,1)</f>
        <v>0</v>
      </c>
      <c r="BL129" s="539" cm="1">
        <f t="array" aca="1" ref="BL129" ca="1">INDIRECT($BM$2&amp;BL$7&amp;$BI129,1)</f>
        <v>0</v>
      </c>
      <c r="BM129" s="539" cm="1">
        <f t="array" aca="1" ref="BM129" ca="1">INDIRECT($BM$2&amp;BM$7&amp;$BI129,1)</f>
        <v>0</v>
      </c>
      <c r="BN129" s="539" cm="1">
        <f t="array" aca="1" ref="BN129" ca="1">INDIRECT($BM$2&amp;BN$7&amp;$BI129,1)</f>
        <v>0</v>
      </c>
      <c r="BO129" s="539" t="str">
        <f t="shared" ca="1" si="92"/>
        <v>-</v>
      </c>
      <c r="BP129" s="494" t="s">
        <v>8222</v>
      </c>
      <c r="BQ129" s="20"/>
      <c r="BR129" s="469">
        <v>8</v>
      </c>
      <c r="BS129" s="539" t="s">
        <v>8044</v>
      </c>
      <c r="BT129" s="539">
        <f t="shared" si="96"/>
        <v>485</v>
      </c>
      <c r="BU129" s="539" cm="1">
        <f t="array" aca="1" ref="BU129" ca="1">INDIRECT($BM$2&amp;BU$7&amp;$BT129,1)</f>
        <v>0</v>
      </c>
      <c r="BV129" s="539" cm="1">
        <f t="array" aca="1" ref="BV129" ca="1">INDIRECT($BM$2&amp;BV$7&amp;$BT129,1)</f>
        <v>0</v>
      </c>
      <c r="BW129" s="539" cm="1">
        <f t="array" aca="1" ref="BW129" ca="1">INDIRECT($BM$2&amp;BW$7&amp;$BT129,1)</f>
        <v>0</v>
      </c>
      <c r="BX129" s="539" cm="1">
        <f t="array" aca="1" ref="BX129" ca="1">INDIRECT($BM$2&amp;BX$7&amp;$BT129,1)</f>
        <v>0</v>
      </c>
      <c r="BY129" s="539" cm="1">
        <f t="array" aca="1" ref="BY129" ca="1">INDIRECT($BM$2&amp;BY$7&amp;$BT129,1)</f>
        <v>0</v>
      </c>
      <c r="BZ129" s="539" t="str">
        <f t="shared" ca="1" si="93"/>
        <v>-</v>
      </c>
      <c r="CA129" s="494" t="s">
        <v>8222</v>
      </c>
      <c r="CC129" s="469">
        <v>8</v>
      </c>
      <c r="CD129" s="539" t="s">
        <v>8044</v>
      </c>
      <c r="CE129" s="539">
        <f t="shared" si="97"/>
        <v>831</v>
      </c>
      <c r="CF129" s="539" cm="1">
        <f t="array" aca="1" ref="CF129" ca="1">INDIRECT($BM$2&amp;CF$7&amp;$CE129,1)</f>
        <v>0</v>
      </c>
      <c r="CG129" s="539" cm="1">
        <f t="array" aca="1" ref="CG129" ca="1">INDIRECT($BM$2&amp;CG$7&amp;$CE129,1)</f>
        <v>0</v>
      </c>
      <c r="CH129" s="539" cm="1">
        <f t="array" aca="1" ref="CH129" ca="1">INDIRECT($BM$2&amp;CH$7&amp;$CE129,1)</f>
        <v>0</v>
      </c>
      <c r="CI129" s="539" cm="1">
        <f t="array" aca="1" ref="CI129" ca="1">INDIRECT($BM$2&amp;CI$7&amp;$CE129,1)</f>
        <v>0</v>
      </c>
      <c r="CJ129" s="539" cm="1">
        <f t="array" aca="1" ref="CJ129" ca="1">INDIRECT($BM$2&amp;CJ$7&amp;$CE129,1)</f>
        <v>0</v>
      </c>
      <c r="CK129" s="539" t="str">
        <f t="shared" ca="1" si="94"/>
        <v>-</v>
      </c>
      <c r="CL129" s="494" t="s">
        <v>8222</v>
      </c>
      <c r="CU129" s="469" t="s">
        <v>5510</v>
      </c>
      <c r="EQ129" s="469" t="s">
        <v>5510</v>
      </c>
      <c r="GC129" s="472" t="s">
        <v>5510</v>
      </c>
    </row>
    <row r="130" spans="1:185" x14ac:dyDescent="0.25">
      <c r="AV130" s="469" t="s">
        <v>5510</v>
      </c>
      <c r="BF130" s="469" t="s">
        <v>5510</v>
      </c>
      <c r="BG130" s="469">
        <v>9</v>
      </c>
      <c r="BH130" s="539" t="s">
        <v>8044</v>
      </c>
      <c r="BI130" s="539">
        <f t="shared" si="95"/>
        <v>140</v>
      </c>
      <c r="BJ130" s="539" cm="1">
        <f t="array" aca="1" ref="BJ130" ca="1">INDIRECT($BM$2&amp;BJ$7&amp;$BI130,1)</f>
        <v>0</v>
      </c>
      <c r="BK130" s="539" cm="1">
        <f t="array" aca="1" ref="BK130" ca="1">INDIRECT($BM$2&amp;BK$7&amp;$BI130,1)</f>
        <v>0</v>
      </c>
      <c r="BL130" s="539" cm="1">
        <f t="array" aca="1" ref="BL130" ca="1">INDIRECT($BM$2&amp;BL$7&amp;$BI130,1)</f>
        <v>0</v>
      </c>
      <c r="BM130" s="539" cm="1">
        <f t="array" aca="1" ref="BM130" ca="1">INDIRECT($BM$2&amp;BM$7&amp;$BI130,1)</f>
        <v>0</v>
      </c>
      <c r="BN130" s="539" cm="1">
        <f t="array" aca="1" ref="BN130" ca="1">INDIRECT($BM$2&amp;BN$7&amp;$BI130,1)</f>
        <v>0</v>
      </c>
      <c r="BO130" s="539" t="str">
        <f t="shared" ca="1" si="92"/>
        <v>-</v>
      </c>
      <c r="BP130" s="494" t="s">
        <v>8222</v>
      </c>
      <c r="BQ130" s="20"/>
      <c r="BR130" s="469">
        <v>9</v>
      </c>
      <c r="BS130" s="539" t="s">
        <v>8044</v>
      </c>
      <c r="BT130" s="539">
        <f t="shared" si="96"/>
        <v>486</v>
      </c>
      <c r="BU130" s="539" cm="1">
        <f t="array" aca="1" ref="BU130" ca="1">INDIRECT($BM$2&amp;BU$7&amp;$BT130,1)</f>
        <v>0</v>
      </c>
      <c r="BV130" s="539" cm="1">
        <f t="array" aca="1" ref="BV130" ca="1">INDIRECT($BM$2&amp;BV$7&amp;$BT130,1)</f>
        <v>0</v>
      </c>
      <c r="BW130" s="539" cm="1">
        <f t="array" aca="1" ref="BW130" ca="1">INDIRECT($BM$2&amp;BW$7&amp;$BT130,1)</f>
        <v>0</v>
      </c>
      <c r="BX130" s="539" cm="1">
        <f t="array" aca="1" ref="BX130" ca="1">INDIRECT($BM$2&amp;BX$7&amp;$BT130,1)</f>
        <v>0</v>
      </c>
      <c r="BY130" s="539" cm="1">
        <f t="array" aca="1" ref="BY130" ca="1">INDIRECT($BM$2&amp;BY$7&amp;$BT130,1)</f>
        <v>0</v>
      </c>
      <c r="BZ130" s="539" t="str">
        <f t="shared" ca="1" si="93"/>
        <v>-</v>
      </c>
      <c r="CA130" s="494" t="s">
        <v>8222</v>
      </c>
      <c r="CC130" s="469">
        <v>9</v>
      </c>
      <c r="CD130" s="539" t="s">
        <v>8044</v>
      </c>
      <c r="CE130" s="539">
        <f t="shared" si="97"/>
        <v>832</v>
      </c>
      <c r="CF130" s="539" cm="1">
        <f t="array" aca="1" ref="CF130" ca="1">INDIRECT($BM$2&amp;CF$7&amp;$CE130,1)</f>
        <v>0</v>
      </c>
      <c r="CG130" s="539" cm="1">
        <f t="array" aca="1" ref="CG130" ca="1">INDIRECT($BM$2&amp;CG$7&amp;$CE130,1)</f>
        <v>0</v>
      </c>
      <c r="CH130" s="539" cm="1">
        <f t="array" aca="1" ref="CH130" ca="1">INDIRECT($BM$2&amp;CH$7&amp;$CE130,1)</f>
        <v>0</v>
      </c>
      <c r="CI130" s="539" cm="1">
        <f t="array" aca="1" ref="CI130" ca="1">INDIRECT($BM$2&amp;CI$7&amp;$CE130,1)</f>
        <v>0</v>
      </c>
      <c r="CJ130" s="539" cm="1">
        <f t="array" aca="1" ref="CJ130" ca="1">INDIRECT($BM$2&amp;CJ$7&amp;$CE130,1)</f>
        <v>0</v>
      </c>
      <c r="CK130" s="539" t="str">
        <f t="shared" ca="1" si="94"/>
        <v>-</v>
      </c>
      <c r="CL130" s="494" t="s">
        <v>8222</v>
      </c>
      <c r="CU130" s="469" t="s">
        <v>5510</v>
      </c>
      <c r="EQ130" s="469" t="s">
        <v>5510</v>
      </c>
      <c r="GC130" s="472" t="s">
        <v>5510</v>
      </c>
    </row>
    <row r="131" spans="1:185" x14ac:dyDescent="0.25">
      <c r="AV131" s="469" t="s">
        <v>5510</v>
      </c>
      <c r="BF131" s="469" t="s">
        <v>5510</v>
      </c>
      <c r="BG131" s="469">
        <v>10</v>
      </c>
      <c r="BH131" s="539" t="s">
        <v>8044</v>
      </c>
      <c r="BI131" s="539">
        <f t="shared" si="95"/>
        <v>141</v>
      </c>
      <c r="BJ131" s="539" cm="1">
        <f t="array" aca="1" ref="BJ131" ca="1">INDIRECT($BM$2&amp;BJ$7&amp;$BI131,1)</f>
        <v>0</v>
      </c>
      <c r="BK131" s="539" cm="1">
        <f t="array" aca="1" ref="BK131" ca="1">INDIRECT($BM$2&amp;BK$7&amp;$BI131,1)</f>
        <v>0</v>
      </c>
      <c r="BL131" s="539" cm="1">
        <f t="array" aca="1" ref="BL131" ca="1">INDIRECT($BM$2&amp;BL$7&amp;$BI131,1)</f>
        <v>0</v>
      </c>
      <c r="BM131" s="539" cm="1">
        <f t="array" aca="1" ref="BM131" ca="1">INDIRECT($BM$2&amp;BM$7&amp;$BI131,1)</f>
        <v>0</v>
      </c>
      <c r="BN131" s="539" cm="1">
        <f t="array" aca="1" ref="BN131" ca="1">INDIRECT($BM$2&amp;BN$7&amp;$BI131,1)</f>
        <v>0</v>
      </c>
      <c r="BO131" s="539" t="str">
        <f t="shared" ca="1" si="92"/>
        <v>-</v>
      </c>
      <c r="BP131" s="494" t="s">
        <v>8222</v>
      </c>
      <c r="BQ131" s="20"/>
      <c r="BR131" s="469">
        <v>10</v>
      </c>
      <c r="BS131" s="539" t="s">
        <v>8044</v>
      </c>
      <c r="BT131" s="539">
        <f t="shared" si="96"/>
        <v>487</v>
      </c>
      <c r="BU131" s="539" cm="1">
        <f t="array" aca="1" ref="BU131" ca="1">INDIRECT($BM$2&amp;BU$7&amp;$BT131,1)</f>
        <v>0</v>
      </c>
      <c r="BV131" s="539" cm="1">
        <f t="array" aca="1" ref="BV131" ca="1">INDIRECT($BM$2&amp;BV$7&amp;$BT131,1)</f>
        <v>0</v>
      </c>
      <c r="BW131" s="539" cm="1">
        <f t="array" aca="1" ref="BW131" ca="1">INDIRECT($BM$2&amp;BW$7&amp;$BT131,1)</f>
        <v>0</v>
      </c>
      <c r="BX131" s="539" cm="1">
        <f t="array" aca="1" ref="BX131" ca="1">INDIRECT($BM$2&amp;BX$7&amp;$BT131,1)</f>
        <v>0</v>
      </c>
      <c r="BY131" s="539" cm="1">
        <f t="array" aca="1" ref="BY131" ca="1">INDIRECT($BM$2&amp;BY$7&amp;$BT131,1)</f>
        <v>0</v>
      </c>
      <c r="BZ131" s="539" t="str">
        <f t="shared" ca="1" si="93"/>
        <v>-</v>
      </c>
      <c r="CA131" s="494" t="s">
        <v>8222</v>
      </c>
      <c r="CC131" s="469">
        <v>10</v>
      </c>
      <c r="CD131" s="539" t="s">
        <v>8044</v>
      </c>
      <c r="CE131" s="539">
        <f t="shared" si="97"/>
        <v>833</v>
      </c>
      <c r="CF131" s="539" cm="1">
        <f t="array" aca="1" ref="CF131" ca="1">INDIRECT($BM$2&amp;CF$7&amp;$CE131,1)</f>
        <v>0</v>
      </c>
      <c r="CG131" s="539" cm="1">
        <f t="array" aca="1" ref="CG131" ca="1">INDIRECT($BM$2&amp;CG$7&amp;$CE131,1)</f>
        <v>0</v>
      </c>
      <c r="CH131" s="539" cm="1">
        <f t="array" aca="1" ref="CH131" ca="1">INDIRECT($BM$2&amp;CH$7&amp;$CE131,1)</f>
        <v>0</v>
      </c>
      <c r="CI131" s="539" cm="1">
        <f t="array" aca="1" ref="CI131" ca="1">INDIRECT($BM$2&amp;CI$7&amp;$CE131,1)</f>
        <v>0</v>
      </c>
      <c r="CJ131" s="539" cm="1">
        <f t="array" aca="1" ref="CJ131" ca="1">INDIRECT($BM$2&amp;CJ$7&amp;$CE131,1)</f>
        <v>0</v>
      </c>
      <c r="CK131" s="539" t="str">
        <f t="shared" ca="1" si="94"/>
        <v>-</v>
      </c>
      <c r="CL131" s="494" t="s">
        <v>8222</v>
      </c>
      <c r="CU131" s="469" t="s">
        <v>5510</v>
      </c>
      <c r="EQ131" s="469" t="s">
        <v>5510</v>
      </c>
      <c r="GC131" s="472" t="s">
        <v>5510</v>
      </c>
    </row>
    <row r="132" spans="1:185" x14ac:dyDescent="0.25">
      <c r="AV132" s="469" t="s">
        <v>5510</v>
      </c>
      <c r="BF132" s="469" t="s">
        <v>5510</v>
      </c>
      <c r="BG132" s="469">
        <v>11</v>
      </c>
      <c r="BH132" s="539" t="s">
        <v>8044</v>
      </c>
      <c r="BI132" s="539">
        <f t="shared" si="95"/>
        <v>142</v>
      </c>
      <c r="BJ132" s="539" cm="1">
        <f t="array" aca="1" ref="BJ132" ca="1">INDIRECT($BM$2&amp;BJ$7&amp;$BI132,1)</f>
        <v>0</v>
      </c>
      <c r="BK132" s="539" cm="1">
        <f t="array" aca="1" ref="BK132" ca="1">INDIRECT($BM$2&amp;BK$7&amp;$BI132,1)</f>
        <v>0</v>
      </c>
      <c r="BL132" s="539" cm="1">
        <f t="array" aca="1" ref="BL132" ca="1">INDIRECT($BM$2&amp;BL$7&amp;$BI132,1)</f>
        <v>0</v>
      </c>
      <c r="BM132" s="539" cm="1">
        <f t="array" aca="1" ref="BM132" ca="1">INDIRECT($BM$2&amp;BM$7&amp;$BI132,1)</f>
        <v>0</v>
      </c>
      <c r="BN132" s="539" cm="1">
        <f t="array" aca="1" ref="BN132" ca="1">INDIRECT($BM$2&amp;BN$7&amp;$BI132,1)</f>
        <v>0</v>
      </c>
      <c r="BO132" s="539" t="str">
        <f t="shared" ca="1" si="92"/>
        <v>-</v>
      </c>
      <c r="BP132" s="494" t="s">
        <v>8222</v>
      </c>
      <c r="BQ132" s="20"/>
      <c r="BR132" s="469">
        <v>11</v>
      </c>
      <c r="BS132" s="539" t="s">
        <v>8044</v>
      </c>
      <c r="BT132" s="539">
        <f t="shared" si="96"/>
        <v>488</v>
      </c>
      <c r="BU132" s="539" cm="1">
        <f t="array" aca="1" ref="BU132" ca="1">INDIRECT($BM$2&amp;BU$7&amp;$BT132,1)</f>
        <v>0</v>
      </c>
      <c r="BV132" s="539" cm="1">
        <f t="array" aca="1" ref="BV132" ca="1">INDIRECT($BM$2&amp;BV$7&amp;$BT132,1)</f>
        <v>0</v>
      </c>
      <c r="BW132" s="539" cm="1">
        <f t="array" aca="1" ref="BW132" ca="1">INDIRECT($BM$2&amp;BW$7&amp;$BT132,1)</f>
        <v>0</v>
      </c>
      <c r="BX132" s="539" cm="1">
        <f t="array" aca="1" ref="BX132" ca="1">INDIRECT($BM$2&amp;BX$7&amp;$BT132,1)</f>
        <v>0</v>
      </c>
      <c r="BY132" s="539" cm="1">
        <f t="array" aca="1" ref="BY132" ca="1">INDIRECT($BM$2&amp;BY$7&amp;$BT132,1)</f>
        <v>0</v>
      </c>
      <c r="BZ132" s="539" t="str">
        <f t="shared" ca="1" si="93"/>
        <v>-</v>
      </c>
      <c r="CA132" s="494" t="s">
        <v>8222</v>
      </c>
      <c r="CC132" s="469">
        <v>11</v>
      </c>
      <c r="CD132" s="539" t="s">
        <v>8044</v>
      </c>
      <c r="CE132" s="539">
        <f t="shared" si="97"/>
        <v>834</v>
      </c>
      <c r="CF132" s="539" cm="1">
        <f t="array" aca="1" ref="CF132" ca="1">INDIRECT($BM$2&amp;CF$7&amp;$CE132,1)</f>
        <v>0</v>
      </c>
      <c r="CG132" s="539" cm="1">
        <f t="array" aca="1" ref="CG132" ca="1">INDIRECT($BM$2&amp;CG$7&amp;$CE132,1)</f>
        <v>0</v>
      </c>
      <c r="CH132" s="539" cm="1">
        <f t="array" aca="1" ref="CH132" ca="1">INDIRECT($BM$2&amp;CH$7&amp;$CE132,1)</f>
        <v>0</v>
      </c>
      <c r="CI132" s="539" cm="1">
        <f t="array" aca="1" ref="CI132" ca="1">INDIRECT($BM$2&amp;CI$7&amp;$CE132,1)</f>
        <v>0</v>
      </c>
      <c r="CJ132" s="539" cm="1">
        <f t="array" aca="1" ref="CJ132" ca="1">INDIRECT($BM$2&amp;CJ$7&amp;$CE132,1)</f>
        <v>0</v>
      </c>
      <c r="CK132" s="539" t="str">
        <f t="shared" ca="1" si="94"/>
        <v>-</v>
      </c>
      <c r="CL132" s="494" t="s">
        <v>8222</v>
      </c>
      <c r="CU132" s="469" t="s">
        <v>5510</v>
      </c>
      <c r="EQ132" s="469" t="s">
        <v>5510</v>
      </c>
      <c r="GC132" s="472" t="s">
        <v>5510</v>
      </c>
    </row>
    <row r="133" spans="1:185" x14ac:dyDescent="0.25">
      <c r="AV133" s="469" t="s">
        <v>5510</v>
      </c>
      <c r="BF133" s="469" t="s">
        <v>5510</v>
      </c>
      <c r="BG133" s="469">
        <v>12</v>
      </c>
      <c r="BH133" s="539" t="s">
        <v>8044</v>
      </c>
      <c r="BI133" s="539">
        <f t="shared" si="95"/>
        <v>143</v>
      </c>
      <c r="BJ133" s="539" cm="1">
        <f t="array" aca="1" ref="BJ133" ca="1">INDIRECT($BM$2&amp;BJ$7&amp;$BI133,1)</f>
        <v>0</v>
      </c>
      <c r="BK133" s="539" cm="1">
        <f t="array" aca="1" ref="BK133" ca="1">INDIRECT($BM$2&amp;BK$7&amp;$BI133,1)</f>
        <v>0</v>
      </c>
      <c r="BL133" s="539" cm="1">
        <f t="array" aca="1" ref="BL133" ca="1">INDIRECT($BM$2&amp;BL$7&amp;$BI133,1)</f>
        <v>0</v>
      </c>
      <c r="BM133" s="539" cm="1">
        <f t="array" aca="1" ref="BM133" ca="1">INDIRECT($BM$2&amp;BM$7&amp;$BI133,1)</f>
        <v>0</v>
      </c>
      <c r="BN133" s="539" t="str" cm="1">
        <f t="array" aca="1" ref="BN133" ca="1">INDIRECT($BM$2&amp;BN$7&amp;$BI133,1)</f>
        <v>-</v>
      </c>
      <c r="BO133" s="539" t="str">
        <f t="shared" ca="1" si="92"/>
        <v>-</v>
      </c>
      <c r="BP133" s="561" t="s">
        <v>8223</v>
      </c>
      <c r="BQ133" s="20"/>
      <c r="BR133" s="469">
        <v>12</v>
      </c>
      <c r="BS133" s="539" t="s">
        <v>8044</v>
      </c>
      <c r="BT133" s="539">
        <f t="shared" si="96"/>
        <v>489</v>
      </c>
      <c r="BU133" s="539" cm="1">
        <f t="array" aca="1" ref="BU133" ca="1">INDIRECT($BM$2&amp;BU$7&amp;$BT133,1)</f>
        <v>0</v>
      </c>
      <c r="BV133" s="539" cm="1">
        <f t="array" aca="1" ref="BV133" ca="1">INDIRECT($BM$2&amp;BV$7&amp;$BT133,1)</f>
        <v>0</v>
      </c>
      <c r="BW133" s="539" cm="1">
        <f t="array" aca="1" ref="BW133" ca="1">INDIRECT($BM$2&amp;BW$7&amp;$BT133,1)</f>
        <v>0</v>
      </c>
      <c r="BX133" s="539" cm="1">
        <f t="array" aca="1" ref="BX133" ca="1">INDIRECT($BM$2&amp;BX$7&amp;$BT133,1)</f>
        <v>0</v>
      </c>
      <c r="BY133" s="539" t="str" cm="1">
        <f t="array" aca="1" ref="BY133" ca="1">INDIRECT($BM$2&amp;BY$7&amp;$BT133,1)</f>
        <v>-</v>
      </c>
      <c r="BZ133" s="539" t="str">
        <f t="shared" ca="1" si="93"/>
        <v>-</v>
      </c>
      <c r="CA133" s="561" t="s">
        <v>8223</v>
      </c>
      <c r="CC133" s="469">
        <v>12</v>
      </c>
      <c r="CD133" s="539" t="s">
        <v>8044</v>
      </c>
      <c r="CE133" s="539">
        <f t="shared" si="97"/>
        <v>835</v>
      </c>
      <c r="CF133" s="539" cm="1">
        <f t="array" aca="1" ref="CF133" ca="1">INDIRECT($BM$2&amp;CF$7&amp;$CE133,1)</f>
        <v>0</v>
      </c>
      <c r="CG133" s="539" cm="1">
        <f t="array" aca="1" ref="CG133" ca="1">INDIRECT($BM$2&amp;CG$7&amp;$CE133,1)</f>
        <v>0</v>
      </c>
      <c r="CH133" s="539" cm="1">
        <f t="array" aca="1" ref="CH133" ca="1">INDIRECT($BM$2&amp;CH$7&amp;$CE133,1)</f>
        <v>0</v>
      </c>
      <c r="CI133" s="539" cm="1">
        <f t="array" aca="1" ref="CI133" ca="1">INDIRECT($BM$2&amp;CI$7&amp;$CE133,1)</f>
        <v>0</v>
      </c>
      <c r="CJ133" s="539" t="str" cm="1">
        <f t="array" aca="1" ref="CJ133" ca="1">INDIRECT($BM$2&amp;CJ$7&amp;$CE133,1)</f>
        <v>-</v>
      </c>
      <c r="CK133" s="539" t="str">
        <f t="shared" ca="1" si="94"/>
        <v>-</v>
      </c>
      <c r="CL133" s="561" t="s">
        <v>8223</v>
      </c>
      <c r="CU133" s="469" t="s">
        <v>5510</v>
      </c>
      <c r="EQ133" s="469" t="s">
        <v>5510</v>
      </c>
      <c r="GC133" s="472" t="s">
        <v>5510</v>
      </c>
    </row>
    <row r="134" spans="1:185" x14ac:dyDescent="0.25">
      <c r="AV134" s="469" t="s">
        <v>5510</v>
      </c>
      <c r="BF134" s="469" t="s">
        <v>5510</v>
      </c>
      <c r="BL134" s="372"/>
      <c r="BO134" s="472"/>
      <c r="BQ134" s="20"/>
      <c r="BT134" s="372"/>
      <c r="BU134" s="472"/>
      <c r="BV134" s="472"/>
      <c r="BW134" s="372"/>
      <c r="BX134" s="472"/>
      <c r="BY134" s="372"/>
      <c r="BZ134" s="472"/>
      <c r="CA134" s="372"/>
      <c r="CE134" s="372"/>
      <c r="CF134" s="472"/>
      <c r="CG134" s="472"/>
      <c r="CH134" s="372"/>
      <c r="CI134" s="472"/>
      <c r="CJ134" s="372"/>
      <c r="CK134" s="472"/>
      <c r="CL134" s="372"/>
      <c r="CU134" s="469" t="s">
        <v>5510</v>
      </c>
      <c r="EQ134" s="469" t="s">
        <v>5510</v>
      </c>
      <c r="GC134" s="472" t="s">
        <v>5510</v>
      </c>
    </row>
    <row r="135" spans="1:185" x14ac:dyDescent="0.25">
      <c r="AV135" s="469" t="s">
        <v>5510</v>
      </c>
      <c r="BF135" s="469" t="s">
        <v>5510</v>
      </c>
      <c r="BL135" s="372"/>
      <c r="BO135" s="472"/>
      <c r="BQ135" s="20"/>
      <c r="BT135" s="372"/>
      <c r="BU135" s="472"/>
      <c r="BV135" s="472"/>
      <c r="BW135" s="372"/>
      <c r="BX135" s="472"/>
      <c r="BY135" s="372"/>
      <c r="BZ135" s="472"/>
      <c r="CA135" s="372"/>
      <c r="CE135" s="372"/>
      <c r="CF135" s="472"/>
      <c r="CG135" s="472"/>
      <c r="CH135" s="372"/>
      <c r="CI135" s="472"/>
      <c r="CJ135" s="372"/>
      <c r="CK135" s="472"/>
      <c r="CL135" s="372"/>
      <c r="CU135" s="469" t="s">
        <v>5510</v>
      </c>
      <c r="EQ135" s="469" t="s">
        <v>5510</v>
      </c>
      <c r="GC135" s="472" t="s">
        <v>5510</v>
      </c>
    </row>
    <row r="136" spans="1:185" x14ac:dyDescent="0.25">
      <c r="A136" s="472"/>
      <c r="B136" s="472"/>
      <c r="C136" s="472"/>
      <c r="D136" s="472"/>
      <c r="E136" s="472"/>
      <c r="F136" s="472"/>
      <c r="G136" s="472"/>
      <c r="H136" s="472"/>
      <c r="AV136" s="469" t="s">
        <v>5510</v>
      </c>
      <c r="BF136" s="469" t="s">
        <v>5510</v>
      </c>
      <c r="BQ136" s="20"/>
      <c r="BT136" s="372"/>
      <c r="BU136" s="472"/>
      <c r="BV136" s="472"/>
      <c r="BW136" s="472"/>
      <c r="BX136" s="472"/>
      <c r="BY136" s="372"/>
      <c r="BZ136" s="372"/>
      <c r="CA136" s="372"/>
      <c r="CE136" s="372"/>
      <c r="CF136" s="472"/>
      <c r="CG136" s="472"/>
      <c r="CH136" s="472"/>
      <c r="CI136" s="472"/>
      <c r="CJ136" s="372"/>
      <c r="CK136" s="372"/>
      <c r="CL136" s="372"/>
      <c r="CU136" s="469" t="s">
        <v>5510</v>
      </c>
      <c r="EQ136" s="469" t="s">
        <v>5510</v>
      </c>
      <c r="GC136" s="472" t="s">
        <v>5510</v>
      </c>
    </row>
    <row r="137" spans="1:185" x14ac:dyDescent="0.25">
      <c r="A137" s="481" t="s">
        <v>5791</v>
      </c>
      <c r="B137" s="481" t="s">
        <v>5791</v>
      </c>
      <c r="C137" s="481" t="s">
        <v>5791</v>
      </c>
      <c r="D137" s="481" t="s">
        <v>5791</v>
      </c>
      <c r="E137" s="481" t="s">
        <v>5791</v>
      </c>
      <c r="F137" s="481" t="s">
        <v>5791</v>
      </c>
      <c r="G137" s="481" t="s">
        <v>5791</v>
      </c>
      <c r="H137" s="481" t="s">
        <v>5791</v>
      </c>
      <c r="I137" s="481" t="s">
        <v>5791</v>
      </c>
      <c r="J137" s="481" t="s">
        <v>5791</v>
      </c>
      <c r="K137" s="481" t="s">
        <v>5791</v>
      </c>
      <c r="L137" s="481" t="s">
        <v>5791</v>
      </c>
      <c r="AV137" s="469" t="s">
        <v>5510</v>
      </c>
      <c r="BF137" s="469" t="s">
        <v>5510</v>
      </c>
      <c r="BQ137" s="20"/>
      <c r="BT137" s="372"/>
      <c r="BU137" s="472"/>
      <c r="BV137" s="472"/>
      <c r="BW137" s="472"/>
      <c r="BX137" s="472"/>
      <c r="BY137" s="372"/>
      <c r="BZ137" s="372"/>
      <c r="CA137" s="372"/>
      <c r="CE137" s="372"/>
      <c r="CF137" s="472"/>
      <c r="CG137" s="472"/>
      <c r="CH137" s="472"/>
      <c r="CI137" s="472"/>
      <c r="CJ137" s="372"/>
      <c r="CK137" s="372"/>
      <c r="CL137" s="372"/>
      <c r="CU137" s="469" t="s">
        <v>5510</v>
      </c>
      <c r="EQ137" s="469" t="s">
        <v>5510</v>
      </c>
      <c r="GC137" s="472" t="s">
        <v>5510</v>
      </c>
    </row>
    <row r="138" spans="1:185" x14ac:dyDescent="0.25">
      <c r="AV138" s="469" t="s">
        <v>5510</v>
      </c>
      <c r="BF138" s="469" t="s">
        <v>5510</v>
      </c>
      <c r="BG138" s="469">
        <v>1</v>
      </c>
      <c r="BH138" s="539" t="s">
        <v>8045</v>
      </c>
      <c r="BI138" s="539">
        <f>BI133+$BO$6</f>
        <v>149</v>
      </c>
      <c r="BJ138" s="539" cm="1">
        <f t="array" aca="1" ref="BJ138" ca="1">INDIRECT($BM$2&amp;BJ$7&amp;$BI138,1)</f>
        <v>0</v>
      </c>
      <c r="BK138" s="539" cm="1">
        <f t="array" aca="1" ref="BK138" ca="1">INDIRECT($BM$2&amp;BK$7&amp;$BI138,1)</f>
        <v>0</v>
      </c>
      <c r="BL138" s="539" cm="1">
        <f t="array" aca="1" ref="BL138" ca="1">INDIRECT($BM$2&amp;BL$7&amp;$BI138,1)</f>
        <v>0</v>
      </c>
      <c r="BM138" s="539" cm="1">
        <f t="array" aca="1" ref="BM138" ca="1">INDIRECT($BM$2&amp;BM$7&amp;$BI138,1)</f>
        <v>0</v>
      </c>
      <c r="BN138" s="539" cm="1">
        <f t="array" aca="1" ref="BN138" ca="1">INDIRECT($BM$2&amp;BN$7&amp;$BI138,1)</f>
        <v>0</v>
      </c>
      <c r="BO138" s="539" t="str">
        <f ca="1">IFERROR(BK138/BK$138,"-")</f>
        <v>-</v>
      </c>
      <c r="BP138" s="540" t="s">
        <v>8221</v>
      </c>
      <c r="BQ138" s="20"/>
      <c r="BR138" s="469">
        <v>1</v>
      </c>
      <c r="BS138" s="539" t="s">
        <v>8045</v>
      </c>
      <c r="BT138" s="539">
        <f>BT133+$BO$6</f>
        <v>495</v>
      </c>
      <c r="BU138" s="539" cm="1">
        <f t="array" aca="1" ref="BU138" ca="1">INDIRECT($BM$2&amp;BU$7&amp;$BT138,1)</f>
        <v>0</v>
      </c>
      <c r="BV138" s="539" cm="1">
        <f t="array" aca="1" ref="BV138" ca="1">INDIRECT($BM$2&amp;BV$7&amp;$BT138,1)</f>
        <v>0</v>
      </c>
      <c r="BW138" s="539" cm="1">
        <f t="array" aca="1" ref="BW138" ca="1">INDIRECT($BM$2&amp;BW$7&amp;$BT138,1)</f>
        <v>0</v>
      </c>
      <c r="BX138" s="539" cm="1">
        <f t="array" aca="1" ref="BX138" ca="1">INDIRECT($BM$2&amp;BX$7&amp;$BT138,1)</f>
        <v>0</v>
      </c>
      <c r="BY138" s="539" cm="1">
        <f t="array" aca="1" ref="BY138" ca="1">INDIRECT($BM$2&amp;BY$7&amp;$BT138,1)</f>
        <v>0</v>
      </c>
      <c r="BZ138" s="539" t="str">
        <f ca="1">IFERROR(BV138/BV$138,"-")</f>
        <v>-</v>
      </c>
      <c r="CA138" s="540" t="s">
        <v>8221</v>
      </c>
      <c r="CC138" s="469">
        <v>1</v>
      </c>
      <c r="CD138" s="539" t="s">
        <v>8045</v>
      </c>
      <c r="CE138" s="539">
        <f>CE133+$BO$6</f>
        <v>841</v>
      </c>
      <c r="CF138" s="539" cm="1">
        <f t="array" aca="1" ref="CF138" ca="1">INDIRECT($BM$2&amp;CF$7&amp;$CE138,1)</f>
        <v>0</v>
      </c>
      <c r="CG138" s="539" cm="1">
        <f t="array" aca="1" ref="CG138" ca="1">INDIRECT($BM$2&amp;CG$7&amp;$CE138,1)</f>
        <v>0</v>
      </c>
      <c r="CH138" s="539" cm="1">
        <f t="array" aca="1" ref="CH138" ca="1">INDIRECT($BM$2&amp;CH$7&amp;$CE138,1)</f>
        <v>0</v>
      </c>
      <c r="CI138" s="539" cm="1">
        <f t="array" aca="1" ref="CI138" ca="1">INDIRECT($BM$2&amp;CI$7&amp;$CE138,1)</f>
        <v>0</v>
      </c>
      <c r="CJ138" s="539" cm="1">
        <f t="array" aca="1" ref="CJ138" ca="1">INDIRECT($BM$2&amp;CJ$7&amp;$CE138,1)</f>
        <v>0</v>
      </c>
      <c r="CK138" s="539" t="str">
        <f ca="1">IFERROR(CG138/CG$138,"-")</f>
        <v>-</v>
      </c>
      <c r="CL138" s="540" t="s">
        <v>8221</v>
      </c>
      <c r="CU138" s="469" t="s">
        <v>5510</v>
      </c>
      <c r="EQ138" s="469" t="s">
        <v>5510</v>
      </c>
      <c r="GC138" s="472" t="s">
        <v>5510</v>
      </c>
    </row>
    <row r="139" spans="1:185" ht="15.75" thickBot="1" x14ac:dyDescent="0.3">
      <c r="A139" s="468" t="s">
        <v>5926</v>
      </c>
      <c r="B139" s="468"/>
      <c r="C139" s="468"/>
      <c r="D139" s="468"/>
      <c r="E139" s="468"/>
      <c r="F139" s="468"/>
      <c r="G139" s="468"/>
      <c r="H139" s="468"/>
      <c r="I139" s="468"/>
      <c r="J139" s="468"/>
      <c r="K139" s="468"/>
      <c r="L139" s="468"/>
      <c r="M139" s="468"/>
      <c r="N139" s="468"/>
      <c r="O139" s="468"/>
      <c r="P139" s="468"/>
      <c r="Q139" s="468"/>
      <c r="R139" s="468"/>
      <c r="S139" s="468"/>
      <c r="T139" s="468"/>
      <c r="U139" s="468"/>
      <c r="V139" s="468"/>
      <c r="AV139" s="469" t="s">
        <v>5510</v>
      </c>
      <c r="BF139" s="469" t="s">
        <v>5510</v>
      </c>
      <c r="BG139" s="469">
        <v>2</v>
      </c>
      <c r="BH139" s="539" t="s">
        <v>8045</v>
      </c>
      <c r="BI139" s="539">
        <f>BI138+1</f>
        <v>150</v>
      </c>
      <c r="BJ139" s="539" cm="1">
        <f t="array" aca="1" ref="BJ139" ca="1">INDIRECT($BM$2&amp;BJ$7&amp;$BI139,1)</f>
        <v>0</v>
      </c>
      <c r="BK139" s="539" cm="1">
        <f t="array" aca="1" ref="BK139" ca="1">INDIRECT($BM$2&amp;BK$7&amp;$BI139,1)</f>
        <v>0</v>
      </c>
      <c r="BL139" s="539" cm="1">
        <f t="array" aca="1" ref="BL139" ca="1">INDIRECT($BM$2&amp;BL$7&amp;$BI139,1)</f>
        <v>0</v>
      </c>
      <c r="BM139" s="539" cm="1">
        <f t="array" aca="1" ref="BM139" ca="1">INDIRECT($BM$2&amp;BM$7&amp;$BI139,1)</f>
        <v>0</v>
      </c>
      <c r="BN139" s="539" cm="1">
        <f t="array" aca="1" ref="BN139" ca="1">INDIRECT($BM$2&amp;BN$7&amp;$BI139,1)</f>
        <v>0</v>
      </c>
      <c r="BO139" s="539" t="str">
        <f t="shared" ref="BO139:BO149" ca="1" si="98">IF(BK139=0,"-",IFERROR(BK139/BK$138,"-"))</f>
        <v>-</v>
      </c>
      <c r="BP139" s="494" t="s">
        <v>8222</v>
      </c>
      <c r="BQ139" s="20"/>
      <c r="BR139" s="469">
        <v>2</v>
      </c>
      <c r="BS139" s="539" t="s">
        <v>8045</v>
      </c>
      <c r="BT139" s="539">
        <f>BT138+1</f>
        <v>496</v>
      </c>
      <c r="BU139" s="539" cm="1">
        <f t="array" aca="1" ref="BU139" ca="1">INDIRECT($BM$2&amp;BU$7&amp;$BT139,1)</f>
        <v>0</v>
      </c>
      <c r="BV139" s="539" cm="1">
        <f t="array" aca="1" ref="BV139" ca="1">INDIRECT($BM$2&amp;BV$7&amp;$BT139,1)</f>
        <v>0</v>
      </c>
      <c r="BW139" s="539" cm="1">
        <f t="array" aca="1" ref="BW139" ca="1">INDIRECT($BM$2&amp;BW$7&amp;$BT139,1)</f>
        <v>0</v>
      </c>
      <c r="BX139" s="539" cm="1">
        <f t="array" aca="1" ref="BX139" ca="1">INDIRECT($BM$2&amp;BX$7&amp;$BT139,1)</f>
        <v>0</v>
      </c>
      <c r="BY139" s="539" cm="1">
        <f t="array" aca="1" ref="BY139" ca="1">INDIRECT($BM$2&amp;BY$7&amp;$BT139,1)</f>
        <v>0</v>
      </c>
      <c r="BZ139" s="539" t="str">
        <f t="shared" ref="BZ139:BZ149" ca="1" si="99">IF(BV139=0,"-",IFERROR(BV139/BV$138,"-"))</f>
        <v>-</v>
      </c>
      <c r="CA139" s="494" t="s">
        <v>8222</v>
      </c>
      <c r="CC139" s="469">
        <v>2</v>
      </c>
      <c r="CD139" s="539" t="s">
        <v>8045</v>
      </c>
      <c r="CE139" s="539">
        <f>CE138+1</f>
        <v>842</v>
      </c>
      <c r="CF139" s="539" cm="1">
        <f t="array" aca="1" ref="CF139" ca="1">INDIRECT($BM$2&amp;CF$7&amp;$CE139,1)</f>
        <v>0</v>
      </c>
      <c r="CG139" s="539" cm="1">
        <f t="array" aca="1" ref="CG139" ca="1">INDIRECT($BM$2&amp;CG$7&amp;$CE139,1)</f>
        <v>0</v>
      </c>
      <c r="CH139" s="539" cm="1">
        <f t="array" aca="1" ref="CH139" ca="1">INDIRECT($BM$2&amp;CH$7&amp;$CE139,1)</f>
        <v>0</v>
      </c>
      <c r="CI139" s="539" cm="1">
        <f t="array" aca="1" ref="CI139" ca="1">INDIRECT($BM$2&amp;CI$7&amp;$CE139,1)</f>
        <v>0</v>
      </c>
      <c r="CJ139" s="539" cm="1">
        <f t="array" aca="1" ref="CJ139" ca="1">INDIRECT($BM$2&amp;CJ$7&amp;$CE139,1)</f>
        <v>0</v>
      </c>
      <c r="CK139" s="539" t="str">
        <f t="shared" ref="CK139:CK149" ca="1" si="100">IF(CG139=0,"-",IFERROR(CG139/CG$138,"-"))</f>
        <v>-</v>
      </c>
      <c r="CL139" s="494" t="s">
        <v>8222</v>
      </c>
      <c r="CU139" s="469" t="s">
        <v>5510</v>
      </c>
      <c r="EQ139" s="469" t="s">
        <v>5510</v>
      </c>
      <c r="GC139" s="472" t="s">
        <v>5510</v>
      </c>
    </row>
    <row r="140" spans="1:185" x14ac:dyDescent="0.25">
      <c r="B140" s="20" t="s">
        <v>5936</v>
      </c>
      <c r="AV140" s="469" t="s">
        <v>5510</v>
      </c>
      <c r="BF140" s="469" t="s">
        <v>5510</v>
      </c>
      <c r="BG140" s="469">
        <v>3</v>
      </c>
      <c r="BH140" s="539" t="s">
        <v>8045</v>
      </c>
      <c r="BI140" s="539">
        <f t="shared" ref="BI140:BI149" si="101">BI139+1</f>
        <v>151</v>
      </c>
      <c r="BJ140" s="539" cm="1">
        <f t="array" aca="1" ref="BJ140" ca="1">INDIRECT($BM$2&amp;BJ$7&amp;$BI140,1)</f>
        <v>0</v>
      </c>
      <c r="BK140" s="539" cm="1">
        <f t="array" aca="1" ref="BK140" ca="1">INDIRECT($BM$2&amp;BK$7&amp;$BI140,1)</f>
        <v>0</v>
      </c>
      <c r="BL140" s="539" cm="1">
        <f t="array" aca="1" ref="BL140" ca="1">INDIRECT($BM$2&amp;BL$7&amp;$BI140,1)</f>
        <v>0</v>
      </c>
      <c r="BM140" s="539" cm="1">
        <f t="array" aca="1" ref="BM140" ca="1">INDIRECT($BM$2&amp;BM$7&amp;$BI140,1)</f>
        <v>0</v>
      </c>
      <c r="BN140" s="539" cm="1">
        <f t="array" aca="1" ref="BN140" ca="1">INDIRECT($BM$2&amp;BN$7&amp;$BI140,1)</f>
        <v>0</v>
      </c>
      <c r="BO140" s="539" t="str">
        <f t="shared" ca="1" si="98"/>
        <v>-</v>
      </c>
      <c r="BP140" s="494" t="s">
        <v>8222</v>
      </c>
      <c r="BQ140" s="20"/>
      <c r="BR140" s="469">
        <v>3</v>
      </c>
      <c r="BS140" s="539" t="s">
        <v>8045</v>
      </c>
      <c r="BT140" s="539">
        <f t="shared" ref="BT140:BT149" si="102">BT139+1</f>
        <v>497</v>
      </c>
      <c r="BU140" s="539" cm="1">
        <f t="array" aca="1" ref="BU140" ca="1">INDIRECT($BM$2&amp;BU$7&amp;$BT140,1)</f>
        <v>0</v>
      </c>
      <c r="BV140" s="539" cm="1">
        <f t="array" aca="1" ref="BV140" ca="1">INDIRECT($BM$2&amp;BV$7&amp;$BT140,1)</f>
        <v>0</v>
      </c>
      <c r="BW140" s="539" cm="1">
        <f t="array" aca="1" ref="BW140" ca="1">INDIRECT($BM$2&amp;BW$7&amp;$BT140,1)</f>
        <v>0</v>
      </c>
      <c r="BX140" s="539" cm="1">
        <f t="array" aca="1" ref="BX140" ca="1">INDIRECT($BM$2&amp;BX$7&amp;$BT140,1)</f>
        <v>0</v>
      </c>
      <c r="BY140" s="539" cm="1">
        <f t="array" aca="1" ref="BY140" ca="1">INDIRECT($BM$2&amp;BY$7&amp;$BT140,1)</f>
        <v>0</v>
      </c>
      <c r="BZ140" s="539" t="str">
        <f t="shared" ca="1" si="99"/>
        <v>-</v>
      </c>
      <c r="CA140" s="494" t="s">
        <v>8222</v>
      </c>
      <c r="CC140" s="469">
        <v>3</v>
      </c>
      <c r="CD140" s="539" t="s">
        <v>8045</v>
      </c>
      <c r="CE140" s="539">
        <f t="shared" ref="CE140:CE149" si="103">CE139+1</f>
        <v>843</v>
      </c>
      <c r="CF140" s="539" cm="1">
        <f t="array" aca="1" ref="CF140" ca="1">INDIRECT($BM$2&amp;CF$7&amp;$CE140,1)</f>
        <v>0</v>
      </c>
      <c r="CG140" s="539" cm="1">
        <f t="array" aca="1" ref="CG140" ca="1">INDIRECT($BM$2&amp;CG$7&amp;$CE140,1)</f>
        <v>0</v>
      </c>
      <c r="CH140" s="539" cm="1">
        <f t="array" aca="1" ref="CH140" ca="1">INDIRECT($BM$2&amp;CH$7&amp;$CE140,1)</f>
        <v>0</v>
      </c>
      <c r="CI140" s="539" cm="1">
        <f t="array" aca="1" ref="CI140" ca="1">INDIRECT($BM$2&amp;CI$7&amp;$CE140,1)</f>
        <v>0</v>
      </c>
      <c r="CJ140" s="539" cm="1">
        <f t="array" aca="1" ref="CJ140" ca="1">INDIRECT($BM$2&amp;CJ$7&amp;$CE140,1)</f>
        <v>0</v>
      </c>
      <c r="CK140" s="539" t="str">
        <f t="shared" ca="1" si="100"/>
        <v>-</v>
      </c>
      <c r="CL140" s="494" t="s">
        <v>8222</v>
      </c>
      <c r="CU140" s="469" t="s">
        <v>5510</v>
      </c>
      <c r="EQ140" s="469" t="s">
        <v>5510</v>
      </c>
      <c r="GC140" s="472" t="s">
        <v>5510</v>
      </c>
    </row>
    <row r="141" spans="1:185" x14ac:dyDescent="0.25">
      <c r="AV141" s="469" t="s">
        <v>5510</v>
      </c>
      <c r="BF141" s="469" t="s">
        <v>5510</v>
      </c>
      <c r="BG141" s="469">
        <v>4</v>
      </c>
      <c r="BH141" s="539" t="s">
        <v>8045</v>
      </c>
      <c r="BI141" s="539">
        <f t="shared" si="101"/>
        <v>152</v>
      </c>
      <c r="BJ141" s="539" cm="1">
        <f t="array" aca="1" ref="BJ141" ca="1">INDIRECT($BM$2&amp;BJ$7&amp;$BI141,1)</f>
        <v>0</v>
      </c>
      <c r="BK141" s="539" cm="1">
        <f t="array" aca="1" ref="BK141" ca="1">INDIRECT($BM$2&amp;BK$7&amp;$BI141,1)</f>
        <v>0</v>
      </c>
      <c r="BL141" s="539" cm="1">
        <f t="array" aca="1" ref="BL141" ca="1">INDIRECT($BM$2&amp;BL$7&amp;$BI141,1)</f>
        <v>0</v>
      </c>
      <c r="BM141" s="539" cm="1">
        <f t="array" aca="1" ref="BM141" ca="1">INDIRECT($BM$2&amp;BM$7&amp;$BI141,1)</f>
        <v>0</v>
      </c>
      <c r="BN141" s="539" cm="1">
        <f t="array" aca="1" ref="BN141" ca="1">INDIRECT($BM$2&amp;BN$7&amp;$BI141,1)</f>
        <v>0</v>
      </c>
      <c r="BO141" s="539" t="str">
        <f t="shared" ca="1" si="98"/>
        <v>-</v>
      </c>
      <c r="BP141" s="494" t="s">
        <v>8222</v>
      </c>
      <c r="BQ141" s="20"/>
      <c r="BR141" s="469">
        <v>4</v>
      </c>
      <c r="BS141" s="539" t="s">
        <v>8045</v>
      </c>
      <c r="BT141" s="539">
        <f t="shared" si="102"/>
        <v>498</v>
      </c>
      <c r="BU141" s="539" cm="1">
        <f t="array" aca="1" ref="BU141" ca="1">INDIRECT($BM$2&amp;BU$7&amp;$BT141,1)</f>
        <v>0</v>
      </c>
      <c r="BV141" s="539" cm="1">
        <f t="array" aca="1" ref="BV141" ca="1">INDIRECT($BM$2&amp;BV$7&amp;$BT141,1)</f>
        <v>0</v>
      </c>
      <c r="BW141" s="539" cm="1">
        <f t="array" aca="1" ref="BW141" ca="1">INDIRECT($BM$2&amp;BW$7&amp;$BT141,1)</f>
        <v>0</v>
      </c>
      <c r="BX141" s="539" cm="1">
        <f t="array" aca="1" ref="BX141" ca="1">INDIRECT($BM$2&amp;BX$7&amp;$BT141,1)</f>
        <v>0</v>
      </c>
      <c r="BY141" s="539" cm="1">
        <f t="array" aca="1" ref="BY141" ca="1">INDIRECT($BM$2&amp;BY$7&amp;$BT141,1)</f>
        <v>0</v>
      </c>
      <c r="BZ141" s="539" t="str">
        <f t="shared" ca="1" si="99"/>
        <v>-</v>
      </c>
      <c r="CA141" s="494" t="s">
        <v>8222</v>
      </c>
      <c r="CC141" s="469">
        <v>4</v>
      </c>
      <c r="CD141" s="539" t="s">
        <v>8045</v>
      </c>
      <c r="CE141" s="539">
        <f t="shared" si="103"/>
        <v>844</v>
      </c>
      <c r="CF141" s="539" cm="1">
        <f t="array" aca="1" ref="CF141" ca="1">INDIRECT($BM$2&amp;CF$7&amp;$CE141,1)</f>
        <v>0</v>
      </c>
      <c r="CG141" s="539" cm="1">
        <f t="array" aca="1" ref="CG141" ca="1">INDIRECT($BM$2&amp;CG$7&amp;$CE141,1)</f>
        <v>0</v>
      </c>
      <c r="CH141" s="539" cm="1">
        <f t="array" aca="1" ref="CH141" ca="1">INDIRECT($BM$2&amp;CH$7&amp;$CE141,1)</f>
        <v>0</v>
      </c>
      <c r="CI141" s="539" cm="1">
        <f t="array" aca="1" ref="CI141" ca="1">INDIRECT($BM$2&amp;CI$7&amp;$CE141,1)</f>
        <v>0</v>
      </c>
      <c r="CJ141" s="539" cm="1">
        <f t="array" aca="1" ref="CJ141" ca="1">INDIRECT($BM$2&amp;CJ$7&amp;$CE141,1)</f>
        <v>0</v>
      </c>
      <c r="CK141" s="539" t="str">
        <f t="shared" ca="1" si="100"/>
        <v>-</v>
      </c>
      <c r="CL141" s="494" t="s">
        <v>8222</v>
      </c>
      <c r="CU141" s="469" t="s">
        <v>5510</v>
      </c>
      <c r="EQ141" s="469" t="s">
        <v>5510</v>
      </c>
      <c r="GC141" s="472" t="s">
        <v>5510</v>
      </c>
    </row>
    <row r="142" spans="1:185" x14ac:dyDescent="0.25">
      <c r="C142" s="20" t="s">
        <v>5927</v>
      </c>
      <c r="I142" s="651" t="s">
        <v>5546</v>
      </c>
      <c r="AV142" s="469" t="s">
        <v>5510</v>
      </c>
      <c r="BF142" s="469" t="s">
        <v>5510</v>
      </c>
      <c r="BG142" s="469">
        <v>5</v>
      </c>
      <c r="BH142" s="539" t="s">
        <v>8045</v>
      </c>
      <c r="BI142" s="539">
        <f t="shared" si="101"/>
        <v>153</v>
      </c>
      <c r="BJ142" s="539" cm="1">
        <f t="array" aca="1" ref="BJ142" ca="1">INDIRECT($BM$2&amp;BJ$7&amp;$BI142,1)</f>
        <v>0</v>
      </c>
      <c r="BK142" s="539" cm="1">
        <f t="array" aca="1" ref="BK142" ca="1">INDIRECT($BM$2&amp;BK$7&amp;$BI142,1)</f>
        <v>0</v>
      </c>
      <c r="BL142" s="539" cm="1">
        <f t="array" aca="1" ref="BL142" ca="1">INDIRECT($BM$2&amp;BL$7&amp;$BI142,1)</f>
        <v>0</v>
      </c>
      <c r="BM142" s="539" cm="1">
        <f t="array" aca="1" ref="BM142" ca="1">INDIRECT($BM$2&amp;BM$7&amp;$BI142,1)</f>
        <v>0</v>
      </c>
      <c r="BN142" s="539" cm="1">
        <f t="array" aca="1" ref="BN142" ca="1">INDIRECT($BM$2&amp;BN$7&amp;$BI142,1)</f>
        <v>0</v>
      </c>
      <c r="BO142" s="539" t="str">
        <f t="shared" ca="1" si="98"/>
        <v>-</v>
      </c>
      <c r="BP142" s="494" t="s">
        <v>8222</v>
      </c>
      <c r="BQ142" s="20"/>
      <c r="BR142" s="469">
        <v>5</v>
      </c>
      <c r="BS142" s="539" t="s">
        <v>8045</v>
      </c>
      <c r="BT142" s="539">
        <f t="shared" si="102"/>
        <v>499</v>
      </c>
      <c r="BU142" s="539" cm="1">
        <f t="array" aca="1" ref="BU142" ca="1">INDIRECT($BM$2&amp;BU$7&amp;$BT142,1)</f>
        <v>0</v>
      </c>
      <c r="BV142" s="539" cm="1">
        <f t="array" aca="1" ref="BV142" ca="1">INDIRECT($BM$2&amp;BV$7&amp;$BT142,1)</f>
        <v>0</v>
      </c>
      <c r="BW142" s="539" cm="1">
        <f t="array" aca="1" ref="BW142" ca="1">INDIRECT($BM$2&amp;BW$7&amp;$BT142,1)</f>
        <v>0</v>
      </c>
      <c r="BX142" s="539" cm="1">
        <f t="array" aca="1" ref="BX142" ca="1">INDIRECT($BM$2&amp;BX$7&amp;$BT142,1)</f>
        <v>0</v>
      </c>
      <c r="BY142" s="539" cm="1">
        <f t="array" aca="1" ref="BY142" ca="1">INDIRECT($BM$2&amp;BY$7&amp;$BT142,1)</f>
        <v>0</v>
      </c>
      <c r="BZ142" s="539" t="str">
        <f t="shared" ca="1" si="99"/>
        <v>-</v>
      </c>
      <c r="CA142" s="494" t="s">
        <v>8222</v>
      </c>
      <c r="CC142" s="469">
        <v>5</v>
      </c>
      <c r="CD142" s="539" t="s">
        <v>8045</v>
      </c>
      <c r="CE142" s="539">
        <f t="shared" si="103"/>
        <v>845</v>
      </c>
      <c r="CF142" s="539" cm="1">
        <f t="array" aca="1" ref="CF142" ca="1">INDIRECT($BM$2&amp;CF$7&amp;$CE142,1)</f>
        <v>0</v>
      </c>
      <c r="CG142" s="539" cm="1">
        <f t="array" aca="1" ref="CG142" ca="1">INDIRECT($BM$2&amp;CG$7&amp;$CE142,1)</f>
        <v>0</v>
      </c>
      <c r="CH142" s="539" cm="1">
        <f t="array" aca="1" ref="CH142" ca="1">INDIRECT($BM$2&amp;CH$7&amp;$CE142,1)</f>
        <v>0</v>
      </c>
      <c r="CI142" s="539" cm="1">
        <f t="array" aca="1" ref="CI142" ca="1">INDIRECT($BM$2&amp;CI$7&amp;$CE142,1)</f>
        <v>0</v>
      </c>
      <c r="CJ142" s="539" cm="1">
        <f t="array" aca="1" ref="CJ142" ca="1">INDIRECT($BM$2&amp;CJ$7&amp;$CE142,1)</f>
        <v>0</v>
      </c>
      <c r="CK142" s="539" t="str">
        <f t="shared" ca="1" si="100"/>
        <v>-</v>
      </c>
      <c r="CL142" s="494" t="s">
        <v>8222</v>
      </c>
      <c r="CU142" s="469" t="s">
        <v>5510</v>
      </c>
      <c r="EQ142" s="469" t="s">
        <v>5510</v>
      </c>
      <c r="ES142" s="504"/>
      <c r="ET142" s="507"/>
      <c r="EU142" s="585">
        <v>33</v>
      </c>
      <c r="GC142" s="472" t="s">
        <v>5510</v>
      </c>
    </row>
    <row r="143" spans="1:185" x14ac:dyDescent="0.25">
      <c r="B143" s="506" t="s">
        <v>5928</v>
      </c>
      <c r="C143" s="632">
        <v>1</v>
      </c>
      <c r="D143" s="632">
        <v>2</v>
      </c>
      <c r="E143" s="525">
        <v>3</v>
      </c>
      <c r="H143" s="518" t="s">
        <v>5901</v>
      </c>
      <c r="I143" s="492" cm="1">
        <f t="array" aca="1" ref="I143" ca="1">INDIRECT(C157&amp;"N52",1)</f>
        <v>0</v>
      </c>
      <c r="J143" s="20" t="s">
        <v>5933</v>
      </c>
      <c r="AV143" s="469" t="s">
        <v>5510</v>
      </c>
      <c r="BF143" s="469" t="s">
        <v>5510</v>
      </c>
      <c r="BG143" s="469">
        <v>6</v>
      </c>
      <c r="BH143" s="539" t="s">
        <v>8045</v>
      </c>
      <c r="BI143" s="539">
        <f t="shared" si="101"/>
        <v>154</v>
      </c>
      <c r="BJ143" s="539" cm="1">
        <f t="array" aca="1" ref="BJ143" ca="1">INDIRECT($BM$2&amp;BJ$7&amp;$BI143,1)</f>
        <v>0</v>
      </c>
      <c r="BK143" s="539" cm="1">
        <f t="array" aca="1" ref="BK143" ca="1">INDIRECT($BM$2&amp;BK$7&amp;$BI143,1)</f>
        <v>0</v>
      </c>
      <c r="BL143" s="539" cm="1">
        <f t="array" aca="1" ref="BL143" ca="1">INDIRECT($BM$2&amp;BL$7&amp;$BI143,1)</f>
        <v>0</v>
      </c>
      <c r="BM143" s="539" cm="1">
        <f t="array" aca="1" ref="BM143" ca="1">INDIRECT($BM$2&amp;BM$7&amp;$BI143,1)</f>
        <v>0</v>
      </c>
      <c r="BN143" s="539" cm="1">
        <f t="array" aca="1" ref="BN143" ca="1">INDIRECT($BM$2&amp;BN$7&amp;$BI143,1)</f>
        <v>0</v>
      </c>
      <c r="BO143" s="539" t="str">
        <f t="shared" ca="1" si="98"/>
        <v>-</v>
      </c>
      <c r="BP143" s="494" t="s">
        <v>8222</v>
      </c>
      <c r="BQ143" s="20"/>
      <c r="BR143" s="469">
        <v>6</v>
      </c>
      <c r="BS143" s="539" t="s">
        <v>8045</v>
      </c>
      <c r="BT143" s="539">
        <f t="shared" si="102"/>
        <v>500</v>
      </c>
      <c r="BU143" s="539" cm="1">
        <f t="array" aca="1" ref="BU143" ca="1">INDIRECT($BM$2&amp;BU$7&amp;$BT143,1)</f>
        <v>0</v>
      </c>
      <c r="BV143" s="539" cm="1">
        <f t="array" aca="1" ref="BV143" ca="1">INDIRECT($BM$2&amp;BV$7&amp;$BT143,1)</f>
        <v>0</v>
      </c>
      <c r="BW143" s="539" cm="1">
        <f t="array" aca="1" ref="BW143" ca="1">INDIRECT($BM$2&amp;BW$7&amp;$BT143,1)</f>
        <v>0</v>
      </c>
      <c r="BX143" s="539" cm="1">
        <f t="array" aca="1" ref="BX143" ca="1">INDIRECT($BM$2&amp;BX$7&amp;$BT143,1)</f>
        <v>0</v>
      </c>
      <c r="BY143" s="539" cm="1">
        <f t="array" aca="1" ref="BY143" ca="1">INDIRECT($BM$2&amp;BY$7&amp;$BT143,1)</f>
        <v>0</v>
      </c>
      <c r="BZ143" s="539" t="str">
        <f t="shared" ca="1" si="99"/>
        <v>-</v>
      </c>
      <c r="CA143" s="494" t="s">
        <v>8222</v>
      </c>
      <c r="CC143" s="469">
        <v>6</v>
      </c>
      <c r="CD143" s="539" t="s">
        <v>8045</v>
      </c>
      <c r="CE143" s="539">
        <f t="shared" si="103"/>
        <v>846</v>
      </c>
      <c r="CF143" s="539" cm="1">
        <f t="array" aca="1" ref="CF143" ca="1">INDIRECT($BM$2&amp;CF$7&amp;$CE143,1)</f>
        <v>0</v>
      </c>
      <c r="CG143" s="539" cm="1">
        <f t="array" aca="1" ref="CG143" ca="1">INDIRECT($BM$2&amp;CG$7&amp;$CE143,1)</f>
        <v>0</v>
      </c>
      <c r="CH143" s="539" cm="1">
        <f t="array" aca="1" ref="CH143" ca="1">INDIRECT($BM$2&amp;CH$7&amp;$CE143,1)</f>
        <v>0</v>
      </c>
      <c r="CI143" s="539" cm="1">
        <f t="array" aca="1" ref="CI143" ca="1">INDIRECT($BM$2&amp;CI$7&amp;$CE143,1)</f>
        <v>0</v>
      </c>
      <c r="CJ143" s="539" cm="1">
        <f t="array" aca="1" ref="CJ143" ca="1">INDIRECT($BM$2&amp;CJ$7&amp;$CE143,1)</f>
        <v>0</v>
      </c>
      <c r="CK143" s="539" t="str">
        <f t="shared" ca="1" si="100"/>
        <v>-</v>
      </c>
      <c r="CL143" s="494" t="s">
        <v>8222</v>
      </c>
      <c r="CU143" s="469" t="s">
        <v>5510</v>
      </c>
      <c r="EQ143" s="469" t="s">
        <v>5510</v>
      </c>
      <c r="ES143" s="504"/>
      <c r="ET143" s="507"/>
      <c r="EU143" s="585">
        <v>34</v>
      </c>
      <c r="GC143" s="472" t="s">
        <v>5510</v>
      </c>
    </row>
    <row r="144" spans="1:185" x14ac:dyDescent="0.25">
      <c r="B144" s="506" t="s">
        <v>5916</v>
      </c>
      <c r="C144" s="632" t="s">
        <v>5900</v>
      </c>
      <c r="D144" s="632" t="s">
        <v>5807</v>
      </c>
      <c r="E144" s="525" t="s">
        <v>5807</v>
      </c>
      <c r="H144" s="518" t="s">
        <v>5932</v>
      </c>
      <c r="I144" s="492" t="str">
        <f ca="1">IF(COUNTIF(T159:V159,1)&gt;0,"sim","não")</f>
        <v>não</v>
      </c>
      <c r="J144" s="20" t="s">
        <v>5934</v>
      </c>
      <c r="AV144" s="469" t="s">
        <v>5510</v>
      </c>
      <c r="BF144" s="469" t="s">
        <v>5510</v>
      </c>
      <c r="BG144" s="469">
        <v>7</v>
      </c>
      <c r="BH144" s="539" t="s">
        <v>8045</v>
      </c>
      <c r="BI144" s="539">
        <f t="shared" si="101"/>
        <v>155</v>
      </c>
      <c r="BJ144" s="539" cm="1">
        <f t="array" aca="1" ref="BJ144" ca="1">INDIRECT($BM$2&amp;BJ$7&amp;$BI144,1)</f>
        <v>0</v>
      </c>
      <c r="BK144" s="539" cm="1">
        <f t="array" aca="1" ref="BK144" ca="1">INDIRECT($BM$2&amp;BK$7&amp;$BI144,1)</f>
        <v>0</v>
      </c>
      <c r="BL144" s="539" cm="1">
        <f t="array" aca="1" ref="BL144" ca="1">INDIRECT($BM$2&amp;BL$7&amp;$BI144,1)</f>
        <v>0</v>
      </c>
      <c r="BM144" s="539" cm="1">
        <f t="array" aca="1" ref="BM144" ca="1">INDIRECT($BM$2&amp;BM$7&amp;$BI144,1)</f>
        <v>0</v>
      </c>
      <c r="BN144" s="539" cm="1">
        <f t="array" aca="1" ref="BN144" ca="1">INDIRECT($BM$2&amp;BN$7&amp;$BI144,1)</f>
        <v>0</v>
      </c>
      <c r="BO144" s="539" t="str">
        <f t="shared" ca="1" si="98"/>
        <v>-</v>
      </c>
      <c r="BP144" s="494" t="s">
        <v>8222</v>
      </c>
      <c r="BQ144" s="20"/>
      <c r="BR144" s="469">
        <v>7</v>
      </c>
      <c r="BS144" s="539" t="s">
        <v>8045</v>
      </c>
      <c r="BT144" s="539">
        <f t="shared" si="102"/>
        <v>501</v>
      </c>
      <c r="BU144" s="539" cm="1">
        <f t="array" aca="1" ref="BU144" ca="1">INDIRECT($BM$2&amp;BU$7&amp;$BT144,1)</f>
        <v>0</v>
      </c>
      <c r="BV144" s="539" cm="1">
        <f t="array" aca="1" ref="BV144" ca="1">INDIRECT($BM$2&amp;BV$7&amp;$BT144,1)</f>
        <v>0</v>
      </c>
      <c r="BW144" s="539" cm="1">
        <f t="array" aca="1" ref="BW144" ca="1">INDIRECT($BM$2&amp;BW$7&amp;$BT144,1)</f>
        <v>0</v>
      </c>
      <c r="BX144" s="539" cm="1">
        <f t="array" aca="1" ref="BX144" ca="1">INDIRECT($BM$2&amp;BX$7&amp;$BT144,1)</f>
        <v>0</v>
      </c>
      <c r="BY144" s="539" cm="1">
        <f t="array" aca="1" ref="BY144" ca="1">INDIRECT($BM$2&amp;BY$7&amp;$BT144,1)</f>
        <v>0</v>
      </c>
      <c r="BZ144" s="539" t="str">
        <f t="shared" ca="1" si="99"/>
        <v>-</v>
      </c>
      <c r="CA144" s="494" t="s">
        <v>8222</v>
      </c>
      <c r="CC144" s="469">
        <v>7</v>
      </c>
      <c r="CD144" s="539" t="s">
        <v>8045</v>
      </c>
      <c r="CE144" s="539">
        <f t="shared" si="103"/>
        <v>847</v>
      </c>
      <c r="CF144" s="539" cm="1">
        <f t="array" aca="1" ref="CF144" ca="1">INDIRECT($BM$2&amp;CF$7&amp;$CE144,1)</f>
        <v>0</v>
      </c>
      <c r="CG144" s="539" cm="1">
        <f t="array" aca="1" ref="CG144" ca="1">INDIRECT($BM$2&amp;CG$7&amp;$CE144,1)</f>
        <v>0</v>
      </c>
      <c r="CH144" s="539" cm="1">
        <f t="array" aca="1" ref="CH144" ca="1">INDIRECT($BM$2&amp;CH$7&amp;$CE144,1)</f>
        <v>0</v>
      </c>
      <c r="CI144" s="539" cm="1">
        <f t="array" aca="1" ref="CI144" ca="1">INDIRECT($BM$2&amp;CI$7&amp;$CE144,1)</f>
        <v>0</v>
      </c>
      <c r="CJ144" s="539" cm="1">
        <f t="array" aca="1" ref="CJ144" ca="1">INDIRECT($BM$2&amp;CJ$7&amp;$CE144,1)</f>
        <v>0</v>
      </c>
      <c r="CK144" s="539" t="str">
        <f t="shared" ca="1" si="100"/>
        <v>-</v>
      </c>
      <c r="CL144" s="494" t="s">
        <v>8222</v>
      </c>
      <c r="CU144" s="469" t="s">
        <v>5510</v>
      </c>
      <c r="EQ144" s="469" t="s">
        <v>5510</v>
      </c>
      <c r="ES144" s="504"/>
      <c r="ET144" s="507"/>
      <c r="EU144" s="585">
        <v>35</v>
      </c>
      <c r="GC144" s="472" t="s">
        <v>5510</v>
      </c>
    </row>
    <row r="145" spans="1:185" x14ac:dyDescent="0.25">
      <c r="B145" s="506"/>
      <c r="C145" s="552" t="s">
        <v>5915</v>
      </c>
      <c r="D145" s="552" t="s">
        <v>5915</v>
      </c>
      <c r="E145" s="552" t="s">
        <v>5915</v>
      </c>
      <c r="H145" s="518" t="str">
        <f>GK5</f>
        <v>resultado_numerico</v>
      </c>
      <c r="I145" s="492" t="str">
        <f ca="1">IF(OR(I143="sim",I144="Sim"),"sim","não")</f>
        <v>não</v>
      </c>
      <c r="J145" s="20" t="s">
        <v>5935</v>
      </c>
      <c r="AV145" s="469" t="s">
        <v>5510</v>
      </c>
      <c r="BF145" s="469" t="s">
        <v>5510</v>
      </c>
      <c r="BG145" s="469">
        <v>8</v>
      </c>
      <c r="BH145" s="539" t="s">
        <v>8045</v>
      </c>
      <c r="BI145" s="539">
        <f t="shared" si="101"/>
        <v>156</v>
      </c>
      <c r="BJ145" s="539" cm="1">
        <f t="array" aca="1" ref="BJ145" ca="1">INDIRECT($BM$2&amp;BJ$7&amp;$BI145,1)</f>
        <v>0</v>
      </c>
      <c r="BK145" s="539" cm="1">
        <f t="array" aca="1" ref="BK145" ca="1">INDIRECT($BM$2&amp;BK$7&amp;$BI145,1)</f>
        <v>0</v>
      </c>
      <c r="BL145" s="539" cm="1">
        <f t="array" aca="1" ref="BL145" ca="1">INDIRECT($BM$2&amp;BL$7&amp;$BI145,1)</f>
        <v>0</v>
      </c>
      <c r="BM145" s="539" cm="1">
        <f t="array" aca="1" ref="BM145" ca="1">INDIRECT($BM$2&amp;BM$7&amp;$BI145,1)</f>
        <v>0</v>
      </c>
      <c r="BN145" s="539" cm="1">
        <f t="array" aca="1" ref="BN145" ca="1">INDIRECT($BM$2&amp;BN$7&amp;$BI145,1)</f>
        <v>0</v>
      </c>
      <c r="BO145" s="539" t="str">
        <f t="shared" ca="1" si="98"/>
        <v>-</v>
      </c>
      <c r="BP145" s="494" t="s">
        <v>8222</v>
      </c>
      <c r="BQ145" s="20"/>
      <c r="BR145" s="469">
        <v>8</v>
      </c>
      <c r="BS145" s="539" t="s">
        <v>8045</v>
      </c>
      <c r="BT145" s="539">
        <f t="shared" si="102"/>
        <v>502</v>
      </c>
      <c r="BU145" s="539" cm="1">
        <f t="array" aca="1" ref="BU145" ca="1">INDIRECT($BM$2&amp;BU$7&amp;$BT145,1)</f>
        <v>0</v>
      </c>
      <c r="BV145" s="539" cm="1">
        <f t="array" aca="1" ref="BV145" ca="1">INDIRECT($BM$2&amp;BV$7&amp;$BT145,1)</f>
        <v>0</v>
      </c>
      <c r="BW145" s="539" cm="1">
        <f t="array" aca="1" ref="BW145" ca="1">INDIRECT($BM$2&amp;BW$7&amp;$BT145,1)</f>
        <v>0</v>
      </c>
      <c r="BX145" s="539" cm="1">
        <f t="array" aca="1" ref="BX145" ca="1">INDIRECT($BM$2&amp;BX$7&amp;$BT145,1)</f>
        <v>0</v>
      </c>
      <c r="BY145" s="539" cm="1">
        <f t="array" aca="1" ref="BY145" ca="1">INDIRECT($BM$2&amp;BY$7&amp;$BT145,1)</f>
        <v>0</v>
      </c>
      <c r="BZ145" s="539" t="str">
        <f t="shared" ca="1" si="99"/>
        <v>-</v>
      </c>
      <c r="CA145" s="494" t="s">
        <v>8222</v>
      </c>
      <c r="CC145" s="469">
        <v>8</v>
      </c>
      <c r="CD145" s="539" t="s">
        <v>8045</v>
      </c>
      <c r="CE145" s="539">
        <f t="shared" si="103"/>
        <v>848</v>
      </c>
      <c r="CF145" s="539" cm="1">
        <f t="array" aca="1" ref="CF145" ca="1">INDIRECT($BM$2&amp;CF$7&amp;$CE145,1)</f>
        <v>0</v>
      </c>
      <c r="CG145" s="539" cm="1">
        <f t="array" aca="1" ref="CG145" ca="1">INDIRECT($BM$2&amp;CG$7&amp;$CE145,1)</f>
        <v>0</v>
      </c>
      <c r="CH145" s="539" cm="1">
        <f t="array" aca="1" ref="CH145" ca="1">INDIRECT($BM$2&amp;CH$7&amp;$CE145,1)</f>
        <v>0</v>
      </c>
      <c r="CI145" s="539" cm="1">
        <f t="array" aca="1" ref="CI145" ca="1">INDIRECT($BM$2&amp;CI$7&amp;$CE145,1)</f>
        <v>0</v>
      </c>
      <c r="CJ145" s="539" cm="1">
        <f t="array" aca="1" ref="CJ145" ca="1">INDIRECT($BM$2&amp;CJ$7&amp;$CE145,1)</f>
        <v>0</v>
      </c>
      <c r="CK145" s="539" t="str">
        <f t="shared" ca="1" si="100"/>
        <v>-</v>
      </c>
      <c r="CL145" s="494" t="s">
        <v>8222</v>
      </c>
      <c r="CU145" s="469" t="s">
        <v>5510</v>
      </c>
      <c r="EQ145" s="469" t="s">
        <v>5510</v>
      </c>
      <c r="ES145" s="504"/>
      <c r="ET145" s="507"/>
      <c r="EU145" s="585">
        <v>36</v>
      </c>
      <c r="GC145" s="472" t="s">
        <v>5510</v>
      </c>
    </row>
    <row r="146" spans="1:185" x14ac:dyDescent="0.25">
      <c r="A146" s="572"/>
      <c r="B146" s="506" t="s">
        <v>63</v>
      </c>
      <c r="C146" s="525" t="s">
        <v>10</v>
      </c>
      <c r="D146" s="525" t="s">
        <v>5808</v>
      </c>
      <c r="E146" s="525" t="s">
        <v>5900</v>
      </c>
      <c r="AV146" s="469" t="s">
        <v>5510</v>
      </c>
      <c r="BF146" s="469" t="s">
        <v>5510</v>
      </c>
      <c r="BG146" s="469">
        <v>9</v>
      </c>
      <c r="BH146" s="539" t="s">
        <v>8045</v>
      </c>
      <c r="BI146" s="539">
        <f t="shared" si="101"/>
        <v>157</v>
      </c>
      <c r="BJ146" s="539" cm="1">
        <f t="array" aca="1" ref="BJ146" ca="1">INDIRECT($BM$2&amp;BJ$7&amp;$BI146,1)</f>
        <v>0</v>
      </c>
      <c r="BK146" s="539" cm="1">
        <f t="array" aca="1" ref="BK146" ca="1">INDIRECT($BM$2&amp;BK$7&amp;$BI146,1)</f>
        <v>0</v>
      </c>
      <c r="BL146" s="539" cm="1">
        <f t="array" aca="1" ref="BL146" ca="1">INDIRECT($BM$2&amp;BL$7&amp;$BI146,1)</f>
        <v>0</v>
      </c>
      <c r="BM146" s="539" cm="1">
        <f t="array" aca="1" ref="BM146" ca="1">INDIRECT($BM$2&amp;BM$7&amp;$BI146,1)</f>
        <v>0</v>
      </c>
      <c r="BN146" s="539" cm="1">
        <f t="array" aca="1" ref="BN146" ca="1">INDIRECT($BM$2&amp;BN$7&amp;$BI146,1)</f>
        <v>0</v>
      </c>
      <c r="BO146" s="539" t="str">
        <f t="shared" ca="1" si="98"/>
        <v>-</v>
      </c>
      <c r="BP146" s="494" t="s">
        <v>8222</v>
      </c>
      <c r="BQ146" s="20"/>
      <c r="BR146" s="469">
        <v>9</v>
      </c>
      <c r="BS146" s="539" t="s">
        <v>8045</v>
      </c>
      <c r="BT146" s="539">
        <f t="shared" si="102"/>
        <v>503</v>
      </c>
      <c r="BU146" s="539" cm="1">
        <f t="array" aca="1" ref="BU146" ca="1">INDIRECT($BM$2&amp;BU$7&amp;$BT146,1)</f>
        <v>0</v>
      </c>
      <c r="BV146" s="539" cm="1">
        <f t="array" aca="1" ref="BV146" ca="1">INDIRECT($BM$2&amp;BV$7&amp;$BT146,1)</f>
        <v>0</v>
      </c>
      <c r="BW146" s="539" cm="1">
        <f t="array" aca="1" ref="BW146" ca="1">INDIRECT($BM$2&amp;BW$7&amp;$BT146,1)</f>
        <v>0</v>
      </c>
      <c r="BX146" s="539" cm="1">
        <f t="array" aca="1" ref="BX146" ca="1">INDIRECT($BM$2&amp;BX$7&amp;$BT146,1)</f>
        <v>0</v>
      </c>
      <c r="BY146" s="539" cm="1">
        <f t="array" aca="1" ref="BY146" ca="1">INDIRECT($BM$2&amp;BY$7&amp;$BT146,1)</f>
        <v>0</v>
      </c>
      <c r="BZ146" s="539" t="str">
        <f t="shared" ca="1" si="99"/>
        <v>-</v>
      </c>
      <c r="CA146" s="494" t="s">
        <v>8222</v>
      </c>
      <c r="CC146" s="469">
        <v>9</v>
      </c>
      <c r="CD146" s="539" t="s">
        <v>8045</v>
      </c>
      <c r="CE146" s="539">
        <f t="shared" si="103"/>
        <v>849</v>
      </c>
      <c r="CF146" s="539" cm="1">
        <f t="array" aca="1" ref="CF146" ca="1">INDIRECT($BM$2&amp;CF$7&amp;$CE146,1)</f>
        <v>0</v>
      </c>
      <c r="CG146" s="539" cm="1">
        <f t="array" aca="1" ref="CG146" ca="1">INDIRECT($BM$2&amp;CG$7&amp;$CE146,1)</f>
        <v>0</v>
      </c>
      <c r="CH146" s="539" cm="1">
        <f t="array" aca="1" ref="CH146" ca="1">INDIRECT($BM$2&amp;CH$7&amp;$CE146,1)</f>
        <v>0</v>
      </c>
      <c r="CI146" s="539" cm="1">
        <f t="array" aca="1" ref="CI146" ca="1">INDIRECT($BM$2&amp;CI$7&amp;$CE146,1)</f>
        <v>0</v>
      </c>
      <c r="CJ146" s="539" cm="1">
        <f t="array" aca="1" ref="CJ146" ca="1">INDIRECT($BM$2&amp;CJ$7&amp;$CE146,1)</f>
        <v>0</v>
      </c>
      <c r="CK146" s="539" t="str">
        <f t="shared" ca="1" si="100"/>
        <v>-</v>
      </c>
      <c r="CL146" s="494" t="s">
        <v>8222</v>
      </c>
      <c r="CU146" s="469" t="s">
        <v>5510</v>
      </c>
      <c r="EQ146" s="469" t="s">
        <v>5510</v>
      </c>
      <c r="ES146" s="504"/>
      <c r="ET146" s="507"/>
      <c r="EU146" s="585">
        <v>37</v>
      </c>
      <c r="GC146" s="472" t="s">
        <v>5510</v>
      </c>
    </row>
    <row r="147" spans="1:185" x14ac:dyDescent="0.25">
      <c r="B147" s="506" t="s">
        <v>64</v>
      </c>
      <c r="C147" s="525" t="s">
        <v>10</v>
      </c>
      <c r="D147" s="525" t="s">
        <v>10</v>
      </c>
      <c r="E147" s="525" t="s">
        <v>10</v>
      </c>
      <c r="AV147" s="469" t="s">
        <v>5510</v>
      </c>
      <c r="BF147" s="469" t="s">
        <v>5510</v>
      </c>
      <c r="BG147" s="469">
        <v>10</v>
      </c>
      <c r="BH147" s="539" t="s">
        <v>8045</v>
      </c>
      <c r="BI147" s="539">
        <f t="shared" si="101"/>
        <v>158</v>
      </c>
      <c r="BJ147" s="539" cm="1">
        <f t="array" aca="1" ref="BJ147" ca="1">INDIRECT($BM$2&amp;BJ$7&amp;$BI147,1)</f>
        <v>0</v>
      </c>
      <c r="BK147" s="539" cm="1">
        <f t="array" aca="1" ref="BK147" ca="1">INDIRECT($BM$2&amp;BK$7&amp;$BI147,1)</f>
        <v>0</v>
      </c>
      <c r="BL147" s="539" cm="1">
        <f t="array" aca="1" ref="BL147" ca="1">INDIRECT($BM$2&amp;BL$7&amp;$BI147,1)</f>
        <v>0</v>
      </c>
      <c r="BM147" s="539" cm="1">
        <f t="array" aca="1" ref="BM147" ca="1">INDIRECT($BM$2&amp;BM$7&amp;$BI147,1)</f>
        <v>0</v>
      </c>
      <c r="BN147" s="539" cm="1">
        <f t="array" aca="1" ref="BN147" ca="1">INDIRECT($BM$2&amp;BN$7&amp;$BI147,1)</f>
        <v>0</v>
      </c>
      <c r="BO147" s="539" t="str">
        <f t="shared" ca="1" si="98"/>
        <v>-</v>
      </c>
      <c r="BP147" s="494" t="s">
        <v>8222</v>
      </c>
      <c r="BQ147" s="20"/>
      <c r="BR147" s="469">
        <v>10</v>
      </c>
      <c r="BS147" s="539" t="s">
        <v>8045</v>
      </c>
      <c r="BT147" s="539">
        <f t="shared" si="102"/>
        <v>504</v>
      </c>
      <c r="BU147" s="539" cm="1">
        <f t="array" aca="1" ref="BU147" ca="1">INDIRECT($BM$2&amp;BU$7&amp;$BT147,1)</f>
        <v>0</v>
      </c>
      <c r="BV147" s="539" cm="1">
        <f t="array" aca="1" ref="BV147" ca="1">INDIRECT($BM$2&amp;BV$7&amp;$BT147,1)</f>
        <v>0</v>
      </c>
      <c r="BW147" s="539" cm="1">
        <f t="array" aca="1" ref="BW147" ca="1">INDIRECT($BM$2&amp;BW$7&amp;$BT147,1)</f>
        <v>0</v>
      </c>
      <c r="BX147" s="539" cm="1">
        <f t="array" aca="1" ref="BX147" ca="1">INDIRECT($BM$2&amp;BX$7&amp;$BT147,1)</f>
        <v>0</v>
      </c>
      <c r="BY147" s="539" cm="1">
        <f t="array" aca="1" ref="BY147" ca="1">INDIRECT($BM$2&amp;BY$7&amp;$BT147,1)</f>
        <v>0</v>
      </c>
      <c r="BZ147" s="539" t="str">
        <f t="shared" ca="1" si="99"/>
        <v>-</v>
      </c>
      <c r="CA147" s="494" t="s">
        <v>8222</v>
      </c>
      <c r="CC147" s="469">
        <v>10</v>
      </c>
      <c r="CD147" s="539" t="s">
        <v>8045</v>
      </c>
      <c r="CE147" s="539">
        <f t="shared" si="103"/>
        <v>850</v>
      </c>
      <c r="CF147" s="539" cm="1">
        <f t="array" aca="1" ref="CF147" ca="1">INDIRECT($BM$2&amp;CF$7&amp;$CE147,1)</f>
        <v>0</v>
      </c>
      <c r="CG147" s="539" cm="1">
        <f t="array" aca="1" ref="CG147" ca="1">INDIRECT($BM$2&amp;CG$7&amp;$CE147,1)</f>
        <v>0</v>
      </c>
      <c r="CH147" s="539" cm="1">
        <f t="array" aca="1" ref="CH147" ca="1">INDIRECT($BM$2&amp;CH$7&amp;$CE147,1)</f>
        <v>0</v>
      </c>
      <c r="CI147" s="539" cm="1">
        <f t="array" aca="1" ref="CI147" ca="1">INDIRECT($BM$2&amp;CI$7&amp;$CE147,1)</f>
        <v>0</v>
      </c>
      <c r="CJ147" s="539" cm="1">
        <f t="array" aca="1" ref="CJ147" ca="1">INDIRECT($BM$2&amp;CJ$7&amp;$CE147,1)</f>
        <v>0</v>
      </c>
      <c r="CK147" s="539" t="str">
        <f t="shared" ca="1" si="100"/>
        <v>-</v>
      </c>
      <c r="CL147" s="494" t="s">
        <v>8222</v>
      </c>
      <c r="CU147" s="469" t="s">
        <v>5510</v>
      </c>
      <c r="EQ147" s="469" t="s">
        <v>5510</v>
      </c>
      <c r="ES147" s="504"/>
      <c r="ET147" s="507"/>
      <c r="EU147" s="585">
        <v>38</v>
      </c>
      <c r="GC147" s="472" t="s">
        <v>5510</v>
      </c>
    </row>
    <row r="148" spans="1:185" x14ac:dyDescent="0.25">
      <c r="B148" s="506" t="s">
        <v>65</v>
      </c>
      <c r="C148" s="525" t="s">
        <v>10</v>
      </c>
      <c r="D148" s="525" t="s">
        <v>5902</v>
      </c>
      <c r="E148" s="525" t="s">
        <v>5900</v>
      </c>
      <c r="H148" s="518" t="s">
        <v>5922</v>
      </c>
      <c r="I148" s="492" cm="1">
        <f t="array" aca="1" ref="I148" ca="1">IF(INDIRECT(C157&amp;"N59",1)&lt;&gt;"",1,0)</f>
        <v>0</v>
      </c>
      <c r="J148" s="20" t="s">
        <v>5941</v>
      </c>
      <c r="AV148" s="469" t="s">
        <v>5510</v>
      </c>
      <c r="BF148" s="469" t="s">
        <v>5510</v>
      </c>
      <c r="BG148" s="469">
        <v>11</v>
      </c>
      <c r="BH148" s="539" t="s">
        <v>8045</v>
      </c>
      <c r="BI148" s="539">
        <f t="shared" si="101"/>
        <v>159</v>
      </c>
      <c r="BJ148" s="539" cm="1">
        <f t="array" aca="1" ref="BJ148" ca="1">INDIRECT($BM$2&amp;BJ$7&amp;$BI148,1)</f>
        <v>0</v>
      </c>
      <c r="BK148" s="539" cm="1">
        <f t="array" aca="1" ref="BK148" ca="1">INDIRECT($BM$2&amp;BK$7&amp;$BI148,1)</f>
        <v>0</v>
      </c>
      <c r="BL148" s="539" cm="1">
        <f t="array" aca="1" ref="BL148" ca="1">INDIRECT($BM$2&amp;BL$7&amp;$BI148,1)</f>
        <v>0</v>
      </c>
      <c r="BM148" s="539" cm="1">
        <f t="array" aca="1" ref="BM148" ca="1">INDIRECT($BM$2&amp;BM$7&amp;$BI148,1)</f>
        <v>0</v>
      </c>
      <c r="BN148" s="539" cm="1">
        <f t="array" aca="1" ref="BN148" ca="1">INDIRECT($BM$2&amp;BN$7&amp;$BI148,1)</f>
        <v>0</v>
      </c>
      <c r="BO148" s="539" t="str">
        <f t="shared" ca="1" si="98"/>
        <v>-</v>
      </c>
      <c r="BP148" s="494" t="s">
        <v>8222</v>
      </c>
      <c r="BQ148" s="20"/>
      <c r="BR148" s="469">
        <v>11</v>
      </c>
      <c r="BS148" s="539" t="s">
        <v>8045</v>
      </c>
      <c r="BT148" s="539">
        <f t="shared" si="102"/>
        <v>505</v>
      </c>
      <c r="BU148" s="539" cm="1">
        <f t="array" aca="1" ref="BU148" ca="1">INDIRECT($BM$2&amp;BU$7&amp;$BT148,1)</f>
        <v>0</v>
      </c>
      <c r="BV148" s="539" cm="1">
        <f t="array" aca="1" ref="BV148" ca="1">INDIRECT($BM$2&amp;BV$7&amp;$BT148,1)</f>
        <v>0</v>
      </c>
      <c r="BW148" s="539" cm="1">
        <f t="array" aca="1" ref="BW148" ca="1">INDIRECT($BM$2&amp;BW$7&amp;$BT148,1)</f>
        <v>0</v>
      </c>
      <c r="BX148" s="539" cm="1">
        <f t="array" aca="1" ref="BX148" ca="1">INDIRECT($BM$2&amp;BX$7&amp;$BT148,1)</f>
        <v>0</v>
      </c>
      <c r="BY148" s="539" cm="1">
        <f t="array" aca="1" ref="BY148" ca="1">INDIRECT($BM$2&amp;BY$7&amp;$BT148,1)</f>
        <v>0</v>
      </c>
      <c r="BZ148" s="539" t="str">
        <f t="shared" ca="1" si="99"/>
        <v>-</v>
      </c>
      <c r="CA148" s="494" t="s">
        <v>8222</v>
      </c>
      <c r="CC148" s="469">
        <v>11</v>
      </c>
      <c r="CD148" s="539" t="s">
        <v>8045</v>
      </c>
      <c r="CE148" s="539">
        <f t="shared" si="103"/>
        <v>851</v>
      </c>
      <c r="CF148" s="539" cm="1">
        <f t="array" aca="1" ref="CF148" ca="1">INDIRECT($BM$2&amp;CF$7&amp;$CE148,1)</f>
        <v>0</v>
      </c>
      <c r="CG148" s="539" cm="1">
        <f t="array" aca="1" ref="CG148" ca="1">INDIRECT($BM$2&amp;CG$7&amp;$CE148,1)</f>
        <v>0</v>
      </c>
      <c r="CH148" s="539" cm="1">
        <f t="array" aca="1" ref="CH148" ca="1">INDIRECT($BM$2&amp;CH$7&amp;$CE148,1)</f>
        <v>0</v>
      </c>
      <c r="CI148" s="539" cm="1">
        <f t="array" aca="1" ref="CI148" ca="1">INDIRECT($BM$2&amp;CI$7&amp;$CE148,1)</f>
        <v>0</v>
      </c>
      <c r="CJ148" s="539" cm="1">
        <f t="array" aca="1" ref="CJ148" ca="1">INDIRECT($BM$2&amp;CJ$7&amp;$CE148,1)</f>
        <v>0</v>
      </c>
      <c r="CK148" s="539" t="str">
        <f t="shared" ca="1" si="100"/>
        <v>-</v>
      </c>
      <c r="CL148" s="494" t="s">
        <v>8222</v>
      </c>
      <c r="CU148" s="469" t="s">
        <v>5510</v>
      </c>
      <c r="EQ148" s="469" t="s">
        <v>5510</v>
      </c>
      <c r="ES148" s="504"/>
      <c r="ET148" s="507"/>
      <c r="EU148" s="585">
        <v>39</v>
      </c>
      <c r="GC148" s="472" t="s">
        <v>5510</v>
      </c>
    </row>
    <row r="149" spans="1:185" x14ac:dyDescent="0.25">
      <c r="B149" s="506" t="s">
        <v>67</v>
      </c>
      <c r="C149" s="525" t="s">
        <v>10</v>
      </c>
      <c r="D149" s="525" t="s">
        <v>10</v>
      </c>
      <c r="E149" s="525" t="s">
        <v>5807</v>
      </c>
      <c r="H149" s="518" t="s">
        <v>5918</v>
      </c>
      <c r="I149" s="492">
        <f ca="1">IF(I145="sim",1,0)</f>
        <v>0</v>
      </c>
      <c r="J149" s="20" t="s">
        <v>5939</v>
      </c>
      <c r="AV149" s="469" t="s">
        <v>5510</v>
      </c>
      <c r="BF149" s="469" t="s">
        <v>5510</v>
      </c>
      <c r="BG149" s="469">
        <v>12</v>
      </c>
      <c r="BH149" s="539" t="s">
        <v>8045</v>
      </c>
      <c r="BI149" s="539">
        <f t="shared" si="101"/>
        <v>160</v>
      </c>
      <c r="BJ149" s="539" cm="1">
        <f t="array" aca="1" ref="BJ149" ca="1">INDIRECT($BM$2&amp;BJ$7&amp;$BI149,1)</f>
        <v>0</v>
      </c>
      <c r="BK149" s="539" cm="1">
        <f t="array" aca="1" ref="BK149" ca="1">INDIRECT($BM$2&amp;BK$7&amp;$BI149,1)</f>
        <v>0</v>
      </c>
      <c r="BL149" s="539" cm="1">
        <f t="array" aca="1" ref="BL149" ca="1">INDIRECT($BM$2&amp;BL$7&amp;$BI149,1)</f>
        <v>0</v>
      </c>
      <c r="BM149" s="539" cm="1">
        <f t="array" aca="1" ref="BM149" ca="1">INDIRECT($BM$2&amp;BM$7&amp;$BI149,1)</f>
        <v>0</v>
      </c>
      <c r="BN149" s="539" t="str" cm="1">
        <f t="array" aca="1" ref="BN149" ca="1">INDIRECT($BM$2&amp;BN$7&amp;$BI149,1)</f>
        <v>-</v>
      </c>
      <c r="BO149" s="539" t="str">
        <f t="shared" ca="1" si="98"/>
        <v>-</v>
      </c>
      <c r="BP149" s="561" t="s">
        <v>8223</v>
      </c>
      <c r="BQ149" s="20"/>
      <c r="BR149" s="469">
        <v>12</v>
      </c>
      <c r="BS149" s="539" t="s">
        <v>8045</v>
      </c>
      <c r="BT149" s="539">
        <f t="shared" si="102"/>
        <v>506</v>
      </c>
      <c r="BU149" s="539" cm="1">
        <f t="array" aca="1" ref="BU149" ca="1">INDIRECT($BM$2&amp;BU$7&amp;$BT149,1)</f>
        <v>0</v>
      </c>
      <c r="BV149" s="539" cm="1">
        <f t="array" aca="1" ref="BV149" ca="1">INDIRECT($BM$2&amp;BV$7&amp;$BT149,1)</f>
        <v>0</v>
      </c>
      <c r="BW149" s="539" cm="1">
        <f t="array" aca="1" ref="BW149" ca="1">INDIRECT($BM$2&amp;BW$7&amp;$BT149,1)</f>
        <v>0</v>
      </c>
      <c r="BX149" s="539" cm="1">
        <f t="array" aca="1" ref="BX149" ca="1">INDIRECT($BM$2&amp;BX$7&amp;$BT149,1)</f>
        <v>0</v>
      </c>
      <c r="BY149" s="539" t="str" cm="1">
        <f t="array" aca="1" ref="BY149" ca="1">INDIRECT($BM$2&amp;BY$7&amp;$BT149,1)</f>
        <v>-</v>
      </c>
      <c r="BZ149" s="539" t="str">
        <f t="shared" ca="1" si="99"/>
        <v>-</v>
      </c>
      <c r="CA149" s="561" t="s">
        <v>8223</v>
      </c>
      <c r="CC149" s="469">
        <v>12</v>
      </c>
      <c r="CD149" s="539" t="s">
        <v>8045</v>
      </c>
      <c r="CE149" s="539">
        <f t="shared" si="103"/>
        <v>852</v>
      </c>
      <c r="CF149" s="539" cm="1">
        <f t="array" aca="1" ref="CF149" ca="1">INDIRECT($BM$2&amp;CF$7&amp;$CE149,1)</f>
        <v>0</v>
      </c>
      <c r="CG149" s="539" cm="1">
        <f t="array" aca="1" ref="CG149" ca="1">INDIRECT($BM$2&amp;CG$7&amp;$CE149,1)</f>
        <v>0</v>
      </c>
      <c r="CH149" s="539" cm="1">
        <f t="array" aca="1" ref="CH149" ca="1">INDIRECT($BM$2&amp;CH$7&amp;$CE149,1)</f>
        <v>0</v>
      </c>
      <c r="CI149" s="539" cm="1">
        <f t="array" aca="1" ref="CI149" ca="1">INDIRECT($BM$2&amp;CI$7&amp;$CE149,1)</f>
        <v>0</v>
      </c>
      <c r="CJ149" s="539" t="str" cm="1">
        <f t="array" aca="1" ref="CJ149" ca="1">INDIRECT($BM$2&amp;CJ$7&amp;$CE149,1)</f>
        <v>-</v>
      </c>
      <c r="CK149" s="539" t="str">
        <f t="shared" ca="1" si="100"/>
        <v>-</v>
      </c>
      <c r="CL149" s="561" t="s">
        <v>8223</v>
      </c>
      <c r="CU149" s="469" t="s">
        <v>5510</v>
      </c>
      <c r="EQ149" s="469" t="s">
        <v>5510</v>
      </c>
      <c r="ES149" s="504"/>
      <c r="ET149" s="507"/>
      <c r="EU149" s="585">
        <v>40</v>
      </c>
      <c r="GC149" s="472" t="s">
        <v>5510</v>
      </c>
    </row>
    <row r="150" spans="1:185" x14ac:dyDescent="0.25">
      <c r="B150" s="506" t="s">
        <v>68</v>
      </c>
      <c r="C150" s="525" t="s">
        <v>10</v>
      </c>
      <c r="D150" s="525" t="s">
        <v>10</v>
      </c>
      <c r="E150" s="525" t="s">
        <v>5807</v>
      </c>
      <c r="H150" s="518" t="s">
        <v>5919</v>
      </c>
      <c r="I150" s="492">
        <f ca="1">IF(
OR(COUNTIF(Q159:S159,D146)&gt;=2,
COUNTIF(Q161:S161,D148)&gt;=2),1,0)</f>
        <v>0</v>
      </c>
      <c r="J150" s="20" t="s">
        <v>5940</v>
      </c>
      <c r="AV150" s="469" t="s">
        <v>5510</v>
      </c>
      <c r="BF150" s="469" t="s">
        <v>5510</v>
      </c>
      <c r="BL150" s="372"/>
      <c r="BO150" s="472"/>
      <c r="BQ150" s="20"/>
      <c r="BT150" s="372"/>
      <c r="BU150" s="472"/>
      <c r="BV150" s="472"/>
      <c r="BW150" s="372"/>
      <c r="BX150" s="472"/>
      <c r="BY150" s="372"/>
      <c r="BZ150" s="472"/>
      <c r="CA150" s="372"/>
      <c r="CE150" s="372"/>
      <c r="CF150" s="472"/>
      <c r="CG150" s="472"/>
      <c r="CH150" s="372"/>
      <c r="CI150" s="472"/>
      <c r="CJ150" s="372"/>
      <c r="CK150" s="472"/>
      <c r="CL150" s="372"/>
      <c r="CU150" s="469" t="s">
        <v>5510</v>
      </c>
      <c r="EQ150" s="469" t="s">
        <v>5510</v>
      </c>
      <c r="ES150" s="504"/>
      <c r="ET150" s="507"/>
      <c r="EU150" s="585">
        <v>41</v>
      </c>
      <c r="GC150" s="472" t="s">
        <v>5510</v>
      </c>
    </row>
    <row r="151" spans="1:185" x14ac:dyDescent="0.25">
      <c r="B151" s="506" t="s">
        <v>5903</v>
      </c>
      <c r="C151" s="525" t="s">
        <v>2044</v>
      </c>
      <c r="D151" s="525" t="s">
        <v>10</v>
      </c>
      <c r="E151" s="525" t="s">
        <v>5917</v>
      </c>
      <c r="H151" s="518" t="s">
        <v>5920</v>
      </c>
      <c r="I151" s="492">
        <f ca="1">IF(
OR(COUNTIF(Q159:S159,E146)&gt;=2,
COUNTIF(Q161:S161,E148)&gt;=2,
COUNTIF(Q162:S162,E149)&gt;=2,
COUNTIF(Q163:S163,E150)&gt;=2),
1,0)</f>
        <v>0</v>
      </c>
      <c r="J151" s="20" t="s">
        <v>5938</v>
      </c>
      <c r="BF151" s="469" t="s">
        <v>5510</v>
      </c>
      <c r="BL151" s="372"/>
      <c r="BO151" s="472"/>
      <c r="BQ151" s="20"/>
      <c r="BT151" s="372"/>
      <c r="BU151" s="472"/>
      <c r="BV151" s="472"/>
      <c r="BW151" s="372"/>
      <c r="BX151" s="472"/>
      <c r="BY151" s="372"/>
      <c r="BZ151" s="472"/>
      <c r="CA151" s="372"/>
      <c r="CE151" s="372"/>
      <c r="CF151" s="472"/>
      <c r="CG151" s="472"/>
      <c r="CH151" s="372"/>
      <c r="CI151" s="472"/>
      <c r="CJ151" s="372"/>
      <c r="CK151" s="472"/>
      <c r="CL151" s="372"/>
      <c r="CU151" s="469" t="s">
        <v>5510</v>
      </c>
      <c r="EQ151" s="469" t="s">
        <v>5510</v>
      </c>
      <c r="ES151" s="504"/>
      <c r="ET151" s="507"/>
      <c r="EU151" s="585">
        <v>42</v>
      </c>
      <c r="GC151" s="472" t="s">
        <v>5510</v>
      </c>
    </row>
    <row r="152" spans="1:185" x14ac:dyDescent="0.25">
      <c r="H152" s="652" t="s">
        <v>5921</v>
      </c>
      <c r="I152" s="653">
        <f ca="1">IF(I149=1,1,
IF(I150=1,2,
IF(I151=1,3,
IF(I148=1,4,0))))</f>
        <v>0</v>
      </c>
      <c r="J152" s="20" t="s">
        <v>5937</v>
      </c>
      <c r="BF152" s="469" t="s">
        <v>5510</v>
      </c>
      <c r="BQ152" s="20"/>
      <c r="BT152" s="372"/>
      <c r="BU152" s="472"/>
      <c r="BV152" s="472"/>
      <c r="BW152" s="472"/>
      <c r="BX152" s="472"/>
      <c r="BY152" s="372"/>
      <c r="BZ152" s="372"/>
      <c r="CA152" s="372"/>
      <c r="CE152" s="372"/>
      <c r="CF152" s="472"/>
      <c r="CG152" s="472"/>
      <c r="CH152" s="472"/>
      <c r="CI152" s="472"/>
      <c r="CJ152" s="372"/>
      <c r="CK152" s="372"/>
      <c r="CL152" s="372"/>
      <c r="CU152" s="469" t="s">
        <v>5510</v>
      </c>
      <c r="EQ152" s="469" t="s">
        <v>5510</v>
      </c>
      <c r="ES152" s="504"/>
      <c r="ET152" s="507"/>
      <c r="EU152" s="585">
        <v>43</v>
      </c>
      <c r="GC152" s="472" t="s">
        <v>5510</v>
      </c>
    </row>
    <row r="153" spans="1:185" x14ac:dyDescent="0.25">
      <c r="BF153" s="469" t="s">
        <v>5510</v>
      </c>
      <c r="BQ153" s="20"/>
      <c r="BT153" s="372"/>
      <c r="BU153" s="472"/>
      <c r="BV153" s="472"/>
      <c r="BW153" s="472"/>
      <c r="BX153" s="472"/>
      <c r="BY153" s="372"/>
      <c r="BZ153" s="372"/>
      <c r="CA153" s="372"/>
      <c r="CE153" s="372"/>
      <c r="CF153" s="472"/>
      <c r="CG153" s="472"/>
      <c r="CH153" s="472"/>
      <c r="CI153" s="472"/>
      <c r="CJ153" s="372"/>
      <c r="CK153" s="372"/>
      <c r="CL153" s="372"/>
      <c r="CU153" s="469" t="s">
        <v>5510</v>
      </c>
      <c r="EQ153" s="469" t="s">
        <v>5510</v>
      </c>
      <c r="ES153" s="504"/>
      <c r="ET153" s="507"/>
      <c r="EU153" s="585">
        <v>44</v>
      </c>
      <c r="GC153" s="472" t="s">
        <v>5510</v>
      </c>
    </row>
    <row r="154" spans="1:185" x14ac:dyDescent="0.25">
      <c r="BF154" s="469" t="s">
        <v>5510</v>
      </c>
      <c r="BG154" s="469">
        <v>1</v>
      </c>
      <c r="BH154" s="539" t="s">
        <v>8046</v>
      </c>
      <c r="BI154" s="539">
        <f>BI149+$BO$5</f>
        <v>166</v>
      </c>
      <c r="BJ154" s="539" cm="1">
        <f t="array" aca="1" ref="BJ154" ca="1">INDIRECT($BM$2&amp;BJ$7&amp;$BI154,1)</f>
        <v>0</v>
      </c>
      <c r="BK154" s="539" cm="1">
        <f t="array" aca="1" ref="BK154" ca="1">INDIRECT($BM$2&amp;BK$7&amp;$BI154,1)</f>
        <v>0</v>
      </c>
      <c r="BL154" s="539" cm="1">
        <f t="array" aca="1" ref="BL154" ca="1">INDIRECT($BM$2&amp;BL$7&amp;$BI154,1)</f>
        <v>0</v>
      </c>
      <c r="BM154" s="539" cm="1">
        <f t="array" aca="1" ref="BM154" ca="1">INDIRECT($BM$2&amp;BM$7&amp;$BI154,1)</f>
        <v>0</v>
      </c>
      <c r="BN154" s="539" cm="1">
        <f t="array" aca="1" ref="BN154" ca="1">INDIRECT($BM$2&amp;BN$7&amp;$BI154,1)</f>
        <v>0</v>
      </c>
      <c r="BO154" s="539" t="str">
        <f ca="1">IFERROR(BK154/BK$154,"-")</f>
        <v>-</v>
      </c>
      <c r="BP154" s="540" t="s">
        <v>8221</v>
      </c>
      <c r="BQ154" s="20"/>
      <c r="BR154" s="469">
        <v>1</v>
      </c>
      <c r="BS154" s="539" t="s">
        <v>8046</v>
      </c>
      <c r="BT154" s="539">
        <f>BT149+$BO$5</f>
        <v>512</v>
      </c>
      <c r="BU154" s="539" cm="1">
        <f t="array" aca="1" ref="BU154" ca="1">INDIRECT($BM$2&amp;BU$7&amp;$BT154,1)</f>
        <v>0</v>
      </c>
      <c r="BV154" s="539" cm="1">
        <f t="array" aca="1" ref="BV154" ca="1">INDIRECT($BM$2&amp;BV$7&amp;$BT154,1)</f>
        <v>0</v>
      </c>
      <c r="BW154" s="539" cm="1">
        <f t="array" aca="1" ref="BW154" ca="1">INDIRECT($BM$2&amp;BW$7&amp;$BT154,1)</f>
        <v>0</v>
      </c>
      <c r="BX154" s="539" cm="1">
        <f t="array" aca="1" ref="BX154" ca="1">INDIRECT($BM$2&amp;BX$7&amp;$BT154,1)</f>
        <v>0</v>
      </c>
      <c r="BY154" s="539" cm="1">
        <f t="array" aca="1" ref="BY154" ca="1">INDIRECT($BM$2&amp;BY$7&amp;$BT154,1)</f>
        <v>0</v>
      </c>
      <c r="BZ154" s="539" t="str">
        <f ca="1">IFERROR(BV154/BV$154,"-")</f>
        <v>-</v>
      </c>
      <c r="CA154" s="540" t="s">
        <v>8221</v>
      </c>
      <c r="CC154" s="469">
        <v>1</v>
      </c>
      <c r="CD154" s="539" t="s">
        <v>8046</v>
      </c>
      <c r="CE154" s="539">
        <f>CE149+$BO$5</f>
        <v>858</v>
      </c>
      <c r="CF154" s="539" cm="1">
        <f t="array" aca="1" ref="CF154" ca="1">INDIRECT($BM$2&amp;CF$7&amp;$CE154,1)</f>
        <v>0</v>
      </c>
      <c r="CG154" s="539" cm="1">
        <f t="array" aca="1" ref="CG154" ca="1">INDIRECT($BM$2&amp;CG$7&amp;$CE154,1)</f>
        <v>0</v>
      </c>
      <c r="CH154" s="539" cm="1">
        <f t="array" aca="1" ref="CH154" ca="1">INDIRECT($BM$2&amp;CH$7&amp;$CE154,1)</f>
        <v>0</v>
      </c>
      <c r="CI154" s="539" cm="1">
        <f t="array" aca="1" ref="CI154" ca="1">INDIRECT($BM$2&amp;CI$7&amp;$CE154,1)</f>
        <v>0</v>
      </c>
      <c r="CJ154" s="539" cm="1">
        <f t="array" aca="1" ref="CJ154" ca="1">INDIRECT($BM$2&amp;CJ$7&amp;$CE154,1)</f>
        <v>0</v>
      </c>
      <c r="CK154" s="539" t="str">
        <f ca="1">IFERROR(CG154/CG$154,"-")</f>
        <v>-</v>
      </c>
      <c r="CL154" s="540" t="s">
        <v>8221</v>
      </c>
      <c r="CU154" s="469" t="s">
        <v>5510</v>
      </c>
      <c r="EQ154" s="469" t="s">
        <v>5510</v>
      </c>
      <c r="ES154" s="504"/>
      <c r="ET154" s="507"/>
      <c r="EU154" s="585">
        <v>45</v>
      </c>
      <c r="GC154" s="472" t="s">
        <v>5510</v>
      </c>
    </row>
    <row r="155" spans="1:185" x14ac:dyDescent="0.25">
      <c r="BF155" s="469" t="s">
        <v>5510</v>
      </c>
      <c r="BG155" s="469">
        <v>2</v>
      </c>
      <c r="BH155" s="539" t="s">
        <v>8046</v>
      </c>
      <c r="BI155" s="539">
        <f>BI154+1</f>
        <v>167</v>
      </c>
      <c r="BJ155" s="539" cm="1">
        <f t="array" aca="1" ref="BJ155" ca="1">INDIRECT($BM$2&amp;BJ$7&amp;$BI155,1)</f>
        <v>0</v>
      </c>
      <c r="BK155" s="539" cm="1">
        <f t="array" aca="1" ref="BK155" ca="1">INDIRECT($BM$2&amp;BK$7&amp;$BI155,1)</f>
        <v>0</v>
      </c>
      <c r="BL155" s="539" cm="1">
        <f t="array" aca="1" ref="BL155" ca="1">INDIRECT($BM$2&amp;BL$7&amp;$BI155,1)</f>
        <v>0</v>
      </c>
      <c r="BM155" s="539" cm="1">
        <f t="array" aca="1" ref="BM155" ca="1">INDIRECT($BM$2&amp;BM$7&amp;$BI155,1)</f>
        <v>0</v>
      </c>
      <c r="BN155" s="539" cm="1">
        <f t="array" aca="1" ref="BN155" ca="1">INDIRECT($BM$2&amp;BN$7&amp;$BI155,1)</f>
        <v>0</v>
      </c>
      <c r="BO155" s="539" t="str">
        <f t="shared" ref="BO155:BO165" ca="1" si="104">IF(BK155=0,"-",IFERROR(BK155/BK$154,"-"))</f>
        <v>-</v>
      </c>
      <c r="BP155" s="494" t="s">
        <v>8222</v>
      </c>
      <c r="BQ155" s="20"/>
      <c r="BR155" s="469">
        <v>2</v>
      </c>
      <c r="BS155" s="539" t="s">
        <v>8046</v>
      </c>
      <c r="BT155" s="539">
        <f>BT154+1</f>
        <v>513</v>
      </c>
      <c r="BU155" s="539" cm="1">
        <f t="array" aca="1" ref="BU155" ca="1">INDIRECT($BM$2&amp;BU$7&amp;$BT155,1)</f>
        <v>0</v>
      </c>
      <c r="BV155" s="539" cm="1">
        <f t="array" aca="1" ref="BV155" ca="1">INDIRECT($BM$2&amp;BV$7&amp;$BT155,1)</f>
        <v>0</v>
      </c>
      <c r="BW155" s="539" cm="1">
        <f t="array" aca="1" ref="BW155" ca="1">INDIRECT($BM$2&amp;BW$7&amp;$BT155,1)</f>
        <v>0</v>
      </c>
      <c r="BX155" s="539" cm="1">
        <f t="array" aca="1" ref="BX155" ca="1">INDIRECT($BM$2&amp;BX$7&amp;$BT155,1)</f>
        <v>0</v>
      </c>
      <c r="BY155" s="539" cm="1">
        <f t="array" aca="1" ref="BY155" ca="1">INDIRECT($BM$2&amp;BY$7&amp;$BT155,1)</f>
        <v>0</v>
      </c>
      <c r="BZ155" s="539" t="str">
        <f t="shared" ref="BZ155:BZ165" ca="1" si="105">IF(BV155=0,"-",IFERROR(BV155/BV$154,"-"))</f>
        <v>-</v>
      </c>
      <c r="CA155" s="494" t="s">
        <v>8222</v>
      </c>
      <c r="CC155" s="469">
        <v>2</v>
      </c>
      <c r="CD155" s="539" t="s">
        <v>8046</v>
      </c>
      <c r="CE155" s="539">
        <f>CE154+1</f>
        <v>859</v>
      </c>
      <c r="CF155" s="539" cm="1">
        <f t="array" aca="1" ref="CF155" ca="1">INDIRECT($BM$2&amp;CF$7&amp;$CE155,1)</f>
        <v>0</v>
      </c>
      <c r="CG155" s="539" cm="1">
        <f t="array" aca="1" ref="CG155" ca="1">INDIRECT($BM$2&amp;CG$7&amp;$CE155,1)</f>
        <v>0</v>
      </c>
      <c r="CH155" s="539" cm="1">
        <f t="array" aca="1" ref="CH155" ca="1">INDIRECT($BM$2&amp;CH$7&amp;$CE155,1)</f>
        <v>0</v>
      </c>
      <c r="CI155" s="539" cm="1">
        <f t="array" aca="1" ref="CI155" ca="1">INDIRECT($BM$2&amp;CI$7&amp;$CE155,1)</f>
        <v>0</v>
      </c>
      <c r="CJ155" s="539" cm="1">
        <f t="array" aca="1" ref="CJ155" ca="1">INDIRECT($BM$2&amp;CJ$7&amp;$CE155,1)</f>
        <v>0</v>
      </c>
      <c r="CK155" s="539" t="str">
        <f t="shared" ref="CK155:CK165" ca="1" si="106">IF(CG155=0,"-",IFERROR(CG155/CG$154,"-"))</f>
        <v>-</v>
      </c>
      <c r="CL155" s="494" t="s">
        <v>8222</v>
      </c>
      <c r="CU155" s="469" t="s">
        <v>5510</v>
      </c>
      <c r="EQ155" s="469" t="s">
        <v>5510</v>
      </c>
      <c r="ES155" s="504"/>
      <c r="ET155" s="507"/>
      <c r="EU155" s="585">
        <v>46</v>
      </c>
      <c r="GC155" s="472" t="s">
        <v>5510</v>
      </c>
    </row>
    <row r="156" spans="1:185" x14ac:dyDescent="0.25">
      <c r="Q156" s="20" t="s">
        <v>5930</v>
      </c>
      <c r="T156" s="20" t="s">
        <v>5931</v>
      </c>
      <c r="BF156" s="469" t="s">
        <v>5510</v>
      </c>
      <c r="BG156" s="469">
        <v>3</v>
      </c>
      <c r="BH156" s="539" t="s">
        <v>8046</v>
      </c>
      <c r="BI156" s="539">
        <f t="shared" ref="BI156:BI165" si="107">BI155+1</f>
        <v>168</v>
      </c>
      <c r="BJ156" s="539" cm="1">
        <f t="array" aca="1" ref="BJ156" ca="1">INDIRECT($BM$2&amp;BJ$7&amp;$BI156,1)</f>
        <v>0</v>
      </c>
      <c r="BK156" s="539" cm="1">
        <f t="array" aca="1" ref="BK156" ca="1">INDIRECT($BM$2&amp;BK$7&amp;$BI156,1)</f>
        <v>0</v>
      </c>
      <c r="BL156" s="539" cm="1">
        <f t="array" aca="1" ref="BL156" ca="1">INDIRECT($BM$2&amp;BL$7&amp;$BI156,1)</f>
        <v>0</v>
      </c>
      <c r="BM156" s="539" cm="1">
        <f t="array" aca="1" ref="BM156" ca="1">INDIRECT($BM$2&amp;BM$7&amp;$BI156,1)</f>
        <v>0</v>
      </c>
      <c r="BN156" s="539" cm="1">
        <f t="array" aca="1" ref="BN156" ca="1">INDIRECT($BM$2&amp;BN$7&amp;$BI156,1)</f>
        <v>0</v>
      </c>
      <c r="BO156" s="539" t="str">
        <f t="shared" ca="1" si="104"/>
        <v>-</v>
      </c>
      <c r="BP156" s="494" t="s">
        <v>8222</v>
      </c>
      <c r="BQ156" s="20"/>
      <c r="BR156" s="469">
        <v>3</v>
      </c>
      <c r="BS156" s="539" t="s">
        <v>8046</v>
      </c>
      <c r="BT156" s="539">
        <f t="shared" ref="BT156:BT165" si="108">BT155+1</f>
        <v>514</v>
      </c>
      <c r="BU156" s="539" cm="1">
        <f t="array" aca="1" ref="BU156" ca="1">INDIRECT($BM$2&amp;BU$7&amp;$BT156,1)</f>
        <v>0</v>
      </c>
      <c r="BV156" s="539" cm="1">
        <f t="array" aca="1" ref="BV156" ca="1">INDIRECT($BM$2&amp;BV$7&amp;$BT156,1)</f>
        <v>0</v>
      </c>
      <c r="BW156" s="539" cm="1">
        <f t="array" aca="1" ref="BW156" ca="1">INDIRECT($BM$2&amp;BW$7&amp;$BT156,1)</f>
        <v>0</v>
      </c>
      <c r="BX156" s="539" cm="1">
        <f t="array" aca="1" ref="BX156" ca="1">INDIRECT($BM$2&amp;BX$7&amp;$BT156,1)</f>
        <v>0</v>
      </c>
      <c r="BY156" s="539" cm="1">
        <f t="array" aca="1" ref="BY156" ca="1">INDIRECT($BM$2&amp;BY$7&amp;$BT156,1)</f>
        <v>0</v>
      </c>
      <c r="BZ156" s="539" t="str">
        <f t="shared" ca="1" si="105"/>
        <v>-</v>
      </c>
      <c r="CA156" s="494" t="s">
        <v>8222</v>
      </c>
      <c r="CC156" s="469">
        <v>3</v>
      </c>
      <c r="CD156" s="539" t="s">
        <v>8046</v>
      </c>
      <c r="CE156" s="539">
        <f t="shared" ref="CE156:CE165" si="109">CE155+1</f>
        <v>860</v>
      </c>
      <c r="CF156" s="539" cm="1">
        <f t="array" aca="1" ref="CF156" ca="1">INDIRECT($BM$2&amp;CF$7&amp;$CE156,1)</f>
        <v>0</v>
      </c>
      <c r="CG156" s="539" cm="1">
        <f t="array" aca="1" ref="CG156" ca="1">INDIRECT($BM$2&amp;CG$7&amp;$CE156,1)</f>
        <v>0</v>
      </c>
      <c r="CH156" s="539" cm="1">
        <f t="array" aca="1" ref="CH156" ca="1">INDIRECT($BM$2&amp;CH$7&amp;$CE156,1)</f>
        <v>0</v>
      </c>
      <c r="CI156" s="539" cm="1">
        <f t="array" aca="1" ref="CI156" ca="1">INDIRECT($BM$2&amp;CI$7&amp;$CE156,1)</f>
        <v>0</v>
      </c>
      <c r="CJ156" s="539" cm="1">
        <f t="array" aca="1" ref="CJ156" ca="1">INDIRECT($BM$2&amp;CJ$7&amp;$CE156,1)</f>
        <v>0</v>
      </c>
      <c r="CK156" s="539" t="str">
        <f t="shared" ca="1" si="106"/>
        <v>-</v>
      </c>
      <c r="CL156" s="494" t="s">
        <v>8222</v>
      </c>
      <c r="CU156" s="469" t="s">
        <v>5510</v>
      </c>
      <c r="EQ156" s="469" t="s">
        <v>5510</v>
      </c>
      <c r="ES156" s="504"/>
      <c r="ET156" s="507"/>
      <c r="EU156" s="585">
        <v>47</v>
      </c>
      <c r="GC156" s="472" t="s">
        <v>5510</v>
      </c>
    </row>
    <row r="157" spans="1:185" x14ac:dyDescent="0.25">
      <c r="C157" s="654" t="s">
        <v>5574</v>
      </c>
      <c r="E157" s="654" t="s">
        <v>5734</v>
      </c>
      <c r="F157" s="654" t="s">
        <v>5732</v>
      </c>
      <c r="G157" s="654" t="s">
        <v>5737</v>
      </c>
      <c r="H157" s="654" t="s">
        <v>5739</v>
      </c>
      <c r="I157" s="654" t="s">
        <v>5907</v>
      </c>
      <c r="J157" s="654" t="s">
        <v>5531</v>
      </c>
      <c r="K157" s="654" t="s">
        <v>5908</v>
      </c>
      <c r="L157" s="654" t="s">
        <v>5909</v>
      </c>
      <c r="M157" s="654" t="s">
        <v>5910</v>
      </c>
      <c r="N157" s="654" t="s">
        <v>5911</v>
      </c>
      <c r="O157" s="654" t="s">
        <v>5912</v>
      </c>
      <c r="P157" s="654" t="s">
        <v>5913</v>
      </c>
      <c r="Q157" s="1666" t="s">
        <v>231</v>
      </c>
      <c r="R157" s="1666"/>
      <c r="S157" s="1666"/>
      <c r="T157" s="1666" t="s">
        <v>5914</v>
      </c>
      <c r="U157" s="1666"/>
      <c r="V157" s="1666"/>
      <c r="BF157" s="469" t="s">
        <v>5510</v>
      </c>
      <c r="BG157" s="469">
        <v>4</v>
      </c>
      <c r="BH157" s="539" t="s">
        <v>8046</v>
      </c>
      <c r="BI157" s="539">
        <f t="shared" si="107"/>
        <v>169</v>
      </c>
      <c r="BJ157" s="539" cm="1">
        <f t="array" aca="1" ref="BJ157" ca="1">INDIRECT($BM$2&amp;BJ$7&amp;$BI157,1)</f>
        <v>0</v>
      </c>
      <c r="BK157" s="539" cm="1">
        <f t="array" aca="1" ref="BK157" ca="1">INDIRECT($BM$2&amp;BK$7&amp;$BI157,1)</f>
        <v>0</v>
      </c>
      <c r="BL157" s="539" cm="1">
        <f t="array" aca="1" ref="BL157" ca="1">INDIRECT($BM$2&amp;BL$7&amp;$BI157,1)</f>
        <v>0</v>
      </c>
      <c r="BM157" s="539" cm="1">
        <f t="array" aca="1" ref="BM157" ca="1">INDIRECT($BM$2&amp;BM$7&amp;$BI157,1)</f>
        <v>0</v>
      </c>
      <c r="BN157" s="539" cm="1">
        <f t="array" aca="1" ref="BN157" ca="1">INDIRECT($BM$2&amp;BN$7&amp;$BI157,1)</f>
        <v>0</v>
      </c>
      <c r="BO157" s="539" t="str">
        <f t="shared" ca="1" si="104"/>
        <v>-</v>
      </c>
      <c r="BP157" s="494" t="s">
        <v>8222</v>
      </c>
      <c r="BQ157" s="20"/>
      <c r="BR157" s="469">
        <v>4</v>
      </c>
      <c r="BS157" s="539" t="s">
        <v>8046</v>
      </c>
      <c r="BT157" s="539">
        <f t="shared" si="108"/>
        <v>515</v>
      </c>
      <c r="BU157" s="539" cm="1">
        <f t="array" aca="1" ref="BU157" ca="1">INDIRECT($BM$2&amp;BU$7&amp;$BT157,1)</f>
        <v>0</v>
      </c>
      <c r="BV157" s="539" cm="1">
        <f t="array" aca="1" ref="BV157" ca="1">INDIRECT($BM$2&amp;BV$7&amp;$BT157,1)</f>
        <v>0</v>
      </c>
      <c r="BW157" s="539" cm="1">
        <f t="array" aca="1" ref="BW157" ca="1">INDIRECT($BM$2&amp;BW$7&amp;$BT157,1)</f>
        <v>0</v>
      </c>
      <c r="BX157" s="539" cm="1">
        <f t="array" aca="1" ref="BX157" ca="1">INDIRECT($BM$2&amp;BX$7&amp;$BT157,1)</f>
        <v>0</v>
      </c>
      <c r="BY157" s="539" cm="1">
        <f t="array" aca="1" ref="BY157" ca="1">INDIRECT($BM$2&amp;BY$7&amp;$BT157,1)</f>
        <v>0</v>
      </c>
      <c r="BZ157" s="539" t="str">
        <f t="shared" ca="1" si="105"/>
        <v>-</v>
      </c>
      <c r="CA157" s="494" t="s">
        <v>8222</v>
      </c>
      <c r="CC157" s="469">
        <v>4</v>
      </c>
      <c r="CD157" s="539" t="s">
        <v>8046</v>
      </c>
      <c r="CE157" s="539">
        <f t="shared" si="109"/>
        <v>861</v>
      </c>
      <c r="CF157" s="539" cm="1">
        <f t="array" aca="1" ref="CF157" ca="1">INDIRECT($BM$2&amp;CF$7&amp;$CE157,1)</f>
        <v>0</v>
      </c>
      <c r="CG157" s="539" cm="1">
        <f t="array" aca="1" ref="CG157" ca="1">INDIRECT($BM$2&amp;CG$7&amp;$CE157,1)</f>
        <v>0</v>
      </c>
      <c r="CH157" s="539" cm="1">
        <f t="array" aca="1" ref="CH157" ca="1">INDIRECT($BM$2&amp;CH$7&amp;$CE157,1)</f>
        <v>0</v>
      </c>
      <c r="CI157" s="539" cm="1">
        <f t="array" aca="1" ref="CI157" ca="1">INDIRECT($BM$2&amp;CI$7&amp;$CE157,1)</f>
        <v>0</v>
      </c>
      <c r="CJ157" s="539" cm="1">
        <f t="array" aca="1" ref="CJ157" ca="1">INDIRECT($BM$2&amp;CJ$7&amp;$CE157,1)</f>
        <v>0</v>
      </c>
      <c r="CK157" s="539" t="str">
        <f t="shared" ca="1" si="106"/>
        <v>-</v>
      </c>
      <c r="CL157" s="494" t="s">
        <v>8222</v>
      </c>
      <c r="CU157" s="469" t="s">
        <v>5510</v>
      </c>
      <c r="EQ157" s="469" t="s">
        <v>5510</v>
      </c>
      <c r="ES157" s="504"/>
      <c r="ET157" s="507"/>
      <c r="EU157" s="585">
        <v>48</v>
      </c>
      <c r="GC157" s="472" t="s">
        <v>5510</v>
      </c>
    </row>
    <row r="158" spans="1:185" x14ac:dyDescent="0.25">
      <c r="C158" s="655" t="s">
        <v>5904</v>
      </c>
      <c r="E158" s="655" t="s">
        <v>44</v>
      </c>
      <c r="F158" s="655" t="s">
        <v>47</v>
      </c>
      <c r="G158" s="655" t="s">
        <v>48</v>
      </c>
      <c r="H158" s="656" t="s">
        <v>5906</v>
      </c>
      <c r="I158" s="655" t="s">
        <v>44</v>
      </c>
      <c r="J158" s="655" t="s">
        <v>47</v>
      </c>
      <c r="K158" s="655" t="s">
        <v>48</v>
      </c>
      <c r="L158" s="656" t="s">
        <v>5906</v>
      </c>
      <c r="M158" s="655" t="s">
        <v>44</v>
      </c>
      <c r="N158" s="655" t="s">
        <v>47</v>
      </c>
      <c r="O158" s="655" t="s">
        <v>48</v>
      </c>
      <c r="P158" s="656" t="s">
        <v>5906</v>
      </c>
      <c r="Q158" s="525" t="s">
        <v>50</v>
      </c>
      <c r="R158" s="525" t="s">
        <v>51</v>
      </c>
      <c r="S158" s="525" t="s">
        <v>52</v>
      </c>
      <c r="T158" s="525" t="s">
        <v>50</v>
      </c>
      <c r="U158" s="525" t="s">
        <v>51</v>
      </c>
      <c r="V158" s="525" t="s">
        <v>52</v>
      </c>
      <c r="BF158" s="469" t="s">
        <v>5510</v>
      </c>
      <c r="BG158" s="469">
        <v>5</v>
      </c>
      <c r="BH158" s="539" t="s">
        <v>8046</v>
      </c>
      <c r="BI158" s="539">
        <f t="shared" si="107"/>
        <v>170</v>
      </c>
      <c r="BJ158" s="539" cm="1">
        <f t="array" aca="1" ref="BJ158" ca="1">INDIRECT($BM$2&amp;BJ$7&amp;$BI158,1)</f>
        <v>0</v>
      </c>
      <c r="BK158" s="539" cm="1">
        <f t="array" aca="1" ref="BK158" ca="1">INDIRECT($BM$2&amp;BK$7&amp;$BI158,1)</f>
        <v>0</v>
      </c>
      <c r="BL158" s="539" cm="1">
        <f t="array" aca="1" ref="BL158" ca="1">INDIRECT($BM$2&amp;BL$7&amp;$BI158,1)</f>
        <v>0</v>
      </c>
      <c r="BM158" s="539" cm="1">
        <f t="array" aca="1" ref="BM158" ca="1">INDIRECT($BM$2&amp;BM$7&amp;$BI158,1)</f>
        <v>0</v>
      </c>
      <c r="BN158" s="539" cm="1">
        <f t="array" aca="1" ref="BN158" ca="1">INDIRECT($BM$2&amp;BN$7&amp;$BI158,1)</f>
        <v>0</v>
      </c>
      <c r="BO158" s="539" t="str">
        <f t="shared" ca="1" si="104"/>
        <v>-</v>
      </c>
      <c r="BP158" s="494" t="s">
        <v>8222</v>
      </c>
      <c r="BQ158" s="20"/>
      <c r="BR158" s="469">
        <v>5</v>
      </c>
      <c r="BS158" s="539" t="s">
        <v>8046</v>
      </c>
      <c r="BT158" s="539">
        <f t="shared" si="108"/>
        <v>516</v>
      </c>
      <c r="BU158" s="539" cm="1">
        <f t="array" aca="1" ref="BU158" ca="1">INDIRECT($BM$2&amp;BU$7&amp;$BT158,1)</f>
        <v>0</v>
      </c>
      <c r="BV158" s="539" cm="1">
        <f t="array" aca="1" ref="BV158" ca="1">INDIRECT($BM$2&amp;BV$7&amp;$BT158,1)</f>
        <v>0</v>
      </c>
      <c r="BW158" s="539" cm="1">
        <f t="array" aca="1" ref="BW158" ca="1">INDIRECT($BM$2&amp;BW$7&amp;$BT158,1)</f>
        <v>0</v>
      </c>
      <c r="BX158" s="539" cm="1">
        <f t="array" aca="1" ref="BX158" ca="1">INDIRECT($BM$2&amp;BX$7&amp;$BT158,1)</f>
        <v>0</v>
      </c>
      <c r="BY158" s="539" cm="1">
        <f t="array" aca="1" ref="BY158" ca="1">INDIRECT($BM$2&amp;BY$7&amp;$BT158,1)</f>
        <v>0</v>
      </c>
      <c r="BZ158" s="539" t="str">
        <f t="shared" ca="1" si="105"/>
        <v>-</v>
      </c>
      <c r="CA158" s="494" t="s">
        <v>8222</v>
      </c>
      <c r="CC158" s="469">
        <v>5</v>
      </c>
      <c r="CD158" s="539" t="s">
        <v>8046</v>
      </c>
      <c r="CE158" s="539">
        <f t="shared" si="109"/>
        <v>862</v>
      </c>
      <c r="CF158" s="539" cm="1">
        <f t="array" aca="1" ref="CF158" ca="1">INDIRECT($BM$2&amp;CF$7&amp;$CE158,1)</f>
        <v>0</v>
      </c>
      <c r="CG158" s="539" cm="1">
        <f t="array" aca="1" ref="CG158" ca="1">INDIRECT($BM$2&amp;CG$7&amp;$CE158,1)</f>
        <v>0</v>
      </c>
      <c r="CH158" s="539" cm="1">
        <f t="array" aca="1" ref="CH158" ca="1">INDIRECT($BM$2&amp;CH$7&amp;$CE158,1)</f>
        <v>0</v>
      </c>
      <c r="CI158" s="539" cm="1">
        <f t="array" aca="1" ref="CI158" ca="1">INDIRECT($BM$2&amp;CI$7&amp;$CE158,1)</f>
        <v>0</v>
      </c>
      <c r="CJ158" s="539" cm="1">
        <f t="array" aca="1" ref="CJ158" ca="1">INDIRECT($BM$2&amp;CJ$7&amp;$CE158,1)</f>
        <v>0</v>
      </c>
      <c r="CK158" s="539" t="str">
        <f t="shared" ca="1" si="106"/>
        <v>-</v>
      </c>
      <c r="CL158" s="494" t="s">
        <v>8222</v>
      </c>
      <c r="CU158" s="469" t="s">
        <v>5510</v>
      </c>
      <c r="EQ158" s="469" t="s">
        <v>5510</v>
      </c>
      <c r="ES158" s="504"/>
      <c r="ET158" s="507"/>
      <c r="EU158" s="585">
        <v>49</v>
      </c>
      <c r="GC158" s="472" t="s">
        <v>5510</v>
      </c>
    </row>
    <row r="159" spans="1:185" x14ac:dyDescent="0.25">
      <c r="C159" s="501">
        <f>ROW('Irritacao_Ocular(1)'!AR59)</f>
        <v>59</v>
      </c>
      <c r="D159" s="518" t="s">
        <v>63</v>
      </c>
      <c r="E159" s="492" cm="1">
        <f t="array" aca="1" ref="E159" ca="1">INDIRECT($C$157&amp;E$157&amp;$C159,1)</f>
        <v>0</v>
      </c>
      <c r="F159" s="492" cm="1">
        <f t="array" aca="1" ref="F159" ca="1">INDIRECT($C$157&amp;F$157&amp;$C159,1)</f>
        <v>0</v>
      </c>
      <c r="G159" s="492" cm="1">
        <f t="array" aca="1" ref="G159" ca="1">INDIRECT($C$157&amp;G$157&amp;$C159,1)</f>
        <v>0</v>
      </c>
      <c r="H159" s="653" cm="1">
        <f t="array" aca="1" ref="H159" ca="1">INDIRECT($C$157&amp;H$157&amp;$C159,1)</f>
        <v>0</v>
      </c>
      <c r="I159" s="492" cm="1">
        <f t="array" aca="1" ref="I159" ca="1">INDIRECT($C$157&amp;I$157&amp;$C159,1)</f>
        <v>0</v>
      </c>
      <c r="J159" s="492" cm="1">
        <f t="array" aca="1" ref="J159" ca="1">INDIRECT($C$157&amp;J$157&amp;$C159,1)</f>
        <v>0</v>
      </c>
      <c r="K159" s="492" cm="1">
        <f t="array" aca="1" ref="K159" ca="1">INDIRECT($C$157&amp;K$157&amp;$C159,1)</f>
        <v>0</v>
      </c>
      <c r="L159" s="653" cm="1">
        <f t="array" aca="1" ref="L159" ca="1">INDIRECT($C$157&amp;L$157&amp;$C159,1)</f>
        <v>0</v>
      </c>
      <c r="M159" s="492" cm="1">
        <f t="array" aca="1" ref="M159" ca="1">INDIRECT($C$157&amp;M$157&amp;$C159,1)</f>
        <v>0</v>
      </c>
      <c r="N159" s="492" cm="1">
        <f t="array" aca="1" ref="N159" ca="1">INDIRECT($C$157&amp;N$157&amp;$C159,1)</f>
        <v>0</v>
      </c>
      <c r="O159" s="492" cm="1">
        <f t="array" aca="1" ref="O159" ca="1">INDIRECT($C$157&amp;O$157&amp;$C159,1)</f>
        <v>0</v>
      </c>
      <c r="P159" s="653" cm="1">
        <f t="array" aca="1" ref="P159" ca="1">INDIRECT($C$157&amp;P$157&amp;$C159,1)</f>
        <v>0</v>
      </c>
      <c r="Q159" s="492">
        <f ca="1">IF(ISERROR(AVERAGE(E159:G159)),"-",AVERAGE(E159:G159))</f>
        <v>0</v>
      </c>
      <c r="R159" s="492">
        <f ca="1">IF(ISERROR(AVERAGE(I159:K159)),"-",AVERAGE(I159:K159))</f>
        <v>0</v>
      </c>
      <c r="S159" s="492">
        <f ca="1">IF(ISERROR(AVERAGE(M159:O159)),"-",AVERAGE(M159:O159))</f>
        <v>0</v>
      </c>
      <c r="T159" s="492">
        <f ca="1">IF(OR(SUM(H159:H163)&gt;0,H164="+"),1,0)</f>
        <v>0</v>
      </c>
      <c r="U159" s="492">
        <f ca="1">IF(OR(SUM(L159:L163)&gt;0,L164="+"),1,0)</f>
        <v>0</v>
      </c>
      <c r="V159" s="492">
        <f ca="1">IF(OR(SUM(P159:P163)&gt;0,P164="+"),1,0)</f>
        <v>0</v>
      </c>
      <c r="BF159" s="469" t="s">
        <v>5510</v>
      </c>
      <c r="BG159" s="469">
        <v>6</v>
      </c>
      <c r="BH159" s="539" t="s">
        <v>8046</v>
      </c>
      <c r="BI159" s="539">
        <f t="shared" si="107"/>
        <v>171</v>
      </c>
      <c r="BJ159" s="539" cm="1">
        <f t="array" aca="1" ref="BJ159" ca="1">INDIRECT($BM$2&amp;BJ$7&amp;$BI159,1)</f>
        <v>0</v>
      </c>
      <c r="BK159" s="539" cm="1">
        <f t="array" aca="1" ref="BK159" ca="1">INDIRECT($BM$2&amp;BK$7&amp;$BI159,1)</f>
        <v>0</v>
      </c>
      <c r="BL159" s="539" cm="1">
        <f t="array" aca="1" ref="BL159" ca="1">INDIRECT($BM$2&amp;BL$7&amp;$BI159,1)</f>
        <v>0</v>
      </c>
      <c r="BM159" s="539" cm="1">
        <f t="array" aca="1" ref="BM159" ca="1">INDIRECT($BM$2&amp;BM$7&amp;$BI159,1)</f>
        <v>0</v>
      </c>
      <c r="BN159" s="539" cm="1">
        <f t="array" aca="1" ref="BN159" ca="1">INDIRECT($BM$2&amp;BN$7&amp;$BI159,1)</f>
        <v>0</v>
      </c>
      <c r="BO159" s="539" t="str">
        <f t="shared" ca="1" si="104"/>
        <v>-</v>
      </c>
      <c r="BP159" s="494" t="s">
        <v>8222</v>
      </c>
      <c r="BQ159" s="20"/>
      <c r="BR159" s="469">
        <v>6</v>
      </c>
      <c r="BS159" s="539" t="s">
        <v>8046</v>
      </c>
      <c r="BT159" s="539">
        <f t="shared" si="108"/>
        <v>517</v>
      </c>
      <c r="BU159" s="539" cm="1">
        <f t="array" aca="1" ref="BU159" ca="1">INDIRECT($BM$2&amp;BU$7&amp;$BT159,1)</f>
        <v>0</v>
      </c>
      <c r="BV159" s="539" cm="1">
        <f t="array" aca="1" ref="BV159" ca="1">INDIRECT($BM$2&amp;BV$7&amp;$BT159,1)</f>
        <v>0</v>
      </c>
      <c r="BW159" s="539" cm="1">
        <f t="array" aca="1" ref="BW159" ca="1">INDIRECT($BM$2&amp;BW$7&amp;$BT159,1)</f>
        <v>0</v>
      </c>
      <c r="BX159" s="539" cm="1">
        <f t="array" aca="1" ref="BX159" ca="1">INDIRECT($BM$2&amp;BX$7&amp;$BT159,1)</f>
        <v>0</v>
      </c>
      <c r="BY159" s="539" cm="1">
        <f t="array" aca="1" ref="BY159" ca="1">INDIRECT($BM$2&amp;BY$7&amp;$BT159,1)</f>
        <v>0</v>
      </c>
      <c r="BZ159" s="539" t="str">
        <f t="shared" ca="1" si="105"/>
        <v>-</v>
      </c>
      <c r="CA159" s="494" t="s">
        <v>8222</v>
      </c>
      <c r="CC159" s="469">
        <v>6</v>
      </c>
      <c r="CD159" s="539" t="s">
        <v>8046</v>
      </c>
      <c r="CE159" s="539">
        <f t="shared" si="109"/>
        <v>863</v>
      </c>
      <c r="CF159" s="539" cm="1">
        <f t="array" aca="1" ref="CF159" ca="1">INDIRECT($BM$2&amp;CF$7&amp;$CE159,1)</f>
        <v>0</v>
      </c>
      <c r="CG159" s="539" cm="1">
        <f t="array" aca="1" ref="CG159" ca="1">INDIRECT($BM$2&amp;CG$7&amp;$CE159,1)</f>
        <v>0</v>
      </c>
      <c r="CH159" s="539" cm="1">
        <f t="array" aca="1" ref="CH159" ca="1">INDIRECT($BM$2&amp;CH$7&amp;$CE159,1)</f>
        <v>0</v>
      </c>
      <c r="CI159" s="539" cm="1">
        <f t="array" aca="1" ref="CI159" ca="1">INDIRECT($BM$2&amp;CI$7&amp;$CE159,1)</f>
        <v>0</v>
      </c>
      <c r="CJ159" s="539" cm="1">
        <f t="array" aca="1" ref="CJ159" ca="1">INDIRECT($BM$2&amp;CJ$7&amp;$CE159,1)</f>
        <v>0</v>
      </c>
      <c r="CK159" s="539" t="str">
        <f t="shared" ca="1" si="106"/>
        <v>-</v>
      </c>
      <c r="CL159" s="494" t="s">
        <v>8222</v>
      </c>
      <c r="CU159" s="469" t="s">
        <v>5510</v>
      </c>
      <c r="EQ159" s="469" t="s">
        <v>5510</v>
      </c>
      <c r="ES159" s="504"/>
      <c r="ET159" s="507"/>
      <c r="EU159" s="585">
        <v>50</v>
      </c>
      <c r="GC159" s="472" t="s">
        <v>5510</v>
      </c>
    </row>
    <row r="160" spans="1:185" x14ac:dyDescent="0.25">
      <c r="C160" s="501">
        <f>ROW('Irritacao_Ocular(1)'!AR60)</f>
        <v>60</v>
      </c>
      <c r="D160" s="518" t="s">
        <v>64</v>
      </c>
      <c r="E160" s="492" cm="1">
        <f t="array" aca="1" ref="E160" ca="1">INDIRECT($C$157&amp;E$157&amp;$C160,1)</f>
        <v>0</v>
      </c>
      <c r="F160" s="492" cm="1">
        <f t="array" aca="1" ref="F160" ca="1">INDIRECT($C$157&amp;F$157&amp;$C160,1)</f>
        <v>0</v>
      </c>
      <c r="G160" s="492" cm="1">
        <f t="array" aca="1" ref="G160" ca="1">INDIRECT($C$157&amp;G$157&amp;$C160,1)</f>
        <v>0</v>
      </c>
      <c r="H160" s="653" cm="1">
        <f t="array" aca="1" ref="H160" ca="1">INDIRECT($C$157&amp;H$157&amp;$C160,1)</f>
        <v>0</v>
      </c>
      <c r="I160" s="492" cm="1">
        <f t="array" aca="1" ref="I160" ca="1">INDIRECT($C$157&amp;I$157&amp;$C160,1)</f>
        <v>0</v>
      </c>
      <c r="J160" s="492" cm="1">
        <f t="array" aca="1" ref="J160" ca="1">INDIRECT($C$157&amp;J$157&amp;$C160,1)</f>
        <v>0</v>
      </c>
      <c r="K160" s="492" cm="1">
        <f t="array" aca="1" ref="K160" ca="1">INDIRECT($C$157&amp;K$157&amp;$C160,1)</f>
        <v>0</v>
      </c>
      <c r="L160" s="653" cm="1">
        <f t="array" aca="1" ref="L160" ca="1">INDIRECT($C$157&amp;L$157&amp;$C160,1)</f>
        <v>0</v>
      </c>
      <c r="M160" s="492" cm="1">
        <f t="array" aca="1" ref="M160" ca="1">INDIRECT($C$157&amp;M$157&amp;$C160,1)</f>
        <v>0</v>
      </c>
      <c r="N160" s="492" cm="1">
        <f t="array" aca="1" ref="N160" ca="1">INDIRECT($C$157&amp;N$157&amp;$C160,1)</f>
        <v>0</v>
      </c>
      <c r="O160" s="492" cm="1">
        <f t="array" aca="1" ref="O160" ca="1">INDIRECT($C$157&amp;O$157&amp;$C160,1)</f>
        <v>0</v>
      </c>
      <c r="P160" s="653" cm="1">
        <f t="array" aca="1" ref="P160" ca="1">INDIRECT($C$157&amp;P$157&amp;$C160,1)</f>
        <v>0</v>
      </c>
      <c r="BF160" s="469" t="s">
        <v>5510</v>
      </c>
      <c r="BG160" s="469">
        <v>7</v>
      </c>
      <c r="BH160" s="539" t="s">
        <v>8046</v>
      </c>
      <c r="BI160" s="539">
        <f t="shared" si="107"/>
        <v>172</v>
      </c>
      <c r="BJ160" s="539" cm="1">
        <f t="array" aca="1" ref="BJ160" ca="1">INDIRECT($BM$2&amp;BJ$7&amp;$BI160,1)</f>
        <v>0</v>
      </c>
      <c r="BK160" s="539" cm="1">
        <f t="array" aca="1" ref="BK160" ca="1">INDIRECT($BM$2&amp;BK$7&amp;$BI160,1)</f>
        <v>0</v>
      </c>
      <c r="BL160" s="539" cm="1">
        <f t="array" aca="1" ref="BL160" ca="1">INDIRECT($BM$2&amp;BL$7&amp;$BI160,1)</f>
        <v>0</v>
      </c>
      <c r="BM160" s="539" cm="1">
        <f t="array" aca="1" ref="BM160" ca="1">INDIRECT($BM$2&amp;BM$7&amp;$BI160,1)</f>
        <v>0</v>
      </c>
      <c r="BN160" s="539" cm="1">
        <f t="array" aca="1" ref="BN160" ca="1">INDIRECT($BM$2&amp;BN$7&amp;$BI160,1)</f>
        <v>0</v>
      </c>
      <c r="BO160" s="539" t="str">
        <f t="shared" ca="1" si="104"/>
        <v>-</v>
      </c>
      <c r="BP160" s="494" t="s">
        <v>8222</v>
      </c>
      <c r="BQ160" s="20"/>
      <c r="BR160" s="469">
        <v>7</v>
      </c>
      <c r="BS160" s="539" t="s">
        <v>8046</v>
      </c>
      <c r="BT160" s="539">
        <f t="shared" si="108"/>
        <v>518</v>
      </c>
      <c r="BU160" s="539" cm="1">
        <f t="array" aca="1" ref="BU160" ca="1">INDIRECT($BM$2&amp;BU$7&amp;$BT160,1)</f>
        <v>0</v>
      </c>
      <c r="BV160" s="539" cm="1">
        <f t="array" aca="1" ref="BV160" ca="1">INDIRECT($BM$2&amp;BV$7&amp;$BT160,1)</f>
        <v>0</v>
      </c>
      <c r="BW160" s="539" cm="1">
        <f t="array" aca="1" ref="BW160" ca="1">INDIRECT($BM$2&amp;BW$7&amp;$BT160,1)</f>
        <v>0</v>
      </c>
      <c r="BX160" s="539" cm="1">
        <f t="array" aca="1" ref="BX160" ca="1">INDIRECT($BM$2&amp;BX$7&amp;$BT160,1)</f>
        <v>0</v>
      </c>
      <c r="BY160" s="539" cm="1">
        <f t="array" aca="1" ref="BY160" ca="1">INDIRECT($BM$2&amp;BY$7&amp;$BT160,1)</f>
        <v>0</v>
      </c>
      <c r="BZ160" s="539" t="str">
        <f t="shared" ca="1" si="105"/>
        <v>-</v>
      </c>
      <c r="CA160" s="494" t="s">
        <v>8222</v>
      </c>
      <c r="CC160" s="469">
        <v>7</v>
      </c>
      <c r="CD160" s="539" t="s">
        <v>8046</v>
      </c>
      <c r="CE160" s="539">
        <f t="shared" si="109"/>
        <v>864</v>
      </c>
      <c r="CF160" s="539" cm="1">
        <f t="array" aca="1" ref="CF160" ca="1">INDIRECT($BM$2&amp;CF$7&amp;$CE160,1)</f>
        <v>0</v>
      </c>
      <c r="CG160" s="539" cm="1">
        <f t="array" aca="1" ref="CG160" ca="1">INDIRECT($BM$2&amp;CG$7&amp;$CE160,1)</f>
        <v>0</v>
      </c>
      <c r="CH160" s="539" cm="1">
        <f t="array" aca="1" ref="CH160" ca="1">INDIRECT($BM$2&amp;CH$7&amp;$CE160,1)</f>
        <v>0</v>
      </c>
      <c r="CI160" s="539" cm="1">
        <f t="array" aca="1" ref="CI160" ca="1">INDIRECT($BM$2&amp;CI$7&amp;$CE160,1)</f>
        <v>0</v>
      </c>
      <c r="CJ160" s="539" cm="1">
        <f t="array" aca="1" ref="CJ160" ca="1">INDIRECT($BM$2&amp;CJ$7&amp;$CE160,1)</f>
        <v>0</v>
      </c>
      <c r="CK160" s="539" t="str">
        <f t="shared" ca="1" si="106"/>
        <v>-</v>
      </c>
      <c r="CL160" s="494" t="s">
        <v>8222</v>
      </c>
      <c r="CU160" s="469" t="s">
        <v>5510</v>
      </c>
      <c r="EQ160" s="469" t="s">
        <v>5510</v>
      </c>
      <c r="ES160" s="504"/>
      <c r="ET160" s="507"/>
      <c r="EU160" s="585">
        <v>51</v>
      </c>
      <c r="GC160" s="472" t="s">
        <v>5510</v>
      </c>
    </row>
    <row r="161" spans="3:185" x14ac:dyDescent="0.25">
      <c r="C161" s="501">
        <f>ROW('Irritacao_Ocular(1)'!AR61)</f>
        <v>61</v>
      </c>
      <c r="D161" s="518" t="s">
        <v>65</v>
      </c>
      <c r="E161" s="492" cm="1">
        <f t="array" aca="1" ref="E161" ca="1">INDIRECT($C$157&amp;E$157&amp;$C161,1)</f>
        <v>0</v>
      </c>
      <c r="F161" s="492" cm="1">
        <f t="array" aca="1" ref="F161" ca="1">INDIRECT($C$157&amp;F$157&amp;$C161,1)</f>
        <v>0</v>
      </c>
      <c r="G161" s="492" cm="1">
        <f t="array" aca="1" ref="G161" ca="1">INDIRECT($C$157&amp;G$157&amp;$C161,1)</f>
        <v>0</v>
      </c>
      <c r="H161" s="653" cm="1">
        <f t="array" aca="1" ref="H161" ca="1">INDIRECT($C$157&amp;H$157&amp;$C161,1)</f>
        <v>0</v>
      </c>
      <c r="I161" s="492" cm="1">
        <f t="array" aca="1" ref="I161" ca="1">INDIRECT($C$157&amp;I$157&amp;$C161,1)</f>
        <v>0</v>
      </c>
      <c r="J161" s="492" cm="1">
        <f t="array" aca="1" ref="J161" ca="1">INDIRECT($C$157&amp;J$157&amp;$C161,1)</f>
        <v>0</v>
      </c>
      <c r="K161" s="492" cm="1">
        <f t="array" aca="1" ref="K161" ca="1">INDIRECT($C$157&amp;K$157&amp;$C161,1)</f>
        <v>0</v>
      </c>
      <c r="L161" s="653" cm="1">
        <f t="array" aca="1" ref="L161" ca="1">INDIRECT($C$157&amp;L$157&amp;$C161,1)</f>
        <v>0</v>
      </c>
      <c r="M161" s="492" cm="1">
        <f t="array" aca="1" ref="M161" ca="1">INDIRECT($C$157&amp;M$157&amp;$C161,1)</f>
        <v>0</v>
      </c>
      <c r="N161" s="492" cm="1">
        <f t="array" aca="1" ref="N161" ca="1">INDIRECT($C$157&amp;N$157&amp;$C161,1)</f>
        <v>0</v>
      </c>
      <c r="O161" s="492" cm="1">
        <f t="array" aca="1" ref="O161" ca="1">INDIRECT($C$157&amp;O$157&amp;$C161,1)</f>
        <v>0</v>
      </c>
      <c r="P161" s="653" cm="1">
        <f t="array" aca="1" ref="P161" ca="1">INDIRECT($C$157&amp;P$157&amp;$C161,1)</f>
        <v>0</v>
      </c>
      <c r="Q161" s="492">
        <f ca="1">IF(ISERROR(AVERAGE(E161:G161)),"-",AVERAGE(E161:G161))</f>
        <v>0</v>
      </c>
      <c r="R161" s="492">
        <f ca="1">IF(ISERROR(AVERAGE(I161:K161)),"-",AVERAGE(I161:K161))</f>
        <v>0</v>
      </c>
      <c r="S161" s="492">
        <f ca="1">IF(ISERROR(AVERAGE(M161:O161)),"-",AVERAGE(M161:O161))</f>
        <v>0</v>
      </c>
      <c r="BF161" s="469" t="s">
        <v>5510</v>
      </c>
      <c r="BG161" s="469">
        <v>8</v>
      </c>
      <c r="BH161" s="539" t="s">
        <v>8046</v>
      </c>
      <c r="BI161" s="539">
        <f t="shared" si="107"/>
        <v>173</v>
      </c>
      <c r="BJ161" s="539" cm="1">
        <f t="array" aca="1" ref="BJ161" ca="1">INDIRECT($BM$2&amp;BJ$7&amp;$BI161,1)</f>
        <v>0</v>
      </c>
      <c r="BK161" s="539" cm="1">
        <f t="array" aca="1" ref="BK161" ca="1">INDIRECT($BM$2&amp;BK$7&amp;$BI161,1)</f>
        <v>0</v>
      </c>
      <c r="BL161" s="539" cm="1">
        <f t="array" aca="1" ref="BL161" ca="1">INDIRECT($BM$2&amp;BL$7&amp;$BI161,1)</f>
        <v>0</v>
      </c>
      <c r="BM161" s="539" cm="1">
        <f t="array" aca="1" ref="BM161" ca="1">INDIRECT($BM$2&amp;BM$7&amp;$BI161,1)</f>
        <v>0</v>
      </c>
      <c r="BN161" s="539" cm="1">
        <f t="array" aca="1" ref="BN161" ca="1">INDIRECT($BM$2&amp;BN$7&amp;$BI161,1)</f>
        <v>0</v>
      </c>
      <c r="BO161" s="539" t="str">
        <f t="shared" ca="1" si="104"/>
        <v>-</v>
      </c>
      <c r="BP161" s="494" t="s">
        <v>8222</v>
      </c>
      <c r="BQ161" s="20"/>
      <c r="BR161" s="469">
        <v>8</v>
      </c>
      <c r="BS161" s="539" t="s">
        <v>8046</v>
      </c>
      <c r="BT161" s="539">
        <f t="shared" si="108"/>
        <v>519</v>
      </c>
      <c r="BU161" s="539" cm="1">
        <f t="array" aca="1" ref="BU161" ca="1">INDIRECT($BM$2&amp;BU$7&amp;$BT161,1)</f>
        <v>0</v>
      </c>
      <c r="BV161" s="539" cm="1">
        <f t="array" aca="1" ref="BV161" ca="1">INDIRECT($BM$2&amp;BV$7&amp;$BT161,1)</f>
        <v>0</v>
      </c>
      <c r="BW161" s="539" cm="1">
        <f t="array" aca="1" ref="BW161" ca="1">INDIRECT($BM$2&amp;BW$7&amp;$BT161,1)</f>
        <v>0</v>
      </c>
      <c r="BX161" s="539" cm="1">
        <f t="array" aca="1" ref="BX161" ca="1">INDIRECT($BM$2&amp;BX$7&amp;$BT161,1)</f>
        <v>0</v>
      </c>
      <c r="BY161" s="539" cm="1">
        <f t="array" aca="1" ref="BY161" ca="1">INDIRECT($BM$2&amp;BY$7&amp;$BT161,1)</f>
        <v>0</v>
      </c>
      <c r="BZ161" s="539" t="str">
        <f t="shared" ca="1" si="105"/>
        <v>-</v>
      </c>
      <c r="CA161" s="494" t="s">
        <v>8222</v>
      </c>
      <c r="CC161" s="469">
        <v>8</v>
      </c>
      <c r="CD161" s="539" t="s">
        <v>8046</v>
      </c>
      <c r="CE161" s="539">
        <f t="shared" si="109"/>
        <v>865</v>
      </c>
      <c r="CF161" s="539" cm="1">
        <f t="array" aca="1" ref="CF161" ca="1">INDIRECT($BM$2&amp;CF$7&amp;$CE161,1)</f>
        <v>0</v>
      </c>
      <c r="CG161" s="539" cm="1">
        <f t="array" aca="1" ref="CG161" ca="1">INDIRECT($BM$2&amp;CG$7&amp;$CE161,1)</f>
        <v>0</v>
      </c>
      <c r="CH161" s="539" cm="1">
        <f t="array" aca="1" ref="CH161" ca="1">INDIRECT($BM$2&amp;CH$7&amp;$CE161,1)</f>
        <v>0</v>
      </c>
      <c r="CI161" s="539" cm="1">
        <f t="array" aca="1" ref="CI161" ca="1">INDIRECT($BM$2&amp;CI$7&amp;$CE161,1)</f>
        <v>0</v>
      </c>
      <c r="CJ161" s="539" cm="1">
        <f t="array" aca="1" ref="CJ161" ca="1">INDIRECT($BM$2&amp;CJ$7&amp;$CE161,1)</f>
        <v>0</v>
      </c>
      <c r="CK161" s="539" t="str">
        <f t="shared" ca="1" si="106"/>
        <v>-</v>
      </c>
      <c r="CL161" s="494" t="s">
        <v>8222</v>
      </c>
      <c r="CU161" s="469" t="s">
        <v>5510</v>
      </c>
      <c r="EQ161" s="469" t="s">
        <v>5510</v>
      </c>
      <c r="ES161" s="504"/>
      <c r="ET161" s="507"/>
      <c r="EU161" s="585">
        <v>52</v>
      </c>
      <c r="GC161" s="472" t="s">
        <v>5510</v>
      </c>
    </row>
    <row r="162" spans="3:185" x14ac:dyDescent="0.25">
      <c r="C162" s="501">
        <f>ROW('Irritacao_Ocular(1)'!AR62)</f>
        <v>62</v>
      </c>
      <c r="D162" s="518" t="s">
        <v>67</v>
      </c>
      <c r="E162" s="492" cm="1">
        <f t="array" aca="1" ref="E162" ca="1">INDIRECT($C$157&amp;E$157&amp;$C162,1)</f>
        <v>0</v>
      </c>
      <c r="F162" s="492" cm="1">
        <f t="array" aca="1" ref="F162" ca="1">INDIRECT($C$157&amp;F$157&amp;$C162,1)</f>
        <v>0</v>
      </c>
      <c r="G162" s="492" cm="1">
        <f t="array" aca="1" ref="G162" ca="1">INDIRECT($C$157&amp;G$157&amp;$C162,1)</f>
        <v>0</v>
      </c>
      <c r="H162" s="653" cm="1">
        <f t="array" aca="1" ref="H162" ca="1">INDIRECT($C$157&amp;H$157&amp;$C162,1)</f>
        <v>0</v>
      </c>
      <c r="I162" s="492" cm="1">
        <f t="array" aca="1" ref="I162" ca="1">INDIRECT($C$157&amp;I$157&amp;$C162,1)</f>
        <v>0</v>
      </c>
      <c r="J162" s="492" cm="1">
        <f t="array" aca="1" ref="J162" ca="1">INDIRECT($C$157&amp;J$157&amp;$C162,1)</f>
        <v>0</v>
      </c>
      <c r="K162" s="492" cm="1">
        <f t="array" aca="1" ref="K162" ca="1">INDIRECT($C$157&amp;K$157&amp;$C162,1)</f>
        <v>0</v>
      </c>
      <c r="L162" s="653" cm="1">
        <f t="array" aca="1" ref="L162" ca="1">INDIRECT($C$157&amp;L$157&amp;$C162,1)</f>
        <v>0</v>
      </c>
      <c r="M162" s="492" cm="1">
        <f t="array" aca="1" ref="M162" ca="1">INDIRECT($C$157&amp;M$157&amp;$C162,1)</f>
        <v>0</v>
      </c>
      <c r="N162" s="492" cm="1">
        <f t="array" aca="1" ref="N162" ca="1">INDIRECT($C$157&amp;N$157&amp;$C162,1)</f>
        <v>0</v>
      </c>
      <c r="O162" s="492" cm="1">
        <f t="array" aca="1" ref="O162" ca="1">INDIRECT($C$157&amp;O$157&amp;$C162,1)</f>
        <v>0</v>
      </c>
      <c r="P162" s="653" cm="1">
        <f t="array" aca="1" ref="P162" ca="1">INDIRECT($C$157&amp;P$157&amp;$C162,1)</f>
        <v>0</v>
      </c>
      <c r="Q162" s="492">
        <f ca="1">IF(ISERROR(AVERAGE(E162:G162)),"-",AVERAGE(E162:G162))</f>
        <v>0</v>
      </c>
      <c r="R162" s="492">
        <f ca="1">IF(ISERROR(AVERAGE(I162:K162)),"-",AVERAGE(I162:K162))</f>
        <v>0</v>
      </c>
      <c r="S162" s="492">
        <f ca="1">IF(ISERROR(AVERAGE(M162:O162)),"-",AVERAGE(M162:O162))</f>
        <v>0</v>
      </c>
      <c r="BF162" s="469" t="s">
        <v>5510</v>
      </c>
      <c r="BG162" s="469">
        <v>9</v>
      </c>
      <c r="BH162" s="539" t="s">
        <v>8046</v>
      </c>
      <c r="BI162" s="539">
        <f t="shared" si="107"/>
        <v>174</v>
      </c>
      <c r="BJ162" s="539" cm="1">
        <f t="array" aca="1" ref="BJ162" ca="1">INDIRECT($BM$2&amp;BJ$7&amp;$BI162,1)</f>
        <v>0</v>
      </c>
      <c r="BK162" s="539" cm="1">
        <f t="array" aca="1" ref="BK162" ca="1">INDIRECT($BM$2&amp;BK$7&amp;$BI162,1)</f>
        <v>0</v>
      </c>
      <c r="BL162" s="539" cm="1">
        <f t="array" aca="1" ref="BL162" ca="1">INDIRECT($BM$2&amp;BL$7&amp;$BI162,1)</f>
        <v>0</v>
      </c>
      <c r="BM162" s="539" cm="1">
        <f t="array" aca="1" ref="BM162" ca="1">INDIRECT($BM$2&amp;BM$7&amp;$BI162,1)</f>
        <v>0</v>
      </c>
      <c r="BN162" s="539" cm="1">
        <f t="array" aca="1" ref="BN162" ca="1">INDIRECT($BM$2&amp;BN$7&amp;$BI162,1)</f>
        <v>0</v>
      </c>
      <c r="BO162" s="539" t="str">
        <f t="shared" ca="1" si="104"/>
        <v>-</v>
      </c>
      <c r="BP162" s="494" t="s">
        <v>8222</v>
      </c>
      <c r="BQ162" s="20"/>
      <c r="BR162" s="469">
        <v>9</v>
      </c>
      <c r="BS162" s="539" t="s">
        <v>8046</v>
      </c>
      <c r="BT162" s="539">
        <f t="shared" si="108"/>
        <v>520</v>
      </c>
      <c r="BU162" s="539" cm="1">
        <f t="array" aca="1" ref="BU162" ca="1">INDIRECT($BM$2&amp;BU$7&amp;$BT162,1)</f>
        <v>0</v>
      </c>
      <c r="BV162" s="539" cm="1">
        <f t="array" aca="1" ref="BV162" ca="1">INDIRECT($BM$2&amp;BV$7&amp;$BT162,1)</f>
        <v>0</v>
      </c>
      <c r="BW162" s="539" cm="1">
        <f t="array" aca="1" ref="BW162" ca="1">INDIRECT($BM$2&amp;BW$7&amp;$BT162,1)</f>
        <v>0</v>
      </c>
      <c r="BX162" s="539" cm="1">
        <f t="array" aca="1" ref="BX162" ca="1">INDIRECT($BM$2&amp;BX$7&amp;$BT162,1)</f>
        <v>0</v>
      </c>
      <c r="BY162" s="539" cm="1">
        <f t="array" aca="1" ref="BY162" ca="1">INDIRECT($BM$2&amp;BY$7&amp;$BT162,1)</f>
        <v>0</v>
      </c>
      <c r="BZ162" s="539" t="str">
        <f t="shared" ca="1" si="105"/>
        <v>-</v>
      </c>
      <c r="CA162" s="494" t="s">
        <v>8222</v>
      </c>
      <c r="CC162" s="469">
        <v>9</v>
      </c>
      <c r="CD162" s="539" t="s">
        <v>8046</v>
      </c>
      <c r="CE162" s="539">
        <f t="shared" si="109"/>
        <v>866</v>
      </c>
      <c r="CF162" s="539" cm="1">
        <f t="array" aca="1" ref="CF162" ca="1">INDIRECT($BM$2&amp;CF$7&amp;$CE162,1)</f>
        <v>0</v>
      </c>
      <c r="CG162" s="539" cm="1">
        <f t="array" aca="1" ref="CG162" ca="1">INDIRECT($BM$2&amp;CG$7&amp;$CE162,1)</f>
        <v>0</v>
      </c>
      <c r="CH162" s="539" cm="1">
        <f t="array" aca="1" ref="CH162" ca="1">INDIRECT($BM$2&amp;CH$7&amp;$CE162,1)</f>
        <v>0</v>
      </c>
      <c r="CI162" s="539" cm="1">
        <f t="array" aca="1" ref="CI162" ca="1">INDIRECT($BM$2&amp;CI$7&amp;$CE162,1)</f>
        <v>0</v>
      </c>
      <c r="CJ162" s="539" cm="1">
        <f t="array" aca="1" ref="CJ162" ca="1">INDIRECT($BM$2&amp;CJ$7&amp;$CE162,1)</f>
        <v>0</v>
      </c>
      <c r="CK162" s="539" t="str">
        <f t="shared" ca="1" si="106"/>
        <v>-</v>
      </c>
      <c r="CL162" s="494" t="s">
        <v>8222</v>
      </c>
      <c r="CU162" s="469" t="s">
        <v>5510</v>
      </c>
      <c r="EQ162" s="469" t="s">
        <v>5510</v>
      </c>
      <c r="ES162" s="504"/>
      <c r="ET162" s="507"/>
      <c r="EU162" s="585">
        <v>53</v>
      </c>
      <c r="GC162" s="472" t="s">
        <v>5510</v>
      </c>
    </row>
    <row r="163" spans="3:185" x14ac:dyDescent="0.25">
      <c r="C163" s="501">
        <f>ROW('Irritacao_Ocular(1)'!AR63)</f>
        <v>63</v>
      </c>
      <c r="D163" s="518" t="s">
        <v>68</v>
      </c>
      <c r="E163" s="492" cm="1">
        <f t="array" aca="1" ref="E163" ca="1">INDIRECT($C$157&amp;E$157&amp;$C163,1)</f>
        <v>0</v>
      </c>
      <c r="F163" s="492" cm="1">
        <f t="array" aca="1" ref="F163" ca="1">INDIRECT($C$157&amp;F$157&amp;$C163,1)</f>
        <v>0</v>
      </c>
      <c r="G163" s="492" cm="1">
        <f t="array" aca="1" ref="G163" ca="1">INDIRECT($C$157&amp;G$157&amp;$C163,1)</f>
        <v>0</v>
      </c>
      <c r="H163" s="653" cm="1">
        <f t="array" aca="1" ref="H163" ca="1">INDIRECT($C$157&amp;H$157&amp;$C163,1)</f>
        <v>0</v>
      </c>
      <c r="I163" s="492" cm="1">
        <f t="array" aca="1" ref="I163" ca="1">INDIRECT($C$157&amp;I$157&amp;$C163,1)</f>
        <v>0</v>
      </c>
      <c r="J163" s="492" cm="1">
        <f t="array" aca="1" ref="J163" ca="1">INDIRECT($C$157&amp;J$157&amp;$C163,1)</f>
        <v>0</v>
      </c>
      <c r="K163" s="492" cm="1">
        <f t="array" aca="1" ref="K163" ca="1">INDIRECT($C$157&amp;K$157&amp;$C163,1)</f>
        <v>0</v>
      </c>
      <c r="L163" s="653" cm="1">
        <f t="array" aca="1" ref="L163" ca="1">INDIRECT($C$157&amp;L$157&amp;$C163,1)</f>
        <v>0</v>
      </c>
      <c r="M163" s="492" cm="1">
        <f t="array" aca="1" ref="M163" ca="1">INDIRECT($C$157&amp;M$157&amp;$C163,1)</f>
        <v>0</v>
      </c>
      <c r="N163" s="492" cm="1">
        <f t="array" aca="1" ref="N163" ca="1">INDIRECT($C$157&amp;N$157&amp;$C163,1)</f>
        <v>0</v>
      </c>
      <c r="O163" s="492" cm="1">
        <f t="array" aca="1" ref="O163" ca="1">INDIRECT($C$157&amp;O$157&amp;$C163,1)</f>
        <v>0</v>
      </c>
      <c r="P163" s="653" cm="1">
        <f t="array" aca="1" ref="P163" ca="1">INDIRECT($C$157&amp;P$157&amp;$C163,1)</f>
        <v>0</v>
      </c>
      <c r="Q163" s="492">
        <f ca="1">IF(ISERROR(AVERAGE(E163:G163)),"-",AVERAGE(E163:G163))</f>
        <v>0</v>
      </c>
      <c r="R163" s="492">
        <f ca="1">IF(ISERROR(AVERAGE(I163:K163)),"-",AVERAGE(I163:K163))</f>
        <v>0</v>
      </c>
      <c r="S163" s="492">
        <f ca="1">IF(ISERROR(AVERAGE(M163:O163)),"-",AVERAGE(M163:O163))</f>
        <v>0</v>
      </c>
      <c r="BF163" s="469" t="s">
        <v>5510</v>
      </c>
      <c r="BG163" s="469">
        <v>10</v>
      </c>
      <c r="BH163" s="539" t="s">
        <v>8046</v>
      </c>
      <c r="BI163" s="539">
        <f t="shared" si="107"/>
        <v>175</v>
      </c>
      <c r="BJ163" s="539" cm="1">
        <f t="array" aca="1" ref="BJ163" ca="1">INDIRECT($BM$2&amp;BJ$7&amp;$BI163,1)</f>
        <v>0</v>
      </c>
      <c r="BK163" s="539" cm="1">
        <f t="array" aca="1" ref="BK163" ca="1">INDIRECT($BM$2&amp;BK$7&amp;$BI163,1)</f>
        <v>0</v>
      </c>
      <c r="BL163" s="539" cm="1">
        <f t="array" aca="1" ref="BL163" ca="1">INDIRECT($BM$2&amp;BL$7&amp;$BI163,1)</f>
        <v>0</v>
      </c>
      <c r="BM163" s="539" cm="1">
        <f t="array" aca="1" ref="BM163" ca="1">INDIRECT($BM$2&amp;BM$7&amp;$BI163,1)</f>
        <v>0</v>
      </c>
      <c r="BN163" s="539" cm="1">
        <f t="array" aca="1" ref="BN163" ca="1">INDIRECT($BM$2&amp;BN$7&amp;$BI163,1)</f>
        <v>0</v>
      </c>
      <c r="BO163" s="539" t="str">
        <f t="shared" ca="1" si="104"/>
        <v>-</v>
      </c>
      <c r="BP163" s="494" t="s">
        <v>8222</v>
      </c>
      <c r="BQ163" s="20"/>
      <c r="BR163" s="469">
        <v>10</v>
      </c>
      <c r="BS163" s="539" t="s">
        <v>8046</v>
      </c>
      <c r="BT163" s="539">
        <f t="shared" si="108"/>
        <v>521</v>
      </c>
      <c r="BU163" s="539" cm="1">
        <f t="array" aca="1" ref="BU163" ca="1">INDIRECT($BM$2&amp;BU$7&amp;$BT163,1)</f>
        <v>0</v>
      </c>
      <c r="BV163" s="539" cm="1">
        <f t="array" aca="1" ref="BV163" ca="1">INDIRECT($BM$2&amp;BV$7&amp;$BT163,1)</f>
        <v>0</v>
      </c>
      <c r="BW163" s="539" cm="1">
        <f t="array" aca="1" ref="BW163" ca="1">INDIRECT($BM$2&amp;BW$7&amp;$BT163,1)</f>
        <v>0</v>
      </c>
      <c r="BX163" s="539" cm="1">
        <f t="array" aca="1" ref="BX163" ca="1">INDIRECT($BM$2&amp;BX$7&amp;$BT163,1)</f>
        <v>0</v>
      </c>
      <c r="BY163" s="539" cm="1">
        <f t="array" aca="1" ref="BY163" ca="1">INDIRECT($BM$2&amp;BY$7&amp;$BT163,1)</f>
        <v>0</v>
      </c>
      <c r="BZ163" s="539" t="str">
        <f t="shared" ca="1" si="105"/>
        <v>-</v>
      </c>
      <c r="CA163" s="494" t="s">
        <v>8222</v>
      </c>
      <c r="CC163" s="469">
        <v>10</v>
      </c>
      <c r="CD163" s="539" t="s">
        <v>8046</v>
      </c>
      <c r="CE163" s="539">
        <f t="shared" si="109"/>
        <v>867</v>
      </c>
      <c r="CF163" s="539" cm="1">
        <f t="array" aca="1" ref="CF163" ca="1">INDIRECT($BM$2&amp;CF$7&amp;$CE163,1)</f>
        <v>0</v>
      </c>
      <c r="CG163" s="539" cm="1">
        <f t="array" aca="1" ref="CG163" ca="1">INDIRECT($BM$2&amp;CG$7&amp;$CE163,1)</f>
        <v>0</v>
      </c>
      <c r="CH163" s="539" cm="1">
        <f t="array" aca="1" ref="CH163" ca="1">INDIRECT($BM$2&amp;CH$7&amp;$CE163,1)</f>
        <v>0</v>
      </c>
      <c r="CI163" s="539" cm="1">
        <f t="array" aca="1" ref="CI163" ca="1">INDIRECT($BM$2&amp;CI$7&amp;$CE163,1)</f>
        <v>0</v>
      </c>
      <c r="CJ163" s="539" cm="1">
        <f t="array" aca="1" ref="CJ163" ca="1">INDIRECT($BM$2&amp;CJ$7&amp;$CE163,1)</f>
        <v>0</v>
      </c>
      <c r="CK163" s="539" t="str">
        <f t="shared" ca="1" si="106"/>
        <v>-</v>
      </c>
      <c r="CL163" s="494" t="s">
        <v>8222</v>
      </c>
      <c r="CU163" s="469" t="s">
        <v>5510</v>
      </c>
      <c r="EQ163" s="469" t="s">
        <v>5510</v>
      </c>
      <c r="ES163" s="504"/>
      <c r="ET163" s="507"/>
      <c r="EU163" s="585">
        <v>54</v>
      </c>
      <c r="GC163" s="472" t="s">
        <v>5510</v>
      </c>
    </row>
    <row r="164" spans="3:185" x14ac:dyDescent="0.25">
      <c r="C164" s="501">
        <f>ROW('Irritacao_Ocular(1)'!AR64)</f>
        <v>64</v>
      </c>
      <c r="D164" s="518" t="s">
        <v>70</v>
      </c>
      <c r="E164" s="492" cm="1">
        <f t="array" aca="1" ref="E164" ca="1">INDIRECT($C$157&amp;E$157&amp;$C164,1)</f>
        <v>0</v>
      </c>
      <c r="F164" s="492" cm="1">
        <f t="array" aca="1" ref="F164" ca="1">INDIRECT($C$157&amp;F$157&amp;$C164,1)</f>
        <v>0</v>
      </c>
      <c r="G164" s="492" cm="1">
        <f t="array" aca="1" ref="G164" ca="1">INDIRECT($C$157&amp;G$157&amp;$C164,1)</f>
        <v>0</v>
      </c>
      <c r="H164" s="653" cm="1">
        <f t="array" aca="1" ref="H164" ca="1">INDIRECT($C$157&amp;H$157&amp;$C164,1)</f>
        <v>0</v>
      </c>
      <c r="I164" s="492" cm="1">
        <f t="array" aca="1" ref="I164" ca="1">INDIRECT($C$157&amp;I$157&amp;$C164,1)</f>
        <v>0</v>
      </c>
      <c r="J164" s="492" cm="1">
        <f t="array" aca="1" ref="J164" ca="1">INDIRECT($C$157&amp;J$157&amp;$C164,1)</f>
        <v>0</v>
      </c>
      <c r="K164" s="492" cm="1">
        <f t="array" aca="1" ref="K164" ca="1">INDIRECT($C$157&amp;K$157&amp;$C164,1)</f>
        <v>0</v>
      </c>
      <c r="L164" s="653" cm="1">
        <f t="array" aca="1" ref="L164" ca="1">INDIRECT($C$157&amp;L$157&amp;$C164,1)</f>
        <v>0</v>
      </c>
      <c r="M164" s="492" cm="1">
        <f t="array" aca="1" ref="M164" ca="1">INDIRECT($C$157&amp;M$157&amp;$C164,1)</f>
        <v>0</v>
      </c>
      <c r="N164" s="492" cm="1">
        <f t="array" aca="1" ref="N164" ca="1">INDIRECT($C$157&amp;N$157&amp;$C164,1)</f>
        <v>0</v>
      </c>
      <c r="O164" s="492" cm="1">
        <f t="array" aca="1" ref="O164" ca="1">INDIRECT($C$157&amp;O$157&amp;$C164,1)</f>
        <v>0</v>
      </c>
      <c r="P164" s="653" cm="1">
        <f t="array" aca="1" ref="P164" ca="1">INDIRECT($C$157&amp;P$157&amp;$C164,1)</f>
        <v>0</v>
      </c>
      <c r="Q164" s="492"/>
      <c r="R164" s="492"/>
      <c r="S164" s="492"/>
      <c r="BF164" s="469" t="s">
        <v>5510</v>
      </c>
      <c r="BG164" s="469">
        <v>11</v>
      </c>
      <c r="BH164" s="539" t="s">
        <v>8046</v>
      </c>
      <c r="BI164" s="539">
        <f t="shared" si="107"/>
        <v>176</v>
      </c>
      <c r="BJ164" s="539" cm="1">
        <f t="array" aca="1" ref="BJ164" ca="1">INDIRECT($BM$2&amp;BJ$7&amp;$BI164,1)</f>
        <v>0</v>
      </c>
      <c r="BK164" s="539" cm="1">
        <f t="array" aca="1" ref="BK164" ca="1">INDIRECT($BM$2&amp;BK$7&amp;$BI164,1)</f>
        <v>0</v>
      </c>
      <c r="BL164" s="539" cm="1">
        <f t="array" aca="1" ref="BL164" ca="1">INDIRECT($BM$2&amp;BL$7&amp;$BI164,1)</f>
        <v>0</v>
      </c>
      <c r="BM164" s="539" cm="1">
        <f t="array" aca="1" ref="BM164" ca="1">INDIRECT($BM$2&amp;BM$7&amp;$BI164,1)</f>
        <v>0</v>
      </c>
      <c r="BN164" s="539" cm="1">
        <f t="array" aca="1" ref="BN164" ca="1">INDIRECT($BM$2&amp;BN$7&amp;$BI164,1)</f>
        <v>0</v>
      </c>
      <c r="BO164" s="539" t="str">
        <f t="shared" ca="1" si="104"/>
        <v>-</v>
      </c>
      <c r="BP164" s="494" t="s">
        <v>8222</v>
      </c>
      <c r="BQ164" s="20"/>
      <c r="BR164" s="469">
        <v>11</v>
      </c>
      <c r="BS164" s="539" t="s">
        <v>8046</v>
      </c>
      <c r="BT164" s="539">
        <f t="shared" si="108"/>
        <v>522</v>
      </c>
      <c r="BU164" s="539" cm="1">
        <f t="array" aca="1" ref="BU164" ca="1">INDIRECT($BM$2&amp;BU$7&amp;$BT164,1)</f>
        <v>0</v>
      </c>
      <c r="BV164" s="539" cm="1">
        <f t="array" aca="1" ref="BV164" ca="1">INDIRECT($BM$2&amp;BV$7&amp;$BT164,1)</f>
        <v>0</v>
      </c>
      <c r="BW164" s="539" cm="1">
        <f t="array" aca="1" ref="BW164" ca="1">INDIRECT($BM$2&amp;BW$7&amp;$BT164,1)</f>
        <v>0</v>
      </c>
      <c r="BX164" s="539" cm="1">
        <f t="array" aca="1" ref="BX164" ca="1">INDIRECT($BM$2&amp;BX$7&amp;$BT164,1)</f>
        <v>0</v>
      </c>
      <c r="BY164" s="539" cm="1">
        <f t="array" aca="1" ref="BY164" ca="1">INDIRECT($BM$2&amp;BY$7&amp;$BT164,1)</f>
        <v>0</v>
      </c>
      <c r="BZ164" s="539" t="str">
        <f t="shared" ca="1" si="105"/>
        <v>-</v>
      </c>
      <c r="CA164" s="494" t="s">
        <v>8222</v>
      </c>
      <c r="CC164" s="469">
        <v>11</v>
      </c>
      <c r="CD164" s="539" t="s">
        <v>8046</v>
      </c>
      <c r="CE164" s="539">
        <f t="shared" si="109"/>
        <v>868</v>
      </c>
      <c r="CF164" s="539" cm="1">
        <f t="array" aca="1" ref="CF164" ca="1">INDIRECT($BM$2&amp;CF$7&amp;$CE164,1)</f>
        <v>0</v>
      </c>
      <c r="CG164" s="539" cm="1">
        <f t="array" aca="1" ref="CG164" ca="1">INDIRECT($BM$2&amp;CG$7&amp;$CE164,1)</f>
        <v>0</v>
      </c>
      <c r="CH164" s="539" cm="1">
        <f t="array" aca="1" ref="CH164" ca="1">INDIRECT($BM$2&amp;CH$7&amp;$CE164,1)</f>
        <v>0</v>
      </c>
      <c r="CI164" s="539" cm="1">
        <f t="array" aca="1" ref="CI164" ca="1">INDIRECT($BM$2&amp;CI$7&amp;$CE164,1)</f>
        <v>0</v>
      </c>
      <c r="CJ164" s="539" cm="1">
        <f t="array" aca="1" ref="CJ164" ca="1">INDIRECT($BM$2&amp;CJ$7&amp;$CE164,1)</f>
        <v>0</v>
      </c>
      <c r="CK164" s="539" t="str">
        <f t="shared" ca="1" si="106"/>
        <v>-</v>
      </c>
      <c r="CL164" s="494" t="s">
        <v>8222</v>
      </c>
      <c r="CU164" s="469" t="s">
        <v>5510</v>
      </c>
      <c r="EQ164" s="469" t="s">
        <v>5510</v>
      </c>
      <c r="ES164" s="504"/>
      <c r="ET164" s="507"/>
      <c r="EU164" s="585">
        <v>55</v>
      </c>
      <c r="GC164" s="472" t="s">
        <v>5510</v>
      </c>
    </row>
    <row r="165" spans="3:185" x14ac:dyDescent="0.25">
      <c r="BF165" s="469" t="s">
        <v>5510</v>
      </c>
      <c r="BG165" s="469">
        <v>12</v>
      </c>
      <c r="BH165" s="539" t="s">
        <v>8046</v>
      </c>
      <c r="BI165" s="539">
        <f t="shared" si="107"/>
        <v>177</v>
      </c>
      <c r="BJ165" s="539" cm="1">
        <f t="array" aca="1" ref="BJ165" ca="1">INDIRECT($BM$2&amp;BJ$7&amp;$BI165,1)</f>
        <v>0</v>
      </c>
      <c r="BK165" s="539" cm="1">
        <f t="array" aca="1" ref="BK165" ca="1">INDIRECT($BM$2&amp;BK$7&amp;$BI165,1)</f>
        <v>0</v>
      </c>
      <c r="BL165" s="539" cm="1">
        <f t="array" aca="1" ref="BL165" ca="1">INDIRECT($BM$2&amp;BL$7&amp;$BI165,1)</f>
        <v>0</v>
      </c>
      <c r="BM165" s="539" cm="1">
        <f t="array" aca="1" ref="BM165" ca="1">INDIRECT($BM$2&amp;BM$7&amp;$BI165,1)</f>
        <v>0</v>
      </c>
      <c r="BN165" s="539" t="str" cm="1">
        <f t="array" aca="1" ref="BN165" ca="1">INDIRECT($BM$2&amp;BN$7&amp;$BI165,1)</f>
        <v>-</v>
      </c>
      <c r="BO165" s="539" t="str">
        <f t="shared" ca="1" si="104"/>
        <v>-</v>
      </c>
      <c r="BP165" s="561" t="s">
        <v>8223</v>
      </c>
      <c r="BQ165" s="20"/>
      <c r="BR165" s="469">
        <v>12</v>
      </c>
      <c r="BS165" s="539" t="s">
        <v>8046</v>
      </c>
      <c r="BT165" s="539">
        <f t="shared" si="108"/>
        <v>523</v>
      </c>
      <c r="BU165" s="539" cm="1">
        <f t="array" aca="1" ref="BU165" ca="1">INDIRECT($BM$2&amp;BU$7&amp;$BT165,1)</f>
        <v>0</v>
      </c>
      <c r="BV165" s="539" cm="1">
        <f t="array" aca="1" ref="BV165" ca="1">INDIRECT($BM$2&amp;BV$7&amp;$BT165,1)</f>
        <v>0</v>
      </c>
      <c r="BW165" s="539" cm="1">
        <f t="array" aca="1" ref="BW165" ca="1">INDIRECT($BM$2&amp;BW$7&amp;$BT165,1)</f>
        <v>0</v>
      </c>
      <c r="BX165" s="539" cm="1">
        <f t="array" aca="1" ref="BX165" ca="1">INDIRECT($BM$2&amp;BX$7&amp;$BT165,1)</f>
        <v>0</v>
      </c>
      <c r="BY165" s="539" t="str" cm="1">
        <f t="array" aca="1" ref="BY165" ca="1">INDIRECT($BM$2&amp;BY$7&amp;$BT165,1)</f>
        <v>-</v>
      </c>
      <c r="BZ165" s="539" t="str">
        <f t="shared" ca="1" si="105"/>
        <v>-</v>
      </c>
      <c r="CA165" s="561" t="s">
        <v>8223</v>
      </c>
      <c r="CC165" s="469">
        <v>12</v>
      </c>
      <c r="CD165" s="539" t="s">
        <v>8046</v>
      </c>
      <c r="CE165" s="539">
        <f t="shared" si="109"/>
        <v>869</v>
      </c>
      <c r="CF165" s="539" cm="1">
        <f t="array" aca="1" ref="CF165" ca="1">INDIRECT($BM$2&amp;CF$7&amp;$CE165,1)</f>
        <v>0</v>
      </c>
      <c r="CG165" s="539" cm="1">
        <f t="array" aca="1" ref="CG165" ca="1">INDIRECT($BM$2&amp;CG$7&amp;$CE165,1)</f>
        <v>0</v>
      </c>
      <c r="CH165" s="539" cm="1">
        <f t="array" aca="1" ref="CH165" ca="1">INDIRECT($BM$2&amp;CH$7&amp;$CE165,1)</f>
        <v>0</v>
      </c>
      <c r="CI165" s="539" cm="1">
        <f t="array" aca="1" ref="CI165" ca="1">INDIRECT($BM$2&amp;CI$7&amp;$CE165,1)</f>
        <v>0</v>
      </c>
      <c r="CJ165" s="539" t="str" cm="1">
        <f t="array" aca="1" ref="CJ165" ca="1">INDIRECT($BM$2&amp;CJ$7&amp;$CE165,1)</f>
        <v>-</v>
      </c>
      <c r="CK165" s="539" t="str">
        <f t="shared" ca="1" si="106"/>
        <v>-</v>
      </c>
      <c r="CL165" s="561" t="s">
        <v>8223</v>
      </c>
      <c r="CU165" s="469" t="s">
        <v>5510</v>
      </c>
      <c r="EQ165" s="469" t="s">
        <v>5510</v>
      </c>
      <c r="ES165" s="504"/>
      <c r="ET165" s="507"/>
      <c r="EU165" s="585">
        <v>56</v>
      </c>
      <c r="GC165" s="472" t="s">
        <v>5510</v>
      </c>
    </row>
    <row r="166" spans="3:185" x14ac:dyDescent="0.25">
      <c r="BF166" s="469" t="s">
        <v>5510</v>
      </c>
      <c r="BL166" s="372"/>
      <c r="BO166" s="472"/>
      <c r="BQ166" s="20"/>
      <c r="BT166" s="372"/>
      <c r="BU166" s="472"/>
      <c r="BV166" s="472"/>
      <c r="BW166" s="372"/>
      <c r="BX166" s="472"/>
      <c r="BY166" s="372"/>
      <c r="BZ166" s="472"/>
      <c r="CA166" s="372"/>
      <c r="CE166" s="372"/>
      <c r="CF166" s="472"/>
      <c r="CG166" s="472"/>
      <c r="CH166" s="372"/>
      <c r="CI166" s="472"/>
      <c r="CJ166" s="372"/>
      <c r="CK166" s="472"/>
      <c r="CL166" s="372"/>
      <c r="CU166" s="469" t="s">
        <v>5510</v>
      </c>
      <c r="EQ166" s="469" t="s">
        <v>5510</v>
      </c>
      <c r="ES166" s="504"/>
      <c r="ET166" s="507"/>
      <c r="EU166" s="585">
        <v>57</v>
      </c>
      <c r="GC166" s="472" t="s">
        <v>5510</v>
      </c>
    </row>
    <row r="167" spans="3:185" x14ac:dyDescent="0.25">
      <c r="BF167" s="469" t="s">
        <v>5510</v>
      </c>
      <c r="BL167" s="372"/>
      <c r="BO167" s="472"/>
      <c r="BQ167" s="20"/>
      <c r="BT167" s="372"/>
      <c r="BU167" s="472"/>
      <c r="BV167" s="472"/>
      <c r="BW167" s="372"/>
      <c r="BX167" s="472"/>
      <c r="BY167" s="372"/>
      <c r="BZ167" s="472"/>
      <c r="CA167" s="372"/>
      <c r="CE167" s="372"/>
      <c r="CF167" s="472"/>
      <c r="CG167" s="472"/>
      <c r="CH167" s="372"/>
      <c r="CI167" s="472"/>
      <c r="CJ167" s="372"/>
      <c r="CK167" s="472"/>
      <c r="CL167" s="372"/>
      <c r="CU167" s="469" t="s">
        <v>5510</v>
      </c>
      <c r="EQ167" s="469" t="s">
        <v>5510</v>
      </c>
      <c r="ES167" s="504"/>
      <c r="ET167" s="507"/>
      <c r="EU167" s="585">
        <v>58</v>
      </c>
      <c r="GC167" s="472" t="s">
        <v>5510</v>
      </c>
    </row>
    <row r="168" spans="3:185" x14ac:dyDescent="0.25">
      <c r="BF168" s="469" t="s">
        <v>5510</v>
      </c>
      <c r="BQ168" s="20"/>
      <c r="BT168" s="372"/>
      <c r="BU168" s="472"/>
      <c r="BV168" s="472"/>
      <c r="BW168" s="472"/>
      <c r="BX168" s="472"/>
      <c r="BY168" s="372"/>
      <c r="BZ168" s="372"/>
      <c r="CA168" s="372"/>
      <c r="CE168" s="372"/>
      <c r="CF168" s="472"/>
      <c r="CG168" s="472"/>
      <c r="CH168" s="472"/>
      <c r="CI168" s="472"/>
      <c r="CJ168" s="372"/>
      <c r="CK168" s="372"/>
      <c r="CL168" s="372"/>
      <c r="CU168" s="469" t="s">
        <v>5510</v>
      </c>
      <c r="EQ168" s="469" t="s">
        <v>5510</v>
      </c>
      <c r="ES168" s="504"/>
      <c r="ET168" s="507"/>
      <c r="EU168" s="585">
        <v>59</v>
      </c>
      <c r="GC168" s="472" t="s">
        <v>5510</v>
      </c>
    </row>
    <row r="169" spans="3:185" x14ac:dyDescent="0.25">
      <c r="BF169" s="469" t="s">
        <v>5510</v>
      </c>
      <c r="BQ169" s="20"/>
      <c r="BT169" s="372"/>
      <c r="BU169" s="472"/>
      <c r="BV169" s="472"/>
      <c r="BW169" s="472"/>
      <c r="BX169" s="472"/>
      <c r="BY169" s="372"/>
      <c r="BZ169" s="372"/>
      <c r="CA169" s="372"/>
      <c r="CE169" s="372"/>
      <c r="CF169" s="472"/>
      <c r="CG169" s="472"/>
      <c r="CH169" s="472"/>
      <c r="CI169" s="472"/>
      <c r="CJ169" s="372"/>
      <c r="CK169" s="372"/>
      <c r="CL169" s="372"/>
      <c r="CU169" s="469" t="s">
        <v>5510</v>
      </c>
      <c r="EQ169" s="469" t="s">
        <v>5510</v>
      </c>
      <c r="ES169" s="504"/>
      <c r="ET169" s="507"/>
      <c r="EU169" s="585">
        <v>60</v>
      </c>
      <c r="GC169" s="472" t="s">
        <v>5510</v>
      </c>
    </row>
    <row r="170" spans="3:185" x14ac:dyDescent="0.25">
      <c r="N170" s="20"/>
      <c r="Y170" s="20"/>
      <c r="BF170" s="469" t="s">
        <v>5510</v>
      </c>
      <c r="BG170" s="469">
        <v>1</v>
      </c>
      <c r="BH170" s="539" t="s">
        <v>8047</v>
      </c>
      <c r="BI170" s="539">
        <f>BI165+$BO$6</f>
        <v>183</v>
      </c>
      <c r="BJ170" s="539" cm="1">
        <f t="array" aca="1" ref="BJ170" ca="1">INDIRECT($BM$2&amp;BJ$7&amp;$BI170,1)</f>
        <v>0</v>
      </c>
      <c r="BK170" s="539" cm="1">
        <f t="array" aca="1" ref="BK170" ca="1">INDIRECT($BM$2&amp;BK$7&amp;$BI170,1)</f>
        <v>0</v>
      </c>
      <c r="BL170" s="539" cm="1">
        <f t="array" aca="1" ref="BL170" ca="1">INDIRECT($BM$2&amp;BL$7&amp;$BI170,1)</f>
        <v>0</v>
      </c>
      <c r="BM170" s="539" cm="1">
        <f t="array" aca="1" ref="BM170" ca="1">INDIRECT($BM$2&amp;BM$7&amp;$BI170,1)</f>
        <v>0</v>
      </c>
      <c r="BN170" s="539" cm="1">
        <f t="array" aca="1" ref="BN170" ca="1">INDIRECT($BM$2&amp;BN$7&amp;$BI170,1)</f>
        <v>0</v>
      </c>
      <c r="BO170" s="539" t="str">
        <f ca="1">IFERROR(BK170/BK$170,"-")</f>
        <v>-</v>
      </c>
      <c r="BP170" s="540" t="s">
        <v>8221</v>
      </c>
      <c r="BQ170" s="20"/>
      <c r="BR170" s="469">
        <v>1</v>
      </c>
      <c r="BS170" s="539" t="s">
        <v>8047</v>
      </c>
      <c r="BT170" s="539">
        <f>BT165+$BO$6</f>
        <v>529</v>
      </c>
      <c r="BU170" s="539" cm="1">
        <f t="array" aca="1" ref="BU170" ca="1">INDIRECT($BM$2&amp;BU$7&amp;$BT170,1)</f>
        <v>0</v>
      </c>
      <c r="BV170" s="539" cm="1">
        <f t="array" aca="1" ref="BV170" ca="1">INDIRECT($BM$2&amp;BV$7&amp;$BT170,1)</f>
        <v>0</v>
      </c>
      <c r="BW170" s="539" cm="1">
        <f t="array" aca="1" ref="BW170" ca="1">INDIRECT($BM$2&amp;BW$7&amp;$BT170,1)</f>
        <v>0</v>
      </c>
      <c r="BX170" s="539" cm="1">
        <f t="array" aca="1" ref="BX170" ca="1">INDIRECT($BM$2&amp;BX$7&amp;$BT170,1)</f>
        <v>0</v>
      </c>
      <c r="BY170" s="539" cm="1">
        <f t="array" aca="1" ref="BY170" ca="1">INDIRECT($BM$2&amp;BY$7&amp;$BT170,1)</f>
        <v>0</v>
      </c>
      <c r="BZ170" s="539" t="str">
        <f ca="1">IFERROR(BV170/BV$170,"-")</f>
        <v>-</v>
      </c>
      <c r="CA170" s="540" t="s">
        <v>8221</v>
      </c>
      <c r="CC170" s="469">
        <v>1</v>
      </c>
      <c r="CD170" s="539" t="s">
        <v>8047</v>
      </c>
      <c r="CE170" s="539">
        <f>CE165+$BO$6</f>
        <v>875</v>
      </c>
      <c r="CF170" s="539" cm="1">
        <f t="array" aca="1" ref="CF170" ca="1">INDIRECT($BM$2&amp;CF$7&amp;$CE170,1)</f>
        <v>0</v>
      </c>
      <c r="CG170" s="539" cm="1">
        <f t="array" aca="1" ref="CG170" ca="1">INDIRECT($BM$2&amp;CG$7&amp;$CE170,1)</f>
        <v>0</v>
      </c>
      <c r="CH170" s="539" cm="1">
        <f t="array" aca="1" ref="CH170" ca="1">INDIRECT($BM$2&amp;CH$7&amp;$CE170,1)</f>
        <v>0</v>
      </c>
      <c r="CI170" s="539" cm="1">
        <f t="array" aca="1" ref="CI170" ca="1">INDIRECT($BM$2&amp;CI$7&amp;$CE170,1)</f>
        <v>0</v>
      </c>
      <c r="CJ170" s="539" cm="1">
        <f t="array" aca="1" ref="CJ170" ca="1">INDIRECT($BM$2&amp;CJ$7&amp;$CE170,1)</f>
        <v>0</v>
      </c>
      <c r="CK170" s="539" t="str">
        <f ca="1">IFERROR(CG170/CG$170,"-")</f>
        <v>-</v>
      </c>
      <c r="CL170" s="540" t="s">
        <v>8221</v>
      </c>
      <c r="CU170" s="469" t="s">
        <v>5510</v>
      </c>
      <c r="EQ170" s="469" t="s">
        <v>5510</v>
      </c>
      <c r="ES170" s="504"/>
      <c r="ET170" s="507"/>
      <c r="EU170" s="585">
        <v>61</v>
      </c>
      <c r="GC170" s="472" t="s">
        <v>5510</v>
      </c>
    </row>
    <row r="171" spans="3:185" x14ac:dyDescent="0.25">
      <c r="N171" s="20"/>
      <c r="Y171" s="20"/>
      <c r="BF171" s="469" t="s">
        <v>5510</v>
      </c>
      <c r="BG171" s="469">
        <v>2</v>
      </c>
      <c r="BH171" s="539" t="s">
        <v>8047</v>
      </c>
      <c r="BI171" s="539">
        <f>BI170+1</f>
        <v>184</v>
      </c>
      <c r="BJ171" s="539" cm="1">
        <f t="array" aca="1" ref="BJ171" ca="1">INDIRECT($BM$2&amp;BJ$7&amp;$BI171,1)</f>
        <v>0</v>
      </c>
      <c r="BK171" s="539" cm="1">
        <f t="array" aca="1" ref="BK171" ca="1">INDIRECT($BM$2&amp;BK$7&amp;$BI171,1)</f>
        <v>0</v>
      </c>
      <c r="BL171" s="539" cm="1">
        <f t="array" aca="1" ref="BL171" ca="1">INDIRECT($BM$2&amp;BL$7&amp;$BI171,1)</f>
        <v>0</v>
      </c>
      <c r="BM171" s="539" cm="1">
        <f t="array" aca="1" ref="BM171" ca="1">INDIRECT($BM$2&amp;BM$7&amp;$BI171,1)</f>
        <v>0</v>
      </c>
      <c r="BN171" s="539" cm="1">
        <f t="array" aca="1" ref="BN171" ca="1">INDIRECT($BM$2&amp;BN$7&amp;$BI171,1)</f>
        <v>0</v>
      </c>
      <c r="BO171" s="539" t="str">
        <f t="shared" ref="BO171:BO181" ca="1" si="110">IF(BK171=0,"-",IFERROR(BK171/BK$170,"-"))</f>
        <v>-</v>
      </c>
      <c r="BP171" s="494" t="s">
        <v>8222</v>
      </c>
      <c r="BQ171" s="20"/>
      <c r="BR171" s="469">
        <v>2</v>
      </c>
      <c r="BS171" s="539" t="s">
        <v>8047</v>
      </c>
      <c r="BT171" s="539">
        <f>BT170+1</f>
        <v>530</v>
      </c>
      <c r="BU171" s="539" cm="1">
        <f t="array" aca="1" ref="BU171" ca="1">INDIRECT($BM$2&amp;BU$7&amp;$BT171,1)</f>
        <v>0</v>
      </c>
      <c r="BV171" s="539" cm="1">
        <f t="array" aca="1" ref="BV171" ca="1">INDIRECT($BM$2&amp;BV$7&amp;$BT171,1)</f>
        <v>0</v>
      </c>
      <c r="BW171" s="539" cm="1">
        <f t="array" aca="1" ref="BW171" ca="1">INDIRECT($BM$2&amp;BW$7&amp;$BT171,1)</f>
        <v>0</v>
      </c>
      <c r="BX171" s="539" cm="1">
        <f t="array" aca="1" ref="BX171" ca="1">INDIRECT($BM$2&amp;BX$7&amp;$BT171,1)</f>
        <v>0</v>
      </c>
      <c r="BY171" s="539" cm="1">
        <f t="array" aca="1" ref="BY171" ca="1">INDIRECT($BM$2&amp;BY$7&amp;$BT171,1)</f>
        <v>0</v>
      </c>
      <c r="BZ171" s="539" t="str">
        <f t="shared" ref="BZ171:BZ181" ca="1" si="111">IF(BV171=0,"-",IFERROR(BV171/BV$170,"-"))</f>
        <v>-</v>
      </c>
      <c r="CA171" s="494" t="s">
        <v>8222</v>
      </c>
      <c r="CC171" s="469">
        <v>2</v>
      </c>
      <c r="CD171" s="539" t="s">
        <v>8047</v>
      </c>
      <c r="CE171" s="539">
        <f>CE170+1</f>
        <v>876</v>
      </c>
      <c r="CF171" s="539" cm="1">
        <f t="array" aca="1" ref="CF171" ca="1">INDIRECT($BM$2&amp;CF$7&amp;$CE171,1)</f>
        <v>0</v>
      </c>
      <c r="CG171" s="539" cm="1">
        <f t="array" aca="1" ref="CG171" ca="1">INDIRECT($BM$2&amp;CG$7&amp;$CE171,1)</f>
        <v>0</v>
      </c>
      <c r="CH171" s="539" cm="1">
        <f t="array" aca="1" ref="CH171" ca="1">INDIRECT($BM$2&amp;CH$7&amp;$CE171,1)</f>
        <v>0</v>
      </c>
      <c r="CI171" s="539" cm="1">
        <f t="array" aca="1" ref="CI171" ca="1">INDIRECT($BM$2&amp;CI$7&amp;$CE171,1)</f>
        <v>0</v>
      </c>
      <c r="CJ171" s="539" cm="1">
        <f t="array" aca="1" ref="CJ171" ca="1">INDIRECT($BM$2&amp;CJ$7&amp;$CE171,1)</f>
        <v>0</v>
      </c>
      <c r="CK171" s="539" t="str">
        <f t="shared" ref="CK171:CK181" ca="1" si="112">IF(CG171=0,"-",IFERROR(CG171/CG$170,"-"))</f>
        <v>-</v>
      </c>
      <c r="CL171" s="494" t="s">
        <v>8222</v>
      </c>
      <c r="CU171" s="469" t="s">
        <v>5510</v>
      </c>
      <c r="EQ171" s="469" t="s">
        <v>5510</v>
      </c>
      <c r="ES171" s="504"/>
      <c r="ET171" s="507"/>
      <c r="EU171" s="585">
        <v>62</v>
      </c>
      <c r="GC171" s="472" t="s">
        <v>5510</v>
      </c>
    </row>
    <row r="172" spans="3:185" x14ac:dyDescent="0.25">
      <c r="N172" s="20"/>
      <c r="Y172" s="20"/>
      <c r="BF172" s="469" t="s">
        <v>5510</v>
      </c>
      <c r="BG172" s="469">
        <v>3</v>
      </c>
      <c r="BH172" s="539" t="s">
        <v>8047</v>
      </c>
      <c r="BI172" s="539">
        <f t="shared" ref="BI172:BI181" si="113">BI171+1</f>
        <v>185</v>
      </c>
      <c r="BJ172" s="539" cm="1">
        <f t="array" aca="1" ref="BJ172" ca="1">INDIRECT($BM$2&amp;BJ$7&amp;$BI172,1)</f>
        <v>0</v>
      </c>
      <c r="BK172" s="539" cm="1">
        <f t="array" aca="1" ref="BK172" ca="1">INDIRECT($BM$2&amp;BK$7&amp;$BI172,1)</f>
        <v>0</v>
      </c>
      <c r="BL172" s="539" cm="1">
        <f t="array" aca="1" ref="BL172" ca="1">INDIRECT($BM$2&amp;BL$7&amp;$BI172,1)</f>
        <v>0</v>
      </c>
      <c r="BM172" s="539" cm="1">
        <f t="array" aca="1" ref="BM172" ca="1">INDIRECT($BM$2&amp;BM$7&amp;$BI172,1)</f>
        <v>0</v>
      </c>
      <c r="BN172" s="539" cm="1">
        <f t="array" aca="1" ref="BN172" ca="1">INDIRECT($BM$2&amp;BN$7&amp;$BI172,1)</f>
        <v>0</v>
      </c>
      <c r="BO172" s="539" t="str">
        <f t="shared" ca="1" si="110"/>
        <v>-</v>
      </c>
      <c r="BP172" s="494" t="s">
        <v>8222</v>
      </c>
      <c r="BQ172" s="20"/>
      <c r="BR172" s="469">
        <v>3</v>
      </c>
      <c r="BS172" s="539" t="s">
        <v>8047</v>
      </c>
      <c r="BT172" s="539">
        <f t="shared" ref="BT172:BT181" si="114">BT171+1</f>
        <v>531</v>
      </c>
      <c r="BU172" s="539" cm="1">
        <f t="array" aca="1" ref="BU172" ca="1">INDIRECT($BM$2&amp;BU$7&amp;$BT172,1)</f>
        <v>0</v>
      </c>
      <c r="BV172" s="539" cm="1">
        <f t="array" aca="1" ref="BV172" ca="1">INDIRECT($BM$2&amp;BV$7&amp;$BT172,1)</f>
        <v>0</v>
      </c>
      <c r="BW172" s="539" cm="1">
        <f t="array" aca="1" ref="BW172" ca="1">INDIRECT($BM$2&amp;BW$7&amp;$BT172,1)</f>
        <v>0</v>
      </c>
      <c r="BX172" s="539" cm="1">
        <f t="array" aca="1" ref="BX172" ca="1">INDIRECT($BM$2&amp;BX$7&amp;$BT172,1)</f>
        <v>0</v>
      </c>
      <c r="BY172" s="539" cm="1">
        <f t="array" aca="1" ref="BY172" ca="1">INDIRECT($BM$2&amp;BY$7&amp;$BT172,1)</f>
        <v>0</v>
      </c>
      <c r="BZ172" s="539" t="str">
        <f t="shared" ca="1" si="111"/>
        <v>-</v>
      </c>
      <c r="CA172" s="494" t="s">
        <v>8222</v>
      </c>
      <c r="CC172" s="469">
        <v>3</v>
      </c>
      <c r="CD172" s="539" t="s">
        <v>8047</v>
      </c>
      <c r="CE172" s="539">
        <f t="shared" ref="CE172:CE181" si="115">CE171+1</f>
        <v>877</v>
      </c>
      <c r="CF172" s="539" cm="1">
        <f t="array" aca="1" ref="CF172" ca="1">INDIRECT($BM$2&amp;CF$7&amp;$CE172,1)</f>
        <v>0</v>
      </c>
      <c r="CG172" s="539" cm="1">
        <f t="array" aca="1" ref="CG172" ca="1">INDIRECT($BM$2&amp;CG$7&amp;$CE172,1)</f>
        <v>0</v>
      </c>
      <c r="CH172" s="539" cm="1">
        <f t="array" aca="1" ref="CH172" ca="1">INDIRECT($BM$2&amp;CH$7&amp;$CE172,1)</f>
        <v>0</v>
      </c>
      <c r="CI172" s="539" cm="1">
        <f t="array" aca="1" ref="CI172" ca="1">INDIRECT($BM$2&amp;CI$7&amp;$CE172,1)</f>
        <v>0</v>
      </c>
      <c r="CJ172" s="539" cm="1">
        <f t="array" aca="1" ref="CJ172" ca="1">INDIRECT($BM$2&amp;CJ$7&amp;$CE172,1)</f>
        <v>0</v>
      </c>
      <c r="CK172" s="539" t="str">
        <f t="shared" ca="1" si="112"/>
        <v>-</v>
      </c>
      <c r="CL172" s="494" t="s">
        <v>8222</v>
      </c>
      <c r="CU172" s="469" t="s">
        <v>5510</v>
      </c>
      <c r="EQ172" s="469" t="s">
        <v>5510</v>
      </c>
      <c r="ES172" s="504"/>
      <c r="ET172" s="507"/>
      <c r="EU172" s="585">
        <v>63</v>
      </c>
      <c r="GC172" s="472" t="s">
        <v>5510</v>
      </c>
    </row>
    <row r="173" spans="3:185" x14ac:dyDescent="0.25">
      <c r="N173" s="20"/>
      <c r="Y173" s="20"/>
      <c r="BF173" s="469" t="s">
        <v>5510</v>
      </c>
      <c r="BG173" s="469">
        <v>4</v>
      </c>
      <c r="BH173" s="539" t="s">
        <v>8047</v>
      </c>
      <c r="BI173" s="539">
        <f t="shared" si="113"/>
        <v>186</v>
      </c>
      <c r="BJ173" s="539" cm="1">
        <f t="array" aca="1" ref="BJ173" ca="1">INDIRECT($BM$2&amp;BJ$7&amp;$BI173,1)</f>
        <v>0</v>
      </c>
      <c r="BK173" s="539" cm="1">
        <f t="array" aca="1" ref="BK173" ca="1">INDIRECT($BM$2&amp;BK$7&amp;$BI173,1)</f>
        <v>0</v>
      </c>
      <c r="BL173" s="539" cm="1">
        <f t="array" aca="1" ref="BL173" ca="1">INDIRECT($BM$2&amp;BL$7&amp;$BI173,1)</f>
        <v>0</v>
      </c>
      <c r="BM173" s="539" cm="1">
        <f t="array" aca="1" ref="BM173" ca="1">INDIRECT($BM$2&amp;BM$7&amp;$BI173,1)</f>
        <v>0</v>
      </c>
      <c r="BN173" s="539" cm="1">
        <f t="array" aca="1" ref="BN173" ca="1">INDIRECT($BM$2&amp;BN$7&amp;$BI173,1)</f>
        <v>0</v>
      </c>
      <c r="BO173" s="539" t="str">
        <f t="shared" ca="1" si="110"/>
        <v>-</v>
      </c>
      <c r="BP173" s="494" t="s">
        <v>8222</v>
      </c>
      <c r="BQ173" s="20"/>
      <c r="BR173" s="469">
        <v>4</v>
      </c>
      <c r="BS173" s="539" t="s">
        <v>8047</v>
      </c>
      <c r="BT173" s="539">
        <f t="shared" si="114"/>
        <v>532</v>
      </c>
      <c r="BU173" s="539" cm="1">
        <f t="array" aca="1" ref="BU173" ca="1">INDIRECT($BM$2&amp;BU$7&amp;$BT173,1)</f>
        <v>0</v>
      </c>
      <c r="BV173" s="539" cm="1">
        <f t="array" aca="1" ref="BV173" ca="1">INDIRECT($BM$2&amp;BV$7&amp;$BT173,1)</f>
        <v>0</v>
      </c>
      <c r="BW173" s="539" cm="1">
        <f t="array" aca="1" ref="BW173" ca="1">INDIRECT($BM$2&amp;BW$7&amp;$BT173,1)</f>
        <v>0</v>
      </c>
      <c r="BX173" s="539" cm="1">
        <f t="array" aca="1" ref="BX173" ca="1">INDIRECT($BM$2&amp;BX$7&amp;$BT173,1)</f>
        <v>0</v>
      </c>
      <c r="BY173" s="539" cm="1">
        <f t="array" aca="1" ref="BY173" ca="1">INDIRECT($BM$2&amp;BY$7&amp;$BT173,1)</f>
        <v>0</v>
      </c>
      <c r="BZ173" s="539" t="str">
        <f t="shared" ca="1" si="111"/>
        <v>-</v>
      </c>
      <c r="CA173" s="494" t="s">
        <v>8222</v>
      </c>
      <c r="CC173" s="469">
        <v>4</v>
      </c>
      <c r="CD173" s="539" t="s">
        <v>8047</v>
      </c>
      <c r="CE173" s="539">
        <f t="shared" si="115"/>
        <v>878</v>
      </c>
      <c r="CF173" s="539" cm="1">
        <f t="array" aca="1" ref="CF173" ca="1">INDIRECT($BM$2&amp;CF$7&amp;$CE173,1)</f>
        <v>0</v>
      </c>
      <c r="CG173" s="539" cm="1">
        <f t="array" aca="1" ref="CG173" ca="1">INDIRECT($BM$2&amp;CG$7&amp;$CE173,1)</f>
        <v>0</v>
      </c>
      <c r="CH173" s="539" cm="1">
        <f t="array" aca="1" ref="CH173" ca="1">INDIRECT($BM$2&amp;CH$7&amp;$CE173,1)</f>
        <v>0</v>
      </c>
      <c r="CI173" s="539" cm="1">
        <f t="array" aca="1" ref="CI173" ca="1">INDIRECT($BM$2&amp;CI$7&amp;$CE173,1)</f>
        <v>0</v>
      </c>
      <c r="CJ173" s="539" cm="1">
        <f t="array" aca="1" ref="CJ173" ca="1">INDIRECT($BM$2&amp;CJ$7&amp;$CE173,1)</f>
        <v>0</v>
      </c>
      <c r="CK173" s="539" t="str">
        <f t="shared" ca="1" si="112"/>
        <v>-</v>
      </c>
      <c r="CL173" s="494" t="s">
        <v>8222</v>
      </c>
      <c r="CU173" s="469" t="s">
        <v>5510</v>
      </c>
      <c r="EQ173" s="469" t="s">
        <v>5510</v>
      </c>
      <c r="ES173" s="504"/>
      <c r="ET173" s="507"/>
      <c r="EU173" s="585">
        <v>64</v>
      </c>
      <c r="GC173" s="472" t="s">
        <v>5510</v>
      </c>
    </row>
    <row r="174" spans="3:185" x14ac:dyDescent="0.25">
      <c r="N174" s="20"/>
      <c r="Y174" s="20"/>
      <c r="BF174" s="469" t="s">
        <v>5510</v>
      </c>
      <c r="BG174" s="469">
        <v>5</v>
      </c>
      <c r="BH174" s="539" t="s">
        <v>8047</v>
      </c>
      <c r="BI174" s="539">
        <f t="shared" si="113"/>
        <v>187</v>
      </c>
      <c r="BJ174" s="539" cm="1">
        <f t="array" aca="1" ref="BJ174" ca="1">INDIRECT($BM$2&amp;BJ$7&amp;$BI174,1)</f>
        <v>0</v>
      </c>
      <c r="BK174" s="539" cm="1">
        <f t="array" aca="1" ref="BK174" ca="1">INDIRECT($BM$2&amp;BK$7&amp;$BI174,1)</f>
        <v>0</v>
      </c>
      <c r="BL174" s="539" cm="1">
        <f t="array" aca="1" ref="BL174" ca="1">INDIRECT($BM$2&amp;BL$7&amp;$BI174,1)</f>
        <v>0</v>
      </c>
      <c r="BM174" s="539" cm="1">
        <f t="array" aca="1" ref="BM174" ca="1">INDIRECT($BM$2&amp;BM$7&amp;$BI174,1)</f>
        <v>0</v>
      </c>
      <c r="BN174" s="539" cm="1">
        <f t="array" aca="1" ref="BN174" ca="1">INDIRECT($BM$2&amp;BN$7&amp;$BI174,1)</f>
        <v>0</v>
      </c>
      <c r="BO174" s="539" t="str">
        <f t="shared" ca="1" si="110"/>
        <v>-</v>
      </c>
      <c r="BP174" s="494" t="s">
        <v>8222</v>
      </c>
      <c r="BQ174" s="20"/>
      <c r="BR174" s="469">
        <v>5</v>
      </c>
      <c r="BS174" s="539" t="s">
        <v>8047</v>
      </c>
      <c r="BT174" s="539">
        <f t="shared" si="114"/>
        <v>533</v>
      </c>
      <c r="BU174" s="539" cm="1">
        <f t="array" aca="1" ref="BU174" ca="1">INDIRECT($BM$2&amp;BU$7&amp;$BT174,1)</f>
        <v>0</v>
      </c>
      <c r="BV174" s="539" cm="1">
        <f t="array" aca="1" ref="BV174" ca="1">INDIRECT($BM$2&amp;BV$7&amp;$BT174,1)</f>
        <v>0</v>
      </c>
      <c r="BW174" s="539" cm="1">
        <f t="array" aca="1" ref="BW174" ca="1">INDIRECT($BM$2&amp;BW$7&amp;$BT174,1)</f>
        <v>0</v>
      </c>
      <c r="BX174" s="539" cm="1">
        <f t="array" aca="1" ref="BX174" ca="1">INDIRECT($BM$2&amp;BX$7&amp;$BT174,1)</f>
        <v>0</v>
      </c>
      <c r="BY174" s="539" cm="1">
        <f t="array" aca="1" ref="BY174" ca="1">INDIRECT($BM$2&amp;BY$7&amp;$BT174,1)</f>
        <v>0</v>
      </c>
      <c r="BZ174" s="539" t="str">
        <f t="shared" ca="1" si="111"/>
        <v>-</v>
      </c>
      <c r="CA174" s="494" t="s">
        <v>8222</v>
      </c>
      <c r="CC174" s="469">
        <v>5</v>
      </c>
      <c r="CD174" s="539" t="s">
        <v>8047</v>
      </c>
      <c r="CE174" s="539">
        <f t="shared" si="115"/>
        <v>879</v>
      </c>
      <c r="CF174" s="539" cm="1">
        <f t="array" aca="1" ref="CF174" ca="1">INDIRECT($BM$2&amp;CF$7&amp;$CE174,1)</f>
        <v>0</v>
      </c>
      <c r="CG174" s="539" cm="1">
        <f t="array" aca="1" ref="CG174" ca="1">INDIRECT($BM$2&amp;CG$7&amp;$CE174,1)</f>
        <v>0</v>
      </c>
      <c r="CH174" s="539" cm="1">
        <f t="array" aca="1" ref="CH174" ca="1">INDIRECT($BM$2&amp;CH$7&amp;$CE174,1)</f>
        <v>0</v>
      </c>
      <c r="CI174" s="539" cm="1">
        <f t="array" aca="1" ref="CI174" ca="1">INDIRECT($BM$2&amp;CI$7&amp;$CE174,1)</f>
        <v>0</v>
      </c>
      <c r="CJ174" s="539" cm="1">
        <f t="array" aca="1" ref="CJ174" ca="1">INDIRECT($BM$2&amp;CJ$7&amp;$CE174,1)</f>
        <v>0</v>
      </c>
      <c r="CK174" s="539" t="str">
        <f t="shared" ca="1" si="112"/>
        <v>-</v>
      </c>
      <c r="CL174" s="494" t="s">
        <v>8222</v>
      </c>
      <c r="CU174" s="469" t="s">
        <v>5510</v>
      </c>
      <c r="EQ174" s="469" t="s">
        <v>5510</v>
      </c>
      <c r="ES174" s="504"/>
      <c r="ET174" s="507"/>
      <c r="EU174" s="585">
        <v>65</v>
      </c>
      <c r="GC174" s="472" t="s">
        <v>5510</v>
      </c>
    </row>
    <row r="175" spans="3:185" x14ac:dyDescent="0.25">
      <c r="N175" s="20"/>
      <c r="Y175" s="20"/>
      <c r="BF175" s="469" t="s">
        <v>5510</v>
      </c>
      <c r="BG175" s="469">
        <v>6</v>
      </c>
      <c r="BH175" s="539" t="s">
        <v>8047</v>
      </c>
      <c r="BI175" s="539">
        <f t="shared" si="113"/>
        <v>188</v>
      </c>
      <c r="BJ175" s="539" cm="1">
        <f t="array" aca="1" ref="BJ175" ca="1">INDIRECT($BM$2&amp;BJ$7&amp;$BI175,1)</f>
        <v>0</v>
      </c>
      <c r="BK175" s="539" cm="1">
        <f t="array" aca="1" ref="BK175" ca="1">INDIRECT($BM$2&amp;BK$7&amp;$BI175,1)</f>
        <v>0</v>
      </c>
      <c r="BL175" s="539" cm="1">
        <f t="array" aca="1" ref="BL175" ca="1">INDIRECT($BM$2&amp;BL$7&amp;$BI175,1)</f>
        <v>0</v>
      </c>
      <c r="BM175" s="539" cm="1">
        <f t="array" aca="1" ref="BM175" ca="1">INDIRECT($BM$2&amp;BM$7&amp;$BI175,1)</f>
        <v>0</v>
      </c>
      <c r="BN175" s="539" cm="1">
        <f t="array" aca="1" ref="BN175" ca="1">INDIRECT($BM$2&amp;BN$7&amp;$BI175,1)</f>
        <v>0</v>
      </c>
      <c r="BO175" s="539" t="str">
        <f t="shared" ca="1" si="110"/>
        <v>-</v>
      </c>
      <c r="BP175" s="494" t="s">
        <v>8222</v>
      </c>
      <c r="BQ175" s="20"/>
      <c r="BR175" s="469">
        <v>6</v>
      </c>
      <c r="BS175" s="539" t="s">
        <v>8047</v>
      </c>
      <c r="BT175" s="539">
        <f t="shared" si="114"/>
        <v>534</v>
      </c>
      <c r="BU175" s="539" cm="1">
        <f t="array" aca="1" ref="BU175" ca="1">INDIRECT($BM$2&amp;BU$7&amp;$BT175,1)</f>
        <v>0</v>
      </c>
      <c r="BV175" s="539" cm="1">
        <f t="array" aca="1" ref="BV175" ca="1">INDIRECT($BM$2&amp;BV$7&amp;$BT175,1)</f>
        <v>0</v>
      </c>
      <c r="BW175" s="539" cm="1">
        <f t="array" aca="1" ref="BW175" ca="1">INDIRECT($BM$2&amp;BW$7&amp;$BT175,1)</f>
        <v>0</v>
      </c>
      <c r="BX175" s="539" cm="1">
        <f t="array" aca="1" ref="BX175" ca="1">INDIRECT($BM$2&amp;BX$7&amp;$BT175,1)</f>
        <v>0</v>
      </c>
      <c r="BY175" s="539" cm="1">
        <f t="array" aca="1" ref="BY175" ca="1">INDIRECT($BM$2&amp;BY$7&amp;$BT175,1)</f>
        <v>0</v>
      </c>
      <c r="BZ175" s="539" t="str">
        <f t="shared" ca="1" si="111"/>
        <v>-</v>
      </c>
      <c r="CA175" s="494" t="s">
        <v>8222</v>
      </c>
      <c r="CC175" s="469">
        <v>6</v>
      </c>
      <c r="CD175" s="539" t="s">
        <v>8047</v>
      </c>
      <c r="CE175" s="539">
        <f t="shared" si="115"/>
        <v>880</v>
      </c>
      <c r="CF175" s="539" cm="1">
        <f t="array" aca="1" ref="CF175" ca="1">INDIRECT($BM$2&amp;CF$7&amp;$CE175,1)</f>
        <v>0</v>
      </c>
      <c r="CG175" s="539" cm="1">
        <f t="array" aca="1" ref="CG175" ca="1">INDIRECT($BM$2&amp;CG$7&amp;$CE175,1)</f>
        <v>0</v>
      </c>
      <c r="CH175" s="539" cm="1">
        <f t="array" aca="1" ref="CH175" ca="1">INDIRECT($BM$2&amp;CH$7&amp;$CE175,1)</f>
        <v>0</v>
      </c>
      <c r="CI175" s="539" cm="1">
        <f t="array" aca="1" ref="CI175" ca="1">INDIRECT($BM$2&amp;CI$7&amp;$CE175,1)</f>
        <v>0</v>
      </c>
      <c r="CJ175" s="539" cm="1">
        <f t="array" aca="1" ref="CJ175" ca="1">INDIRECT($BM$2&amp;CJ$7&amp;$CE175,1)</f>
        <v>0</v>
      </c>
      <c r="CK175" s="539" t="str">
        <f t="shared" ca="1" si="112"/>
        <v>-</v>
      </c>
      <c r="CL175" s="494" t="s">
        <v>8222</v>
      </c>
      <c r="CU175" s="469" t="s">
        <v>5510</v>
      </c>
      <c r="EQ175" s="469" t="s">
        <v>5510</v>
      </c>
      <c r="ES175" s="504"/>
      <c r="ET175" s="507"/>
      <c r="EU175" s="585">
        <v>66</v>
      </c>
      <c r="GC175" s="472" t="s">
        <v>5510</v>
      </c>
    </row>
    <row r="176" spans="3:185" x14ac:dyDescent="0.25">
      <c r="N176" s="20"/>
      <c r="Y176" s="20"/>
      <c r="BF176" s="469" t="s">
        <v>5510</v>
      </c>
      <c r="BG176" s="469">
        <v>7</v>
      </c>
      <c r="BH176" s="539" t="s">
        <v>8047</v>
      </c>
      <c r="BI176" s="539">
        <f t="shared" si="113"/>
        <v>189</v>
      </c>
      <c r="BJ176" s="539" cm="1">
        <f t="array" aca="1" ref="BJ176" ca="1">INDIRECT($BM$2&amp;BJ$7&amp;$BI176,1)</f>
        <v>0</v>
      </c>
      <c r="BK176" s="539" cm="1">
        <f t="array" aca="1" ref="BK176" ca="1">INDIRECT($BM$2&amp;BK$7&amp;$BI176,1)</f>
        <v>0</v>
      </c>
      <c r="BL176" s="539" cm="1">
        <f t="array" aca="1" ref="BL176" ca="1">INDIRECT($BM$2&amp;BL$7&amp;$BI176,1)</f>
        <v>0</v>
      </c>
      <c r="BM176" s="539" cm="1">
        <f t="array" aca="1" ref="BM176" ca="1">INDIRECT($BM$2&amp;BM$7&amp;$BI176,1)</f>
        <v>0</v>
      </c>
      <c r="BN176" s="539" cm="1">
        <f t="array" aca="1" ref="BN176" ca="1">INDIRECT($BM$2&amp;BN$7&amp;$BI176,1)</f>
        <v>0</v>
      </c>
      <c r="BO176" s="539" t="str">
        <f t="shared" ca="1" si="110"/>
        <v>-</v>
      </c>
      <c r="BP176" s="494" t="s">
        <v>8222</v>
      </c>
      <c r="BQ176" s="20"/>
      <c r="BR176" s="469">
        <v>7</v>
      </c>
      <c r="BS176" s="539" t="s">
        <v>8047</v>
      </c>
      <c r="BT176" s="539">
        <f t="shared" si="114"/>
        <v>535</v>
      </c>
      <c r="BU176" s="539" cm="1">
        <f t="array" aca="1" ref="BU176" ca="1">INDIRECT($BM$2&amp;BU$7&amp;$BT176,1)</f>
        <v>0</v>
      </c>
      <c r="BV176" s="539" cm="1">
        <f t="array" aca="1" ref="BV176" ca="1">INDIRECT($BM$2&amp;BV$7&amp;$BT176,1)</f>
        <v>0</v>
      </c>
      <c r="BW176" s="539" cm="1">
        <f t="array" aca="1" ref="BW176" ca="1">INDIRECT($BM$2&amp;BW$7&amp;$BT176,1)</f>
        <v>0</v>
      </c>
      <c r="BX176" s="539" cm="1">
        <f t="array" aca="1" ref="BX176" ca="1">INDIRECT($BM$2&amp;BX$7&amp;$BT176,1)</f>
        <v>0</v>
      </c>
      <c r="BY176" s="539" cm="1">
        <f t="array" aca="1" ref="BY176" ca="1">INDIRECT($BM$2&amp;BY$7&amp;$BT176,1)</f>
        <v>0</v>
      </c>
      <c r="BZ176" s="539" t="str">
        <f t="shared" ca="1" si="111"/>
        <v>-</v>
      </c>
      <c r="CA176" s="494" t="s">
        <v>8222</v>
      </c>
      <c r="CC176" s="469">
        <v>7</v>
      </c>
      <c r="CD176" s="539" t="s">
        <v>8047</v>
      </c>
      <c r="CE176" s="539">
        <f t="shared" si="115"/>
        <v>881</v>
      </c>
      <c r="CF176" s="539" cm="1">
        <f t="array" aca="1" ref="CF176" ca="1">INDIRECT($BM$2&amp;CF$7&amp;$CE176,1)</f>
        <v>0</v>
      </c>
      <c r="CG176" s="539" cm="1">
        <f t="array" aca="1" ref="CG176" ca="1">INDIRECT($BM$2&amp;CG$7&amp;$CE176,1)</f>
        <v>0</v>
      </c>
      <c r="CH176" s="539" cm="1">
        <f t="array" aca="1" ref="CH176" ca="1">INDIRECT($BM$2&amp;CH$7&amp;$CE176,1)</f>
        <v>0</v>
      </c>
      <c r="CI176" s="539" cm="1">
        <f t="array" aca="1" ref="CI176" ca="1">INDIRECT($BM$2&amp;CI$7&amp;$CE176,1)</f>
        <v>0</v>
      </c>
      <c r="CJ176" s="539" cm="1">
        <f t="array" aca="1" ref="CJ176" ca="1">INDIRECT($BM$2&amp;CJ$7&amp;$CE176,1)</f>
        <v>0</v>
      </c>
      <c r="CK176" s="539" t="str">
        <f t="shared" ca="1" si="112"/>
        <v>-</v>
      </c>
      <c r="CL176" s="494" t="s">
        <v>8222</v>
      </c>
      <c r="CU176" s="469" t="s">
        <v>5510</v>
      </c>
      <c r="EQ176" s="469" t="s">
        <v>5510</v>
      </c>
      <c r="ES176" s="504"/>
      <c r="ET176" s="507"/>
      <c r="EU176" s="585">
        <v>67</v>
      </c>
      <c r="GC176" s="472" t="s">
        <v>5510</v>
      </c>
    </row>
    <row r="177" spans="1:185" x14ac:dyDescent="0.25">
      <c r="N177" s="20"/>
      <c r="Y177" s="20"/>
      <c r="BF177" s="469" t="s">
        <v>5510</v>
      </c>
      <c r="BG177" s="469">
        <v>8</v>
      </c>
      <c r="BH177" s="539" t="s">
        <v>8047</v>
      </c>
      <c r="BI177" s="539">
        <f t="shared" si="113"/>
        <v>190</v>
      </c>
      <c r="BJ177" s="539" cm="1">
        <f t="array" aca="1" ref="BJ177" ca="1">INDIRECT($BM$2&amp;BJ$7&amp;$BI177,1)</f>
        <v>0</v>
      </c>
      <c r="BK177" s="539" cm="1">
        <f t="array" aca="1" ref="BK177" ca="1">INDIRECT($BM$2&amp;BK$7&amp;$BI177,1)</f>
        <v>0</v>
      </c>
      <c r="BL177" s="539" cm="1">
        <f t="array" aca="1" ref="BL177" ca="1">INDIRECT($BM$2&amp;BL$7&amp;$BI177,1)</f>
        <v>0</v>
      </c>
      <c r="BM177" s="539" cm="1">
        <f t="array" aca="1" ref="BM177" ca="1">INDIRECT($BM$2&amp;BM$7&amp;$BI177,1)</f>
        <v>0</v>
      </c>
      <c r="BN177" s="539" cm="1">
        <f t="array" aca="1" ref="BN177" ca="1">INDIRECT($BM$2&amp;BN$7&amp;$BI177,1)</f>
        <v>0</v>
      </c>
      <c r="BO177" s="539" t="str">
        <f t="shared" ca="1" si="110"/>
        <v>-</v>
      </c>
      <c r="BP177" s="494" t="s">
        <v>8222</v>
      </c>
      <c r="BQ177" s="20"/>
      <c r="BR177" s="469">
        <v>8</v>
      </c>
      <c r="BS177" s="539" t="s">
        <v>8047</v>
      </c>
      <c r="BT177" s="539">
        <f t="shared" si="114"/>
        <v>536</v>
      </c>
      <c r="BU177" s="539" cm="1">
        <f t="array" aca="1" ref="BU177" ca="1">INDIRECT($BM$2&amp;BU$7&amp;$BT177,1)</f>
        <v>0</v>
      </c>
      <c r="BV177" s="539" cm="1">
        <f t="array" aca="1" ref="BV177" ca="1">INDIRECT($BM$2&amp;BV$7&amp;$BT177,1)</f>
        <v>0</v>
      </c>
      <c r="BW177" s="539" cm="1">
        <f t="array" aca="1" ref="BW177" ca="1">INDIRECT($BM$2&amp;BW$7&amp;$BT177,1)</f>
        <v>0</v>
      </c>
      <c r="BX177" s="539" cm="1">
        <f t="array" aca="1" ref="BX177" ca="1">INDIRECT($BM$2&amp;BX$7&amp;$BT177,1)</f>
        <v>0</v>
      </c>
      <c r="BY177" s="539" cm="1">
        <f t="array" aca="1" ref="BY177" ca="1">INDIRECT($BM$2&amp;BY$7&amp;$BT177,1)</f>
        <v>0</v>
      </c>
      <c r="BZ177" s="539" t="str">
        <f t="shared" ca="1" si="111"/>
        <v>-</v>
      </c>
      <c r="CA177" s="494" t="s">
        <v>8222</v>
      </c>
      <c r="CC177" s="469">
        <v>8</v>
      </c>
      <c r="CD177" s="539" t="s">
        <v>8047</v>
      </c>
      <c r="CE177" s="539">
        <f t="shared" si="115"/>
        <v>882</v>
      </c>
      <c r="CF177" s="539" cm="1">
        <f t="array" aca="1" ref="CF177" ca="1">INDIRECT($BM$2&amp;CF$7&amp;$CE177,1)</f>
        <v>0</v>
      </c>
      <c r="CG177" s="539" cm="1">
        <f t="array" aca="1" ref="CG177" ca="1">INDIRECT($BM$2&amp;CG$7&amp;$CE177,1)</f>
        <v>0</v>
      </c>
      <c r="CH177" s="539" cm="1">
        <f t="array" aca="1" ref="CH177" ca="1">INDIRECT($BM$2&amp;CH$7&amp;$CE177,1)</f>
        <v>0</v>
      </c>
      <c r="CI177" s="539" cm="1">
        <f t="array" aca="1" ref="CI177" ca="1">INDIRECT($BM$2&amp;CI$7&amp;$CE177,1)</f>
        <v>0</v>
      </c>
      <c r="CJ177" s="539" cm="1">
        <f t="array" aca="1" ref="CJ177" ca="1">INDIRECT($BM$2&amp;CJ$7&amp;$CE177,1)</f>
        <v>0</v>
      </c>
      <c r="CK177" s="539" t="str">
        <f t="shared" ca="1" si="112"/>
        <v>-</v>
      </c>
      <c r="CL177" s="494" t="s">
        <v>8222</v>
      </c>
      <c r="CU177" s="469" t="s">
        <v>5510</v>
      </c>
      <c r="ES177" s="504"/>
      <c r="ET177" s="507"/>
      <c r="EU177" s="585">
        <v>68</v>
      </c>
      <c r="GC177" s="472" t="s">
        <v>5510</v>
      </c>
    </row>
    <row r="178" spans="1:185" x14ac:dyDescent="0.25">
      <c r="N178" s="20"/>
      <c r="Y178" s="20"/>
      <c r="BF178" s="469" t="s">
        <v>5510</v>
      </c>
      <c r="BG178" s="469">
        <v>9</v>
      </c>
      <c r="BH178" s="539" t="s">
        <v>8047</v>
      </c>
      <c r="BI178" s="539">
        <f t="shared" si="113"/>
        <v>191</v>
      </c>
      <c r="BJ178" s="539" cm="1">
        <f t="array" aca="1" ref="BJ178" ca="1">INDIRECT($BM$2&amp;BJ$7&amp;$BI178,1)</f>
        <v>0</v>
      </c>
      <c r="BK178" s="539" cm="1">
        <f t="array" aca="1" ref="BK178" ca="1">INDIRECT($BM$2&amp;BK$7&amp;$BI178,1)</f>
        <v>0</v>
      </c>
      <c r="BL178" s="539" cm="1">
        <f t="array" aca="1" ref="BL178" ca="1">INDIRECT($BM$2&amp;BL$7&amp;$BI178,1)</f>
        <v>0</v>
      </c>
      <c r="BM178" s="539" cm="1">
        <f t="array" aca="1" ref="BM178" ca="1">INDIRECT($BM$2&amp;BM$7&amp;$BI178,1)</f>
        <v>0</v>
      </c>
      <c r="BN178" s="539" cm="1">
        <f t="array" aca="1" ref="BN178" ca="1">INDIRECT($BM$2&amp;BN$7&amp;$BI178,1)</f>
        <v>0</v>
      </c>
      <c r="BO178" s="539" t="str">
        <f t="shared" ca="1" si="110"/>
        <v>-</v>
      </c>
      <c r="BP178" s="494" t="s">
        <v>8222</v>
      </c>
      <c r="BQ178" s="20"/>
      <c r="BR178" s="469">
        <v>9</v>
      </c>
      <c r="BS178" s="539" t="s">
        <v>8047</v>
      </c>
      <c r="BT178" s="539">
        <f t="shared" si="114"/>
        <v>537</v>
      </c>
      <c r="BU178" s="539" cm="1">
        <f t="array" aca="1" ref="BU178" ca="1">INDIRECT($BM$2&amp;BU$7&amp;$BT178,1)</f>
        <v>0</v>
      </c>
      <c r="BV178" s="539" cm="1">
        <f t="array" aca="1" ref="BV178" ca="1">INDIRECT($BM$2&amp;BV$7&amp;$BT178,1)</f>
        <v>0</v>
      </c>
      <c r="BW178" s="539" cm="1">
        <f t="array" aca="1" ref="BW178" ca="1">INDIRECT($BM$2&amp;BW$7&amp;$BT178,1)</f>
        <v>0</v>
      </c>
      <c r="BX178" s="539" cm="1">
        <f t="array" aca="1" ref="BX178" ca="1">INDIRECT($BM$2&amp;BX$7&amp;$BT178,1)</f>
        <v>0</v>
      </c>
      <c r="BY178" s="539" cm="1">
        <f t="array" aca="1" ref="BY178" ca="1">INDIRECT($BM$2&amp;BY$7&amp;$BT178,1)</f>
        <v>0</v>
      </c>
      <c r="BZ178" s="539" t="str">
        <f t="shared" ca="1" si="111"/>
        <v>-</v>
      </c>
      <c r="CA178" s="494" t="s">
        <v>8222</v>
      </c>
      <c r="CC178" s="469">
        <v>9</v>
      </c>
      <c r="CD178" s="539" t="s">
        <v>8047</v>
      </c>
      <c r="CE178" s="539">
        <f t="shared" si="115"/>
        <v>883</v>
      </c>
      <c r="CF178" s="539" cm="1">
        <f t="array" aca="1" ref="CF178" ca="1">INDIRECT($BM$2&amp;CF$7&amp;$CE178,1)</f>
        <v>0</v>
      </c>
      <c r="CG178" s="539" cm="1">
        <f t="array" aca="1" ref="CG178" ca="1">INDIRECT($BM$2&amp;CG$7&amp;$CE178,1)</f>
        <v>0</v>
      </c>
      <c r="CH178" s="539" cm="1">
        <f t="array" aca="1" ref="CH178" ca="1">INDIRECT($BM$2&amp;CH$7&amp;$CE178,1)</f>
        <v>0</v>
      </c>
      <c r="CI178" s="539" cm="1">
        <f t="array" aca="1" ref="CI178" ca="1">INDIRECT($BM$2&amp;CI$7&amp;$CE178,1)</f>
        <v>0</v>
      </c>
      <c r="CJ178" s="539" cm="1">
        <f t="array" aca="1" ref="CJ178" ca="1">INDIRECT($BM$2&amp;CJ$7&amp;$CE178,1)</f>
        <v>0</v>
      </c>
      <c r="CK178" s="539" t="str">
        <f t="shared" ca="1" si="112"/>
        <v>-</v>
      </c>
      <c r="CL178" s="494" t="s">
        <v>8222</v>
      </c>
      <c r="CU178" s="469" t="s">
        <v>5510</v>
      </c>
      <c r="ES178" s="504"/>
      <c r="ET178" s="507"/>
      <c r="EU178" s="585">
        <v>69</v>
      </c>
      <c r="GC178" s="472" t="s">
        <v>5510</v>
      </c>
    </row>
    <row r="179" spans="1:185" x14ac:dyDescent="0.25">
      <c r="BF179" s="469" t="s">
        <v>5510</v>
      </c>
      <c r="BG179" s="469">
        <v>10</v>
      </c>
      <c r="BH179" s="539" t="s">
        <v>8047</v>
      </c>
      <c r="BI179" s="539">
        <f t="shared" si="113"/>
        <v>192</v>
      </c>
      <c r="BJ179" s="539" cm="1">
        <f t="array" aca="1" ref="BJ179" ca="1">INDIRECT($BM$2&amp;BJ$7&amp;$BI179,1)</f>
        <v>0</v>
      </c>
      <c r="BK179" s="539" cm="1">
        <f t="array" aca="1" ref="BK179" ca="1">INDIRECT($BM$2&amp;BK$7&amp;$BI179,1)</f>
        <v>0</v>
      </c>
      <c r="BL179" s="539" cm="1">
        <f t="array" aca="1" ref="BL179" ca="1">INDIRECT($BM$2&amp;BL$7&amp;$BI179,1)</f>
        <v>0</v>
      </c>
      <c r="BM179" s="539" cm="1">
        <f t="array" aca="1" ref="BM179" ca="1">INDIRECT($BM$2&amp;BM$7&amp;$BI179,1)</f>
        <v>0</v>
      </c>
      <c r="BN179" s="539" cm="1">
        <f t="array" aca="1" ref="BN179" ca="1">INDIRECT($BM$2&amp;BN$7&amp;$BI179,1)</f>
        <v>0</v>
      </c>
      <c r="BO179" s="539" t="str">
        <f t="shared" ca="1" si="110"/>
        <v>-</v>
      </c>
      <c r="BP179" s="494" t="s">
        <v>8222</v>
      </c>
      <c r="BQ179" s="20"/>
      <c r="BR179" s="469">
        <v>10</v>
      </c>
      <c r="BS179" s="539" t="s">
        <v>8047</v>
      </c>
      <c r="BT179" s="539">
        <f t="shared" si="114"/>
        <v>538</v>
      </c>
      <c r="BU179" s="539" cm="1">
        <f t="array" aca="1" ref="BU179" ca="1">INDIRECT($BM$2&amp;BU$7&amp;$BT179,1)</f>
        <v>0</v>
      </c>
      <c r="BV179" s="539" cm="1">
        <f t="array" aca="1" ref="BV179" ca="1">INDIRECT($BM$2&amp;BV$7&amp;$BT179,1)</f>
        <v>0</v>
      </c>
      <c r="BW179" s="539" cm="1">
        <f t="array" aca="1" ref="BW179" ca="1">INDIRECT($BM$2&amp;BW$7&amp;$BT179,1)</f>
        <v>0</v>
      </c>
      <c r="BX179" s="539" cm="1">
        <f t="array" aca="1" ref="BX179" ca="1">INDIRECT($BM$2&amp;BX$7&amp;$BT179,1)</f>
        <v>0</v>
      </c>
      <c r="BY179" s="539" cm="1">
        <f t="array" aca="1" ref="BY179" ca="1">INDIRECT($BM$2&amp;BY$7&amp;$BT179,1)</f>
        <v>0</v>
      </c>
      <c r="BZ179" s="539" t="str">
        <f t="shared" ca="1" si="111"/>
        <v>-</v>
      </c>
      <c r="CA179" s="494" t="s">
        <v>8222</v>
      </c>
      <c r="CC179" s="469">
        <v>10</v>
      </c>
      <c r="CD179" s="539" t="s">
        <v>8047</v>
      </c>
      <c r="CE179" s="539">
        <f t="shared" si="115"/>
        <v>884</v>
      </c>
      <c r="CF179" s="539" cm="1">
        <f t="array" aca="1" ref="CF179" ca="1">INDIRECT($BM$2&amp;CF$7&amp;$CE179,1)</f>
        <v>0</v>
      </c>
      <c r="CG179" s="539" cm="1">
        <f t="array" aca="1" ref="CG179" ca="1">INDIRECT($BM$2&amp;CG$7&amp;$CE179,1)</f>
        <v>0</v>
      </c>
      <c r="CH179" s="539" cm="1">
        <f t="array" aca="1" ref="CH179" ca="1">INDIRECT($BM$2&amp;CH$7&amp;$CE179,1)</f>
        <v>0</v>
      </c>
      <c r="CI179" s="539" cm="1">
        <f t="array" aca="1" ref="CI179" ca="1">INDIRECT($BM$2&amp;CI$7&amp;$CE179,1)</f>
        <v>0</v>
      </c>
      <c r="CJ179" s="539" cm="1">
        <f t="array" aca="1" ref="CJ179" ca="1">INDIRECT($BM$2&amp;CJ$7&amp;$CE179,1)</f>
        <v>0</v>
      </c>
      <c r="CK179" s="539" t="str">
        <f t="shared" ca="1" si="112"/>
        <v>-</v>
      </c>
      <c r="CL179" s="494" t="s">
        <v>8222</v>
      </c>
      <c r="CU179" s="469" t="s">
        <v>5510</v>
      </c>
      <c r="ES179" s="504"/>
      <c r="ET179" s="507"/>
      <c r="EU179" s="585">
        <v>70</v>
      </c>
      <c r="GC179" s="472" t="s">
        <v>5510</v>
      </c>
    </row>
    <row r="180" spans="1:185" x14ac:dyDescent="0.25">
      <c r="BF180" s="469" t="s">
        <v>5510</v>
      </c>
      <c r="BG180" s="469">
        <v>11</v>
      </c>
      <c r="BH180" s="539" t="s">
        <v>8047</v>
      </c>
      <c r="BI180" s="539">
        <f t="shared" si="113"/>
        <v>193</v>
      </c>
      <c r="BJ180" s="539" cm="1">
        <f t="array" aca="1" ref="BJ180" ca="1">INDIRECT($BM$2&amp;BJ$7&amp;$BI180,1)</f>
        <v>0</v>
      </c>
      <c r="BK180" s="539" cm="1">
        <f t="array" aca="1" ref="BK180" ca="1">INDIRECT($BM$2&amp;BK$7&amp;$BI180,1)</f>
        <v>0</v>
      </c>
      <c r="BL180" s="539" cm="1">
        <f t="array" aca="1" ref="BL180" ca="1">INDIRECT($BM$2&amp;BL$7&amp;$BI180,1)</f>
        <v>0</v>
      </c>
      <c r="BM180" s="539" cm="1">
        <f t="array" aca="1" ref="BM180" ca="1">INDIRECT($BM$2&amp;BM$7&amp;$BI180,1)</f>
        <v>0</v>
      </c>
      <c r="BN180" s="539" cm="1">
        <f t="array" aca="1" ref="BN180" ca="1">INDIRECT($BM$2&amp;BN$7&amp;$BI180,1)</f>
        <v>0</v>
      </c>
      <c r="BO180" s="539" t="str">
        <f t="shared" ca="1" si="110"/>
        <v>-</v>
      </c>
      <c r="BP180" s="494" t="s">
        <v>8222</v>
      </c>
      <c r="BQ180" s="20"/>
      <c r="BR180" s="469">
        <v>11</v>
      </c>
      <c r="BS180" s="539" t="s">
        <v>8047</v>
      </c>
      <c r="BT180" s="539">
        <f t="shared" si="114"/>
        <v>539</v>
      </c>
      <c r="BU180" s="539" cm="1">
        <f t="array" aca="1" ref="BU180" ca="1">INDIRECT($BM$2&amp;BU$7&amp;$BT180,1)</f>
        <v>0</v>
      </c>
      <c r="BV180" s="539" cm="1">
        <f t="array" aca="1" ref="BV180" ca="1">INDIRECT($BM$2&amp;BV$7&amp;$BT180,1)</f>
        <v>0</v>
      </c>
      <c r="BW180" s="539" cm="1">
        <f t="array" aca="1" ref="BW180" ca="1">INDIRECT($BM$2&amp;BW$7&amp;$BT180,1)</f>
        <v>0</v>
      </c>
      <c r="BX180" s="539" cm="1">
        <f t="array" aca="1" ref="BX180" ca="1">INDIRECT($BM$2&amp;BX$7&amp;$BT180,1)</f>
        <v>0</v>
      </c>
      <c r="BY180" s="539" cm="1">
        <f t="array" aca="1" ref="BY180" ca="1">INDIRECT($BM$2&amp;BY$7&amp;$BT180,1)</f>
        <v>0</v>
      </c>
      <c r="BZ180" s="539" t="str">
        <f t="shared" ca="1" si="111"/>
        <v>-</v>
      </c>
      <c r="CA180" s="494" t="s">
        <v>8222</v>
      </c>
      <c r="CC180" s="469">
        <v>11</v>
      </c>
      <c r="CD180" s="539" t="s">
        <v>8047</v>
      </c>
      <c r="CE180" s="539">
        <f t="shared" si="115"/>
        <v>885</v>
      </c>
      <c r="CF180" s="539" cm="1">
        <f t="array" aca="1" ref="CF180" ca="1">INDIRECT($BM$2&amp;CF$7&amp;$CE180,1)</f>
        <v>0</v>
      </c>
      <c r="CG180" s="539" cm="1">
        <f t="array" aca="1" ref="CG180" ca="1">INDIRECT($BM$2&amp;CG$7&amp;$CE180,1)</f>
        <v>0</v>
      </c>
      <c r="CH180" s="539" cm="1">
        <f t="array" aca="1" ref="CH180" ca="1">INDIRECT($BM$2&amp;CH$7&amp;$CE180,1)</f>
        <v>0</v>
      </c>
      <c r="CI180" s="539" cm="1">
        <f t="array" aca="1" ref="CI180" ca="1">INDIRECT($BM$2&amp;CI$7&amp;$CE180,1)</f>
        <v>0</v>
      </c>
      <c r="CJ180" s="539" cm="1">
        <f t="array" aca="1" ref="CJ180" ca="1">INDIRECT($BM$2&amp;CJ$7&amp;$CE180,1)</f>
        <v>0</v>
      </c>
      <c r="CK180" s="539" t="str">
        <f t="shared" ca="1" si="112"/>
        <v>-</v>
      </c>
      <c r="CL180" s="494" t="s">
        <v>8222</v>
      </c>
      <c r="CU180" s="469" t="s">
        <v>5510</v>
      </c>
      <c r="ES180" s="504"/>
      <c r="ET180" s="507"/>
      <c r="EU180" s="585">
        <v>71</v>
      </c>
      <c r="GC180" s="472" t="s">
        <v>5510</v>
      </c>
    </row>
    <row r="181" spans="1:185" x14ac:dyDescent="0.25">
      <c r="BF181" s="469" t="s">
        <v>5510</v>
      </c>
      <c r="BG181" s="469">
        <v>12</v>
      </c>
      <c r="BH181" s="539" t="s">
        <v>8047</v>
      </c>
      <c r="BI181" s="539">
        <f t="shared" si="113"/>
        <v>194</v>
      </c>
      <c r="BJ181" s="539" cm="1">
        <f t="array" aca="1" ref="BJ181" ca="1">INDIRECT($BM$2&amp;BJ$7&amp;$BI181,1)</f>
        <v>0</v>
      </c>
      <c r="BK181" s="539" cm="1">
        <f t="array" aca="1" ref="BK181" ca="1">INDIRECT($BM$2&amp;BK$7&amp;$BI181,1)</f>
        <v>0</v>
      </c>
      <c r="BL181" s="539" cm="1">
        <f t="array" aca="1" ref="BL181" ca="1">INDIRECT($BM$2&amp;BL$7&amp;$BI181,1)</f>
        <v>0</v>
      </c>
      <c r="BM181" s="539" cm="1">
        <f t="array" aca="1" ref="BM181" ca="1">INDIRECT($BM$2&amp;BM$7&amp;$BI181,1)</f>
        <v>0</v>
      </c>
      <c r="BN181" s="539" t="str" cm="1">
        <f t="array" aca="1" ref="BN181" ca="1">INDIRECT($BM$2&amp;BN$7&amp;$BI181,1)</f>
        <v>-</v>
      </c>
      <c r="BO181" s="539" t="str">
        <f t="shared" ca="1" si="110"/>
        <v>-</v>
      </c>
      <c r="BP181" s="561" t="s">
        <v>8223</v>
      </c>
      <c r="BQ181" s="20"/>
      <c r="BR181" s="469">
        <v>12</v>
      </c>
      <c r="BS181" s="539" t="s">
        <v>8047</v>
      </c>
      <c r="BT181" s="539">
        <f t="shared" si="114"/>
        <v>540</v>
      </c>
      <c r="BU181" s="539" cm="1">
        <f t="array" aca="1" ref="BU181" ca="1">INDIRECT($BM$2&amp;BU$7&amp;$BT181,1)</f>
        <v>0</v>
      </c>
      <c r="BV181" s="539" cm="1">
        <f t="array" aca="1" ref="BV181" ca="1">INDIRECT($BM$2&amp;BV$7&amp;$BT181,1)</f>
        <v>0</v>
      </c>
      <c r="BW181" s="539" cm="1">
        <f t="array" aca="1" ref="BW181" ca="1">INDIRECT($BM$2&amp;BW$7&amp;$BT181,1)</f>
        <v>0</v>
      </c>
      <c r="BX181" s="539" cm="1">
        <f t="array" aca="1" ref="BX181" ca="1">INDIRECT($BM$2&amp;BX$7&amp;$BT181,1)</f>
        <v>0</v>
      </c>
      <c r="BY181" s="539" t="str" cm="1">
        <f t="array" aca="1" ref="BY181" ca="1">INDIRECT($BM$2&amp;BY$7&amp;$BT181,1)</f>
        <v>-</v>
      </c>
      <c r="BZ181" s="539" t="str">
        <f t="shared" ca="1" si="111"/>
        <v>-</v>
      </c>
      <c r="CA181" s="561" t="s">
        <v>8223</v>
      </c>
      <c r="CC181" s="469">
        <v>12</v>
      </c>
      <c r="CD181" s="539" t="s">
        <v>8047</v>
      </c>
      <c r="CE181" s="539">
        <f t="shared" si="115"/>
        <v>886</v>
      </c>
      <c r="CF181" s="539" cm="1">
        <f t="array" aca="1" ref="CF181" ca="1">INDIRECT($BM$2&amp;CF$7&amp;$CE181,1)</f>
        <v>0</v>
      </c>
      <c r="CG181" s="539" cm="1">
        <f t="array" aca="1" ref="CG181" ca="1">INDIRECT($BM$2&amp;CG$7&amp;$CE181,1)</f>
        <v>0</v>
      </c>
      <c r="CH181" s="539" cm="1">
        <f t="array" aca="1" ref="CH181" ca="1">INDIRECT($BM$2&amp;CH$7&amp;$CE181,1)</f>
        <v>0</v>
      </c>
      <c r="CI181" s="539" cm="1">
        <f t="array" aca="1" ref="CI181" ca="1">INDIRECT($BM$2&amp;CI$7&amp;$CE181,1)</f>
        <v>0</v>
      </c>
      <c r="CJ181" s="539" t="str" cm="1">
        <f t="array" aca="1" ref="CJ181" ca="1">INDIRECT($BM$2&amp;CJ$7&amp;$CE181,1)</f>
        <v>-</v>
      </c>
      <c r="CK181" s="539" t="str">
        <f t="shared" ca="1" si="112"/>
        <v>-</v>
      </c>
      <c r="CL181" s="561" t="s">
        <v>8223</v>
      </c>
      <c r="CU181" s="469" t="s">
        <v>5510</v>
      </c>
      <c r="ES181" s="504"/>
      <c r="ET181" s="507"/>
      <c r="EU181" s="585"/>
      <c r="GC181" s="472" t="s">
        <v>5510</v>
      </c>
    </row>
    <row r="182" spans="1:185" x14ac:dyDescent="0.25">
      <c r="BF182" s="469" t="s">
        <v>5510</v>
      </c>
      <c r="BL182" s="372"/>
      <c r="BO182" s="472"/>
      <c r="BQ182" s="20"/>
      <c r="BT182" s="372"/>
      <c r="BU182" s="472"/>
      <c r="BV182" s="472"/>
      <c r="BW182" s="372"/>
      <c r="BX182" s="472"/>
      <c r="BY182" s="372"/>
      <c r="BZ182" s="472"/>
      <c r="CA182" s="372"/>
      <c r="CE182" s="372"/>
      <c r="CF182" s="472"/>
      <c r="CG182" s="472"/>
      <c r="CH182" s="372"/>
      <c r="CI182" s="472"/>
      <c r="CJ182" s="372"/>
      <c r="CK182" s="472"/>
      <c r="CL182" s="372"/>
      <c r="CU182" s="469" t="s">
        <v>5510</v>
      </c>
      <c r="ES182" s="504"/>
      <c r="ET182" s="507"/>
      <c r="EU182" s="585"/>
      <c r="GC182" s="472" t="s">
        <v>5510</v>
      </c>
    </row>
    <row r="183" spans="1:185" x14ac:dyDescent="0.25">
      <c r="BF183" s="469" t="s">
        <v>5510</v>
      </c>
      <c r="BL183" s="372"/>
      <c r="BO183" s="472"/>
      <c r="BQ183" s="20"/>
      <c r="BT183" s="372"/>
      <c r="BU183" s="472"/>
      <c r="BV183" s="472"/>
      <c r="BW183" s="372"/>
      <c r="BX183" s="472"/>
      <c r="BY183" s="372"/>
      <c r="BZ183" s="472"/>
      <c r="CA183" s="372"/>
      <c r="CE183" s="372"/>
      <c r="CF183" s="472"/>
      <c r="CG183" s="472"/>
      <c r="CH183" s="372"/>
      <c r="CI183" s="472"/>
      <c r="CJ183" s="372"/>
      <c r="CK183" s="472"/>
      <c r="CL183" s="372"/>
      <c r="CU183" s="469" t="s">
        <v>5510</v>
      </c>
      <c r="ES183" s="504"/>
      <c r="ET183" s="507"/>
      <c r="EU183" s="585"/>
      <c r="GC183" s="472" t="s">
        <v>5510</v>
      </c>
    </row>
    <row r="184" spans="1:185" x14ac:dyDescent="0.25">
      <c r="BF184" s="469" t="s">
        <v>5510</v>
      </c>
      <c r="BQ184" s="20"/>
      <c r="BT184" s="372"/>
      <c r="BU184" s="472"/>
      <c r="BV184" s="472"/>
      <c r="BW184" s="472"/>
      <c r="BX184" s="472"/>
      <c r="BY184" s="372"/>
      <c r="BZ184" s="372"/>
      <c r="CA184" s="372"/>
      <c r="CE184" s="372"/>
      <c r="CF184" s="472"/>
      <c r="CG184" s="472"/>
      <c r="CH184" s="472"/>
      <c r="CI184" s="472"/>
      <c r="CJ184" s="372"/>
      <c r="CK184" s="372"/>
      <c r="CL184" s="372"/>
      <c r="CU184" s="469" t="s">
        <v>5510</v>
      </c>
      <c r="ES184" s="504"/>
      <c r="ET184" s="507"/>
      <c r="EU184" s="585"/>
      <c r="GC184" s="472" t="s">
        <v>5510</v>
      </c>
    </row>
    <row r="185" spans="1:185" x14ac:dyDescent="0.25">
      <c r="A185" s="481" t="s">
        <v>5791</v>
      </c>
      <c r="B185" s="481" t="s">
        <v>5791</v>
      </c>
      <c r="C185" s="481" t="s">
        <v>5791</v>
      </c>
      <c r="D185" s="481" t="s">
        <v>5791</v>
      </c>
      <c r="E185" s="481" t="s">
        <v>5791</v>
      </c>
      <c r="F185" s="481" t="s">
        <v>5791</v>
      </c>
      <c r="G185" s="481" t="s">
        <v>5791</v>
      </c>
      <c r="H185" s="481" t="s">
        <v>5791</v>
      </c>
      <c r="I185" s="481" t="s">
        <v>5791</v>
      </c>
      <c r="J185" s="481" t="s">
        <v>5791</v>
      </c>
      <c r="K185" s="481" t="s">
        <v>5791</v>
      </c>
      <c r="L185" s="481" t="s">
        <v>5791</v>
      </c>
      <c r="BF185" s="469" t="s">
        <v>5510</v>
      </c>
      <c r="BQ185" s="20"/>
      <c r="BT185" s="372"/>
      <c r="BU185" s="472"/>
      <c r="BV185" s="472"/>
      <c r="BW185" s="472"/>
      <c r="BX185" s="472"/>
      <c r="BY185" s="372"/>
      <c r="BZ185" s="372"/>
      <c r="CA185" s="372"/>
      <c r="CE185" s="372"/>
      <c r="CF185" s="472"/>
      <c r="CG185" s="472"/>
      <c r="CH185" s="472"/>
      <c r="CI185" s="472"/>
      <c r="CJ185" s="372"/>
      <c r="CK185" s="372"/>
      <c r="CL185" s="372"/>
      <c r="CU185" s="469" t="s">
        <v>5510</v>
      </c>
      <c r="ES185" s="504"/>
      <c r="ET185" s="507"/>
      <c r="EU185" s="585"/>
      <c r="GC185" s="472" t="s">
        <v>5510</v>
      </c>
    </row>
    <row r="186" spans="1:185" x14ac:dyDescent="0.25">
      <c r="BF186" s="469" t="s">
        <v>5510</v>
      </c>
      <c r="BG186" s="469">
        <v>1</v>
      </c>
      <c r="BH186" s="539" t="s">
        <v>8048</v>
      </c>
      <c r="BI186" s="539">
        <f>BI181+$BO$5</f>
        <v>200</v>
      </c>
      <c r="BJ186" s="539" cm="1">
        <f t="array" aca="1" ref="BJ186" ca="1">INDIRECT($BM$2&amp;BJ$7&amp;$BI186,1)</f>
        <v>0</v>
      </c>
      <c r="BK186" s="539" cm="1">
        <f t="array" aca="1" ref="BK186" ca="1">INDIRECT($BM$2&amp;BK$7&amp;$BI186,1)</f>
        <v>0</v>
      </c>
      <c r="BL186" s="539" cm="1">
        <f t="array" aca="1" ref="BL186" ca="1">INDIRECT($BM$2&amp;BL$7&amp;$BI186,1)</f>
        <v>0</v>
      </c>
      <c r="BM186" s="539" cm="1">
        <f t="array" aca="1" ref="BM186" ca="1">INDIRECT($BM$2&amp;BM$7&amp;$BI186,1)</f>
        <v>0</v>
      </c>
      <c r="BN186" s="539" cm="1">
        <f t="array" aca="1" ref="BN186" ca="1">INDIRECT($BM$2&amp;BN$7&amp;$BI186,1)</f>
        <v>0</v>
      </c>
      <c r="BO186" s="539" t="str">
        <f ca="1">IFERROR(BK186/BK$186,"-")</f>
        <v>-</v>
      </c>
      <c r="BP186" s="540" t="s">
        <v>8221</v>
      </c>
      <c r="BQ186" s="20"/>
      <c r="BR186" s="469">
        <v>1</v>
      </c>
      <c r="BS186" s="539" t="s">
        <v>8048</v>
      </c>
      <c r="BT186" s="539">
        <f>BT181+$BO$5</f>
        <v>546</v>
      </c>
      <c r="BU186" s="539" cm="1">
        <f t="array" aca="1" ref="BU186" ca="1">INDIRECT($BM$2&amp;BU$7&amp;$BT186,1)</f>
        <v>0</v>
      </c>
      <c r="BV186" s="539" cm="1">
        <f t="array" aca="1" ref="BV186" ca="1">INDIRECT($BM$2&amp;BV$7&amp;$BT186,1)</f>
        <v>0</v>
      </c>
      <c r="BW186" s="539" cm="1">
        <f t="array" aca="1" ref="BW186" ca="1">INDIRECT($BM$2&amp;BW$7&amp;$BT186,1)</f>
        <v>0</v>
      </c>
      <c r="BX186" s="539" cm="1">
        <f t="array" aca="1" ref="BX186" ca="1">INDIRECT($BM$2&amp;BX$7&amp;$BT186,1)</f>
        <v>0</v>
      </c>
      <c r="BY186" s="539" cm="1">
        <f t="array" aca="1" ref="BY186" ca="1">INDIRECT($BM$2&amp;BY$7&amp;$BT186,1)</f>
        <v>0</v>
      </c>
      <c r="BZ186" s="539" t="str">
        <f ca="1">IFERROR(BV186/BV$186,"-")</f>
        <v>-</v>
      </c>
      <c r="CA186" s="540" t="s">
        <v>8221</v>
      </c>
      <c r="CC186" s="469">
        <v>1</v>
      </c>
      <c r="CD186" s="539" t="s">
        <v>8048</v>
      </c>
      <c r="CE186" s="539">
        <f>CE181+$BO$5</f>
        <v>892</v>
      </c>
      <c r="CF186" s="539" cm="1">
        <f t="array" aca="1" ref="CF186" ca="1">INDIRECT($BM$2&amp;CF$7&amp;$CE186,1)</f>
        <v>0</v>
      </c>
      <c r="CG186" s="539" cm="1">
        <f t="array" aca="1" ref="CG186" ca="1">INDIRECT($BM$2&amp;CG$7&amp;$CE186,1)</f>
        <v>0</v>
      </c>
      <c r="CH186" s="539" cm="1">
        <f t="array" aca="1" ref="CH186" ca="1">INDIRECT($BM$2&amp;CH$7&amp;$CE186,1)</f>
        <v>0</v>
      </c>
      <c r="CI186" s="539" cm="1">
        <f t="array" aca="1" ref="CI186" ca="1">INDIRECT($BM$2&amp;CI$7&amp;$CE186,1)</f>
        <v>0</v>
      </c>
      <c r="CJ186" s="539" cm="1">
        <f t="array" aca="1" ref="CJ186" ca="1">INDIRECT($BM$2&amp;CJ$7&amp;$CE186,1)</f>
        <v>0</v>
      </c>
      <c r="CK186" s="539" t="str">
        <f ca="1">IFERROR(CG186/CG$186,"-")</f>
        <v>-</v>
      </c>
      <c r="CL186" s="540" t="s">
        <v>8221</v>
      </c>
      <c r="CU186" s="469" t="s">
        <v>5510</v>
      </c>
      <c r="ES186" s="504"/>
      <c r="ET186" s="507"/>
      <c r="EU186" s="585"/>
      <c r="GC186" s="472" t="s">
        <v>5510</v>
      </c>
    </row>
    <row r="187" spans="1:185" ht="15.75" thickBot="1" x14ac:dyDescent="0.3">
      <c r="A187" s="468" t="s">
        <v>5942</v>
      </c>
      <c r="B187" s="468"/>
      <c r="C187" s="468"/>
      <c r="D187" s="468"/>
      <c r="E187" s="468"/>
      <c r="F187" s="468"/>
      <c r="G187" s="468"/>
      <c r="H187" s="468"/>
      <c r="I187" s="468"/>
      <c r="J187" s="468"/>
      <c r="K187" s="468"/>
      <c r="L187" s="468"/>
      <c r="BF187" s="469" t="s">
        <v>5510</v>
      </c>
      <c r="BG187" s="469">
        <v>2</v>
      </c>
      <c r="BH187" s="539" t="s">
        <v>8048</v>
      </c>
      <c r="BI187" s="539">
        <f t="shared" ref="BI187:BI197" si="116">BI186+1</f>
        <v>201</v>
      </c>
      <c r="BJ187" s="539" cm="1">
        <f t="array" aca="1" ref="BJ187" ca="1">INDIRECT($BM$2&amp;BJ$7&amp;$BI187,1)</f>
        <v>0</v>
      </c>
      <c r="BK187" s="539" cm="1">
        <f t="array" aca="1" ref="BK187" ca="1">INDIRECT($BM$2&amp;BK$7&amp;$BI187,1)</f>
        <v>0</v>
      </c>
      <c r="BL187" s="539" cm="1">
        <f t="array" aca="1" ref="BL187" ca="1">INDIRECT($BM$2&amp;BL$7&amp;$BI187,1)</f>
        <v>0</v>
      </c>
      <c r="BM187" s="539" cm="1">
        <f t="array" aca="1" ref="BM187" ca="1">INDIRECT($BM$2&amp;BM$7&amp;$BI187,1)</f>
        <v>0</v>
      </c>
      <c r="BN187" s="539" cm="1">
        <f t="array" aca="1" ref="BN187" ca="1">INDIRECT($BM$2&amp;BN$7&amp;$BI187,1)</f>
        <v>0</v>
      </c>
      <c r="BO187" s="539" t="str">
        <f t="shared" ref="BO187:BO197" ca="1" si="117">IF(BK187=0,"-",IFERROR(BK187/BK$186,"-"))</f>
        <v>-</v>
      </c>
      <c r="BP187" s="494" t="s">
        <v>8222</v>
      </c>
      <c r="BQ187" s="20"/>
      <c r="BR187" s="469">
        <v>2</v>
      </c>
      <c r="BS187" s="539" t="s">
        <v>8048</v>
      </c>
      <c r="BT187" s="539">
        <f t="shared" ref="BT187:BT197" si="118">BT186+1</f>
        <v>547</v>
      </c>
      <c r="BU187" s="539" cm="1">
        <f t="array" aca="1" ref="BU187" ca="1">INDIRECT($BM$2&amp;BU$7&amp;$BT187,1)</f>
        <v>0</v>
      </c>
      <c r="BV187" s="539" cm="1">
        <f t="array" aca="1" ref="BV187" ca="1">INDIRECT($BM$2&amp;BV$7&amp;$BT187,1)</f>
        <v>0</v>
      </c>
      <c r="BW187" s="539" cm="1">
        <f t="array" aca="1" ref="BW187" ca="1">INDIRECT($BM$2&amp;BW$7&amp;$BT187,1)</f>
        <v>0</v>
      </c>
      <c r="BX187" s="539" cm="1">
        <f t="array" aca="1" ref="BX187" ca="1">INDIRECT($BM$2&amp;BX$7&amp;$BT187,1)</f>
        <v>0</v>
      </c>
      <c r="BY187" s="539" cm="1">
        <f t="array" aca="1" ref="BY187" ca="1">INDIRECT($BM$2&amp;BY$7&amp;$BT187,1)</f>
        <v>0</v>
      </c>
      <c r="BZ187" s="539" t="str">
        <f t="shared" ref="BZ187:BZ197" ca="1" si="119">IF(BV187=0,"-",IFERROR(BV187/BV$186,"-"))</f>
        <v>-</v>
      </c>
      <c r="CA187" s="494" t="s">
        <v>8222</v>
      </c>
      <c r="CC187" s="469">
        <v>2</v>
      </c>
      <c r="CD187" s="539" t="s">
        <v>8048</v>
      </c>
      <c r="CE187" s="539">
        <f t="shared" ref="CE187:CE197" si="120">CE186+1</f>
        <v>893</v>
      </c>
      <c r="CF187" s="539" cm="1">
        <f t="array" aca="1" ref="CF187" ca="1">INDIRECT($BM$2&amp;CF$7&amp;$CE187,1)</f>
        <v>0</v>
      </c>
      <c r="CG187" s="539" cm="1">
        <f t="array" aca="1" ref="CG187" ca="1">INDIRECT($BM$2&amp;CG$7&amp;$CE187,1)</f>
        <v>0</v>
      </c>
      <c r="CH187" s="539" cm="1">
        <f t="array" aca="1" ref="CH187" ca="1">INDIRECT($BM$2&amp;CH$7&amp;$CE187,1)</f>
        <v>0</v>
      </c>
      <c r="CI187" s="539" cm="1">
        <f t="array" aca="1" ref="CI187" ca="1">INDIRECT($BM$2&amp;CI$7&amp;$CE187,1)</f>
        <v>0</v>
      </c>
      <c r="CJ187" s="539" cm="1">
        <f t="array" aca="1" ref="CJ187" ca="1">INDIRECT($BM$2&amp;CJ$7&amp;$CE187,1)</f>
        <v>0</v>
      </c>
      <c r="CK187" s="539" t="str">
        <f t="shared" ref="CK187:CK197" ca="1" si="121">IF(CG187=0,"-",IFERROR(CG187/CG$186,"-"))</f>
        <v>-</v>
      </c>
      <c r="CL187" s="494" t="s">
        <v>8222</v>
      </c>
      <c r="CU187" s="469" t="s">
        <v>5510</v>
      </c>
      <c r="ES187" s="504"/>
      <c r="ET187" s="507"/>
      <c r="EU187" s="585"/>
      <c r="GC187" s="472" t="s">
        <v>5510</v>
      </c>
    </row>
    <row r="188" spans="1:185" x14ac:dyDescent="0.25">
      <c r="BF188" s="469" t="s">
        <v>5510</v>
      </c>
      <c r="BG188" s="469">
        <v>3</v>
      </c>
      <c r="BH188" s="539" t="s">
        <v>8048</v>
      </c>
      <c r="BI188" s="539">
        <f t="shared" si="116"/>
        <v>202</v>
      </c>
      <c r="BJ188" s="539" cm="1">
        <f t="array" aca="1" ref="BJ188" ca="1">INDIRECT($BM$2&amp;BJ$7&amp;$BI188,1)</f>
        <v>0</v>
      </c>
      <c r="BK188" s="539" cm="1">
        <f t="array" aca="1" ref="BK188" ca="1">INDIRECT($BM$2&amp;BK$7&amp;$BI188,1)</f>
        <v>0</v>
      </c>
      <c r="BL188" s="539" cm="1">
        <f t="array" aca="1" ref="BL188" ca="1">INDIRECT($BM$2&amp;BL$7&amp;$BI188,1)</f>
        <v>0</v>
      </c>
      <c r="BM188" s="539" cm="1">
        <f t="array" aca="1" ref="BM188" ca="1">INDIRECT($BM$2&amp;BM$7&amp;$BI188,1)</f>
        <v>0</v>
      </c>
      <c r="BN188" s="539" cm="1">
        <f t="array" aca="1" ref="BN188" ca="1">INDIRECT($BM$2&amp;BN$7&amp;$BI188,1)</f>
        <v>0</v>
      </c>
      <c r="BO188" s="539" t="str">
        <f t="shared" ca="1" si="117"/>
        <v>-</v>
      </c>
      <c r="BP188" s="494" t="s">
        <v>8222</v>
      </c>
      <c r="BQ188" s="20"/>
      <c r="BR188" s="469">
        <v>3</v>
      </c>
      <c r="BS188" s="539" t="s">
        <v>8048</v>
      </c>
      <c r="BT188" s="539">
        <f t="shared" si="118"/>
        <v>548</v>
      </c>
      <c r="BU188" s="539" cm="1">
        <f t="array" aca="1" ref="BU188" ca="1">INDIRECT($BM$2&amp;BU$7&amp;$BT188,1)</f>
        <v>0</v>
      </c>
      <c r="BV188" s="539" cm="1">
        <f t="array" aca="1" ref="BV188" ca="1">INDIRECT($BM$2&amp;BV$7&amp;$BT188,1)</f>
        <v>0</v>
      </c>
      <c r="BW188" s="539" cm="1">
        <f t="array" aca="1" ref="BW188" ca="1">INDIRECT($BM$2&amp;BW$7&amp;$BT188,1)</f>
        <v>0</v>
      </c>
      <c r="BX188" s="539" cm="1">
        <f t="array" aca="1" ref="BX188" ca="1">INDIRECT($BM$2&amp;BX$7&amp;$BT188,1)</f>
        <v>0</v>
      </c>
      <c r="BY188" s="539" cm="1">
        <f t="array" aca="1" ref="BY188" ca="1">INDIRECT($BM$2&amp;BY$7&amp;$BT188,1)</f>
        <v>0</v>
      </c>
      <c r="BZ188" s="539" t="str">
        <f t="shared" ca="1" si="119"/>
        <v>-</v>
      </c>
      <c r="CA188" s="494" t="s">
        <v>8222</v>
      </c>
      <c r="CC188" s="469">
        <v>3</v>
      </c>
      <c r="CD188" s="539" t="s">
        <v>8048</v>
      </c>
      <c r="CE188" s="539">
        <f t="shared" si="120"/>
        <v>894</v>
      </c>
      <c r="CF188" s="539" cm="1">
        <f t="array" aca="1" ref="CF188" ca="1">INDIRECT($BM$2&amp;CF$7&amp;$CE188,1)</f>
        <v>0</v>
      </c>
      <c r="CG188" s="539" cm="1">
        <f t="array" aca="1" ref="CG188" ca="1">INDIRECT($BM$2&amp;CG$7&amp;$CE188,1)</f>
        <v>0</v>
      </c>
      <c r="CH188" s="539" cm="1">
        <f t="array" aca="1" ref="CH188" ca="1">INDIRECT($BM$2&amp;CH$7&amp;$CE188,1)</f>
        <v>0</v>
      </c>
      <c r="CI188" s="539" cm="1">
        <f t="array" aca="1" ref="CI188" ca="1">INDIRECT($BM$2&amp;CI$7&amp;$CE188,1)</f>
        <v>0</v>
      </c>
      <c r="CJ188" s="539" cm="1">
        <f t="array" aca="1" ref="CJ188" ca="1">INDIRECT($BM$2&amp;CJ$7&amp;$CE188,1)</f>
        <v>0</v>
      </c>
      <c r="CK188" s="539" t="str">
        <f t="shared" ca="1" si="121"/>
        <v>-</v>
      </c>
      <c r="CL188" s="494" t="s">
        <v>8222</v>
      </c>
      <c r="CU188" s="469" t="s">
        <v>5510</v>
      </c>
      <c r="ES188" s="504"/>
      <c r="ET188" s="507"/>
      <c r="EU188" s="585"/>
      <c r="GC188" s="472" t="s">
        <v>5510</v>
      </c>
    </row>
    <row r="189" spans="1:185" x14ac:dyDescent="0.25">
      <c r="BF189" s="469" t="s">
        <v>5510</v>
      </c>
      <c r="BG189" s="469">
        <v>4</v>
      </c>
      <c r="BH189" s="539" t="s">
        <v>8048</v>
      </c>
      <c r="BI189" s="539">
        <f t="shared" si="116"/>
        <v>203</v>
      </c>
      <c r="BJ189" s="539" cm="1">
        <f t="array" aca="1" ref="BJ189" ca="1">INDIRECT($BM$2&amp;BJ$7&amp;$BI189,1)</f>
        <v>0</v>
      </c>
      <c r="BK189" s="539" cm="1">
        <f t="array" aca="1" ref="BK189" ca="1">INDIRECT($BM$2&amp;BK$7&amp;$BI189,1)</f>
        <v>0</v>
      </c>
      <c r="BL189" s="539" cm="1">
        <f t="array" aca="1" ref="BL189" ca="1">INDIRECT($BM$2&amp;BL$7&amp;$BI189,1)</f>
        <v>0</v>
      </c>
      <c r="BM189" s="539" cm="1">
        <f t="array" aca="1" ref="BM189" ca="1">INDIRECT($BM$2&amp;BM$7&amp;$BI189,1)</f>
        <v>0</v>
      </c>
      <c r="BN189" s="539" cm="1">
        <f t="array" aca="1" ref="BN189" ca="1">INDIRECT($BM$2&amp;BN$7&amp;$BI189,1)</f>
        <v>0</v>
      </c>
      <c r="BO189" s="539" t="str">
        <f t="shared" ca="1" si="117"/>
        <v>-</v>
      </c>
      <c r="BP189" s="494" t="s">
        <v>8222</v>
      </c>
      <c r="BQ189" s="20"/>
      <c r="BR189" s="469">
        <v>4</v>
      </c>
      <c r="BS189" s="539" t="s">
        <v>8048</v>
      </c>
      <c r="BT189" s="539">
        <f t="shared" si="118"/>
        <v>549</v>
      </c>
      <c r="BU189" s="539" cm="1">
        <f t="array" aca="1" ref="BU189" ca="1">INDIRECT($BM$2&amp;BU$7&amp;$BT189,1)</f>
        <v>0</v>
      </c>
      <c r="BV189" s="539" cm="1">
        <f t="array" aca="1" ref="BV189" ca="1">INDIRECT($BM$2&amp;BV$7&amp;$BT189,1)</f>
        <v>0</v>
      </c>
      <c r="BW189" s="539" cm="1">
        <f t="array" aca="1" ref="BW189" ca="1">INDIRECT($BM$2&amp;BW$7&amp;$BT189,1)</f>
        <v>0</v>
      </c>
      <c r="BX189" s="539" cm="1">
        <f t="array" aca="1" ref="BX189" ca="1">INDIRECT($BM$2&amp;BX$7&amp;$BT189,1)</f>
        <v>0</v>
      </c>
      <c r="BY189" s="539" cm="1">
        <f t="array" aca="1" ref="BY189" ca="1">INDIRECT($BM$2&amp;BY$7&amp;$BT189,1)</f>
        <v>0</v>
      </c>
      <c r="BZ189" s="539" t="str">
        <f t="shared" ca="1" si="119"/>
        <v>-</v>
      </c>
      <c r="CA189" s="494" t="s">
        <v>8222</v>
      </c>
      <c r="CC189" s="469">
        <v>4</v>
      </c>
      <c r="CD189" s="539" t="s">
        <v>8048</v>
      </c>
      <c r="CE189" s="539">
        <f t="shared" si="120"/>
        <v>895</v>
      </c>
      <c r="CF189" s="539" cm="1">
        <f t="array" aca="1" ref="CF189" ca="1">INDIRECT($BM$2&amp;CF$7&amp;$CE189,1)</f>
        <v>0</v>
      </c>
      <c r="CG189" s="539" cm="1">
        <f t="array" aca="1" ref="CG189" ca="1">INDIRECT($BM$2&amp;CG$7&amp;$CE189,1)</f>
        <v>0</v>
      </c>
      <c r="CH189" s="539" cm="1">
        <f t="array" aca="1" ref="CH189" ca="1">INDIRECT($BM$2&amp;CH$7&amp;$CE189,1)</f>
        <v>0</v>
      </c>
      <c r="CI189" s="539" cm="1">
        <f t="array" aca="1" ref="CI189" ca="1">INDIRECT($BM$2&amp;CI$7&amp;$CE189,1)</f>
        <v>0</v>
      </c>
      <c r="CJ189" s="539" cm="1">
        <f t="array" aca="1" ref="CJ189" ca="1">INDIRECT($BM$2&amp;CJ$7&amp;$CE189,1)</f>
        <v>0</v>
      </c>
      <c r="CK189" s="539" t="str">
        <f t="shared" ca="1" si="121"/>
        <v>-</v>
      </c>
      <c r="CL189" s="494" t="s">
        <v>8222</v>
      </c>
      <c r="CU189" s="469" t="s">
        <v>5510</v>
      </c>
      <c r="ES189" s="504"/>
      <c r="ET189" s="507"/>
      <c r="EU189" s="585"/>
      <c r="GC189" s="472" t="s">
        <v>5510</v>
      </c>
    </row>
    <row r="190" spans="1:185" x14ac:dyDescent="0.25">
      <c r="C190" s="20" t="s">
        <v>5927</v>
      </c>
      <c r="BF190" s="469" t="s">
        <v>5510</v>
      </c>
      <c r="BG190" s="469">
        <v>5</v>
      </c>
      <c r="BH190" s="539" t="s">
        <v>8048</v>
      </c>
      <c r="BI190" s="539">
        <f t="shared" si="116"/>
        <v>204</v>
      </c>
      <c r="BJ190" s="539" cm="1">
        <f t="array" aca="1" ref="BJ190" ca="1">INDIRECT($BM$2&amp;BJ$7&amp;$BI190,1)</f>
        <v>0</v>
      </c>
      <c r="BK190" s="539" cm="1">
        <f t="array" aca="1" ref="BK190" ca="1">INDIRECT($BM$2&amp;BK$7&amp;$BI190,1)</f>
        <v>0</v>
      </c>
      <c r="BL190" s="539" cm="1">
        <f t="array" aca="1" ref="BL190" ca="1">INDIRECT($BM$2&amp;BL$7&amp;$BI190,1)</f>
        <v>0</v>
      </c>
      <c r="BM190" s="539" cm="1">
        <f t="array" aca="1" ref="BM190" ca="1">INDIRECT($BM$2&amp;BM$7&amp;$BI190,1)</f>
        <v>0</v>
      </c>
      <c r="BN190" s="539" cm="1">
        <f t="array" aca="1" ref="BN190" ca="1">INDIRECT($BM$2&amp;BN$7&amp;$BI190,1)</f>
        <v>0</v>
      </c>
      <c r="BO190" s="539" t="str">
        <f t="shared" ca="1" si="117"/>
        <v>-</v>
      </c>
      <c r="BP190" s="494" t="s">
        <v>8222</v>
      </c>
      <c r="BQ190" s="20"/>
      <c r="BR190" s="469">
        <v>5</v>
      </c>
      <c r="BS190" s="539" t="s">
        <v>8048</v>
      </c>
      <c r="BT190" s="539">
        <f t="shared" si="118"/>
        <v>550</v>
      </c>
      <c r="BU190" s="539" cm="1">
        <f t="array" aca="1" ref="BU190" ca="1">INDIRECT($BM$2&amp;BU$7&amp;$BT190,1)</f>
        <v>0</v>
      </c>
      <c r="BV190" s="539" cm="1">
        <f t="array" aca="1" ref="BV190" ca="1">INDIRECT($BM$2&amp;BV$7&amp;$BT190,1)</f>
        <v>0</v>
      </c>
      <c r="BW190" s="539" cm="1">
        <f t="array" aca="1" ref="BW190" ca="1">INDIRECT($BM$2&amp;BW$7&amp;$BT190,1)</f>
        <v>0</v>
      </c>
      <c r="BX190" s="539" cm="1">
        <f t="array" aca="1" ref="BX190" ca="1">INDIRECT($BM$2&amp;BX$7&amp;$BT190,1)</f>
        <v>0</v>
      </c>
      <c r="BY190" s="539" cm="1">
        <f t="array" aca="1" ref="BY190" ca="1">INDIRECT($BM$2&amp;BY$7&amp;$BT190,1)</f>
        <v>0</v>
      </c>
      <c r="BZ190" s="539" t="str">
        <f t="shared" ca="1" si="119"/>
        <v>-</v>
      </c>
      <c r="CA190" s="494" t="s">
        <v>8222</v>
      </c>
      <c r="CC190" s="469">
        <v>5</v>
      </c>
      <c r="CD190" s="539" t="s">
        <v>8048</v>
      </c>
      <c r="CE190" s="539">
        <f t="shared" si="120"/>
        <v>896</v>
      </c>
      <c r="CF190" s="539" cm="1">
        <f t="array" aca="1" ref="CF190" ca="1">INDIRECT($BM$2&amp;CF$7&amp;$CE190,1)</f>
        <v>0</v>
      </c>
      <c r="CG190" s="539" cm="1">
        <f t="array" aca="1" ref="CG190" ca="1">INDIRECT($BM$2&amp;CG$7&amp;$CE190,1)</f>
        <v>0</v>
      </c>
      <c r="CH190" s="539" cm="1">
        <f t="array" aca="1" ref="CH190" ca="1">INDIRECT($BM$2&amp;CH$7&amp;$CE190,1)</f>
        <v>0</v>
      </c>
      <c r="CI190" s="539" cm="1">
        <f t="array" aca="1" ref="CI190" ca="1">INDIRECT($BM$2&amp;CI$7&amp;$CE190,1)</f>
        <v>0</v>
      </c>
      <c r="CJ190" s="539" cm="1">
        <f t="array" aca="1" ref="CJ190" ca="1">INDIRECT($BM$2&amp;CJ$7&amp;$CE190,1)</f>
        <v>0</v>
      </c>
      <c r="CK190" s="539" t="str">
        <f t="shared" ca="1" si="121"/>
        <v>-</v>
      </c>
      <c r="CL190" s="494" t="s">
        <v>8222</v>
      </c>
      <c r="CU190" s="469" t="s">
        <v>5510</v>
      </c>
      <c r="ES190" s="504"/>
      <c r="ET190" s="507"/>
      <c r="EU190" s="585"/>
      <c r="GC190" s="472" t="s">
        <v>5510</v>
      </c>
    </row>
    <row r="191" spans="1:185" x14ac:dyDescent="0.25">
      <c r="B191" s="506" t="s">
        <v>5928</v>
      </c>
      <c r="C191" s="657">
        <v>2</v>
      </c>
      <c r="D191" s="658"/>
      <c r="E191" s="1666">
        <v>5</v>
      </c>
      <c r="F191" s="1666"/>
      <c r="G191" s="20" t="s">
        <v>5949</v>
      </c>
      <c r="J191" s="651" t="s">
        <v>5548</v>
      </c>
      <c r="BF191" s="469" t="s">
        <v>5510</v>
      </c>
      <c r="BG191" s="469">
        <v>6</v>
      </c>
      <c r="BH191" s="539" t="s">
        <v>8048</v>
      </c>
      <c r="BI191" s="539">
        <f t="shared" si="116"/>
        <v>205</v>
      </c>
      <c r="BJ191" s="539" cm="1">
        <f t="array" aca="1" ref="BJ191" ca="1">INDIRECT($BM$2&amp;BJ$7&amp;$BI191,1)</f>
        <v>0</v>
      </c>
      <c r="BK191" s="539" cm="1">
        <f t="array" aca="1" ref="BK191" ca="1">INDIRECT($BM$2&amp;BK$7&amp;$BI191,1)</f>
        <v>0</v>
      </c>
      <c r="BL191" s="539" cm="1">
        <f t="array" aca="1" ref="BL191" ca="1">INDIRECT($BM$2&amp;BL$7&amp;$BI191,1)</f>
        <v>0</v>
      </c>
      <c r="BM191" s="539" cm="1">
        <f t="array" aca="1" ref="BM191" ca="1">INDIRECT($BM$2&amp;BM$7&amp;$BI191,1)</f>
        <v>0</v>
      </c>
      <c r="BN191" s="539" cm="1">
        <f t="array" aca="1" ref="BN191" ca="1">INDIRECT($BM$2&amp;BN$7&amp;$BI191,1)</f>
        <v>0</v>
      </c>
      <c r="BO191" s="539" t="str">
        <f t="shared" ca="1" si="117"/>
        <v>-</v>
      </c>
      <c r="BP191" s="494" t="s">
        <v>8222</v>
      </c>
      <c r="BQ191" s="20"/>
      <c r="BR191" s="469">
        <v>6</v>
      </c>
      <c r="BS191" s="539" t="s">
        <v>8048</v>
      </c>
      <c r="BT191" s="539">
        <f t="shared" si="118"/>
        <v>551</v>
      </c>
      <c r="BU191" s="539" cm="1">
        <f t="array" aca="1" ref="BU191" ca="1">INDIRECT($BM$2&amp;BU$7&amp;$BT191,1)</f>
        <v>0</v>
      </c>
      <c r="BV191" s="539" cm="1">
        <f t="array" aca="1" ref="BV191" ca="1">INDIRECT($BM$2&amp;BV$7&amp;$BT191,1)</f>
        <v>0</v>
      </c>
      <c r="BW191" s="539" cm="1">
        <f t="array" aca="1" ref="BW191" ca="1">INDIRECT($BM$2&amp;BW$7&amp;$BT191,1)</f>
        <v>0</v>
      </c>
      <c r="BX191" s="539" cm="1">
        <f t="array" aca="1" ref="BX191" ca="1">INDIRECT($BM$2&amp;BX$7&amp;$BT191,1)</f>
        <v>0</v>
      </c>
      <c r="BY191" s="539" cm="1">
        <f t="array" aca="1" ref="BY191" ca="1">INDIRECT($BM$2&amp;BY$7&amp;$BT191,1)</f>
        <v>0</v>
      </c>
      <c r="BZ191" s="539" t="str">
        <f t="shared" ca="1" si="119"/>
        <v>-</v>
      </c>
      <c r="CA191" s="494" t="s">
        <v>8222</v>
      </c>
      <c r="CC191" s="469">
        <v>6</v>
      </c>
      <c r="CD191" s="539" t="s">
        <v>8048</v>
      </c>
      <c r="CE191" s="539">
        <f t="shared" si="120"/>
        <v>897</v>
      </c>
      <c r="CF191" s="539" cm="1">
        <f t="array" aca="1" ref="CF191" ca="1">INDIRECT($BM$2&amp;CF$7&amp;$CE191,1)</f>
        <v>0</v>
      </c>
      <c r="CG191" s="539" cm="1">
        <f t="array" aca="1" ref="CG191" ca="1">INDIRECT($BM$2&amp;CG$7&amp;$CE191,1)</f>
        <v>0</v>
      </c>
      <c r="CH191" s="539" cm="1">
        <f t="array" aca="1" ref="CH191" ca="1">INDIRECT($BM$2&amp;CH$7&amp;$CE191,1)</f>
        <v>0</v>
      </c>
      <c r="CI191" s="539" cm="1">
        <f t="array" aca="1" ref="CI191" ca="1">INDIRECT($BM$2&amp;CI$7&amp;$CE191,1)</f>
        <v>0</v>
      </c>
      <c r="CJ191" s="539" cm="1">
        <f t="array" aca="1" ref="CJ191" ca="1">INDIRECT($BM$2&amp;CJ$7&amp;$CE191,1)</f>
        <v>0</v>
      </c>
      <c r="CK191" s="539" t="str">
        <f t="shared" ca="1" si="121"/>
        <v>-</v>
      </c>
      <c r="CL191" s="494" t="s">
        <v>8222</v>
      </c>
      <c r="CU191" s="469" t="s">
        <v>5510</v>
      </c>
      <c r="ES191" s="504"/>
      <c r="ET191" s="507"/>
      <c r="EU191" s="585"/>
      <c r="GC191" s="472" t="s">
        <v>5510</v>
      </c>
    </row>
    <row r="192" spans="1:185" x14ac:dyDescent="0.25">
      <c r="B192" s="506" t="s">
        <v>5916</v>
      </c>
      <c r="C192" s="1662" t="s">
        <v>5807</v>
      </c>
      <c r="D192" s="1663"/>
      <c r="E192" s="1666"/>
      <c r="F192" s="1666"/>
      <c r="I192" s="518" t="s">
        <v>5952</v>
      </c>
      <c r="J192" s="492">
        <f ca="1">IF(OR(COUNTIFS(J206:J215,C194,J206:J215,D194)&gt;=2,
COUNTIFS(K206:K215,C195,K206:K215,D195)&gt;=2),
1,0)</f>
        <v>0</v>
      </c>
      <c r="K192" s="20" t="s">
        <v>5940</v>
      </c>
      <c r="BF192" s="469" t="s">
        <v>5510</v>
      </c>
      <c r="BG192" s="469">
        <v>7</v>
      </c>
      <c r="BH192" s="539" t="s">
        <v>8048</v>
      </c>
      <c r="BI192" s="539">
        <f t="shared" si="116"/>
        <v>206</v>
      </c>
      <c r="BJ192" s="539" cm="1">
        <f t="array" aca="1" ref="BJ192" ca="1">INDIRECT($BM$2&amp;BJ$7&amp;$BI192,1)</f>
        <v>0</v>
      </c>
      <c r="BK192" s="539" cm="1">
        <f t="array" aca="1" ref="BK192" ca="1">INDIRECT($BM$2&amp;BK$7&amp;$BI192,1)</f>
        <v>0</v>
      </c>
      <c r="BL192" s="539" cm="1">
        <f t="array" aca="1" ref="BL192" ca="1">INDIRECT($BM$2&amp;BL$7&amp;$BI192,1)</f>
        <v>0</v>
      </c>
      <c r="BM192" s="539" cm="1">
        <f t="array" aca="1" ref="BM192" ca="1">INDIRECT($BM$2&amp;BM$7&amp;$BI192,1)</f>
        <v>0</v>
      </c>
      <c r="BN192" s="539" cm="1">
        <f t="array" aca="1" ref="BN192" ca="1">INDIRECT($BM$2&amp;BN$7&amp;$BI192,1)</f>
        <v>0</v>
      </c>
      <c r="BO192" s="539" t="str">
        <f t="shared" ca="1" si="117"/>
        <v>-</v>
      </c>
      <c r="BP192" s="494" t="s">
        <v>8222</v>
      </c>
      <c r="BQ192" s="20"/>
      <c r="BR192" s="469">
        <v>7</v>
      </c>
      <c r="BS192" s="539" t="s">
        <v>8048</v>
      </c>
      <c r="BT192" s="539">
        <f t="shared" si="118"/>
        <v>552</v>
      </c>
      <c r="BU192" s="539" cm="1">
        <f t="array" aca="1" ref="BU192" ca="1">INDIRECT($BM$2&amp;BU$7&amp;$BT192,1)</f>
        <v>0</v>
      </c>
      <c r="BV192" s="539" cm="1">
        <f t="array" aca="1" ref="BV192" ca="1">INDIRECT($BM$2&amp;BV$7&amp;$BT192,1)</f>
        <v>0</v>
      </c>
      <c r="BW192" s="539" cm="1">
        <f t="array" aca="1" ref="BW192" ca="1">INDIRECT($BM$2&amp;BW$7&amp;$BT192,1)</f>
        <v>0</v>
      </c>
      <c r="BX192" s="539" cm="1">
        <f t="array" aca="1" ref="BX192" ca="1">INDIRECT($BM$2&amp;BX$7&amp;$BT192,1)</f>
        <v>0</v>
      </c>
      <c r="BY192" s="539" cm="1">
        <f t="array" aca="1" ref="BY192" ca="1">INDIRECT($BM$2&amp;BY$7&amp;$BT192,1)</f>
        <v>0</v>
      </c>
      <c r="BZ192" s="539" t="str">
        <f t="shared" ca="1" si="119"/>
        <v>-</v>
      </c>
      <c r="CA192" s="494" t="s">
        <v>8222</v>
      </c>
      <c r="CC192" s="469">
        <v>7</v>
      </c>
      <c r="CD192" s="539" t="s">
        <v>8048</v>
      </c>
      <c r="CE192" s="539">
        <f t="shared" si="120"/>
        <v>898</v>
      </c>
      <c r="CF192" s="539" cm="1">
        <f t="array" aca="1" ref="CF192" ca="1">INDIRECT($BM$2&amp;CF$7&amp;$CE192,1)</f>
        <v>0</v>
      </c>
      <c r="CG192" s="539" cm="1">
        <f t="array" aca="1" ref="CG192" ca="1">INDIRECT($BM$2&amp;CG$7&amp;$CE192,1)</f>
        <v>0</v>
      </c>
      <c r="CH192" s="539" cm="1">
        <f t="array" aca="1" ref="CH192" ca="1">INDIRECT($BM$2&amp;CH$7&amp;$CE192,1)</f>
        <v>0</v>
      </c>
      <c r="CI192" s="539" cm="1">
        <f t="array" aca="1" ref="CI192" ca="1">INDIRECT($BM$2&amp;CI$7&amp;$CE192,1)</f>
        <v>0</v>
      </c>
      <c r="CJ192" s="539" cm="1">
        <f t="array" aca="1" ref="CJ192" ca="1">INDIRECT($BM$2&amp;CJ$7&amp;$CE192,1)</f>
        <v>0</v>
      </c>
      <c r="CK192" s="539" t="str">
        <f t="shared" ca="1" si="121"/>
        <v>-</v>
      </c>
      <c r="CL192" s="494" t="s">
        <v>8222</v>
      </c>
      <c r="CU192" s="469" t="s">
        <v>5510</v>
      </c>
      <c r="ES192" s="504"/>
      <c r="ET192" s="507"/>
      <c r="EU192" s="585"/>
      <c r="GC192" s="472" t="s">
        <v>5510</v>
      </c>
    </row>
    <row r="193" spans="2:185" x14ac:dyDescent="0.25">
      <c r="B193" s="506"/>
      <c r="C193" s="552" t="s">
        <v>5915</v>
      </c>
      <c r="D193" s="552" t="s">
        <v>5944</v>
      </c>
      <c r="E193" s="552" t="s">
        <v>5915</v>
      </c>
      <c r="F193" s="552" t="s">
        <v>5944</v>
      </c>
      <c r="I193" s="518" t="s">
        <v>5953</v>
      </c>
      <c r="J193" s="492">
        <f ca="1">IF(J192=1,0,
IF(OR(COUNTIFS(J206:J215,E194,J206:J215,F194)&gt;=2,
COUNTIFS(K206:K215,E195,K206:K215,F195)&gt;=2),
1,0))</f>
        <v>0</v>
      </c>
      <c r="K193" s="20" t="s">
        <v>5955</v>
      </c>
      <c r="BF193" s="469" t="s">
        <v>5510</v>
      </c>
      <c r="BG193" s="469">
        <v>8</v>
      </c>
      <c r="BH193" s="539" t="s">
        <v>8048</v>
      </c>
      <c r="BI193" s="539">
        <f t="shared" si="116"/>
        <v>207</v>
      </c>
      <c r="BJ193" s="539" cm="1">
        <f t="array" aca="1" ref="BJ193" ca="1">INDIRECT($BM$2&amp;BJ$7&amp;$BI193,1)</f>
        <v>0</v>
      </c>
      <c r="BK193" s="539" cm="1">
        <f t="array" aca="1" ref="BK193" ca="1">INDIRECT($BM$2&amp;BK$7&amp;$BI193,1)</f>
        <v>0</v>
      </c>
      <c r="BL193" s="539" cm="1">
        <f t="array" aca="1" ref="BL193" ca="1">INDIRECT($BM$2&amp;BL$7&amp;$BI193,1)</f>
        <v>0</v>
      </c>
      <c r="BM193" s="539" cm="1">
        <f t="array" aca="1" ref="BM193" ca="1">INDIRECT($BM$2&amp;BM$7&amp;$BI193,1)</f>
        <v>0</v>
      </c>
      <c r="BN193" s="539" cm="1">
        <f t="array" aca="1" ref="BN193" ca="1">INDIRECT($BM$2&amp;BN$7&amp;$BI193,1)</f>
        <v>0</v>
      </c>
      <c r="BO193" s="539" t="str">
        <f t="shared" ca="1" si="117"/>
        <v>-</v>
      </c>
      <c r="BP193" s="494" t="s">
        <v>8222</v>
      </c>
      <c r="BQ193" s="20"/>
      <c r="BR193" s="469">
        <v>8</v>
      </c>
      <c r="BS193" s="539" t="s">
        <v>8048</v>
      </c>
      <c r="BT193" s="539">
        <f t="shared" si="118"/>
        <v>553</v>
      </c>
      <c r="BU193" s="539" cm="1">
        <f t="array" aca="1" ref="BU193" ca="1">INDIRECT($BM$2&amp;BU$7&amp;$BT193,1)</f>
        <v>0</v>
      </c>
      <c r="BV193" s="539" cm="1">
        <f t="array" aca="1" ref="BV193" ca="1">INDIRECT($BM$2&amp;BV$7&amp;$BT193,1)</f>
        <v>0</v>
      </c>
      <c r="BW193" s="539" cm="1">
        <f t="array" aca="1" ref="BW193" ca="1">INDIRECT($BM$2&amp;BW$7&amp;$BT193,1)</f>
        <v>0</v>
      </c>
      <c r="BX193" s="539" cm="1">
        <f t="array" aca="1" ref="BX193" ca="1">INDIRECT($BM$2&amp;BX$7&amp;$BT193,1)</f>
        <v>0</v>
      </c>
      <c r="BY193" s="539" cm="1">
        <f t="array" aca="1" ref="BY193" ca="1">INDIRECT($BM$2&amp;BY$7&amp;$BT193,1)</f>
        <v>0</v>
      </c>
      <c r="BZ193" s="539" t="str">
        <f t="shared" ca="1" si="119"/>
        <v>-</v>
      </c>
      <c r="CA193" s="494" t="s">
        <v>8222</v>
      </c>
      <c r="CC193" s="469">
        <v>8</v>
      </c>
      <c r="CD193" s="539" t="s">
        <v>8048</v>
      </c>
      <c r="CE193" s="539">
        <f t="shared" si="120"/>
        <v>899</v>
      </c>
      <c r="CF193" s="539" cm="1">
        <f t="array" aca="1" ref="CF193" ca="1">INDIRECT($BM$2&amp;CF$7&amp;$CE193,1)</f>
        <v>0</v>
      </c>
      <c r="CG193" s="539" cm="1">
        <f t="array" aca="1" ref="CG193" ca="1">INDIRECT($BM$2&amp;CG$7&amp;$CE193,1)</f>
        <v>0</v>
      </c>
      <c r="CH193" s="539" cm="1">
        <f t="array" aca="1" ref="CH193" ca="1">INDIRECT($BM$2&amp;CH$7&amp;$CE193,1)</f>
        <v>0</v>
      </c>
      <c r="CI193" s="539" cm="1">
        <f t="array" aca="1" ref="CI193" ca="1">INDIRECT($BM$2&amp;CI$7&amp;$CE193,1)</f>
        <v>0</v>
      </c>
      <c r="CJ193" s="539" cm="1">
        <f t="array" aca="1" ref="CJ193" ca="1">INDIRECT($BM$2&amp;CJ$7&amp;$CE193,1)</f>
        <v>0</v>
      </c>
      <c r="CK193" s="539" t="str">
        <f t="shared" ca="1" si="121"/>
        <v>-</v>
      </c>
      <c r="CL193" s="494" t="s">
        <v>8222</v>
      </c>
      <c r="CU193" s="469" t="s">
        <v>5510</v>
      </c>
      <c r="ES193" s="504"/>
      <c r="ET193" s="507"/>
      <c r="EU193" s="585"/>
      <c r="GC193" s="472" t="s">
        <v>5510</v>
      </c>
    </row>
    <row r="194" spans="2:185" x14ac:dyDescent="0.25">
      <c r="B194" s="506" t="s">
        <v>5943</v>
      </c>
      <c r="C194" s="525" t="s">
        <v>5945</v>
      </c>
      <c r="D194" s="525" t="s">
        <v>5946</v>
      </c>
      <c r="E194" s="525" t="s">
        <v>5947</v>
      </c>
      <c r="F194" s="525" t="s">
        <v>5948</v>
      </c>
      <c r="BF194" s="469" t="s">
        <v>5510</v>
      </c>
      <c r="BG194" s="469">
        <v>9</v>
      </c>
      <c r="BH194" s="539" t="s">
        <v>8048</v>
      </c>
      <c r="BI194" s="539">
        <f t="shared" si="116"/>
        <v>208</v>
      </c>
      <c r="BJ194" s="539" cm="1">
        <f t="array" aca="1" ref="BJ194" ca="1">INDIRECT($BM$2&amp;BJ$7&amp;$BI194,1)</f>
        <v>0</v>
      </c>
      <c r="BK194" s="539" cm="1">
        <f t="array" aca="1" ref="BK194" ca="1">INDIRECT($BM$2&amp;BK$7&amp;$BI194,1)</f>
        <v>0</v>
      </c>
      <c r="BL194" s="539" cm="1">
        <f t="array" aca="1" ref="BL194" ca="1">INDIRECT($BM$2&amp;BL$7&amp;$BI194,1)</f>
        <v>0</v>
      </c>
      <c r="BM194" s="539" cm="1">
        <f t="array" aca="1" ref="BM194" ca="1">INDIRECT($BM$2&amp;BM$7&amp;$BI194,1)</f>
        <v>0</v>
      </c>
      <c r="BN194" s="539" cm="1">
        <f t="array" aca="1" ref="BN194" ca="1">INDIRECT($BM$2&amp;BN$7&amp;$BI194,1)</f>
        <v>0</v>
      </c>
      <c r="BO194" s="539" t="str">
        <f t="shared" ca="1" si="117"/>
        <v>-</v>
      </c>
      <c r="BP194" s="494" t="s">
        <v>8222</v>
      </c>
      <c r="BQ194" s="20"/>
      <c r="BR194" s="469">
        <v>9</v>
      </c>
      <c r="BS194" s="539" t="s">
        <v>8048</v>
      </c>
      <c r="BT194" s="539">
        <f t="shared" si="118"/>
        <v>554</v>
      </c>
      <c r="BU194" s="539" cm="1">
        <f t="array" aca="1" ref="BU194" ca="1">INDIRECT($BM$2&amp;BU$7&amp;$BT194,1)</f>
        <v>0</v>
      </c>
      <c r="BV194" s="539" cm="1">
        <f t="array" aca="1" ref="BV194" ca="1">INDIRECT($BM$2&amp;BV$7&amp;$BT194,1)</f>
        <v>0</v>
      </c>
      <c r="BW194" s="539" cm="1">
        <f t="array" aca="1" ref="BW194" ca="1">INDIRECT($BM$2&amp;BW$7&amp;$BT194,1)</f>
        <v>0</v>
      </c>
      <c r="BX194" s="539" cm="1">
        <f t="array" aca="1" ref="BX194" ca="1">INDIRECT($BM$2&amp;BX$7&amp;$BT194,1)</f>
        <v>0</v>
      </c>
      <c r="BY194" s="539" cm="1">
        <f t="array" aca="1" ref="BY194" ca="1">INDIRECT($BM$2&amp;BY$7&amp;$BT194,1)</f>
        <v>0</v>
      </c>
      <c r="BZ194" s="539" t="str">
        <f t="shared" ca="1" si="119"/>
        <v>-</v>
      </c>
      <c r="CA194" s="494" t="s">
        <v>8222</v>
      </c>
      <c r="CC194" s="469">
        <v>9</v>
      </c>
      <c r="CD194" s="539" t="s">
        <v>8048</v>
      </c>
      <c r="CE194" s="539">
        <f t="shared" si="120"/>
        <v>900</v>
      </c>
      <c r="CF194" s="539" cm="1">
        <f t="array" aca="1" ref="CF194" ca="1">INDIRECT($BM$2&amp;CF$7&amp;$CE194,1)</f>
        <v>0</v>
      </c>
      <c r="CG194" s="539" cm="1">
        <f t="array" aca="1" ref="CG194" ca="1">INDIRECT($BM$2&amp;CG$7&amp;$CE194,1)</f>
        <v>0</v>
      </c>
      <c r="CH194" s="539" cm="1">
        <f t="array" aca="1" ref="CH194" ca="1">INDIRECT($BM$2&amp;CH$7&amp;$CE194,1)</f>
        <v>0</v>
      </c>
      <c r="CI194" s="539" cm="1">
        <f t="array" aca="1" ref="CI194" ca="1">INDIRECT($BM$2&amp;CI$7&amp;$CE194,1)</f>
        <v>0</v>
      </c>
      <c r="CJ194" s="539" cm="1">
        <f t="array" aca="1" ref="CJ194" ca="1">INDIRECT($BM$2&amp;CJ$7&amp;$CE194,1)</f>
        <v>0</v>
      </c>
      <c r="CK194" s="539" t="str">
        <f t="shared" ca="1" si="121"/>
        <v>-</v>
      </c>
      <c r="CL194" s="494" t="s">
        <v>8222</v>
      </c>
      <c r="CU194" s="469" t="s">
        <v>5510</v>
      </c>
      <c r="ES194" s="504"/>
      <c r="ET194" s="507"/>
      <c r="EU194" s="585"/>
      <c r="GC194" s="472" t="s">
        <v>5510</v>
      </c>
    </row>
    <row r="195" spans="2:185" x14ac:dyDescent="0.25">
      <c r="B195" s="506" t="s">
        <v>46</v>
      </c>
      <c r="C195" s="525" t="s">
        <v>5945</v>
      </c>
      <c r="D195" s="525" t="s">
        <v>5946</v>
      </c>
      <c r="E195" s="525" t="s">
        <v>5947</v>
      </c>
      <c r="F195" s="525" t="s">
        <v>5948</v>
      </c>
      <c r="BF195" s="469" t="s">
        <v>5510</v>
      </c>
      <c r="BG195" s="469">
        <v>10</v>
      </c>
      <c r="BH195" s="539" t="s">
        <v>8048</v>
      </c>
      <c r="BI195" s="539">
        <f t="shared" si="116"/>
        <v>209</v>
      </c>
      <c r="BJ195" s="539" cm="1">
        <f t="array" aca="1" ref="BJ195" ca="1">INDIRECT($BM$2&amp;BJ$7&amp;$BI195,1)</f>
        <v>0</v>
      </c>
      <c r="BK195" s="539" cm="1">
        <f t="array" aca="1" ref="BK195" ca="1">INDIRECT($BM$2&amp;BK$7&amp;$BI195,1)</f>
        <v>0</v>
      </c>
      <c r="BL195" s="539" cm="1">
        <f t="array" aca="1" ref="BL195" ca="1">INDIRECT($BM$2&amp;BL$7&amp;$BI195,1)</f>
        <v>0</v>
      </c>
      <c r="BM195" s="539" cm="1">
        <f t="array" aca="1" ref="BM195" ca="1">INDIRECT($BM$2&amp;BM$7&amp;$BI195,1)</f>
        <v>0</v>
      </c>
      <c r="BN195" s="539" cm="1">
        <f t="array" aca="1" ref="BN195" ca="1">INDIRECT($BM$2&amp;BN$7&amp;$BI195,1)</f>
        <v>0</v>
      </c>
      <c r="BO195" s="539" t="str">
        <f t="shared" ca="1" si="117"/>
        <v>-</v>
      </c>
      <c r="BP195" s="494" t="s">
        <v>8222</v>
      </c>
      <c r="BQ195" s="20"/>
      <c r="BR195" s="469">
        <v>10</v>
      </c>
      <c r="BS195" s="539" t="s">
        <v>8048</v>
      </c>
      <c r="BT195" s="539">
        <f t="shared" si="118"/>
        <v>555</v>
      </c>
      <c r="BU195" s="539" cm="1">
        <f t="array" aca="1" ref="BU195" ca="1">INDIRECT($BM$2&amp;BU$7&amp;$BT195,1)</f>
        <v>0</v>
      </c>
      <c r="BV195" s="539" cm="1">
        <f t="array" aca="1" ref="BV195" ca="1">INDIRECT($BM$2&amp;BV$7&amp;$BT195,1)</f>
        <v>0</v>
      </c>
      <c r="BW195" s="539" cm="1">
        <f t="array" aca="1" ref="BW195" ca="1">INDIRECT($BM$2&amp;BW$7&amp;$BT195,1)</f>
        <v>0</v>
      </c>
      <c r="BX195" s="539" cm="1">
        <f t="array" aca="1" ref="BX195" ca="1">INDIRECT($BM$2&amp;BX$7&amp;$BT195,1)</f>
        <v>0</v>
      </c>
      <c r="BY195" s="539" cm="1">
        <f t="array" aca="1" ref="BY195" ca="1">INDIRECT($BM$2&amp;BY$7&amp;$BT195,1)</f>
        <v>0</v>
      </c>
      <c r="BZ195" s="539" t="str">
        <f t="shared" ca="1" si="119"/>
        <v>-</v>
      </c>
      <c r="CA195" s="494" t="s">
        <v>8222</v>
      </c>
      <c r="CC195" s="469">
        <v>10</v>
      </c>
      <c r="CD195" s="539" t="s">
        <v>8048</v>
      </c>
      <c r="CE195" s="539">
        <f t="shared" si="120"/>
        <v>901</v>
      </c>
      <c r="CF195" s="539" cm="1">
        <f t="array" aca="1" ref="CF195" ca="1">INDIRECT($BM$2&amp;CF$7&amp;$CE195,1)</f>
        <v>0</v>
      </c>
      <c r="CG195" s="539" cm="1">
        <f t="array" aca="1" ref="CG195" ca="1">INDIRECT($BM$2&amp;CG$7&amp;$CE195,1)</f>
        <v>0</v>
      </c>
      <c r="CH195" s="539" cm="1">
        <f t="array" aca="1" ref="CH195" ca="1">INDIRECT($BM$2&amp;CH$7&amp;$CE195,1)</f>
        <v>0</v>
      </c>
      <c r="CI195" s="539" cm="1">
        <f t="array" aca="1" ref="CI195" ca="1">INDIRECT($BM$2&amp;CI$7&amp;$CE195,1)</f>
        <v>0</v>
      </c>
      <c r="CJ195" s="539" cm="1">
        <f t="array" aca="1" ref="CJ195" ca="1">INDIRECT($BM$2&amp;CJ$7&amp;$CE195,1)</f>
        <v>0</v>
      </c>
      <c r="CK195" s="539" t="str">
        <f t="shared" ca="1" si="121"/>
        <v>-</v>
      </c>
      <c r="CL195" s="494" t="s">
        <v>8222</v>
      </c>
      <c r="CU195" s="469" t="s">
        <v>5510</v>
      </c>
      <c r="ES195" s="504"/>
      <c r="ET195" s="507"/>
      <c r="EU195" s="585"/>
      <c r="GC195" s="472" t="s">
        <v>5510</v>
      </c>
    </row>
    <row r="196" spans="2:185" x14ac:dyDescent="0.25">
      <c r="J196" s="651" t="s">
        <v>5549</v>
      </c>
      <c r="BF196" s="469" t="s">
        <v>5510</v>
      </c>
      <c r="BG196" s="469">
        <v>11</v>
      </c>
      <c r="BH196" s="539" t="s">
        <v>8048</v>
      </c>
      <c r="BI196" s="539">
        <f t="shared" si="116"/>
        <v>210</v>
      </c>
      <c r="BJ196" s="539" cm="1">
        <f t="array" aca="1" ref="BJ196" ca="1">INDIRECT($BM$2&amp;BJ$7&amp;$BI196,1)</f>
        <v>0</v>
      </c>
      <c r="BK196" s="539" cm="1">
        <f t="array" aca="1" ref="BK196" ca="1">INDIRECT($BM$2&amp;BK$7&amp;$BI196,1)</f>
        <v>0</v>
      </c>
      <c r="BL196" s="539" cm="1">
        <f t="array" aca="1" ref="BL196" ca="1">INDIRECT($BM$2&amp;BL$7&amp;$BI196,1)</f>
        <v>0</v>
      </c>
      <c r="BM196" s="539" cm="1">
        <f t="array" aca="1" ref="BM196" ca="1">INDIRECT($BM$2&amp;BM$7&amp;$BI196,1)</f>
        <v>0</v>
      </c>
      <c r="BN196" s="539" cm="1">
        <f t="array" aca="1" ref="BN196" ca="1">INDIRECT($BM$2&amp;BN$7&amp;$BI196,1)</f>
        <v>0</v>
      </c>
      <c r="BO196" s="539" t="str">
        <f t="shared" ca="1" si="117"/>
        <v>-</v>
      </c>
      <c r="BP196" s="494" t="s">
        <v>8222</v>
      </c>
      <c r="BQ196" s="20"/>
      <c r="BR196" s="469">
        <v>11</v>
      </c>
      <c r="BS196" s="539" t="s">
        <v>8048</v>
      </c>
      <c r="BT196" s="539">
        <f t="shared" si="118"/>
        <v>556</v>
      </c>
      <c r="BU196" s="539" cm="1">
        <f t="array" aca="1" ref="BU196" ca="1">INDIRECT($BM$2&amp;BU$7&amp;$BT196,1)</f>
        <v>0</v>
      </c>
      <c r="BV196" s="539" cm="1">
        <f t="array" aca="1" ref="BV196" ca="1">INDIRECT($BM$2&amp;BV$7&amp;$BT196,1)</f>
        <v>0</v>
      </c>
      <c r="BW196" s="539" cm="1">
        <f t="array" aca="1" ref="BW196" ca="1">INDIRECT($BM$2&amp;BW$7&amp;$BT196,1)</f>
        <v>0</v>
      </c>
      <c r="BX196" s="539" cm="1">
        <f t="array" aca="1" ref="BX196" ca="1">INDIRECT($BM$2&amp;BX$7&amp;$BT196,1)</f>
        <v>0</v>
      </c>
      <c r="BY196" s="539" cm="1">
        <f t="array" aca="1" ref="BY196" ca="1">INDIRECT($BM$2&amp;BY$7&amp;$BT196,1)</f>
        <v>0</v>
      </c>
      <c r="BZ196" s="539" t="str">
        <f t="shared" ca="1" si="119"/>
        <v>-</v>
      </c>
      <c r="CA196" s="494" t="s">
        <v>8222</v>
      </c>
      <c r="CC196" s="469">
        <v>11</v>
      </c>
      <c r="CD196" s="539" t="s">
        <v>8048</v>
      </c>
      <c r="CE196" s="539">
        <f t="shared" si="120"/>
        <v>902</v>
      </c>
      <c r="CF196" s="539" cm="1">
        <f t="array" aca="1" ref="CF196" ca="1">INDIRECT($BM$2&amp;CF$7&amp;$CE196,1)</f>
        <v>0</v>
      </c>
      <c r="CG196" s="539" cm="1">
        <f t="array" aca="1" ref="CG196" ca="1">INDIRECT($BM$2&amp;CG$7&amp;$CE196,1)</f>
        <v>0</v>
      </c>
      <c r="CH196" s="539" cm="1">
        <f t="array" aca="1" ref="CH196" ca="1">INDIRECT($BM$2&amp;CH$7&amp;$CE196,1)</f>
        <v>0</v>
      </c>
      <c r="CI196" s="539" cm="1">
        <f t="array" aca="1" ref="CI196" ca="1">INDIRECT($BM$2&amp;CI$7&amp;$CE196,1)</f>
        <v>0</v>
      </c>
      <c r="CJ196" s="539" cm="1">
        <f t="array" aca="1" ref="CJ196" ca="1">INDIRECT($BM$2&amp;CJ$7&amp;$CE196,1)</f>
        <v>0</v>
      </c>
      <c r="CK196" s="539" t="str">
        <f t="shared" ca="1" si="121"/>
        <v>-</v>
      </c>
      <c r="CL196" s="494" t="s">
        <v>8222</v>
      </c>
      <c r="CU196" s="469" t="s">
        <v>5510</v>
      </c>
      <c r="ES196" s="504"/>
      <c r="ET196" s="507"/>
      <c r="EU196" s="585"/>
      <c r="GC196" s="472" t="s">
        <v>5510</v>
      </c>
    </row>
    <row r="197" spans="2:185" x14ac:dyDescent="0.25">
      <c r="I197" s="518" t="s">
        <v>5952</v>
      </c>
      <c r="J197" s="492">
        <f ca="1">IF(OR(COUNTIFS(J221:J230,C194,J221:J230,D194)&gt;=2,
COUNTIFS(K221:K230,C195,K221:K230,D195)&gt;=2),
1,0)</f>
        <v>0</v>
      </c>
      <c r="K197" s="20" t="s">
        <v>5940</v>
      </c>
      <c r="BF197" s="469" t="s">
        <v>5510</v>
      </c>
      <c r="BG197" s="469">
        <v>12</v>
      </c>
      <c r="BH197" s="539" t="s">
        <v>8048</v>
      </c>
      <c r="BI197" s="539">
        <f t="shared" si="116"/>
        <v>211</v>
      </c>
      <c r="BJ197" s="539" cm="1">
        <f t="array" aca="1" ref="BJ197" ca="1">INDIRECT($BM$2&amp;BJ$7&amp;$BI197,1)</f>
        <v>0</v>
      </c>
      <c r="BK197" s="539" cm="1">
        <f t="array" aca="1" ref="BK197" ca="1">INDIRECT($BM$2&amp;BK$7&amp;$BI197,1)</f>
        <v>0</v>
      </c>
      <c r="BL197" s="539" cm="1">
        <f t="array" aca="1" ref="BL197" ca="1">INDIRECT($BM$2&amp;BL$7&amp;$BI197,1)</f>
        <v>0</v>
      </c>
      <c r="BM197" s="539" cm="1">
        <f t="array" aca="1" ref="BM197" ca="1">INDIRECT($BM$2&amp;BM$7&amp;$BI197,1)</f>
        <v>0</v>
      </c>
      <c r="BN197" s="539" t="str" cm="1">
        <f t="array" aca="1" ref="BN197" ca="1">INDIRECT($BM$2&amp;BN$7&amp;$BI197,1)</f>
        <v>-</v>
      </c>
      <c r="BO197" s="539" t="str">
        <f t="shared" ca="1" si="117"/>
        <v>-</v>
      </c>
      <c r="BP197" s="561" t="s">
        <v>8223</v>
      </c>
      <c r="BQ197" s="20"/>
      <c r="BR197" s="469">
        <v>12</v>
      </c>
      <c r="BS197" s="539" t="s">
        <v>8048</v>
      </c>
      <c r="BT197" s="539">
        <f t="shared" si="118"/>
        <v>557</v>
      </c>
      <c r="BU197" s="539" cm="1">
        <f t="array" aca="1" ref="BU197" ca="1">INDIRECT($BM$2&amp;BU$7&amp;$BT197,1)</f>
        <v>0</v>
      </c>
      <c r="BV197" s="539" cm="1">
        <f t="array" aca="1" ref="BV197" ca="1">INDIRECT($BM$2&amp;BV$7&amp;$BT197,1)</f>
        <v>0</v>
      </c>
      <c r="BW197" s="539" cm="1">
        <f t="array" aca="1" ref="BW197" ca="1">INDIRECT($BM$2&amp;BW$7&amp;$BT197,1)</f>
        <v>0</v>
      </c>
      <c r="BX197" s="539" cm="1">
        <f t="array" aca="1" ref="BX197" ca="1">INDIRECT($BM$2&amp;BX$7&amp;$BT197,1)</f>
        <v>0</v>
      </c>
      <c r="BY197" s="539" t="str" cm="1">
        <f t="array" aca="1" ref="BY197" ca="1">INDIRECT($BM$2&amp;BY$7&amp;$BT197,1)</f>
        <v>-</v>
      </c>
      <c r="BZ197" s="539" t="str">
        <f t="shared" ca="1" si="119"/>
        <v>-</v>
      </c>
      <c r="CA197" s="561" t="s">
        <v>8223</v>
      </c>
      <c r="CC197" s="469">
        <v>12</v>
      </c>
      <c r="CD197" s="539" t="s">
        <v>8048</v>
      </c>
      <c r="CE197" s="539">
        <f t="shared" si="120"/>
        <v>903</v>
      </c>
      <c r="CF197" s="539" cm="1">
        <f t="array" aca="1" ref="CF197" ca="1">INDIRECT($BM$2&amp;CF$7&amp;$CE197,1)</f>
        <v>0</v>
      </c>
      <c r="CG197" s="539" cm="1">
        <f t="array" aca="1" ref="CG197" ca="1">INDIRECT($BM$2&amp;CG$7&amp;$CE197,1)</f>
        <v>0</v>
      </c>
      <c r="CH197" s="539" cm="1">
        <f t="array" aca="1" ref="CH197" ca="1">INDIRECT($BM$2&amp;CH$7&amp;$CE197,1)</f>
        <v>0</v>
      </c>
      <c r="CI197" s="539" cm="1">
        <f t="array" aca="1" ref="CI197" ca="1">INDIRECT($BM$2&amp;CI$7&amp;$CE197,1)</f>
        <v>0</v>
      </c>
      <c r="CJ197" s="539" t="str" cm="1">
        <f t="array" aca="1" ref="CJ197" ca="1">INDIRECT($BM$2&amp;CJ$7&amp;$CE197,1)</f>
        <v>-</v>
      </c>
      <c r="CK197" s="539" t="str">
        <f t="shared" ca="1" si="121"/>
        <v>-</v>
      </c>
      <c r="CL197" s="561" t="s">
        <v>8223</v>
      </c>
      <c r="CU197" s="469" t="s">
        <v>5510</v>
      </c>
      <c r="ES197" s="504"/>
      <c r="ET197" s="507"/>
      <c r="EU197" s="585"/>
      <c r="GC197" s="472" t="s">
        <v>5510</v>
      </c>
    </row>
    <row r="198" spans="2:185" x14ac:dyDescent="0.25">
      <c r="I198" s="518" t="s">
        <v>5953</v>
      </c>
      <c r="J198" s="492">
        <f ca="1">IF(J197=1,0,
IF(OR(COUNTIFS(J221:J230,E194,J221:J230,F194)&gt;=2,
COUNTIFS(K221:K230,E195,K221:K230,F195)&gt;=2),
1,0))</f>
        <v>0</v>
      </c>
      <c r="K198" s="20" t="s">
        <v>5955</v>
      </c>
      <c r="BF198" s="469" t="s">
        <v>5510</v>
      </c>
      <c r="BL198" s="372"/>
      <c r="BO198" s="472"/>
      <c r="BQ198" s="20"/>
      <c r="BT198" s="372"/>
      <c r="BU198" s="472"/>
      <c r="BV198" s="472"/>
      <c r="BW198" s="372"/>
      <c r="BX198" s="472"/>
      <c r="BY198" s="372"/>
      <c r="BZ198" s="472"/>
      <c r="CA198" s="372"/>
      <c r="CE198" s="372"/>
      <c r="CF198" s="472"/>
      <c r="CG198" s="472"/>
      <c r="CH198" s="372"/>
      <c r="CI198" s="472"/>
      <c r="CJ198" s="372"/>
      <c r="CK198" s="472"/>
      <c r="CL198" s="372"/>
      <c r="CU198" s="469" t="s">
        <v>5510</v>
      </c>
      <c r="ES198" s="504"/>
      <c r="ET198" s="507"/>
      <c r="EU198" s="585"/>
      <c r="GC198" s="472" t="s">
        <v>5510</v>
      </c>
    </row>
    <row r="199" spans="2:185" x14ac:dyDescent="0.25">
      <c r="BF199" s="469" t="s">
        <v>5510</v>
      </c>
      <c r="BL199" s="372"/>
      <c r="BO199" s="472"/>
      <c r="BQ199" s="20"/>
      <c r="BT199" s="372"/>
      <c r="BU199" s="472"/>
      <c r="BV199" s="472"/>
      <c r="BW199" s="372"/>
      <c r="BX199" s="472"/>
      <c r="BY199" s="372"/>
      <c r="BZ199" s="472"/>
      <c r="CA199" s="372"/>
      <c r="CE199" s="372"/>
      <c r="CF199" s="472"/>
      <c r="CG199" s="472"/>
      <c r="CH199" s="372"/>
      <c r="CI199" s="472"/>
      <c r="CJ199" s="372"/>
      <c r="CK199" s="472"/>
      <c r="CL199" s="372"/>
      <c r="CU199" s="469" t="s">
        <v>5510</v>
      </c>
      <c r="ES199" s="504"/>
      <c r="ET199" s="507"/>
      <c r="EU199" s="585"/>
      <c r="GC199" s="472" t="s">
        <v>5510</v>
      </c>
    </row>
    <row r="200" spans="2:185" x14ac:dyDescent="0.25">
      <c r="BF200" s="469" t="s">
        <v>5510</v>
      </c>
      <c r="BQ200" s="20"/>
      <c r="BT200" s="372"/>
      <c r="BU200" s="472"/>
      <c r="BV200" s="472"/>
      <c r="BW200" s="472"/>
      <c r="BX200" s="472"/>
      <c r="BY200" s="372"/>
      <c r="BZ200" s="372"/>
      <c r="CA200" s="372"/>
      <c r="CE200" s="372"/>
      <c r="CF200" s="472"/>
      <c r="CG200" s="472"/>
      <c r="CH200" s="472"/>
      <c r="CI200" s="472"/>
      <c r="CJ200" s="372"/>
      <c r="CK200" s="372"/>
      <c r="CL200" s="372"/>
      <c r="CU200" s="469" t="s">
        <v>5510</v>
      </c>
      <c r="ES200" s="504"/>
      <c r="ET200" s="507"/>
      <c r="EU200" s="585"/>
      <c r="GC200" s="472" t="s">
        <v>5510</v>
      </c>
    </row>
    <row r="201" spans="2:185" x14ac:dyDescent="0.25">
      <c r="BF201" s="469" t="s">
        <v>5510</v>
      </c>
      <c r="BQ201" s="20"/>
      <c r="BT201" s="372"/>
      <c r="BU201" s="472"/>
      <c r="BV201" s="472"/>
      <c r="BW201" s="472"/>
      <c r="BX201" s="472"/>
      <c r="BY201" s="372"/>
      <c r="BZ201" s="372"/>
      <c r="CA201" s="372"/>
      <c r="CE201" s="372"/>
      <c r="CF201" s="472"/>
      <c r="CG201" s="472"/>
      <c r="CH201" s="472"/>
      <c r="CI201" s="472"/>
      <c r="CJ201" s="372"/>
      <c r="CK201" s="372"/>
      <c r="CL201" s="372"/>
      <c r="CU201" s="469" t="s">
        <v>5510</v>
      </c>
      <c r="ES201" s="504"/>
      <c r="ET201" s="507"/>
      <c r="EU201" s="585"/>
      <c r="GC201" s="472" t="s">
        <v>5510</v>
      </c>
    </row>
    <row r="202" spans="2:185" x14ac:dyDescent="0.25">
      <c r="BF202" s="469" t="s">
        <v>5510</v>
      </c>
      <c r="BG202" s="469">
        <v>1</v>
      </c>
      <c r="BH202" s="539" t="s">
        <v>8049</v>
      </c>
      <c r="BI202" s="539">
        <f>BI197+$BO$6</f>
        <v>217</v>
      </c>
      <c r="BJ202" s="539" cm="1">
        <f t="array" aca="1" ref="BJ202" ca="1">INDIRECT($BM$2&amp;BJ$7&amp;$BI202,1)</f>
        <v>0</v>
      </c>
      <c r="BK202" s="539" cm="1">
        <f t="array" aca="1" ref="BK202" ca="1">INDIRECT($BM$2&amp;BK$7&amp;$BI202,1)</f>
        <v>0</v>
      </c>
      <c r="BL202" s="539" cm="1">
        <f t="array" aca="1" ref="BL202" ca="1">INDIRECT($BM$2&amp;BL$7&amp;$BI202,1)</f>
        <v>0</v>
      </c>
      <c r="BM202" s="539" cm="1">
        <f t="array" aca="1" ref="BM202" ca="1">INDIRECT($BM$2&amp;BM$7&amp;$BI202,1)</f>
        <v>0</v>
      </c>
      <c r="BN202" s="539" cm="1">
        <f t="array" aca="1" ref="BN202" ca="1">INDIRECT($BM$2&amp;BN$7&amp;$BI202,1)</f>
        <v>0</v>
      </c>
      <c r="BO202" s="539" t="str">
        <f ca="1">IFERROR(BK202/BK$202,"-")</f>
        <v>-</v>
      </c>
      <c r="BP202" s="540" t="s">
        <v>8221</v>
      </c>
      <c r="BQ202" s="20"/>
      <c r="BR202" s="469">
        <v>1</v>
      </c>
      <c r="BS202" s="539" t="s">
        <v>8049</v>
      </c>
      <c r="BT202" s="539">
        <f>BT197+$BO$6</f>
        <v>563</v>
      </c>
      <c r="BU202" s="539" cm="1">
        <f t="array" aca="1" ref="BU202" ca="1">INDIRECT($BM$2&amp;BU$7&amp;$BT202,1)</f>
        <v>0</v>
      </c>
      <c r="BV202" s="539" cm="1">
        <f t="array" aca="1" ref="BV202" ca="1">INDIRECT($BM$2&amp;BV$7&amp;$BT202,1)</f>
        <v>0</v>
      </c>
      <c r="BW202" s="539" cm="1">
        <f t="array" aca="1" ref="BW202" ca="1">INDIRECT($BM$2&amp;BW$7&amp;$BT202,1)</f>
        <v>0</v>
      </c>
      <c r="BX202" s="539" cm="1">
        <f t="array" aca="1" ref="BX202" ca="1">INDIRECT($BM$2&amp;BX$7&amp;$BT202,1)</f>
        <v>0</v>
      </c>
      <c r="BY202" s="539" cm="1">
        <f t="array" aca="1" ref="BY202" ca="1">INDIRECT($BM$2&amp;BY$7&amp;$BT202,1)</f>
        <v>0</v>
      </c>
      <c r="BZ202" s="539" t="str">
        <f ca="1">IFERROR(BV202/BV$202,"-")</f>
        <v>-</v>
      </c>
      <c r="CA202" s="540" t="s">
        <v>8221</v>
      </c>
      <c r="CC202" s="469">
        <v>1</v>
      </c>
      <c r="CD202" s="539" t="s">
        <v>8049</v>
      </c>
      <c r="CE202" s="539">
        <f>CE197+$BO$6</f>
        <v>909</v>
      </c>
      <c r="CF202" s="539" cm="1">
        <f t="array" aca="1" ref="CF202" ca="1">INDIRECT($BM$2&amp;CF$7&amp;$CE202,1)</f>
        <v>0</v>
      </c>
      <c r="CG202" s="539" cm="1">
        <f t="array" aca="1" ref="CG202" ca="1">INDIRECT($BM$2&amp;CG$7&amp;$CE202,1)</f>
        <v>0</v>
      </c>
      <c r="CH202" s="539" cm="1">
        <f t="array" aca="1" ref="CH202" ca="1">INDIRECT($BM$2&amp;CH$7&amp;$CE202,1)</f>
        <v>0</v>
      </c>
      <c r="CI202" s="539" cm="1">
        <f t="array" aca="1" ref="CI202" ca="1">INDIRECT($BM$2&amp;CI$7&amp;$CE202,1)</f>
        <v>0</v>
      </c>
      <c r="CJ202" s="539" cm="1">
        <f t="array" aca="1" ref="CJ202" ca="1">INDIRECT($BM$2&amp;CJ$7&amp;$CE202,1)</f>
        <v>0</v>
      </c>
      <c r="CK202" s="539" t="str">
        <f ca="1">IFERROR(CG202/CG$202,"-")</f>
        <v>-</v>
      </c>
      <c r="CL202" s="540" t="s">
        <v>8221</v>
      </c>
      <c r="CU202" s="469" t="s">
        <v>5510</v>
      </c>
      <c r="ES202" s="504"/>
      <c r="ET202" s="507"/>
      <c r="EU202" s="585"/>
      <c r="GC202" s="472" t="s">
        <v>5510</v>
      </c>
    </row>
    <row r="203" spans="2:185" x14ac:dyDescent="0.25">
      <c r="C203" s="660" t="s">
        <v>5576</v>
      </c>
      <c r="D203" s="660" t="s">
        <v>5951</v>
      </c>
      <c r="E203" s="660" t="s">
        <v>5734</v>
      </c>
      <c r="F203" s="660" t="s">
        <v>5732</v>
      </c>
      <c r="G203" s="660" t="s">
        <v>5737</v>
      </c>
      <c r="H203" s="660" t="s">
        <v>5739</v>
      </c>
      <c r="I203" s="660" t="s">
        <v>5907</v>
      </c>
      <c r="J203" s="525"/>
      <c r="K203" s="525"/>
      <c r="BF203" s="469" t="s">
        <v>5510</v>
      </c>
      <c r="BG203" s="469">
        <v>2</v>
      </c>
      <c r="BH203" s="539" t="s">
        <v>8049</v>
      </c>
      <c r="BI203" s="539">
        <f t="shared" ref="BI203:BI213" si="122">BI202+1</f>
        <v>218</v>
      </c>
      <c r="BJ203" s="539" cm="1">
        <f t="array" aca="1" ref="BJ203" ca="1">INDIRECT($BM$2&amp;BJ$7&amp;$BI203,1)</f>
        <v>0</v>
      </c>
      <c r="BK203" s="539" cm="1">
        <f t="array" aca="1" ref="BK203" ca="1">INDIRECT($BM$2&amp;BK$7&amp;$BI203,1)</f>
        <v>0</v>
      </c>
      <c r="BL203" s="539" cm="1">
        <f t="array" aca="1" ref="BL203" ca="1">INDIRECT($BM$2&amp;BL$7&amp;$BI203,1)</f>
        <v>0</v>
      </c>
      <c r="BM203" s="539" cm="1">
        <f t="array" aca="1" ref="BM203" ca="1">INDIRECT($BM$2&amp;BM$7&amp;$BI203,1)</f>
        <v>0</v>
      </c>
      <c r="BN203" s="539" cm="1">
        <f t="array" aca="1" ref="BN203" ca="1">INDIRECT($BM$2&amp;BN$7&amp;$BI203,1)</f>
        <v>0</v>
      </c>
      <c r="BO203" s="539" t="str">
        <f t="shared" ref="BO203:BO213" ca="1" si="123">IF(BK203=0,"-",IFERROR(BK203/BK$202,"-"))</f>
        <v>-</v>
      </c>
      <c r="BP203" s="494" t="s">
        <v>8222</v>
      </c>
      <c r="BQ203" s="20"/>
      <c r="BR203" s="469">
        <v>2</v>
      </c>
      <c r="BS203" s="539" t="s">
        <v>8049</v>
      </c>
      <c r="BT203" s="539">
        <f t="shared" ref="BT203:BT213" si="124">BT202+1</f>
        <v>564</v>
      </c>
      <c r="BU203" s="539" cm="1">
        <f t="array" aca="1" ref="BU203" ca="1">INDIRECT($BM$2&amp;BU$7&amp;$BT203,1)</f>
        <v>0</v>
      </c>
      <c r="BV203" s="539" cm="1">
        <f t="array" aca="1" ref="BV203" ca="1">INDIRECT($BM$2&amp;BV$7&amp;$BT203,1)</f>
        <v>0</v>
      </c>
      <c r="BW203" s="539" cm="1">
        <f t="array" aca="1" ref="BW203" ca="1">INDIRECT($BM$2&amp;BW$7&amp;$BT203,1)</f>
        <v>0</v>
      </c>
      <c r="BX203" s="539" cm="1">
        <f t="array" aca="1" ref="BX203" ca="1">INDIRECT($BM$2&amp;BX$7&amp;$BT203,1)</f>
        <v>0</v>
      </c>
      <c r="BY203" s="539" cm="1">
        <f t="array" aca="1" ref="BY203" ca="1">INDIRECT($BM$2&amp;BY$7&amp;$BT203,1)</f>
        <v>0</v>
      </c>
      <c r="BZ203" s="539" t="str">
        <f t="shared" ref="BZ203:BZ213" ca="1" si="125">IF(BV203=0,"-",IFERROR(BV203/BV$202,"-"))</f>
        <v>-</v>
      </c>
      <c r="CA203" s="494" t="s">
        <v>8222</v>
      </c>
      <c r="CC203" s="469">
        <v>2</v>
      </c>
      <c r="CD203" s="539" t="s">
        <v>8049</v>
      </c>
      <c r="CE203" s="539">
        <f t="shared" ref="CE203:CE213" si="126">CE202+1</f>
        <v>910</v>
      </c>
      <c r="CF203" s="539" cm="1">
        <f t="array" aca="1" ref="CF203" ca="1">INDIRECT($BM$2&amp;CF$7&amp;$CE203,1)</f>
        <v>0</v>
      </c>
      <c r="CG203" s="539" cm="1">
        <f t="array" aca="1" ref="CG203" ca="1">INDIRECT($BM$2&amp;CG$7&amp;$CE203,1)</f>
        <v>0</v>
      </c>
      <c r="CH203" s="539" cm="1">
        <f t="array" aca="1" ref="CH203" ca="1">INDIRECT($BM$2&amp;CH$7&amp;$CE203,1)</f>
        <v>0</v>
      </c>
      <c r="CI203" s="539" cm="1">
        <f t="array" aca="1" ref="CI203" ca="1">INDIRECT($BM$2&amp;CI$7&amp;$CE203,1)</f>
        <v>0</v>
      </c>
      <c r="CJ203" s="539" cm="1">
        <f t="array" aca="1" ref="CJ203" ca="1">INDIRECT($BM$2&amp;CJ$7&amp;$CE203,1)</f>
        <v>0</v>
      </c>
      <c r="CK203" s="539" t="str">
        <f t="shared" ref="CK203:CK213" ca="1" si="127">IF(CG203=0,"-",IFERROR(CG203/CG$202,"-"))</f>
        <v>-</v>
      </c>
      <c r="CL203" s="494" t="s">
        <v>8222</v>
      </c>
      <c r="CU203" s="469" t="s">
        <v>5510</v>
      </c>
      <c r="ES203" s="504"/>
      <c r="ET203" s="507"/>
      <c r="EU203" s="585"/>
      <c r="GC203" s="472" t="s">
        <v>5510</v>
      </c>
    </row>
    <row r="204" spans="2:185" x14ac:dyDescent="0.25">
      <c r="C204" s="655" t="s">
        <v>5904</v>
      </c>
      <c r="D204" s="1664" t="s">
        <v>44</v>
      </c>
      <c r="E204" s="1664"/>
      <c r="F204" s="1664" t="s">
        <v>47</v>
      </c>
      <c r="G204" s="1664"/>
      <c r="H204" s="1664" t="s">
        <v>48</v>
      </c>
      <c r="I204" s="1664"/>
      <c r="J204" s="1662" t="s">
        <v>231</v>
      </c>
      <c r="K204" s="1663"/>
      <c r="N204" s="20"/>
      <c r="BF204" s="469" t="s">
        <v>5510</v>
      </c>
      <c r="BG204" s="469">
        <v>3</v>
      </c>
      <c r="BH204" s="539" t="s">
        <v>8049</v>
      </c>
      <c r="BI204" s="539">
        <f t="shared" si="122"/>
        <v>219</v>
      </c>
      <c r="BJ204" s="539" cm="1">
        <f t="array" aca="1" ref="BJ204" ca="1">INDIRECT($BM$2&amp;BJ$7&amp;$BI204,1)</f>
        <v>0</v>
      </c>
      <c r="BK204" s="539" cm="1">
        <f t="array" aca="1" ref="BK204" ca="1">INDIRECT($BM$2&amp;BK$7&amp;$BI204,1)</f>
        <v>0</v>
      </c>
      <c r="BL204" s="539" cm="1">
        <f t="array" aca="1" ref="BL204" ca="1">INDIRECT($BM$2&amp;BL$7&amp;$BI204,1)</f>
        <v>0</v>
      </c>
      <c r="BM204" s="539" cm="1">
        <f t="array" aca="1" ref="BM204" ca="1">INDIRECT($BM$2&amp;BM$7&amp;$BI204,1)</f>
        <v>0</v>
      </c>
      <c r="BN204" s="539" cm="1">
        <f t="array" aca="1" ref="BN204" ca="1">INDIRECT($BM$2&amp;BN$7&amp;$BI204,1)</f>
        <v>0</v>
      </c>
      <c r="BO204" s="539" t="str">
        <f t="shared" ca="1" si="123"/>
        <v>-</v>
      </c>
      <c r="BP204" s="494" t="s">
        <v>8222</v>
      </c>
      <c r="BQ204" s="20"/>
      <c r="BR204" s="469">
        <v>3</v>
      </c>
      <c r="BS204" s="539" t="s">
        <v>8049</v>
      </c>
      <c r="BT204" s="539">
        <f t="shared" si="124"/>
        <v>565</v>
      </c>
      <c r="BU204" s="539" cm="1">
        <f t="array" aca="1" ref="BU204" ca="1">INDIRECT($BM$2&amp;BU$7&amp;$BT204,1)</f>
        <v>0</v>
      </c>
      <c r="BV204" s="539" cm="1">
        <f t="array" aca="1" ref="BV204" ca="1">INDIRECT($BM$2&amp;BV$7&amp;$BT204,1)</f>
        <v>0</v>
      </c>
      <c r="BW204" s="539" cm="1">
        <f t="array" aca="1" ref="BW204" ca="1">INDIRECT($BM$2&amp;BW$7&amp;$BT204,1)</f>
        <v>0</v>
      </c>
      <c r="BX204" s="539" cm="1">
        <f t="array" aca="1" ref="BX204" ca="1">INDIRECT($BM$2&amp;BX$7&amp;$BT204,1)</f>
        <v>0</v>
      </c>
      <c r="BY204" s="539" cm="1">
        <f t="array" aca="1" ref="BY204" ca="1">INDIRECT($BM$2&amp;BY$7&amp;$BT204,1)</f>
        <v>0</v>
      </c>
      <c r="BZ204" s="539" t="str">
        <f t="shared" ca="1" si="125"/>
        <v>-</v>
      </c>
      <c r="CA204" s="494" t="s">
        <v>8222</v>
      </c>
      <c r="CC204" s="469">
        <v>3</v>
      </c>
      <c r="CD204" s="539" t="s">
        <v>8049</v>
      </c>
      <c r="CE204" s="539">
        <f t="shared" si="126"/>
        <v>911</v>
      </c>
      <c r="CF204" s="539" cm="1">
        <f t="array" aca="1" ref="CF204" ca="1">INDIRECT($BM$2&amp;CF$7&amp;$CE204,1)</f>
        <v>0</v>
      </c>
      <c r="CG204" s="539" cm="1">
        <f t="array" aca="1" ref="CG204" ca="1">INDIRECT($BM$2&amp;CG$7&amp;$CE204,1)</f>
        <v>0</v>
      </c>
      <c r="CH204" s="539" cm="1">
        <f t="array" aca="1" ref="CH204" ca="1">INDIRECT($BM$2&amp;CH$7&amp;$CE204,1)</f>
        <v>0</v>
      </c>
      <c r="CI204" s="539" cm="1">
        <f t="array" aca="1" ref="CI204" ca="1">INDIRECT($BM$2&amp;CI$7&amp;$CE204,1)</f>
        <v>0</v>
      </c>
      <c r="CJ204" s="539" cm="1">
        <f t="array" aca="1" ref="CJ204" ca="1">INDIRECT($BM$2&amp;CJ$7&amp;$CE204,1)</f>
        <v>0</v>
      </c>
      <c r="CK204" s="539" t="str">
        <f t="shared" ca="1" si="127"/>
        <v>-</v>
      </c>
      <c r="CL204" s="494" t="s">
        <v>8222</v>
      </c>
      <c r="CU204" s="469" t="s">
        <v>5510</v>
      </c>
      <c r="ES204" s="504"/>
      <c r="ET204" s="507"/>
      <c r="EU204" s="585"/>
      <c r="GC204" s="472" t="s">
        <v>5510</v>
      </c>
    </row>
    <row r="205" spans="2:185" x14ac:dyDescent="0.25">
      <c r="C205" s="20" t="s">
        <v>10</v>
      </c>
      <c r="D205" s="661" t="s">
        <v>45</v>
      </c>
      <c r="E205" s="661" t="s">
        <v>46</v>
      </c>
      <c r="F205" s="661" t="s">
        <v>45</v>
      </c>
      <c r="G205" s="661" t="s">
        <v>46</v>
      </c>
      <c r="H205" s="661" t="s">
        <v>45</v>
      </c>
      <c r="I205" s="661" t="s">
        <v>46</v>
      </c>
      <c r="J205" s="525" t="s">
        <v>5943</v>
      </c>
      <c r="K205" s="525" t="s">
        <v>46</v>
      </c>
      <c r="N205" s="20"/>
      <c r="BF205" s="469" t="s">
        <v>5510</v>
      </c>
      <c r="BG205" s="469">
        <v>4</v>
      </c>
      <c r="BH205" s="539" t="s">
        <v>8049</v>
      </c>
      <c r="BI205" s="539">
        <f t="shared" si="122"/>
        <v>220</v>
      </c>
      <c r="BJ205" s="539" cm="1">
        <f t="array" aca="1" ref="BJ205" ca="1">INDIRECT($BM$2&amp;BJ$7&amp;$BI205,1)</f>
        <v>0</v>
      </c>
      <c r="BK205" s="539" cm="1">
        <f t="array" aca="1" ref="BK205" ca="1">INDIRECT($BM$2&amp;BK$7&amp;$BI205,1)</f>
        <v>0</v>
      </c>
      <c r="BL205" s="539" cm="1">
        <f t="array" aca="1" ref="BL205" ca="1">INDIRECT($BM$2&amp;BL$7&amp;$BI205,1)</f>
        <v>0</v>
      </c>
      <c r="BM205" s="539" cm="1">
        <f t="array" aca="1" ref="BM205" ca="1">INDIRECT($BM$2&amp;BM$7&amp;$BI205,1)</f>
        <v>0</v>
      </c>
      <c r="BN205" s="539" cm="1">
        <f t="array" aca="1" ref="BN205" ca="1">INDIRECT($BM$2&amp;BN$7&amp;$BI205,1)</f>
        <v>0</v>
      </c>
      <c r="BO205" s="539" t="str">
        <f t="shared" ca="1" si="123"/>
        <v>-</v>
      </c>
      <c r="BP205" s="494" t="s">
        <v>8222</v>
      </c>
      <c r="BQ205" s="20"/>
      <c r="BR205" s="469">
        <v>4</v>
      </c>
      <c r="BS205" s="539" t="s">
        <v>8049</v>
      </c>
      <c r="BT205" s="539">
        <f t="shared" si="124"/>
        <v>566</v>
      </c>
      <c r="BU205" s="539" cm="1">
        <f t="array" aca="1" ref="BU205" ca="1">INDIRECT($BM$2&amp;BU$7&amp;$BT205,1)</f>
        <v>0</v>
      </c>
      <c r="BV205" s="539" cm="1">
        <f t="array" aca="1" ref="BV205" ca="1">INDIRECT($BM$2&amp;BV$7&amp;$BT205,1)</f>
        <v>0</v>
      </c>
      <c r="BW205" s="539" cm="1">
        <f t="array" aca="1" ref="BW205" ca="1">INDIRECT($BM$2&amp;BW$7&amp;$BT205,1)</f>
        <v>0</v>
      </c>
      <c r="BX205" s="539" cm="1">
        <f t="array" aca="1" ref="BX205" ca="1">INDIRECT($BM$2&amp;BX$7&amp;$BT205,1)</f>
        <v>0</v>
      </c>
      <c r="BY205" s="539" cm="1">
        <f t="array" aca="1" ref="BY205" ca="1">INDIRECT($BM$2&amp;BY$7&amp;$BT205,1)</f>
        <v>0</v>
      </c>
      <c r="BZ205" s="539" t="str">
        <f t="shared" ca="1" si="125"/>
        <v>-</v>
      </c>
      <c r="CA205" s="494" t="s">
        <v>8222</v>
      </c>
      <c r="CC205" s="469">
        <v>4</v>
      </c>
      <c r="CD205" s="539" t="s">
        <v>8049</v>
      </c>
      <c r="CE205" s="539">
        <f t="shared" si="126"/>
        <v>912</v>
      </c>
      <c r="CF205" s="539" cm="1">
        <f t="array" aca="1" ref="CF205" ca="1">INDIRECT($BM$2&amp;CF$7&amp;$CE205,1)</f>
        <v>0</v>
      </c>
      <c r="CG205" s="539" cm="1">
        <f t="array" aca="1" ref="CG205" ca="1">INDIRECT($BM$2&amp;CG$7&amp;$CE205,1)</f>
        <v>0</v>
      </c>
      <c r="CH205" s="539" cm="1">
        <f t="array" aca="1" ref="CH205" ca="1">INDIRECT($BM$2&amp;CH$7&amp;$CE205,1)</f>
        <v>0</v>
      </c>
      <c r="CI205" s="539" cm="1">
        <f t="array" aca="1" ref="CI205" ca="1">INDIRECT($BM$2&amp;CI$7&amp;$CE205,1)</f>
        <v>0</v>
      </c>
      <c r="CJ205" s="539" cm="1">
        <f t="array" aca="1" ref="CJ205" ca="1">INDIRECT($BM$2&amp;CJ$7&amp;$CE205,1)</f>
        <v>0</v>
      </c>
      <c r="CK205" s="539" t="str">
        <f t="shared" ca="1" si="127"/>
        <v>-</v>
      </c>
      <c r="CL205" s="494" t="s">
        <v>8222</v>
      </c>
      <c r="CU205" s="469" t="s">
        <v>5510</v>
      </c>
      <c r="ES205" s="504"/>
      <c r="ET205" s="507"/>
      <c r="EU205" s="585"/>
      <c r="GC205" s="472" t="s">
        <v>5510</v>
      </c>
    </row>
    <row r="206" spans="2:185" x14ac:dyDescent="0.25">
      <c r="C206" s="501">
        <f>ROW('Irritacao_Cutanea(1)'!AR56)</f>
        <v>56</v>
      </c>
      <c r="D206" s="662" cm="1">
        <f t="array" aca="1" ref="D206" ca="1">INDIRECT($C$203&amp;D$203&amp;$C206,1)</f>
        <v>0</v>
      </c>
      <c r="E206" s="662" cm="1">
        <f t="array" aca="1" ref="E206" ca="1">INDIRECT($C$203&amp;E$203&amp;$C206,1)</f>
        <v>0</v>
      </c>
      <c r="F206" s="662" cm="1">
        <f t="array" aca="1" ref="F206" ca="1">INDIRECT($C$203&amp;F$203&amp;$C206,1)</f>
        <v>0</v>
      </c>
      <c r="G206" s="662" cm="1">
        <f t="array" aca="1" ref="G206" ca="1">INDIRECT($C$203&amp;G$203&amp;$C206,1)</f>
        <v>0</v>
      </c>
      <c r="H206" s="662" cm="1">
        <f t="array" aca="1" ref="H206" ca="1">INDIRECT($C$203&amp;H$203&amp;$C206,1)</f>
        <v>0</v>
      </c>
      <c r="I206" s="662" cm="1">
        <f t="array" aca="1" ref="I206" ca="1">INDIRECT($C$203&amp;I$203&amp;$C206,1)</f>
        <v>0</v>
      </c>
      <c r="J206" s="663">
        <f t="shared" ref="J206:J215" ca="1" si="128">AVERAGE(D206,F206,H206)</f>
        <v>0</v>
      </c>
      <c r="K206" s="663">
        <f t="shared" ref="K206:K215" ca="1" si="129">AVERAGE(E206,G206,I206)</f>
        <v>0</v>
      </c>
      <c r="N206" s="20"/>
      <c r="BF206" s="469" t="s">
        <v>5510</v>
      </c>
      <c r="BG206" s="469">
        <v>5</v>
      </c>
      <c r="BH206" s="539" t="s">
        <v>8049</v>
      </c>
      <c r="BI206" s="539">
        <f t="shared" si="122"/>
        <v>221</v>
      </c>
      <c r="BJ206" s="539" cm="1">
        <f t="array" aca="1" ref="BJ206" ca="1">INDIRECT($BM$2&amp;BJ$7&amp;$BI206,1)</f>
        <v>0</v>
      </c>
      <c r="BK206" s="539" cm="1">
        <f t="array" aca="1" ref="BK206" ca="1">INDIRECT($BM$2&amp;BK$7&amp;$BI206,1)</f>
        <v>0</v>
      </c>
      <c r="BL206" s="539" cm="1">
        <f t="array" aca="1" ref="BL206" ca="1">INDIRECT($BM$2&amp;BL$7&amp;$BI206,1)</f>
        <v>0</v>
      </c>
      <c r="BM206" s="539" cm="1">
        <f t="array" aca="1" ref="BM206" ca="1">INDIRECT($BM$2&amp;BM$7&amp;$BI206,1)</f>
        <v>0</v>
      </c>
      <c r="BN206" s="539" cm="1">
        <f t="array" aca="1" ref="BN206" ca="1">INDIRECT($BM$2&amp;BN$7&amp;$BI206,1)</f>
        <v>0</v>
      </c>
      <c r="BO206" s="539" t="str">
        <f t="shared" ca="1" si="123"/>
        <v>-</v>
      </c>
      <c r="BP206" s="494" t="s">
        <v>8222</v>
      </c>
      <c r="BQ206" s="20"/>
      <c r="BR206" s="469">
        <v>5</v>
      </c>
      <c r="BS206" s="539" t="s">
        <v>8049</v>
      </c>
      <c r="BT206" s="539">
        <f t="shared" si="124"/>
        <v>567</v>
      </c>
      <c r="BU206" s="539" cm="1">
        <f t="array" aca="1" ref="BU206" ca="1">INDIRECT($BM$2&amp;BU$7&amp;$BT206,1)</f>
        <v>0</v>
      </c>
      <c r="BV206" s="539" cm="1">
        <f t="array" aca="1" ref="BV206" ca="1">INDIRECT($BM$2&amp;BV$7&amp;$BT206,1)</f>
        <v>0</v>
      </c>
      <c r="BW206" s="539" cm="1">
        <f t="array" aca="1" ref="BW206" ca="1">INDIRECT($BM$2&amp;BW$7&amp;$BT206,1)</f>
        <v>0</v>
      </c>
      <c r="BX206" s="539" cm="1">
        <f t="array" aca="1" ref="BX206" ca="1">INDIRECT($BM$2&amp;BX$7&amp;$BT206,1)</f>
        <v>0</v>
      </c>
      <c r="BY206" s="539" cm="1">
        <f t="array" aca="1" ref="BY206" ca="1">INDIRECT($BM$2&amp;BY$7&amp;$BT206,1)</f>
        <v>0</v>
      </c>
      <c r="BZ206" s="539" t="str">
        <f t="shared" ca="1" si="125"/>
        <v>-</v>
      </c>
      <c r="CA206" s="494" t="s">
        <v>8222</v>
      </c>
      <c r="CC206" s="469">
        <v>5</v>
      </c>
      <c r="CD206" s="539" t="s">
        <v>8049</v>
      </c>
      <c r="CE206" s="539">
        <f t="shared" si="126"/>
        <v>913</v>
      </c>
      <c r="CF206" s="539" cm="1">
        <f t="array" aca="1" ref="CF206" ca="1">INDIRECT($BM$2&amp;CF$7&amp;$CE206,1)</f>
        <v>0</v>
      </c>
      <c r="CG206" s="539" cm="1">
        <f t="array" aca="1" ref="CG206" ca="1">INDIRECT($BM$2&amp;CG$7&amp;$CE206,1)</f>
        <v>0</v>
      </c>
      <c r="CH206" s="539" cm="1">
        <f t="array" aca="1" ref="CH206" ca="1">INDIRECT($BM$2&amp;CH$7&amp;$CE206,1)</f>
        <v>0</v>
      </c>
      <c r="CI206" s="539" cm="1">
        <f t="array" aca="1" ref="CI206" ca="1">INDIRECT($BM$2&amp;CI$7&amp;$CE206,1)</f>
        <v>0</v>
      </c>
      <c r="CJ206" s="539" cm="1">
        <f t="array" aca="1" ref="CJ206" ca="1">INDIRECT($BM$2&amp;CJ$7&amp;$CE206,1)</f>
        <v>0</v>
      </c>
      <c r="CK206" s="539" t="str">
        <f t="shared" ca="1" si="127"/>
        <v>-</v>
      </c>
      <c r="CL206" s="494" t="s">
        <v>8222</v>
      </c>
      <c r="CU206" s="469" t="s">
        <v>5510</v>
      </c>
      <c r="ES206" s="504"/>
      <c r="ET206" s="507"/>
      <c r="EU206" s="585"/>
      <c r="GC206" s="472" t="s">
        <v>5510</v>
      </c>
    </row>
    <row r="207" spans="2:185" x14ac:dyDescent="0.25">
      <c r="C207" s="501">
        <f>ROW('Irritacao_Cutanea(1)'!AR57)</f>
        <v>57</v>
      </c>
      <c r="D207" s="662" cm="1">
        <f t="array" aca="1" ref="D207" ca="1">INDIRECT($C$203&amp;D$203&amp;$C207,1)</f>
        <v>0</v>
      </c>
      <c r="E207" s="662" cm="1">
        <f t="array" aca="1" ref="E207" ca="1">INDIRECT($C$203&amp;E$203&amp;$C207,1)</f>
        <v>0</v>
      </c>
      <c r="F207" s="662" cm="1">
        <f t="array" aca="1" ref="F207" ca="1">INDIRECT($C$203&amp;F$203&amp;$C207,1)</f>
        <v>0</v>
      </c>
      <c r="G207" s="662" cm="1">
        <f t="array" aca="1" ref="G207" ca="1">INDIRECT($C$203&amp;G$203&amp;$C207,1)</f>
        <v>0</v>
      </c>
      <c r="H207" s="662" cm="1">
        <f t="array" aca="1" ref="H207" ca="1">INDIRECT($C$203&amp;H$203&amp;$C207,1)</f>
        <v>0</v>
      </c>
      <c r="I207" s="662" cm="1">
        <f t="array" aca="1" ref="I207" ca="1">INDIRECT($C$203&amp;I$203&amp;$C207,1)</f>
        <v>0</v>
      </c>
      <c r="J207" s="663">
        <f t="shared" ca="1" si="128"/>
        <v>0</v>
      </c>
      <c r="K207" s="663">
        <f t="shared" ca="1" si="129"/>
        <v>0</v>
      </c>
      <c r="N207" s="20"/>
      <c r="BF207" s="469" t="s">
        <v>5510</v>
      </c>
      <c r="BG207" s="469">
        <v>6</v>
      </c>
      <c r="BH207" s="539" t="s">
        <v>8049</v>
      </c>
      <c r="BI207" s="539">
        <f t="shared" si="122"/>
        <v>222</v>
      </c>
      <c r="BJ207" s="539" cm="1">
        <f t="array" aca="1" ref="BJ207" ca="1">INDIRECT($BM$2&amp;BJ$7&amp;$BI207,1)</f>
        <v>0</v>
      </c>
      <c r="BK207" s="539" cm="1">
        <f t="array" aca="1" ref="BK207" ca="1">INDIRECT($BM$2&amp;BK$7&amp;$BI207,1)</f>
        <v>0</v>
      </c>
      <c r="BL207" s="539" cm="1">
        <f t="array" aca="1" ref="BL207" ca="1">INDIRECT($BM$2&amp;BL$7&amp;$BI207,1)</f>
        <v>0</v>
      </c>
      <c r="BM207" s="539" cm="1">
        <f t="array" aca="1" ref="BM207" ca="1">INDIRECT($BM$2&amp;BM$7&amp;$BI207,1)</f>
        <v>0</v>
      </c>
      <c r="BN207" s="539" cm="1">
        <f t="array" aca="1" ref="BN207" ca="1">INDIRECT($BM$2&amp;BN$7&amp;$BI207,1)</f>
        <v>0</v>
      </c>
      <c r="BO207" s="539" t="str">
        <f t="shared" ca="1" si="123"/>
        <v>-</v>
      </c>
      <c r="BP207" s="494" t="s">
        <v>8222</v>
      </c>
      <c r="BQ207" s="20"/>
      <c r="BR207" s="469">
        <v>6</v>
      </c>
      <c r="BS207" s="539" t="s">
        <v>8049</v>
      </c>
      <c r="BT207" s="539">
        <f t="shared" si="124"/>
        <v>568</v>
      </c>
      <c r="BU207" s="539" cm="1">
        <f t="array" aca="1" ref="BU207" ca="1">INDIRECT($BM$2&amp;BU$7&amp;$BT207,1)</f>
        <v>0</v>
      </c>
      <c r="BV207" s="539" cm="1">
        <f t="array" aca="1" ref="BV207" ca="1">INDIRECT($BM$2&amp;BV$7&amp;$BT207,1)</f>
        <v>0</v>
      </c>
      <c r="BW207" s="539" cm="1">
        <f t="array" aca="1" ref="BW207" ca="1">INDIRECT($BM$2&amp;BW$7&amp;$BT207,1)</f>
        <v>0</v>
      </c>
      <c r="BX207" s="539" cm="1">
        <f t="array" aca="1" ref="BX207" ca="1">INDIRECT($BM$2&amp;BX$7&amp;$BT207,1)</f>
        <v>0</v>
      </c>
      <c r="BY207" s="539" cm="1">
        <f t="array" aca="1" ref="BY207" ca="1">INDIRECT($BM$2&amp;BY$7&amp;$BT207,1)</f>
        <v>0</v>
      </c>
      <c r="BZ207" s="539" t="str">
        <f t="shared" ca="1" si="125"/>
        <v>-</v>
      </c>
      <c r="CA207" s="494" t="s">
        <v>8222</v>
      </c>
      <c r="CC207" s="469">
        <v>6</v>
      </c>
      <c r="CD207" s="539" t="s">
        <v>8049</v>
      </c>
      <c r="CE207" s="539">
        <f t="shared" si="126"/>
        <v>914</v>
      </c>
      <c r="CF207" s="539" cm="1">
        <f t="array" aca="1" ref="CF207" ca="1">INDIRECT($BM$2&amp;CF$7&amp;$CE207,1)</f>
        <v>0</v>
      </c>
      <c r="CG207" s="539" cm="1">
        <f t="array" aca="1" ref="CG207" ca="1">INDIRECT($BM$2&amp;CG$7&amp;$CE207,1)</f>
        <v>0</v>
      </c>
      <c r="CH207" s="539" cm="1">
        <f t="array" aca="1" ref="CH207" ca="1">INDIRECT($BM$2&amp;CH$7&amp;$CE207,1)</f>
        <v>0</v>
      </c>
      <c r="CI207" s="539" cm="1">
        <f t="array" aca="1" ref="CI207" ca="1">INDIRECT($BM$2&amp;CI$7&amp;$CE207,1)</f>
        <v>0</v>
      </c>
      <c r="CJ207" s="539" cm="1">
        <f t="array" aca="1" ref="CJ207" ca="1">INDIRECT($BM$2&amp;CJ$7&amp;$CE207,1)</f>
        <v>0</v>
      </c>
      <c r="CK207" s="539" t="str">
        <f t="shared" ca="1" si="127"/>
        <v>-</v>
      </c>
      <c r="CL207" s="494" t="s">
        <v>8222</v>
      </c>
      <c r="CU207" s="469" t="s">
        <v>5510</v>
      </c>
      <c r="ES207" s="504"/>
      <c r="ET207" s="507"/>
      <c r="EU207" s="585"/>
      <c r="GC207" s="472" t="s">
        <v>5510</v>
      </c>
    </row>
    <row r="208" spans="2:185" x14ac:dyDescent="0.25">
      <c r="C208" s="501">
        <f>ROW('Irritacao_Cutanea(1)'!AR58)</f>
        <v>58</v>
      </c>
      <c r="D208" s="662" cm="1">
        <f t="array" aca="1" ref="D208" ca="1">INDIRECT($C$203&amp;D$203&amp;$C208,1)</f>
        <v>0</v>
      </c>
      <c r="E208" s="662" cm="1">
        <f t="array" aca="1" ref="E208" ca="1">INDIRECT($C$203&amp;E$203&amp;$C208,1)</f>
        <v>0</v>
      </c>
      <c r="F208" s="662" cm="1">
        <f t="array" aca="1" ref="F208" ca="1">INDIRECT($C$203&amp;F$203&amp;$C208,1)</f>
        <v>0</v>
      </c>
      <c r="G208" s="662" cm="1">
        <f t="array" aca="1" ref="G208" ca="1">INDIRECT($C$203&amp;G$203&amp;$C208,1)</f>
        <v>0</v>
      </c>
      <c r="H208" s="662" cm="1">
        <f t="array" aca="1" ref="H208" ca="1">INDIRECT($C$203&amp;H$203&amp;$C208,1)</f>
        <v>0</v>
      </c>
      <c r="I208" s="662" cm="1">
        <f t="array" aca="1" ref="I208" ca="1">INDIRECT($C$203&amp;I$203&amp;$C208,1)</f>
        <v>0</v>
      </c>
      <c r="J208" s="663">
        <f t="shared" ca="1" si="128"/>
        <v>0</v>
      </c>
      <c r="K208" s="663">
        <f t="shared" ca="1" si="129"/>
        <v>0</v>
      </c>
      <c r="N208" s="20"/>
      <c r="BF208" s="469" t="s">
        <v>5510</v>
      </c>
      <c r="BG208" s="469">
        <v>7</v>
      </c>
      <c r="BH208" s="539" t="s">
        <v>8049</v>
      </c>
      <c r="BI208" s="539">
        <f t="shared" si="122"/>
        <v>223</v>
      </c>
      <c r="BJ208" s="539" cm="1">
        <f t="array" aca="1" ref="BJ208" ca="1">INDIRECT($BM$2&amp;BJ$7&amp;$BI208,1)</f>
        <v>0</v>
      </c>
      <c r="BK208" s="539" cm="1">
        <f t="array" aca="1" ref="BK208" ca="1">INDIRECT($BM$2&amp;BK$7&amp;$BI208,1)</f>
        <v>0</v>
      </c>
      <c r="BL208" s="539" cm="1">
        <f t="array" aca="1" ref="BL208" ca="1">INDIRECT($BM$2&amp;BL$7&amp;$BI208,1)</f>
        <v>0</v>
      </c>
      <c r="BM208" s="539" cm="1">
        <f t="array" aca="1" ref="BM208" ca="1">INDIRECT($BM$2&amp;BM$7&amp;$BI208,1)</f>
        <v>0</v>
      </c>
      <c r="BN208" s="539" cm="1">
        <f t="array" aca="1" ref="BN208" ca="1">INDIRECT($BM$2&amp;BN$7&amp;$BI208,1)</f>
        <v>0</v>
      </c>
      <c r="BO208" s="539" t="str">
        <f t="shared" ca="1" si="123"/>
        <v>-</v>
      </c>
      <c r="BP208" s="494" t="s">
        <v>8222</v>
      </c>
      <c r="BQ208" s="20"/>
      <c r="BR208" s="469">
        <v>7</v>
      </c>
      <c r="BS208" s="539" t="s">
        <v>8049</v>
      </c>
      <c r="BT208" s="539">
        <f t="shared" si="124"/>
        <v>569</v>
      </c>
      <c r="BU208" s="539" cm="1">
        <f t="array" aca="1" ref="BU208" ca="1">INDIRECT($BM$2&amp;BU$7&amp;$BT208,1)</f>
        <v>0</v>
      </c>
      <c r="BV208" s="539" cm="1">
        <f t="array" aca="1" ref="BV208" ca="1">INDIRECT($BM$2&amp;BV$7&amp;$BT208,1)</f>
        <v>0</v>
      </c>
      <c r="BW208" s="539" cm="1">
        <f t="array" aca="1" ref="BW208" ca="1">INDIRECT($BM$2&amp;BW$7&amp;$BT208,1)</f>
        <v>0</v>
      </c>
      <c r="BX208" s="539" cm="1">
        <f t="array" aca="1" ref="BX208" ca="1">INDIRECT($BM$2&amp;BX$7&amp;$BT208,1)</f>
        <v>0</v>
      </c>
      <c r="BY208" s="539" cm="1">
        <f t="array" aca="1" ref="BY208" ca="1">INDIRECT($BM$2&amp;BY$7&amp;$BT208,1)</f>
        <v>0</v>
      </c>
      <c r="BZ208" s="539" t="str">
        <f t="shared" ca="1" si="125"/>
        <v>-</v>
      </c>
      <c r="CA208" s="494" t="s">
        <v>8222</v>
      </c>
      <c r="CC208" s="469">
        <v>7</v>
      </c>
      <c r="CD208" s="539" t="s">
        <v>8049</v>
      </c>
      <c r="CE208" s="539">
        <f t="shared" si="126"/>
        <v>915</v>
      </c>
      <c r="CF208" s="539" cm="1">
        <f t="array" aca="1" ref="CF208" ca="1">INDIRECT($BM$2&amp;CF$7&amp;$CE208,1)</f>
        <v>0</v>
      </c>
      <c r="CG208" s="539" cm="1">
        <f t="array" aca="1" ref="CG208" ca="1">INDIRECT($BM$2&amp;CG$7&amp;$CE208,1)</f>
        <v>0</v>
      </c>
      <c r="CH208" s="539" cm="1">
        <f t="array" aca="1" ref="CH208" ca="1">INDIRECT($BM$2&amp;CH$7&amp;$CE208,1)</f>
        <v>0</v>
      </c>
      <c r="CI208" s="539" cm="1">
        <f t="array" aca="1" ref="CI208" ca="1">INDIRECT($BM$2&amp;CI$7&amp;$CE208,1)</f>
        <v>0</v>
      </c>
      <c r="CJ208" s="539" cm="1">
        <f t="array" aca="1" ref="CJ208" ca="1">INDIRECT($BM$2&amp;CJ$7&amp;$CE208,1)</f>
        <v>0</v>
      </c>
      <c r="CK208" s="539" t="str">
        <f t="shared" ca="1" si="127"/>
        <v>-</v>
      </c>
      <c r="CL208" s="494" t="s">
        <v>8222</v>
      </c>
      <c r="CU208" s="469" t="s">
        <v>5510</v>
      </c>
      <c r="ES208" s="504"/>
      <c r="ET208" s="507"/>
      <c r="EU208" s="585"/>
      <c r="GC208" s="472" t="s">
        <v>5510</v>
      </c>
    </row>
    <row r="209" spans="3:185" x14ac:dyDescent="0.25">
      <c r="C209" s="501">
        <f>ROW('Irritacao_Cutanea(1)'!AR59)</f>
        <v>59</v>
      </c>
      <c r="D209" s="662" cm="1">
        <f t="array" aca="1" ref="D209" ca="1">INDIRECT($C$203&amp;D$203&amp;$C209,1)</f>
        <v>0</v>
      </c>
      <c r="E209" s="662" cm="1">
        <f t="array" aca="1" ref="E209" ca="1">INDIRECT($C$203&amp;E$203&amp;$C209,1)</f>
        <v>0</v>
      </c>
      <c r="F209" s="662" cm="1">
        <f t="array" aca="1" ref="F209" ca="1">INDIRECT($C$203&amp;F$203&amp;$C209,1)</f>
        <v>0</v>
      </c>
      <c r="G209" s="662" cm="1">
        <f t="array" aca="1" ref="G209" ca="1">INDIRECT($C$203&amp;G$203&amp;$C209,1)</f>
        <v>0</v>
      </c>
      <c r="H209" s="662" cm="1">
        <f t="array" aca="1" ref="H209" ca="1">INDIRECT($C$203&amp;H$203&amp;$C209,1)</f>
        <v>0</v>
      </c>
      <c r="I209" s="662" cm="1">
        <f t="array" aca="1" ref="I209" ca="1">INDIRECT($C$203&amp;I$203&amp;$C209,1)</f>
        <v>0</v>
      </c>
      <c r="J209" s="663">
        <f t="shared" ca="1" si="128"/>
        <v>0</v>
      </c>
      <c r="K209" s="663">
        <f t="shared" ca="1" si="129"/>
        <v>0</v>
      </c>
      <c r="BF209" s="469" t="s">
        <v>5510</v>
      </c>
      <c r="BG209" s="469">
        <v>8</v>
      </c>
      <c r="BH209" s="539" t="s">
        <v>8049</v>
      </c>
      <c r="BI209" s="539">
        <f t="shared" si="122"/>
        <v>224</v>
      </c>
      <c r="BJ209" s="539" cm="1">
        <f t="array" aca="1" ref="BJ209" ca="1">INDIRECT($BM$2&amp;BJ$7&amp;$BI209,1)</f>
        <v>0</v>
      </c>
      <c r="BK209" s="539" cm="1">
        <f t="array" aca="1" ref="BK209" ca="1">INDIRECT($BM$2&amp;BK$7&amp;$BI209,1)</f>
        <v>0</v>
      </c>
      <c r="BL209" s="539" cm="1">
        <f t="array" aca="1" ref="BL209" ca="1">INDIRECT($BM$2&amp;BL$7&amp;$BI209,1)</f>
        <v>0</v>
      </c>
      <c r="BM209" s="539" cm="1">
        <f t="array" aca="1" ref="BM209" ca="1">INDIRECT($BM$2&amp;BM$7&amp;$BI209,1)</f>
        <v>0</v>
      </c>
      <c r="BN209" s="539" cm="1">
        <f t="array" aca="1" ref="BN209" ca="1">INDIRECT($BM$2&amp;BN$7&amp;$BI209,1)</f>
        <v>0</v>
      </c>
      <c r="BO209" s="539" t="str">
        <f t="shared" ca="1" si="123"/>
        <v>-</v>
      </c>
      <c r="BP209" s="494" t="s">
        <v>8222</v>
      </c>
      <c r="BQ209" s="20"/>
      <c r="BR209" s="469">
        <v>8</v>
      </c>
      <c r="BS209" s="539" t="s">
        <v>8049</v>
      </c>
      <c r="BT209" s="539">
        <f t="shared" si="124"/>
        <v>570</v>
      </c>
      <c r="BU209" s="539" cm="1">
        <f t="array" aca="1" ref="BU209" ca="1">INDIRECT($BM$2&amp;BU$7&amp;$BT209,1)</f>
        <v>0</v>
      </c>
      <c r="BV209" s="539" cm="1">
        <f t="array" aca="1" ref="BV209" ca="1">INDIRECT($BM$2&amp;BV$7&amp;$BT209,1)</f>
        <v>0</v>
      </c>
      <c r="BW209" s="539" cm="1">
        <f t="array" aca="1" ref="BW209" ca="1">INDIRECT($BM$2&amp;BW$7&amp;$BT209,1)</f>
        <v>0</v>
      </c>
      <c r="BX209" s="539" cm="1">
        <f t="array" aca="1" ref="BX209" ca="1">INDIRECT($BM$2&amp;BX$7&amp;$BT209,1)</f>
        <v>0</v>
      </c>
      <c r="BY209" s="539" cm="1">
        <f t="array" aca="1" ref="BY209" ca="1">INDIRECT($BM$2&amp;BY$7&amp;$BT209,1)</f>
        <v>0</v>
      </c>
      <c r="BZ209" s="539" t="str">
        <f t="shared" ca="1" si="125"/>
        <v>-</v>
      </c>
      <c r="CA209" s="494" t="s">
        <v>8222</v>
      </c>
      <c r="CC209" s="469">
        <v>8</v>
      </c>
      <c r="CD209" s="539" t="s">
        <v>8049</v>
      </c>
      <c r="CE209" s="539">
        <f t="shared" si="126"/>
        <v>916</v>
      </c>
      <c r="CF209" s="539" cm="1">
        <f t="array" aca="1" ref="CF209" ca="1">INDIRECT($BM$2&amp;CF$7&amp;$CE209,1)</f>
        <v>0</v>
      </c>
      <c r="CG209" s="539" cm="1">
        <f t="array" aca="1" ref="CG209" ca="1">INDIRECT($BM$2&amp;CG$7&amp;$CE209,1)</f>
        <v>0</v>
      </c>
      <c r="CH209" s="539" cm="1">
        <f t="array" aca="1" ref="CH209" ca="1">INDIRECT($BM$2&amp;CH$7&amp;$CE209,1)</f>
        <v>0</v>
      </c>
      <c r="CI209" s="539" cm="1">
        <f t="array" aca="1" ref="CI209" ca="1">INDIRECT($BM$2&amp;CI$7&amp;$CE209,1)</f>
        <v>0</v>
      </c>
      <c r="CJ209" s="539" cm="1">
        <f t="array" aca="1" ref="CJ209" ca="1">INDIRECT($BM$2&amp;CJ$7&amp;$CE209,1)</f>
        <v>0</v>
      </c>
      <c r="CK209" s="539" t="str">
        <f t="shared" ca="1" si="127"/>
        <v>-</v>
      </c>
      <c r="CL209" s="494" t="s">
        <v>8222</v>
      </c>
      <c r="CU209" s="469" t="s">
        <v>5510</v>
      </c>
      <c r="ES209" s="504"/>
      <c r="ET209" s="507"/>
      <c r="EU209" s="585"/>
      <c r="GC209" s="472" t="s">
        <v>5510</v>
      </c>
    </row>
    <row r="210" spans="3:185" x14ac:dyDescent="0.25">
      <c r="C210" s="501">
        <f>ROW('Irritacao_Cutanea(1)'!AR60)</f>
        <v>60</v>
      </c>
      <c r="D210" s="662" cm="1">
        <f t="array" aca="1" ref="D210" ca="1">INDIRECT($C$203&amp;D$203&amp;$C210,1)</f>
        <v>0</v>
      </c>
      <c r="E210" s="662" cm="1">
        <f t="array" aca="1" ref="E210" ca="1">INDIRECT($C$203&amp;E$203&amp;$C210,1)</f>
        <v>0</v>
      </c>
      <c r="F210" s="662" cm="1">
        <f t="array" aca="1" ref="F210" ca="1">INDIRECT($C$203&amp;F$203&amp;$C210,1)</f>
        <v>0</v>
      </c>
      <c r="G210" s="662" cm="1">
        <f t="array" aca="1" ref="G210" ca="1">INDIRECT($C$203&amp;G$203&amp;$C210,1)</f>
        <v>0</v>
      </c>
      <c r="H210" s="662" cm="1">
        <f t="array" aca="1" ref="H210" ca="1">INDIRECT($C$203&amp;H$203&amp;$C210,1)</f>
        <v>0</v>
      </c>
      <c r="I210" s="662" cm="1">
        <f t="array" aca="1" ref="I210" ca="1">INDIRECT($C$203&amp;I$203&amp;$C210,1)</f>
        <v>0</v>
      </c>
      <c r="J210" s="663">
        <f t="shared" ca="1" si="128"/>
        <v>0</v>
      </c>
      <c r="K210" s="663">
        <f t="shared" ca="1" si="129"/>
        <v>0</v>
      </c>
      <c r="BF210" s="469" t="s">
        <v>5510</v>
      </c>
      <c r="BG210" s="469">
        <v>9</v>
      </c>
      <c r="BH210" s="539" t="s">
        <v>8049</v>
      </c>
      <c r="BI210" s="539">
        <f t="shared" si="122"/>
        <v>225</v>
      </c>
      <c r="BJ210" s="539" cm="1">
        <f t="array" aca="1" ref="BJ210" ca="1">INDIRECT($BM$2&amp;BJ$7&amp;$BI210,1)</f>
        <v>0</v>
      </c>
      <c r="BK210" s="539" cm="1">
        <f t="array" aca="1" ref="BK210" ca="1">INDIRECT($BM$2&amp;BK$7&amp;$BI210,1)</f>
        <v>0</v>
      </c>
      <c r="BL210" s="539" cm="1">
        <f t="array" aca="1" ref="BL210" ca="1">INDIRECT($BM$2&amp;BL$7&amp;$BI210,1)</f>
        <v>0</v>
      </c>
      <c r="BM210" s="539" cm="1">
        <f t="array" aca="1" ref="BM210" ca="1">INDIRECT($BM$2&amp;BM$7&amp;$BI210,1)</f>
        <v>0</v>
      </c>
      <c r="BN210" s="539" cm="1">
        <f t="array" aca="1" ref="BN210" ca="1">INDIRECT($BM$2&amp;BN$7&amp;$BI210,1)</f>
        <v>0</v>
      </c>
      <c r="BO210" s="539" t="str">
        <f t="shared" ca="1" si="123"/>
        <v>-</v>
      </c>
      <c r="BP210" s="494" t="s">
        <v>8222</v>
      </c>
      <c r="BQ210" s="20"/>
      <c r="BR210" s="469">
        <v>9</v>
      </c>
      <c r="BS210" s="539" t="s">
        <v>8049</v>
      </c>
      <c r="BT210" s="539">
        <f t="shared" si="124"/>
        <v>571</v>
      </c>
      <c r="BU210" s="539" cm="1">
        <f t="array" aca="1" ref="BU210" ca="1">INDIRECT($BM$2&amp;BU$7&amp;$BT210,1)</f>
        <v>0</v>
      </c>
      <c r="BV210" s="539" cm="1">
        <f t="array" aca="1" ref="BV210" ca="1">INDIRECT($BM$2&amp;BV$7&amp;$BT210,1)</f>
        <v>0</v>
      </c>
      <c r="BW210" s="539" cm="1">
        <f t="array" aca="1" ref="BW210" ca="1">INDIRECT($BM$2&amp;BW$7&amp;$BT210,1)</f>
        <v>0</v>
      </c>
      <c r="BX210" s="539" cm="1">
        <f t="array" aca="1" ref="BX210" ca="1">INDIRECT($BM$2&amp;BX$7&amp;$BT210,1)</f>
        <v>0</v>
      </c>
      <c r="BY210" s="539" cm="1">
        <f t="array" aca="1" ref="BY210" ca="1">INDIRECT($BM$2&amp;BY$7&amp;$BT210,1)</f>
        <v>0</v>
      </c>
      <c r="BZ210" s="539" t="str">
        <f t="shared" ca="1" si="125"/>
        <v>-</v>
      </c>
      <c r="CA210" s="494" t="s">
        <v>8222</v>
      </c>
      <c r="CC210" s="469">
        <v>9</v>
      </c>
      <c r="CD210" s="539" t="s">
        <v>8049</v>
      </c>
      <c r="CE210" s="539">
        <f t="shared" si="126"/>
        <v>917</v>
      </c>
      <c r="CF210" s="539" cm="1">
        <f t="array" aca="1" ref="CF210" ca="1">INDIRECT($BM$2&amp;CF$7&amp;$CE210,1)</f>
        <v>0</v>
      </c>
      <c r="CG210" s="539" cm="1">
        <f t="array" aca="1" ref="CG210" ca="1">INDIRECT($BM$2&amp;CG$7&amp;$CE210,1)</f>
        <v>0</v>
      </c>
      <c r="CH210" s="539" cm="1">
        <f t="array" aca="1" ref="CH210" ca="1">INDIRECT($BM$2&amp;CH$7&amp;$CE210,1)</f>
        <v>0</v>
      </c>
      <c r="CI210" s="539" cm="1">
        <f t="array" aca="1" ref="CI210" ca="1">INDIRECT($BM$2&amp;CI$7&amp;$CE210,1)</f>
        <v>0</v>
      </c>
      <c r="CJ210" s="539" cm="1">
        <f t="array" aca="1" ref="CJ210" ca="1">INDIRECT($BM$2&amp;CJ$7&amp;$CE210,1)</f>
        <v>0</v>
      </c>
      <c r="CK210" s="539" t="str">
        <f t="shared" ca="1" si="127"/>
        <v>-</v>
      </c>
      <c r="CL210" s="494" t="s">
        <v>8222</v>
      </c>
      <c r="CU210" s="469" t="s">
        <v>5510</v>
      </c>
      <c r="ES210" s="504"/>
      <c r="ET210" s="507"/>
      <c r="EU210" s="585"/>
      <c r="GC210" s="472" t="s">
        <v>5510</v>
      </c>
    </row>
    <row r="211" spans="3:185" x14ac:dyDescent="0.25">
      <c r="C211" s="501">
        <f>ROW('Irritacao_Cutanea(1)'!AR61)</f>
        <v>61</v>
      </c>
      <c r="D211" s="662" cm="1">
        <f t="array" aca="1" ref="D211" ca="1">INDIRECT($C$203&amp;D$203&amp;$C211,1)</f>
        <v>0</v>
      </c>
      <c r="E211" s="662" cm="1">
        <f t="array" aca="1" ref="E211" ca="1">INDIRECT($C$203&amp;E$203&amp;$C211,1)</f>
        <v>0</v>
      </c>
      <c r="F211" s="662" cm="1">
        <f t="array" aca="1" ref="F211" ca="1">INDIRECT($C$203&amp;F$203&amp;$C211,1)</f>
        <v>0</v>
      </c>
      <c r="G211" s="662" cm="1">
        <f t="array" aca="1" ref="G211" ca="1">INDIRECT($C$203&amp;G$203&amp;$C211,1)</f>
        <v>0</v>
      </c>
      <c r="H211" s="662" cm="1">
        <f t="array" aca="1" ref="H211" ca="1">INDIRECT($C$203&amp;H$203&amp;$C211,1)</f>
        <v>0</v>
      </c>
      <c r="I211" s="662" cm="1">
        <f t="array" aca="1" ref="I211" ca="1">INDIRECT($C$203&amp;I$203&amp;$C211,1)</f>
        <v>0</v>
      </c>
      <c r="J211" s="663">
        <f t="shared" ca="1" si="128"/>
        <v>0</v>
      </c>
      <c r="K211" s="663">
        <f t="shared" ca="1" si="129"/>
        <v>0</v>
      </c>
      <c r="BF211" s="469" t="s">
        <v>5510</v>
      </c>
      <c r="BG211" s="469">
        <v>10</v>
      </c>
      <c r="BH211" s="539" t="s">
        <v>8049</v>
      </c>
      <c r="BI211" s="539">
        <f t="shared" si="122"/>
        <v>226</v>
      </c>
      <c r="BJ211" s="539" cm="1">
        <f t="array" aca="1" ref="BJ211" ca="1">INDIRECT($BM$2&amp;BJ$7&amp;$BI211,1)</f>
        <v>0</v>
      </c>
      <c r="BK211" s="539" cm="1">
        <f t="array" aca="1" ref="BK211" ca="1">INDIRECT($BM$2&amp;BK$7&amp;$BI211,1)</f>
        <v>0</v>
      </c>
      <c r="BL211" s="539" cm="1">
        <f t="array" aca="1" ref="BL211" ca="1">INDIRECT($BM$2&amp;BL$7&amp;$BI211,1)</f>
        <v>0</v>
      </c>
      <c r="BM211" s="539" cm="1">
        <f t="array" aca="1" ref="BM211" ca="1">INDIRECT($BM$2&amp;BM$7&amp;$BI211,1)</f>
        <v>0</v>
      </c>
      <c r="BN211" s="539" cm="1">
        <f t="array" aca="1" ref="BN211" ca="1">INDIRECT($BM$2&amp;BN$7&amp;$BI211,1)</f>
        <v>0</v>
      </c>
      <c r="BO211" s="539" t="str">
        <f t="shared" ca="1" si="123"/>
        <v>-</v>
      </c>
      <c r="BP211" s="494" t="s">
        <v>8222</v>
      </c>
      <c r="BQ211" s="20"/>
      <c r="BR211" s="469">
        <v>10</v>
      </c>
      <c r="BS211" s="539" t="s">
        <v>8049</v>
      </c>
      <c r="BT211" s="539">
        <f t="shared" si="124"/>
        <v>572</v>
      </c>
      <c r="BU211" s="539" cm="1">
        <f t="array" aca="1" ref="BU211" ca="1">INDIRECT($BM$2&amp;BU$7&amp;$BT211,1)</f>
        <v>0</v>
      </c>
      <c r="BV211" s="539" cm="1">
        <f t="array" aca="1" ref="BV211" ca="1">INDIRECT($BM$2&amp;BV$7&amp;$BT211,1)</f>
        <v>0</v>
      </c>
      <c r="BW211" s="539" cm="1">
        <f t="array" aca="1" ref="BW211" ca="1">INDIRECT($BM$2&amp;BW$7&amp;$BT211,1)</f>
        <v>0</v>
      </c>
      <c r="BX211" s="539" cm="1">
        <f t="array" aca="1" ref="BX211" ca="1">INDIRECT($BM$2&amp;BX$7&amp;$BT211,1)</f>
        <v>0</v>
      </c>
      <c r="BY211" s="539" cm="1">
        <f t="array" aca="1" ref="BY211" ca="1">INDIRECT($BM$2&amp;BY$7&amp;$BT211,1)</f>
        <v>0</v>
      </c>
      <c r="BZ211" s="539" t="str">
        <f t="shared" ca="1" si="125"/>
        <v>-</v>
      </c>
      <c r="CA211" s="494" t="s">
        <v>8222</v>
      </c>
      <c r="CC211" s="469">
        <v>10</v>
      </c>
      <c r="CD211" s="539" t="s">
        <v>8049</v>
      </c>
      <c r="CE211" s="539">
        <f t="shared" si="126"/>
        <v>918</v>
      </c>
      <c r="CF211" s="539" cm="1">
        <f t="array" aca="1" ref="CF211" ca="1">INDIRECT($BM$2&amp;CF$7&amp;$CE211,1)</f>
        <v>0</v>
      </c>
      <c r="CG211" s="539" cm="1">
        <f t="array" aca="1" ref="CG211" ca="1">INDIRECT($BM$2&amp;CG$7&amp;$CE211,1)</f>
        <v>0</v>
      </c>
      <c r="CH211" s="539" cm="1">
        <f t="array" aca="1" ref="CH211" ca="1">INDIRECT($BM$2&amp;CH$7&amp;$CE211,1)</f>
        <v>0</v>
      </c>
      <c r="CI211" s="539" cm="1">
        <f t="array" aca="1" ref="CI211" ca="1">INDIRECT($BM$2&amp;CI$7&amp;$CE211,1)</f>
        <v>0</v>
      </c>
      <c r="CJ211" s="539" cm="1">
        <f t="array" aca="1" ref="CJ211" ca="1">INDIRECT($BM$2&amp;CJ$7&amp;$CE211,1)</f>
        <v>0</v>
      </c>
      <c r="CK211" s="539" t="str">
        <f t="shared" ca="1" si="127"/>
        <v>-</v>
      </c>
      <c r="CL211" s="494" t="s">
        <v>8222</v>
      </c>
      <c r="CU211" s="469" t="s">
        <v>5510</v>
      </c>
      <c r="ES211" s="504"/>
      <c r="ET211" s="507"/>
      <c r="EU211" s="585"/>
      <c r="GC211" s="472" t="s">
        <v>5510</v>
      </c>
    </row>
    <row r="212" spans="3:185" x14ac:dyDescent="0.25">
      <c r="C212" s="501">
        <f>ROW('Irritacao_Cutanea(1)'!AR62)</f>
        <v>62</v>
      </c>
      <c r="D212" s="662" cm="1">
        <f t="array" aca="1" ref="D212" ca="1">INDIRECT($C$203&amp;D$203&amp;$C212,1)</f>
        <v>0</v>
      </c>
      <c r="E212" s="662" cm="1">
        <f t="array" aca="1" ref="E212" ca="1">INDIRECT($C$203&amp;E$203&amp;$C212,1)</f>
        <v>0</v>
      </c>
      <c r="F212" s="662" cm="1">
        <f t="array" aca="1" ref="F212" ca="1">INDIRECT($C$203&amp;F$203&amp;$C212,1)</f>
        <v>0</v>
      </c>
      <c r="G212" s="662" cm="1">
        <f t="array" aca="1" ref="G212" ca="1">INDIRECT($C$203&amp;G$203&amp;$C212,1)</f>
        <v>0</v>
      </c>
      <c r="H212" s="662" cm="1">
        <f t="array" aca="1" ref="H212" ca="1">INDIRECT($C$203&amp;H$203&amp;$C212,1)</f>
        <v>0</v>
      </c>
      <c r="I212" s="662" cm="1">
        <f t="array" aca="1" ref="I212" ca="1">INDIRECT($C$203&amp;I$203&amp;$C212,1)</f>
        <v>0</v>
      </c>
      <c r="J212" s="663">
        <f t="shared" ca="1" si="128"/>
        <v>0</v>
      </c>
      <c r="K212" s="663">
        <f t="shared" ca="1" si="129"/>
        <v>0</v>
      </c>
      <c r="BF212" s="469" t="s">
        <v>5510</v>
      </c>
      <c r="BG212" s="469">
        <v>11</v>
      </c>
      <c r="BH212" s="539" t="s">
        <v>8049</v>
      </c>
      <c r="BI212" s="539">
        <f t="shared" si="122"/>
        <v>227</v>
      </c>
      <c r="BJ212" s="539" cm="1">
        <f t="array" aca="1" ref="BJ212" ca="1">INDIRECT($BM$2&amp;BJ$7&amp;$BI212,1)</f>
        <v>0</v>
      </c>
      <c r="BK212" s="539" cm="1">
        <f t="array" aca="1" ref="BK212" ca="1">INDIRECT($BM$2&amp;BK$7&amp;$BI212,1)</f>
        <v>0</v>
      </c>
      <c r="BL212" s="539" cm="1">
        <f t="array" aca="1" ref="BL212" ca="1">INDIRECT($BM$2&amp;BL$7&amp;$BI212,1)</f>
        <v>0</v>
      </c>
      <c r="BM212" s="539" cm="1">
        <f t="array" aca="1" ref="BM212" ca="1">INDIRECT($BM$2&amp;BM$7&amp;$BI212,1)</f>
        <v>0</v>
      </c>
      <c r="BN212" s="539" cm="1">
        <f t="array" aca="1" ref="BN212" ca="1">INDIRECT($BM$2&amp;BN$7&amp;$BI212,1)</f>
        <v>0</v>
      </c>
      <c r="BO212" s="539" t="str">
        <f t="shared" ca="1" si="123"/>
        <v>-</v>
      </c>
      <c r="BP212" s="494" t="s">
        <v>8222</v>
      </c>
      <c r="BQ212" s="20"/>
      <c r="BR212" s="469">
        <v>11</v>
      </c>
      <c r="BS212" s="539" t="s">
        <v>8049</v>
      </c>
      <c r="BT212" s="539">
        <f t="shared" si="124"/>
        <v>573</v>
      </c>
      <c r="BU212" s="539" cm="1">
        <f t="array" aca="1" ref="BU212" ca="1">INDIRECT($BM$2&amp;BU$7&amp;$BT212,1)</f>
        <v>0</v>
      </c>
      <c r="BV212" s="539" cm="1">
        <f t="array" aca="1" ref="BV212" ca="1">INDIRECT($BM$2&amp;BV$7&amp;$BT212,1)</f>
        <v>0</v>
      </c>
      <c r="BW212" s="539" cm="1">
        <f t="array" aca="1" ref="BW212" ca="1">INDIRECT($BM$2&amp;BW$7&amp;$BT212,1)</f>
        <v>0</v>
      </c>
      <c r="BX212" s="539" cm="1">
        <f t="array" aca="1" ref="BX212" ca="1">INDIRECT($BM$2&amp;BX$7&amp;$BT212,1)</f>
        <v>0</v>
      </c>
      <c r="BY212" s="539" cm="1">
        <f t="array" aca="1" ref="BY212" ca="1">INDIRECT($BM$2&amp;BY$7&amp;$BT212,1)</f>
        <v>0</v>
      </c>
      <c r="BZ212" s="539" t="str">
        <f t="shared" ca="1" si="125"/>
        <v>-</v>
      </c>
      <c r="CA212" s="494" t="s">
        <v>8222</v>
      </c>
      <c r="CC212" s="469">
        <v>11</v>
      </c>
      <c r="CD212" s="539" t="s">
        <v>8049</v>
      </c>
      <c r="CE212" s="539">
        <f t="shared" si="126"/>
        <v>919</v>
      </c>
      <c r="CF212" s="539" cm="1">
        <f t="array" aca="1" ref="CF212" ca="1">INDIRECT($BM$2&amp;CF$7&amp;$CE212,1)</f>
        <v>0</v>
      </c>
      <c r="CG212" s="539" cm="1">
        <f t="array" aca="1" ref="CG212" ca="1">INDIRECT($BM$2&amp;CG$7&amp;$CE212,1)</f>
        <v>0</v>
      </c>
      <c r="CH212" s="539" cm="1">
        <f t="array" aca="1" ref="CH212" ca="1">INDIRECT($BM$2&amp;CH$7&amp;$CE212,1)</f>
        <v>0</v>
      </c>
      <c r="CI212" s="539" cm="1">
        <f t="array" aca="1" ref="CI212" ca="1">INDIRECT($BM$2&amp;CI$7&amp;$CE212,1)</f>
        <v>0</v>
      </c>
      <c r="CJ212" s="539" cm="1">
        <f t="array" aca="1" ref="CJ212" ca="1">INDIRECT($BM$2&amp;CJ$7&amp;$CE212,1)</f>
        <v>0</v>
      </c>
      <c r="CK212" s="539" t="str">
        <f t="shared" ca="1" si="127"/>
        <v>-</v>
      </c>
      <c r="CL212" s="494" t="s">
        <v>8222</v>
      </c>
      <c r="CU212" s="469" t="s">
        <v>5510</v>
      </c>
      <c r="ES212" s="504"/>
      <c r="ET212" s="507"/>
      <c r="EU212" s="585"/>
      <c r="GC212" s="472" t="s">
        <v>5510</v>
      </c>
    </row>
    <row r="213" spans="3:185" x14ac:dyDescent="0.25">
      <c r="C213" s="501">
        <f>ROW('Irritacao_Cutanea(1)'!AR63)</f>
        <v>63</v>
      </c>
      <c r="D213" s="662" cm="1">
        <f t="array" aca="1" ref="D213" ca="1">INDIRECT($C$203&amp;D$203&amp;$C213,1)</f>
        <v>0</v>
      </c>
      <c r="E213" s="662" cm="1">
        <f t="array" aca="1" ref="E213" ca="1">INDIRECT($C$203&amp;E$203&amp;$C213,1)</f>
        <v>0</v>
      </c>
      <c r="F213" s="662" cm="1">
        <f t="array" aca="1" ref="F213" ca="1">INDIRECT($C$203&amp;F$203&amp;$C213,1)</f>
        <v>0</v>
      </c>
      <c r="G213" s="662" cm="1">
        <f t="array" aca="1" ref="G213" ca="1">INDIRECT($C$203&amp;G$203&amp;$C213,1)</f>
        <v>0</v>
      </c>
      <c r="H213" s="662" cm="1">
        <f t="array" aca="1" ref="H213" ca="1">INDIRECT($C$203&amp;H$203&amp;$C213,1)</f>
        <v>0</v>
      </c>
      <c r="I213" s="662" cm="1">
        <f t="array" aca="1" ref="I213" ca="1">INDIRECT($C$203&amp;I$203&amp;$C213,1)</f>
        <v>0</v>
      </c>
      <c r="J213" s="663">
        <f t="shared" ca="1" si="128"/>
        <v>0</v>
      </c>
      <c r="K213" s="663">
        <f t="shared" ca="1" si="129"/>
        <v>0</v>
      </c>
      <c r="BF213" s="469" t="s">
        <v>5510</v>
      </c>
      <c r="BG213" s="469">
        <v>12</v>
      </c>
      <c r="BH213" s="539" t="s">
        <v>8049</v>
      </c>
      <c r="BI213" s="539">
        <f t="shared" si="122"/>
        <v>228</v>
      </c>
      <c r="BJ213" s="539" cm="1">
        <f t="array" aca="1" ref="BJ213" ca="1">INDIRECT($BM$2&amp;BJ$7&amp;$BI213,1)</f>
        <v>0</v>
      </c>
      <c r="BK213" s="539" cm="1">
        <f t="array" aca="1" ref="BK213" ca="1">INDIRECT($BM$2&amp;BK$7&amp;$BI213,1)</f>
        <v>0</v>
      </c>
      <c r="BL213" s="539" cm="1">
        <f t="array" aca="1" ref="BL213" ca="1">INDIRECT($BM$2&amp;BL$7&amp;$BI213,1)</f>
        <v>0</v>
      </c>
      <c r="BM213" s="539" cm="1">
        <f t="array" aca="1" ref="BM213" ca="1">INDIRECT($BM$2&amp;BM$7&amp;$BI213,1)</f>
        <v>0</v>
      </c>
      <c r="BN213" s="539" t="str" cm="1">
        <f t="array" aca="1" ref="BN213" ca="1">INDIRECT($BM$2&amp;BN$7&amp;$BI213,1)</f>
        <v>-</v>
      </c>
      <c r="BO213" s="539" t="str">
        <f t="shared" ca="1" si="123"/>
        <v>-</v>
      </c>
      <c r="BP213" s="561" t="s">
        <v>8223</v>
      </c>
      <c r="BQ213" s="20"/>
      <c r="BR213" s="469">
        <v>12</v>
      </c>
      <c r="BS213" s="539" t="s">
        <v>8049</v>
      </c>
      <c r="BT213" s="539">
        <f t="shared" si="124"/>
        <v>574</v>
      </c>
      <c r="BU213" s="539" cm="1">
        <f t="array" aca="1" ref="BU213" ca="1">INDIRECT($BM$2&amp;BU$7&amp;$BT213,1)</f>
        <v>0</v>
      </c>
      <c r="BV213" s="539" cm="1">
        <f t="array" aca="1" ref="BV213" ca="1">INDIRECT($BM$2&amp;BV$7&amp;$BT213,1)</f>
        <v>0</v>
      </c>
      <c r="BW213" s="539" cm="1">
        <f t="array" aca="1" ref="BW213" ca="1">INDIRECT($BM$2&amp;BW$7&amp;$BT213,1)</f>
        <v>0</v>
      </c>
      <c r="BX213" s="539" cm="1">
        <f t="array" aca="1" ref="BX213" ca="1">INDIRECT($BM$2&amp;BX$7&amp;$BT213,1)</f>
        <v>0</v>
      </c>
      <c r="BY213" s="539" t="str" cm="1">
        <f t="array" aca="1" ref="BY213" ca="1">INDIRECT($BM$2&amp;BY$7&amp;$BT213,1)</f>
        <v>-</v>
      </c>
      <c r="BZ213" s="539" t="str">
        <f t="shared" ca="1" si="125"/>
        <v>-</v>
      </c>
      <c r="CA213" s="561" t="s">
        <v>8223</v>
      </c>
      <c r="CC213" s="469">
        <v>12</v>
      </c>
      <c r="CD213" s="539" t="s">
        <v>8049</v>
      </c>
      <c r="CE213" s="539">
        <f t="shared" si="126"/>
        <v>920</v>
      </c>
      <c r="CF213" s="539" cm="1">
        <f t="array" aca="1" ref="CF213" ca="1">INDIRECT($BM$2&amp;CF$7&amp;$CE213,1)</f>
        <v>0</v>
      </c>
      <c r="CG213" s="539" cm="1">
        <f t="array" aca="1" ref="CG213" ca="1">INDIRECT($BM$2&amp;CG$7&amp;$CE213,1)</f>
        <v>0</v>
      </c>
      <c r="CH213" s="539" cm="1">
        <f t="array" aca="1" ref="CH213" ca="1">INDIRECT($BM$2&amp;CH$7&amp;$CE213,1)</f>
        <v>0</v>
      </c>
      <c r="CI213" s="539" cm="1">
        <f t="array" aca="1" ref="CI213" ca="1">INDIRECT($BM$2&amp;CI$7&amp;$CE213,1)</f>
        <v>0</v>
      </c>
      <c r="CJ213" s="539" t="str" cm="1">
        <f t="array" aca="1" ref="CJ213" ca="1">INDIRECT($BM$2&amp;CJ$7&amp;$CE213,1)</f>
        <v>-</v>
      </c>
      <c r="CK213" s="539" t="str">
        <f t="shared" ca="1" si="127"/>
        <v>-</v>
      </c>
      <c r="CL213" s="561" t="s">
        <v>8223</v>
      </c>
      <c r="CU213" s="469" t="s">
        <v>5510</v>
      </c>
      <c r="ES213" s="504"/>
      <c r="ET213" s="507"/>
      <c r="EU213" s="585"/>
    </row>
    <row r="214" spans="3:185" x14ac:dyDescent="0.25">
      <c r="C214" s="501">
        <f>ROW('Irritacao_Cutanea(1)'!AR64)</f>
        <v>64</v>
      </c>
      <c r="D214" s="662" cm="1">
        <f t="array" aca="1" ref="D214" ca="1">INDIRECT($C$203&amp;D$203&amp;$C214,1)</f>
        <v>0</v>
      </c>
      <c r="E214" s="662" cm="1">
        <f t="array" aca="1" ref="E214" ca="1">INDIRECT($C$203&amp;E$203&amp;$C214,1)</f>
        <v>0</v>
      </c>
      <c r="F214" s="662" cm="1">
        <f t="array" aca="1" ref="F214" ca="1">INDIRECT($C$203&amp;F$203&amp;$C214,1)</f>
        <v>0</v>
      </c>
      <c r="G214" s="662" cm="1">
        <f t="array" aca="1" ref="G214" ca="1">INDIRECT($C$203&amp;G$203&amp;$C214,1)</f>
        <v>0</v>
      </c>
      <c r="H214" s="662" cm="1">
        <f t="array" aca="1" ref="H214" ca="1">INDIRECT($C$203&amp;H$203&amp;$C214,1)</f>
        <v>0</v>
      </c>
      <c r="I214" s="662" cm="1">
        <f t="array" aca="1" ref="I214" ca="1">INDIRECT($C$203&amp;I$203&amp;$C214,1)</f>
        <v>0</v>
      </c>
      <c r="J214" s="663">
        <f t="shared" ca="1" si="128"/>
        <v>0</v>
      </c>
      <c r="K214" s="663">
        <f t="shared" ca="1" si="129"/>
        <v>0</v>
      </c>
      <c r="BF214" s="469" t="s">
        <v>5510</v>
      </c>
      <c r="BL214" s="372"/>
      <c r="BO214" s="472"/>
      <c r="BQ214" s="20"/>
      <c r="BT214" s="372"/>
      <c r="BU214" s="472"/>
      <c r="BV214" s="472"/>
      <c r="BW214" s="372"/>
      <c r="BX214" s="472"/>
      <c r="BY214" s="372"/>
      <c r="BZ214" s="472"/>
      <c r="CA214" s="372"/>
      <c r="CE214" s="372"/>
      <c r="CF214" s="472"/>
      <c r="CG214" s="472"/>
      <c r="CH214" s="372"/>
      <c r="CI214" s="472"/>
      <c r="CJ214" s="372"/>
      <c r="CK214" s="472"/>
      <c r="CL214" s="372"/>
      <c r="CU214" s="469" t="s">
        <v>5510</v>
      </c>
      <c r="ES214" s="504"/>
      <c r="ET214" s="507"/>
      <c r="EU214" s="585"/>
    </row>
    <row r="215" spans="3:185" x14ac:dyDescent="0.25">
      <c r="C215" s="501">
        <f>ROW('Irritacao_Cutanea(1)'!AR65)</f>
        <v>65</v>
      </c>
      <c r="D215" s="662" cm="1">
        <f t="array" aca="1" ref="D215" ca="1">INDIRECT($C$203&amp;D$203&amp;$C215,1)</f>
        <v>0</v>
      </c>
      <c r="E215" s="662" cm="1">
        <f t="array" aca="1" ref="E215" ca="1">INDIRECT($C$203&amp;E$203&amp;$C215,1)</f>
        <v>0</v>
      </c>
      <c r="F215" s="662" cm="1">
        <f t="array" aca="1" ref="F215" ca="1">INDIRECT($C$203&amp;F$203&amp;$C215,1)</f>
        <v>0</v>
      </c>
      <c r="G215" s="662" cm="1">
        <f t="array" aca="1" ref="G215" ca="1">INDIRECT($C$203&amp;G$203&amp;$C215,1)</f>
        <v>0</v>
      </c>
      <c r="H215" s="662" cm="1">
        <f t="array" aca="1" ref="H215" ca="1">INDIRECT($C$203&amp;H$203&amp;$C215,1)</f>
        <v>0</v>
      </c>
      <c r="I215" s="662" cm="1">
        <f t="array" aca="1" ref="I215" ca="1">INDIRECT($C$203&amp;I$203&amp;$C215,1)</f>
        <v>0</v>
      </c>
      <c r="J215" s="663">
        <f t="shared" ca="1" si="128"/>
        <v>0</v>
      </c>
      <c r="K215" s="663">
        <f t="shared" ca="1" si="129"/>
        <v>0</v>
      </c>
      <c r="BF215" s="469" t="s">
        <v>5510</v>
      </c>
      <c r="BL215" s="372"/>
      <c r="BO215" s="472"/>
      <c r="BQ215" s="20"/>
      <c r="BT215" s="372"/>
      <c r="BU215" s="472"/>
      <c r="BV215" s="472"/>
      <c r="BW215" s="372"/>
      <c r="BX215" s="472"/>
      <c r="BY215" s="372"/>
      <c r="BZ215" s="472"/>
      <c r="CA215" s="372"/>
      <c r="CE215" s="372"/>
      <c r="CF215" s="472"/>
      <c r="CG215" s="472"/>
      <c r="CH215" s="372"/>
      <c r="CI215" s="472"/>
      <c r="CJ215" s="372"/>
      <c r="CK215" s="472"/>
      <c r="CL215" s="372"/>
      <c r="CU215" s="469" t="s">
        <v>5510</v>
      </c>
      <c r="ES215" s="504"/>
      <c r="ET215" s="507"/>
      <c r="EU215" s="585"/>
    </row>
    <row r="216" spans="3:185" x14ac:dyDescent="0.25">
      <c r="BF216" s="469" t="s">
        <v>5510</v>
      </c>
      <c r="BQ216" s="20"/>
      <c r="BT216" s="372"/>
      <c r="BU216" s="472"/>
      <c r="BV216" s="472"/>
      <c r="BW216" s="472"/>
      <c r="BX216" s="472"/>
      <c r="BY216" s="372"/>
      <c r="BZ216" s="372"/>
      <c r="CA216" s="372"/>
      <c r="CE216" s="372"/>
      <c r="CF216" s="472"/>
      <c r="CG216" s="472"/>
      <c r="CH216" s="472"/>
      <c r="CI216" s="472"/>
      <c r="CJ216" s="372"/>
      <c r="CK216" s="372"/>
      <c r="CL216" s="372"/>
      <c r="CU216" s="469" t="s">
        <v>5510</v>
      </c>
      <c r="ES216" s="504"/>
      <c r="ET216" s="507"/>
      <c r="EU216" s="585"/>
    </row>
    <row r="217" spans="3:185" x14ac:dyDescent="0.25">
      <c r="BF217" s="469" t="s">
        <v>5510</v>
      </c>
      <c r="BQ217" s="20"/>
      <c r="BT217" s="372"/>
      <c r="BU217" s="472"/>
      <c r="BV217" s="472"/>
      <c r="BW217" s="472"/>
      <c r="BX217" s="472"/>
      <c r="BY217" s="372"/>
      <c r="BZ217" s="372"/>
      <c r="CA217" s="372"/>
      <c r="CE217" s="372"/>
      <c r="CF217" s="472"/>
      <c r="CG217" s="472"/>
      <c r="CH217" s="472"/>
      <c r="CI217" s="472"/>
      <c r="CJ217" s="372"/>
      <c r="CK217" s="372"/>
      <c r="CL217" s="372"/>
      <c r="CU217" s="469" t="s">
        <v>5510</v>
      </c>
      <c r="ES217" s="504"/>
      <c r="ET217" s="507"/>
      <c r="EU217" s="585"/>
    </row>
    <row r="218" spans="3:185" x14ac:dyDescent="0.25">
      <c r="C218" s="660" t="s">
        <v>5577</v>
      </c>
      <c r="D218" s="660" t="s">
        <v>5951</v>
      </c>
      <c r="E218" s="660" t="s">
        <v>5734</v>
      </c>
      <c r="F218" s="660" t="s">
        <v>5732</v>
      </c>
      <c r="G218" s="660" t="s">
        <v>5737</v>
      </c>
      <c r="H218" s="660" t="s">
        <v>5739</v>
      </c>
      <c r="I218" s="660" t="s">
        <v>5907</v>
      </c>
      <c r="J218" s="525"/>
      <c r="K218" s="525"/>
      <c r="BF218" s="469" t="s">
        <v>5510</v>
      </c>
      <c r="BG218" s="469">
        <v>1</v>
      </c>
      <c r="BH218" s="539" t="s">
        <v>8050</v>
      </c>
      <c r="BI218" s="539">
        <f>BI213+$BO$5</f>
        <v>234</v>
      </c>
      <c r="BJ218" s="539" cm="1">
        <f t="array" aca="1" ref="BJ218" ca="1">INDIRECT($BM$2&amp;BJ$7&amp;$BI218,1)</f>
        <v>0</v>
      </c>
      <c r="BK218" s="539" cm="1">
        <f t="array" aca="1" ref="BK218" ca="1">INDIRECT($BM$2&amp;BK$7&amp;$BI218,1)</f>
        <v>0</v>
      </c>
      <c r="BL218" s="539" cm="1">
        <f t="array" aca="1" ref="BL218" ca="1">INDIRECT($BM$2&amp;BL$7&amp;$BI218,1)</f>
        <v>0</v>
      </c>
      <c r="BM218" s="539" cm="1">
        <f t="array" aca="1" ref="BM218" ca="1">INDIRECT($BM$2&amp;BM$7&amp;$BI218,1)</f>
        <v>0</v>
      </c>
      <c r="BN218" s="539" cm="1">
        <f t="array" aca="1" ref="BN218" ca="1">INDIRECT($BM$2&amp;BN$7&amp;$BI218,1)</f>
        <v>0</v>
      </c>
      <c r="BO218" s="539" t="str">
        <f ca="1">IFERROR(BK218/BK$218,"-")</f>
        <v>-</v>
      </c>
      <c r="BP218" s="540" t="s">
        <v>8221</v>
      </c>
      <c r="BQ218" s="20"/>
      <c r="BR218" s="469">
        <v>1</v>
      </c>
      <c r="BS218" s="539" t="s">
        <v>8050</v>
      </c>
      <c r="BT218" s="539">
        <f>BT213+$BO$5</f>
        <v>580</v>
      </c>
      <c r="BU218" s="539" cm="1">
        <f t="array" aca="1" ref="BU218" ca="1">INDIRECT($BM$2&amp;BU$7&amp;$BT218,1)</f>
        <v>0</v>
      </c>
      <c r="BV218" s="539" cm="1">
        <f t="array" aca="1" ref="BV218" ca="1">INDIRECT($BM$2&amp;BV$7&amp;$BT218,1)</f>
        <v>0</v>
      </c>
      <c r="BW218" s="539" cm="1">
        <f t="array" aca="1" ref="BW218" ca="1">INDIRECT($BM$2&amp;BW$7&amp;$BT218,1)</f>
        <v>0</v>
      </c>
      <c r="BX218" s="539" cm="1">
        <f t="array" aca="1" ref="BX218" ca="1">INDIRECT($BM$2&amp;BX$7&amp;$BT218,1)</f>
        <v>0</v>
      </c>
      <c r="BY218" s="539" cm="1">
        <f t="array" aca="1" ref="BY218" ca="1">INDIRECT($BM$2&amp;BY$7&amp;$BT218,1)</f>
        <v>0</v>
      </c>
      <c r="BZ218" s="539" t="str">
        <f ca="1">IFERROR(BV218/BV$218,"-")</f>
        <v>-</v>
      </c>
      <c r="CA218" s="540" t="s">
        <v>8221</v>
      </c>
      <c r="CC218" s="469">
        <v>1</v>
      </c>
      <c r="CD218" s="539" t="s">
        <v>8050</v>
      </c>
      <c r="CE218" s="539">
        <f>CE213+$BO$5</f>
        <v>926</v>
      </c>
      <c r="CF218" s="539" cm="1">
        <f t="array" aca="1" ref="CF218" ca="1">INDIRECT($BM$2&amp;CF$7&amp;$CE218,1)</f>
        <v>0</v>
      </c>
      <c r="CG218" s="539" cm="1">
        <f t="array" aca="1" ref="CG218" ca="1">INDIRECT($BM$2&amp;CG$7&amp;$CE218,1)</f>
        <v>0</v>
      </c>
      <c r="CH218" s="539" cm="1">
        <f t="array" aca="1" ref="CH218" ca="1">INDIRECT($BM$2&amp;CH$7&amp;$CE218,1)</f>
        <v>0</v>
      </c>
      <c r="CI218" s="539" cm="1">
        <f t="array" aca="1" ref="CI218" ca="1">INDIRECT($BM$2&amp;CI$7&amp;$CE218,1)</f>
        <v>0</v>
      </c>
      <c r="CJ218" s="539" cm="1">
        <f t="array" aca="1" ref="CJ218" ca="1">INDIRECT($BM$2&amp;CJ$7&amp;$CE218,1)</f>
        <v>0</v>
      </c>
      <c r="CK218" s="539" t="str">
        <f ca="1">IFERROR(CG218/CG$218,"-")</f>
        <v>-</v>
      </c>
      <c r="CL218" s="540" t="s">
        <v>8221</v>
      </c>
      <c r="CU218" s="469" t="s">
        <v>5510</v>
      </c>
      <c r="ES218" s="504"/>
      <c r="ET218" s="507"/>
      <c r="EU218" s="585"/>
    </row>
    <row r="219" spans="3:185" x14ac:dyDescent="0.25">
      <c r="C219" s="655" t="s">
        <v>5904</v>
      </c>
      <c r="D219" s="1664" t="s">
        <v>44</v>
      </c>
      <c r="E219" s="1664"/>
      <c r="F219" s="1664" t="s">
        <v>47</v>
      </c>
      <c r="G219" s="1664"/>
      <c r="H219" s="1664" t="s">
        <v>48</v>
      </c>
      <c r="I219" s="1664"/>
      <c r="J219" s="1662" t="s">
        <v>231</v>
      </c>
      <c r="K219" s="1663"/>
      <c r="BF219" s="469" t="s">
        <v>5510</v>
      </c>
      <c r="BG219" s="469">
        <v>2</v>
      </c>
      <c r="BH219" s="539" t="s">
        <v>8050</v>
      </c>
      <c r="BI219" s="539">
        <f t="shared" ref="BI219:BI229" si="130">BI218+1</f>
        <v>235</v>
      </c>
      <c r="BJ219" s="539" cm="1">
        <f t="array" aca="1" ref="BJ219" ca="1">INDIRECT($BM$2&amp;BJ$7&amp;$BI219,1)</f>
        <v>0</v>
      </c>
      <c r="BK219" s="539" cm="1">
        <f t="array" aca="1" ref="BK219" ca="1">INDIRECT($BM$2&amp;BK$7&amp;$BI219,1)</f>
        <v>0</v>
      </c>
      <c r="BL219" s="539" cm="1">
        <f t="array" aca="1" ref="BL219" ca="1">INDIRECT($BM$2&amp;BL$7&amp;$BI219,1)</f>
        <v>0</v>
      </c>
      <c r="BM219" s="539" cm="1">
        <f t="array" aca="1" ref="BM219" ca="1">INDIRECT($BM$2&amp;BM$7&amp;$BI219,1)</f>
        <v>0</v>
      </c>
      <c r="BN219" s="539" cm="1">
        <f t="array" aca="1" ref="BN219" ca="1">INDIRECT($BM$2&amp;BN$7&amp;$BI219,1)</f>
        <v>0</v>
      </c>
      <c r="BO219" s="539" t="str">
        <f t="shared" ref="BO219:BO229" ca="1" si="131">IF(BK219=0,"-",IFERROR(BK219/BK$218,"-"))</f>
        <v>-</v>
      </c>
      <c r="BP219" s="494" t="s">
        <v>8222</v>
      </c>
      <c r="BQ219" s="20"/>
      <c r="BR219" s="469">
        <v>2</v>
      </c>
      <c r="BS219" s="539" t="s">
        <v>8050</v>
      </c>
      <c r="BT219" s="539">
        <f t="shared" ref="BT219:BT229" si="132">BT218+1</f>
        <v>581</v>
      </c>
      <c r="BU219" s="539" cm="1">
        <f t="array" aca="1" ref="BU219" ca="1">INDIRECT($BM$2&amp;BU$7&amp;$BT219,1)</f>
        <v>0</v>
      </c>
      <c r="BV219" s="539" cm="1">
        <f t="array" aca="1" ref="BV219" ca="1">INDIRECT($BM$2&amp;BV$7&amp;$BT219,1)</f>
        <v>0</v>
      </c>
      <c r="BW219" s="539" cm="1">
        <f t="array" aca="1" ref="BW219" ca="1">INDIRECT($BM$2&amp;BW$7&amp;$BT219,1)</f>
        <v>0</v>
      </c>
      <c r="BX219" s="539" cm="1">
        <f t="array" aca="1" ref="BX219" ca="1">INDIRECT($BM$2&amp;BX$7&amp;$BT219,1)</f>
        <v>0</v>
      </c>
      <c r="BY219" s="539" cm="1">
        <f t="array" aca="1" ref="BY219" ca="1">INDIRECT($BM$2&amp;BY$7&amp;$BT219,1)</f>
        <v>0</v>
      </c>
      <c r="BZ219" s="539" t="str">
        <f t="shared" ref="BZ219:BZ229" ca="1" si="133">IF(BV219=0,"-",IFERROR(BV219/BV$218,"-"))</f>
        <v>-</v>
      </c>
      <c r="CA219" s="494" t="s">
        <v>8222</v>
      </c>
      <c r="CC219" s="469">
        <v>2</v>
      </c>
      <c r="CD219" s="539" t="s">
        <v>8050</v>
      </c>
      <c r="CE219" s="539">
        <f t="shared" ref="CE219:CE229" si="134">CE218+1</f>
        <v>927</v>
      </c>
      <c r="CF219" s="539" cm="1">
        <f t="array" aca="1" ref="CF219" ca="1">INDIRECT($BM$2&amp;CF$7&amp;$CE219,1)</f>
        <v>0</v>
      </c>
      <c r="CG219" s="539" cm="1">
        <f t="array" aca="1" ref="CG219" ca="1">INDIRECT($BM$2&amp;CG$7&amp;$CE219,1)</f>
        <v>0</v>
      </c>
      <c r="CH219" s="539" cm="1">
        <f t="array" aca="1" ref="CH219" ca="1">INDIRECT($BM$2&amp;CH$7&amp;$CE219,1)</f>
        <v>0</v>
      </c>
      <c r="CI219" s="539" cm="1">
        <f t="array" aca="1" ref="CI219" ca="1">INDIRECT($BM$2&amp;CI$7&amp;$CE219,1)</f>
        <v>0</v>
      </c>
      <c r="CJ219" s="539" cm="1">
        <f t="array" aca="1" ref="CJ219" ca="1">INDIRECT($BM$2&amp;CJ$7&amp;$CE219,1)</f>
        <v>0</v>
      </c>
      <c r="CK219" s="539" t="str">
        <f t="shared" ref="CK219:CK229" ca="1" si="135">IF(CG219=0,"-",IFERROR(CG219/CG$218,"-"))</f>
        <v>-</v>
      </c>
      <c r="CL219" s="494" t="s">
        <v>8222</v>
      </c>
      <c r="CU219" s="469" t="s">
        <v>5510</v>
      </c>
      <c r="ES219" s="504"/>
      <c r="ET219" s="507"/>
      <c r="EU219" s="585"/>
    </row>
    <row r="220" spans="3:185" x14ac:dyDescent="0.25">
      <c r="C220" s="20" t="s">
        <v>10</v>
      </c>
      <c r="D220" s="661" t="s">
        <v>45</v>
      </c>
      <c r="E220" s="661" t="s">
        <v>46</v>
      </c>
      <c r="F220" s="661" t="s">
        <v>45</v>
      </c>
      <c r="G220" s="661" t="s">
        <v>46</v>
      </c>
      <c r="H220" s="661" t="s">
        <v>45</v>
      </c>
      <c r="I220" s="661" t="s">
        <v>46</v>
      </c>
      <c r="J220" s="525" t="s">
        <v>5943</v>
      </c>
      <c r="K220" s="525" t="s">
        <v>46</v>
      </c>
      <c r="BF220" s="469" t="s">
        <v>5510</v>
      </c>
      <c r="BG220" s="469">
        <v>3</v>
      </c>
      <c r="BH220" s="539" t="s">
        <v>8050</v>
      </c>
      <c r="BI220" s="539">
        <f t="shared" si="130"/>
        <v>236</v>
      </c>
      <c r="BJ220" s="539" cm="1">
        <f t="array" aca="1" ref="BJ220" ca="1">INDIRECT($BM$2&amp;BJ$7&amp;$BI220,1)</f>
        <v>0</v>
      </c>
      <c r="BK220" s="539" cm="1">
        <f t="array" aca="1" ref="BK220" ca="1">INDIRECT($BM$2&amp;BK$7&amp;$BI220,1)</f>
        <v>0</v>
      </c>
      <c r="BL220" s="539" cm="1">
        <f t="array" aca="1" ref="BL220" ca="1">INDIRECT($BM$2&amp;BL$7&amp;$BI220,1)</f>
        <v>0</v>
      </c>
      <c r="BM220" s="539" cm="1">
        <f t="array" aca="1" ref="BM220" ca="1">INDIRECT($BM$2&amp;BM$7&amp;$BI220,1)</f>
        <v>0</v>
      </c>
      <c r="BN220" s="539" cm="1">
        <f t="array" aca="1" ref="BN220" ca="1">INDIRECT($BM$2&amp;BN$7&amp;$BI220,1)</f>
        <v>0</v>
      </c>
      <c r="BO220" s="539" t="str">
        <f t="shared" ca="1" si="131"/>
        <v>-</v>
      </c>
      <c r="BP220" s="494" t="s">
        <v>8222</v>
      </c>
      <c r="BQ220" s="20"/>
      <c r="BR220" s="469">
        <v>3</v>
      </c>
      <c r="BS220" s="539" t="s">
        <v>8050</v>
      </c>
      <c r="BT220" s="539">
        <f t="shared" si="132"/>
        <v>582</v>
      </c>
      <c r="BU220" s="539" cm="1">
        <f t="array" aca="1" ref="BU220" ca="1">INDIRECT($BM$2&amp;BU$7&amp;$BT220,1)</f>
        <v>0</v>
      </c>
      <c r="BV220" s="539" cm="1">
        <f t="array" aca="1" ref="BV220" ca="1">INDIRECT($BM$2&amp;BV$7&amp;$BT220,1)</f>
        <v>0</v>
      </c>
      <c r="BW220" s="539" cm="1">
        <f t="array" aca="1" ref="BW220" ca="1">INDIRECT($BM$2&amp;BW$7&amp;$BT220,1)</f>
        <v>0</v>
      </c>
      <c r="BX220" s="539" cm="1">
        <f t="array" aca="1" ref="BX220" ca="1">INDIRECT($BM$2&amp;BX$7&amp;$BT220,1)</f>
        <v>0</v>
      </c>
      <c r="BY220" s="539" cm="1">
        <f t="array" aca="1" ref="BY220" ca="1">INDIRECT($BM$2&amp;BY$7&amp;$BT220,1)</f>
        <v>0</v>
      </c>
      <c r="BZ220" s="539" t="str">
        <f t="shared" ca="1" si="133"/>
        <v>-</v>
      </c>
      <c r="CA220" s="494" t="s">
        <v>8222</v>
      </c>
      <c r="CC220" s="469">
        <v>3</v>
      </c>
      <c r="CD220" s="539" t="s">
        <v>8050</v>
      </c>
      <c r="CE220" s="539">
        <f t="shared" si="134"/>
        <v>928</v>
      </c>
      <c r="CF220" s="539" cm="1">
        <f t="array" aca="1" ref="CF220" ca="1">INDIRECT($BM$2&amp;CF$7&amp;$CE220,1)</f>
        <v>0</v>
      </c>
      <c r="CG220" s="539" cm="1">
        <f t="array" aca="1" ref="CG220" ca="1">INDIRECT($BM$2&amp;CG$7&amp;$CE220,1)</f>
        <v>0</v>
      </c>
      <c r="CH220" s="539" cm="1">
        <f t="array" aca="1" ref="CH220" ca="1">INDIRECT($BM$2&amp;CH$7&amp;$CE220,1)</f>
        <v>0</v>
      </c>
      <c r="CI220" s="539" cm="1">
        <f t="array" aca="1" ref="CI220" ca="1">INDIRECT($BM$2&amp;CI$7&amp;$CE220,1)</f>
        <v>0</v>
      </c>
      <c r="CJ220" s="539" cm="1">
        <f t="array" aca="1" ref="CJ220" ca="1">INDIRECT($BM$2&amp;CJ$7&amp;$CE220,1)</f>
        <v>0</v>
      </c>
      <c r="CK220" s="539" t="str">
        <f t="shared" ca="1" si="135"/>
        <v>-</v>
      </c>
      <c r="CL220" s="494" t="s">
        <v>8222</v>
      </c>
      <c r="CU220" s="469" t="s">
        <v>5510</v>
      </c>
      <c r="ES220" s="504"/>
      <c r="ET220" s="507"/>
      <c r="EU220" s="585"/>
    </row>
    <row r="221" spans="3:185" x14ac:dyDescent="0.25">
      <c r="C221" s="501">
        <v>56</v>
      </c>
      <c r="D221" s="662" cm="1">
        <f t="array" aca="1" ref="D221" ca="1">INDIRECT($C$218&amp;D$218&amp;$C221,1)</f>
        <v>0</v>
      </c>
      <c r="E221" s="662" cm="1">
        <f t="array" aca="1" ref="E221" ca="1">INDIRECT($C$218&amp;E$218&amp;$C221,1)</f>
        <v>0</v>
      </c>
      <c r="F221" s="662" cm="1">
        <f t="array" aca="1" ref="F221" ca="1">INDIRECT($C$218&amp;F$218&amp;$C221,1)</f>
        <v>0</v>
      </c>
      <c r="G221" s="662" cm="1">
        <f t="array" aca="1" ref="G221" ca="1">INDIRECT($C$218&amp;G$218&amp;$C221,1)</f>
        <v>0</v>
      </c>
      <c r="H221" s="662" cm="1">
        <f t="array" aca="1" ref="H221" ca="1">INDIRECT($C$218&amp;H$218&amp;$C221,1)</f>
        <v>0</v>
      </c>
      <c r="I221" s="662" cm="1">
        <f t="array" aca="1" ref="I221" ca="1">INDIRECT($C$218&amp;I$218&amp;$C221,1)</f>
        <v>0</v>
      </c>
      <c r="J221" s="663">
        <f t="shared" ref="J221:J230" ca="1" si="136">AVERAGE(D221,F221,H221)</f>
        <v>0</v>
      </c>
      <c r="K221" s="663">
        <f t="shared" ref="K221:K230" ca="1" si="137">AVERAGE(E221,G221,I221)</f>
        <v>0</v>
      </c>
      <c r="BF221" s="469" t="s">
        <v>5510</v>
      </c>
      <c r="BG221" s="469">
        <v>4</v>
      </c>
      <c r="BH221" s="539" t="s">
        <v>8050</v>
      </c>
      <c r="BI221" s="539">
        <f t="shared" si="130"/>
        <v>237</v>
      </c>
      <c r="BJ221" s="539" cm="1">
        <f t="array" aca="1" ref="BJ221" ca="1">INDIRECT($BM$2&amp;BJ$7&amp;$BI221,1)</f>
        <v>0</v>
      </c>
      <c r="BK221" s="539" cm="1">
        <f t="array" aca="1" ref="BK221" ca="1">INDIRECT($BM$2&amp;BK$7&amp;$BI221,1)</f>
        <v>0</v>
      </c>
      <c r="BL221" s="539" cm="1">
        <f t="array" aca="1" ref="BL221" ca="1">INDIRECT($BM$2&amp;BL$7&amp;$BI221,1)</f>
        <v>0</v>
      </c>
      <c r="BM221" s="539" cm="1">
        <f t="array" aca="1" ref="BM221" ca="1">INDIRECT($BM$2&amp;BM$7&amp;$BI221,1)</f>
        <v>0</v>
      </c>
      <c r="BN221" s="539" cm="1">
        <f t="array" aca="1" ref="BN221" ca="1">INDIRECT($BM$2&amp;BN$7&amp;$BI221,1)</f>
        <v>0</v>
      </c>
      <c r="BO221" s="539" t="str">
        <f t="shared" ca="1" si="131"/>
        <v>-</v>
      </c>
      <c r="BP221" s="494" t="s">
        <v>8222</v>
      </c>
      <c r="BQ221" s="20"/>
      <c r="BR221" s="469">
        <v>4</v>
      </c>
      <c r="BS221" s="539" t="s">
        <v>8050</v>
      </c>
      <c r="BT221" s="539">
        <f t="shared" si="132"/>
        <v>583</v>
      </c>
      <c r="BU221" s="539" cm="1">
        <f t="array" aca="1" ref="BU221" ca="1">INDIRECT($BM$2&amp;BU$7&amp;$BT221,1)</f>
        <v>0</v>
      </c>
      <c r="BV221" s="539" cm="1">
        <f t="array" aca="1" ref="BV221" ca="1">INDIRECT($BM$2&amp;BV$7&amp;$BT221,1)</f>
        <v>0</v>
      </c>
      <c r="BW221" s="539" cm="1">
        <f t="array" aca="1" ref="BW221" ca="1">INDIRECT($BM$2&amp;BW$7&amp;$BT221,1)</f>
        <v>0</v>
      </c>
      <c r="BX221" s="539" cm="1">
        <f t="array" aca="1" ref="BX221" ca="1">INDIRECT($BM$2&amp;BX$7&amp;$BT221,1)</f>
        <v>0</v>
      </c>
      <c r="BY221" s="539" cm="1">
        <f t="array" aca="1" ref="BY221" ca="1">INDIRECT($BM$2&amp;BY$7&amp;$BT221,1)</f>
        <v>0</v>
      </c>
      <c r="BZ221" s="539" t="str">
        <f t="shared" ca="1" si="133"/>
        <v>-</v>
      </c>
      <c r="CA221" s="494" t="s">
        <v>8222</v>
      </c>
      <c r="CC221" s="469">
        <v>4</v>
      </c>
      <c r="CD221" s="539" t="s">
        <v>8050</v>
      </c>
      <c r="CE221" s="539">
        <f t="shared" si="134"/>
        <v>929</v>
      </c>
      <c r="CF221" s="539" cm="1">
        <f t="array" aca="1" ref="CF221" ca="1">INDIRECT($BM$2&amp;CF$7&amp;$CE221,1)</f>
        <v>0</v>
      </c>
      <c r="CG221" s="539" cm="1">
        <f t="array" aca="1" ref="CG221" ca="1">INDIRECT($BM$2&amp;CG$7&amp;$CE221,1)</f>
        <v>0</v>
      </c>
      <c r="CH221" s="539" cm="1">
        <f t="array" aca="1" ref="CH221" ca="1">INDIRECT($BM$2&amp;CH$7&amp;$CE221,1)</f>
        <v>0</v>
      </c>
      <c r="CI221" s="539" cm="1">
        <f t="array" aca="1" ref="CI221" ca="1">INDIRECT($BM$2&amp;CI$7&amp;$CE221,1)</f>
        <v>0</v>
      </c>
      <c r="CJ221" s="539" cm="1">
        <f t="array" aca="1" ref="CJ221" ca="1">INDIRECT($BM$2&amp;CJ$7&amp;$CE221,1)</f>
        <v>0</v>
      </c>
      <c r="CK221" s="539" t="str">
        <f t="shared" ca="1" si="135"/>
        <v>-</v>
      </c>
      <c r="CL221" s="494" t="s">
        <v>8222</v>
      </c>
      <c r="CU221" s="469" t="s">
        <v>5510</v>
      </c>
      <c r="ES221" s="504"/>
      <c r="ET221" s="507"/>
      <c r="EU221" s="585"/>
    </row>
    <row r="222" spans="3:185" x14ac:dyDescent="0.25">
      <c r="C222" s="501">
        <v>57</v>
      </c>
      <c r="D222" s="662" cm="1">
        <f t="array" aca="1" ref="D222" ca="1">INDIRECT($C$218&amp;D$218&amp;$C222,1)</f>
        <v>0</v>
      </c>
      <c r="E222" s="662" cm="1">
        <f t="array" aca="1" ref="E222" ca="1">INDIRECT($C$218&amp;E$218&amp;$C222,1)</f>
        <v>0</v>
      </c>
      <c r="F222" s="662" cm="1">
        <f t="array" aca="1" ref="F222" ca="1">INDIRECT($C$218&amp;F$218&amp;$C222,1)</f>
        <v>0</v>
      </c>
      <c r="G222" s="662" cm="1">
        <f t="array" aca="1" ref="G222" ca="1">INDIRECT($C$218&amp;G$218&amp;$C222,1)</f>
        <v>0</v>
      </c>
      <c r="H222" s="662" cm="1">
        <f t="array" aca="1" ref="H222" ca="1">INDIRECT($C$218&amp;H$218&amp;$C222,1)</f>
        <v>0</v>
      </c>
      <c r="I222" s="662" cm="1">
        <f t="array" aca="1" ref="I222" ca="1">INDIRECT($C$218&amp;I$218&amp;$C222,1)</f>
        <v>0</v>
      </c>
      <c r="J222" s="663">
        <f t="shared" ca="1" si="136"/>
        <v>0</v>
      </c>
      <c r="K222" s="663">
        <f t="shared" ca="1" si="137"/>
        <v>0</v>
      </c>
      <c r="BF222" s="469" t="s">
        <v>5510</v>
      </c>
      <c r="BG222" s="469">
        <v>5</v>
      </c>
      <c r="BH222" s="539" t="s">
        <v>8050</v>
      </c>
      <c r="BI222" s="539">
        <f t="shared" si="130"/>
        <v>238</v>
      </c>
      <c r="BJ222" s="539" cm="1">
        <f t="array" aca="1" ref="BJ222" ca="1">INDIRECT($BM$2&amp;BJ$7&amp;$BI222,1)</f>
        <v>0</v>
      </c>
      <c r="BK222" s="539" cm="1">
        <f t="array" aca="1" ref="BK222" ca="1">INDIRECT($BM$2&amp;BK$7&amp;$BI222,1)</f>
        <v>0</v>
      </c>
      <c r="BL222" s="539" cm="1">
        <f t="array" aca="1" ref="BL222" ca="1">INDIRECT($BM$2&amp;BL$7&amp;$BI222,1)</f>
        <v>0</v>
      </c>
      <c r="BM222" s="539" cm="1">
        <f t="array" aca="1" ref="BM222" ca="1">INDIRECT($BM$2&amp;BM$7&amp;$BI222,1)</f>
        <v>0</v>
      </c>
      <c r="BN222" s="539" cm="1">
        <f t="array" aca="1" ref="BN222" ca="1">INDIRECT($BM$2&amp;BN$7&amp;$BI222,1)</f>
        <v>0</v>
      </c>
      <c r="BO222" s="539" t="str">
        <f t="shared" ca="1" si="131"/>
        <v>-</v>
      </c>
      <c r="BP222" s="494" t="s">
        <v>8222</v>
      </c>
      <c r="BQ222" s="20"/>
      <c r="BR222" s="469">
        <v>5</v>
      </c>
      <c r="BS222" s="539" t="s">
        <v>8050</v>
      </c>
      <c r="BT222" s="539">
        <f t="shared" si="132"/>
        <v>584</v>
      </c>
      <c r="BU222" s="539" cm="1">
        <f t="array" aca="1" ref="BU222" ca="1">INDIRECT($BM$2&amp;BU$7&amp;$BT222,1)</f>
        <v>0</v>
      </c>
      <c r="BV222" s="539" cm="1">
        <f t="array" aca="1" ref="BV222" ca="1">INDIRECT($BM$2&amp;BV$7&amp;$BT222,1)</f>
        <v>0</v>
      </c>
      <c r="BW222" s="539" cm="1">
        <f t="array" aca="1" ref="BW222" ca="1">INDIRECT($BM$2&amp;BW$7&amp;$BT222,1)</f>
        <v>0</v>
      </c>
      <c r="BX222" s="539" cm="1">
        <f t="array" aca="1" ref="BX222" ca="1">INDIRECT($BM$2&amp;BX$7&amp;$BT222,1)</f>
        <v>0</v>
      </c>
      <c r="BY222" s="539" cm="1">
        <f t="array" aca="1" ref="BY222" ca="1">INDIRECT($BM$2&amp;BY$7&amp;$BT222,1)</f>
        <v>0</v>
      </c>
      <c r="BZ222" s="539" t="str">
        <f t="shared" ca="1" si="133"/>
        <v>-</v>
      </c>
      <c r="CA222" s="494" t="s">
        <v>8222</v>
      </c>
      <c r="CC222" s="469">
        <v>5</v>
      </c>
      <c r="CD222" s="539" t="s">
        <v>8050</v>
      </c>
      <c r="CE222" s="539">
        <f t="shared" si="134"/>
        <v>930</v>
      </c>
      <c r="CF222" s="539" cm="1">
        <f t="array" aca="1" ref="CF222" ca="1">INDIRECT($BM$2&amp;CF$7&amp;$CE222,1)</f>
        <v>0</v>
      </c>
      <c r="CG222" s="539" cm="1">
        <f t="array" aca="1" ref="CG222" ca="1">INDIRECT($BM$2&amp;CG$7&amp;$CE222,1)</f>
        <v>0</v>
      </c>
      <c r="CH222" s="539" cm="1">
        <f t="array" aca="1" ref="CH222" ca="1">INDIRECT($BM$2&amp;CH$7&amp;$CE222,1)</f>
        <v>0</v>
      </c>
      <c r="CI222" s="539" cm="1">
        <f t="array" aca="1" ref="CI222" ca="1">INDIRECT($BM$2&amp;CI$7&amp;$CE222,1)</f>
        <v>0</v>
      </c>
      <c r="CJ222" s="539" cm="1">
        <f t="array" aca="1" ref="CJ222" ca="1">INDIRECT($BM$2&amp;CJ$7&amp;$CE222,1)</f>
        <v>0</v>
      </c>
      <c r="CK222" s="539" t="str">
        <f t="shared" ca="1" si="135"/>
        <v>-</v>
      </c>
      <c r="CL222" s="494" t="s">
        <v>8222</v>
      </c>
      <c r="CU222" s="469" t="s">
        <v>5510</v>
      </c>
      <c r="ES222" s="504"/>
      <c r="ET222" s="507"/>
      <c r="EU222" s="585"/>
    </row>
    <row r="223" spans="3:185" x14ac:dyDescent="0.25">
      <c r="C223" s="501">
        <v>58</v>
      </c>
      <c r="D223" s="662" cm="1">
        <f t="array" aca="1" ref="D223" ca="1">INDIRECT($C$218&amp;D$218&amp;$C223,1)</f>
        <v>0</v>
      </c>
      <c r="E223" s="662" cm="1">
        <f t="array" aca="1" ref="E223" ca="1">INDIRECT($C$218&amp;E$218&amp;$C223,1)</f>
        <v>0</v>
      </c>
      <c r="F223" s="662" cm="1">
        <f t="array" aca="1" ref="F223" ca="1">INDIRECT($C$218&amp;F$218&amp;$C223,1)</f>
        <v>0</v>
      </c>
      <c r="G223" s="662" cm="1">
        <f t="array" aca="1" ref="G223" ca="1">INDIRECT($C$218&amp;G$218&amp;$C223,1)</f>
        <v>0</v>
      </c>
      <c r="H223" s="662" cm="1">
        <f t="array" aca="1" ref="H223" ca="1">INDIRECT($C$218&amp;H$218&amp;$C223,1)</f>
        <v>0</v>
      </c>
      <c r="I223" s="662" cm="1">
        <f t="array" aca="1" ref="I223" ca="1">INDIRECT($C$218&amp;I$218&amp;$C223,1)</f>
        <v>0</v>
      </c>
      <c r="J223" s="663">
        <f t="shared" ca="1" si="136"/>
        <v>0</v>
      </c>
      <c r="K223" s="663">
        <f t="shared" ca="1" si="137"/>
        <v>0</v>
      </c>
      <c r="BF223" s="469" t="s">
        <v>5510</v>
      </c>
      <c r="BG223" s="469">
        <v>6</v>
      </c>
      <c r="BH223" s="539" t="s">
        <v>8050</v>
      </c>
      <c r="BI223" s="539">
        <f t="shared" si="130"/>
        <v>239</v>
      </c>
      <c r="BJ223" s="539" cm="1">
        <f t="array" aca="1" ref="BJ223" ca="1">INDIRECT($BM$2&amp;BJ$7&amp;$BI223,1)</f>
        <v>0</v>
      </c>
      <c r="BK223" s="539" cm="1">
        <f t="array" aca="1" ref="BK223" ca="1">INDIRECT($BM$2&amp;BK$7&amp;$BI223,1)</f>
        <v>0</v>
      </c>
      <c r="BL223" s="539" cm="1">
        <f t="array" aca="1" ref="BL223" ca="1">INDIRECT($BM$2&amp;BL$7&amp;$BI223,1)</f>
        <v>0</v>
      </c>
      <c r="BM223" s="539" cm="1">
        <f t="array" aca="1" ref="BM223" ca="1">INDIRECT($BM$2&amp;BM$7&amp;$BI223,1)</f>
        <v>0</v>
      </c>
      <c r="BN223" s="539" cm="1">
        <f t="array" aca="1" ref="BN223" ca="1">INDIRECT($BM$2&amp;BN$7&amp;$BI223,1)</f>
        <v>0</v>
      </c>
      <c r="BO223" s="539" t="str">
        <f t="shared" ca="1" si="131"/>
        <v>-</v>
      </c>
      <c r="BP223" s="494" t="s">
        <v>8222</v>
      </c>
      <c r="BQ223" s="20"/>
      <c r="BR223" s="469">
        <v>6</v>
      </c>
      <c r="BS223" s="539" t="s">
        <v>8050</v>
      </c>
      <c r="BT223" s="539">
        <f t="shared" si="132"/>
        <v>585</v>
      </c>
      <c r="BU223" s="539" cm="1">
        <f t="array" aca="1" ref="BU223" ca="1">INDIRECT($BM$2&amp;BU$7&amp;$BT223,1)</f>
        <v>0</v>
      </c>
      <c r="BV223" s="539" cm="1">
        <f t="array" aca="1" ref="BV223" ca="1">INDIRECT($BM$2&amp;BV$7&amp;$BT223,1)</f>
        <v>0</v>
      </c>
      <c r="BW223" s="539" cm="1">
        <f t="array" aca="1" ref="BW223" ca="1">INDIRECT($BM$2&amp;BW$7&amp;$BT223,1)</f>
        <v>0</v>
      </c>
      <c r="BX223" s="539" cm="1">
        <f t="array" aca="1" ref="BX223" ca="1">INDIRECT($BM$2&amp;BX$7&amp;$BT223,1)</f>
        <v>0</v>
      </c>
      <c r="BY223" s="539" cm="1">
        <f t="array" aca="1" ref="BY223" ca="1">INDIRECT($BM$2&amp;BY$7&amp;$BT223,1)</f>
        <v>0</v>
      </c>
      <c r="BZ223" s="539" t="str">
        <f t="shared" ca="1" si="133"/>
        <v>-</v>
      </c>
      <c r="CA223" s="494" t="s">
        <v>8222</v>
      </c>
      <c r="CC223" s="469">
        <v>6</v>
      </c>
      <c r="CD223" s="539" t="s">
        <v>8050</v>
      </c>
      <c r="CE223" s="539">
        <f t="shared" si="134"/>
        <v>931</v>
      </c>
      <c r="CF223" s="539" cm="1">
        <f t="array" aca="1" ref="CF223" ca="1">INDIRECT($BM$2&amp;CF$7&amp;$CE223,1)</f>
        <v>0</v>
      </c>
      <c r="CG223" s="539" cm="1">
        <f t="array" aca="1" ref="CG223" ca="1">INDIRECT($BM$2&amp;CG$7&amp;$CE223,1)</f>
        <v>0</v>
      </c>
      <c r="CH223" s="539" cm="1">
        <f t="array" aca="1" ref="CH223" ca="1">INDIRECT($BM$2&amp;CH$7&amp;$CE223,1)</f>
        <v>0</v>
      </c>
      <c r="CI223" s="539" cm="1">
        <f t="array" aca="1" ref="CI223" ca="1">INDIRECT($BM$2&amp;CI$7&amp;$CE223,1)</f>
        <v>0</v>
      </c>
      <c r="CJ223" s="539" cm="1">
        <f t="array" aca="1" ref="CJ223" ca="1">INDIRECT($BM$2&amp;CJ$7&amp;$CE223,1)</f>
        <v>0</v>
      </c>
      <c r="CK223" s="539" t="str">
        <f t="shared" ca="1" si="135"/>
        <v>-</v>
      </c>
      <c r="CL223" s="494" t="s">
        <v>8222</v>
      </c>
      <c r="CU223" s="469" t="s">
        <v>5510</v>
      </c>
      <c r="ES223" s="504"/>
      <c r="ET223" s="507"/>
      <c r="EU223" s="585"/>
    </row>
    <row r="224" spans="3:185" x14ac:dyDescent="0.25">
      <c r="C224" s="501">
        <v>59</v>
      </c>
      <c r="D224" s="662" cm="1">
        <f t="array" aca="1" ref="D224" ca="1">INDIRECT($C$218&amp;D$218&amp;$C224,1)</f>
        <v>0</v>
      </c>
      <c r="E224" s="662" cm="1">
        <f t="array" aca="1" ref="E224" ca="1">INDIRECT($C$218&amp;E$218&amp;$C224,1)</f>
        <v>0</v>
      </c>
      <c r="F224" s="662" cm="1">
        <f t="array" aca="1" ref="F224" ca="1">INDIRECT($C$218&amp;F$218&amp;$C224,1)</f>
        <v>0</v>
      </c>
      <c r="G224" s="662" cm="1">
        <f t="array" aca="1" ref="G224" ca="1">INDIRECT($C$218&amp;G$218&amp;$C224,1)</f>
        <v>0</v>
      </c>
      <c r="H224" s="662" cm="1">
        <f t="array" aca="1" ref="H224" ca="1">INDIRECT($C$218&amp;H$218&amp;$C224,1)</f>
        <v>0</v>
      </c>
      <c r="I224" s="662" cm="1">
        <f t="array" aca="1" ref="I224" ca="1">INDIRECT($C$218&amp;I$218&amp;$C224,1)</f>
        <v>0</v>
      </c>
      <c r="J224" s="663">
        <f t="shared" ca="1" si="136"/>
        <v>0</v>
      </c>
      <c r="K224" s="663">
        <f t="shared" ca="1" si="137"/>
        <v>0</v>
      </c>
      <c r="BF224" s="469" t="s">
        <v>5510</v>
      </c>
      <c r="BG224" s="469">
        <v>7</v>
      </c>
      <c r="BH224" s="539" t="s">
        <v>8050</v>
      </c>
      <c r="BI224" s="539">
        <f t="shared" si="130"/>
        <v>240</v>
      </c>
      <c r="BJ224" s="539" cm="1">
        <f t="array" aca="1" ref="BJ224" ca="1">INDIRECT($BM$2&amp;BJ$7&amp;$BI224,1)</f>
        <v>0</v>
      </c>
      <c r="BK224" s="539" cm="1">
        <f t="array" aca="1" ref="BK224" ca="1">INDIRECT($BM$2&amp;BK$7&amp;$BI224,1)</f>
        <v>0</v>
      </c>
      <c r="BL224" s="539" cm="1">
        <f t="array" aca="1" ref="BL224" ca="1">INDIRECT($BM$2&amp;BL$7&amp;$BI224,1)</f>
        <v>0</v>
      </c>
      <c r="BM224" s="539" cm="1">
        <f t="array" aca="1" ref="BM224" ca="1">INDIRECT($BM$2&amp;BM$7&amp;$BI224,1)</f>
        <v>0</v>
      </c>
      <c r="BN224" s="539" cm="1">
        <f t="array" aca="1" ref="BN224" ca="1">INDIRECT($BM$2&amp;BN$7&amp;$BI224,1)</f>
        <v>0</v>
      </c>
      <c r="BO224" s="539" t="str">
        <f t="shared" ca="1" si="131"/>
        <v>-</v>
      </c>
      <c r="BP224" s="494" t="s">
        <v>8222</v>
      </c>
      <c r="BQ224" s="20"/>
      <c r="BR224" s="469">
        <v>7</v>
      </c>
      <c r="BS224" s="539" t="s">
        <v>8050</v>
      </c>
      <c r="BT224" s="539">
        <f t="shared" si="132"/>
        <v>586</v>
      </c>
      <c r="BU224" s="539" cm="1">
        <f t="array" aca="1" ref="BU224" ca="1">INDIRECT($BM$2&amp;BU$7&amp;$BT224,1)</f>
        <v>0</v>
      </c>
      <c r="BV224" s="539" cm="1">
        <f t="array" aca="1" ref="BV224" ca="1">INDIRECT($BM$2&amp;BV$7&amp;$BT224,1)</f>
        <v>0</v>
      </c>
      <c r="BW224" s="539" cm="1">
        <f t="array" aca="1" ref="BW224" ca="1">INDIRECT($BM$2&amp;BW$7&amp;$BT224,1)</f>
        <v>0</v>
      </c>
      <c r="BX224" s="539" cm="1">
        <f t="array" aca="1" ref="BX224" ca="1">INDIRECT($BM$2&amp;BX$7&amp;$BT224,1)</f>
        <v>0</v>
      </c>
      <c r="BY224" s="539" cm="1">
        <f t="array" aca="1" ref="BY224" ca="1">INDIRECT($BM$2&amp;BY$7&amp;$BT224,1)</f>
        <v>0</v>
      </c>
      <c r="BZ224" s="539" t="str">
        <f t="shared" ca="1" si="133"/>
        <v>-</v>
      </c>
      <c r="CA224" s="494" t="s">
        <v>8222</v>
      </c>
      <c r="CC224" s="469">
        <v>7</v>
      </c>
      <c r="CD224" s="539" t="s">
        <v>8050</v>
      </c>
      <c r="CE224" s="539">
        <f t="shared" si="134"/>
        <v>932</v>
      </c>
      <c r="CF224" s="539" cm="1">
        <f t="array" aca="1" ref="CF224" ca="1">INDIRECT($BM$2&amp;CF$7&amp;$CE224,1)</f>
        <v>0</v>
      </c>
      <c r="CG224" s="539" cm="1">
        <f t="array" aca="1" ref="CG224" ca="1">INDIRECT($BM$2&amp;CG$7&amp;$CE224,1)</f>
        <v>0</v>
      </c>
      <c r="CH224" s="539" cm="1">
        <f t="array" aca="1" ref="CH224" ca="1">INDIRECT($BM$2&amp;CH$7&amp;$CE224,1)</f>
        <v>0</v>
      </c>
      <c r="CI224" s="539" cm="1">
        <f t="array" aca="1" ref="CI224" ca="1">INDIRECT($BM$2&amp;CI$7&amp;$CE224,1)</f>
        <v>0</v>
      </c>
      <c r="CJ224" s="539" cm="1">
        <f t="array" aca="1" ref="CJ224" ca="1">INDIRECT($BM$2&amp;CJ$7&amp;$CE224,1)</f>
        <v>0</v>
      </c>
      <c r="CK224" s="539" t="str">
        <f t="shared" ca="1" si="135"/>
        <v>-</v>
      </c>
      <c r="CL224" s="494" t="s">
        <v>8222</v>
      </c>
      <c r="CU224" s="469" t="s">
        <v>5510</v>
      </c>
      <c r="ES224" s="504"/>
      <c r="ET224" s="507"/>
      <c r="EU224" s="585"/>
    </row>
    <row r="225" spans="1:151" x14ac:dyDescent="0.25">
      <c r="C225" s="501">
        <v>60</v>
      </c>
      <c r="D225" s="662" cm="1">
        <f t="array" aca="1" ref="D225" ca="1">INDIRECT($C$218&amp;D$218&amp;$C225,1)</f>
        <v>0</v>
      </c>
      <c r="E225" s="662" cm="1">
        <f t="array" aca="1" ref="E225" ca="1">INDIRECT($C$218&amp;E$218&amp;$C225,1)</f>
        <v>0</v>
      </c>
      <c r="F225" s="662" cm="1">
        <f t="array" aca="1" ref="F225" ca="1">INDIRECT($C$218&amp;F$218&amp;$C225,1)</f>
        <v>0</v>
      </c>
      <c r="G225" s="662" cm="1">
        <f t="array" aca="1" ref="G225" ca="1">INDIRECT($C$218&amp;G$218&amp;$C225,1)</f>
        <v>0</v>
      </c>
      <c r="H225" s="662" cm="1">
        <f t="array" aca="1" ref="H225" ca="1">INDIRECT($C$218&amp;H$218&amp;$C225,1)</f>
        <v>0</v>
      </c>
      <c r="I225" s="662" cm="1">
        <f t="array" aca="1" ref="I225" ca="1">INDIRECT($C$218&amp;I$218&amp;$C225,1)</f>
        <v>0</v>
      </c>
      <c r="J225" s="663">
        <f t="shared" ca="1" si="136"/>
        <v>0</v>
      </c>
      <c r="K225" s="663">
        <f t="shared" ca="1" si="137"/>
        <v>0</v>
      </c>
      <c r="BF225" s="469" t="s">
        <v>5510</v>
      </c>
      <c r="BG225" s="469">
        <v>8</v>
      </c>
      <c r="BH225" s="539" t="s">
        <v>8050</v>
      </c>
      <c r="BI225" s="539">
        <f t="shared" si="130"/>
        <v>241</v>
      </c>
      <c r="BJ225" s="539" cm="1">
        <f t="array" aca="1" ref="BJ225" ca="1">INDIRECT($BM$2&amp;BJ$7&amp;$BI225,1)</f>
        <v>0</v>
      </c>
      <c r="BK225" s="539" cm="1">
        <f t="array" aca="1" ref="BK225" ca="1">INDIRECT($BM$2&amp;BK$7&amp;$BI225,1)</f>
        <v>0</v>
      </c>
      <c r="BL225" s="539" cm="1">
        <f t="array" aca="1" ref="BL225" ca="1">INDIRECT($BM$2&amp;BL$7&amp;$BI225,1)</f>
        <v>0</v>
      </c>
      <c r="BM225" s="539" cm="1">
        <f t="array" aca="1" ref="BM225" ca="1">INDIRECT($BM$2&amp;BM$7&amp;$BI225,1)</f>
        <v>0</v>
      </c>
      <c r="BN225" s="539" cm="1">
        <f t="array" aca="1" ref="BN225" ca="1">INDIRECT($BM$2&amp;BN$7&amp;$BI225,1)</f>
        <v>0</v>
      </c>
      <c r="BO225" s="539" t="str">
        <f t="shared" ca="1" si="131"/>
        <v>-</v>
      </c>
      <c r="BP225" s="494" t="s">
        <v>8222</v>
      </c>
      <c r="BQ225" s="20"/>
      <c r="BR225" s="469">
        <v>8</v>
      </c>
      <c r="BS225" s="539" t="s">
        <v>8050</v>
      </c>
      <c r="BT225" s="539">
        <f t="shared" si="132"/>
        <v>587</v>
      </c>
      <c r="BU225" s="539" cm="1">
        <f t="array" aca="1" ref="BU225" ca="1">INDIRECT($BM$2&amp;BU$7&amp;$BT225,1)</f>
        <v>0</v>
      </c>
      <c r="BV225" s="539" cm="1">
        <f t="array" aca="1" ref="BV225" ca="1">INDIRECT($BM$2&amp;BV$7&amp;$BT225,1)</f>
        <v>0</v>
      </c>
      <c r="BW225" s="539" cm="1">
        <f t="array" aca="1" ref="BW225" ca="1">INDIRECT($BM$2&amp;BW$7&amp;$BT225,1)</f>
        <v>0</v>
      </c>
      <c r="BX225" s="539" cm="1">
        <f t="array" aca="1" ref="BX225" ca="1">INDIRECT($BM$2&amp;BX$7&amp;$BT225,1)</f>
        <v>0</v>
      </c>
      <c r="BY225" s="539" cm="1">
        <f t="array" aca="1" ref="BY225" ca="1">INDIRECT($BM$2&amp;BY$7&amp;$BT225,1)</f>
        <v>0</v>
      </c>
      <c r="BZ225" s="539" t="str">
        <f t="shared" ca="1" si="133"/>
        <v>-</v>
      </c>
      <c r="CA225" s="494" t="s">
        <v>8222</v>
      </c>
      <c r="CC225" s="469">
        <v>8</v>
      </c>
      <c r="CD225" s="539" t="s">
        <v>8050</v>
      </c>
      <c r="CE225" s="539">
        <f t="shared" si="134"/>
        <v>933</v>
      </c>
      <c r="CF225" s="539" cm="1">
        <f t="array" aca="1" ref="CF225" ca="1">INDIRECT($BM$2&amp;CF$7&amp;$CE225,1)</f>
        <v>0</v>
      </c>
      <c r="CG225" s="539" cm="1">
        <f t="array" aca="1" ref="CG225" ca="1">INDIRECT($BM$2&amp;CG$7&amp;$CE225,1)</f>
        <v>0</v>
      </c>
      <c r="CH225" s="539" cm="1">
        <f t="array" aca="1" ref="CH225" ca="1">INDIRECT($BM$2&amp;CH$7&amp;$CE225,1)</f>
        <v>0</v>
      </c>
      <c r="CI225" s="539" cm="1">
        <f t="array" aca="1" ref="CI225" ca="1">INDIRECT($BM$2&amp;CI$7&amp;$CE225,1)</f>
        <v>0</v>
      </c>
      <c r="CJ225" s="539" cm="1">
        <f t="array" aca="1" ref="CJ225" ca="1">INDIRECT($BM$2&amp;CJ$7&amp;$CE225,1)</f>
        <v>0</v>
      </c>
      <c r="CK225" s="539" t="str">
        <f t="shared" ca="1" si="135"/>
        <v>-</v>
      </c>
      <c r="CL225" s="494" t="s">
        <v>8222</v>
      </c>
      <c r="CU225" s="469" t="s">
        <v>5510</v>
      </c>
      <c r="ES225" s="504"/>
      <c r="ET225" s="507"/>
      <c r="EU225" s="585"/>
    </row>
    <row r="226" spans="1:151" x14ac:dyDescent="0.25">
      <c r="C226" s="501">
        <v>61</v>
      </c>
      <c r="D226" s="662" cm="1">
        <f t="array" aca="1" ref="D226" ca="1">INDIRECT($C$218&amp;D$218&amp;$C226,1)</f>
        <v>0</v>
      </c>
      <c r="E226" s="662" cm="1">
        <f t="array" aca="1" ref="E226" ca="1">INDIRECT($C$218&amp;E$218&amp;$C226,1)</f>
        <v>0</v>
      </c>
      <c r="F226" s="662" cm="1">
        <f t="array" aca="1" ref="F226" ca="1">INDIRECT($C$218&amp;F$218&amp;$C226,1)</f>
        <v>0</v>
      </c>
      <c r="G226" s="662" cm="1">
        <f t="array" aca="1" ref="G226" ca="1">INDIRECT($C$218&amp;G$218&amp;$C226,1)</f>
        <v>0</v>
      </c>
      <c r="H226" s="662" cm="1">
        <f t="array" aca="1" ref="H226" ca="1">INDIRECT($C$218&amp;H$218&amp;$C226,1)</f>
        <v>0</v>
      </c>
      <c r="I226" s="662" cm="1">
        <f t="array" aca="1" ref="I226" ca="1">INDIRECT($C$218&amp;I$218&amp;$C226,1)</f>
        <v>0</v>
      </c>
      <c r="J226" s="663">
        <f t="shared" ca="1" si="136"/>
        <v>0</v>
      </c>
      <c r="K226" s="663">
        <f t="shared" ca="1" si="137"/>
        <v>0</v>
      </c>
      <c r="BF226" s="469" t="s">
        <v>5510</v>
      </c>
      <c r="BG226" s="469">
        <v>9</v>
      </c>
      <c r="BH226" s="539" t="s">
        <v>8050</v>
      </c>
      <c r="BI226" s="539">
        <f t="shared" si="130"/>
        <v>242</v>
      </c>
      <c r="BJ226" s="539" cm="1">
        <f t="array" aca="1" ref="BJ226" ca="1">INDIRECT($BM$2&amp;BJ$7&amp;$BI226,1)</f>
        <v>0</v>
      </c>
      <c r="BK226" s="539" cm="1">
        <f t="array" aca="1" ref="BK226" ca="1">INDIRECT($BM$2&amp;BK$7&amp;$BI226,1)</f>
        <v>0</v>
      </c>
      <c r="BL226" s="539" cm="1">
        <f t="array" aca="1" ref="BL226" ca="1">INDIRECT($BM$2&amp;BL$7&amp;$BI226,1)</f>
        <v>0</v>
      </c>
      <c r="BM226" s="539" cm="1">
        <f t="array" aca="1" ref="BM226" ca="1">INDIRECT($BM$2&amp;BM$7&amp;$BI226,1)</f>
        <v>0</v>
      </c>
      <c r="BN226" s="539" cm="1">
        <f t="array" aca="1" ref="BN226" ca="1">INDIRECT($BM$2&amp;BN$7&amp;$BI226,1)</f>
        <v>0</v>
      </c>
      <c r="BO226" s="539" t="str">
        <f t="shared" ca="1" si="131"/>
        <v>-</v>
      </c>
      <c r="BP226" s="494" t="s">
        <v>8222</v>
      </c>
      <c r="BQ226" s="20"/>
      <c r="BR226" s="469">
        <v>9</v>
      </c>
      <c r="BS226" s="539" t="s">
        <v>8050</v>
      </c>
      <c r="BT226" s="539">
        <f t="shared" si="132"/>
        <v>588</v>
      </c>
      <c r="BU226" s="539" cm="1">
        <f t="array" aca="1" ref="BU226" ca="1">INDIRECT($BM$2&amp;BU$7&amp;$BT226,1)</f>
        <v>0</v>
      </c>
      <c r="BV226" s="539" cm="1">
        <f t="array" aca="1" ref="BV226" ca="1">INDIRECT($BM$2&amp;BV$7&amp;$BT226,1)</f>
        <v>0</v>
      </c>
      <c r="BW226" s="539" cm="1">
        <f t="array" aca="1" ref="BW226" ca="1">INDIRECT($BM$2&amp;BW$7&amp;$BT226,1)</f>
        <v>0</v>
      </c>
      <c r="BX226" s="539" cm="1">
        <f t="array" aca="1" ref="BX226" ca="1">INDIRECT($BM$2&amp;BX$7&amp;$BT226,1)</f>
        <v>0</v>
      </c>
      <c r="BY226" s="539" cm="1">
        <f t="array" aca="1" ref="BY226" ca="1">INDIRECT($BM$2&amp;BY$7&amp;$BT226,1)</f>
        <v>0</v>
      </c>
      <c r="BZ226" s="539" t="str">
        <f t="shared" ca="1" si="133"/>
        <v>-</v>
      </c>
      <c r="CA226" s="494" t="s">
        <v>8222</v>
      </c>
      <c r="CC226" s="469">
        <v>9</v>
      </c>
      <c r="CD226" s="539" t="s">
        <v>8050</v>
      </c>
      <c r="CE226" s="539">
        <f t="shared" si="134"/>
        <v>934</v>
      </c>
      <c r="CF226" s="539" cm="1">
        <f t="array" aca="1" ref="CF226" ca="1">INDIRECT($BM$2&amp;CF$7&amp;$CE226,1)</f>
        <v>0</v>
      </c>
      <c r="CG226" s="539" cm="1">
        <f t="array" aca="1" ref="CG226" ca="1">INDIRECT($BM$2&amp;CG$7&amp;$CE226,1)</f>
        <v>0</v>
      </c>
      <c r="CH226" s="539" cm="1">
        <f t="array" aca="1" ref="CH226" ca="1">INDIRECT($BM$2&amp;CH$7&amp;$CE226,1)</f>
        <v>0</v>
      </c>
      <c r="CI226" s="539" cm="1">
        <f t="array" aca="1" ref="CI226" ca="1">INDIRECT($BM$2&amp;CI$7&amp;$CE226,1)</f>
        <v>0</v>
      </c>
      <c r="CJ226" s="539" cm="1">
        <f t="array" aca="1" ref="CJ226" ca="1">INDIRECT($BM$2&amp;CJ$7&amp;$CE226,1)</f>
        <v>0</v>
      </c>
      <c r="CK226" s="539" t="str">
        <f t="shared" ca="1" si="135"/>
        <v>-</v>
      </c>
      <c r="CL226" s="494" t="s">
        <v>8222</v>
      </c>
      <c r="CU226" s="469" t="s">
        <v>5510</v>
      </c>
      <c r="ES226" s="504"/>
      <c r="ET226" s="507"/>
      <c r="EU226" s="585"/>
    </row>
    <row r="227" spans="1:151" x14ac:dyDescent="0.25">
      <c r="C227" s="501">
        <v>62</v>
      </c>
      <c r="D227" s="662" cm="1">
        <f t="array" aca="1" ref="D227" ca="1">INDIRECT($C$218&amp;D$218&amp;$C227,1)</f>
        <v>0</v>
      </c>
      <c r="E227" s="662" cm="1">
        <f t="array" aca="1" ref="E227" ca="1">INDIRECT($C$218&amp;E$218&amp;$C227,1)</f>
        <v>0</v>
      </c>
      <c r="F227" s="662" cm="1">
        <f t="array" aca="1" ref="F227" ca="1">INDIRECT($C$218&amp;F$218&amp;$C227,1)</f>
        <v>0</v>
      </c>
      <c r="G227" s="662" cm="1">
        <f t="array" aca="1" ref="G227" ca="1">INDIRECT($C$218&amp;G$218&amp;$C227,1)</f>
        <v>0</v>
      </c>
      <c r="H227" s="662" cm="1">
        <f t="array" aca="1" ref="H227" ca="1">INDIRECT($C$218&amp;H$218&amp;$C227,1)</f>
        <v>0</v>
      </c>
      <c r="I227" s="662" cm="1">
        <f t="array" aca="1" ref="I227" ca="1">INDIRECT($C$218&amp;I$218&amp;$C227,1)</f>
        <v>0</v>
      </c>
      <c r="J227" s="663">
        <f t="shared" ca="1" si="136"/>
        <v>0</v>
      </c>
      <c r="K227" s="663">
        <f t="shared" ca="1" si="137"/>
        <v>0</v>
      </c>
      <c r="BF227" s="469" t="s">
        <v>5510</v>
      </c>
      <c r="BG227" s="469">
        <v>10</v>
      </c>
      <c r="BH227" s="539" t="s">
        <v>8050</v>
      </c>
      <c r="BI227" s="539">
        <f t="shared" si="130"/>
        <v>243</v>
      </c>
      <c r="BJ227" s="539" cm="1">
        <f t="array" aca="1" ref="BJ227" ca="1">INDIRECT($BM$2&amp;BJ$7&amp;$BI227,1)</f>
        <v>0</v>
      </c>
      <c r="BK227" s="539" cm="1">
        <f t="array" aca="1" ref="BK227" ca="1">INDIRECT($BM$2&amp;BK$7&amp;$BI227,1)</f>
        <v>0</v>
      </c>
      <c r="BL227" s="539" cm="1">
        <f t="array" aca="1" ref="BL227" ca="1">INDIRECT($BM$2&amp;BL$7&amp;$BI227,1)</f>
        <v>0</v>
      </c>
      <c r="BM227" s="539" cm="1">
        <f t="array" aca="1" ref="BM227" ca="1">INDIRECT($BM$2&amp;BM$7&amp;$BI227,1)</f>
        <v>0</v>
      </c>
      <c r="BN227" s="539" cm="1">
        <f t="array" aca="1" ref="BN227" ca="1">INDIRECT($BM$2&amp;BN$7&amp;$BI227,1)</f>
        <v>0</v>
      </c>
      <c r="BO227" s="539" t="str">
        <f t="shared" ca="1" si="131"/>
        <v>-</v>
      </c>
      <c r="BP227" s="494" t="s">
        <v>8222</v>
      </c>
      <c r="BQ227" s="20"/>
      <c r="BR227" s="469">
        <v>10</v>
      </c>
      <c r="BS227" s="539" t="s">
        <v>8050</v>
      </c>
      <c r="BT227" s="539">
        <f t="shared" si="132"/>
        <v>589</v>
      </c>
      <c r="BU227" s="539" cm="1">
        <f t="array" aca="1" ref="BU227" ca="1">INDIRECT($BM$2&amp;BU$7&amp;$BT227,1)</f>
        <v>0</v>
      </c>
      <c r="BV227" s="539" cm="1">
        <f t="array" aca="1" ref="BV227" ca="1">INDIRECT($BM$2&amp;BV$7&amp;$BT227,1)</f>
        <v>0</v>
      </c>
      <c r="BW227" s="539" cm="1">
        <f t="array" aca="1" ref="BW227" ca="1">INDIRECT($BM$2&amp;BW$7&amp;$BT227,1)</f>
        <v>0</v>
      </c>
      <c r="BX227" s="539" cm="1">
        <f t="array" aca="1" ref="BX227" ca="1">INDIRECT($BM$2&amp;BX$7&amp;$BT227,1)</f>
        <v>0</v>
      </c>
      <c r="BY227" s="539" cm="1">
        <f t="array" aca="1" ref="BY227" ca="1">INDIRECT($BM$2&amp;BY$7&amp;$BT227,1)</f>
        <v>0</v>
      </c>
      <c r="BZ227" s="539" t="str">
        <f t="shared" ca="1" si="133"/>
        <v>-</v>
      </c>
      <c r="CA227" s="494" t="s">
        <v>8222</v>
      </c>
      <c r="CC227" s="469">
        <v>10</v>
      </c>
      <c r="CD227" s="539" t="s">
        <v>8050</v>
      </c>
      <c r="CE227" s="539">
        <f t="shared" si="134"/>
        <v>935</v>
      </c>
      <c r="CF227" s="539" cm="1">
        <f t="array" aca="1" ref="CF227" ca="1">INDIRECT($BM$2&amp;CF$7&amp;$CE227,1)</f>
        <v>0</v>
      </c>
      <c r="CG227" s="539" cm="1">
        <f t="array" aca="1" ref="CG227" ca="1">INDIRECT($BM$2&amp;CG$7&amp;$CE227,1)</f>
        <v>0</v>
      </c>
      <c r="CH227" s="539" cm="1">
        <f t="array" aca="1" ref="CH227" ca="1">INDIRECT($BM$2&amp;CH$7&amp;$CE227,1)</f>
        <v>0</v>
      </c>
      <c r="CI227" s="539" cm="1">
        <f t="array" aca="1" ref="CI227" ca="1">INDIRECT($BM$2&amp;CI$7&amp;$CE227,1)</f>
        <v>0</v>
      </c>
      <c r="CJ227" s="539" cm="1">
        <f t="array" aca="1" ref="CJ227" ca="1">INDIRECT($BM$2&amp;CJ$7&amp;$CE227,1)</f>
        <v>0</v>
      </c>
      <c r="CK227" s="539" t="str">
        <f t="shared" ca="1" si="135"/>
        <v>-</v>
      </c>
      <c r="CL227" s="494" t="s">
        <v>8222</v>
      </c>
      <c r="CU227" s="469" t="s">
        <v>5510</v>
      </c>
      <c r="ES227" s="504"/>
      <c r="ET227" s="507"/>
      <c r="EU227" s="585"/>
    </row>
    <row r="228" spans="1:151" x14ac:dyDescent="0.25">
      <c r="C228" s="501">
        <v>63</v>
      </c>
      <c r="D228" s="662" cm="1">
        <f t="array" aca="1" ref="D228" ca="1">INDIRECT($C$218&amp;D$218&amp;$C228,1)</f>
        <v>0</v>
      </c>
      <c r="E228" s="662" cm="1">
        <f t="array" aca="1" ref="E228" ca="1">INDIRECT($C$218&amp;E$218&amp;$C228,1)</f>
        <v>0</v>
      </c>
      <c r="F228" s="662" cm="1">
        <f t="array" aca="1" ref="F228" ca="1">INDIRECT($C$218&amp;F$218&amp;$C228,1)</f>
        <v>0</v>
      </c>
      <c r="G228" s="662" cm="1">
        <f t="array" aca="1" ref="G228" ca="1">INDIRECT($C$218&amp;G$218&amp;$C228,1)</f>
        <v>0</v>
      </c>
      <c r="H228" s="662" cm="1">
        <f t="array" aca="1" ref="H228" ca="1">INDIRECT($C$218&amp;H$218&amp;$C228,1)</f>
        <v>0</v>
      </c>
      <c r="I228" s="662" cm="1">
        <f t="array" aca="1" ref="I228" ca="1">INDIRECT($C$218&amp;I$218&amp;$C228,1)</f>
        <v>0</v>
      </c>
      <c r="J228" s="663">
        <f t="shared" ca="1" si="136"/>
        <v>0</v>
      </c>
      <c r="K228" s="663">
        <f t="shared" ca="1" si="137"/>
        <v>0</v>
      </c>
      <c r="BF228" s="469" t="s">
        <v>5510</v>
      </c>
      <c r="BG228" s="469">
        <v>11</v>
      </c>
      <c r="BH228" s="539" t="s">
        <v>8050</v>
      </c>
      <c r="BI228" s="539">
        <f t="shared" si="130"/>
        <v>244</v>
      </c>
      <c r="BJ228" s="539" cm="1">
        <f t="array" aca="1" ref="BJ228" ca="1">INDIRECT($BM$2&amp;BJ$7&amp;$BI228,1)</f>
        <v>0</v>
      </c>
      <c r="BK228" s="539" cm="1">
        <f t="array" aca="1" ref="BK228" ca="1">INDIRECT($BM$2&amp;BK$7&amp;$BI228,1)</f>
        <v>0</v>
      </c>
      <c r="BL228" s="539" cm="1">
        <f t="array" aca="1" ref="BL228" ca="1">INDIRECT($BM$2&amp;BL$7&amp;$BI228,1)</f>
        <v>0</v>
      </c>
      <c r="BM228" s="539" cm="1">
        <f t="array" aca="1" ref="BM228" ca="1">INDIRECT($BM$2&amp;BM$7&amp;$BI228,1)</f>
        <v>0</v>
      </c>
      <c r="BN228" s="539" cm="1">
        <f t="array" aca="1" ref="BN228" ca="1">INDIRECT($BM$2&amp;BN$7&amp;$BI228,1)</f>
        <v>0</v>
      </c>
      <c r="BO228" s="539" t="str">
        <f t="shared" ca="1" si="131"/>
        <v>-</v>
      </c>
      <c r="BP228" s="494" t="s">
        <v>8222</v>
      </c>
      <c r="BQ228" s="20"/>
      <c r="BR228" s="469">
        <v>11</v>
      </c>
      <c r="BS228" s="539" t="s">
        <v>8050</v>
      </c>
      <c r="BT228" s="539">
        <f t="shared" si="132"/>
        <v>590</v>
      </c>
      <c r="BU228" s="539" cm="1">
        <f t="array" aca="1" ref="BU228" ca="1">INDIRECT($BM$2&amp;BU$7&amp;$BT228,1)</f>
        <v>0</v>
      </c>
      <c r="BV228" s="539" cm="1">
        <f t="array" aca="1" ref="BV228" ca="1">INDIRECT($BM$2&amp;BV$7&amp;$BT228,1)</f>
        <v>0</v>
      </c>
      <c r="BW228" s="539" cm="1">
        <f t="array" aca="1" ref="BW228" ca="1">INDIRECT($BM$2&amp;BW$7&amp;$BT228,1)</f>
        <v>0</v>
      </c>
      <c r="BX228" s="539" cm="1">
        <f t="array" aca="1" ref="BX228" ca="1">INDIRECT($BM$2&amp;BX$7&amp;$BT228,1)</f>
        <v>0</v>
      </c>
      <c r="BY228" s="539" cm="1">
        <f t="array" aca="1" ref="BY228" ca="1">INDIRECT($BM$2&amp;BY$7&amp;$BT228,1)</f>
        <v>0</v>
      </c>
      <c r="BZ228" s="539" t="str">
        <f t="shared" ca="1" si="133"/>
        <v>-</v>
      </c>
      <c r="CA228" s="494" t="s">
        <v>8222</v>
      </c>
      <c r="CC228" s="469">
        <v>11</v>
      </c>
      <c r="CD228" s="539" t="s">
        <v>8050</v>
      </c>
      <c r="CE228" s="539">
        <f t="shared" si="134"/>
        <v>936</v>
      </c>
      <c r="CF228" s="539" cm="1">
        <f t="array" aca="1" ref="CF228" ca="1">INDIRECT($BM$2&amp;CF$7&amp;$CE228,1)</f>
        <v>0</v>
      </c>
      <c r="CG228" s="539" cm="1">
        <f t="array" aca="1" ref="CG228" ca="1">INDIRECT($BM$2&amp;CG$7&amp;$CE228,1)</f>
        <v>0</v>
      </c>
      <c r="CH228" s="539" cm="1">
        <f t="array" aca="1" ref="CH228" ca="1">INDIRECT($BM$2&amp;CH$7&amp;$CE228,1)</f>
        <v>0</v>
      </c>
      <c r="CI228" s="539" cm="1">
        <f t="array" aca="1" ref="CI228" ca="1">INDIRECT($BM$2&amp;CI$7&amp;$CE228,1)</f>
        <v>0</v>
      </c>
      <c r="CJ228" s="539" cm="1">
        <f t="array" aca="1" ref="CJ228" ca="1">INDIRECT($BM$2&amp;CJ$7&amp;$CE228,1)</f>
        <v>0</v>
      </c>
      <c r="CK228" s="539" t="str">
        <f t="shared" ca="1" si="135"/>
        <v>-</v>
      </c>
      <c r="CL228" s="494" t="s">
        <v>8222</v>
      </c>
      <c r="CU228" s="469" t="s">
        <v>5510</v>
      </c>
      <c r="ES228" s="504"/>
      <c r="ET228" s="507"/>
      <c r="EU228" s="585"/>
    </row>
    <row r="229" spans="1:151" x14ac:dyDescent="0.25">
      <c r="C229" s="501">
        <v>64</v>
      </c>
      <c r="D229" s="662" cm="1">
        <f t="array" aca="1" ref="D229" ca="1">INDIRECT($C$218&amp;D$218&amp;$C229,1)</f>
        <v>0</v>
      </c>
      <c r="E229" s="662" cm="1">
        <f t="array" aca="1" ref="E229" ca="1">INDIRECT($C$218&amp;E$218&amp;$C229,1)</f>
        <v>0</v>
      </c>
      <c r="F229" s="662" cm="1">
        <f t="array" aca="1" ref="F229" ca="1">INDIRECT($C$218&amp;F$218&amp;$C229,1)</f>
        <v>0</v>
      </c>
      <c r="G229" s="662" cm="1">
        <f t="array" aca="1" ref="G229" ca="1">INDIRECT($C$218&amp;G$218&amp;$C229,1)</f>
        <v>0</v>
      </c>
      <c r="H229" s="662" cm="1">
        <f t="array" aca="1" ref="H229" ca="1">INDIRECT($C$218&amp;H$218&amp;$C229,1)</f>
        <v>0</v>
      </c>
      <c r="I229" s="662" cm="1">
        <f t="array" aca="1" ref="I229" ca="1">INDIRECT($C$218&amp;I$218&amp;$C229,1)</f>
        <v>0</v>
      </c>
      <c r="J229" s="663">
        <f t="shared" ca="1" si="136"/>
        <v>0</v>
      </c>
      <c r="K229" s="663">
        <f t="shared" ca="1" si="137"/>
        <v>0</v>
      </c>
      <c r="BF229" s="469" t="s">
        <v>5510</v>
      </c>
      <c r="BG229" s="469">
        <v>12</v>
      </c>
      <c r="BH229" s="539" t="s">
        <v>8050</v>
      </c>
      <c r="BI229" s="539">
        <f t="shared" si="130"/>
        <v>245</v>
      </c>
      <c r="BJ229" s="539" cm="1">
        <f t="array" aca="1" ref="BJ229" ca="1">INDIRECT($BM$2&amp;BJ$7&amp;$BI229,1)</f>
        <v>0</v>
      </c>
      <c r="BK229" s="539" cm="1">
        <f t="array" aca="1" ref="BK229" ca="1">INDIRECT($BM$2&amp;BK$7&amp;$BI229,1)</f>
        <v>0</v>
      </c>
      <c r="BL229" s="539" cm="1">
        <f t="array" aca="1" ref="BL229" ca="1">INDIRECT($BM$2&amp;BL$7&amp;$BI229,1)</f>
        <v>0</v>
      </c>
      <c r="BM229" s="539" cm="1">
        <f t="array" aca="1" ref="BM229" ca="1">INDIRECT($BM$2&amp;BM$7&amp;$BI229,1)</f>
        <v>0</v>
      </c>
      <c r="BN229" s="539" t="str" cm="1">
        <f t="array" aca="1" ref="BN229" ca="1">INDIRECT($BM$2&amp;BN$7&amp;$BI229,1)</f>
        <v>-</v>
      </c>
      <c r="BO229" s="539" t="str">
        <f t="shared" ca="1" si="131"/>
        <v>-</v>
      </c>
      <c r="BP229" s="561" t="s">
        <v>8223</v>
      </c>
      <c r="BQ229" s="20"/>
      <c r="BR229" s="469">
        <v>12</v>
      </c>
      <c r="BS229" s="539" t="s">
        <v>8050</v>
      </c>
      <c r="BT229" s="539">
        <f t="shared" si="132"/>
        <v>591</v>
      </c>
      <c r="BU229" s="539" cm="1">
        <f t="array" aca="1" ref="BU229" ca="1">INDIRECT($BM$2&amp;BU$7&amp;$BT229,1)</f>
        <v>0</v>
      </c>
      <c r="BV229" s="539" cm="1">
        <f t="array" aca="1" ref="BV229" ca="1">INDIRECT($BM$2&amp;BV$7&amp;$BT229,1)</f>
        <v>0</v>
      </c>
      <c r="BW229" s="539" cm="1">
        <f t="array" aca="1" ref="BW229" ca="1">INDIRECT($BM$2&amp;BW$7&amp;$BT229,1)</f>
        <v>0</v>
      </c>
      <c r="BX229" s="539" cm="1">
        <f t="array" aca="1" ref="BX229" ca="1">INDIRECT($BM$2&amp;BX$7&amp;$BT229,1)</f>
        <v>0</v>
      </c>
      <c r="BY229" s="539" t="str" cm="1">
        <f t="array" aca="1" ref="BY229" ca="1">INDIRECT($BM$2&amp;BY$7&amp;$BT229,1)</f>
        <v>-</v>
      </c>
      <c r="BZ229" s="539" t="str">
        <f t="shared" ca="1" si="133"/>
        <v>-</v>
      </c>
      <c r="CA229" s="561" t="s">
        <v>8223</v>
      </c>
      <c r="CC229" s="469">
        <v>12</v>
      </c>
      <c r="CD229" s="539" t="s">
        <v>8050</v>
      </c>
      <c r="CE229" s="539">
        <f t="shared" si="134"/>
        <v>937</v>
      </c>
      <c r="CF229" s="539" cm="1">
        <f t="array" aca="1" ref="CF229" ca="1">INDIRECT($BM$2&amp;CF$7&amp;$CE229,1)</f>
        <v>0</v>
      </c>
      <c r="CG229" s="539" cm="1">
        <f t="array" aca="1" ref="CG229" ca="1">INDIRECT($BM$2&amp;CG$7&amp;$CE229,1)</f>
        <v>0</v>
      </c>
      <c r="CH229" s="539" cm="1">
        <f t="array" aca="1" ref="CH229" ca="1">INDIRECT($BM$2&amp;CH$7&amp;$CE229,1)</f>
        <v>0</v>
      </c>
      <c r="CI229" s="539" cm="1">
        <f t="array" aca="1" ref="CI229" ca="1">INDIRECT($BM$2&amp;CI$7&amp;$CE229,1)</f>
        <v>0</v>
      </c>
      <c r="CJ229" s="539" t="str" cm="1">
        <f t="array" aca="1" ref="CJ229" ca="1">INDIRECT($BM$2&amp;CJ$7&amp;$CE229,1)</f>
        <v>-</v>
      </c>
      <c r="CK229" s="539" t="str">
        <f t="shared" ca="1" si="135"/>
        <v>-</v>
      </c>
      <c r="CL229" s="561" t="s">
        <v>8223</v>
      </c>
      <c r="CU229" s="469" t="s">
        <v>5510</v>
      </c>
      <c r="ES229" s="504"/>
      <c r="ET229" s="507"/>
      <c r="EU229" s="585"/>
    </row>
    <row r="230" spans="1:151" x14ac:dyDescent="0.25">
      <c r="C230" s="501">
        <v>65</v>
      </c>
      <c r="D230" s="662" cm="1">
        <f t="array" aca="1" ref="D230" ca="1">INDIRECT($C$218&amp;D$218&amp;$C230,1)</f>
        <v>0</v>
      </c>
      <c r="E230" s="662" cm="1">
        <f t="array" aca="1" ref="E230" ca="1">INDIRECT($C$218&amp;E$218&amp;$C230,1)</f>
        <v>0</v>
      </c>
      <c r="F230" s="662" cm="1">
        <f t="array" aca="1" ref="F230" ca="1">INDIRECT($C$218&amp;F$218&amp;$C230,1)</f>
        <v>0</v>
      </c>
      <c r="G230" s="662" cm="1">
        <f t="array" aca="1" ref="G230" ca="1">INDIRECT($C$218&amp;G$218&amp;$C230,1)</f>
        <v>0</v>
      </c>
      <c r="H230" s="662" cm="1">
        <f t="array" aca="1" ref="H230" ca="1">INDIRECT($C$218&amp;H$218&amp;$C230,1)</f>
        <v>0</v>
      </c>
      <c r="I230" s="662" cm="1">
        <f t="array" aca="1" ref="I230" ca="1">INDIRECT($C$218&amp;I$218&amp;$C230,1)</f>
        <v>0</v>
      </c>
      <c r="J230" s="663">
        <f t="shared" ca="1" si="136"/>
        <v>0</v>
      </c>
      <c r="K230" s="663">
        <f t="shared" ca="1" si="137"/>
        <v>0</v>
      </c>
      <c r="BF230" s="469" t="s">
        <v>5510</v>
      </c>
      <c r="BL230" s="372"/>
      <c r="BO230" s="472"/>
      <c r="BQ230" s="20"/>
      <c r="BT230" s="372"/>
      <c r="BU230" s="472"/>
      <c r="BV230" s="472"/>
      <c r="BW230" s="372"/>
      <c r="BX230" s="472"/>
      <c r="BY230" s="372"/>
      <c r="BZ230" s="472"/>
      <c r="CA230" s="372"/>
      <c r="CE230" s="372"/>
      <c r="CF230" s="472"/>
      <c r="CG230" s="472"/>
      <c r="CH230" s="372"/>
      <c r="CI230" s="472"/>
      <c r="CJ230" s="372"/>
      <c r="CK230" s="472"/>
      <c r="CL230" s="372"/>
      <c r="CU230" s="469" t="s">
        <v>5510</v>
      </c>
      <c r="ES230" s="504"/>
      <c r="ET230" s="507"/>
      <c r="EU230" s="585"/>
    </row>
    <row r="231" spans="1:151" x14ac:dyDescent="0.25">
      <c r="BF231" s="469" t="s">
        <v>5510</v>
      </c>
      <c r="BL231" s="372"/>
      <c r="BO231" s="472"/>
      <c r="BQ231" s="20"/>
      <c r="BT231" s="372"/>
      <c r="BU231" s="472"/>
      <c r="BV231" s="472"/>
      <c r="BW231" s="372"/>
      <c r="BX231" s="472"/>
      <c r="BY231" s="372"/>
      <c r="BZ231" s="472"/>
      <c r="CA231" s="372"/>
      <c r="CE231" s="372"/>
      <c r="CF231" s="472"/>
      <c r="CG231" s="472"/>
      <c r="CH231" s="372"/>
      <c r="CI231" s="472"/>
      <c r="CJ231" s="372"/>
      <c r="CK231" s="472"/>
      <c r="CL231" s="372"/>
      <c r="CU231" s="469" t="s">
        <v>5510</v>
      </c>
      <c r="ES231" s="504"/>
      <c r="ET231" s="507"/>
      <c r="EU231" s="585"/>
    </row>
    <row r="232" spans="1:151" x14ac:dyDescent="0.25">
      <c r="BF232" s="469" t="s">
        <v>5510</v>
      </c>
      <c r="BQ232" s="20"/>
      <c r="BT232" s="372"/>
      <c r="BU232" s="472"/>
      <c r="BV232" s="472"/>
      <c r="BW232" s="472"/>
      <c r="BX232" s="472"/>
      <c r="BY232" s="372"/>
      <c r="BZ232" s="372"/>
      <c r="CA232" s="372"/>
      <c r="CE232" s="372"/>
      <c r="CF232" s="472"/>
      <c r="CG232" s="472"/>
      <c r="CH232" s="472"/>
      <c r="CI232" s="472"/>
      <c r="CJ232" s="372"/>
      <c r="CK232" s="372"/>
      <c r="CL232" s="372"/>
      <c r="CU232" s="469" t="s">
        <v>5510</v>
      </c>
      <c r="ES232" s="504"/>
      <c r="ET232" s="507"/>
      <c r="EU232" s="585"/>
    </row>
    <row r="233" spans="1:151" x14ac:dyDescent="0.25">
      <c r="BF233" s="469" t="s">
        <v>5510</v>
      </c>
      <c r="BQ233" s="20"/>
      <c r="BT233" s="372"/>
      <c r="BU233" s="472"/>
      <c r="BV233" s="472"/>
      <c r="BW233" s="472"/>
      <c r="BX233" s="472"/>
      <c r="BY233" s="372"/>
      <c r="BZ233" s="372"/>
      <c r="CA233" s="372"/>
      <c r="CE233" s="372"/>
      <c r="CF233" s="472"/>
      <c r="CG233" s="472"/>
      <c r="CH233" s="472"/>
      <c r="CI233" s="472"/>
      <c r="CJ233" s="372"/>
      <c r="CK233" s="372"/>
      <c r="CL233" s="372"/>
      <c r="CU233" s="469" t="s">
        <v>5510</v>
      </c>
      <c r="ES233" s="504"/>
      <c r="ET233" s="507"/>
      <c r="EU233" s="585"/>
    </row>
    <row r="234" spans="1:151" x14ac:dyDescent="0.25">
      <c r="BF234" s="469" t="s">
        <v>5510</v>
      </c>
      <c r="BG234" s="469">
        <v>1</v>
      </c>
      <c r="BH234" s="539" t="s">
        <v>8051</v>
      </c>
      <c r="BI234" s="539">
        <f>BI229+$BO$6</f>
        <v>251</v>
      </c>
      <c r="BJ234" s="539" cm="1">
        <f t="array" aca="1" ref="BJ234" ca="1">INDIRECT($BM$2&amp;BJ$7&amp;$BI234,1)</f>
        <v>0</v>
      </c>
      <c r="BK234" s="539" cm="1">
        <f t="array" aca="1" ref="BK234" ca="1">INDIRECT($BM$2&amp;BK$7&amp;$BI234,1)</f>
        <v>0</v>
      </c>
      <c r="BL234" s="539" cm="1">
        <f t="array" aca="1" ref="BL234" ca="1">INDIRECT($BM$2&amp;BL$7&amp;$BI234,1)</f>
        <v>0</v>
      </c>
      <c r="BM234" s="539" cm="1">
        <f t="array" aca="1" ref="BM234" ca="1">INDIRECT($BM$2&amp;BM$7&amp;$BI234,1)</f>
        <v>0</v>
      </c>
      <c r="BN234" s="539" cm="1">
        <f t="array" aca="1" ref="BN234" ca="1">INDIRECT($BM$2&amp;BN$7&amp;$BI234,1)</f>
        <v>0</v>
      </c>
      <c r="BO234" s="539" t="str">
        <f ca="1">IFERROR(BK234/BK$234,"-")</f>
        <v>-</v>
      </c>
      <c r="BP234" s="540" t="s">
        <v>8221</v>
      </c>
      <c r="BQ234" s="20"/>
      <c r="BR234" s="469">
        <v>1</v>
      </c>
      <c r="BS234" s="539" t="s">
        <v>8051</v>
      </c>
      <c r="BT234" s="539">
        <f>BT229+$BO$6</f>
        <v>597</v>
      </c>
      <c r="BU234" s="539" cm="1">
        <f t="array" aca="1" ref="BU234" ca="1">INDIRECT($BM$2&amp;BU$7&amp;$BT234,1)</f>
        <v>0</v>
      </c>
      <c r="BV234" s="539" cm="1">
        <f t="array" aca="1" ref="BV234" ca="1">INDIRECT($BM$2&amp;BV$7&amp;$BT234,1)</f>
        <v>0</v>
      </c>
      <c r="BW234" s="539" cm="1">
        <f t="array" aca="1" ref="BW234" ca="1">INDIRECT($BM$2&amp;BW$7&amp;$BT234,1)</f>
        <v>0</v>
      </c>
      <c r="BX234" s="539" cm="1">
        <f t="array" aca="1" ref="BX234" ca="1">INDIRECT($BM$2&amp;BX$7&amp;$BT234,1)</f>
        <v>0</v>
      </c>
      <c r="BY234" s="539" cm="1">
        <f t="array" aca="1" ref="BY234" ca="1">INDIRECT($BM$2&amp;BY$7&amp;$BT234,1)</f>
        <v>0</v>
      </c>
      <c r="BZ234" s="539" t="str">
        <f ca="1">IFERROR(BV234/BV$234,"-")</f>
        <v>-</v>
      </c>
      <c r="CA234" s="540" t="s">
        <v>8221</v>
      </c>
      <c r="CC234" s="469">
        <v>1</v>
      </c>
      <c r="CD234" s="539" t="s">
        <v>8051</v>
      </c>
      <c r="CE234" s="539">
        <f>CE229+$BO$6</f>
        <v>943</v>
      </c>
      <c r="CF234" s="539" cm="1">
        <f t="array" aca="1" ref="CF234" ca="1">INDIRECT($BM$2&amp;CF$7&amp;$CE234,1)</f>
        <v>0</v>
      </c>
      <c r="CG234" s="539" cm="1">
        <f t="array" aca="1" ref="CG234" ca="1">INDIRECT($BM$2&amp;CG$7&amp;$CE234,1)</f>
        <v>0</v>
      </c>
      <c r="CH234" s="539" cm="1">
        <f t="array" aca="1" ref="CH234" ca="1">INDIRECT($BM$2&amp;CH$7&amp;$CE234,1)</f>
        <v>0</v>
      </c>
      <c r="CI234" s="539" cm="1">
        <f t="array" aca="1" ref="CI234" ca="1">INDIRECT($BM$2&amp;CI$7&amp;$CE234,1)</f>
        <v>0</v>
      </c>
      <c r="CJ234" s="539" cm="1">
        <f t="array" aca="1" ref="CJ234" ca="1">INDIRECT($BM$2&amp;CJ$7&amp;$CE234,1)</f>
        <v>0</v>
      </c>
      <c r="CK234" s="539" t="str">
        <f ca="1">IFERROR(CG234/CG$234,"-")</f>
        <v>-</v>
      </c>
      <c r="CL234" s="540" t="s">
        <v>8221</v>
      </c>
      <c r="CU234" s="469" t="s">
        <v>5510</v>
      </c>
      <c r="ES234" s="504"/>
      <c r="ET234" s="507"/>
      <c r="EU234" s="585"/>
    </row>
    <row r="235" spans="1:151" x14ac:dyDescent="0.25">
      <c r="BF235" s="469" t="s">
        <v>5510</v>
      </c>
      <c r="BG235" s="469">
        <v>2</v>
      </c>
      <c r="BH235" s="539" t="s">
        <v>8051</v>
      </c>
      <c r="BI235" s="539">
        <f t="shared" ref="BI235:BI245" si="138">BI234+1</f>
        <v>252</v>
      </c>
      <c r="BJ235" s="539" cm="1">
        <f t="array" aca="1" ref="BJ235" ca="1">INDIRECT($BM$2&amp;BJ$7&amp;$BI235,1)</f>
        <v>0</v>
      </c>
      <c r="BK235" s="539" cm="1">
        <f t="array" aca="1" ref="BK235" ca="1">INDIRECT($BM$2&amp;BK$7&amp;$BI235,1)</f>
        <v>0</v>
      </c>
      <c r="BL235" s="539" cm="1">
        <f t="array" aca="1" ref="BL235" ca="1">INDIRECT($BM$2&amp;BL$7&amp;$BI235,1)</f>
        <v>0</v>
      </c>
      <c r="BM235" s="539" cm="1">
        <f t="array" aca="1" ref="BM235" ca="1">INDIRECT($BM$2&amp;BM$7&amp;$BI235,1)</f>
        <v>0</v>
      </c>
      <c r="BN235" s="539" cm="1">
        <f t="array" aca="1" ref="BN235" ca="1">INDIRECT($BM$2&amp;BN$7&amp;$BI235,1)</f>
        <v>0</v>
      </c>
      <c r="BO235" s="539" t="str">
        <f t="shared" ref="BO235:BO245" ca="1" si="139">IF(BK235=0,"-",IFERROR(BK235/BK$234,"-"))</f>
        <v>-</v>
      </c>
      <c r="BP235" s="494" t="s">
        <v>8222</v>
      </c>
      <c r="BQ235" s="20"/>
      <c r="BR235" s="469">
        <v>2</v>
      </c>
      <c r="BS235" s="539" t="s">
        <v>8051</v>
      </c>
      <c r="BT235" s="539">
        <f t="shared" ref="BT235:BT245" si="140">BT234+1</f>
        <v>598</v>
      </c>
      <c r="BU235" s="539" cm="1">
        <f t="array" aca="1" ref="BU235" ca="1">INDIRECT($BM$2&amp;BU$7&amp;$BT235,1)</f>
        <v>0</v>
      </c>
      <c r="BV235" s="539" cm="1">
        <f t="array" aca="1" ref="BV235" ca="1">INDIRECT($BM$2&amp;BV$7&amp;$BT235,1)</f>
        <v>0</v>
      </c>
      <c r="BW235" s="539" cm="1">
        <f t="array" aca="1" ref="BW235" ca="1">INDIRECT($BM$2&amp;BW$7&amp;$BT235,1)</f>
        <v>0</v>
      </c>
      <c r="BX235" s="539" cm="1">
        <f t="array" aca="1" ref="BX235" ca="1">INDIRECT($BM$2&amp;BX$7&amp;$BT235,1)</f>
        <v>0</v>
      </c>
      <c r="BY235" s="539" cm="1">
        <f t="array" aca="1" ref="BY235" ca="1">INDIRECT($BM$2&amp;BY$7&amp;$BT235,1)</f>
        <v>0</v>
      </c>
      <c r="BZ235" s="539" t="str">
        <f t="shared" ref="BZ235:BZ245" ca="1" si="141">IF(BV235=0,"-",IFERROR(BV235/BV$234,"-"))</f>
        <v>-</v>
      </c>
      <c r="CA235" s="494" t="s">
        <v>8222</v>
      </c>
      <c r="CC235" s="469">
        <v>2</v>
      </c>
      <c r="CD235" s="539" t="s">
        <v>8051</v>
      </c>
      <c r="CE235" s="539">
        <f t="shared" ref="CE235:CE245" si="142">CE234+1</f>
        <v>944</v>
      </c>
      <c r="CF235" s="539" cm="1">
        <f t="array" aca="1" ref="CF235" ca="1">INDIRECT($BM$2&amp;CF$7&amp;$CE235,1)</f>
        <v>0</v>
      </c>
      <c r="CG235" s="539" cm="1">
        <f t="array" aca="1" ref="CG235" ca="1">INDIRECT($BM$2&amp;CG$7&amp;$CE235,1)</f>
        <v>0</v>
      </c>
      <c r="CH235" s="539" cm="1">
        <f t="array" aca="1" ref="CH235" ca="1">INDIRECT($BM$2&amp;CH$7&amp;$CE235,1)</f>
        <v>0</v>
      </c>
      <c r="CI235" s="539" cm="1">
        <f t="array" aca="1" ref="CI235" ca="1">INDIRECT($BM$2&amp;CI$7&amp;$CE235,1)</f>
        <v>0</v>
      </c>
      <c r="CJ235" s="539" cm="1">
        <f t="array" aca="1" ref="CJ235" ca="1">INDIRECT($BM$2&amp;CJ$7&amp;$CE235,1)</f>
        <v>0</v>
      </c>
      <c r="CK235" s="539" t="str">
        <f t="shared" ref="CK235:CK245" ca="1" si="143">IF(CG235=0,"-",IFERROR(CG235/CG$234,"-"))</f>
        <v>-</v>
      </c>
      <c r="CL235" s="494" t="s">
        <v>8222</v>
      </c>
      <c r="CU235" s="469" t="s">
        <v>5510</v>
      </c>
      <c r="ES235" s="504"/>
      <c r="ET235" s="507"/>
      <c r="EU235" s="585"/>
    </row>
    <row r="236" spans="1:151" x14ac:dyDescent="0.25">
      <c r="BF236" s="469" t="s">
        <v>5510</v>
      </c>
      <c r="BG236" s="469">
        <v>3</v>
      </c>
      <c r="BH236" s="539" t="s">
        <v>8051</v>
      </c>
      <c r="BI236" s="539">
        <f t="shared" si="138"/>
        <v>253</v>
      </c>
      <c r="BJ236" s="539" cm="1">
        <f t="array" aca="1" ref="BJ236" ca="1">INDIRECT($BM$2&amp;BJ$7&amp;$BI236,1)</f>
        <v>0</v>
      </c>
      <c r="BK236" s="539" cm="1">
        <f t="array" aca="1" ref="BK236" ca="1">INDIRECT($BM$2&amp;BK$7&amp;$BI236,1)</f>
        <v>0</v>
      </c>
      <c r="BL236" s="539" cm="1">
        <f t="array" aca="1" ref="BL236" ca="1">INDIRECT($BM$2&amp;BL$7&amp;$BI236,1)</f>
        <v>0</v>
      </c>
      <c r="BM236" s="539" cm="1">
        <f t="array" aca="1" ref="BM236" ca="1">INDIRECT($BM$2&amp;BM$7&amp;$BI236,1)</f>
        <v>0</v>
      </c>
      <c r="BN236" s="539" cm="1">
        <f t="array" aca="1" ref="BN236" ca="1">INDIRECT($BM$2&amp;BN$7&amp;$BI236,1)</f>
        <v>0</v>
      </c>
      <c r="BO236" s="539" t="str">
        <f t="shared" ca="1" si="139"/>
        <v>-</v>
      </c>
      <c r="BP236" s="494" t="s">
        <v>8222</v>
      </c>
      <c r="BQ236" s="20"/>
      <c r="BR236" s="469">
        <v>3</v>
      </c>
      <c r="BS236" s="539" t="s">
        <v>8051</v>
      </c>
      <c r="BT236" s="539">
        <f t="shared" si="140"/>
        <v>599</v>
      </c>
      <c r="BU236" s="539" cm="1">
        <f t="array" aca="1" ref="BU236" ca="1">INDIRECT($BM$2&amp;BU$7&amp;$BT236,1)</f>
        <v>0</v>
      </c>
      <c r="BV236" s="539" cm="1">
        <f t="array" aca="1" ref="BV236" ca="1">INDIRECT($BM$2&amp;BV$7&amp;$BT236,1)</f>
        <v>0</v>
      </c>
      <c r="BW236" s="539" cm="1">
        <f t="array" aca="1" ref="BW236" ca="1">INDIRECT($BM$2&amp;BW$7&amp;$BT236,1)</f>
        <v>0</v>
      </c>
      <c r="BX236" s="539" cm="1">
        <f t="array" aca="1" ref="BX236" ca="1">INDIRECT($BM$2&amp;BX$7&amp;$BT236,1)</f>
        <v>0</v>
      </c>
      <c r="BY236" s="539" cm="1">
        <f t="array" aca="1" ref="BY236" ca="1">INDIRECT($BM$2&amp;BY$7&amp;$BT236,1)</f>
        <v>0</v>
      </c>
      <c r="BZ236" s="539" t="str">
        <f t="shared" ca="1" si="141"/>
        <v>-</v>
      </c>
      <c r="CA236" s="494" t="s">
        <v>8222</v>
      </c>
      <c r="CC236" s="469">
        <v>3</v>
      </c>
      <c r="CD236" s="539" t="s">
        <v>8051</v>
      </c>
      <c r="CE236" s="539">
        <f t="shared" si="142"/>
        <v>945</v>
      </c>
      <c r="CF236" s="539" cm="1">
        <f t="array" aca="1" ref="CF236" ca="1">INDIRECT($BM$2&amp;CF$7&amp;$CE236,1)</f>
        <v>0</v>
      </c>
      <c r="CG236" s="539" cm="1">
        <f t="array" aca="1" ref="CG236" ca="1">INDIRECT($BM$2&amp;CG$7&amp;$CE236,1)</f>
        <v>0</v>
      </c>
      <c r="CH236" s="539" cm="1">
        <f t="array" aca="1" ref="CH236" ca="1">INDIRECT($BM$2&amp;CH$7&amp;$CE236,1)</f>
        <v>0</v>
      </c>
      <c r="CI236" s="539" cm="1">
        <f t="array" aca="1" ref="CI236" ca="1">INDIRECT($BM$2&amp;CI$7&amp;$CE236,1)</f>
        <v>0</v>
      </c>
      <c r="CJ236" s="539" cm="1">
        <f t="array" aca="1" ref="CJ236" ca="1">INDIRECT($BM$2&amp;CJ$7&amp;$CE236,1)</f>
        <v>0</v>
      </c>
      <c r="CK236" s="539" t="str">
        <f t="shared" ca="1" si="143"/>
        <v>-</v>
      </c>
      <c r="CL236" s="494" t="s">
        <v>8222</v>
      </c>
      <c r="CU236" s="469" t="s">
        <v>5510</v>
      </c>
      <c r="ES236" s="504"/>
      <c r="ET236" s="507"/>
      <c r="EU236" s="585"/>
    </row>
    <row r="237" spans="1:151" x14ac:dyDescent="0.25">
      <c r="BF237" s="469" t="s">
        <v>5510</v>
      </c>
      <c r="BG237" s="469">
        <v>4</v>
      </c>
      <c r="BH237" s="539" t="s">
        <v>8051</v>
      </c>
      <c r="BI237" s="539">
        <f t="shared" si="138"/>
        <v>254</v>
      </c>
      <c r="BJ237" s="539" cm="1">
        <f t="array" aca="1" ref="BJ237" ca="1">INDIRECT($BM$2&amp;BJ$7&amp;$BI237,1)</f>
        <v>0</v>
      </c>
      <c r="BK237" s="539" cm="1">
        <f t="array" aca="1" ref="BK237" ca="1">INDIRECT($BM$2&amp;BK$7&amp;$BI237,1)</f>
        <v>0</v>
      </c>
      <c r="BL237" s="539" cm="1">
        <f t="array" aca="1" ref="BL237" ca="1">INDIRECT($BM$2&amp;BL$7&amp;$BI237,1)</f>
        <v>0</v>
      </c>
      <c r="BM237" s="539" cm="1">
        <f t="array" aca="1" ref="BM237" ca="1">INDIRECT($BM$2&amp;BM$7&amp;$BI237,1)</f>
        <v>0</v>
      </c>
      <c r="BN237" s="539" cm="1">
        <f t="array" aca="1" ref="BN237" ca="1">INDIRECT($BM$2&amp;BN$7&amp;$BI237,1)</f>
        <v>0</v>
      </c>
      <c r="BO237" s="539" t="str">
        <f t="shared" ca="1" si="139"/>
        <v>-</v>
      </c>
      <c r="BP237" s="494" t="s">
        <v>8222</v>
      </c>
      <c r="BQ237" s="20"/>
      <c r="BR237" s="469">
        <v>4</v>
      </c>
      <c r="BS237" s="539" t="s">
        <v>8051</v>
      </c>
      <c r="BT237" s="539">
        <f t="shared" si="140"/>
        <v>600</v>
      </c>
      <c r="BU237" s="539" cm="1">
        <f t="array" aca="1" ref="BU237" ca="1">INDIRECT($BM$2&amp;BU$7&amp;$BT237,1)</f>
        <v>0</v>
      </c>
      <c r="BV237" s="539" cm="1">
        <f t="array" aca="1" ref="BV237" ca="1">INDIRECT($BM$2&amp;BV$7&amp;$BT237,1)</f>
        <v>0</v>
      </c>
      <c r="BW237" s="539" cm="1">
        <f t="array" aca="1" ref="BW237" ca="1">INDIRECT($BM$2&amp;BW$7&amp;$BT237,1)</f>
        <v>0</v>
      </c>
      <c r="BX237" s="539" cm="1">
        <f t="array" aca="1" ref="BX237" ca="1">INDIRECT($BM$2&amp;BX$7&amp;$BT237,1)</f>
        <v>0</v>
      </c>
      <c r="BY237" s="539" cm="1">
        <f t="array" aca="1" ref="BY237" ca="1">INDIRECT($BM$2&amp;BY$7&amp;$BT237,1)</f>
        <v>0</v>
      </c>
      <c r="BZ237" s="539" t="str">
        <f t="shared" ca="1" si="141"/>
        <v>-</v>
      </c>
      <c r="CA237" s="494" t="s">
        <v>8222</v>
      </c>
      <c r="CC237" s="469">
        <v>4</v>
      </c>
      <c r="CD237" s="539" t="s">
        <v>8051</v>
      </c>
      <c r="CE237" s="539">
        <f t="shared" si="142"/>
        <v>946</v>
      </c>
      <c r="CF237" s="539" cm="1">
        <f t="array" aca="1" ref="CF237" ca="1">INDIRECT($BM$2&amp;CF$7&amp;$CE237,1)</f>
        <v>0</v>
      </c>
      <c r="CG237" s="539" cm="1">
        <f t="array" aca="1" ref="CG237" ca="1">INDIRECT($BM$2&amp;CG$7&amp;$CE237,1)</f>
        <v>0</v>
      </c>
      <c r="CH237" s="539" cm="1">
        <f t="array" aca="1" ref="CH237" ca="1">INDIRECT($BM$2&amp;CH$7&amp;$CE237,1)</f>
        <v>0</v>
      </c>
      <c r="CI237" s="539" cm="1">
        <f t="array" aca="1" ref="CI237" ca="1">INDIRECT($BM$2&amp;CI$7&amp;$CE237,1)</f>
        <v>0</v>
      </c>
      <c r="CJ237" s="539" cm="1">
        <f t="array" aca="1" ref="CJ237" ca="1">INDIRECT($BM$2&amp;CJ$7&amp;$CE237,1)</f>
        <v>0</v>
      </c>
      <c r="CK237" s="539" t="str">
        <f t="shared" ca="1" si="143"/>
        <v>-</v>
      </c>
      <c r="CL237" s="494" t="s">
        <v>8222</v>
      </c>
      <c r="CU237" s="469" t="s">
        <v>5510</v>
      </c>
      <c r="ES237" s="504"/>
      <c r="ET237" s="507"/>
      <c r="EU237" s="585"/>
    </row>
    <row r="238" spans="1:151" x14ac:dyDescent="0.25">
      <c r="BF238" s="469" t="s">
        <v>5510</v>
      </c>
      <c r="BG238" s="469">
        <v>5</v>
      </c>
      <c r="BH238" s="539" t="s">
        <v>8051</v>
      </c>
      <c r="BI238" s="539">
        <f t="shared" si="138"/>
        <v>255</v>
      </c>
      <c r="BJ238" s="539" cm="1">
        <f t="array" aca="1" ref="BJ238" ca="1">INDIRECT($BM$2&amp;BJ$7&amp;$BI238,1)</f>
        <v>0</v>
      </c>
      <c r="BK238" s="539" cm="1">
        <f t="array" aca="1" ref="BK238" ca="1">INDIRECT($BM$2&amp;BK$7&amp;$BI238,1)</f>
        <v>0</v>
      </c>
      <c r="BL238" s="539" cm="1">
        <f t="array" aca="1" ref="BL238" ca="1">INDIRECT($BM$2&amp;BL$7&amp;$BI238,1)</f>
        <v>0</v>
      </c>
      <c r="BM238" s="539" cm="1">
        <f t="array" aca="1" ref="BM238" ca="1">INDIRECT($BM$2&amp;BM$7&amp;$BI238,1)</f>
        <v>0</v>
      </c>
      <c r="BN238" s="539" cm="1">
        <f t="array" aca="1" ref="BN238" ca="1">INDIRECT($BM$2&amp;BN$7&amp;$BI238,1)</f>
        <v>0</v>
      </c>
      <c r="BO238" s="539" t="str">
        <f t="shared" ca="1" si="139"/>
        <v>-</v>
      </c>
      <c r="BP238" s="494" t="s">
        <v>8222</v>
      </c>
      <c r="BQ238" s="20"/>
      <c r="BR238" s="469">
        <v>5</v>
      </c>
      <c r="BS238" s="539" t="s">
        <v>8051</v>
      </c>
      <c r="BT238" s="539">
        <f t="shared" si="140"/>
        <v>601</v>
      </c>
      <c r="BU238" s="539" cm="1">
        <f t="array" aca="1" ref="BU238" ca="1">INDIRECT($BM$2&amp;BU$7&amp;$BT238,1)</f>
        <v>0</v>
      </c>
      <c r="BV238" s="539" cm="1">
        <f t="array" aca="1" ref="BV238" ca="1">INDIRECT($BM$2&amp;BV$7&amp;$BT238,1)</f>
        <v>0</v>
      </c>
      <c r="BW238" s="539" cm="1">
        <f t="array" aca="1" ref="BW238" ca="1">INDIRECT($BM$2&amp;BW$7&amp;$BT238,1)</f>
        <v>0</v>
      </c>
      <c r="BX238" s="539" cm="1">
        <f t="array" aca="1" ref="BX238" ca="1">INDIRECT($BM$2&amp;BX$7&amp;$BT238,1)</f>
        <v>0</v>
      </c>
      <c r="BY238" s="539" cm="1">
        <f t="array" aca="1" ref="BY238" ca="1">INDIRECT($BM$2&amp;BY$7&amp;$BT238,1)</f>
        <v>0</v>
      </c>
      <c r="BZ238" s="539" t="str">
        <f t="shared" ca="1" si="141"/>
        <v>-</v>
      </c>
      <c r="CA238" s="494" t="s">
        <v>8222</v>
      </c>
      <c r="CC238" s="469">
        <v>5</v>
      </c>
      <c r="CD238" s="539" t="s">
        <v>8051</v>
      </c>
      <c r="CE238" s="539">
        <f t="shared" si="142"/>
        <v>947</v>
      </c>
      <c r="CF238" s="539" cm="1">
        <f t="array" aca="1" ref="CF238" ca="1">INDIRECT($BM$2&amp;CF$7&amp;$CE238,1)</f>
        <v>0</v>
      </c>
      <c r="CG238" s="539" cm="1">
        <f t="array" aca="1" ref="CG238" ca="1">INDIRECT($BM$2&amp;CG$7&amp;$CE238,1)</f>
        <v>0</v>
      </c>
      <c r="CH238" s="539" cm="1">
        <f t="array" aca="1" ref="CH238" ca="1">INDIRECT($BM$2&amp;CH$7&amp;$CE238,1)</f>
        <v>0</v>
      </c>
      <c r="CI238" s="539" cm="1">
        <f t="array" aca="1" ref="CI238" ca="1">INDIRECT($BM$2&amp;CI$7&amp;$CE238,1)</f>
        <v>0</v>
      </c>
      <c r="CJ238" s="539" cm="1">
        <f t="array" aca="1" ref="CJ238" ca="1">INDIRECT($BM$2&amp;CJ$7&amp;$CE238,1)</f>
        <v>0</v>
      </c>
      <c r="CK238" s="539" t="str">
        <f t="shared" ca="1" si="143"/>
        <v>-</v>
      </c>
      <c r="CL238" s="494" t="s">
        <v>8222</v>
      </c>
      <c r="CU238" s="469" t="s">
        <v>5510</v>
      </c>
      <c r="ES238" s="504"/>
      <c r="ET238" s="507"/>
      <c r="EU238" s="585"/>
    </row>
    <row r="239" spans="1:151" x14ac:dyDescent="0.25">
      <c r="A239" s="572" t="s">
        <v>7142</v>
      </c>
      <c r="B239" s="572" t="s">
        <v>7142</v>
      </c>
      <c r="C239" s="572" t="s">
        <v>7142</v>
      </c>
      <c r="D239" s="572" t="s">
        <v>7142</v>
      </c>
      <c r="E239" s="572" t="s">
        <v>7142</v>
      </c>
      <c r="F239" s="572" t="s">
        <v>7142</v>
      </c>
      <c r="G239" s="572" t="s">
        <v>7142</v>
      </c>
      <c r="H239" s="572" t="s">
        <v>7142</v>
      </c>
      <c r="I239" s="572" t="s">
        <v>7142</v>
      </c>
      <c r="J239" s="572" t="s">
        <v>7142</v>
      </c>
      <c r="K239" s="572" t="s">
        <v>7142</v>
      </c>
      <c r="BF239" s="469" t="s">
        <v>5510</v>
      </c>
      <c r="BG239" s="469">
        <v>6</v>
      </c>
      <c r="BH239" s="539" t="s">
        <v>8051</v>
      </c>
      <c r="BI239" s="539">
        <f t="shared" si="138"/>
        <v>256</v>
      </c>
      <c r="BJ239" s="539" cm="1">
        <f t="array" aca="1" ref="BJ239" ca="1">INDIRECT($BM$2&amp;BJ$7&amp;$BI239,1)</f>
        <v>0</v>
      </c>
      <c r="BK239" s="539" cm="1">
        <f t="array" aca="1" ref="BK239" ca="1">INDIRECT($BM$2&amp;BK$7&amp;$BI239,1)</f>
        <v>0</v>
      </c>
      <c r="BL239" s="539" cm="1">
        <f t="array" aca="1" ref="BL239" ca="1">INDIRECT($BM$2&amp;BL$7&amp;$BI239,1)</f>
        <v>0</v>
      </c>
      <c r="BM239" s="539" cm="1">
        <f t="array" aca="1" ref="BM239" ca="1">INDIRECT($BM$2&amp;BM$7&amp;$BI239,1)</f>
        <v>0</v>
      </c>
      <c r="BN239" s="539" cm="1">
        <f t="array" aca="1" ref="BN239" ca="1">INDIRECT($BM$2&amp;BN$7&amp;$BI239,1)</f>
        <v>0</v>
      </c>
      <c r="BO239" s="539" t="str">
        <f t="shared" ca="1" si="139"/>
        <v>-</v>
      </c>
      <c r="BP239" s="494" t="s">
        <v>8222</v>
      </c>
      <c r="BQ239" s="20"/>
      <c r="BR239" s="469">
        <v>6</v>
      </c>
      <c r="BS239" s="539" t="s">
        <v>8051</v>
      </c>
      <c r="BT239" s="539">
        <f t="shared" si="140"/>
        <v>602</v>
      </c>
      <c r="BU239" s="539" cm="1">
        <f t="array" aca="1" ref="BU239" ca="1">INDIRECT($BM$2&amp;BU$7&amp;$BT239,1)</f>
        <v>0</v>
      </c>
      <c r="BV239" s="539" cm="1">
        <f t="array" aca="1" ref="BV239" ca="1">INDIRECT($BM$2&amp;BV$7&amp;$BT239,1)</f>
        <v>0</v>
      </c>
      <c r="BW239" s="539" cm="1">
        <f t="array" aca="1" ref="BW239" ca="1">INDIRECT($BM$2&amp;BW$7&amp;$BT239,1)</f>
        <v>0</v>
      </c>
      <c r="BX239" s="539" cm="1">
        <f t="array" aca="1" ref="BX239" ca="1">INDIRECT($BM$2&amp;BX$7&amp;$BT239,1)</f>
        <v>0</v>
      </c>
      <c r="BY239" s="539" cm="1">
        <f t="array" aca="1" ref="BY239" ca="1">INDIRECT($BM$2&amp;BY$7&amp;$BT239,1)</f>
        <v>0</v>
      </c>
      <c r="BZ239" s="539" t="str">
        <f t="shared" ca="1" si="141"/>
        <v>-</v>
      </c>
      <c r="CA239" s="494" t="s">
        <v>8222</v>
      </c>
      <c r="CC239" s="469">
        <v>6</v>
      </c>
      <c r="CD239" s="539" t="s">
        <v>8051</v>
      </c>
      <c r="CE239" s="539">
        <f t="shared" si="142"/>
        <v>948</v>
      </c>
      <c r="CF239" s="539" cm="1">
        <f t="array" aca="1" ref="CF239" ca="1">INDIRECT($BM$2&amp;CF$7&amp;$CE239,1)</f>
        <v>0</v>
      </c>
      <c r="CG239" s="539" cm="1">
        <f t="array" aca="1" ref="CG239" ca="1">INDIRECT($BM$2&amp;CG$7&amp;$CE239,1)</f>
        <v>0</v>
      </c>
      <c r="CH239" s="539" cm="1">
        <f t="array" aca="1" ref="CH239" ca="1">INDIRECT($BM$2&amp;CH$7&amp;$CE239,1)</f>
        <v>0</v>
      </c>
      <c r="CI239" s="539" cm="1">
        <f t="array" aca="1" ref="CI239" ca="1">INDIRECT($BM$2&amp;CI$7&amp;$CE239,1)</f>
        <v>0</v>
      </c>
      <c r="CJ239" s="539" cm="1">
        <f t="array" aca="1" ref="CJ239" ca="1">INDIRECT($BM$2&amp;CJ$7&amp;$CE239,1)</f>
        <v>0</v>
      </c>
      <c r="CK239" s="539" t="str">
        <f t="shared" ca="1" si="143"/>
        <v>-</v>
      </c>
      <c r="CL239" s="494" t="s">
        <v>8222</v>
      </c>
      <c r="CU239" s="469" t="s">
        <v>5510</v>
      </c>
      <c r="ES239" s="504"/>
      <c r="ET239" s="507"/>
      <c r="EU239" s="585"/>
    </row>
    <row r="240" spans="1:151" ht="15.75" thickBot="1" x14ac:dyDescent="0.3">
      <c r="A240" s="468" t="s">
        <v>7801</v>
      </c>
      <c r="B240" s="468"/>
      <c r="C240" s="468"/>
      <c r="D240" s="468"/>
      <c r="E240" s="468"/>
      <c r="F240" s="468"/>
      <c r="G240" s="468"/>
      <c r="H240" s="468"/>
      <c r="I240" s="468"/>
      <c r="J240" s="468"/>
      <c r="K240" s="468"/>
      <c r="BF240" s="469" t="s">
        <v>5510</v>
      </c>
      <c r="BG240" s="469">
        <v>7</v>
      </c>
      <c r="BH240" s="539" t="s">
        <v>8051</v>
      </c>
      <c r="BI240" s="539">
        <f t="shared" si="138"/>
        <v>257</v>
      </c>
      <c r="BJ240" s="539" cm="1">
        <f t="array" aca="1" ref="BJ240" ca="1">INDIRECT($BM$2&amp;BJ$7&amp;$BI240,1)</f>
        <v>0</v>
      </c>
      <c r="BK240" s="539" cm="1">
        <f t="array" aca="1" ref="BK240" ca="1">INDIRECT($BM$2&amp;BK$7&amp;$BI240,1)</f>
        <v>0</v>
      </c>
      <c r="BL240" s="539" cm="1">
        <f t="array" aca="1" ref="BL240" ca="1">INDIRECT($BM$2&amp;BL$7&amp;$BI240,1)</f>
        <v>0</v>
      </c>
      <c r="BM240" s="539" cm="1">
        <f t="array" aca="1" ref="BM240" ca="1">INDIRECT($BM$2&amp;BM$7&amp;$BI240,1)</f>
        <v>0</v>
      </c>
      <c r="BN240" s="539" cm="1">
        <f t="array" aca="1" ref="BN240" ca="1">INDIRECT($BM$2&amp;BN$7&amp;$BI240,1)</f>
        <v>0</v>
      </c>
      <c r="BO240" s="539" t="str">
        <f t="shared" ca="1" si="139"/>
        <v>-</v>
      </c>
      <c r="BP240" s="494" t="s">
        <v>8222</v>
      </c>
      <c r="BQ240" s="20"/>
      <c r="BR240" s="469">
        <v>7</v>
      </c>
      <c r="BS240" s="539" t="s">
        <v>8051</v>
      </c>
      <c r="BT240" s="539">
        <f t="shared" si="140"/>
        <v>603</v>
      </c>
      <c r="BU240" s="539" cm="1">
        <f t="array" aca="1" ref="BU240" ca="1">INDIRECT($BM$2&amp;BU$7&amp;$BT240,1)</f>
        <v>0</v>
      </c>
      <c r="BV240" s="539" cm="1">
        <f t="array" aca="1" ref="BV240" ca="1">INDIRECT($BM$2&amp;BV$7&amp;$BT240,1)</f>
        <v>0</v>
      </c>
      <c r="BW240" s="539" cm="1">
        <f t="array" aca="1" ref="BW240" ca="1">INDIRECT($BM$2&amp;BW$7&amp;$BT240,1)</f>
        <v>0</v>
      </c>
      <c r="BX240" s="539" cm="1">
        <f t="array" aca="1" ref="BX240" ca="1">INDIRECT($BM$2&amp;BX$7&amp;$BT240,1)</f>
        <v>0</v>
      </c>
      <c r="BY240" s="539" cm="1">
        <f t="array" aca="1" ref="BY240" ca="1">INDIRECT($BM$2&amp;BY$7&amp;$BT240,1)</f>
        <v>0</v>
      </c>
      <c r="BZ240" s="539" t="str">
        <f t="shared" ca="1" si="141"/>
        <v>-</v>
      </c>
      <c r="CA240" s="494" t="s">
        <v>8222</v>
      </c>
      <c r="CC240" s="469">
        <v>7</v>
      </c>
      <c r="CD240" s="539" t="s">
        <v>8051</v>
      </c>
      <c r="CE240" s="539">
        <f t="shared" si="142"/>
        <v>949</v>
      </c>
      <c r="CF240" s="539" cm="1">
        <f t="array" aca="1" ref="CF240" ca="1">INDIRECT($BM$2&amp;CF$7&amp;$CE240,1)</f>
        <v>0</v>
      </c>
      <c r="CG240" s="539" cm="1">
        <f t="array" aca="1" ref="CG240" ca="1">INDIRECT($BM$2&amp;CG$7&amp;$CE240,1)</f>
        <v>0</v>
      </c>
      <c r="CH240" s="539" cm="1">
        <f t="array" aca="1" ref="CH240" ca="1">INDIRECT($BM$2&amp;CH$7&amp;$CE240,1)</f>
        <v>0</v>
      </c>
      <c r="CI240" s="539" cm="1">
        <f t="array" aca="1" ref="CI240" ca="1">INDIRECT($BM$2&amp;CI$7&amp;$CE240,1)</f>
        <v>0</v>
      </c>
      <c r="CJ240" s="539" cm="1">
        <f t="array" aca="1" ref="CJ240" ca="1">INDIRECT($BM$2&amp;CJ$7&amp;$CE240,1)</f>
        <v>0</v>
      </c>
      <c r="CK240" s="539" t="str">
        <f t="shared" ca="1" si="143"/>
        <v>-</v>
      </c>
      <c r="CL240" s="494" t="s">
        <v>8222</v>
      </c>
      <c r="CU240" s="469" t="s">
        <v>5510</v>
      </c>
      <c r="ES240" s="504"/>
      <c r="ET240" s="507"/>
      <c r="EU240" s="585"/>
    </row>
    <row r="241" spans="1:151" x14ac:dyDescent="0.25">
      <c r="A241" s="484" t="s">
        <v>7145</v>
      </c>
      <c r="B241" s="664" cm="1">
        <f t="array" ref="B241">SMALL(ROW(tb_ingredientes[ingrediente_ativo]),1)</f>
        <v>2</v>
      </c>
      <c r="H241" s="484" t="s">
        <v>7154</v>
      </c>
      <c r="I241" s="664" cm="1">
        <f t="array" ref="I241">SMALL(ROW(tb_funcoes[Função]),1)</f>
        <v>2</v>
      </c>
      <c r="BF241" s="469" t="s">
        <v>5510</v>
      </c>
      <c r="BG241" s="469">
        <v>8</v>
      </c>
      <c r="BH241" s="539" t="s">
        <v>8051</v>
      </c>
      <c r="BI241" s="539">
        <f t="shared" si="138"/>
        <v>258</v>
      </c>
      <c r="BJ241" s="539" cm="1">
        <f t="array" aca="1" ref="BJ241" ca="1">INDIRECT($BM$2&amp;BJ$7&amp;$BI241,1)</f>
        <v>0</v>
      </c>
      <c r="BK241" s="539" cm="1">
        <f t="array" aca="1" ref="BK241" ca="1">INDIRECT($BM$2&amp;BK$7&amp;$BI241,1)</f>
        <v>0</v>
      </c>
      <c r="BL241" s="539" cm="1">
        <f t="array" aca="1" ref="BL241" ca="1">INDIRECT($BM$2&amp;BL$7&amp;$BI241,1)</f>
        <v>0</v>
      </c>
      <c r="BM241" s="539" cm="1">
        <f t="array" aca="1" ref="BM241" ca="1">INDIRECT($BM$2&amp;BM$7&amp;$BI241,1)</f>
        <v>0</v>
      </c>
      <c r="BN241" s="539" cm="1">
        <f t="array" aca="1" ref="BN241" ca="1">INDIRECT($BM$2&amp;BN$7&amp;$BI241,1)</f>
        <v>0</v>
      </c>
      <c r="BO241" s="539" t="str">
        <f t="shared" ca="1" si="139"/>
        <v>-</v>
      </c>
      <c r="BP241" s="494" t="s">
        <v>8222</v>
      </c>
      <c r="BQ241" s="20"/>
      <c r="BR241" s="469">
        <v>8</v>
      </c>
      <c r="BS241" s="539" t="s">
        <v>8051</v>
      </c>
      <c r="BT241" s="539">
        <f t="shared" si="140"/>
        <v>604</v>
      </c>
      <c r="BU241" s="539" cm="1">
        <f t="array" aca="1" ref="BU241" ca="1">INDIRECT($BM$2&amp;BU$7&amp;$BT241,1)</f>
        <v>0</v>
      </c>
      <c r="BV241" s="539" cm="1">
        <f t="array" aca="1" ref="BV241" ca="1">INDIRECT($BM$2&amp;BV$7&amp;$BT241,1)</f>
        <v>0</v>
      </c>
      <c r="BW241" s="539" cm="1">
        <f t="array" aca="1" ref="BW241" ca="1">INDIRECT($BM$2&amp;BW$7&amp;$BT241,1)</f>
        <v>0</v>
      </c>
      <c r="BX241" s="539" cm="1">
        <f t="array" aca="1" ref="BX241" ca="1">INDIRECT($BM$2&amp;BX$7&amp;$BT241,1)</f>
        <v>0</v>
      </c>
      <c r="BY241" s="539" cm="1">
        <f t="array" aca="1" ref="BY241" ca="1">INDIRECT($BM$2&amp;BY$7&amp;$BT241,1)</f>
        <v>0</v>
      </c>
      <c r="BZ241" s="539" t="str">
        <f t="shared" ca="1" si="141"/>
        <v>-</v>
      </c>
      <c r="CA241" s="494" t="s">
        <v>8222</v>
      </c>
      <c r="CC241" s="469">
        <v>8</v>
      </c>
      <c r="CD241" s="539" t="s">
        <v>8051</v>
      </c>
      <c r="CE241" s="539">
        <f t="shared" si="142"/>
        <v>950</v>
      </c>
      <c r="CF241" s="539" cm="1">
        <f t="array" aca="1" ref="CF241" ca="1">INDIRECT($BM$2&amp;CF$7&amp;$CE241,1)</f>
        <v>0</v>
      </c>
      <c r="CG241" s="539" cm="1">
        <f t="array" aca="1" ref="CG241" ca="1">INDIRECT($BM$2&amp;CG$7&amp;$CE241,1)</f>
        <v>0</v>
      </c>
      <c r="CH241" s="539" cm="1">
        <f t="array" aca="1" ref="CH241" ca="1">INDIRECT($BM$2&amp;CH$7&amp;$CE241,1)</f>
        <v>0</v>
      </c>
      <c r="CI241" s="539" cm="1">
        <f t="array" aca="1" ref="CI241" ca="1">INDIRECT($BM$2&amp;CI$7&amp;$CE241,1)</f>
        <v>0</v>
      </c>
      <c r="CJ241" s="539" cm="1">
        <f t="array" aca="1" ref="CJ241" ca="1">INDIRECT($BM$2&amp;CJ$7&amp;$CE241,1)</f>
        <v>0</v>
      </c>
      <c r="CK241" s="539" t="str">
        <f t="shared" ca="1" si="143"/>
        <v>-</v>
      </c>
      <c r="CL241" s="494" t="s">
        <v>8222</v>
      </c>
      <c r="CU241" s="469" t="s">
        <v>5510</v>
      </c>
      <c r="ES241" s="504"/>
      <c r="ET241" s="507"/>
      <c r="EU241" s="585"/>
    </row>
    <row r="242" spans="1:151" x14ac:dyDescent="0.25">
      <c r="A242" s="484" t="s">
        <v>7146</v>
      </c>
      <c r="B242" s="664" cm="1">
        <f t="array" ref="B242">LARGE(ROW(tb_ingredientes[ingrediente_ativo]),1)</f>
        <v>568</v>
      </c>
      <c r="H242" s="484" t="s">
        <v>7146</v>
      </c>
      <c r="I242" s="664" cm="1">
        <f t="array" ref="I242">LARGE(ROW(tb_funcoes[Função]),1)</f>
        <v>52</v>
      </c>
      <c r="BF242" s="469" t="s">
        <v>5510</v>
      </c>
      <c r="BG242" s="469">
        <v>9</v>
      </c>
      <c r="BH242" s="539" t="s">
        <v>8051</v>
      </c>
      <c r="BI242" s="539">
        <f t="shared" si="138"/>
        <v>259</v>
      </c>
      <c r="BJ242" s="539" cm="1">
        <f t="array" aca="1" ref="BJ242" ca="1">INDIRECT($BM$2&amp;BJ$7&amp;$BI242,1)</f>
        <v>0</v>
      </c>
      <c r="BK242" s="539" cm="1">
        <f t="array" aca="1" ref="BK242" ca="1">INDIRECT($BM$2&amp;BK$7&amp;$BI242,1)</f>
        <v>0</v>
      </c>
      <c r="BL242" s="539" cm="1">
        <f t="array" aca="1" ref="BL242" ca="1">INDIRECT($BM$2&amp;BL$7&amp;$BI242,1)</f>
        <v>0</v>
      </c>
      <c r="BM242" s="539" cm="1">
        <f t="array" aca="1" ref="BM242" ca="1">INDIRECT($BM$2&amp;BM$7&amp;$BI242,1)</f>
        <v>0</v>
      </c>
      <c r="BN242" s="539" cm="1">
        <f t="array" aca="1" ref="BN242" ca="1">INDIRECT($BM$2&amp;BN$7&amp;$BI242,1)</f>
        <v>0</v>
      </c>
      <c r="BO242" s="539" t="str">
        <f t="shared" ca="1" si="139"/>
        <v>-</v>
      </c>
      <c r="BP242" s="494" t="s">
        <v>8222</v>
      </c>
      <c r="BQ242" s="20"/>
      <c r="BR242" s="469">
        <v>9</v>
      </c>
      <c r="BS242" s="539" t="s">
        <v>8051</v>
      </c>
      <c r="BT242" s="539">
        <f t="shared" si="140"/>
        <v>605</v>
      </c>
      <c r="BU242" s="539" cm="1">
        <f t="array" aca="1" ref="BU242" ca="1">INDIRECT($BM$2&amp;BU$7&amp;$BT242,1)</f>
        <v>0</v>
      </c>
      <c r="BV242" s="539" cm="1">
        <f t="array" aca="1" ref="BV242" ca="1">INDIRECT($BM$2&amp;BV$7&amp;$BT242,1)</f>
        <v>0</v>
      </c>
      <c r="BW242" s="539" cm="1">
        <f t="array" aca="1" ref="BW242" ca="1">INDIRECT($BM$2&amp;BW$7&amp;$BT242,1)</f>
        <v>0</v>
      </c>
      <c r="BX242" s="539" cm="1">
        <f t="array" aca="1" ref="BX242" ca="1">INDIRECT($BM$2&amp;BX$7&amp;$BT242,1)</f>
        <v>0</v>
      </c>
      <c r="BY242" s="539" cm="1">
        <f t="array" aca="1" ref="BY242" ca="1">INDIRECT($BM$2&amp;BY$7&amp;$BT242,1)</f>
        <v>0</v>
      </c>
      <c r="BZ242" s="539" t="str">
        <f t="shared" ca="1" si="141"/>
        <v>-</v>
      </c>
      <c r="CA242" s="494" t="s">
        <v>8222</v>
      </c>
      <c r="CC242" s="469">
        <v>9</v>
      </c>
      <c r="CD242" s="539" t="s">
        <v>8051</v>
      </c>
      <c r="CE242" s="539">
        <f t="shared" si="142"/>
        <v>951</v>
      </c>
      <c r="CF242" s="539" cm="1">
        <f t="array" aca="1" ref="CF242" ca="1">INDIRECT($BM$2&amp;CF$7&amp;$CE242,1)</f>
        <v>0</v>
      </c>
      <c r="CG242" s="539" cm="1">
        <f t="array" aca="1" ref="CG242" ca="1">INDIRECT($BM$2&amp;CG$7&amp;$CE242,1)</f>
        <v>0</v>
      </c>
      <c r="CH242" s="539" cm="1">
        <f t="array" aca="1" ref="CH242" ca="1">INDIRECT($BM$2&amp;CH$7&amp;$CE242,1)</f>
        <v>0</v>
      </c>
      <c r="CI242" s="539" cm="1">
        <f t="array" aca="1" ref="CI242" ca="1">INDIRECT($BM$2&amp;CI$7&amp;$CE242,1)</f>
        <v>0</v>
      </c>
      <c r="CJ242" s="539" cm="1">
        <f t="array" aca="1" ref="CJ242" ca="1">INDIRECT($BM$2&amp;CJ$7&amp;$CE242,1)</f>
        <v>0</v>
      </c>
      <c r="CK242" s="539" t="str">
        <f t="shared" ca="1" si="143"/>
        <v>-</v>
      </c>
      <c r="CL242" s="494" t="s">
        <v>8222</v>
      </c>
      <c r="CU242" s="469" t="s">
        <v>5510</v>
      </c>
      <c r="ES242" s="504"/>
      <c r="ET242" s="507"/>
      <c r="EU242" s="585"/>
    </row>
    <row r="243" spans="1:151" x14ac:dyDescent="0.25">
      <c r="A243" s="484" t="s">
        <v>7144</v>
      </c>
      <c r="B243" s="664">
        <f>COLUMN(tb_ingredientes[[#Headers],[ingrediente_ativo]])</f>
        <v>7</v>
      </c>
      <c r="H243" s="484" t="s">
        <v>7144</v>
      </c>
      <c r="I243" s="664">
        <f>COLUMN(tb_funcoes[[#Headers],[Função]])</f>
        <v>19</v>
      </c>
      <c r="BF243" s="469" t="s">
        <v>5510</v>
      </c>
      <c r="BG243" s="469">
        <v>10</v>
      </c>
      <c r="BH243" s="539" t="s">
        <v>8051</v>
      </c>
      <c r="BI243" s="539">
        <f t="shared" si="138"/>
        <v>260</v>
      </c>
      <c r="BJ243" s="539" cm="1">
        <f t="array" aca="1" ref="BJ243" ca="1">INDIRECT($BM$2&amp;BJ$7&amp;$BI243,1)</f>
        <v>0</v>
      </c>
      <c r="BK243" s="539" cm="1">
        <f t="array" aca="1" ref="BK243" ca="1">INDIRECT($BM$2&amp;BK$7&amp;$BI243,1)</f>
        <v>0</v>
      </c>
      <c r="BL243" s="539" cm="1">
        <f t="array" aca="1" ref="BL243" ca="1">INDIRECT($BM$2&amp;BL$7&amp;$BI243,1)</f>
        <v>0</v>
      </c>
      <c r="BM243" s="539" cm="1">
        <f t="array" aca="1" ref="BM243" ca="1">INDIRECT($BM$2&amp;BM$7&amp;$BI243,1)</f>
        <v>0</v>
      </c>
      <c r="BN243" s="539" cm="1">
        <f t="array" aca="1" ref="BN243" ca="1">INDIRECT($BM$2&amp;BN$7&amp;$BI243,1)</f>
        <v>0</v>
      </c>
      <c r="BO243" s="539" t="str">
        <f t="shared" ca="1" si="139"/>
        <v>-</v>
      </c>
      <c r="BP243" s="494" t="s">
        <v>8222</v>
      </c>
      <c r="BQ243" s="20"/>
      <c r="BR243" s="469">
        <v>10</v>
      </c>
      <c r="BS243" s="539" t="s">
        <v>8051</v>
      </c>
      <c r="BT243" s="539">
        <f t="shared" si="140"/>
        <v>606</v>
      </c>
      <c r="BU243" s="539" cm="1">
        <f t="array" aca="1" ref="BU243" ca="1">INDIRECT($BM$2&amp;BU$7&amp;$BT243,1)</f>
        <v>0</v>
      </c>
      <c r="BV243" s="539" cm="1">
        <f t="array" aca="1" ref="BV243" ca="1">INDIRECT($BM$2&amp;BV$7&amp;$BT243,1)</f>
        <v>0</v>
      </c>
      <c r="BW243" s="539" cm="1">
        <f t="array" aca="1" ref="BW243" ca="1">INDIRECT($BM$2&amp;BW$7&amp;$BT243,1)</f>
        <v>0</v>
      </c>
      <c r="BX243" s="539" cm="1">
        <f t="array" aca="1" ref="BX243" ca="1">INDIRECT($BM$2&amp;BX$7&amp;$BT243,1)</f>
        <v>0</v>
      </c>
      <c r="BY243" s="539" cm="1">
        <f t="array" aca="1" ref="BY243" ca="1">INDIRECT($BM$2&amp;BY$7&amp;$BT243,1)</f>
        <v>0</v>
      </c>
      <c r="BZ243" s="539" t="str">
        <f t="shared" ca="1" si="141"/>
        <v>-</v>
      </c>
      <c r="CA243" s="494" t="s">
        <v>8222</v>
      </c>
      <c r="CC243" s="469">
        <v>10</v>
      </c>
      <c r="CD243" s="539" t="s">
        <v>8051</v>
      </c>
      <c r="CE243" s="539">
        <f t="shared" si="142"/>
        <v>952</v>
      </c>
      <c r="CF243" s="539" cm="1">
        <f t="array" aca="1" ref="CF243" ca="1">INDIRECT($BM$2&amp;CF$7&amp;$CE243,1)</f>
        <v>0</v>
      </c>
      <c r="CG243" s="539" cm="1">
        <f t="array" aca="1" ref="CG243" ca="1">INDIRECT($BM$2&amp;CG$7&amp;$CE243,1)</f>
        <v>0</v>
      </c>
      <c r="CH243" s="539" cm="1">
        <f t="array" aca="1" ref="CH243" ca="1">INDIRECT($BM$2&amp;CH$7&amp;$CE243,1)</f>
        <v>0</v>
      </c>
      <c r="CI243" s="539" cm="1">
        <f t="array" aca="1" ref="CI243" ca="1">INDIRECT($BM$2&amp;CI$7&amp;$CE243,1)</f>
        <v>0</v>
      </c>
      <c r="CJ243" s="539" cm="1">
        <f t="array" aca="1" ref="CJ243" ca="1">INDIRECT($BM$2&amp;CJ$7&amp;$CE243,1)</f>
        <v>0</v>
      </c>
      <c r="CK243" s="539" t="str">
        <f t="shared" ca="1" si="143"/>
        <v>-</v>
      </c>
      <c r="CL243" s="494" t="s">
        <v>8222</v>
      </c>
      <c r="CU243" s="469" t="s">
        <v>5510</v>
      </c>
      <c r="ES243" s="504"/>
      <c r="ET243" s="507"/>
      <c r="EU243" s="585"/>
    </row>
    <row r="244" spans="1:151" x14ac:dyDescent="0.25">
      <c r="A244" s="484" t="s">
        <v>7148</v>
      </c>
      <c r="B244" s="646" t="s">
        <v>7150</v>
      </c>
      <c r="H244" s="484" t="s">
        <v>7148</v>
      </c>
      <c r="I244" s="646" t="s">
        <v>7945</v>
      </c>
      <c r="BF244" s="469" t="s">
        <v>5510</v>
      </c>
      <c r="BG244" s="469">
        <v>11</v>
      </c>
      <c r="BH244" s="539" t="s">
        <v>8051</v>
      </c>
      <c r="BI244" s="539">
        <f t="shared" si="138"/>
        <v>261</v>
      </c>
      <c r="BJ244" s="539" cm="1">
        <f t="array" aca="1" ref="BJ244" ca="1">INDIRECT($BM$2&amp;BJ$7&amp;$BI244,1)</f>
        <v>0</v>
      </c>
      <c r="BK244" s="539" cm="1">
        <f t="array" aca="1" ref="BK244" ca="1">INDIRECT($BM$2&amp;BK$7&amp;$BI244,1)</f>
        <v>0</v>
      </c>
      <c r="BL244" s="539" cm="1">
        <f t="array" aca="1" ref="BL244" ca="1">INDIRECT($BM$2&amp;BL$7&amp;$BI244,1)</f>
        <v>0</v>
      </c>
      <c r="BM244" s="539" cm="1">
        <f t="array" aca="1" ref="BM244" ca="1">INDIRECT($BM$2&amp;BM$7&amp;$BI244,1)</f>
        <v>0</v>
      </c>
      <c r="BN244" s="539" cm="1">
        <f t="array" aca="1" ref="BN244" ca="1">INDIRECT($BM$2&amp;BN$7&amp;$BI244,1)</f>
        <v>0</v>
      </c>
      <c r="BO244" s="539" t="str">
        <f t="shared" ca="1" si="139"/>
        <v>-</v>
      </c>
      <c r="BP244" s="494" t="s">
        <v>8222</v>
      </c>
      <c r="BQ244" s="20"/>
      <c r="BR244" s="469">
        <v>11</v>
      </c>
      <c r="BS244" s="539" t="s">
        <v>8051</v>
      </c>
      <c r="BT244" s="539">
        <f t="shared" si="140"/>
        <v>607</v>
      </c>
      <c r="BU244" s="539" cm="1">
        <f t="array" aca="1" ref="BU244" ca="1">INDIRECT($BM$2&amp;BU$7&amp;$BT244,1)</f>
        <v>0</v>
      </c>
      <c r="BV244" s="539" cm="1">
        <f t="array" aca="1" ref="BV244" ca="1">INDIRECT($BM$2&amp;BV$7&amp;$BT244,1)</f>
        <v>0</v>
      </c>
      <c r="BW244" s="539" cm="1">
        <f t="array" aca="1" ref="BW244" ca="1">INDIRECT($BM$2&amp;BW$7&amp;$BT244,1)</f>
        <v>0</v>
      </c>
      <c r="BX244" s="539" cm="1">
        <f t="array" aca="1" ref="BX244" ca="1">INDIRECT($BM$2&amp;BX$7&amp;$BT244,1)</f>
        <v>0</v>
      </c>
      <c r="BY244" s="539" cm="1">
        <f t="array" aca="1" ref="BY244" ca="1">INDIRECT($BM$2&amp;BY$7&amp;$BT244,1)</f>
        <v>0</v>
      </c>
      <c r="BZ244" s="539" t="str">
        <f t="shared" ca="1" si="141"/>
        <v>-</v>
      </c>
      <c r="CA244" s="494" t="s">
        <v>8222</v>
      </c>
      <c r="CC244" s="469">
        <v>11</v>
      </c>
      <c r="CD244" s="539" t="s">
        <v>8051</v>
      </c>
      <c r="CE244" s="539">
        <f t="shared" si="142"/>
        <v>953</v>
      </c>
      <c r="CF244" s="539" cm="1">
        <f t="array" aca="1" ref="CF244" ca="1">INDIRECT($BM$2&amp;CF$7&amp;$CE244,1)</f>
        <v>0</v>
      </c>
      <c r="CG244" s="539" cm="1">
        <f t="array" aca="1" ref="CG244" ca="1">INDIRECT($BM$2&amp;CG$7&amp;$CE244,1)</f>
        <v>0</v>
      </c>
      <c r="CH244" s="539" cm="1">
        <f t="array" aca="1" ref="CH244" ca="1">INDIRECT($BM$2&amp;CH$7&amp;$CE244,1)</f>
        <v>0</v>
      </c>
      <c r="CI244" s="539" cm="1">
        <f t="array" aca="1" ref="CI244" ca="1">INDIRECT($BM$2&amp;CI$7&amp;$CE244,1)</f>
        <v>0</v>
      </c>
      <c r="CJ244" s="539" cm="1">
        <f t="array" aca="1" ref="CJ244" ca="1">INDIRECT($BM$2&amp;CJ$7&amp;$CE244,1)</f>
        <v>0</v>
      </c>
      <c r="CK244" s="539" t="str">
        <f t="shared" ca="1" si="143"/>
        <v>-</v>
      </c>
      <c r="CL244" s="494" t="s">
        <v>8222</v>
      </c>
      <c r="CU244" s="469" t="s">
        <v>5510</v>
      </c>
      <c r="ES244" s="504"/>
      <c r="ET244" s="507"/>
      <c r="EU244" s="585"/>
    </row>
    <row r="245" spans="1:151" x14ac:dyDescent="0.25">
      <c r="A245" s="484" t="s">
        <v>7149</v>
      </c>
      <c r="B245" s="646" t="str" cm="1">
        <f t="array" aca="1" ref="B245" ca="1">UPPER(INDIRECT(B244,1))</f>
        <v/>
      </c>
      <c r="H245" s="484" t="s">
        <v>7149</v>
      </c>
      <c r="I245" s="646" t="str" cm="1">
        <f t="array" aca="1" ref="I245" ca="1">UPPER(INDIRECT(I244,1))</f>
        <v/>
      </c>
      <c r="BF245" s="469" t="s">
        <v>5510</v>
      </c>
      <c r="BG245" s="469">
        <v>12</v>
      </c>
      <c r="BH245" s="539" t="s">
        <v>8051</v>
      </c>
      <c r="BI245" s="539">
        <f t="shared" si="138"/>
        <v>262</v>
      </c>
      <c r="BJ245" s="539" cm="1">
        <f t="array" aca="1" ref="BJ245" ca="1">INDIRECT($BM$2&amp;BJ$7&amp;$BI245,1)</f>
        <v>0</v>
      </c>
      <c r="BK245" s="539" cm="1">
        <f t="array" aca="1" ref="BK245" ca="1">INDIRECT($BM$2&amp;BK$7&amp;$BI245,1)</f>
        <v>0</v>
      </c>
      <c r="BL245" s="539" cm="1">
        <f t="array" aca="1" ref="BL245" ca="1">INDIRECT($BM$2&amp;BL$7&amp;$BI245,1)</f>
        <v>0</v>
      </c>
      <c r="BM245" s="539" cm="1">
        <f t="array" aca="1" ref="BM245" ca="1">INDIRECT($BM$2&amp;BM$7&amp;$BI245,1)</f>
        <v>0</v>
      </c>
      <c r="BN245" s="539" t="str" cm="1">
        <f t="array" aca="1" ref="BN245" ca="1">INDIRECT($BM$2&amp;BN$7&amp;$BI245,1)</f>
        <v>-</v>
      </c>
      <c r="BO245" s="539" t="str">
        <f t="shared" ca="1" si="139"/>
        <v>-</v>
      </c>
      <c r="BP245" s="561" t="s">
        <v>8223</v>
      </c>
      <c r="BQ245" s="20"/>
      <c r="BR245" s="469">
        <v>12</v>
      </c>
      <c r="BS245" s="539" t="s">
        <v>8051</v>
      </c>
      <c r="BT245" s="539">
        <f t="shared" si="140"/>
        <v>608</v>
      </c>
      <c r="BU245" s="539" cm="1">
        <f t="array" aca="1" ref="BU245" ca="1">INDIRECT($BM$2&amp;BU$7&amp;$BT245,1)</f>
        <v>0</v>
      </c>
      <c r="BV245" s="539" cm="1">
        <f t="array" aca="1" ref="BV245" ca="1">INDIRECT($BM$2&amp;BV$7&amp;$BT245,1)</f>
        <v>0</v>
      </c>
      <c r="BW245" s="539" cm="1">
        <f t="array" aca="1" ref="BW245" ca="1">INDIRECT($BM$2&amp;BW$7&amp;$BT245,1)</f>
        <v>0</v>
      </c>
      <c r="BX245" s="539" cm="1">
        <f t="array" aca="1" ref="BX245" ca="1">INDIRECT($BM$2&amp;BX$7&amp;$BT245,1)</f>
        <v>0</v>
      </c>
      <c r="BY245" s="539" t="str" cm="1">
        <f t="array" aca="1" ref="BY245" ca="1">INDIRECT($BM$2&amp;BY$7&amp;$BT245,1)</f>
        <v>-</v>
      </c>
      <c r="BZ245" s="539" t="str">
        <f t="shared" ca="1" si="141"/>
        <v>-</v>
      </c>
      <c r="CA245" s="561" t="s">
        <v>8223</v>
      </c>
      <c r="CC245" s="469">
        <v>12</v>
      </c>
      <c r="CD245" s="539" t="s">
        <v>8051</v>
      </c>
      <c r="CE245" s="539">
        <f t="shared" si="142"/>
        <v>954</v>
      </c>
      <c r="CF245" s="539" cm="1">
        <f t="array" aca="1" ref="CF245" ca="1">INDIRECT($BM$2&amp;CF$7&amp;$CE245,1)</f>
        <v>0</v>
      </c>
      <c r="CG245" s="539" cm="1">
        <f t="array" aca="1" ref="CG245" ca="1">INDIRECT($BM$2&amp;CG$7&amp;$CE245,1)</f>
        <v>0</v>
      </c>
      <c r="CH245" s="539" cm="1">
        <f t="array" aca="1" ref="CH245" ca="1">INDIRECT($BM$2&amp;CH$7&amp;$CE245,1)</f>
        <v>0</v>
      </c>
      <c r="CI245" s="539" cm="1">
        <f t="array" aca="1" ref="CI245" ca="1">INDIRECT($BM$2&amp;CI$7&amp;$CE245,1)</f>
        <v>0</v>
      </c>
      <c r="CJ245" s="539" t="str" cm="1">
        <f t="array" aca="1" ref="CJ245" ca="1">INDIRECT($BM$2&amp;CJ$7&amp;$CE245,1)</f>
        <v>-</v>
      </c>
      <c r="CK245" s="539" t="str">
        <f t="shared" ca="1" si="143"/>
        <v>-</v>
      </c>
      <c r="CL245" s="561" t="s">
        <v>8223</v>
      </c>
      <c r="CU245" s="469" t="s">
        <v>5510</v>
      </c>
      <c r="ES245" s="504"/>
      <c r="ET245" s="507"/>
      <c r="EU245" s="585"/>
    </row>
    <row r="246" spans="1:151" x14ac:dyDescent="0.25">
      <c r="A246" s="484" t="s">
        <v>7158</v>
      </c>
      <c r="B246" s="646" t="s">
        <v>7135</v>
      </c>
      <c r="H246" s="484" t="s">
        <v>7158</v>
      </c>
      <c r="I246" s="646" t="s">
        <v>6155</v>
      </c>
      <c r="BF246" s="469" t="s">
        <v>5510</v>
      </c>
      <c r="BL246" s="372"/>
      <c r="BO246" s="472"/>
      <c r="BQ246" s="20"/>
      <c r="BT246" s="372"/>
      <c r="BU246" s="472"/>
      <c r="BV246" s="472"/>
      <c r="BW246" s="372"/>
      <c r="BX246" s="472"/>
      <c r="BY246" s="372"/>
      <c r="BZ246" s="472"/>
      <c r="CA246" s="372"/>
      <c r="CE246" s="372"/>
      <c r="CF246" s="472"/>
      <c r="CG246" s="472"/>
      <c r="CH246" s="372"/>
      <c r="CI246" s="472"/>
      <c r="CJ246" s="372"/>
      <c r="CK246" s="472"/>
      <c r="CL246" s="372"/>
      <c r="CU246" s="469" t="s">
        <v>5510</v>
      </c>
      <c r="ES246" s="504"/>
      <c r="ET246" s="507"/>
      <c r="EU246" s="585"/>
    </row>
    <row r="247" spans="1:151" x14ac:dyDescent="0.25">
      <c r="BF247" s="469" t="s">
        <v>5510</v>
      </c>
      <c r="BL247" s="372"/>
      <c r="BO247" s="472"/>
      <c r="BQ247" s="20"/>
      <c r="BT247" s="372"/>
      <c r="BU247" s="472"/>
      <c r="BV247" s="472"/>
      <c r="BW247" s="372"/>
      <c r="BX247" s="472"/>
      <c r="BY247" s="372"/>
      <c r="BZ247" s="472"/>
      <c r="CA247" s="372"/>
      <c r="CE247" s="372"/>
      <c r="CF247" s="472"/>
      <c r="CG247" s="472"/>
      <c r="CH247" s="372"/>
      <c r="CI247" s="472"/>
      <c r="CJ247" s="372"/>
      <c r="CK247" s="472"/>
      <c r="CL247" s="372"/>
      <c r="CU247" s="469" t="s">
        <v>5510</v>
      </c>
      <c r="ES247" s="504"/>
      <c r="ET247" s="507"/>
      <c r="EU247" s="585"/>
    </row>
    <row r="248" spans="1:151" x14ac:dyDescent="0.25">
      <c r="BF248" s="469" t="s">
        <v>5510</v>
      </c>
      <c r="BQ248" s="20"/>
      <c r="BT248" s="372"/>
      <c r="BU248" s="472"/>
      <c r="BV248" s="472"/>
      <c r="BW248" s="472"/>
      <c r="BX248" s="472"/>
      <c r="BY248" s="372"/>
      <c r="BZ248" s="372"/>
      <c r="CA248" s="372"/>
      <c r="CE248" s="372"/>
      <c r="CF248" s="472"/>
      <c r="CG248" s="472"/>
      <c r="CH248" s="472"/>
      <c r="CI248" s="472"/>
      <c r="CJ248" s="372"/>
      <c r="CK248" s="372"/>
      <c r="CL248" s="372"/>
      <c r="CU248" s="469" t="s">
        <v>5510</v>
      </c>
      <c r="ES248" s="504"/>
      <c r="ET248" s="507"/>
      <c r="EU248" s="585"/>
    </row>
    <row r="249" spans="1:151" x14ac:dyDescent="0.25">
      <c r="BF249" s="469" t="s">
        <v>5510</v>
      </c>
      <c r="BQ249" s="20"/>
      <c r="BT249" s="372"/>
      <c r="BU249" s="472"/>
      <c r="BV249" s="472"/>
      <c r="BW249" s="472"/>
      <c r="BX249" s="472"/>
      <c r="BY249" s="372"/>
      <c r="BZ249" s="372"/>
      <c r="CA249" s="372"/>
      <c r="CE249" s="372"/>
      <c r="CF249" s="472"/>
      <c r="CG249" s="472"/>
      <c r="CH249" s="472"/>
      <c r="CI249" s="472"/>
      <c r="CJ249" s="372"/>
      <c r="CK249" s="372"/>
      <c r="CL249" s="372"/>
      <c r="CU249" s="469" t="s">
        <v>5510</v>
      </c>
      <c r="ES249" s="504"/>
      <c r="ET249" s="507"/>
      <c r="EU249" s="585"/>
    </row>
    <row r="250" spans="1:151" x14ac:dyDescent="0.25">
      <c r="A250" s="665" t="s">
        <v>7141</v>
      </c>
      <c r="B250" s="666" t="s">
        <v>7147</v>
      </c>
      <c r="C250" s="666" t="s">
        <v>7152</v>
      </c>
      <c r="H250" s="665" t="s">
        <v>7155</v>
      </c>
      <c r="I250" s="666" t="s">
        <v>7156</v>
      </c>
      <c r="J250" s="666" t="s">
        <v>7152</v>
      </c>
      <c r="BF250" s="469" t="s">
        <v>5510</v>
      </c>
      <c r="BG250" s="469">
        <v>1</v>
      </c>
      <c r="BH250" s="539" t="s">
        <v>8052</v>
      </c>
      <c r="BI250" s="539">
        <f>BI245+$BO$5</f>
        <v>268</v>
      </c>
      <c r="BJ250" s="539" cm="1">
        <f t="array" aca="1" ref="BJ250" ca="1">INDIRECT($BM$2&amp;BJ$7&amp;$BI250,1)</f>
        <v>0</v>
      </c>
      <c r="BK250" s="539" cm="1">
        <f t="array" aca="1" ref="BK250" ca="1">INDIRECT($BM$2&amp;BK$7&amp;$BI250,1)</f>
        <v>0</v>
      </c>
      <c r="BL250" s="539" cm="1">
        <f t="array" aca="1" ref="BL250" ca="1">INDIRECT($BM$2&amp;BL$7&amp;$BI250,1)</f>
        <v>0</v>
      </c>
      <c r="BM250" s="539" cm="1">
        <f t="array" aca="1" ref="BM250" ca="1">INDIRECT($BM$2&amp;BM$7&amp;$BI250,1)</f>
        <v>0</v>
      </c>
      <c r="BN250" s="539" cm="1">
        <f t="array" aca="1" ref="BN250" ca="1">INDIRECT($BM$2&amp;BN$7&amp;$BI250,1)</f>
        <v>0</v>
      </c>
      <c r="BO250" s="539" t="str">
        <f ca="1">IFERROR(BK250/BK$250,"-")</f>
        <v>-</v>
      </c>
      <c r="BP250" s="540" t="s">
        <v>8221</v>
      </c>
      <c r="BQ250" s="20"/>
      <c r="BR250" s="469">
        <v>1</v>
      </c>
      <c r="BS250" s="539" t="s">
        <v>8052</v>
      </c>
      <c r="BT250" s="539">
        <f>BT245+$BO$5</f>
        <v>614</v>
      </c>
      <c r="BU250" s="539" cm="1">
        <f t="array" aca="1" ref="BU250" ca="1">INDIRECT($BM$2&amp;BU$7&amp;$BT250,1)</f>
        <v>0</v>
      </c>
      <c r="BV250" s="539" cm="1">
        <f t="array" aca="1" ref="BV250" ca="1">INDIRECT($BM$2&amp;BV$7&amp;$BT250,1)</f>
        <v>0</v>
      </c>
      <c r="BW250" s="539" cm="1">
        <f t="array" aca="1" ref="BW250" ca="1">INDIRECT($BM$2&amp;BW$7&amp;$BT250,1)</f>
        <v>0</v>
      </c>
      <c r="BX250" s="539" cm="1">
        <f t="array" aca="1" ref="BX250" ca="1">INDIRECT($BM$2&amp;BX$7&amp;$BT250,1)</f>
        <v>0</v>
      </c>
      <c r="BY250" s="539" cm="1">
        <f t="array" aca="1" ref="BY250" ca="1">INDIRECT($BM$2&amp;BY$7&amp;$BT250,1)</f>
        <v>0</v>
      </c>
      <c r="BZ250" s="539" t="str">
        <f ca="1">IFERROR(BV250/BV$250,"-")</f>
        <v>-</v>
      </c>
      <c r="CA250" s="540" t="s">
        <v>8221</v>
      </c>
      <c r="CC250" s="469">
        <v>1</v>
      </c>
      <c r="CD250" s="539" t="s">
        <v>8052</v>
      </c>
      <c r="CE250" s="539">
        <f>CE245+$BO$5</f>
        <v>960</v>
      </c>
      <c r="CF250" s="539" cm="1">
        <f t="array" aca="1" ref="CF250" ca="1">INDIRECT($BM$2&amp;CF$7&amp;$CE250,1)</f>
        <v>0</v>
      </c>
      <c r="CG250" s="539" cm="1">
        <f t="array" aca="1" ref="CG250" ca="1">INDIRECT($BM$2&amp;CG$7&amp;$CE250,1)</f>
        <v>0</v>
      </c>
      <c r="CH250" s="539" cm="1">
        <f t="array" aca="1" ref="CH250" ca="1">INDIRECT($BM$2&amp;CH$7&amp;$CE250,1)</f>
        <v>0</v>
      </c>
      <c r="CI250" s="539" cm="1">
        <f t="array" aca="1" ref="CI250" ca="1">INDIRECT($BM$2&amp;CI$7&amp;$CE250,1)</f>
        <v>0</v>
      </c>
      <c r="CJ250" s="539" cm="1">
        <f t="array" aca="1" ref="CJ250" ca="1">INDIRECT($BM$2&amp;CJ$7&amp;$CE250,1)</f>
        <v>0</v>
      </c>
      <c r="CK250" s="539" t="str">
        <f ca="1">IFERROR(CG250/CG$250,"-")</f>
        <v>-</v>
      </c>
      <c r="CL250" s="540" t="s">
        <v>8221</v>
      </c>
      <c r="CU250" s="469" t="s">
        <v>5510</v>
      </c>
      <c r="ES250" s="504"/>
      <c r="ET250" s="507"/>
      <c r="EU250" s="585"/>
    </row>
    <row r="251" spans="1:151" x14ac:dyDescent="0.25">
      <c r="A251" s="667" cm="1">
        <f t="array" aca="1" ref="A251:A817" ca="1">IFERROR(FIND(B245,tb_ingredientes[ingrediente_ativo_maiusculo],1),0)</f>
        <v>1</v>
      </c>
      <c r="B251" s="666" t="str" cm="1">
        <f t="array" aca="1" ref="B251:B817" ca="1">_xlfn._xlws.FILTER(tb_ingredientes[ingrediente_ativo],
INDIRECT("Calculos!"&amp;B246&amp;ROW(A251)&amp;":"&amp;B246&amp;ROW(A251)+(B242-B241))&gt;0,"Substância não encontrada")</f>
        <v>Acefato</v>
      </c>
      <c r="C251" s="668">
        <f ca="1">IF(B251="Substância não encontrada",1,0)</f>
        <v>0</v>
      </c>
      <c r="H251" s="667" cm="1">
        <f t="array" aca="1" ref="H251:H301" ca="1">IFERROR(FIND(I245,tb_funcoes[Função],1),0)</f>
        <v>1</v>
      </c>
      <c r="I251" s="666" t="str" cm="1">
        <f t="array" aca="1" ref="I251:I301" ca="1">_xlfn._xlws.FILTER(tb_funcoes[Função],
INDIRECT("Calculos!"&amp;I246&amp;ROW(H251)&amp;":"&amp;I246&amp;ROW(H251)+(I242-I241))&gt;0,"Função não encontrada")</f>
        <v>-</v>
      </c>
      <c r="J251" s="668">
        <f ca="1">IF(I251="Função não encontrada",1,0)</f>
        <v>0</v>
      </c>
      <c r="BF251" s="469" t="s">
        <v>5510</v>
      </c>
      <c r="BG251" s="469">
        <v>2</v>
      </c>
      <c r="BH251" s="539" t="s">
        <v>8052</v>
      </c>
      <c r="BI251" s="539">
        <f t="shared" ref="BI251:BI261" si="144">BI250+1</f>
        <v>269</v>
      </c>
      <c r="BJ251" s="539" cm="1">
        <f t="array" aca="1" ref="BJ251" ca="1">INDIRECT($BM$2&amp;BJ$7&amp;$BI251,1)</f>
        <v>0</v>
      </c>
      <c r="BK251" s="539" cm="1">
        <f t="array" aca="1" ref="BK251" ca="1">INDIRECT($BM$2&amp;BK$7&amp;$BI251,1)</f>
        <v>0</v>
      </c>
      <c r="BL251" s="539" cm="1">
        <f t="array" aca="1" ref="BL251" ca="1">INDIRECT($BM$2&amp;BL$7&amp;$BI251,1)</f>
        <v>0</v>
      </c>
      <c r="BM251" s="539" cm="1">
        <f t="array" aca="1" ref="BM251" ca="1">INDIRECT($BM$2&amp;BM$7&amp;$BI251,1)</f>
        <v>0</v>
      </c>
      <c r="BN251" s="539" cm="1">
        <f t="array" aca="1" ref="BN251" ca="1">INDIRECT($BM$2&amp;BN$7&amp;$BI251,1)</f>
        <v>0</v>
      </c>
      <c r="BO251" s="539" t="str">
        <f t="shared" ref="BO251:BO261" ca="1" si="145">IF(BK251=0,"-",IFERROR(BK251/BK$250,"-"))</f>
        <v>-</v>
      </c>
      <c r="BP251" s="494" t="s">
        <v>8222</v>
      </c>
      <c r="BQ251" s="20"/>
      <c r="BR251" s="469">
        <v>2</v>
      </c>
      <c r="BS251" s="539" t="s">
        <v>8052</v>
      </c>
      <c r="BT251" s="539">
        <f t="shared" ref="BT251:BT261" si="146">BT250+1</f>
        <v>615</v>
      </c>
      <c r="BU251" s="539" cm="1">
        <f t="array" aca="1" ref="BU251" ca="1">INDIRECT($BM$2&amp;BU$7&amp;$BT251,1)</f>
        <v>0</v>
      </c>
      <c r="BV251" s="539" cm="1">
        <f t="array" aca="1" ref="BV251" ca="1">INDIRECT($BM$2&amp;BV$7&amp;$BT251,1)</f>
        <v>0</v>
      </c>
      <c r="BW251" s="539" cm="1">
        <f t="array" aca="1" ref="BW251" ca="1">INDIRECT($BM$2&amp;BW$7&amp;$BT251,1)</f>
        <v>0</v>
      </c>
      <c r="BX251" s="539" cm="1">
        <f t="array" aca="1" ref="BX251" ca="1">INDIRECT($BM$2&amp;BX$7&amp;$BT251,1)</f>
        <v>0</v>
      </c>
      <c r="BY251" s="539" cm="1">
        <f t="array" aca="1" ref="BY251" ca="1">INDIRECT($BM$2&amp;BY$7&amp;$BT251,1)</f>
        <v>0</v>
      </c>
      <c r="BZ251" s="539" t="str">
        <f t="shared" ref="BZ251:BZ261" ca="1" si="147">IF(BV251=0,"-",IFERROR(BV251/BV$250,"-"))</f>
        <v>-</v>
      </c>
      <c r="CA251" s="494" t="s">
        <v>8222</v>
      </c>
      <c r="CC251" s="469">
        <v>2</v>
      </c>
      <c r="CD251" s="539" t="s">
        <v>8052</v>
      </c>
      <c r="CE251" s="539">
        <f t="shared" ref="CE251:CE261" si="148">CE250+1</f>
        <v>961</v>
      </c>
      <c r="CF251" s="539" cm="1">
        <f t="array" aca="1" ref="CF251" ca="1">INDIRECT($BM$2&amp;CF$7&amp;$CE251,1)</f>
        <v>0</v>
      </c>
      <c r="CG251" s="539" cm="1">
        <f t="array" aca="1" ref="CG251" ca="1">INDIRECT($BM$2&amp;CG$7&amp;$CE251,1)</f>
        <v>0</v>
      </c>
      <c r="CH251" s="539" cm="1">
        <f t="array" aca="1" ref="CH251" ca="1">INDIRECT($BM$2&amp;CH$7&amp;$CE251,1)</f>
        <v>0</v>
      </c>
      <c r="CI251" s="539" cm="1">
        <f t="array" aca="1" ref="CI251" ca="1">INDIRECT($BM$2&amp;CI$7&amp;$CE251,1)</f>
        <v>0</v>
      </c>
      <c r="CJ251" s="539" cm="1">
        <f t="array" aca="1" ref="CJ251" ca="1">INDIRECT($BM$2&amp;CJ$7&amp;$CE251,1)</f>
        <v>0</v>
      </c>
      <c r="CK251" s="539" t="str">
        <f t="shared" ref="CK251:CK261" ca="1" si="149">IF(CG251=0,"-",IFERROR(CG251/CG$250,"-"))</f>
        <v>-</v>
      </c>
      <c r="CL251" s="494" t="s">
        <v>8222</v>
      </c>
      <c r="CU251" s="469" t="s">
        <v>5510</v>
      </c>
      <c r="ES251" s="504"/>
      <c r="ET251" s="507"/>
      <c r="EU251" s="585"/>
    </row>
    <row r="252" spans="1:151" x14ac:dyDescent="0.25">
      <c r="A252" s="667">
        <f ca="1"/>
        <v>1</v>
      </c>
      <c r="B252" s="666" t="str">
        <f ca="1"/>
        <v>Ácido giberélico</v>
      </c>
      <c r="H252" s="667">
        <f ca="1"/>
        <v>1</v>
      </c>
      <c r="I252" s="667" t="str">
        <f ca="1"/>
        <v>INGREDIENTE ATIVO</v>
      </c>
      <c r="BF252" s="469" t="s">
        <v>5510</v>
      </c>
      <c r="BG252" s="469">
        <v>3</v>
      </c>
      <c r="BH252" s="539" t="s">
        <v>8052</v>
      </c>
      <c r="BI252" s="539">
        <f t="shared" si="144"/>
        <v>270</v>
      </c>
      <c r="BJ252" s="539" cm="1">
        <f t="array" aca="1" ref="BJ252" ca="1">INDIRECT($BM$2&amp;BJ$7&amp;$BI252,1)</f>
        <v>0</v>
      </c>
      <c r="BK252" s="539" cm="1">
        <f t="array" aca="1" ref="BK252" ca="1">INDIRECT($BM$2&amp;BK$7&amp;$BI252,1)</f>
        <v>0</v>
      </c>
      <c r="BL252" s="539" cm="1">
        <f t="array" aca="1" ref="BL252" ca="1">INDIRECT($BM$2&amp;BL$7&amp;$BI252,1)</f>
        <v>0</v>
      </c>
      <c r="BM252" s="539" cm="1">
        <f t="array" aca="1" ref="BM252" ca="1">INDIRECT($BM$2&amp;BM$7&amp;$BI252,1)</f>
        <v>0</v>
      </c>
      <c r="BN252" s="539" cm="1">
        <f t="array" aca="1" ref="BN252" ca="1">INDIRECT($BM$2&amp;BN$7&amp;$BI252,1)</f>
        <v>0</v>
      </c>
      <c r="BO252" s="539" t="str">
        <f t="shared" ca="1" si="145"/>
        <v>-</v>
      </c>
      <c r="BP252" s="494" t="s">
        <v>8222</v>
      </c>
      <c r="BQ252" s="20"/>
      <c r="BR252" s="469">
        <v>3</v>
      </c>
      <c r="BS252" s="539" t="s">
        <v>8052</v>
      </c>
      <c r="BT252" s="539">
        <f t="shared" si="146"/>
        <v>616</v>
      </c>
      <c r="BU252" s="539" cm="1">
        <f t="array" aca="1" ref="BU252" ca="1">INDIRECT($BM$2&amp;BU$7&amp;$BT252,1)</f>
        <v>0</v>
      </c>
      <c r="BV252" s="539" cm="1">
        <f t="array" aca="1" ref="BV252" ca="1">INDIRECT($BM$2&amp;BV$7&amp;$BT252,1)</f>
        <v>0</v>
      </c>
      <c r="BW252" s="539" cm="1">
        <f t="array" aca="1" ref="BW252" ca="1">INDIRECT($BM$2&amp;BW$7&amp;$BT252,1)</f>
        <v>0</v>
      </c>
      <c r="BX252" s="539" cm="1">
        <f t="array" aca="1" ref="BX252" ca="1">INDIRECT($BM$2&amp;BX$7&amp;$BT252,1)</f>
        <v>0</v>
      </c>
      <c r="BY252" s="539" cm="1">
        <f t="array" aca="1" ref="BY252" ca="1">INDIRECT($BM$2&amp;BY$7&amp;$BT252,1)</f>
        <v>0</v>
      </c>
      <c r="BZ252" s="539" t="str">
        <f t="shared" ca="1" si="147"/>
        <v>-</v>
      </c>
      <c r="CA252" s="494" t="s">
        <v>8222</v>
      </c>
      <c r="CC252" s="469">
        <v>3</v>
      </c>
      <c r="CD252" s="539" t="s">
        <v>8052</v>
      </c>
      <c r="CE252" s="539">
        <f t="shared" si="148"/>
        <v>962</v>
      </c>
      <c r="CF252" s="539" cm="1">
        <f t="array" aca="1" ref="CF252" ca="1">INDIRECT($BM$2&amp;CF$7&amp;$CE252,1)</f>
        <v>0</v>
      </c>
      <c r="CG252" s="539" cm="1">
        <f t="array" aca="1" ref="CG252" ca="1">INDIRECT($BM$2&amp;CG$7&amp;$CE252,1)</f>
        <v>0</v>
      </c>
      <c r="CH252" s="539" cm="1">
        <f t="array" aca="1" ref="CH252" ca="1">INDIRECT($BM$2&amp;CH$7&amp;$CE252,1)</f>
        <v>0</v>
      </c>
      <c r="CI252" s="539" cm="1">
        <f t="array" aca="1" ref="CI252" ca="1">INDIRECT($BM$2&amp;CI$7&amp;$CE252,1)</f>
        <v>0</v>
      </c>
      <c r="CJ252" s="539" cm="1">
        <f t="array" aca="1" ref="CJ252" ca="1">INDIRECT($BM$2&amp;CJ$7&amp;$CE252,1)</f>
        <v>0</v>
      </c>
      <c r="CK252" s="539" t="str">
        <f t="shared" ca="1" si="149"/>
        <v>-</v>
      </c>
      <c r="CL252" s="494" t="s">
        <v>8222</v>
      </c>
      <c r="CU252" s="469" t="s">
        <v>5510</v>
      </c>
      <c r="ES252" s="504"/>
      <c r="ET252" s="507"/>
      <c r="EU252" s="585"/>
    </row>
    <row r="253" spans="1:151" x14ac:dyDescent="0.25">
      <c r="A253" s="667">
        <f ca="1"/>
        <v>1</v>
      </c>
      <c r="B253" s="666" t="str">
        <f ca="1"/>
        <v>Acifluorfem</v>
      </c>
      <c r="H253" s="667">
        <f ca="1"/>
        <v>1</v>
      </c>
      <c r="I253" s="667" t="str">
        <f ca="1"/>
        <v>INGREDIENTE ATIVO (SAL)</v>
      </c>
      <c r="BF253" s="469" t="s">
        <v>5510</v>
      </c>
      <c r="BG253" s="469">
        <v>4</v>
      </c>
      <c r="BH253" s="539" t="s">
        <v>8052</v>
      </c>
      <c r="BI253" s="539">
        <f t="shared" si="144"/>
        <v>271</v>
      </c>
      <c r="BJ253" s="539" cm="1">
        <f t="array" aca="1" ref="BJ253" ca="1">INDIRECT($BM$2&amp;BJ$7&amp;$BI253,1)</f>
        <v>0</v>
      </c>
      <c r="BK253" s="539" cm="1">
        <f t="array" aca="1" ref="BK253" ca="1">INDIRECT($BM$2&amp;BK$7&amp;$BI253,1)</f>
        <v>0</v>
      </c>
      <c r="BL253" s="539" cm="1">
        <f t="array" aca="1" ref="BL253" ca="1">INDIRECT($BM$2&amp;BL$7&amp;$BI253,1)</f>
        <v>0</v>
      </c>
      <c r="BM253" s="539" cm="1">
        <f t="array" aca="1" ref="BM253" ca="1">INDIRECT($BM$2&amp;BM$7&amp;$BI253,1)</f>
        <v>0</v>
      </c>
      <c r="BN253" s="539" cm="1">
        <f t="array" aca="1" ref="BN253" ca="1">INDIRECT($BM$2&amp;BN$7&amp;$BI253,1)</f>
        <v>0</v>
      </c>
      <c r="BO253" s="539" t="str">
        <f t="shared" ca="1" si="145"/>
        <v>-</v>
      </c>
      <c r="BP253" s="494" t="s">
        <v>8222</v>
      </c>
      <c r="BQ253" s="20"/>
      <c r="BR253" s="469">
        <v>4</v>
      </c>
      <c r="BS253" s="539" t="s">
        <v>8052</v>
      </c>
      <c r="BT253" s="539">
        <f t="shared" si="146"/>
        <v>617</v>
      </c>
      <c r="BU253" s="539" cm="1">
        <f t="array" aca="1" ref="BU253" ca="1">INDIRECT($BM$2&amp;BU$7&amp;$BT253,1)</f>
        <v>0</v>
      </c>
      <c r="BV253" s="539" cm="1">
        <f t="array" aca="1" ref="BV253" ca="1">INDIRECT($BM$2&amp;BV$7&amp;$BT253,1)</f>
        <v>0</v>
      </c>
      <c r="BW253" s="539" cm="1">
        <f t="array" aca="1" ref="BW253" ca="1">INDIRECT($BM$2&amp;BW$7&amp;$BT253,1)</f>
        <v>0</v>
      </c>
      <c r="BX253" s="539" cm="1">
        <f t="array" aca="1" ref="BX253" ca="1">INDIRECT($BM$2&amp;BX$7&amp;$BT253,1)</f>
        <v>0</v>
      </c>
      <c r="BY253" s="539" cm="1">
        <f t="array" aca="1" ref="BY253" ca="1">INDIRECT($BM$2&amp;BY$7&amp;$BT253,1)</f>
        <v>0</v>
      </c>
      <c r="BZ253" s="539" t="str">
        <f t="shared" ca="1" si="147"/>
        <v>-</v>
      </c>
      <c r="CA253" s="494" t="s">
        <v>8222</v>
      </c>
      <c r="CC253" s="469">
        <v>4</v>
      </c>
      <c r="CD253" s="539" t="s">
        <v>8052</v>
      </c>
      <c r="CE253" s="539">
        <f t="shared" si="148"/>
        <v>963</v>
      </c>
      <c r="CF253" s="539" cm="1">
        <f t="array" aca="1" ref="CF253" ca="1">INDIRECT($BM$2&amp;CF$7&amp;$CE253,1)</f>
        <v>0</v>
      </c>
      <c r="CG253" s="539" cm="1">
        <f t="array" aca="1" ref="CG253" ca="1">INDIRECT($BM$2&amp;CG$7&amp;$CE253,1)</f>
        <v>0</v>
      </c>
      <c r="CH253" s="539" cm="1">
        <f t="array" aca="1" ref="CH253" ca="1">INDIRECT($BM$2&amp;CH$7&amp;$CE253,1)</f>
        <v>0</v>
      </c>
      <c r="CI253" s="539" cm="1">
        <f t="array" aca="1" ref="CI253" ca="1">INDIRECT($BM$2&amp;CI$7&amp;$CE253,1)</f>
        <v>0</v>
      </c>
      <c r="CJ253" s="539" cm="1">
        <f t="array" aca="1" ref="CJ253" ca="1">INDIRECT($BM$2&amp;CJ$7&amp;$CE253,1)</f>
        <v>0</v>
      </c>
      <c r="CK253" s="539" t="str">
        <f t="shared" ca="1" si="149"/>
        <v>-</v>
      </c>
      <c r="CL253" s="494" t="s">
        <v>8222</v>
      </c>
      <c r="CU253" s="469" t="s">
        <v>5510</v>
      </c>
      <c r="ES253" s="504"/>
      <c r="ET253" s="507"/>
      <c r="EU253" s="585"/>
    </row>
    <row r="254" spans="1:151" x14ac:dyDescent="0.25">
      <c r="A254" s="667">
        <f ca="1"/>
        <v>1</v>
      </c>
      <c r="B254" s="666" t="str">
        <f ca="1"/>
        <v>Acifluorfem-sódico</v>
      </c>
      <c r="H254" s="667">
        <f ca="1"/>
        <v>1</v>
      </c>
      <c r="I254" s="667" t="str">
        <f ca="1"/>
        <v>ACIDIFICANTE</v>
      </c>
      <c r="BF254" s="469" t="s">
        <v>5510</v>
      </c>
      <c r="BG254" s="469">
        <v>5</v>
      </c>
      <c r="BH254" s="539" t="s">
        <v>8052</v>
      </c>
      <c r="BI254" s="539">
        <f t="shared" si="144"/>
        <v>272</v>
      </c>
      <c r="BJ254" s="539" cm="1">
        <f t="array" aca="1" ref="BJ254" ca="1">INDIRECT($BM$2&amp;BJ$7&amp;$BI254,1)</f>
        <v>0</v>
      </c>
      <c r="BK254" s="539" cm="1">
        <f t="array" aca="1" ref="BK254" ca="1">INDIRECT($BM$2&amp;BK$7&amp;$BI254,1)</f>
        <v>0</v>
      </c>
      <c r="BL254" s="539" cm="1">
        <f t="array" aca="1" ref="BL254" ca="1">INDIRECT($BM$2&amp;BL$7&amp;$BI254,1)</f>
        <v>0</v>
      </c>
      <c r="BM254" s="539" cm="1">
        <f t="array" aca="1" ref="BM254" ca="1">INDIRECT($BM$2&amp;BM$7&amp;$BI254,1)</f>
        <v>0</v>
      </c>
      <c r="BN254" s="539" cm="1">
        <f t="array" aca="1" ref="BN254" ca="1">INDIRECT($BM$2&amp;BN$7&amp;$BI254,1)</f>
        <v>0</v>
      </c>
      <c r="BO254" s="539" t="str">
        <f t="shared" ca="1" si="145"/>
        <v>-</v>
      </c>
      <c r="BP254" s="494" t="s">
        <v>8222</v>
      </c>
      <c r="BQ254" s="20"/>
      <c r="BR254" s="469">
        <v>5</v>
      </c>
      <c r="BS254" s="539" t="s">
        <v>8052</v>
      </c>
      <c r="BT254" s="539">
        <f t="shared" si="146"/>
        <v>618</v>
      </c>
      <c r="BU254" s="539" cm="1">
        <f t="array" aca="1" ref="BU254" ca="1">INDIRECT($BM$2&amp;BU$7&amp;$BT254,1)</f>
        <v>0</v>
      </c>
      <c r="BV254" s="539" cm="1">
        <f t="array" aca="1" ref="BV254" ca="1">INDIRECT($BM$2&amp;BV$7&amp;$BT254,1)</f>
        <v>0</v>
      </c>
      <c r="BW254" s="539" cm="1">
        <f t="array" aca="1" ref="BW254" ca="1">INDIRECT($BM$2&amp;BW$7&amp;$BT254,1)</f>
        <v>0</v>
      </c>
      <c r="BX254" s="539" cm="1">
        <f t="array" aca="1" ref="BX254" ca="1">INDIRECT($BM$2&amp;BX$7&amp;$BT254,1)</f>
        <v>0</v>
      </c>
      <c r="BY254" s="539" cm="1">
        <f t="array" aca="1" ref="BY254" ca="1">INDIRECT($BM$2&amp;BY$7&amp;$BT254,1)</f>
        <v>0</v>
      </c>
      <c r="BZ254" s="539" t="str">
        <f t="shared" ca="1" si="147"/>
        <v>-</v>
      </c>
      <c r="CA254" s="494" t="s">
        <v>8222</v>
      </c>
      <c r="CC254" s="469">
        <v>5</v>
      </c>
      <c r="CD254" s="539" t="s">
        <v>8052</v>
      </c>
      <c r="CE254" s="539">
        <f t="shared" si="148"/>
        <v>964</v>
      </c>
      <c r="CF254" s="539" cm="1">
        <f t="array" aca="1" ref="CF254" ca="1">INDIRECT($BM$2&amp;CF$7&amp;$CE254,1)</f>
        <v>0</v>
      </c>
      <c r="CG254" s="539" cm="1">
        <f t="array" aca="1" ref="CG254" ca="1">INDIRECT($BM$2&amp;CG$7&amp;$CE254,1)</f>
        <v>0</v>
      </c>
      <c r="CH254" s="539" cm="1">
        <f t="array" aca="1" ref="CH254" ca="1">INDIRECT($BM$2&amp;CH$7&amp;$CE254,1)</f>
        <v>0</v>
      </c>
      <c r="CI254" s="539" cm="1">
        <f t="array" aca="1" ref="CI254" ca="1">INDIRECT($BM$2&amp;CI$7&amp;$CE254,1)</f>
        <v>0</v>
      </c>
      <c r="CJ254" s="539" cm="1">
        <f t="array" aca="1" ref="CJ254" ca="1">INDIRECT($BM$2&amp;CJ$7&amp;$CE254,1)</f>
        <v>0</v>
      </c>
      <c r="CK254" s="539" t="str">
        <f t="shared" ca="1" si="149"/>
        <v>-</v>
      </c>
      <c r="CL254" s="494" t="s">
        <v>8222</v>
      </c>
      <c r="CU254" s="469" t="s">
        <v>5510</v>
      </c>
      <c r="ES254" s="504"/>
      <c r="ET254" s="507"/>
      <c r="EU254" s="585"/>
    </row>
    <row r="255" spans="1:151" x14ac:dyDescent="0.25">
      <c r="A255" s="667">
        <f ca="1"/>
        <v>1</v>
      </c>
      <c r="B255" s="666" t="str">
        <f ca="1"/>
        <v>Alacloro</v>
      </c>
      <c r="H255" s="667">
        <f ca="1"/>
        <v>1</v>
      </c>
      <c r="I255" s="667" t="str">
        <f ca="1"/>
        <v>ADITIVO</v>
      </c>
      <c r="BF255" s="469" t="s">
        <v>5510</v>
      </c>
      <c r="BG255" s="469">
        <v>6</v>
      </c>
      <c r="BH255" s="539" t="s">
        <v>8052</v>
      </c>
      <c r="BI255" s="539">
        <f t="shared" si="144"/>
        <v>273</v>
      </c>
      <c r="BJ255" s="539" cm="1">
        <f t="array" aca="1" ref="BJ255" ca="1">INDIRECT($BM$2&amp;BJ$7&amp;$BI255,1)</f>
        <v>0</v>
      </c>
      <c r="BK255" s="539" cm="1">
        <f t="array" aca="1" ref="BK255" ca="1">INDIRECT($BM$2&amp;BK$7&amp;$BI255,1)</f>
        <v>0</v>
      </c>
      <c r="BL255" s="539" cm="1">
        <f t="array" aca="1" ref="BL255" ca="1">INDIRECT($BM$2&amp;BL$7&amp;$BI255,1)</f>
        <v>0</v>
      </c>
      <c r="BM255" s="539" cm="1">
        <f t="array" aca="1" ref="BM255" ca="1">INDIRECT($BM$2&amp;BM$7&amp;$BI255,1)</f>
        <v>0</v>
      </c>
      <c r="BN255" s="539" cm="1">
        <f t="array" aca="1" ref="BN255" ca="1">INDIRECT($BM$2&amp;BN$7&amp;$BI255,1)</f>
        <v>0</v>
      </c>
      <c r="BO255" s="539" t="str">
        <f t="shared" ca="1" si="145"/>
        <v>-</v>
      </c>
      <c r="BP255" s="494" t="s">
        <v>8222</v>
      </c>
      <c r="BQ255" s="20"/>
      <c r="BR255" s="469">
        <v>6</v>
      </c>
      <c r="BS255" s="539" t="s">
        <v>8052</v>
      </c>
      <c r="BT255" s="539">
        <f t="shared" si="146"/>
        <v>619</v>
      </c>
      <c r="BU255" s="539" cm="1">
        <f t="array" aca="1" ref="BU255" ca="1">INDIRECT($BM$2&amp;BU$7&amp;$BT255,1)</f>
        <v>0</v>
      </c>
      <c r="BV255" s="539" cm="1">
        <f t="array" aca="1" ref="BV255" ca="1">INDIRECT($BM$2&amp;BV$7&amp;$BT255,1)</f>
        <v>0</v>
      </c>
      <c r="BW255" s="539" cm="1">
        <f t="array" aca="1" ref="BW255" ca="1">INDIRECT($BM$2&amp;BW$7&amp;$BT255,1)</f>
        <v>0</v>
      </c>
      <c r="BX255" s="539" cm="1">
        <f t="array" aca="1" ref="BX255" ca="1">INDIRECT($BM$2&amp;BX$7&amp;$BT255,1)</f>
        <v>0</v>
      </c>
      <c r="BY255" s="539" cm="1">
        <f t="array" aca="1" ref="BY255" ca="1">INDIRECT($BM$2&amp;BY$7&amp;$BT255,1)</f>
        <v>0</v>
      </c>
      <c r="BZ255" s="539" t="str">
        <f t="shared" ca="1" si="147"/>
        <v>-</v>
      </c>
      <c r="CA255" s="494" t="s">
        <v>8222</v>
      </c>
      <c r="CC255" s="469">
        <v>6</v>
      </c>
      <c r="CD255" s="539" t="s">
        <v>8052</v>
      </c>
      <c r="CE255" s="539">
        <f t="shared" si="148"/>
        <v>965</v>
      </c>
      <c r="CF255" s="539" cm="1">
        <f t="array" aca="1" ref="CF255" ca="1">INDIRECT($BM$2&amp;CF$7&amp;$CE255,1)</f>
        <v>0</v>
      </c>
      <c r="CG255" s="539" cm="1">
        <f t="array" aca="1" ref="CG255" ca="1">INDIRECT($BM$2&amp;CG$7&amp;$CE255,1)</f>
        <v>0</v>
      </c>
      <c r="CH255" s="539" cm="1">
        <f t="array" aca="1" ref="CH255" ca="1">INDIRECT($BM$2&amp;CH$7&amp;$CE255,1)</f>
        <v>0</v>
      </c>
      <c r="CI255" s="539" cm="1">
        <f t="array" aca="1" ref="CI255" ca="1">INDIRECT($BM$2&amp;CI$7&amp;$CE255,1)</f>
        <v>0</v>
      </c>
      <c r="CJ255" s="539" cm="1">
        <f t="array" aca="1" ref="CJ255" ca="1">INDIRECT($BM$2&amp;CJ$7&amp;$CE255,1)</f>
        <v>0</v>
      </c>
      <c r="CK255" s="539" t="str">
        <f t="shared" ca="1" si="149"/>
        <v>-</v>
      </c>
      <c r="CL255" s="494" t="s">
        <v>8222</v>
      </c>
      <c r="CU255" s="469" t="s">
        <v>5510</v>
      </c>
      <c r="ES255" s="504"/>
      <c r="ET255" s="507"/>
      <c r="EU255" s="585"/>
    </row>
    <row r="256" spans="1:151" x14ac:dyDescent="0.25">
      <c r="A256" s="667">
        <f ca="1"/>
        <v>1</v>
      </c>
      <c r="B256" s="666" t="str">
        <f ca="1"/>
        <v>Aldicarbe</v>
      </c>
      <c r="H256" s="667">
        <f ca="1"/>
        <v>1</v>
      </c>
      <c r="I256" s="667" t="str">
        <f ca="1"/>
        <v>ADJUVANTE</v>
      </c>
      <c r="BF256" s="469" t="s">
        <v>5510</v>
      </c>
      <c r="BG256" s="469">
        <v>7</v>
      </c>
      <c r="BH256" s="539" t="s">
        <v>8052</v>
      </c>
      <c r="BI256" s="539">
        <f t="shared" si="144"/>
        <v>274</v>
      </c>
      <c r="BJ256" s="539" cm="1">
        <f t="array" aca="1" ref="BJ256" ca="1">INDIRECT($BM$2&amp;BJ$7&amp;$BI256,1)</f>
        <v>0</v>
      </c>
      <c r="BK256" s="539" cm="1">
        <f t="array" aca="1" ref="BK256" ca="1">INDIRECT($BM$2&amp;BK$7&amp;$BI256,1)</f>
        <v>0</v>
      </c>
      <c r="BL256" s="539" cm="1">
        <f t="array" aca="1" ref="BL256" ca="1">INDIRECT($BM$2&amp;BL$7&amp;$BI256,1)</f>
        <v>0</v>
      </c>
      <c r="BM256" s="539" cm="1">
        <f t="array" aca="1" ref="BM256" ca="1">INDIRECT($BM$2&amp;BM$7&amp;$BI256,1)</f>
        <v>0</v>
      </c>
      <c r="BN256" s="539" cm="1">
        <f t="array" aca="1" ref="BN256" ca="1">INDIRECT($BM$2&amp;BN$7&amp;$BI256,1)</f>
        <v>0</v>
      </c>
      <c r="BO256" s="539" t="str">
        <f t="shared" ca="1" si="145"/>
        <v>-</v>
      </c>
      <c r="BP256" s="494" t="s">
        <v>8222</v>
      </c>
      <c r="BQ256" s="20"/>
      <c r="BR256" s="469">
        <v>7</v>
      </c>
      <c r="BS256" s="539" t="s">
        <v>8052</v>
      </c>
      <c r="BT256" s="539">
        <f t="shared" si="146"/>
        <v>620</v>
      </c>
      <c r="BU256" s="539" cm="1">
        <f t="array" aca="1" ref="BU256" ca="1">INDIRECT($BM$2&amp;BU$7&amp;$BT256,1)</f>
        <v>0</v>
      </c>
      <c r="BV256" s="539" cm="1">
        <f t="array" aca="1" ref="BV256" ca="1">INDIRECT($BM$2&amp;BV$7&amp;$BT256,1)</f>
        <v>0</v>
      </c>
      <c r="BW256" s="539" cm="1">
        <f t="array" aca="1" ref="BW256" ca="1">INDIRECT($BM$2&amp;BW$7&amp;$BT256,1)</f>
        <v>0</v>
      </c>
      <c r="BX256" s="539" cm="1">
        <f t="array" aca="1" ref="BX256" ca="1">INDIRECT($BM$2&amp;BX$7&amp;$BT256,1)</f>
        <v>0</v>
      </c>
      <c r="BY256" s="539" cm="1">
        <f t="array" aca="1" ref="BY256" ca="1">INDIRECT($BM$2&amp;BY$7&amp;$BT256,1)</f>
        <v>0</v>
      </c>
      <c r="BZ256" s="539" t="str">
        <f t="shared" ca="1" si="147"/>
        <v>-</v>
      </c>
      <c r="CA256" s="494" t="s">
        <v>8222</v>
      </c>
      <c r="CC256" s="469">
        <v>7</v>
      </c>
      <c r="CD256" s="539" t="s">
        <v>8052</v>
      </c>
      <c r="CE256" s="539">
        <f t="shared" si="148"/>
        <v>966</v>
      </c>
      <c r="CF256" s="539" cm="1">
        <f t="array" aca="1" ref="CF256" ca="1">INDIRECT($BM$2&amp;CF$7&amp;$CE256,1)</f>
        <v>0</v>
      </c>
      <c r="CG256" s="539" cm="1">
        <f t="array" aca="1" ref="CG256" ca="1">INDIRECT($BM$2&amp;CG$7&amp;$CE256,1)</f>
        <v>0</v>
      </c>
      <c r="CH256" s="539" cm="1">
        <f t="array" aca="1" ref="CH256" ca="1">INDIRECT($BM$2&amp;CH$7&amp;$CE256,1)</f>
        <v>0</v>
      </c>
      <c r="CI256" s="539" cm="1">
        <f t="array" aca="1" ref="CI256" ca="1">INDIRECT($BM$2&amp;CI$7&amp;$CE256,1)</f>
        <v>0</v>
      </c>
      <c r="CJ256" s="539" cm="1">
        <f t="array" aca="1" ref="CJ256" ca="1">INDIRECT($BM$2&amp;CJ$7&amp;$CE256,1)</f>
        <v>0</v>
      </c>
      <c r="CK256" s="539" t="str">
        <f t="shared" ca="1" si="149"/>
        <v>-</v>
      </c>
      <c r="CL256" s="494" t="s">
        <v>8222</v>
      </c>
      <c r="CU256" s="469" t="s">
        <v>5510</v>
      </c>
      <c r="ES256" s="504"/>
      <c r="ET256" s="507"/>
      <c r="EU256" s="585"/>
    </row>
    <row r="257" spans="1:151" x14ac:dyDescent="0.25">
      <c r="A257" s="667">
        <f ca="1"/>
        <v>1</v>
      </c>
      <c r="B257" s="666" t="str">
        <f ca="1"/>
        <v>Aletrina</v>
      </c>
      <c r="H257" s="667">
        <f ca="1"/>
        <v>1</v>
      </c>
      <c r="I257" s="667" t="str">
        <f ca="1"/>
        <v>AGENTE DE ENCAPSULAMENTO</v>
      </c>
      <c r="BF257" s="469" t="s">
        <v>5510</v>
      </c>
      <c r="BG257" s="469">
        <v>8</v>
      </c>
      <c r="BH257" s="539" t="s">
        <v>8052</v>
      </c>
      <c r="BI257" s="539">
        <f t="shared" si="144"/>
        <v>275</v>
      </c>
      <c r="BJ257" s="539" cm="1">
        <f t="array" aca="1" ref="BJ257" ca="1">INDIRECT($BM$2&amp;BJ$7&amp;$BI257,1)</f>
        <v>0</v>
      </c>
      <c r="BK257" s="539" cm="1">
        <f t="array" aca="1" ref="BK257" ca="1">INDIRECT($BM$2&amp;BK$7&amp;$BI257,1)</f>
        <v>0</v>
      </c>
      <c r="BL257" s="539" cm="1">
        <f t="array" aca="1" ref="BL257" ca="1">INDIRECT($BM$2&amp;BL$7&amp;$BI257,1)</f>
        <v>0</v>
      </c>
      <c r="BM257" s="539" cm="1">
        <f t="array" aca="1" ref="BM257" ca="1">INDIRECT($BM$2&amp;BM$7&amp;$BI257,1)</f>
        <v>0</v>
      </c>
      <c r="BN257" s="539" cm="1">
        <f t="array" aca="1" ref="BN257" ca="1">INDIRECT($BM$2&amp;BN$7&amp;$BI257,1)</f>
        <v>0</v>
      </c>
      <c r="BO257" s="539" t="str">
        <f t="shared" ca="1" si="145"/>
        <v>-</v>
      </c>
      <c r="BP257" s="494" t="s">
        <v>8222</v>
      </c>
      <c r="BQ257" s="20"/>
      <c r="BR257" s="469">
        <v>8</v>
      </c>
      <c r="BS257" s="539" t="s">
        <v>8052</v>
      </c>
      <c r="BT257" s="539">
        <f t="shared" si="146"/>
        <v>621</v>
      </c>
      <c r="BU257" s="539" cm="1">
        <f t="array" aca="1" ref="BU257" ca="1">INDIRECT($BM$2&amp;BU$7&amp;$BT257,1)</f>
        <v>0</v>
      </c>
      <c r="BV257" s="539" cm="1">
        <f t="array" aca="1" ref="BV257" ca="1">INDIRECT($BM$2&amp;BV$7&amp;$BT257,1)</f>
        <v>0</v>
      </c>
      <c r="BW257" s="539" cm="1">
        <f t="array" aca="1" ref="BW257" ca="1">INDIRECT($BM$2&amp;BW$7&amp;$BT257,1)</f>
        <v>0</v>
      </c>
      <c r="BX257" s="539" cm="1">
        <f t="array" aca="1" ref="BX257" ca="1">INDIRECT($BM$2&amp;BX$7&amp;$BT257,1)</f>
        <v>0</v>
      </c>
      <c r="BY257" s="539" cm="1">
        <f t="array" aca="1" ref="BY257" ca="1">INDIRECT($BM$2&amp;BY$7&amp;$BT257,1)</f>
        <v>0</v>
      </c>
      <c r="BZ257" s="539" t="str">
        <f t="shared" ca="1" si="147"/>
        <v>-</v>
      </c>
      <c r="CA257" s="494" t="s">
        <v>8222</v>
      </c>
      <c r="CC257" s="469">
        <v>8</v>
      </c>
      <c r="CD257" s="539" t="s">
        <v>8052</v>
      </c>
      <c r="CE257" s="539">
        <f t="shared" si="148"/>
        <v>967</v>
      </c>
      <c r="CF257" s="539" cm="1">
        <f t="array" aca="1" ref="CF257" ca="1">INDIRECT($BM$2&amp;CF$7&amp;$CE257,1)</f>
        <v>0</v>
      </c>
      <c r="CG257" s="539" cm="1">
        <f t="array" aca="1" ref="CG257" ca="1">INDIRECT($BM$2&amp;CG$7&amp;$CE257,1)</f>
        <v>0</v>
      </c>
      <c r="CH257" s="539" cm="1">
        <f t="array" aca="1" ref="CH257" ca="1">INDIRECT($BM$2&amp;CH$7&amp;$CE257,1)</f>
        <v>0</v>
      </c>
      <c r="CI257" s="539" cm="1">
        <f t="array" aca="1" ref="CI257" ca="1">INDIRECT($BM$2&amp;CI$7&amp;$CE257,1)</f>
        <v>0</v>
      </c>
      <c r="CJ257" s="539" cm="1">
        <f t="array" aca="1" ref="CJ257" ca="1">INDIRECT($BM$2&amp;CJ$7&amp;$CE257,1)</f>
        <v>0</v>
      </c>
      <c r="CK257" s="539" t="str">
        <f t="shared" ca="1" si="149"/>
        <v>-</v>
      </c>
      <c r="CL257" s="494" t="s">
        <v>8222</v>
      </c>
      <c r="CU257" s="469" t="s">
        <v>5510</v>
      </c>
      <c r="ES257" s="504"/>
      <c r="ET257" s="507"/>
      <c r="EU257" s="585"/>
    </row>
    <row r="258" spans="1:151" x14ac:dyDescent="0.25">
      <c r="A258" s="667">
        <f ca="1"/>
        <v>1</v>
      </c>
      <c r="B258" s="666" t="str">
        <f ca="1"/>
        <v>Ametrina</v>
      </c>
      <c r="H258" s="667">
        <f ca="1"/>
        <v>1</v>
      </c>
      <c r="I258" s="667" t="str">
        <f ca="1"/>
        <v>AGENTE DE VISCOSIDADE</v>
      </c>
      <c r="BF258" s="469" t="s">
        <v>5510</v>
      </c>
      <c r="BG258" s="469">
        <v>9</v>
      </c>
      <c r="BH258" s="539" t="s">
        <v>8052</v>
      </c>
      <c r="BI258" s="539">
        <f t="shared" si="144"/>
        <v>276</v>
      </c>
      <c r="BJ258" s="539" cm="1">
        <f t="array" aca="1" ref="BJ258" ca="1">INDIRECT($BM$2&amp;BJ$7&amp;$BI258,1)</f>
        <v>0</v>
      </c>
      <c r="BK258" s="539" cm="1">
        <f t="array" aca="1" ref="BK258" ca="1">INDIRECT($BM$2&amp;BK$7&amp;$BI258,1)</f>
        <v>0</v>
      </c>
      <c r="BL258" s="539" cm="1">
        <f t="array" aca="1" ref="BL258" ca="1">INDIRECT($BM$2&amp;BL$7&amp;$BI258,1)</f>
        <v>0</v>
      </c>
      <c r="BM258" s="539" cm="1">
        <f t="array" aca="1" ref="BM258" ca="1">INDIRECT($BM$2&amp;BM$7&amp;$BI258,1)</f>
        <v>0</v>
      </c>
      <c r="BN258" s="539" cm="1">
        <f t="array" aca="1" ref="BN258" ca="1">INDIRECT($BM$2&amp;BN$7&amp;$BI258,1)</f>
        <v>0</v>
      </c>
      <c r="BO258" s="539" t="str">
        <f t="shared" ca="1" si="145"/>
        <v>-</v>
      </c>
      <c r="BP258" s="494" t="s">
        <v>8222</v>
      </c>
      <c r="BQ258" s="20"/>
      <c r="BR258" s="469">
        <v>9</v>
      </c>
      <c r="BS258" s="539" t="s">
        <v>8052</v>
      </c>
      <c r="BT258" s="539">
        <f t="shared" si="146"/>
        <v>622</v>
      </c>
      <c r="BU258" s="539" cm="1">
        <f t="array" aca="1" ref="BU258" ca="1">INDIRECT($BM$2&amp;BU$7&amp;$BT258,1)</f>
        <v>0</v>
      </c>
      <c r="BV258" s="539" cm="1">
        <f t="array" aca="1" ref="BV258" ca="1">INDIRECT($BM$2&amp;BV$7&amp;$BT258,1)</f>
        <v>0</v>
      </c>
      <c r="BW258" s="539" cm="1">
        <f t="array" aca="1" ref="BW258" ca="1">INDIRECT($BM$2&amp;BW$7&amp;$BT258,1)</f>
        <v>0</v>
      </c>
      <c r="BX258" s="539" cm="1">
        <f t="array" aca="1" ref="BX258" ca="1">INDIRECT($BM$2&amp;BX$7&amp;$BT258,1)</f>
        <v>0</v>
      </c>
      <c r="BY258" s="539" cm="1">
        <f t="array" aca="1" ref="BY258" ca="1">INDIRECT($BM$2&amp;BY$7&amp;$BT258,1)</f>
        <v>0</v>
      </c>
      <c r="BZ258" s="539" t="str">
        <f t="shared" ca="1" si="147"/>
        <v>-</v>
      </c>
      <c r="CA258" s="494" t="s">
        <v>8222</v>
      </c>
      <c r="CC258" s="469">
        <v>9</v>
      </c>
      <c r="CD258" s="539" t="s">
        <v>8052</v>
      </c>
      <c r="CE258" s="539">
        <f t="shared" si="148"/>
        <v>968</v>
      </c>
      <c r="CF258" s="539" cm="1">
        <f t="array" aca="1" ref="CF258" ca="1">INDIRECT($BM$2&amp;CF$7&amp;$CE258,1)</f>
        <v>0</v>
      </c>
      <c r="CG258" s="539" cm="1">
        <f t="array" aca="1" ref="CG258" ca="1">INDIRECT($BM$2&amp;CG$7&amp;$CE258,1)</f>
        <v>0</v>
      </c>
      <c r="CH258" s="539" cm="1">
        <f t="array" aca="1" ref="CH258" ca="1">INDIRECT($BM$2&amp;CH$7&amp;$CE258,1)</f>
        <v>0</v>
      </c>
      <c r="CI258" s="539" cm="1">
        <f t="array" aca="1" ref="CI258" ca="1">INDIRECT($BM$2&amp;CI$7&amp;$CE258,1)</f>
        <v>0</v>
      </c>
      <c r="CJ258" s="539" cm="1">
        <f t="array" aca="1" ref="CJ258" ca="1">INDIRECT($BM$2&amp;CJ$7&amp;$CE258,1)</f>
        <v>0</v>
      </c>
      <c r="CK258" s="539" t="str">
        <f t="shared" ca="1" si="149"/>
        <v>-</v>
      </c>
      <c r="CL258" s="494" t="s">
        <v>8222</v>
      </c>
      <c r="CU258" s="469" t="s">
        <v>5510</v>
      </c>
      <c r="ES258" s="504"/>
      <c r="ET258" s="507"/>
      <c r="EU258" s="585"/>
    </row>
    <row r="259" spans="1:151" x14ac:dyDescent="0.25">
      <c r="A259" s="667">
        <f ca="1"/>
        <v>1</v>
      </c>
      <c r="B259" s="666" t="str">
        <f ca="1"/>
        <v>Asulam</v>
      </c>
      <c r="H259" s="667">
        <f ca="1"/>
        <v>1</v>
      </c>
      <c r="I259" s="667" t="str">
        <f ca="1"/>
        <v>AGENTE SUSPENSOR</v>
      </c>
      <c r="BF259" s="469" t="s">
        <v>5510</v>
      </c>
      <c r="BG259" s="469">
        <v>10</v>
      </c>
      <c r="BH259" s="539" t="s">
        <v>8052</v>
      </c>
      <c r="BI259" s="539">
        <f t="shared" si="144"/>
        <v>277</v>
      </c>
      <c r="BJ259" s="539" cm="1">
        <f t="array" aca="1" ref="BJ259" ca="1">INDIRECT($BM$2&amp;BJ$7&amp;$BI259,1)</f>
        <v>0</v>
      </c>
      <c r="BK259" s="539" cm="1">
        <f t="array" aca="1" ref="BK259" ca="1">INDIRECT($BM$2&amp;BK$7&amp;$BI259,1)</f>
        <v>0</v>
      </c>
      <c r="BL259" s="539" cm="1">
        <f t="array" aca="1" ref="BL259" ca="1">INDIRECT($BM$2&amp;BL$7&amp;$BI259,1)</f>
        <v>0</v>
      </c>
      <c r="BM259" s="539" cm="1">
        <f t="array" aca="1" ref="BM259" ca="1">INDIRECT($BM$2&amp;BM$7&amp;$BI259,1)</f>
        <v>0</v>
      </c>
      <c r="BN259" s="539" cm="1">
        <f t="array" aca="1" ref="BN259" ca="1">INDIRECT($BM$2&amp;BN$7&amp;$BI259,1)</f>
        <v>0</v>
      </c>
      <c r="BO259" s="539" t="str">
        <f t="shared" ca="1" si="145"/>
        <v>-</v>
      </c>
      <c r="BP259" s="494" t="s">
        <v>8222</v>
      </c>
      <c r="BQ259" s="20"/>
      <c r="BR259" s="469">
        <v>10</v>
      </c>
      <c r="BS259" s="539" t="s">
        <v>8052</v>
      </c>
      <c r="BT259" s="539">
        <f t="shared" si="146"/>
        <v>623</v>
      </c>
      <c r="BU259" s="539" cm="1">
        <f t="array" aca="1" ref="BU259" ca="1">INDIRECT($BM$2&amp;BU$7&amp;$BT259,1)</f>
        <v>0</v>
      </c>
      <c r="BV259" s="539" cm="1">
        <f t="array" aca="1" ref="BV259" ca="1">INDIRECT($BM$2&amp;BV$7&amp;$BT259,1)</f>
        <v>0</v>
      </c>
      <c r="BW259" s="539" cm="1">
        <f t="array" aca="1" ref="BW259" ca="1">INDIRECT($BM$2&amp;BW$7&amp;$BT259,1)</f>
        <v>0</v>
      </c>
      <c r="BX259" s="539" cm="1">
        <f t="array" aca="1" ref="BX259" ca="1">INDIRECT($BM$2&amp;BX$7&amp;$BT259,1)</f>
        <v>0</v>
      </c>
      <c r="BY259" s="539" cm="1">
        <f t="array" aca="1" ref="BY259" ca="1">INDIRECT($BM$2&amp;BY$7&amp;$BT259,1)</f>
        <v>0</v>
      </c>
      <c r="BZ259" s="539" t="str">
        <f t="shared" ca="1" si="147"/>
        <v>-</v>
      </c>
      <c r="CA259" s="494" t="s">
        <v>8222</v>
      </c>
      <c r="CC259" s="469">
        <v>10</v>
      </c>
      <c r="CD259" s="539" t="s">
        <v>8052</v>
      </c>
      <c r="CE259" s="539">
        <f t="shared" si="148"/>
        <v>969</v>
      </c>
      <c r="CF259" s="539" cm="1">
        <f t="array" aca="1" ref="CF259" ca="1">INDIRECT($BM$2&amp;CF$7&amp;$CE259,1)</f>
        <v>0</v>
      </c>
      <c r="CG259" s="539" cm="1">
        <f t="array" aca="1" ref="CG259" ca="1">INDIRECT($BM$2&amp;CG$7&amp;$CE259,1)</f>
        <v>0</v>
      </c>
      <c r="CH259" s="539" cm="1">
        <f t="array" aca="1" ref="CH259" ca="1">INDIRECT($BM$2&amp;CH$7&amp;$CE259,1)</f>
        <v>0</v>
      </c>
      <c r="CI259" s="539" cm="1">
        <f t="array" aca="1" ref="CI259" ca="1">INDIRECT($BM$2&amp;CI$7&amp;$CE259,1)</f>
        <v>0</v>
      </c>
      <c r="CJ259" s="539" cm="1">
        <f t="array" aca="1" ref="CJ259" ca="1">INDIRECT($BM$2&amp;CJ$7&amp;$CE259,1)</f>
        <v>0</v>
      </c>
      <c r="CK259" s="539" t="str">
        <f t="shared" ca="1" si="149"/>
        <v>-</v>
      </c>
      <c r="CL259" s="494" t="s">
        <v>8222</v>
      </c>
      <c r="CU259" s="469" t="s">
        <v>5510</v>
      </c>
      <c r="ES259" s="504"/>
      <c r="ET259" s="507"/>
      <c r="EU259" s="585"/>
    </row>
    <row r="260" spans="1:151" x14ac:dyDescent="0.25">
      <c r="A260" s="667">
        <f ca="1"/>
        <v>1</v>
      </c>
      <c r="B260" s="666" t="str">
        <f ca="1"/>
        <v>Atrazina</v>
      </c>
      <c r="H260" s="667">
        <f ca="1"/>
        <v>1</v>
      </c>
      <c r="I260" s="667" t="str">
        <f ca="1"/>
        <v>AGLUTINANTE</v>
      </c>
      <c r="BF260" s="469" t="s">
        <v>5510</v>
      </c>
      <c r="BG260" s="469">
        <v>11</v>
      </c>
      <c r="BH260" s="539" t="s">
        <v>8052</v>
      </c>
      <c r="BI260" s="539">
        <f t="shared" si="144"/>
        <v>278</v>
      </c>
      <c r="BJ260" s="539" cm="1">
        <f t="array" aca="1" ref="BJ260" ca="1">INDIRECT($BM$2&amp;BJ$7&amp;$BI260,1)</f>
        <v>0</v>
      </c>
      <c r="BK260" s="539" cm="1">
        <f t="array" aca="1" ref="BK260" ca="1">INDIRECT($BM$2&amp;BK$7&amp;$BI260,1)</f>
        <v>0</v>
      </c>
      <c r="BL260" s="539" cm="1">
        <f t="array" aca="1" ref="BL260" ca="1">INDIRECT($BM$2&amp;BL$7&amp;$BI260,1)</f>
        <v>0</v>
      </c>
      <c r="BM260" s="539" cm="1">
        <f t="array" aca="1" ref="BM260" ca="1">INDIRECT($BM$2&amp;BM$7&amp;$BI260,1)</f>
        <v>0</v>
      </c>
      <c r="BN260" s="539" cm="1">
        <f t="array" aca="1" ref="BN260" ca="1">INDIRECT($BM$2&amp;BN$7&amp;$BI260,1)</f>
        <v>0</v>
      </c>
      <c r="BO260" s="539" t="str">
        <f t="shared" ca="1" si="145"/>
        <v>-</v>
      </c>
      <c r="BP260" s="494" t="s">
        <v>8222</v>
      </c>
      <c r="BQ260" s="20"/>
      <c r="BR260" s="469">
        <v>11</v>
      </c>
      <c r="BS260" s="539" t="s">
        <v>8052</v>
      </c>
      <c r="BT260" s="539">
        <f t="shared" si="146"/>
        <v>624</v>
      </c>
      <c r="BU260" s="539" cm="1">
        <f t="array" aca="1" ref="BU260" ca="1">INDIRECT($BM$2&amp;BU$7&amp;$BT260,1)</f>
        <v>0</v>
      </c>
      <c r="BV260" s="539" cm="1">
        <f t="array" aca="1" ref="BV260" ca="1">INDIRECT($BM$2&amp;BV$7&amp;$BT260,1)</f>
        <v>0</v>
      </c>
      <c r="BW260" s="539" cm="1">
        <f t="array" aca="1" ref="BW260" ca="1">INDIRECT($BM$2&amp;BW$7&amp;$BT260,1)</f>
        <v>0</v>
      </c>
      <c r="BX260" s="539" cm="1">
        <f t="array" aca="1" ref="BX260" ca="1">INDIRECT($BM$2&amp;BX$7&amp;$BT260,1)</f>
        <v>0</v>
      </c>
      <c r="BY260" s="539" cm="1">
        <f t="array" aca="1" ref="BY260" ca="1">INDIRECT($BM$2&amp;BY$7&amp;$BT260,1)</f>
        <v>0</v>
      </c>
      <c r="BZ260" s="539" t="str">
        <f t="shared" ca="1" si="147"/>
        <v>-</v>
      </c>
      <c r="CA260" s="494" t="s">
        <v>8222</v>
      </c>
      <c r="CC260" s="469">
        <v>11</v>
      </c>
      <c r="CD260" s="539" t="s">
        <v>8052</v>
      </c>
      <c r="CE260" s="539">
        <f t="shared" si="148"/>
        <v>970</v>
      </c>
      <c r="CF260" s="539" cm="1">
        <f t="array" aca="1" ref="CF260" ca="1">INDIRECT($BM$2&amp;CF$7&amp;$CE260,1)</f>
        <v>0</v>
      </c>
      <c r="CG260" s="539" cm="1">
        <f t="array" aca="1" ref="CG260" ca="1">INDIRECT($BM$2&amp;CG$7&amp;$CE260,1)</f>
        <v>0</v>
      </c>
      <c r="CH260" s="539" cm="1">
        <f t="array" aca="1" ref="CH260" ca="1">INDIRECT($BM$2&amp;CH$7&amp;$CE260,1)</f>
        <v>0</v>
      </c>
      <c r="CI260" s="539" cm="1">
        <f t="array" aca="1" ref="CI260" ca="1">INDIRECT($BM$2&amp;CI$7&amp;$CE260,1)</f>
        <v>0</v>
      </c>
      <c r="CJ260" s="539" cm="1">
        <f t="array" aca="1" ref="CJ260" ca="1">INDIRECT($BM$2&amp;CJ$7&amp;$CE260,1)</f>
        <v>0</v>
      </c>
      <c r="CK260" s="539" t="str">
        <f t="shared" ca="1" si="149"/>
        <v>-</v>
      </c>
      <c r="CL260" s="494" t="s">
        <v>8222</v>
      </c>
      <c r="CU260" s="469" t="s">
        <v>5510</v>
      </c>
      <c r="ES260" s="504"/>
      <c r="ET260" s="507"/>
      <c r="EU260" s="585"/>
    </row>
    <row r="261" spans="1:151" x14ac:dyDescent="0.25">
      <c r="A261" s="667">
        <f ca="1"/>
        <v>1</v>
      </c>
      <c r="B261" s="666" t="str">
        <f ca="1"/>
        <v>Anilazina</v>
      </c>
      <c r="H261" s="667">
        <f ca="1"/>
        <v>1</v>
      </c>
      <c r="I261" s="667" t="str">
        <f ca="1"/>
        <v>ALCALINIZANTE</v>
      </c>
      <c r="BF261" s="469" t="s">
        <v>5510</v>
      </c>
      <c r="BG261" s="469">
        <v>12</v>
      </c>
      <c r="BH261" s="539" t="s">
        <v>8052</v>
      </c>
      <c r="BI261" s="539">
        <f t="shared" si="144"/>
        <v>279</v>
      </c>
      <c r="BJ261" s="539" cm="1">
        <f t="array" aca="1" ref="BJ261" ca="1">INDIRECT($BM$2&amp;BJ$7&amp;$BI261,1)</f>
        <v>0</v>
      </c>
      <c r="BK261" s="539" cm="1">
        <f t="array" aca="1" ref="BK261" ca="1">INDIRECT($BM$2&amp;BK$7&amp;$BI261,1)</f>
        <v>0</v>
      </c>
      <c r="BL261" s="539" cm="1">
        <f t="array" aca="1" ref="BL261" ca="1">INDIRECT($BM$2&amp;BL$7&amp;$BI261,1)</f>
        <v>0</v>
      </c>
      <c r="BM261" s="539" cm="1">
        <f t="array" aca="1" ref="BM261" ca="1">INDIRECT($BM$2&amp;BM$7&amp;$BI261,1)</f>
        <v>0</v>
      </c>
      <c r="BN261" s="539" t="str" cm="1">
        <f t="array" aca="1" ref="BN261" ca="1">INDIRECT($BM$2&amp;BN$7&amp;$BI261,1)</f>
        <v>-</v>
      </c>
      <c r="BO261" s="539" t="str">
        <f t="shared" ca="1" si="145"/>
        <v>-</v>
      </c>
      <c r="BP261" s="561" t="s">
        <v>8223</v>
      </c>
      <c r="BQ261" s="20"/>
      <c r="BR261" s="469">
        <v>12</v>
      </c>
      <c r="BS261" s="539" t="s">
        <v>8052</v>
      </c>
      <c r="BT261" s="539">
        <f t="shared" si="146"/>
        <v>625</v>
      </c>
      <c r="BU261" s="539" cm="1">
        <f t="array" aca="1" ref="BU261" ca="1">INDIRECT($BM$2&amp;BU$7&amp;$BT261,1)</f>
        <v>0</v>
      </c>
      <c r="BV261" s="539" cm="1">
        <f t="array" aca="1" ref="BV261" ca="1">INDIRECT($BM$2&amp;BV$7&amp;$BT261,1)</f>
        <v>0</v>
      </c>
      <c r="BW261" s="539" cm="1">
        <f t="array" aca="1" ref="BW261" ca="1">INDIRECT($BM$2&amp;BW$7&amp;$BT261,1)</f>
        <v>0</v>
      </c>
      <c r="BX261" s="539" cm="1">
        <f t="array" aca="1" ref="BX261" ca="1">INDIRECT($BM$2&amp;BX$7&amp;$BT261,1)</f>
        <v>0</v>
      </c>
      <c r="BY261" s="539" t="str" cm="1">
        <f t="array" aca="1" ref="BY261" ca="1">INDIRECT($BM$2&amp;BY$7&amp;$BT261,1)</f>
        <v>-</v>
      </c>
      <c r="BZ261" s="539" t="str">
        <f t="shared" ca="1" si="147"/>
        <v>-</v>
      </c>
      <c r="CA261" s="561" t="s">
        <v>8223</v>
      </c>
      <c r="CC261" s="469">
        <v>12</v>
      </c>
      <c r="CD261" s="539" t="s">
        <v>8052</v>
      </c>
      <c r="CE261" s="539">
        <f t="shared" si="148"/>
        <v>971</v>
      </c>
      <c r="CF261" s="539" cm="1">
        <f t="array" aca="1" ref="CF261" ca="1">INDIRECT($BM$2&amp;CF$7&amp;$CE261,1)</f>
        <v>0</v>
      </c>
      <c r="CG261" s="539" cm="1">
        <f t="array" aca="1" ref="CG261" ca="1">INDIRECT($BM$2&amp;CG$7&amp;$CE261,1)</f>
        <v>0</v>
      </c>
      <c r="CH261" s="539" cm="1">
        <f t="array" aca="1" ref="CH261" ca="1">INDIRECT($BM$2&amp;CH$7&amp;$CE261,1)</f>
        <v>0</v>
      </c>
      <c r="CI261" s="539" cm="1">
        <f t="array" aca="1" ref="CI261" ca="1">INDIRECT($BM$2&amp;CI$7&amp;$CE261,1)</f>
        <v>0</v>
      </c>
      <c r="CJ261" s="539" t="str" cm="1">
        <f t="array" aca="1" ref="CJ261" ca="1">INDIRECT($BM$2&amp;CJ$7&amp;$CE261,1)</f>
        <v>-</v>
      </c>
      <c r="CK261" s="539" t="str">
        <f t="shared" ca="1" si="149"/>
        <v>-</v>
      </c>
      <c r="CL261" s="561" t="s">
        <v>8223</v>
      </c>
      <c r="CU261" s="469" t="s">
        <v>5510</v>
      </c>
      <c r="ES261" s="504"/>
      <c r="ET261" s="507"/>
      <c r="EU261" s="585"/>
    </row>
    <row r="262" spans="1:151" x14ac:dyDescent="0.25">
      <c r="A262" s="667">
        <f ca="1"/>
        <v>1</v>
      </c>
      <c r="B262" s="666" t="str">
        <f ca="1"/>
        <v>Ácido bórico</v>
      </c>
      <c r="H262" s="667">
        <f ca="1"/>
        <v>1</v>
      </c>
      <c r="I262" s="667" t="str">
        <f ca="1"/>
        <v>ANTIAGLUTINANTE</v>
      </c>
      <c r="BF262" s="469" t="s">
        <v>5510</v>
      </c>
      <c r="BL262" s="372"/>
      <c r="BO262" s="472"/>
      <c r="BQ262" s="20"/>
      <c r="BT262" s="372"/>
      <c r="BU262" s="472"/>
      <c r="BV262" s="472"/>
      <c r="BW262" s="372"/>
      <c r="BX262" s="472"/>
      <c r="BY262" s="372"/>
      <c r="BZ262" s="472"/>
      <c r="CA262" s="372"/>
      <c r="CE262" s="372"/>
      <c r="CF262" s="472"/>
      <c r="CG262" s="472"/>
      <c r="CH262" s="372"/>
      <c r="CI262" s="472"/>
      <c r="CJ262" s="372"/>
      <c r="CK262" s="472"/>
      <c r="CL262" s="372"/>
      <c r="CU262" s="469" t="s">
        <v>5510</v>
      </c>
      <c r="ES262" s="504"/>
      <c r="ET262" s="507"/>
      <c r="EU262" s="585"/>
    </row>
    <row r="263" spans="1:151" x14ac:dyDescent="0.25">
      <c r="A263" s="667">
        <f ca="1"/>
        <v>1</v>
      </c>
      <c r="B263" s="666" t="str">
        <f ca="1"/>
        <v>Bórax</v>
      </c>
      <c r="H263" s="667">
        <f ca="1"/>
        <v>1</v>
      </c>
      <c r="I263" s="667" t="str">
        <f ca="1"/>
        <v>ANTICONGELANTE</v>
      </c>
      <c r="BF263" s="469" t="s">
        <v>5510</v>
      </c>
      <c r="BL263" s="372"/>
      <c r="BO263" s="472"/>
      <c r="BQ263" s="20"/>
      <c r="BT263" s="372"/>
      <c r="BU263" s="472"/>
      <c r="BV263" s="472"/>
      <c r="BW263" s="372"/>
      <c r="BX263" s="472"/>
      <c r="BY263" s="372"/>
      <c r="BZ263" s="472"/>
      <c r="CA263" s="372"/>
      <c r="CE263" s="372"/>
      <c r="CF263" s="472"/>
      <c r="CG263" s="472"/>
      <c r="CH263" s="372"/>
      <c r="CI263" s="472"/>
      <c r="CJ263" s="372"/>
      <c r="CK263" s="472"/>
      <c r="CL263" s="372"/>
      <c r="CU263" s="469" t="s">
        <v>5510</v>
      </c>
      <c r="ES263" s="504"/>
      <c r="ET263" s="507"/>
      <c r="EU263" s="585"/>
    </row>
    <row r="264" spans="1:151" x14ac:dyDescent="0.25">
      <c r="A264" s="667">
        <f ca="1"/>
        <v>1</v>
      </c>
      <c r="B264" s="666" t="str">
        <f ca="1"/>
        <v>Octaborato dissódio tetrahidratado</v>
      </c>
      <c r="H264" s="667">
        <f ca="1"/>
        <v>1</v>
      </c>
      <c r="I264" s="667" t="str">
        <f ca="1"/>
        <v>ANTIESPUMANTE</v>
      </c>
      <c r="BF264" s="469" t="s">
        <v>5510</v>
      </c>
      <c r="BQ264" s="20"/>
      <c r="BT264" s="372"/>
      <c r="BU264" s="472"/>
      <c r="BV264" s="472"/>
      <c r="BW264" s="472"/>
      <c r="BX264" s="472"/>
      <c r="BY264" s="372"/>
      <c r="BZ264" s="372"/>
      <c r="CA264" s="372"/>
      <c r="CE264" s="372"/>
      <c r="CF264" s="472"/>
      <c r="CG264" s="472"/>
      <c r="CH264" s="472"/>
      <c r="CI264" s="472"/>
      <c r="CJ264" s="372"/>
      <c r="CK264" s="372"/>
      <c r="CL264" s="372"/>
      <c r="CU264" s="469" t="s">
        <v>5510</v>
      </c>
      <c r="ES264" s="504"/>
      <c r="ET264" s="507"/>
      <c r="EU264" s="585"/>
    </row>
    <row r="265" spans="1:151" x14ac:dyDescent="0.25">
      <c r="A265" s="667">
        <f ca="1"/>
        <v>1</v>
      </c>
      <c r="B265" s="666" t="str">
        <f ca="1"/>
        <v>Abamectina</v>
      </c>
      <c r="H265" s="667">
        <f ca="1"/>
        <v>1</v>
      </c>
      <c r="I265" s="667" t="str">
        <f ca="1"/>
        <v>ANTIOXIDANTE</v>
      </c>
      <c r="BF265" s="469" t="s">
        <v>5510</v>
      </c>
      <c r="BQ265" s="20"/>
      <c r="BT265" s="372"/>
      <c r="BU265" s="472"/>
      <c r="BV265" s="472"/>
      <c r="BW265" s="472"/>
      <c r="BX265" s="472"/>
      <c r="BY265" s="372"/>
      <c r="BZ265" s="372"/>
      <c r="CA265" s="372"/>
      <c r="CE265" s="372"/>
      <c r="CF265" s="472"/>
      <c r="CG265" s="472"/>
      <c r="CH265" s="472"/>
      <c r="CI265" s="472"/>
      <c r="CJ265" s="372"/>
      <c r="CK265" s="372"/>
      <c r="CL265" s="372"/>
      <c r="CU265" s="469" t="s">
        <v>5510</v>
      </c>
      <c r="ES265" s="504"/>
      <c r="ET265" s="507"/>
      <c r="EU265" s="585"/>
    </row>
    <row r="266" spans="1:151" x14ac:dyDescent="0.25">
      <c r="A266" s="667">
        <f ca="1"/>
        <v>1</v>
      </c>
      <c r="B266" s="666" t="str">
        <f ca="1"/>
        <v>Azociclotina</v>
      </c>
      <c r="H266" s="667">
        <f ca="1"/>
        <v>1</v>
      </c>
      <c r="I266" s="667" t="str">
        <f ca="1"/>
        <v>ATRATIVO</v>
      </c>
      <c r="BF266" s="469" t="s">
        <v>5510</v>
      </c>
      <c r="BG266" s="469">
        <v>1</v>
      </c>
      <c r="BH266" s="539" t="s">
        <v>8054</v>
      </c>
      <c r="BI266" s="539">
        <f>BI261+$BO$6</f>
        <v>285</v>
      </c>
      <c r="BJ266" s="539" cm="1">
        <f t="array" aca="1" ref="BJ266" ca="1">INDIRECT($BM$2&amp;BJ$7&amp;$BI266,1)</f>
        <v>0</v>
      </c>
      <c r="BK266" s="539" cm="1">
        <f t="array" aca="1" ref="BK266" ca="1">INDIRECT($BM$2&amp;BK$7&amp;$BI266,1)</f>
        <v>0</v>
      </c>
      <c r="BL266" s="539" cm="1">
        <f t="array" aca="1" ref="BL266" ca="1">INDIRECT($BM$2&amp;BL$7&amp;$BI266,1)</f>
        <v>0</v>
      </c>
      <c r="BM266" s="539" cm="1">
        <f t="array" aca="1" ref="BM266" ca="1">INDIRECT($BM$2&amp;BM$7&amp;$BI266,1)</f>
        <v>0</v>
      </c>
      <c r="BN266" s="539" cm="1">
        <f t="array" aca="1" ref="BN266" ca="1">INDIRECT($BM$2&amp;BN$7&amp;$BI266,1)</f>
        <v>0</v>
      </c>
      <c r="BO266" s="539" t="str">
        <f ca="1">IFERROR(BK266/BK$266,"-")</f>
        <v>-</v>
      </c>
      <c r="BP266" s="540" t="s">
        <v>8221</v>
      </c>
      <c r="BQ266" s="20"/>
      <c r="BR266" s="469">
        <v>1</v>
      </c>
      <c r="BS266" s="539" t="s">
        <v>8054</v>
      </c>
      <c r="BT266" s="539">
        <f>BT261+$BO$6</f>
        <v>631</v>
      </c>
      <c r="BU266" s="539" cm="1">
        <f t="array" aca="1" ref="BU266" ca="1">INDIRECT($BM$2&amp;BU$7&amp;$BT266,1)</f>
        <v>0</v>
      </c>
      <c r="BV266" s="539" cm="1">
        <f t="array" aca="1" ref="BV266" ca="1">INDIRECT($BM$2&amp;BV$7&amp;$BT266,1)</f>
        <v>0</v>
      </c>
      <c r="BW266" s="539" cm="1">
        <f t="array" aca="1" ref="BW266" ca="1">INDIRECT($BM$2&amp;BW$7&amp;$BT266,1)</f>
        <v>0</v>
      </c>
      <c r="BX266" s="539" cm="1">
        <f t="array" aca="1" ref="BX266" ca="1">INDIRECT($BM$2&amp;BX$7&amp;$BT266,1)</f>
        <v>0</v>
      </c>
      <c r="BY266" s="539" cm="1">
        <f t="array" aca="1" ref="BY266" ca="1">INDIRECT($BM$2&amp;BY$7&amp;$BT266,1)</f>
        <v>0</v>
      </c>
      <c r="BZ266" s="539" t="str">
        <f ca="1">IFERROR(BV266/BV$266,"-")</f>
        <v>-</v>
      </c>
      <c r="CA266" s="540" t="s">
        <v>8221</v>
      </c>
      <c r="CC266" s="469">
        <v>1</v>
      </c>
      <c r="CD266" s="539" t="s">
        <v>8054</v>
      </c>
      <c r="CE266" s="539">
        <f>CE261+$BO$6</f>
        <v>977</v>
      </c>
      <c r="CF266" s="539" cm="1">
        <f t="array" aca="1" ref="CF266" ca="1">INDIRECT($BM$2&amp;CF$7&amp;$CE266,1)</f>
        <v>0</v>
      </c>
      <c r="CG266" s="539" cm="1">
        <f t="array" aca="1" ref="CG266" ca="1">INDIRECT($BM$2&amp;CG$7&amp;$CE266,1)</f>
        <v>0</v>
      </c>
      <c r="CH266" s="539" cm="1">
        <f t="array" aca="1" ref="CH266" ca="1">INDIRECT($BM$2&amp;CH$7&amp;$CE266,1)</f>
        <v>0</v>
      </c>
      <c r="CI266" s="539" cm="1">
        <f t="array" aca="1" ref="CI266" ca="1">INDIRECT($BM$2&amp;CI$7&amp;$CE266,1)</f>
        <v>0</v>
      </c>
      <c r="CJ266" s="539" cm="1">
        <f t="array" aca="1" ref="CJ266" ca="1">INDIRECT($BM$2&amp;CJ$7&amp;$CE266,1)</f>
        <v>0</v>
      </c>
      <c r="CK266" s="539" t="str">
        <f ca="1">IFERROR(CG266/CG$266,"-")</f>
        <v>-</v>
      </c>
      <c r="CL266" s="540" t="s">
        <v>8221</v>
      </c>
      <c r="CU266" s="469" t="s">
        <v>5510</v>
      </c>
      <c r="ES266" s="504"/>
      <c r="ET266" s="507"/>
      <c r="EU266" s="585"/>
    </row>
    <row r="267" spans="1:151" x14ac:dyDescent="0.25">
      <c r="A267" s="667">
        <f ca="1"/>
        <v>1</v>
      </c>
      <c r="B267" s="666" t="str">
        <f ca="1"/>
        <v>Azametifós</v>
      </c>
      <c r="H267" s="667">
        <f ca="1"/>
        <v>1</v>
      </c>
      <c r="I267" s="667" t="str">
        <f ca="1"/>
        <v>BACTERIOSTÁTICO</v>
      </c>
      <c r="BF267" s="469" t="s">
        <v>5510</v>
      </c>
      <c r="BG267" s="469">
        <v>2</v>
      </c>
      <c r="BH267" s="539" t="s">
        <v>8054</v>
      </c>
      <c r="BI267" s="539">
        <f t="shared" ref="BI267:BI277" si="150">BI266+1</f>
        <v>286</v>
      </c>
      <c r="BJ267" s="539" cm="1">
        <f t="array" aca="1" ref="BJ267" ca="1">INDIRECT($BM$2&amp;BJ$7&amp;$BI267,1)</f>
        <v>0</v>
      </c>
      <c r="BK267" s="539" cm="1">
        <f t="array" aca="1" ref="BK267" ca="1">INDIRECT($BM$2&amp;BK$7&amp;$BI267,1)</f>
        <v>0</v>
      </c>
      <c r="BL267" s="539" cm="1">
        <f t="array" aca="1" ref="BL267" ca="1">INDIRECT($BM$2&amp;BL$7&amp;$BI267,1)</f>
        <v>0</v>
      </c>
      <c r="BM267" s="539" cm="1">
        <f t="array" aca="1" ref="BM267" ca="1">INDIRECT($BM$2&amp;BM$7&amp;$BI267,1)</f>
        <v>0</v>
      </c>
      <c r="BN267" s="539" cm="1">
        <f t="array" aca="1" ref="BN267" ca="1">INDIRECT($BM$2&amp;BN$7&amp;$BI267,1)</f>
        <v>0</v>
      </c>
      <c r="BO267" s="539" t="str">
        <f t="shared" ref="BO267:BO277" ca="1" si="151">IF(BK267=0,"-",IFERROR(BK267/BK$266,"-"))</f>
        <v>-</v>
      </c>
      <c r="BP267" s="494" t="s">
        <v>8222</v>
      </c>
      <c r="BQ267" s="20"/>
      <c r="BR267" s="469">
        <v>2</v>
      </c>
      <c r="BS267" s="539" t="s">
        <v>8054</v>
      </c>
      <c r="BT267" s="539">
        <f t="shared" ref="BT267:BT277" si="152">BT266+1</f>
        <v>632</v>
      </c>
      <c r="BU267" s="539" cm="1">
        <f t="array" aca="1" ref="BU267" ca="1">INDIRECT($BM$2&amp;BU$7&amp;$BT267,1)</f>
        <v>0</v>
      </c>
      <c r="BV267" s="539" cm="1">
        <f t="array" aca="1" ref="BV267" ca="1">INDIRECT($BM$2&amp;BV$7&amp;$BT267,1)</f>
        <v>0</v>
      </c>
      <c r="BW267" s="539" cm="1">
        <f t="array" aca="1" ref="BW267" ca="1">INDIRECT($BM$2&amp;BW$7&amp;$BT267,1)</f>
        <v>0</v>
      </c>
      <c r="BX267" s="539" cm="1">
        <f t="array" aca="1" ref="BX267" ca="1">INDIRECT($BM$2&amp;BX$7&amp;$BT267,1)</f>
        <v>0</v>
      </c>
      <c r="BY267" s="539" cm="1">
        <f t="array" aca="1" ref="BY267" ca="1">INDIRECT($BM$2&amp;BY$7&amp;$BT267,1)</f>
        <v>0</v>
      </c>
      <c r="BZ267" s="539" t="str">
        <f t="shared" ref="BZ267:BZ277" ca="1" si="153">IF(BV267=0,"-",IFERROR(BV267/BV$266,"-"))</f>
        <v>-</v>
      </c>
      <c r="CA267" s="494" t="s">
        <v>8222</v>
      </c>
      <c r="CC267" s="469">
        <v>2</v>
      </c>
      <c r="CD267" s="539" t="s">
        <v>8054</v>
      </c>
      <c r="CE267" s="539">
        <f t="shared" ref="CE267:CE277" si="154">CE266+1</f>
        <v>978</v>
      </c>
      <c r="CF267" s="539" cm="1">
        <f t="array" aca="1" ref="CF267" ca="1">INDIRECT($BM$2&amp;CF$7&amp;$CE267,1)</f>
        <v>0</v>
      </c>
      <c r="CG267" s="539" cm="1">
        <f t="array" aca="1" ref="CG267" ca="1">INDIRECT($BM$2&amp;CG$7&amp;$CE267,1)</f>
        <v>0</v>
      </c>
      <c r="CH267" s="539" cm="1">
        <f t="array" aca="1" ref="CH267" ca="1">INDIRECT($BM$2&amp;CH$7&amp;$CE267,1)</f>
        <v>0</v>
      </c>
      <c r="CI267" s="539" cm="1">
        <f t="array" aca="1" ref="CI267" ca="1">INDIRECT($BM$2&amp;CI$7&amp;$CE267,1)</f>
        <v>0</v>
      </c>
      <c r="CJ267" s="539" cm="1">
        <f t="array" aca="1" ref="CJ267" ca="1">INDIRECT($BM$2&amp;CJ$7&amp;$CE267,1)</f>
        <v>0</v>
      </c>
      <c r="CK267" s="539" t="str">
        <f t="shared" ref="CK267:CK277" ca="1" si="155">IF(CG267=0,"-",IFERROR(CG267/CG$266,"-"))</f>
        <v>-</v>
      </c>
      <c r="CL267" s="494" t="s">
        <v>8222</v>
      </c>
      <c r="CU267" s="469" t="s">
        <v>5510</v>
      </c>
      <c r="ES267" s="504"/>
      <c r="ET267" s="507"/>
      <c r="EU267" s="585"/>
    </row>
    <row r="268" spans="1:151" x14ac:dyDescent="0.25">
      <c r="A268" s="667">
        <f ca="1"/>
        <v>1</v>
      </c>
      <c r="B268" s="666" t="str">
        <f ca="1"/>
        <v>Acrinatrina</v>
      </c>
      <c r="H268" s="667">
        <f ca="1"/>
        <v>1</v>
      </c>
      <c r="I268" s="667" t="str">
        <f ca="1"/>
        <v>BIOCIDA</v>
      </c>
      <c r="BF268" s="469" t="s">
        <v>5510</v>
      </c>
      <c r="BG268" s="469">
        <v>3</v>
      </c>
      <c r="BH268" s="539" t="s">
        <v>8054</v>
      </c>
      <c r="BI268" s="539">
        <f t="shared" si="150"/>
        <v>287</v>
      </c>
      <c r="BJ268" s="539" cm="1">
        <f t="array" aca="1" ref="BJ268" ca="1">INDIRECT($BM$2&amp;BJ$7&amp;$BI268,1)</f>
        <v>0</v>
      </c>
      <c r="BK268" s="539" cm="1">
        <f t="array" aca="1" ref="BK268" ca="1">INDIRECT($BM$2&amp;BK$7&amp;$BI268,1)</f>
        <v>0</v>
      </c>
      <c r="BL268" s="539" cm="1">
        <f t="array" aca="1" ref="BL268" ca="1">INDIRECT($BM$2&amp;BL$7&amp;$BI268,1)</f>
        <v>0</v>
      </c>
      <c r="BM268" s="539" cm="1">
        <f t="array" aca="1" ref="BM268" ca="1">INDIRECT($BM$2&amp;BM$7&amp;$BI268,1)</f>
        <v>0</v>
      </c>
      <c r="BN268" s="539" cm="1">
        <f t="array" aca="1" ref="BN268" ca="1">INDIRECT($BM$2&amp;BN$7&amp;$BI268,1)</f>
        <v>0</v>
      </c>
      <c r="BO268" s="539" t="str">
        <f t="shared" ca="1" si="151"/>
        <v>-</v>
      </c>
      <c r="BP268" s="494" t="s">
        <v>8222</v>
      </c>
      <c r="BQ268" s="20"/>
      <c r="BR268" s="469">
        <v>3</v>
      </c>
      <c r="BS268" s="539" t="s">
        <v>8054</v>
      </c>
      <c r="BT268" s="539">
        <f t="shared" si="152"/>
        <v>633</v>
      </c>
      <c r="BU268" s="539" cm="1">
        <f t="array" aca="1" ref="BU268" ca="1">INDIRECT($BM$2&amp;BU$7&amp;$BT268,1)</f>
        <v>0</v>
      </c>
      <c r="BV268" s="539" cm="1">
        <f t="array" aca="1" ref="BV268" ca="1">INDIRECT($BM$2&amp;BV$7&amp;$BT268,1)</f>
        <v>0</v>
      </c>
      <c r="BW268" s="539" cm="1">
        <f t="array" aca="1" ref="BW268" ca="1">INDIRECT($BM$2&amp;BW$7&amp;$BT268,1)</f>
        <v>0</v>
      </c>
      <c r="BX268" s="539" cm="1">
        <f t="array" aca="1" ref="BX268" ca="1">INDIRECT($BM$2&amp;BX$7&amp;$BT268,1)</f>
        <v>0</v>
      </c>
      <c r="BY268" s="539" cm="1">
        <f t="array" aca="1" ref="BY268" ca="1">INDIRECT($BM$2&amp;BY$7&amp;$BT268,1)</f>
        <v>0</v>
      </c>
      <c r="BZ268" s="539" t="str">
        <f t="shared" ca="1" si="153"/>
        <v>-</v>
      </c>
      <c r="CA268" s="494" t="s">
        <v>8222</v>
      </c>
      <c r="CC268" s="469">
        <v>3</v>
      </c>
      <c r="CD268" s="539" t="s">
        <v>8054</v>
      </c>
      <c r="CE268" s="539">
        <f t="shared" si="154"/>
        <v>979</v>
      </c>
      <c r="CF268" s="539" cm="1">
        <f t="array" aca="1" ref="CF268" ca="1">INDIRECT($BM$2&amp;CF$7&amp;$CE268,1)</f>
        <v>0</v>
      </c>
      <c r="CG268" s="539" cm="1">
        <f t="array" aca="1" ref="CG268" ca="1">INDIRECT($BM$2&amp;CG$7&amp;$CE268,1)</f>
        <v>0</v>
      </c>
      <c r="CH268" s="539" cm="1">
        <f t="array" aca="1" ref="CH268" ca="1">INDIRECT($BM$2&amp;CH$7&amp;$CE268,1)</f>
        <v>0</v>
      </c>
      <c r="CI268" s="539" cm="1">
        <f t="array" aca="1" ref="CI268" ca="1">INDIRECT($BM$2&amp;CI$7&amp;$CE268,1)</f>
        <v>0</v>
      </c>
      <c r="CJ268" s="539" cm="1">
        <f t="array" aca="1" ref="CJ268" ca="1">INDIRECT($BM$2&amp;CJ$7&amp;$CE268,1)</f>
        <v>0</v>
      </c>
      <c r="CK268" s="539" t="str">
        <f t="shared" ca="1" si="155"/>
        <v>-</v>
      </c>
      <c r="CL268" s="494" t="s">
        <v>8222</v>
      </c>
      <c r="CU268" s="469" t="s">
        <v>5510</v>
      </c>
      <c r="ES268" s="504"/>
      <c r="ET268" s="507"/>
      <c r="EU268" s="585"/>
    </row>
    <row r="269" spans="1:151" x14ac:dyDescent="0.25">
      <c r="A269" s="667">
        <f ca="1"/>
        <v>1</v>
      </c>
      <c r="B269" s="666" t="str">
        <f ca="1"/>
        <v>Amitraz</v>
      </c>
      <c r="H269" s="667">
        <f ca="1"/>
        <v>1</v>
      </c>
      <c r="I269" s="667" t="str">
        <f ca="1"/>
        <v>CARGA</v>
      </c>
      <c r="BF269" s="469" t="s">
        <v>5510</v>
      </c>
      <c r="BG269" s="469">
        <v>4</v>
      </c>
      <c r="BH269" s="539" t="s">
        <v>8054</v>
      </c>
      <c r="BI269" s="539">
        <f t="shared" si="150"/>
        <v>288</v>
      </c>
      <c r="BJ269" s="539" cm="1">
        <f t="array" aca="1" ref="BJ269" ca="1">INDIRECT($BM$2&amp;BJ$7&amp;$BI269,1)</f>
        <v>0</v>
      </c>
      <c r="BK269" s="539" cm="1">
        <f t="array" aca="1" ref="BK269" ca="1">INDIRECT($BM$2&amp;BK$7&amp;$BI269,1)</f>
        <v>0</v>
      </c>
      <c r="BL269" s="539" cm="1">
        <f t="array" aca="1" ref="BL269" ca="1">INDIRECT($BM$2&amp;BL$7&amp;$BI269,1)</f>
        <v>0</v>
      </c>
      <c r="BM269" s="539" cm="1">
        <f t="array" aca="1" ref="BM269" ca="1">INDIRECT($BM$2&amp;BM$7&amp;$BI269,1)</f>
        <v>0</v>
      </c>
      <c r="BN269" s="539" cm="1">
        <f t="array" aca="1" ref="BN269" ca="1">INDIRECT($BM$2&amp;BN$7&amp;$BI269,1)</f>
        <v>0</v>
      </c>
      <c r="BO269" s="539" t="str">
        <f t="shared" ca="1" si="151"/>
        <v>-</v>
      </c>
      <c r="BP269" s="494" t="s">
        <v>8222</v>
      </c>
      <c r="BQ269" s="20"/>
      <c r="BR269" s="469">
        <v>4</v>
      </c>
      <c r="BS269" s="539" t="s">
        <v>8054</v>
      </c>
      <c r="BT269" s="539">
        <f t="shared" si="152"/>
        <v>634</v>
      </c>
      <c r="BU269" s="539" cm="1">
        <f t="array" aca="1" ref="BU269" ca="1">INDIRECT($BM$2&amp;BU$7&amp;$BT269,1)</f>
        <v>0</v>
      </c>
      <c r="BV269" s="539" cm="1">
        <f t="array" aca="1" ref="BV269" ca="1">INDIRECT($BM$2&amp;BV$7&amp;$BT269,1)</f>
        <v>0</v>
      </c>
      <c r="BW269" s="539" cm="1">
        <f t="array" aca="1" ref="BW269" ca="1">INDIRECT($BM$2&amp;BW$7&amp;$BT269,1)</f>
        <v>0</v>
      </c>
      <c r="BX269" s="539" cm="1">
        <f t="array" aca="1" ref="BX269" ca="1">INDIRECT($BM$2&amp;BX$7&amp;$BT269,1)</f>
        <v>0</v>
      </c>
      <c r="BY269" s="539" cm="1">
        <f t="array" aca="1" ref="BY269" ca="1">INDIRECT($BM$2&amp;BY$7&amp;$BT269,1)</f>
        <v>0</v>
      </c>
      <c r="BZ269" s="539" t="str">
        <f t="shared" ca="1" si="153"/>
        <v>-</v>
      </c>
      <c r="CA269" s="494" t="s">
        <v>8222</v>
      </c>
      <c r="CC269" s="469">
        <v>4</v>
      </c>
      <c r="CD269" s="539" t="s">
        <v>8054</v>
      </c>
      <c r="CE269" s="539">
        <f t="shared" si="154"/>
        <v>980</v>
      </c>
      <c r="CF269" s="539" cm="1">
        <f t="array" aca="1" ref="CF269" ca="1">INDIRECT($BM$2&amp;CF$7&amp;$CE269,1)</f>
        <v>0</v>
      </c>
      <c r="CG269" s="539" cm="1">
        <f t="array" aca="1" ref="CG269" ca="1">INDIRECT($BM$2&amp;CG$7&amp;$CE269,1)</f>
        <v>0</v>
      </c>
      <c r="CH269" s="539" cm="1">
        <f t="array" aca="1" ref="CH269" ca="1">INDIRECT($BM$2&amp;CH$7&amp;$CE269,1)</f>
        <v>0</v>
      </c>
      <c r="CI269" s="539" cm="1">
        <f t="array" aca="1" ref="CI269" ca="1">INDIRECT($BM$2&amp;CI$7&amp;$CE269,1)</f>
        <v>0</v>
      </c>
      <c r="CJ269" s="539" cm="1">
        <f t="array" aca="1" ref="CJ269" ca="1">INDIRECT($BM$2&amp;CJ$7&amp;$CE269,1)</f>
        <v>0</v>
      </c>
      <c r="CK269" s="539" t="str">
        <f t="shared" ca="1" si="155"/>
        <v>-</v>
      </c>
      <c r="CL269" s="494" t="s">
        <v>8222</v>
      </c>
      <c r="CU269" s="469" t="s">
        <v>5510</v>
      </c>
      <c r="ES269" s="504"/>
      <c r="ET269" s="507"/>
      <c r="EU269" s="585"/>
    </row>
    <row r="270" spans="1:151" x14ac:dyDescent="0.25">
      <c r="A270" s="667">
        <f ca="1"/>
        <v>1</v>
      </c>
      <c r="B270" s="666" t="str">
        <f ca="1"/>
        <v>Acetocloro</v>
      </c>
      <c r="H270" s="667">
        <f ca="1"/>
        <v>1</v>
      </c>
      <c r="I270" s="667" t="str">
        <f ca="1"/>
        <v>CARREADOR</v>
      </c>
      <c r="BF270" s="469" t="s">
        <v>5510</v>
      </c>
      <c r="BG270" s="469">
        <v>5</v>
      </c>
      <c r="BH270" s="539" t="s">
        <v>8054</v>
      </c>
      <c r="BI270" s="539">
        <f t="shared" si="150"/>
        <v>289</v>
      </c>
      <c r="BJ270" s="539" cm="1">
        <f t="array" aca="1" ref="BJ270" ca="1">INDIRECT($BM$2&amp;BJ$7&amp;$BI270,1)</f>
        <v>0</v>
      </c>
      <c r="BK270" s="539" cm="1">
        <f t="array" aca="1" ref="BK270" ca="1">INDIRECT($BM$2&amp;BK$7&amp;$BI270,1)</f>
        <v>0</v>
      </c>
      <c r="BL270" s="539" cm="1">
        <f t="array" aca="1" ref="BL270" ca="1">INDIRECT($BM$2&amp;BL$7&amp;$BI270,1)</f>
        <v>0</v>
      </c>
      <c r="BM270" s="539" cm="1">
        <f t="array" aca="1" ref="BM270" ca="1">INDIRECT($BM$2&amp;BM$7&amp;$BI270,1)</f>
        <v>0</v>
      </c>
      <c r="BN270" s="539" cm="1">
        <f t="array" aca="1" ref="BN270" ca="1">INDIRECT($BM$2&amp;BN$7&amp;$BI270,1)</f>
        <v>0</v>
      </c>
      <c r="BO270" s="539" t="str">
        <f t="shared" ca="1" si="151"/>
        <v>-</v>
      </c>
      <c r="BP270" s="494" t="s">
        <v>8222</v>
      </c>
      <c r="BQ270" s="20"/>
      <c r="BR270" s="469">
        <v>5</v>
      </c>
      <c r="BS270" s="539" t="s">
        <v>8054</v>
      </c>
      <c r="BT270" s="539">
        <f t="shared" si="152"/>
        <v>635</v>
      </c>
      <c r="BU270" s="539" cm="1">
        <f t="array" aca="1" ref="BU270" ca="1">INDIRECT($BM$2&amp;BU$7&amp;$BT270,1)</f>
        <v>0</v>
      </c>
      <c r="BV270" s="539" cm="1">
        <f t="array" aca="1" ref="BV270" ca="1">INDIRECT($BM$2&amp;BV$7&amp;$BT270,1)</f>
        <v>0</v>
      </c>
      <c r="BW270" s="539" cm="1">
        <f t="array" aca="1" ref="BW270" ca="1">INDIRECT($BM$2&amp;BW$7&amp;$BT270,1)</f>
        <v>0</v>
      </c>
      <c r="BX270" s="539" cm="1">
        <f t="array" aca="1" ref="BX270" ca="1">INDIRECT($BM$2&amp;BX$7&amp;$BT270,1)</f>
        <v>0</v>
      </c>
      <c r="BY270" s="539" cm="1">
        <f t="array" aca="1" ref="BY270" ca="1">INDIRECT($BM$2&amp;BY$7&amp;$BT270,1)</f>
        <v>0</v>
      </c>
      <c r="BZ270" s="539" t="str">
        <f t="shared" ca="1" si="153"/>
        <v>-</v>
      </c>
      <c r="CA270" s="494" t="s">
        <v>8222</v>
      </c>
      <c r="CC270" s="469">
        <v>5</v>
      </c>
      <c r="CD270" s="539" t="s">
        <v>8054</v>
      </c>
      <c r="CE270" s="539">
        <f t="shared" si="154"/>
        <v>981</v>
      </c>
      <c r="CF270" s="539" cm="1">
        <f t="array" aca="1" ref="CF270" ca="1">INDIRECT($BM$2&amp;CF$7&amp;$CE270,1)</f>
        <v>0</v>
      </c>
      <c r="CG270" s="539" cm="1">
        <f t="array" aca="1" ref="CG270" ca="1">INDIRECT($BM$2&amp;CG$7&amp;$CE270,1)</f>
        <v>0</v>
      </c>
      <c r="CH270" s="539" cm="1">
        <f t="array" aca="1" ref="CH270" ca="1">INDIRECT($BM$2&amp;CH$7&amp;$CE270,1)</f>
        <v>0</v>
      </c>
      <c r="CI270" s="539" cm="1">
        <f t="array" aca="1" ref="CI270" ca="1">INDIRECT($BM$2&amp;CI$7&amp;$CE270,1)</f>
        <v>0</v>
      </c>
      <c r="CJ270" s="539" cm="1">
        <f t="array" aca="1" ref="CJ270" ca="1">INDIRECT($BM$2&amp;CJ$7&amp;$CE270,1)</f>
        <v>0</v>
      </c>
      <c r="CK270" s="539" t="str">
        <f t="shared" ca="1" si="155"/>
        <v>-</v>
      </c>
      <c r="CL270" s="494" t="s">
        <v>8222</v>
      </c>
      <c r="CU270" s="469" t="s">
        <v>5510</v>
      </c>
      <c r="ES270" s="504"/>
      <c r="ET270" s="507"/>
      <c r="EU270" s="585"/>
    </row>
    <row r="271" spans="1:151" x14ac:dyDescent="0.25">
      <c r="A271" s="667">
        <f ca="1"/>
        <v>1</v>
      </c>
      <c r="B271" s="666" t="str">
        <f ca="1"/>
        <v>Azoxistrobina</v>
      </c>
      <c r="H271" s="667">
        <f ca="1"/>
        <v>1</v>
      </c>
      <c r="I271" s="667" t="str">
        <f ca="1"/>
        <v>COADJUVANTE A SECAGEM</v>
      </c>
      <c r="BF271" s="469" t="s">
        <v>5510</v>
      </c>
      <c r="BG271" s="469">
        <v>6</v>
      </c>
      <c r="BH271" s="539" t="s">
        <v>8054</v>
      </c>
      <c r="BI271" s="539">
        <f t="shared" si="150"/>
        <v>290</v>
      </c>
      <c r="BJ271" s="539" cm="1">
        <f t="array" aca="1" ref="BJ271" ca="1">INDIRECT($BM$2&amp;BJ$7&amp;$BI271,1)</f>
        <v>0</v>
      </c>
      <c r="BK271" s="539" cm="1">
        <f t="array" aca="1" ref="BK271" ca="1">INDIRECT($BM$2&amp;BK$7&amp;$BI271,1)</f>
        <v>0</v>
      </c>
      <c r="BL271" s="539" cm="1">
        <f t="array" aca="1" ref="BL271" ca="1">INDIRECT($BM$2&amp;BL$7&amp;$BI271,1)</f>
        <v>0</v>
      </c>
      <c r="BM271" s="539" cm="1">
        <f t="array" aca="1" ref="BM271" ca="1">INDIRECT($BM$2&amp;BM$7&amp;$BI271,1)</f>
        <v>0</v>
      </c>
      <c r="BN271" s="539" cm="1">
        <f t="array" aca="1" ref="BN271" ca="1">INDIRECT($BM$2&amp;BN$7&amp;$BI271,1)</f>
        <v>0</v>
      </c>
      <c r="BO271" s="539" t="str">
        <f t="shared" ca="1" si="151"/>
        <v>-</v>
      </c>
      <c r="BP271" s="494" t="s">
        <v>8222</v>
      </c>
      <c r="BQ271" s="20"/>
      <c r="BR271" s="469">
        <v>6</v>
      </c>
      <c r="BS271" s="539" t="s">
        <v>8054</v>
      </c>
      <c r="BT271" s="539">
        <f t="shared" si="152"/>
        <v>636</v>
      </c>
      <c r="BU271" s="539" cm="1">
        <f t="array" aca="1" ref="BU271" ca="1">INDIRECT($BM$2&amp;BU$7&amp;$BT271,1)</f>
        <v>0</v>
      </c>
      <c r="BV271" s="539" cm="1">
        <f t="array" aca="1" ref="BV271" ca="1">INDIRECT($BM$2&amp;BV$7&amp;$BT271,1)</f>
        <v>0</v>
      </c>
      <c r="BW271" s="539" cm="1">
        <f t="array" aca="1" ref="BW271" ca="1">INDIRECT($BM$2&amp;BW$7&amp;$BT271,1)</f>
        <v>0</v>
      </c>
      <c r="BX271" s="539" cm="1">
        <f t="array" aca="1" ref="BX271" ca="1">INDIRECT($BM$2&amp;BX$7&amp;$BT271,1)</f>
        <v>0</v>
      </c>
      <c r="BY271" s="539" cm="1">
        <f t="array" aca="1" ref="BY271" ca="1">INDIRECT($BM$2&amp;BY$7&amp;$BT271,1)</f>
        <v>0</v>
      </c>
      <c r="BZ271" s="539" t="str">
        <f t="shared" ca="1" si="153"/>
        <v>-</v>
      </c>
      <c r="CA271" s="494" t="s">
        <v>8222</v>
      </c>
      <c r="CC271" s="469">
        <v>6</v>
      </c>
      <c r="CD271" s="539" t="s">
        <v>8054</v>
      </c>
      <c r="CE271" s="539">
        <f t="shared" si="154"/>
        <v>982</v>
      </c>
      <c r="CF271" s="539" cm="1">
        <f t="array" aca="1" ref="CF271" ca="1">INDIRECT($BM$2&amp;CF$7&amp;$CE271,1)</f>
        <v>0</v>
      </c>
      <c r="CG271" s="539" cm="1">
        <f t="array" aca="1" ref="CG271" ca="1">INDIRECT($BM$2&amp;CG$7&amp;$CE271,1)</f>
        <v>0</v>
      </c>
      <c r="CH271" s="539" cm="1">
        <f t="array" aca="1" ref="CH271" ca="1">INDIRECT($BM$2&amp;CH$7&amp;$CE271,1)</f>
        <v>0</v>
      </c>
      <c r="CI271" s="539" cm="1">
        <f t="array" aca="1" ref="CI271" ca="1">INDIRECT($BM$2&amp;CI$7&amp;$CE271,1)</f>
        <v>0</v>
      </c>
      <c r="CJ271" s="539" cm="1">
        <f t="array" aca="1" ref="CJ271" ca="1">INDIRECT($BM$2&amp;CJ$7&amp;$CE271,1)</f>
        <v>0</v>
      </c>
      <c r="CK271" s="539" t="str">
        <f t="shared" ca="1" si="155"/>
        <v>-</v>
      </c>
      <c r="CL271" s="494" t="s">
        <v>8222</v>
      </c>
      <c r="CU271" s="469" t="s">
        <v>5510</v>
      </c>
      <c r="ES271" s="504"/>
      <c r="ET271" s="507"/>
      <c r="EU271" s="585"/>
    </row>
    <row r="272" spans="1:151" x14ac:dyDescent="0.25">
      <c r="A272" s="667">
        <f ca="1"/>
        <v>1</v>
      </c>
      <c r="B272" s="666" t="str">
        <f ca="1"/>
        <v>Alanicarbe</v>
      </c>
      <c r="H272" s="667">
        <f ca="1"/>
        <v>1</v>
      </c>
      <c r="I272" s="667" t="str">
        <f ca="1"/>
        <v>CONSERVANTE</v>
      </c>
      <c r="BF272" s="469" t="s">
        <v>5510</v>
      </c>
      <c r="BG272" s="469">
        <v>7</v>
      </c>
      <c r="BH272" s="539" t="s">
        <v>8054</v>
      </c>
      <c r="BI272" s="539">
        <f t="shared" si="150"/>
        <v>291</v>
      </c>
      <c r="BJ272" s="539" cm="1">
        <f t="array" aca="1" ref="BJ272" ca="1">INDIRECT($BM$2&amp;BJ$7&amp;$BI272,1)</f>
        <v>0</v>
      </c>
      <c r="BK272" s="539" cm="1">
        <f t="array" aca="1" ref="BK272" ca="1">INDIRECT($BM$2&amp;BK$7&amp;$BI272,1)</f>
        <v>0</v>
      </c>
      <c r="BL272" s="539" cm="1">
        <f t="array" aca="1" ref="BL272" ca="1">INDIRECT($BM$2&amp;BL$7&amp;$BI272,1)</f>
        <v>0</v>
      </c>
      <c r="BM272" s="539" cm="1">
        <f t="array" aca="1" ref="BM272" ca="1">INDIRECT($BM$2&amp;BM$7&amp;$BI272,1)</f>
        <v>0</v>
      </c>
      <c r="BN272" s="539" cm="1">
        <f t="array" aca="1" ref="BN272" ca="1">INDIRECT($BM$2&amp;BN$7&amp;$BI272,1)</f>
        <v>0</v>
      </c>
      <c r="BO272" s="539" t="str">
        <f t="shared" ca="1" si="151"/>
        <v>-</v>
      </c>
      <c r="BP272" s="494" t="s">
        <v>8222</v>
      </c>
      <c r="BQ272" s="20"/>
      <c r="BR272" s="469">
        <v>7</v>
      </c>
      <c r="BS272" s="539" t="s">
        <v>8054</v>
      </c>
      <c r="BT272" s="539">
        <f t="shared" si="152"/>
        <v>637</v>
      </c>
      <c r="BU272" s="539" cm="1">
        <f t="array" aca="1" ref="BU272" ca="1">INDIRECT($BM$2&amp;BU$7&amp;$BT272,1)</f>
        <v>0</v>
      </c>
      <c r="BV272" s="539" cm="1">
        <f t="array" aca="1" ref="BV272" ca="1">INDIRECT($BM$2&amp;BV$7&amp;$BT272,1)</f>
        <v>0</v>
      </c>
      <c r="BW272" s="539" cm="1">
        <f t="array" aca="1" ref="BW272" ca="1">INDIRECT($BM$2&amp;BW$7&amp;$BT272,1)</f>
        <v>0</v>
      </c>
      <c r="BX272" s="539" cm="1">
        <f t="array" aca="1" ref="BX272" ca="1">INDIRECT($BM$2&amp;BX$7&amp;$BT272,1)</f>
        <v>0</v>
      </c>
      <c r="BY272" s="539" cm="1">
        <f t="array" aca="1" ref="BY272" ca="1">INDIRECT($BM$2&amp;BY$7&amp;$BT272,1)</f>
        <v>0</v>
      </c>
      <c r="BZ272" s="539" t="str">
        <f t="shared" ca="1" si="153"/>
        <v>-</v>
      </c>
      <c r="CA272" s="494" t="s">
        <v>8222</v>
      </c>
      <c r="CC272" s="469">
        <v>7</v>
      </c>
      <c r="CD272" s="539" t="s">
        <v>8054</v>
      </c>
      <c r="CE272" s="539">
        <f t="shared" si="154"/>
        <v>983</v>
      </c>
      <c r="CF272" s="539" cm="1">
        <f t="array" aca="1" ref="CF272" ca="1">INDIRECT($BM$2&amp;CF$7&amp;$CE272,1)</f>
        <v>0</v>
      </c>
      <c r="CG272" s="539" cm="1">
        <f t="array" aca="1" ref="CG272" ca="1">INDIRECT($BM$2&amp;CG$7&amp;$CE272,1)</f>
        <v>0</v>
      </c>
      <c r="CH272" s="539" cm="1">
        <f t="array" aca="1" ref="CH272" ca="1">INDIRECT($BM$2&amp;CH$7&amp;$CE272,1)</f>
        <v>0</v>
      </c>
      <c r="CI272" s="539" cm="1">
        <f t="array" aca="1" ref="CI272" ca="1">INDIRECT($BM$2&amp;CI$7&amp;$CE272,1)</f>
        <v>0</v>
      </c>
      <c r="CJ272" s="539" cm="1">
        <f t="array" aca="1" ref="CJ272" ca="1">INDIRECT($BM$2&amp;CJ$7&amp;$CE272,1)</f>
        <v>0</v>
      </c>
      <c r="CK272" s="539" t="str">
        <f t="shared" ca="1" si="155"/>
        <v>-</v>
      </c>
      <c r="CL272" s="494" t="s">
        <v>8222</v>
      </c>
      <c r="CU272" s="469" t="s">
        <v>5510</v>
      </c>
      <c r="ES272" s="504"/>
      <c r="ET272" s="507"/>
      <c r="EU272" s="585"/>
    </row>
    <row r="273" spans="1:151" x14ac:dyDescent="0.25">
      <c r="A273" s="667">
        <f ca="1"/>
        <v>1</v>
      </c>
      <c r="B273" s="666" t="str">
        <f ca="1"/>
        <v>Acetamiprido</v>
      </c>
      <c r="H273" s="667">
        <f ca="1"/>
        <v>1</v>
      </c>
      <c r="I273" s="667" t="str">
        <f ca="1"/>
        <v>CORANTE</v>
      </c>
      <c r="BF273" s="469" t="s">
        <v>5510</v>
      </c>
      <c r="BG273" s="469">
        <v>8</v>
      </c>
      <c r="BH273" s="539" t="s">
        <v>8054</v>
      </c>
      <c r="BI273" s="539">
        <f t="shared" si="150"/>
        <v>292</v>
      </c>
      <c r="BJ273" s="539" cm="1">
        <f t="array" aca="1" ref="BJ273" ca="1">INDIRECT($BM$2&amp;BJ$7&amp;$BI273,1)</f>
        <v>0</v>
      </c>
      <c r="BK273" s="539" cm="1">
        <f t="array" aca="1" ref="BK273" ca="1">INDIRECT($BM$2&amp;BK$7&amp;$BI273,1)</f>
        <v>0</v>
      </c>
      <c r="BL273" s="539" cm="1">
        <f t="array" aca="1" ref="BL273" ca="1">INDIRECT($BM$2&amp;BL$7&amp;$BI273,1)</f>
        <v>0</v>
      </c>
      <c r="BM273" s="539" cm="1">
        <f t="array" aca="1" ref="BM273" ca="1">INDIRECT($BM$2&amp;BM$7&amp;$BI273,1)</f>
        <v>0</v>
      </c>
      <c r="BN273" s="539" cm="1">
        <f t="array" aca="1" ref="BN273" ca="1">INDIRECT($BM$2&amp;BN$7&amp;$BI273,1)</f>
        <v>0</v>
      </c>
      <c r="BO273" s="539" t="str">
        <f t="shared" ca="1" si="151"/>
        <v>-</v>
      </c>
      <c r="BP273" s="494" t="s">
        <v>8222</v>
      </c>
      <c r="BQ273" s="20"/>
      <c r="BR273" s="469">
        <v>8</v>
      </c>
      <c r="BS273" s="539" t="s">
        <v>8054</v>
      </c>
      <c r="BT273" s="539">
        <f t="shared" si="152"/>
        <v>638</v>
      </c>
      <c r="BU273" s="539" cm="1">
        <f t="array" aca="1" ref="BU273" ca="1">INDIRECT($BM$2&amp;BU$7&amp;$BT273,1)</f>
        <v>0</v>
      </c>
      <c r="BV273" s="539" cm="1">
        <f t="array" aca="1" ref="BV273" ca="1">INDIRECT($BM$2&amp;BV$7&amp;$BT273,1)</f>
        <v>0</v>
      </c>
      <c r="BW273" s="539" cm="1">
        <f t="array" aca="1" ref="BW273" ca="1">INDIRECT($BM$2&amp;BW$7&amp;$BT273,1)</f>
        <v>0</v>
      </c>
      <c r="BX273" s="539" cm="1">
        <f t="array" aca="1" ref="BX273" ca="1">INDIRECT($BM$2&amp;BX$7&amp;$BT273,1)</f>
        <v>0</v>
      </c>
      <c r="BY273" s="539" cm="1">
        <f t="array" aca="1" ref="BY273" ca="1">INDIRECT($BM$2&amp;BY$7&amp;$BT273,1)</f>
        <v>0</v>
      </c>
      <c r="BZ273" s="539" t="str">
        <f t="shared" ca="1" si="153"/>
        <v>-</v>
      </c>
      <c r="CA273" s="494" t="s">
        <v>8222</v>
      </c>
      <c r="CC273" s="469">
        <v>8</v>
      </c>
      <c r="CD273" s="539" t="s">
        <v>8054</v>
      </c>
      <c r="CE273" s="539">
        <f t="shared" si="154"/>
        <v>984</v>
      </c>
      <c r="CF273" s="539" cm="1">
        <f t="array" aca="1" ref="CF273" ca="1">INDIRECT($BM$2&amp;CF$7&amp;$CE273,1)</f>
        <v>0</v>
      </c>
      <c r="CG273" s="539" cm="1">
        <f t="array" aca="1" ref="CG273" ca="1">INDIRECT($BM$2&amp;CG$7&amp;$CE273,1)</f>
        <v>0</v>
      </c>
      <c r="CH273" s="539" cm="1">
        <f t="array" aca="1" ref="CH273" ca="1">INDIRECT($BM$2&amp;CH$7&amp;$CE273,1)</f>
        <v>0</v>
      </c>
      <c r="CI273" s="539" cm="1">
        <f t="array" aca="1" ref="CI273" ca="1">INDIRECT($BM$2&amp;CI$7&amp;$CE273,1)</f>
        <v>0</v>
      </c>
      <c r="CJ273" s="539" cm="1">
        <f t="array" aca="1" ref="CJ273" ca="1">INDIRECT($BM$2&amp;CJ$7&amp;$CE273,1)</f>
        <v>0</v>
      </c>
      <c r="CK273" s="539" t="str">
        <f t="shared" ca="1" si="155"/>
        <v>-</v>
      </c>
      <c r="CL273" s="494" t="s">
        <v>8222</v>
      </c>
      <c r="CU273" s="469" t="s">
        <v>5510</v>
      </c>
      <c r="ES273" s="504"/>
      <c r="ET273" s="507"/>
      <c r="EU273" s="585"/>
    </row>
    <row r="274" spans="1:151" x14ac:dyDescent="0.25">
      <c r="A274" s="667">
        <f ca="1"/>
        <v>1</v>
      </c>
      <c r="B274" s="666" t="str">
        <f ca="1"/>
        <v>Azinsulfurom</v>
      </c>
      <c r="H274" s="667">
        <f ca="1"/>
        <v>1</v>
      </c>
      <c r="I274" s="667" t="str">
        <f ca="1"/>
        <v>CORRETOR DE PH</v>
      </c>
      <c r="BF274" s="469" t="s">
        <v>5510</v>
      </c>
      <c r="BG274" s="469">
        <v>9</v>
      </c>
      <c r="BH274" s="539" t="s">
        <v>8054</v>
      </c>
      <c r="BI274" s="539">
        <f t="shared" si="150"/>
        <v>293</v>
      </c>
      <c r="BJ274" s="539" cm="1">
        <f t="array" aca="1" ref="BJ274" ca="1">INDIRECT($BM$2&amp;BJ$7&amp;$BI274,1)</f>
        <v>0</v>
      </c>
      <c r="BK274" s="539" cm="1">
        <f t="array" aca="1" ref="BK274" ca="1">INDIRECT($BM$2&amp;BK$7&amp;$BI274,1)</f>
        <v>0</v>
      </c>
      <c r="BL274" s="539" cm="1">
        <f t="array" aca="1" ref="BL274" ca="1">INDIRECT($BM$2&amp;BL$7&amp;$BI274,1)</f>
        <v>0</v>
      </c>
      <c r="BM274" s="539" cm="1">
        <f t="array" aca="1" ref="BM274" ca="1">INDIRECT($BM$2&amp;BM$7&amp;$BI274,1)</f>
        <v>0</v>
      </c>
      <c r="BN274" s="539" cm="1">
        <f t="array" aca="1" ref="BN274" ca="1">INDIRECT($BM$2&amp;BN$7&amp;$BI274,1)</f>
        <v>0</v>
      </c>
      <c r="BO274" s="539" t="str">
        <f t="shared" ca="1" si="151"/>
        <v>-</v>
      </c>
      <c r="BP274" s="494" t="s">
        <v>8222</v>
      </c>
      <c r="BQ274" s="20"/>
      <c r="BR274" s="469">
        <v>9</v>
      </c>
      <c r="BS274" s="539" t="s">
        <v>8054</v>
      </c>
      <c r="BT274" s="539">
        <f t="shared" si="152"/>
        <v>639</v>
      </c>
      <c r="BU274" s="539" cm="1">
        <f t="array" aca="1" ref="BU274" ca="1">INDIRECT($BM$2&amp;BU$7&amp;$BT274,1)</f>
        <v>0</v>
      </c>
      <c r="BV274" s="539" cm="1">
        <f t="array" aca="1" ref="BV274" ca="1">INDIRECT($BM$2&amp;BV$7&amp;$BT274,1)</f>
        <v>0</v>
      </c>
      <c r="BW274" s="539" cm="1">
        <f t="array" aca="1" ref="BW274" ca="1">INDIRECT($BM$2&amp;BW$7&amp;$BT274,1)</f>
        <v>0</v>
      </c>
      <c r="BX274" s="539" cm="1">
        <f t="array" aca="1" ref="BX274" ca="1">INDIRECT($BM$2&amp;BX$7&amp;$BT274,1)</f>
        <v>0</v>
      </c>
      <c r="BY274" s="539" cm="1">
        <f t="array" aca="1" ref="BY274" ca="1">INDIRECT($BM$2&amp;BY$7&amp;$BT274,1)</f>
        <v>0</v>
      </c>
      <c r="BZ274" s="539" t="str">
        <f t="shared" ca="1" si="153"/>
        <v>-</v>
      </c>
      <c r="CA274" s="494" t="s">
        <v>8222</v>
      </c>
      <c r="CC274" s="469">
        <v>9</v>
      </c>
      <c r="CD274" s="539" t="s">
        <v>8054</v>
      </c>
      <c r="CE274" s="539">
        <f t="shared" si="154"/>
        <v>985</v>
      </c>
      <c r="CF274" s="539" cm="1">
        <f t="array" aca="1" ref="CF274" ca="1">INDIRECT($BM$2&amp;CF$7&amp;$CE274,1)</f>
        <v>0</v>
      </c>
      <c r="CG274" s="539" cm="1">
        <f t="array" aca="1" ref="CG274" ca="1">INDIRECT($BM$2&amp;CG$7&amp;$CE274,1)</f>
        <v>0</v>
      </c>
      <c r="CH274" s="539" cm="1">
        <f t="array" aca="1" ref="CH274" ca="1">INDIRECT($BM$2&amp;CH$7&amp;$CE274,1)</f>
        <v>0</v>
      </c>
      <c r="CI274" s="539" cm="1">
        <f t="array" aca="1" ref="CI274" ca="1">INDIRECT($BM$2&amp;CI$7&amp;$CE274,1)</f>
        <v>0</v>
      </c>
      <c r="CJ274" s="539" cm="1">
        <f t="array" aca="1" ref="CJ274" ca="1">INDIRECT($BM$2&amp;CJ$7&amp;$CE274,1)</f>
        <v>0</v>
      </c>
      <c r="CK274" s="539" t="str">
        <f t="shared" ca="1" si="155"/>
        <v>-</v>
      </c>
      <c r="CL274" s="494" t="s">
        <v>8222</v>
      </c>
      <c r="CU274" s="469" t="s">
        <v>5510</v>
      </c>
      <c r="ES274" s="504"/>
      <c r="ET274" s="507"/>
      <c r="EU274" s="585"/>
    </row>
    <row r="275" spans="1:151" x14ac:dyDescent="0.25">
      <c r="A275" s="667">
        <f ca="1"/>
        <v>1</v>
      </c>
      <c r="B275" s="666" t="str">
        <f ca="1"/>
        <v>Ácido 4-indol-3-ilbutírico</v>
      </c>
      <c r="H275" s="667">
        <f ca="1"/>
        <v>1</v>
      </c>
      <c r="I275" s="667" t="str">
        <f ca="1"/>
        <v>CO-SOLVENTE</v>
      </c>
      <c r="BF275" s="469" t="s">
        <v>5510</v>
      </c>
      <c r="BG275" s="469">
        <v>10</v>
      </c>
      <c r="BH275" s="539" t="s">
        <v>8054</v>
      </c>
      <c r="BI275" s="539">
        <f t="shared" si="150"/>
        <v>294</v>
      </c>
      <c r="BJ275" s="539" cm="1">
        <f t="array" aca="1" ref="BJ275" ca="1">INDIRECT($BM$2&amp;BJ$7&amp;$BI275,1)</f>
        <v>0</v>
      </c>
      <c r="BK275" s="539" cm="1">
        <f t="array" aca="1" ref="BK275" ca="1">INDIRECT($BM$2&amp;BK$7&amp;$BI275,1)</f>
        <v>0</v>
      </c>
      <c r="BL275" s="539" cm="1">
        <f t="array" aca="1" ref="BL275" ca="1">INDIRECT($BM$2&amp;BL$7&amp;$BI275,1)</f>
        <v>0</v>
      </c>
      <c r="BM275" s="539" cm="1">
        <f t="array" aca="1" ref="BM275" ca="1">INDIRECT($BM$2&amp;BM$7&amp;$BI275,1)</f>
        <v>0</v>
      </c>
      <c r="BN275" s="539" cm="1">
        <f t="array" aca="1" ref="BN275" ca="1">INDIRECT($BM$2&amp;BN$7&amp;$BI275,1)</f>
        <v>0</v>
      </c>
      <c r="BO275" s="539" t="str">
        <f t="shared" ca="1" si="151"/>
        <v>-</v>
      </c>
      <c r="BP275" s="494" t="s">
        <v>8222</v>
      </c>
      <c r="BQ275" s="20"/>
      <c r="BR275" s="469">
        <v>10</v>
      </c>
      <c r="BS275" s="539" t="s">
        <v>8054</v>
      </c>
      <c r="BT275" s="539">
        <f t="shared" si="152"/>
        <v>640</v>
      </c>
      <c r="BU275" s="539" cm="1">
        <f t="array" aca="1" ref="BU275" ca="1">INDIRECT($BM$2&amp;BU$7&amp;$BT275,1)</f>
        <v>0</v>
      </c>
      <c r="BV275" s="539" cm="1">
        <f t="array" aca="1" ref="BV275" ca="1">INDIRECT($BM$2&amp;BV$7&amp;$BT275,1)</f>
        <v>0</v>
      </c>
      <c r="BW275" s="539" cm="1">
        <f t="array" aca="1" ref="BW275" ca="1">INDIRECT($BM$2&amp;BW$7&amp;$BT275,1)</f>
        <v>0</v>
      </c>
      <c r="BX275" s="539" cm="1">
        <f t="array" aca="1" ref="BX275" ca="1">INDIRECT($BM$2&amp;BX$7&amp;$BT275,1)</f>
        <v>0</v>
      </c>
      <c r="BY275" s="539" cm="1">
        <f t="array" aca="1" ref="BY275" ca="1">INDIRECT($BM$2&amp;BY$7&amp;$BT275,1)</f>
        <v>0</v>
      </c>
      <c r="BZ275" s="539" t="str">
        <f t="shared" ca="1" si="153"/>
        <v>-</v>
      </c>
      <c r="CA275" s="494" t="s">
        <v>8222</v>
      </c>
      <c r="CC275" s="469">
        <v>10</v>
      </c>
      <c r="CD275" s="539" t="s">
        <v>8054</v>
      </c>
      <c r="CE275" s="539">
        <f t="shared" si="154"/>
        <v>986</v>
      </c>
      <c r="CF275" s="539" cm="1">
        <f t="array" aca="1" ref="CF275" ca="1">INDIRECT($BM$2&amp;CF$7&amp;$CE275,1)</f>
        <v>0</v>
      </c>
      <c r="CG275" s="539" cm="1">
        <f t="array" aca="1" ref="CG275" ca="1">INDIRECT($BM$2&amp;CG$7&amp;$CE275,1)</f>
        <v>0</v>
      </c>
      <c r="CH275" s="539" cm="1">
        <f t="array" aca="1" ref="CH275" ca="1">INDIRECT($BM$2&amp;CH$7&amp;$CE275,1)</f>
        <v>0</v>
      </c>
      <c r="CI275" s="539" cm="1">
        <f t="array" aca="1" ref="CI275" ca="1">INDIRECT($BM$2&amp;CI$7&amp;$CE275,1)</f>
        <v>0</v>
      </c>
      <c r="CJ275" s="539" cm="1">
        <f t="array" aca="1" ref="CJ275" ca="1">INDIRECT($BM$2&amp;CJ$7&amp;$CE275,1)</f>
        <v>0</v>
      </c>
      <c r="CK275" s="539" t="str">
        <f t="shared" ca="1" si="155"/>
        <v>-</v>
      </c>
      <c r="CL275" s="494" t="s">
        <v>8222</v>
      </c>
      <c r="CU275" s="469" t="s">
        <v>5510</v>
      </c>
      <c r="ES275" s="504"/>
      <c r="ET275" s="507"/>
      <c r="EU275" s="585"/>
    </row>
    <row r="276" spans="1:151" x14ac:dyDescent="0.25">
      <c r="A276" s="667">
        <f ca="1"/>
        <v>1</v>
      </c>
      <c r="B276" s="666" t="str">
        <f ca="1"/>
        <v>Aclonifem</v>
      </c>
      <c r="H276" s="667">
        <f ca="1"/>
        <v>1</v>
      </c>
      <c r="I276" s="667" t="str">
        <f ca="1"/>
        <v>DILUENTE</v>
      </c>
      <c r="BF276" s="469" t="s">
        <v>5510</v>
      </c>
      <c r="BG276" s="469">
        <v>11</v>
      </c>
      <c r="BH276" s="539" t="s">
        <v>8054</v>
      </c>
      <c r="BI276" s="539">
        <f t="shared" si="150"/>
        <v>295</v>
      </c>
      <c r="BJ276" s="539" cm="1">
        <f t="array" aca="1" ref="BJ276" ca="1">INDIRECT($BM$2&amp;BJ$7&amp;$BI276,1)</f>
        <v>0</v>
      </c>
      <c r="BK276" s="539" cm="1">
        <f t="array" aca="1" ref="BK276" ca="1">INDIRECT($BM$2&amp;BK$7&amp;$BI276,1)</f>
        <v>0</v>
      </c>
      <c r="BL276" s="539" cm="1">
        <f t="array" aca="1" ref="BL276" ca="1">INDIRECT($BM$2&amp;BL$7&amp;$BI276,1)</f>
        <v>0</v>
      </c>
      <c r="BM276" s="539" cm="1">
        <f t="array" aca="1" ref="BM276" ca="1">INDIRECT($BM$2&amp;BM$7&amp;$BI276,1)</f>
        <v>0</v>
      </c>
      <c r="BN276" s="539" cm="1">
        <f t="array" aca="1" ref="BN276" ca="1">INDIRECT($BM$2&amp;BN$7&amp;$BI276,1)</f>
        <v>0</v>
      </c>
      <c r="BO276" s="539" t="str">
        <f t="shared" ca="1" si="151"/>
        <v>-</v>
      </c>
      <c r="BP276" s="494" t="s">
        <v>8222</v>
      </c>
      <c r="BQ276" s="20"/>
      <c r="BR276" s="469">
        <v>11</v>
      </c>
      <c r="BS276" s="539" t="s">
        <v>8054</v>
      </c>
      <c r="BT276" s="539">
        <f t="shared" si="152"/>
        <v>641</v>
      </c>
      <c r="BU276" s="539" cm="1">
        <f t="array" aca="1" ref="BU276" ca="1">INDIRECT($BM$2&amp;BU$7&amp;$BT276,1)</f>
        <v>0</v>
      </c>
      <c r="BV276" s="539" cm="1">
        <f t="array" aca="1" ref="BV276" ca="1">INDIRECT($BM$2&amp;BV$7&amp;$BT276,1)</f>
        <v>0</v>
      </c>
      <c r="BW276" s="539" cm="1">
        <f t="array" aca="1" ref="BW276" ca="1">INDIRECT($BM$2&amp;BW$7&amp;$BT276,1)</f>
        <v>0</v>
      </c>
      <c r="BX276" s="539" cm="1">
        <f t="array" aca="1" ref="BX276" ca="1">INDIRECT($BM$2&amp;BX$7&amp;$BT276,1)</f>
        <v>0</v>
      </c>
      <c r="BY276" s="539" cm="1">
        <f t="array" aca="1" ref="BY276" ca="1">INDIRECT($BM$2&amp;BY$7&amp;$BT276,1)</f>
        <v>0</v>
      </c>
      <c r="BZ276" s="539" t="str">
        <f t="shared" ca="1" si="153"/>
        <v>-</v>
      </c>
      <c r="CA276" s="494" t="s">
        <v>8222</v>
      </c>
      <c r="CC276" s="469">
        <v>11</v>
      </c>
      <c r="CD276" s="539" t="s">
        <v>8054</v>
      </c>
      <c r="CE276" s="539">
        <f t="shared" si="154"/>
        <v>987</v>
      </c>
      <c r="CF276" s="539" cm="1">
        <f t="array" aca="1" ref="CF276" ca="1">INDIRECT($BM$2&amp;CF$7&amp;$CE276,1)</f>
        <v>0</v>
      </c>
      <c r="CG276" s="539" cm="1">
        <f t="array" aca="1" ref="CG276" ca="1">INDIRECT($BM$2&amp;CG$7&amp;$CE276,1)</f>
        <v>0</v>
      </c>
      <c r="CH276" s="539" cm="1">
        <f t="array" aca="1" ref="CH276" ca="1">INDIRECT($BM$2&amp;CH$7&amp;$CE276,1)</f>
        <v>0</v>
      </c>
      <c r="CI276" s="539" cm="1">
        <f t="array" aca="1" ref="CI276" ca="1">INDIRECT($BM$2&amp;CI$7&amp;$CE276,1)</f>
        <v>0</v>
      </c>
      <c r="CJ276" s="539" cm="1">
        <f t="array" aca="1" ref="CJ276" ca="1">INDIRECT($BM$2&amp;CJ$7&amp;$CE276,1)</f>
        <v>0</v>
      </c>
      <c r="CK276" s="539" t="str">
        <f t="shared" ca="1" si="155"/>
        <v>-</v>
      </c>
      <c r="CL276" s="494" t="s">
        <v>8222</v>
      </c>
      <c r="CU276" s="469" t="s">
        <v>5510</v>
      </c>
      <c r="ES276" s="504"/>
      <c r="ET276" s="507"/>
      <c r="EU276" s="585"/>
    </row>
    <row r="277" spans="1:151" x14ac:dyDescent="0.25">
      <c r="A277" s="667">
        <f ca="1"/>
        <v>1</v>
      </c>
      <c r="B277" s="666" t="str">
        <f ca="1"/>
        <v>Acetato de (e,z,z)-3,8,11-tetradecatrienila</v>
      </c>
      <c r="H277" s="667">
        <f ca="1"/>
        <v>1</v>
      </c>
      <c r="I277" s="667" t="str">
        <f ca="1"/>
        <v>DISPERSANTE</v>
      </c>
      <c r="BF277" s="469" t="s">
        <v>5510</v>
      </c>
      <c r="BG277" s="469">
        <v>12</v>
      </c>
      <c r="BH277" s="539" t="s">
        <v>8054</v>
      </c>
      <c r="BI277" s="539">
        <f t="shared" si="150"/>
        <v>296</v>
      </c>
      <c r="BJ277" s="539" cm="1">
        <f t="array" aca="1" ref="BJ277" ca="1">INDIRECT($BM$2&amp;BJ$7&amp;$BI277,1)</f>
        <v>0</v>
      </c>
      <c r="BK277" s="539" cm="1">
        <f t="array" aca="1" ref="BK277" ca="1">INDIRECT($BM$2&amp;BK$7&amp;$BI277,1)</f>
        <v>0</v>
      </c>
      <c r="BL277" s="539" cm="1">
        <f t="array" aca="1" ref="BL277" ca="1">INDIRECT($BM$2&amp;BL$7&amp;$BI277,1)</f>
        <v>0</v>
      </c>
      <c r="BM277" s="539" cm="1">
        <f t="array" aca="1" ref="BM277" ca="1">INDIRECT($BM$2&amp;BM$7&amp;$BI277,1)</f>
        <v>0</v>
      </c>
      <c r="BN277" s="539" t="str" cm="1">
        <f t="array" aca="1" ref="BN277" ca="1">INDIRECT($BM$2&amp;BN$7&amp;$BI277,1)</f>
        <v>-</v>
      </c>
      <c r="BO277" s="539" t="str">
        <f t="shared" ca="1" si="151"/>
        <v>-</v>
      </c>
      <c r="BP277" s="561" t="s">
        <v>8223</v>
      </c>
      <c r="BQ277" s="20"/>
      <c r="BR277" s="469">
        <v>12</v>
      </c>
      <c r="BS277" s="539" t="s">
        <v>8054</v>
      </c>
      <c r="BT277" s="539">
        <f t="shared" si="152"/>
        <v>642</v>
      </c>
      <c r="BU277" s="539" cm="1">
        <f t="array" aca="1" ref="BU277" ca="1">INDIRECT($BM$2&amp;BU$7&amp;$BT277,1)</f>
        <v>0</v>
      </c>
      <c r="BV277" s="539" cm="1">
        <f t="array" aca="1" ref="BV277" ca="1">INDIRECT($BM$2&amp;BV$7&amp;$BT277,1)</f>
        <v>0</v>
      </c>
      <c r="BW277" s="539" cm="1">
        <f t="array" aca="1" ref="BW277" ca="1">INDIRECT($BM$2&amp;BW$7&amp;$BT277,1)</f>
        <v>0</v>
      </c>
      <c r="BX277" s="539" cm="1">
        <f t="array" aca="1" ref="BX277" ca="1">INDIRECT($BM$2&amp;BX$7&amp;$BT277,1)</f>
        <v>0</v>
      </c>
      <c r="BY277" s="539" t="str" cm="1">
        <f t="array" aca="1" ref="BY277" ca="1">INDIRECT($BM$2&amp;BY$7&amp;$BT277,1)</f>
        <v>-</v>
      </c>
      <c r="BZ277" s="539" t="str">
        <f t="shared" ca="1" si="153"/>
        <v>-</v>
      </c>
      <c r="CA277" s="561" t="s">
        <v>8223</v>
      </c>
      <c r="CC277" s="469">
        <v>12</v>
      </c>
      <c r="CD277" s="539" t="s">
        <v>8054</v>
      </c>
      <c r="CE277" s="539">
        <f t="shared" si="154"/>
        <v>988</v>
      </c>
      <c r="CF277" s="539" cm="1">
        <f t="array" aca="1" ref="CF277" ca="1">INDIRECT($BM$2&amp;CF$7&amp;$CE277,1)</f>
        <v>0</v>
      </c>
      <c r="CG277" s="539" cm="1">
        <f t="array" aca="1" ref="CG277" ca="1">INDIRECT($BM$2&amp;CG$7&amp;$CE277,1)</f>
        <v>0</v>
      </c>
      <c r="CH277" s="539" cm="1">
        <f t="array" aca="1" ref="CH277" ca="1">INDIRECT($BM$2&amp;CH$7&amp;$CE277,1)</f>
        <v>0</v>
      </c>
      <c r="CI277" s="539" cm="1">
        <f t="array" aca="1" ref="CI277" ca="1">INDIRECT($BM$2&amp;CI$7&amp;$CE277,1)</f>
        <v>0</v>
      </c>
      <c r="CJ277" s="539" t="str" cm="1">
        <f t="array" aca="1" ref="CJ277" ca="1">INDIRECT($BM$2&amp;CJ$7&amp;$CE277,1)</f>
        <v>-</v>
      </c>
      <c r="CK277" s="539" t="str">
        <f t="shared" ca="1" si="155"/>
        <v>-</v>
      </c>
      <c r="CL277" s="561" t="s">
        <v>8223</v>
      </c>
      <c r="CU277" s="469" t="s">
        <v>5510</v>
      </c>
      <c r="ES277" s="504"/>
      <c r="ET277" s="507"/>
      <c r="EU277" s="585"/>
    </row>
    <row r="278" spans="1:151" x14ac:dyDescent="0.25">
      <c r="A278" s="667">
        <f ca="1"/>
        <v>1</v>
      </c>
      <c r="B278" s="666" t="str">
        <f ca="1"/>
        <v>Acetato de (z,e)-9,12-tetradecadienila</v>
      </c>
      <c r="H278" s="667">
        <f ca="1"/>
        <v>1</v>
      </c>
      <c r="I278" s="667" t="str">
        <f ca="1"/>
        <v>EMOLIENTE</v>
      </c>
      <c r="BF278" s="469" t="s">
        <v>5510</v>
      </c>
      <c r="BL278" s="372"/>
      <c r="BO278" s="472"/>
      <c r="BQ278" s="20"/>
      <c r="BT278" s="372"/>
      <c r="BU278" s="472"/>
      <c r="BV278" s="472"/>
      <c r="BW278" s="372"/>
      <c r="BX278" s="472"/>
      <c r="BY278" s="372"/>
      <c r="BZ278" s="472"/>
      <c r="CA278" s="372"/>
      <c r="CE278" s="372"/>
      <c r="CF278" s="472"/>
      <c r="CG278" s="472"/>
      <c r="CH278" s="372"/>
      <c r="CI278" s="472"/>
      <c r="CJ278" s="372"/>
      <c r="CK278" s="472"/>
      <c r="CL278" s="372"/>
      <c r="CU278" s="469" t="s">
        <v>5510</v>
      </c>
      <c r="ES278" s="504"/>
      <c r="ET278" s="507"/>
      <c r="EU278" s="585"/>
    </row>
    <row r="279" spans="1:151" x14ac:dyDescent="0.25">
      <c r="A279" s="667">
        <f ca="1"/>
        <v>1</v>
      </c>
      <c r="B279" s="666" t="str">
        <f ca="1"/>
        <v>Acetato de (e,z)-3,8-tetradecadienila</v>
      </c>
      <c r="H279" s="667">
        <f ca="1"/>
        <v>1</v>
      </c>
      <c r="I279" s="667" t="str">
        <f ca="1"/>
        <v>EMULSIONANTE</v>
      </c>
      <c r="BF279" s="469" t="s">
        <v>5510</v>
      </c>
      <c r="BL279" s="372"/>
      <c r="BO279" s="472"/>
      <c r="BQ279" s="20"/>
      <c r="BT279" s="372"/>
      <c r="BU279" s="472"/>
      <c r="BV279" s="472"/>
      <c r="BW279" s="372"/>
      <c r="BX279" s="472"/>
      <c r="BY279" s="372"/>
      <c r="BZ279" s="472"/>
      <c r="CA279" s="372"/>
      <c r="CE279" s="372"/>
      <c r="CF279" s="472"/>
      <c r="CG279" s="472"/>
      <c r="CH279" s="372"/>
      <c r="CI279" s="472"/>
      <c r="CJ279" s="372"/>
      <c r="CK279" s="472"/>
      <c r="CL279" s="372"/>
      <c r="CU279" s="469" t="s">
        <v>5510</v>
      </c>
      <c r="ES279" s="504"/>
      <c r="ET279" s="507"/>
      <c r="EU279" s="585"/>
    </row>
    <row r="280" spans="1:151" x14ac:dyDescent="0.25">
      <c r="A280" s="667">
        <f ca="1"/>
        <v>1</v>
      </c>
      <c r="B280" s="666" t="str">
        <f ca="1"/>
        <v>Acetato de (z)-9-hexadecenila</v>
      </c>
      <c r="H280" s="667">
        <f ca="1"/>
        <v>1</v>
      </c>
      <c r="I280" s="667" t="str">
        <f ca="1"/>
        <v>ESPESSANTE</v>
      </c>
      <c r="BF280" s="469" t="s">
        <v>5510</v>
      </c>
      <c r="BQ280" s="20"/>
      <c r="BT280" s="372"/>
      <c r="BU280" s="472"/>
      <c r="BV280" s="472"/>
      <c r="BW280" s="472"/>
      <c r="BX280" s="472"/>
      <c r="BY280" s="372"/>
      <c r="BZ280" s="372"/>
      <c r="CA280" s="372"/>
      <c r="CE280" s="372"/>
      <c r="CF280" s="472"/>
      <c r="CG280" s="472"/>
      <c r="CH280" s="472"/>
      <c r="CI280" s="472"/>
      <c r="CJ280" s="372"/>
      <c r="CK280" s="372"/>
      <c r="CL280" s="372"/>
      <c r="CU280" s="469" t="s">
        <v>5510</v>
      </c>
      <c r="ES280" s="504"/>
      <c r="ET280" s="507"/>
      <c r="EU280" s="585"/>
    </row>
    <row r="281" spans="1:151" x14ac:dyDescent="0.25">
      <c r="A281" s="667">
        <f ca="1"/>
        <v>1</v>
      </c>
      <c r="B281" s="666" t="str">
        <f ca="1"/>
        <v>Acetato de (e,z)-3,5-dodecadienila</v>
      </c>
      <c r="H281" s="667">
        <f ca="1"/>
        <v>1</v>
      </c>
      <c r="I281" s="667" t="str">
        <f ca="1"/>
        <v>ESTABILIZANTE</v>
      </c>
      <c r="BF281" s="469" t="s">
        <v>5510</v>
      </c>
      <c r="BQ281" s="20"/>
      <c r="BT281" s="372"/>
      <c r="BU281" s="472"/>
      <c r="BV281" s="472"/>
      <c r="BW281" s="472"/>
      <c r="BX281" s="472"/>
      <c r="BY281" s="372"/>
      <c r="BZ281" s="372"/>
      <c r="CA281" s="372"/>
      <c r="CE281" s="372"/>
      <c r="CF281" s="472"/>
      <c r="CG281" s="472"/>
      <c r="CH281" s="472"/>
      <c r="CI281" s="472"/>
      <c r="CJ281" s="372"/>
      <c r="CK281" s="372"/>
      <c r="CL281" s="372"/>
      <c r="CU281" s="469" t="s">
        <v>5510</v>
      </c>
      <c r="ES281" s="504"/>
      <c r="ET281" s="507"/>
      <c r="EU281" s="585"/>
    </row>
    <row r="282" spans="1:151" x14ac:dyDescent="0.25">
      <c r="A282" s="667">
        <f ca="1"/>
        <v>1</v>
      </c>
      <c r="B282" s="666" t="str">
        <f ca="1"/>
        <v>Acibenzolar-s-metílico</v>
      </c>
      <c r="H282" s="667">
        <f ca="1"/>
        <v>1</v>
      </c>
      <c r="I282" s="667" t="str">
        <f ca="1"/>
        <v>EXCIPIENTE</v>
      </c>
      <c r="BF282" s="469" t="s">
        <v>5510</v>
      </c>
      <c r="BG282" s="469">
        <v>1</v>
      </c>
      <c r="BH282" s="539" t="s">
        <v>8055</v>
      </c>
      <c r="BI282" s="539">
        <f>BI277+$BO$5</f>
        <v>302</v>
      </c>
      <c r="BJ282" s="539" cm="1">
        <f t="array" aca="1" ref="BJ282" ca="1">INDIRECT($BM$2&amp;BJ$7&amp;$BI282,1)</f>
        <v>0</v>
      </c>
      <c r="BK282" s="539" cm="1">
        <f t="array" aca="1" ref="BK282" ca="1">INDIRECT($BM$2&amp;BK$7&amp;$BI282,1)</f>
        <v>0</v>
      </c>
      <c r="BL282" s="539" cm="1">
        <f t="array" aca="1" ref="BL282" ca="1">INDIRECT($BM$2&amp;BL$7&amp;$BI282,1)</f>
        <v>0</v>
      </c>
      <c r="BM282" s="539" cm="1">
        <f t="array" aca="1" ref="BM282" ca="1">INDIRECT($BM$2&amp;BM$7&amp;$BI282,1)</f>
        <v>0</v>
      </c>
      <c r="BN282" s="539" cm="1">
        <f t="array" aca="1" ref="BN282" ca="1">INDIRECT($BM$2&amp;BN$7&amp;$BI282,1)</f>
        <v>0</v>
      </c>
      <c r="BO282" s="539" t="str">
        <f ca="1">IFERROR(BK282/BK$282,"-")</f>
        <v>-</v>
      </c>
      <c r="BP282" s="540" t="s">
        <v>8221</v>
      </c>
      <c r="BQ282" s="20"/>
      <c r="BR282" s="469">
        <v>1</v>
      </c>
      <c r="BS282" s="539" t="s">
        <v>8055</v>
      </c>
      <c r="BT282" s="539">
        <f>BT277+$BO$5</f>
        <v>648</v>
      </c>
      <c r="BU282" s="539" cm="1">
        <f t="array" aca="1" ref="BU282" ca="1">INDIRECT($BM$2&amp;BU$7&amp;$BT282,1)</f>
        <v>0</v>
      </c>
      <c r="BV282" s="539" cm="1">
        <f t="array" aca="1" ref="BV282" ca="1">INDIRECT($BM$2&amp;BV$7&amp;$BT282,1)</f>
        <v>0</v>
      </c>
      <c r="BW282" s="539" cm="1">
        <f t="array" aca="1" ref="BW282" ca="1">INDIRECT($BM$2&amp;BW$7&amp;$BT282,1)</f>
        <v>0</v>
      </c>
      <c r="BX282" s="539" cm="1">
        <f t="array" aca="1" ref="BX282" ca="1">INDIRECT($BM$2&amp;BX$7&amp;$BT282,1)</f>
        <v>0</v>
      </c>
      <c r="BY282" s="539" cm="1">
        <f t="array" aca="1" ref="BY282" ca="1">INDIRECT($BM$2&amp;BY$7&amp;$BT282,1)</f>
        <v>0</v>
      </c>
      <c r="BZ282" s="539" t="str">
        <f ca="1">IFERROR(BV282/BV$282,"-")</f>
        <v>-</v>
      </c>
      <c r="CA282" s="540" t="s">
        <v>8221</v>
      </c>
      <c r="CC282" s="469">
        <v>1</v>
      </c>
      <c r="CD282" s="539" t="s">
        <v>8055</v>
      </c>
      <c r="CE282" s="539">
        <f>CE277+$BO$5</f>
        <v>994</v>
      </c>
      <c r="CF282" s="539" cm="1">
        <f t="array" aca="1" ref="CF282" ca="1">INDIRECT($BM$2&amp;CF$7&amp;$CE282,1)</f>
        <v>0</v>
      </c>
      <c r="CG282" s="539" cm="1">
        <f t="array" aca="1" ref="CG282" ca="1">INDIRECT($BM$2&amp;CG$7&amp;$CE282,1)</f>
        <v>0</v>
      </c>
      <c r="CH282" s="539" cm="1">
        <f t="array" aca="1" ref="CH282" ca="1">INDIRECT($BM$2&amp;CH$7&amp;$CE282,1)</f>
        <v>0</v>
      </c>
      <c r="CI282" s="539" cm="1">
        <f t="array" aca="1" ref="CI282" ca="1">INDIRECT($BM$2&amp;CI$7&amp;$CE282,1)</f>
        <v>0</v>
      </c>
      <c r="CJ282" s="539" cm="1">
        <f t="array" aca="1" ref="CJ282" ca="1">INDIRECT($BM$2&amp;CJ$7&amp;$CE282,1)</f>
        <v>0</v>
      </c>
      <c r="CK282" s="539" t="str">
        <f ca="1">IFERROR(CG282/CG$282,"-")</f>
        <v>-</v>
      </c>
      <c r="CL282" s="540" t="s">
        <v>8221</v>
      </c>
      <c r="CU282" s="469" t="s">
        <v>5510</v>
      </c>
      <c r="ES282" s="504"/>
      <c r="ET282" s="507"/>
      <c r="EU282" s="585"/>
    </row>
    <row r="283" spans="1:151" x14ac:dyDescent="0.25">
      <c r="A283" s="667">
        <f ca="1"/>
        <v>1</v>
      </c>
      <c r="B283" s="666" t="str">
        <f ca="1"/>
        <v>Acetato de (e)-8-dodecenila</v>
      </c>
      <c r="H283" s="667">
        <f ca="1"/>
        <v>1</v>
      </c>
      <c r="I283" s="667" t="str">
        <f ca="1"/>
        <v>FIXADOR</v>
      </c>
      <c r="BF283" s="469" t="s">
        <v>5510</v>
      </c>
      <c r="BG283" s="469">
        <v>2</v>
      </c>
      <c r="BH283" s="539" t="s">
        <v>8055</v>
      </c>
      <c r="BI283" s="539">
        <f t="shared" ref="BI283:BI293" si="156">BI282+1</f>
        <v>303</v>
      </c>
      <c r="BJ283" s="539" cm="1">
        <f t="array" aca="1" ref="BJ283" ca="1">INDIRECT($BM$2&amp;BJ$7&amp;$BI283,1)</f>
        <v>0</v>
      </c>
      <c r="BK283" s="539" cm="1">
        <f t="array" aca="1" ref="BK283" ca="1">INDIRECT($BM$2&amp;BK$7&amp;$BI283,1)</f>
        <v>0</v>
      </c>
      <c r="BL283" s="539" cm="1">
        <f t="array" aca="1" ref="BL283" ca="1">INDIRECT($BM$2&amp;BL$7&amp;$BI283,1)</f>
        <v>0</v>
      </c>
      <c r="BM283" s="539" cm="1">
        <f t="array" aca="1" ref="BM283" ca="1">INDIRECT($BM$2&amp;BM$7&amp;$BI283,1)</f>
        <v>0</v>
      </c>
      <c r="BN283" s="539" cm="1">
        <f t="array" aca="1" ref="BN283" ca="1">INDIRECT($BM$2&amp;BN$7&amp;$BI283,1)</f>
        <v>0</v>
      </c>
      <c r="BO283" s="539" t="str">
        <f t="shared" ref="BO283:BO293" ca="1" si="157">IF(BK283=0,"-",IFERROR(BK283/BK$282,"-"))</f>
        <v>-</v>
      </c>
      <c r="BP283" s="494" t="s">
        <v>8222</v>
      </c>
      <c r="BQ283" s="20"/>
      <c r="BR283" s="469">
        <v>2</v>
      </c>
      <c r="BS283" s="539" t="s">
        <v>8055</v>
      </c>
      <c r="BT283" s="539">
        <f t="shared" ref="BT283:BT293" si="158">BT282+1</f>
        <v>649</v>
      </c>
      <c r="BU283" s="539" cm="1">
        <f t="array" aca="1" ref="BU283" ca="1">INDIRECT($BM$2&amp;BU$7&amp;$BT283,1)</f>
        <v>0</v>
      </c>
      <c r="BV283" s="539" cm="1">
        <f t="array" aca="1" ref="BV283" ca="1">INDIRECT($BM$2&amp;BV$7&amp;$BT283,1)</f>
        <v>0</v>
      </c>
      <c r="BW283" s="539" cm="1">
        <f t="array" aca="1" ref="BW283" ca="1">INDIRECT($BM$2&amp;BW$7&amp;$BT283,1)</f>
        <v>0</v>
      </c>
      <c r="BX283" s="539" cm="1">
        <f t="array" aca="1" ref="BX283" ca="1">INDIRECT($BM$2&amp;BX$7&amp;$BT283,1)</f>
        <v>0</v>
      </c>
      <c r="BY283" s="539" cm="1">
        <f t="array" aca="1" ref="BY283" ca="1">INDIRECT($BM$2&amp;BY$7&amp;$BT283,1)</f>
        <v>0</v>
      </c>
      <c r="BZ283" s="539" t="str">
        <f t="shared" ref="BZ283:BZ293" ca="1" si="159">IF(BV283=0,"-",IFERROR(BV283/BV$282,"-"))</f>
        <v>-</v>
      </c>
      <c r="CA283" s="494" t="s">
        <v>8222</v>
      </c>
      <c r="CC283" s="469">
        <v>2</v>
      </c>
      <c r="CD283" s="539" t="s">
        <v>8055</v>
      </c>
      <c r="CE283" s="539">
        <f t="shared" ref="CE283:CE293" si="160">CE282+1</f>
        <v>995</v>
      </c>
      <c r="CF283" s="539" cm="1">
        <f t="array" aca="1" ref="CF283" ca="1">INDIRECT($BM$2&amp;CF$7&amp;$CE283,1)</f>
        <v>0</v>
      </c>
      <c r="CG283" s="539" cm="1">
        <f t="array" aca="1" ref="CG283" ca="1">INDIRECT($BM$2&amp;CG$7&amp;$CE283,1)</f>
        <v>0</v>
      </c>
      <c r="CH283" s="539" cm="1">
        <f t="array" aca="1" ref="CH283" ca="1">INDIRECT($BM$2&amp;CH$7&amp;$CE283,1)</f>
        <v>0</v>
      </c>
      <c r="CI283" s="539" cm="1">
        <f t="array" aca="1" ref="CI283" ca="1">INDIRECT($BM$2&amp;CI$7&amp;$CE283,1)</f>
        <v>0</v>
      </c>
      <c r="CJ283" s="539" cm="1">
        <f t="array" aca="1" ref="CJ283" ca="1">INDIRECT($BM$2&amp;CJ$7&amp;$CE283,1)</f>
        <v>0</v>
      </c>
      <c r="CK283" s="539" t="str">
        <f t="shared" ref="CK283:CK293" ca="1" si="161">IF(CG283=0,"-",IFERROR(CG283/CG$282,"-"))</f>
        <v>-</v>
      </c>
      <c r="CL283" s="494" t="s">
        <v>8222</v>
      </c>
      <c r="CU283" s="469" t="s">
        <v>5510</v>
      </c>
      <c r="ES283" s="504"/>
      <c r="ET283" s="507"/>
      <c r="EU283" s="585"/>
    </row>
    <row r="284" spans="1:151" x14ac:dyDescent="0.25">
      <c r="A284" s="667">
        <f ca="1"/>
        <v>1</v>
      </c>
      <c r="B284" s="666" t="str">
        <f ca="1"/>
        <v>Acetato de (z)-8-dodecenila</v>
      </c>
      <c r="H284" s="667">
        <f ca="1"/>
        <v>1</v>
      </c>
      <c r="I284" s="667" t="str">
        <f ca="1"/>
        <v>FUNGICIDA</v>
      </c>
      <c r="BF284" s="469" t="s">
        <v>5510</v>
      </c>
      <c r="BG284" s="469">
        <v>3</v>
      </c>
      <c r="BH284" s="539" t="s">
        <v>8055</v>
      </c>
      <c r="BI284" s="539">
        <f t="shared" si="156"/>
        <v>304</v>
      </c>
      <c r="BJ284" s="539" cm="1">
        <f t="array" aca="1" ref="BJ284" ca="1">INDIRECT($BM$2&amp;BJ$7&amp;$BI284,1)</f>
        <v>0</v>
      </c>
      <c r="BK284" s="539" cm="1">
        <f t="array" aca="1" ref="BK284" ca="1">INDIRECT($BM$2&amp;BK$7&amp;$BI284,1)</f>
        <v>0</v>
      </c>
      <c r="BL284" s="539" cm="1">
        <f t="array" aca="1" ref="BL284" ca="1">INDIRECT($BM$2&amp;BL$7&amp;$BI284,1)</f>
        <v>0</v>
      </c>
      <c r="BM284" s="539" cm="1">
        <f t="array" aca="1" ref="BM284" ca="1">INDIRECT($BM$2&amp;BM$7&amp;$BI284,1)</f>
        <v>0</v>
      </c>
      <c r="BN284" s="539" cm="1">
        <f t="array" aca="1" ref="BN284" ca="1">INDIRECT($BM$2&amp;BN$7&amp;$BI284,1)</f>
        <v>0</v>
      </c>
      <c r="BO284" s="539" t="str">
        <f t="shared" ca="1" si="157"/>
        <v>-</v>
      </c>
      <c r="BP284" s="494" t="s">
        <v>8222</v>
      </c>
      <c r="BQ284" s="20"/>
      <c r="BR284" s="469">
        <v>3</v>
      </c>
      <c r="BS284" s="539" t="s">
        <v>8055</v>
      </c>
      <c r="BT284" s="539">
        <f t="shared" si="158"/>
        <v>650</v>
      </c>
      <c r="BU284" s="539" cm="1">
        <f t="array" aca="1" ref="BU284" ca="1">INDIRECT($BM$2&amp;BU$7&amp;$BT284,1)</f>
        <v>0</v>
      </c>
      <c r="BV284" s="539" cm="1">
        <f t="array" aca="1" ref="BV284" ca="1">INDIRECT($BM$2&amp;BV$7&amp;$BT284,1)</f>
        <v>0</v>
      </c>
      <c r="BW284" s="539" cm="1">
        <f t="array" aca="1" ref="BW284" ca="1">INDIRECT($BM$2&amp;BW$7&amp;$BT284,1)</f>
        <v>0</v>
      </c>
      <c r="BX284" s="539" cm="1">
        <f t="array" aca="1" ref="BX284" ca="1">INDIRECT($BM$2&amp;BX$7&amp;$BT284,1)</f>
        <v>0</v>
      </c>
      <c r="BY284" s="539" cm="1">
        <f t="array" aca="1" ref="BY284" ca="1">INDIRECT($BM$2&amp;BY$7&amp;$BT284,1)</f>
        <v>0</v>
      </c>
      <c r="BZ284" s="539" t="str">
        <f t="shared" ca="1" si="159"/>
        <v>-</v>
      </c>
      <c r="CA284" s="494" t="s">
        <v>8222</v>
      </c>
      <c r="CC284" s="469">
        <v>3</v>
      </c>
      <c r="CD284" s="539" t="s">
        <v>8055</v>
      </c>
      <c r="CE284" s="539">
        <f t="shared" si="160"/>
        <v>996</v>
      </c>
      <c r="CF284" s="539" cm="1">
        <f t="array" aca="1" ref="CF284" ca="1">INDIRECT($BM$2&amp;CF$7&amp;$CE284,1)</f>
        <v>0</v>
      </c>
      <c r="CG284" s="539" cm="1">
        <f t="array" aca="1" ref="CG284" ca="1">INDIRECT($BM$2&amp;CG$7&amp;$CE284,1)</f>
        <v>0</v>
      </c>
      <c r="CH284" s="539" cm="1">
        <f t="array" aca="1" ref="CH284" ca="1">INDIRECT($BM$2&amp;CH$7&amp;$CE284,1)</f>
        <v>0</v>
      </c>
      <c r="CI284" s="539" cm="1">
        <f t="array" aca="1" ref="CI284" ca="1">INDIRECT($BM$2&amp;CI$7&amp;$CE284,1)</f>
        <v>0</v>
      </c>
      <c r="CJ284" s="539" cm="1">
        <f t="array" aca="1" ref="CJ284" ca="1">INDIRECT($BM$2&amp;CJ$7&amp;$CE284,1)</f>
        <v>0</v>
      </c>
      <c r="CK284" s="539" t="str">
        <f t="shared" ca="1" si="161"/>
        <v>-</v>
      </c>
      <c r="CL284" s="494" t="s">
        <v>8222</v>
      </c>
      <c r="CU284" s="469" t="s">
        <v>5510</v>
      </c>
      <c r="ES284" s="504"/>
      <c r="ET284" s="507"/>
      <c r="EU284" s="585"/>
    </row>
    <row r="285" spans="1:151" x14ac:dyDescent="0.25">
      <c r="A285" s="667">
        <f ca="1"/>
        <v>1</v>
      </c>
      <c r="B285" s="666" t="str">
        <f ca="1"/>
        <v>Amicarbazona</v>
      </c>
      <c r="H285" s="667">
        <f ca="1"/>
        <v>1</v>
      </c>
      <c r="I285" s="667" t="str">
        <f ca="1"/>
        <v>HIDRATANTE</v>
      </c>
      <c r="BF285" s="469" t="s">
        <v>5510</v>
      </c>
      <c r="BG285" s="469">
        <v>4</v>
      </c>
      <c r="BH285" s="539" t="s">
        <v>8055</v>
      </c>
      <c r="BI285" s="539">
        <f t="shared" si="156"/>
        <v>305</v>
      </c>
      <c r="BJ285" s="539" cm="1">
        <f t="array" aca="1" ref="BJ285" ca="1">INDIRECT($BM$2&amp;BJ$7&amp;$BI285,1)</f>
        <v>0</v>
      </c>
      <c r="BK285" s="539" cm="1">
        <f t="array" aca="1" ref="BK285" ca="1">INDIRECT($BM$2&amp;BK$7&amp;$BI285,1)</f>
        <v>0</v>
      </c>
      <c r="BL285" s="539" cm="1">
        <f t="array" aca="1" ref="BL285" ca="1">INDIRECT($BM$2&amp;BL$7&amp;$BI285,1)</f>
        <v>0</v>
      </c>
      <c r="BM285" s="539" cm="1">
        <f t="array" aca="1" ref="BM285" ca="1">INDIRECT($BM$2&amp;BM$7&amp;$BI285,1)</f>
        <v>0</v>
      </c>
      <c r="BN285" s="539" cm="1">
        <f t="array" aca="1" ref="BN285" ca="1">INDIRECT($BM$2&amp;BN$7&amp;$BI285,1)</f>
        <v>0</v>
      </c>
      <c r="BO285" s="539" t="str">
        <f t="shared" ca="1" si="157"/>
        <v>-</v>
      </c>
      <c r="BP285" s="494" t="s">
        <v>8222</v>
      </c>
      <c r="BQ285" s="20"/>
      <c r="BR285" s="469">
        <v>4</v>
      </c>
      <c r="BS285" s="539" t="s">
        <v>8055</v>
      </c>
      <c r="BT285" s="539">
        <f t="shared" si="158"/>
        <v>651</v>
      </c>
      <c r="BU285" s="539" cm="1">
        <f t="array" aca="1" ref="BU285" ca="1">INDIRECT($BM$2&amp;BU$7&amp;$BT285,1)</f>
        <v>0</v>
      </c>
      <c r="BV285" s="539" cm="1">
        <f t="array" aca="1" ref="BV285" ca="1">INDIRECT($BM$2&amp;BV$7&amp;$BT285,1)</f>
        <v>0</v>
      </c>
      <c r="BW285" s="539" cm="1">
        <f t="array" aca="1" ref="BW285" ca="1">INDIRECT($BM$2&amp;BW$7&amp;$BT285,1)</f>
        <v>0</v>
      </c>
      <c r="BX285" s="539" cm="1">
        <f t="array" aca="1" ref="BX285" ca="1">INDIRECT($BM$2&amp;BX$7&amp;$BT285,1)</f>
        <v>0</v>
      </c>
      <c r="BY285" s="539" cm="1">
        <f t="array" aca="1" ref="BY285" ca="1">INDIRECT($BM$2&amp;BY$7&amp;$BT285,1)</f>
        <v>0</v>
      </c>
      <c r="BZ285" s="539" t="str">
        <f t="shared" ca="1" si="159"/>
        <v>-</v>
      </c>
      <c r="CA285" s="494" t="s">
        <v>8222</v>
      </c>
      <c r="CC285" s="469">
        <v>4</v>
      </c>
      <c r="CD285" s="539" t="s">
        <v>8055</v>
      </c>
      <c r="CE285" s="539">
        <f t="shared" si="160"/>
        <v>997</v>
      </c>
      <c r="CF285" s="539" cm="1">
        <f t="array" aca="1" ref="CF285" ca="1">INDIRECT($BM$2&amp;CF$7&amp;$CE285,1)</f>
        <v>0</v>
      </c>
      <c r="CG285" s="539" cm="1">
        <f t="array" aca="1" ref="CG285" ca="1">INDIRECT($BM$2&amp;CG$7&amp;$CE285,1)</f>
        <v>0</v>
      </c>
      <c r="CH285" s="539" cm="1">
        <f t="array" aca="1" ref="CH285" ca="1">INDIRECT($BM$2&amp;CH$7&amp;$CE285,1)</f>
        <v>0</v>
      </c>
      <c r="CI285" s="539" cm="1">
        <f t="array" aca="1" ref="CI285" ca="1">INDIRECT($BM$2&amp;CI$7&amp;$CE285,1)</f>
        <v>0</v>
      </c>
      <c r="CJ285" s="539" cm="1">
        <f t="array" aca="1" ref="CJ285" ca="1">INDIRECT($BM$2&amp;CJ$7&amp;$CE285,1)</f>
        <v>0</v>
      </c>
      <c r="CK285" s="539" t="str">
        <f t="shared" ca="1" si="161"/>
        <v>-</v>
      </c>
      <c r="CL285" s="494" t="s">
        <v>8222</v>
      </c>
      <c r="CU285" s="469" t="s">
        <v>5510</v>
      </c>
      <c r="ES285" s="504"/>
      <c r="ET285" s="507"/>
      <c r="EU285" s="585"/>
    </row>
    <row r="286" spans="1:151" x14ac:dyDescent="0.25">
      <c r="A286" s="667">
        <f ca="1"/>
        <v>1</v>
      </c>
      <c r="B286" s="666" t="str">
        <f ca="1"/>
        <v>Acetato de (z)-11-hexadecenila</v>
      </c>
      <c r="H286" s="667">
        <f ca="1"/>
        <v>1</v>
      </c>
      <c r="I286" s="667" t="str">
        <f ca="1"/>
        <v>LEVIGANTE</v>
      </c>
      <c r="BF286" s="469" t="s">
        <v>5510</v>
      </c>
      <c r="BG286" s="469">
        <v>5</v>
      </c>
      <c r="BH286" s="539" t="s">
        <v>8055</v>
      </c>
      <c r="BI286" s="539">
        <f t="shared" si="156"/>
        <v>306</v>
      </c>
      <c r="BJ286" s="539" cm="1">
        <f t="array" aca="1" ref="BJ286" ca="1">INDIRECT($BM$2&amp;BJ$7&amp;$BI286,1)</f>
        <v>0</v>
      </c>
      <c r="BK286" s="539" cm="1">
        <f t="array" aca="1" ref="BK286" ca="1">INDIRECT($BM$2&amp;BK$7&amp;$BI286,1)</f>
        <v>0</v>
      </c>
      <c r="BL286" s="539" cm="1">
        <f t="array" aca="1" ref="BL286" ca="1">INDIRECT($BM$2&amp;BL$7&amp;$BI286,1)</f>
        <v>0</v>
      </c>
      <c r="BM286" s="539" cm="1">
        <f t="array" aca="1" ref="BM286" ca="1">INDIRECT($BM$2&amp;BM$7&amp;$BI286,1)</f>
        <v>0</v>
      </c>
      <c r="BN286" s="539" cm="1">
        <f t="array" aca="1" ref="BN286" ca="1">INDIRECT($BM$2&amp;BN$7&amp;$BI286,1)</f>
        <v>0</v>
      </c>
      <c r="BO286" s="539" t="str">
        <f t="shared" ca="1" si="157"/>
        <v>-</v>
      </c>
      <c r="BP286" s="494" t="s">
        <v>8222</v>
      </c>
      <c r="BQ286" s="20"/>
      <c r="BR286" s="469">
        <v>5</v>
      </c>
      <c r="BS286" s="539" t="s">
        <v>8055</v>
      </c>
      <c r="BT286" s="539">
        <f t="shared" si="158"/>
        <v>652</v>
      </c>
      <c r="BU286" s="539" cm="1">
        <f t="array" aca="1" ref="BU286" ca="1">INDIRECT($BM$2&amp;BU$7&amp;$BT286,1)</f>
        <v>0</v>
      </c>
      <c r="BV286" s="539" cm="1">
        <f t="array" aca="1" ref="BV286" ca="1">INDIRECT($BM$2&amp;BV$7&amp;$BT286,1)</f>
        <v>0</v>
      </c>
      <c r="BW286" s="539" cm="1">
        <f t="array" aca="1" ref="BW286" ca="1">INDIRECT($BM$2&amp;BW$7&amp;$BT286,1)</f>
        <v>0</v>
      </c>
      <c r="BX286" s="539" cm="1">
        <f t="array" aca="1" ref="BX286" ca="1">INDIRECT($BM$2&amp;BX$7&amp;$BT286,1)</f>
        <v>0</v>
      </c>
      <c r="BY286" s="539" cm="1">
        <f t="array" aca="1" ref="BY286" ca="1">INDIRECT($BM$2&amp;BY$7&amp;$BT286,1)</f>
        <v>0</v>
      </c>
      <c r="BZ286" s="539" t="str">
        <f t="shared" ca="1" si="159"/>
        <v>-</v>
      </c>
      <c r="CA286" s="494" t="s">
        <v>8222</v>
      </c>
      <c r="CC286" s="469">
        <v>5</v>
      </c>
      <c r="CD286" s="539" t="s">
        <v>8055</v>
      </c>
      <c r="CE286" s="539">
        <f t="shared" si="160"/>
        <v>998</v>
      </c>
      <c r="CF286" s="539" cm="1">
        <f t="array" aca="1" ref="CF286" ca="1">INDIRECT($BM$2&amp;CF$7&amp;$CE286,1)</f>
        <v>0</v>
      </c>
      <c r="CG286" s="539" cm="1">
        <f t="array" aca="1" ref="CG286" ca="1">INDIRECT($BM$2&amp;CG$7&amp;$CE286,1)</f>
        <v>0</v>
      </c>
      <c r="CH286" s="539" cm="1">
        <f t="array" aca="1" ref="CH286" ca="1">INDIRECT($BM$2&amp;CH$7&amp;$CE286,1)</f>
        <v>0</v>
      </c>
      <c r="CI286" s="539" cm="1">
        <f t="array" aca="1" ref="CI286" ca="1">INDIRECT($BM$2&amp;CI$7&amp;$CE286,1)</f>
        <v>0</v>
      </c>
      <c r="CJ286" s="539" cm="1">
        <f t="array" aca="1" ref="CJ286" ca="1">INDIRECT($BM$2&amp;CJ$7&amp;$CE286,1)</f>
        <v>0</v>
      </c>
      <c r="CK286" s="539" t="str">
        <f t="shared" ca="1" si="161"/>
        <v>-</v>
      </c>
      <c r="CL286" s="494" t="s">
        <v>8222</v>
      </c>
      <c r="CU286" s="469" t="s">
        <v>5510</v>
      </c>
      <c r="ES286" s="504"/>
      <c r="ET286" s="507"/>
      <c r="EU286" s="585"/>
    </row>
    <row r="287" spans="1:151" x14ac:dyDescent="0.25">
      <c r="A287" s="667">
        <f ca="1"/>
        <v>1</v>
      </c>
      <c r="B287" s="666" t="str">
        <f ca="1"/>
        <v>Acetato de (z)-7-dodecenila</v>
      </c>
      <c r="H287" s="667">
        <f ca="1"/>
        <v>1</v>
      </c>
      <c r="I287" s="667" t="str">
        <f ca="1"/>
        <v>LUBRIFICANTE</v>
      </c>
      <c r="BF287" s="469" t="s">
        <v>5510</v>
      </c>
      <c r="BG287" s="469">
        <v>6</v>
      </c>
      <c r="BH287" s="539" t="s">
        <v>8055</v>
      </c>
      <c r="BI287" s="539">
        <f t="shared" si="156"/>
        <v>307</v>
      </c>
      <c r="BJ287" s="539" cm="1">
        <f t="array" aca="1" ref="BJ287" ca="1">INDIRECT($BM$2&amp;BJ$7&amp;$BI287,1)</f>
        <v>0</v>
      </c>
      <c r="BK287" s="539" cm="1">
        <f t="array" aca="1" ref="BK287" ca="1">INDIRECT($BM$2&amp;BK$7&amp;$BI287,1)</f>
        <v>0</v>
      </c>
      <c r="BL287" s="539" cm="1">
        <f t="array" aca="1" ref="BL287" ca="1">INDIRECT($BM$2&amp;BL$7&amp;$BI287,1)</f>
        <v>0</v>
      </c>
      <c r="BM287" s="539" cm="1">
        <f t="array" aca="1" ref="BM287" ca="1">INDIRECT($BM$2&amp;BM$7&amp;$BI287,1)</f>
        <v>0</v>
      </c>
      <c r="BN287" s="539" cm="1">
        <f t="array" aca="1" ref="BN287" ca="1">INDIRECT($BM$2&amp;BN$7&amp;$BI287,1)</f>
        <v>0</v>
      </c>
      <c r="BO287" s="539" t="str">
        <f t="shared" ca="1" si="157"/>
        <v>-</v>
      </c>
      <c r="BP287" s="494" t="s">
        <v>8222</v>
      </c>
      <c r="BQ287" s="20"/>
      <c r="BR287" s="469">
        <v>6</v>
      </c>
      <c r="BS287" s="539" t="s">
        <v>8055</v>
      </c>
      <c r="BT287" s="539">
        <f t="shared" si="158"/>
        <v>653</v>
      </c>
      <c r="BU287" s="539" cm="1">
        <f t="array" aca="1" ref="BU287" ca="1">INDIRECT($BM$2&amp;BU$7&amp;$BT287,1)</f>
        <v>0</v>
      </c>
      <c r="BV287" s="539" cm="1">
        <f t="array" aca="1" ref="BV287" ca="1">INDIRECT($BM$2&amp;BV$7&amp;$BT287,1)</f>
        <v>0</v>
      </c>
      <c r="BW287" s="539" cm="1">
        <f t="array" aca="1" ref="BW287" ca="1">INDIRECT($BM$2&amp;BW$7&amp;$BT287,1)</f>
        <v>0</v>
      </c>
      <c r="BX287" s="539" cm="1">
        <f t="array" aca="1" ref="BX287" ca="1">INDIRECT($BM$2&amp;BX$7&amp;$BT287,1)</f>
        <v>0</v>
      </c>
      <c r="BY287" s="539" cm="1">
        <f t="array" aca="1" ref="BY287" ca="1">INDIRECT($BM$2&amp;BY$7&amp;$BT287,1)</f>
        <v>0</v>
      </c>
      <c r="BZ287" s="539" t="str">
        <f t="shared" ca="1" si="159"/>
        <v>-</v>
      </c>
      <c r="CA287" s="494" t="s">
        <v>8222</v>
      </c>
      <c r="CC287" s="469">
        <v>6</v>
      </c>
      <c r="CD287" s="539" t="s">
        <v>8055</v>
      </c>
      <c r="CE287" s="539">
        <f t="shared" si="160"/>
        <v>999</v>
      </c>
      <c r="CF287" s="539" cm="1">
        <f t="array" aca="1" ref="CF287" ca="1">INDIRECT($BM$2&amp;CF$7&amp;$CE287,1)</f>
        <v>0</v>
      </c>
      <c r="CG287" s="539" cm="1">
        <f t="array" aca="1" ref="CG287" ca="1">INDIRECT($BM$2&amp;CG$7&amp;$CE287,1)</f>
        <v>0</v>
      </c>
      <c r="CH287" s="539" cm="1">
        <f t="array" aca="1" ref="CH287" ca="1">INDIRECT($BM$2&amp;CH$7&amp;$CE287,1)</f>
        <v>0</v>
      </c>
      <c r="CI287" s="539" cm="1">
        <f t="array" aca="1" ref="CI287" ca="1">INDIRECT($BM$2&amp;CI$7&amp;$CE287,1)</f>
        <v>0</v>
      </c>
      <c r="CJ287" s="539" cm="1">
        <f t="array" aca="1" ref="CJ287" ca="1">INDIRECT($BM$2&amp;CJ$7&amp;$CE287,1)</f>
        <v>0</v>
      </c>
      <c r="CK287" s="539" t="str">
        <f t="shared" ca="1" si="161"/>
        <v>-</v>
      </c>
      <c r="CL287" s="494" t="s">
        <v>8222</v>
      </c>
      <c r="CU287" s="469" t="s">
        <v>5510</v>
      </c>
      <c r="ES287" s="504"/>
      <c r="ET287" s="507"/>
      <c r="EU287" s="585"/>
    </row>
    <row r="288" spans="1:151" x14ac:dyDescent="0.25">
      <c r="A288" s="667">
        <f ca="1"/>
        <v>1</v>
      </c>
      <c r="B288" s="666" t="str">
        <f ca="1"/>
        <v>Acetato de (z)-9-tetradecenila</v>
      </c>
      <c r="H288" s="667">
        <f ca="1"/>
        <v>1</v>
      </c>
      <c r="I288" s="667" t="str">
        <f ca="1"/>
        <v>NEUTRALIZANTE</v>
      </c>
      <c r="BF288" s="469" t="s">
        <v>5510</v>
      </c>
      <c r="BG288" s="469">
        <v>7</v>
      </c>
      <c r="BH288" s="539" t="s">
        <v>8055</v>
      </c>
      <c r="BI288" s="539">
        <f t="shared" si="156"/>
        <v>308</v>
      </c>
      <c r="BJ288" s="539" cm="1">
        <f t="array" aca="1" ref="BJ288" ca="1">INDIRECT($BM$2&amp;BJ$7&amp;$BI288,1)</f>
        <v>0</v>
      </c>
      <c r="BK288" s="539" cm="1">
        <f t="array" aca="1" ref="BK288" ca="1">INDIRECT($BM$2&amp;BK$7&amp;$BI288,1)</f>
        <v>0</v>
      </c>
      <c r="BL288" s="539" cm="1">
        <f t="array" aca="1" ref="BL288" ca="1">INDIRECT($BM$2&amp;BL$7&amp;$BI288,1)</f>
        <v>0</v>
      </c>
      <c r="BM288" s="539" cm="1">
        <f t="array" aca="1" ref="BM288" ca="1">INDIRECT($BM$2&amp;BM$7&amp;$BI288,1)</f>
        <v>0</v>
      </c>
      <c r="BN288" s="539" cm="1">
        <f t="array" aca="1" ref="BN288" ca="1">INDIRECT($BM$2&amp;BN$7&amp;$BI288,1)</f>
        <v>0</v>
      </c>
      <c r="BO288" s="539" t="str">
        <f t="shared" ca="1" si="157"/>
        <v>-</v>
      </c>
      <c r="BP288" s="494" t="s">
        <v>8222</v>
      </c>
      <c r="BQ288" s="20"/>
      <c r="BR288" s="469">
        <v>7</v>
      </c>
      <c r="BS288" s="539" t="s">
        <v>8055</v>
      </c>
      <c r="BT288" s="539">
        <f t="shared" si="158"/>
        <v>654</v>
      </c>
      <c r="BU288" s="539" cm="1">
        <f t="array" aca="1" ref="BU288" ca="1">INDIRECT($BM$2&amp;BU$7&amp;$BT288,1)</f>
        <v>0</v>
      </c>
      <c r="BV288" s="539" cm="1">
        <f t="array" aca="1" ref="BV288" ca="1">INDIRECT($BM$2&amp;BV$7&amp;$BT288,1)</f>
        <v>0</v>
      </c>
      <c r="BW288" s="539" cm="1">
        <f t="array" aca="1" ref="BW288" ca="1">INDIRECT($BM$2&amp;BW$7&amp;$BT288,1)</f>
        <v>0</v>
      </c>
      <c r="BX288" s="539" cm="1">
        <f t="array" aca="1" ref="BX288" ca="1">INDIRECT($BM$2&amp;BX$7&amp;$BT288,1)</f>
        <v>0</v>
      </c>
      <c r="BY288" s="539" cm="1">
        <f t="array" aca="1" ref="BY288" ca="1">INDIRECT($BM$2&amp;BY$7&amp;$BT288,1)</f>
        <v>0</v>
      </c>
      <c r="BZ288" s="539" t="str">
        <f t="shared" ca="1" si="159"/>
        <v>-</v>
      </c>
      <c r="CA288" s="494" t="s">
        <v>8222</v>
      </c>
      <c r="CC288" s="469">
        <v>7</v>
      </c>
      <c r="CD288" s="539" t="s">
        <v>8055</v>
      </c>
      <c r="CE288" s="539">
        <f t="shared" si="160"/>
        <v>1000</v>
      </c>
      <c r="CF288" s="539" cm="1">
        <f t="array" aca="1" ref="CF288" ca="1">INDIRECT($BM$2&amp;CF$7&amp;$CE288,1)</f>
        <v>0</v>
      </c>
      <c r="CG288" s="539" cm="1">
        <f t="array" aca="1" ref="CG288" ca="1">INDIRECT($BM$2&amp;CG$7&amp;$CE288,1)</f>
        <v>0</v>
      </c>
      <c r="CH288" s="539" cm="1">
        <f t="array" aca="1" ref="CH288" ca="1">INDIRECT($BM$2&amp;CH$7&amp;$CE288,1)</f>
        <v>0</v>
      </c>
      <c r="CI288" s="539" cm="1">
        <f t="array" aca="1" ref="CI288" ca="1">INDIRECT($BM$2&amp;CI$7&amp;$CE288,1)</f>
        <v>0</v>
      </c>
      <c r="CJ288" s="539" cm="1">
        <f t="array" aca="1" ref="CJ288" ca="1">INDIRECT($BM$2&amp;CJ$7&amp;$CE288,1)</f>
        <v>0</v>
      </c>
      <c r="CK288" s="539" t="str">
        <f t="shared" ca="1" si="161"/>
        <v>-</v>
      </c>
      <c r="CL288" s="494" t="s">
        <v>8222</v>
      </c>
      <c r="CU288" s="469" t="s">
        <v>5510</v>
      </c>
      <c r="ES288" s="504"/>
      <c r="ET288" s="507"/>
      <c r="EU288" s="585"/>
    </row>
    <row r="289" spans="1:151" x14ac:dyDescent="0.25">
      <c r="A289" s="667">
        <f ca="1"/>
        <v>1</v>
      </c>
      <c r="B289" s="666" t="str">
        <f ca="1"/>
        <v>Álcool laurílico</v>
      </c>
      <c r="H289" s="667">
        <f ca="1"/>
        <v>1</v>
      </c>
      <c r="I289" s="667" t="str">
        <f ca="1"/>
        <v>NUTRIENTE</v>
      </c>
      <c r="BF289" s="469" t="s">
        <v>5510</v>
      </c>
      <c r="BG289" s="469">
        <v>8</v>
      </c>
      <c r="BH289" s="539" t="s">
        <v>8055</v>
      </c>
      <c r="BI289" s="539">
        <f t="shared" si="156"/>
        <v>309</v>
      </c>
      <c r="BJ289" s="539" cm="1">
        <f t="array" aca="1" ref="BJ289" ca="1">INDIRECT($BM$2&amp;BJ$7&amp;$BI289,1)</f>
        <v>0</v>
      </c>
      <c r="BK289" s="539" cm="1">
        <f t="array" aca="1" ref="BK289" ca="1">INDIRECT($BM$2&amp;BK$7&amp;$BI289,1)</f>
        <v>0</v>
      </c>
      <c r="BL289" s="539" cm="1">
        <f t="array" aca="1" ref="BL289" ca="1">INDIRECT($BM$2&amp;BL$7&amp;$BI289,1)</f>
        <v>0</v>
      </c>
      <c r="BM289" s="539" cm="1">
        <f t="array" aca="1" ref="BM289" ca="1">INDIRECT($BM$2&amp;BM$7&amp;$BI289,1)</f>
        <v>0</v>
      </c>
      <c r="BN289" s="539" cm="1">
        <f t="array" aca="1" ref="BN289" ca="1">INDIRECT($BM$2&amp;BN$7&amp;$BI289,1)</f>
        <v>0</v>
      </c>
      <c r="BO289" s="539" t="str">
        <f t="shared" ca="1" si="157"/>
        <v>-</v>
      </c>
      <c r="BP289" s="494" t="s">
        <v>8222</v>
      </c>
      <c r="BQ289" s="20"/>
      <c r="BR289" s="469">
        <v>8</v>
      </c>
      <c r="BS289" s="539" t="s">
        <v>8055</v>
      </c>
      <c r="BT289" s="539">
        <f t="shared" si="158"/>
        <v>655</v>
      </c>
      <c r="BU289" s="539" cm="1">
        <f t="array" aca="1" ref="BU289" ca="1">INDIRECT($BM$2&amp;BU$7&amp;$BT289,1)</f>
        <v>0</v>
      </c>
      <c r="BV289" s="539" cm="1">
        <f t="array" aca="1" ref="BV289" ca="1">INDIRECT($BM$2&amp;BV$7&amp;$BT289,1)</f>
        <v>0</v>
      </c>
      <c r="BW289" s="539" cm="1">
        <f t="array" aca="1" ref="BW289" ca="1">INDIRECT($BM$2&amp;BW$7&amp;$BT289,1)</f>
        <v>0</v>
      </c>
      <c r="BX289" s="539" cm="1">
        <f t="array" aca="1" ref="BX289" ca="1">INDIRECT($BM$2&amp;BX$7&amp;$BT289,1)</f>
        <v>0</v>
      </c>
      <c r="BY289" s="539" cm="1">
        <f t="array" aca="1" ref="BY289" ca="1">INDIRECT($BM$2&amp;BY$7&amp;$BT289,1)</f>
        <v>0</v>
      </c>
      <c r="BZ289" s="539" t="str">
        <f t="shared" ca="1" si="159"/>
        <v>-</v>
      </c>
      <c r="CA289" s="494" t="s">
        <v>8222</v>
      </c>
      <c r="CC289" s="469">
        <v>8</v>
      </c>
      <c r="CD289" s="539" t="s">
        <v>8055</v>
      </c>
      <c r="CE289" s="539">
        <f t="shared" si="160"/>
        <v>1001</v>
      </c>
      <c r="CF289" s="539" cm="1">
        <f t="array" aca="1" ref="CF289" ca="1">INDIRECT($BM$2&amp;CF$7&amp;$CE289,1)</f>
        <v>0</v>
      </c>
      <c r="CG289" s="539" cm="1">
        <f t="array" aca="1" ref="CG289" ca="1">INDIRECT($BM$2&amp;CG$7&amp;$CE289,1)</f>
        <v>0</v>
      </c>
      <c r="CH289" s="539" cm="1">
        <f t="array" aca="1" ref="CH289" ca="1">INDIRECT($BM$2&amp;CH$7&amp;$CE289,1)</f>
        <v>0</v>
      </c>
      <c r="CI289" s="539" cm="1">
        <f t="array" aca="1" ref="CI289" ca="1">INDIRECT($BM$2&amp;CI$7&amp;$CE289,1)</f>
        <v>0</v>
      </c>
      <c r="CJ289" s="539" cm="1">
        <f t="array" aca="1" ref="CJ289" ca="1">INDIRECT($BM$2&amp;CJ$7&amp;$CE289,1)</f>
        <v>0</v>
      </c>
      <c r="CK289" s="539" t="str">
        <f t="shared" ca="1" si="161"/>
        <v>-</v>
      </c>
      <c r="CL289" s="494" t="s">
        <v>8222</v>
      </c>
      <c r="CU289" s="469" t="s">
        <v>5510</v>
      </c>
      <c r="ES289" s="504"/>
      <c r="ET289" s="507"/>
      <c r="EU289" s="585"/>
    </row>
    <row r="290" spans="1:151" x14ac:dyDescent="0.25">
      <c r="A290" s="667">
        <f ca="1"/>
        <v>1</v>
      </c>
      <c r="B290" s="666" t="str">
        <f ca="1"/>
        <v>Acetato de (z)-9-dodecenila</v>
      </c>
      <c r="H290" s="667">
        <f ca="1"/>
        <v>1</v>
      </c>
      <c r="I290" s="667" t="str">
        <f ca="1"/>
        <v>PRESERVANTE</v>
      </c>
      <c r="BF290" s="469" t="s">
        <v>5510</v>
      </c>
      <c r="BG290" s="469">
        <v>9</v>
      </c>
      <c r="BH290" s="539" t="s">
        <v>8055</v>
      </c>
      <c r="BI290" s="539">
        <f t="shared" si="156"/>
        <v>310</v>
      </c>
      <c r="BJ290" s="539" cm="1">
        <f t="array" aca="1" ref="BJ290" ca="1">INDIRECT($BM$2&amp;BJ$7&amp;$BI290,1)</f>
        <v>0</v>
      </c>
      <c r="BK290" s="539" cm="1">
        <f t="array" aca="1" ref="BK290" ca="1">INDIRECT($BM$2&amp;BK$7&amp;$BI290,1)</f>
        <v>0</v>
      </c>
      <c r="BL290" s="539" cm="1">
        <f t="array" aca="1" ref="BL290" ca="1">INDIRECT($BM$2&amp;BL$7&amp;$BI290,1)</f>
        <v>0</v>
      </c>
      <c r="BM290" s="539" cm="1">
        <f t="array" aca="1" ref="BM290" ca="1">INDIRECT($BM$2&amp;BM$7&amp;$BI290,1)</f>
        <v>0</v>
      </c>
      <c r="BN290" s="539" cm="1">
        <f t="array" aca="1" ref="BN290" ca="1">INDIRECT($BM$2&amp;BN$7&amp;$BI290,1)</f>
        <v>0</v>
      </c>
      <c r="BO290" s="539" t="str">
        <f t="shared" ca="1" si="157"/>
        <v>-</v>
      </c>
      <c r="BP290" s="494" t="s">
        <v>8222</v>
      </c>
      <c r="BQ290" s="20"/>
      <c r="BR290" s="469">
        <v>9</v>
      </c>
      <c r="BS290" s="539" t="s">
        <v>8055</v>
      </c>
      <c r="BT290" s="539">
        <f t="shared" si="158"/>
        <v>656</v>
      </c>
      <c r="BU290" s="539" cm="1">
        <f t="array" aca="1" ref="BU290" ca="1">INDIRECT($BM$2&amp;BU$7&amp;$BT290,1)</f>
        <v>0</v>
      </c>
      <c r="BV290" s="539" cm="1">
        <f t="array" aca="1" ref="BV290" ca="1">INDIRECT($BM$2&amp;BV$7&amp;$BT290,1)</f>
        <v>0</v>
      </c>
      <c r="BW290" s="539" cm="1">
        <f t="array" aca="1" ref="BW290" ca="1">INDIRECT($BM$2&amp;BW$7&amp;$BT290,1)</f>
        <v>0</v>
      </c>
      <c r="BX290" s="539" cm="1">
        <f t="array" aca="1" ref="BX290" ca="1">INDIRECT($BM$2&amp;BX$7&amp;$BT290,1)</f>
        <v>0</v>
      </c>
      <c r="BY290" s="539" cm="1">
        <f t="array" aca="1" ref="BY290" ca="1">INDIRECT($BM$2&amp;BY$7&amp;$BT290,1)</f>
        <v>0</v>
      </c>
      <c r="BZ290" s="539" t="str">
        <f t="shared" ca="1" si="159"/>
        <v>-</v>
      </c>
      <c r="CA290" s="494" t="s">
        <v>8222</v>
      </c>
      <c r="CC290" s="469">
        <v>9</v>
      </c>
      <c r="CD290" s="539" t="s">
        <v>8055</v>
      </c>
      <c r="CE290" s="539">
        <f t="shared" si="160"/>
        <v>1002</v>
      </c>
      <c r="CF290" s="539" cm="1">
        <f t="array" aca="1" ref="CF290" ca="1">INDIRECT($BM$2&amp;CF$7&amp;$CE290,1)</f>
        <v>0</v>
      </c>
      <c r="CG290" s="539" cm="1">
        <f t="array" aca="1" ref="CG290" ca="1">INDIRECT($BM$2&amp;CG$7&amp;$CE290,1)</f>
        <v>0</v>
      </c>
      <c r="CH290" s="539" cm="1">
        <f t="array" aca="1" ref="CH290" ca="1">INDIRECT($BM$2&amp;CH$7&amp;$CE290,1)</f>
        <v>0</v>
      </c>
      <c r="CI290" s="539" cm="1">
        <f t="array" aca="1" ref="CI290" ca="1">INDIRECT($BM$2&amp;CI$7&amp;$CE290,1)</f>
        <v>0</v>
      </c>
      <c r="CJ290" s="539" cm="1">
        <f t="array" aca="1" ref="CJ290" ca="1">INDIRECT($BM$2&amp;CJ$7&amp;$CE290,1)</f>
        <v>0</v>
      </c>
      <c r="CK290" s="539" t="str">
        <f t="shared" ca="1" si="161"/>
        <v>-</v>
      </c>
      <c r="CL290" s="494" t="s">
        <v>8222</v>
      </c>
      <c r="CU290" s="469" t="s">
        <v>5510</v>
      </c>
      <c r="ES290" s="504"/>
      <c r="ET290" s="507"/>
      <c r="EU290" s="585"/>
    </row>
    <row r="291" spans="1:151" x14ac:dyDescent="0.25">
      <c r="A291" s="667">
        <f ca="1"/>
        <v>1</v>
      </c>
      <c r="B291" s="666" t="str">
        <f ca="1"/>
        <v>Aviglicina</v>
      </c>
      <c r="H291" s="667">
        <f ca="1"/>
        <v>1</v>
      </c>
      <c r="I291" s="667" t="str">
        <f ca="1"/>
        <v>PROTETOR SOLAR</v>
      </c>
      <c r="BF291" s="469" t="s">
        <v>5510</v>
      </c>
      <c r="BG291" s="469">
        <v>10</v>
      </c>
      <c r="BH291" s="539" t="s">
        <v>8055</v>
      </c>
      <c r="BI291" s="539">
        <f t="shared" si="156"/>
        <v>311</v>
      </c>
      <c r="BJ291" s="539" cm="1">
        <f t="array" aca="1" ref="BJ291" ca="1">INDIRECT($BM$2&amp;BJ$7&amp;$BI291,1)</f>
        <v>0</v>
      </c>
      <c r="BK291" s="539" cm="1">
        <f t="array" aca="1" ref="BK291" ca="1">INDIRECT($BM$2&amp;BK$7&amp;$BI291,1)</f>
        <v>0</v>
      </c>
      <c r="BL291" s="539" cm="1">
        <f t="array" aca="1" ref="BL291" ca="1">INDIRECT($BM$2&amp;BL$7&amp;$BI291,1)</f>
        <v>0</v>
      </c>
      <c r="BM291" s="539" cm="1">
        <f t="array" aca="1" ref="BM291" ca="1">INDIRECT($BM$2&amp;BM$7&amp;$BI291,1)</f>
        <v>0</v>
      </c>
      <c r="BN291" s="539" cm="1">
        <f t="array" aca="1" ref="BN291" ca="1">INDIRECT($BM$2&amp;BN$7&amp;$BI291,1)</f>
        <v>0</v>
      </c>
      <c r="BO291" s="539" t="str">
        <f t="shared" ca="1" si="157"/>
        <v>-</v>
      </c>
      <c r="BP291" s="494" t="s">
        <v>8222</v>
      </c>
      <c r="BQ291" s="20"/>
      <c r="BR291" s="469">
        <v>10</v>
      </c>
      <c r="BS291" s="539" t="s">
        <v>8055</v>
      </c>
      <c r="BT291" s="539">
        <f t="shared" si="158"/>
        <v>657</v>
      </c>
      <c r="BU291" s="539" cm="1">
        <f t="array" aca="1" ref="BU291" ca="1">INDIRECT($BM$2&amp;BU$7&amp;$BT291,1)</f>
        <v>0</v>
      </c>
      <c r="BV291" s="539" cm="1">
        <f t="array" aca="1" ref="BV291" ca="1">INDIRECT($BM$2&amp;BV$7&amp;$BT291,1)</f>
        <v>0</v>
      </c>
      <c r="BW291" s="539" cm="1">
        <f t="array" aca="1" ref="BW291" ca="1">INDIRECT($BM$2&amp;BW$7&amp;$BT291,1)</f>
        <v>0</v>
      </c>
      <c r="BX291" s="539" cm="1">
        <f t="array" aca="1" ref="BX291" ca="1">INDIRECT($BM$2&amp;BX$7&amp;$BT291,1)</f>
        <v>0</v>
      </c>
      <c r="BY291" s="539" cm="1">
        <f t="array" aca="1" ref="BY291" ca="1">INDIRECT($BM$2&amp;BY$7&amp;$BT291,1)</f>
        <v>0</v>
      </c>
      <c r="BZ291" s="539" t="str">
        <f t="shared" ca="1" si="159"/>
        <v>-</v>
      </c>
      <c r="CA291" s="494" t="s">
        <v>8222</v>
      </c>
      <c r="CC291" s="469">
        <v>10</v>
      </c>
      <c r="CD291" s="539" t="s">
        <v>8055</v>
      </c>
      <c r="CE291" s="539">
        <f t="shared" si="160"/>
        <v>1003</v>
      </c>
      <c r="CF291" s="539" cm="1">
        <f t="array" aca="1" ref="CF291" ca="1">INDIRECT($BM$2&amp;CF$7&amp;$CE291,1)</f>
        <v>0</v>
      </c>
      <c r="CG291" s="539" cm="1">
        <f t="array" aca="1" ref="CG291" ca="1">INDIRECT($BM$2&amp;CG$7&amp;$CE291,1)</f>
        <v>0</v>
      </c>
      <c r="CH291" s="539" cm="1">
        <f t="array" aca="1" ref="CH291" ca="1">INDIRECT($BM$2&amp;CH$7&amp;$CE291,1)</f>
        <v>0</v>
      </c>
      <c r="CI291" s="539" cm="1">
        <f t="array" aca="1" ref="CI291" ca="1">INDIRECT($BM$2&amp;CI$7&amp;$CE291,1)</f>
        <v>0</v>
      </c>
      <c r="CJ291" s="539" cm="1">
        <f t="array" aca="1" ref="CJ291" ca="1">INDIRECT($BM$2&amp;CJ$7&amp;$CE291,1)</f>
        <v>0</v>
      </c>
      <c r="CK291" s="539" t="str">
        <f t="shared" ca="1" si="161"/>
        <v>-</v>
      </c>
      <c r="CL291" s="494" t="s">
        <v>8222</v>
      </c>
      <c r="CU291" s="469" t="s">
        <v>5510</v>
      </c>
      <c r="ES291" s="504"/>
      <c r="ET291" s="507"/>
      <c r="EU291" s="585"/>
    </row>
    <row r="292" spans="1:151" x14ac:dyDescent="0.25">
      <c r="A292" s="667">
        <f ca="1"/>
        <v>1</v>
      </c>
      <c r="B292" s="666" t="str">
        <f ca="1"/>
        <v>Cloridrato de aviglicina</v>
      </c>
      <c r="H292" s="667">
        <f ca="1"/>
        <v>1</v>
      </c>
      <c r="I292" s="667" t="str">
        <f ca="1"/>
        <v>PROTETOR UV</v>
      </c>
      <c r="BF292" s="469" t="s">
        <v>5510</v>
      </c>
      <c r="BG292" s="469">
        <v>11</v>
      </c>
      <c r="BH292" s="539" t="s">
        <v>8055</v>
      </c>
      <c r="BI292" s="539">
        <f t="shared" si="156"/>
        <v>312</v>
      </c>
      <c r="BJ292" s="539" cm="1">
        <f t="array" aca="1" ref="BJ292" ca="1">INDIRECT($BM$2&amp;BJ$7&amp;$BI292,1)</f>
        <v>0</v>
      </c>
      <c r="BK292" s="539" cm="1">
        <f t="array" aca="1" ref="BK292" ca="1">INDIRECT($BM$2&amp;BK$7&amp;$BI292,1)</f>
        <v>0</v>
      </c>
      <c r="BL292" s="539" cm="1">
        <f t="array" aca="1" ref="BL292" ca="1">INDIRECT($BM$2&amp;BL$7&amp;$BI292,1)</f>
        <v>0</v>
      </c>
      <c r="BM292" s="539" cm="1">
        <f t="array" aca="1" ref="BM292" ca="1">INDIRECT($BM$2&amp;BM$7&amp;$BI292,1)</f>
        <v>0</v>
      </c>
      <c r="BN292" s="539" cm="1">
        <f t="array" aca="1" ref="BN292" ca="1">INDIRECT($BM$2&amp;BN$7&amp;$BI292,1)</f>
        <v>0</v>
      </c>
      <c r="BO292" s="539" t="str">
        <f t="shared" ca="1" si="157"/>
        <v>-</v>
      </c>
      <c r="BP292" s="494" t="s">
        <v>8222</v>
      </c>
      <c r="BQ292" s="20"/>
      <c r="BR292" s="469">
        <v>11</v>
      </c>
      <c r="BS292" s="539" t="s">
        <v>8055</v>
      </c>
      <c r="BT292" s="539">
        <f t="shared" si="158"/>
        <v>658</v>
      </c>
      <c r="BU292" s="539" cm="1">
        <f t="array" aca="1" ref="BU292" ca="1">INDIRECT($BM$2&amp;BU$7&amp;$BT292,1)</f>
        <v>0</v>
      </c>
      <c r="BV292" s="539" cm="1">
        <f t="array" aca="1" ref="BV292" ca="1">INDIRECT($BM$2&amp;BV$7&amp;$BT292,1)</f>
        <v>0</v>
      </c>
      <c r="BW292" s="539" cm="1">
        <f t="array" aca="1" ref="BW292" ca="1">INDIRECT($BM$2&amp;BW$7&amp;$BT292,1)</f>
        <v>0</v>
      </c>
      <c r="BX292" s="539" cm="1">
        <f t="array" aca="1" ref="BX292" ca="1">INDIRECT($BM$2&amp;BX$7&amp;$BT292,1)</f>
        <v>0</v>
      </c>
      <c r="BY292" s="539" cm="1">
        <f t="array" aca="1" ref="BY292" ca="1">INDIRECT($BM$2&amp;BY$7&amp;$BT292,1)</f>
        <v>0</v>
      </c>
      <c r="BZ292" s="539" t="str">
        <f t="shared" ca="1" si="159"/>
        <v>-</v>
      </c>
      <c r="CA292" s="494" t="s">
        <v>8222</v>
      </c>
      <c r="CC292" s="469">
        <v>11</v>
      </c>
      <c r="CD292" s="539" t="s">
        <v>8055</v>
      </c>
      <c r="CE292" s="539">
        <f t="shared" si="160"/>
        <v>1004</v>
      </c>
      <c r="CF292" s="539" cm="1">
        <f t="array" aca="1" ref="CF292" ca="1">INDIRECT($BM$2&amp;CF$7&amp;$CE292,1)</f>
        <v>0</v>
      </c>
      <c r="CG292" s="539" cm="1">
        <f t="array" aca="1" ref="CG292" ca="1">INDIRECT($BM$2&amp;CG$7&amp;$CE292,1)</f>
        <v>0</v>
      </c>
      <c r="CH292" s="539" cm="1">
        <f t="array" aca="1" ref="CH292" ca="1">INDIRECT($BM$2&amp;CH$7&amp;$CE292,1)</f>
        <v>0</v>
      </c>
      <c r="CI292" s="539" cm="1">
        <f t="array" aca="1" ref="CI292" ca="1">INDIRECT($BM$2&amp;CI$7&amp;$CE292,1)</f>
        <v>0</v>
      </c>
      <c r="CJ292" s="539" cm="1">
        <f t="array" aca="1" ref="CJ292" ca="1">INDIRECT($BM$2&amp;CJ$7&amp;$CE292,1)</f>
        <v>0</v>
      </c>
      <c r="CK292" s="539" t="str">
        <f t="shared" ca="1" si="161"/>
        <v>-</v>
      </c>
      <c r="CL292" s="494" t="s">
        <v>8222</v>
      </c>
      <c r="CU292" s="469" t="s">
        <v>5510</v>
      </c>
      <c r="ES292" s="504"/>
      <c r="ET292" s="507"/>
      <c r="EU292" s="585"/>
    </row>
    <row r="293" spans="1:151" x14ac:dyDescent="0.25">
      <c r="A293" s="667">
        <f ca="1"/>
        <v>1</v>
      </c>
      <c r="B293" s="666" t="str">
        <f ca="1"/>
        <v>D-aletrina</v>
      </c>
      <c r="H293" s="667">
        <f ca="1"/>
        <v>1</v>
      </c>
      <c r="I293" s="667" t="str">
        <f ca="1"/>
        <v>QUELANTE</v>
      </c>
      <c r="BF293" s="469" t="s">
        <v>5510</v>
      </c>
      <c r="BG293" s="469">
        <v>12</v>
      </c>
      <c r="BH293" s="539" t="s">
        <v>8055</v>
      </c>
      <c r="BI293" s="539">
        <f t="shared" si="156"/>
        <v>313</v>
      </c>
      <c r="BJ293" s="539" cm="1">
        <f t="array" aca="1" ref="BJ293" ca="1">INDIRECT($BM$2&amp;BJ$7&amp;$BI293,1)</f>
        <v>0</v>
      </c>
      <c r="BK293" s="539" cm="1">
        <f t="array" aca="1" ref="BK293" ca="1">INDIRECT($BM$2&amp;BK$7&amp;$BI293,1)</f>
        <v>0</v>
      </c>
      <c r="BL293" s="539" cm="1">
        <f t="array" aca="1" ref="BL293" ca="1">INDIRECT($BM$2&amp;BL$7&amp;$BI293,1)</f>
        <v>0</v>
      </c>
      <c r="BM293" s="539" cm="1">
        <f t="array" aca="1" ref="BM293" ca="1">INDIRECT($BM$2&amp;BM$7&amp;$BI293,1)</f>
        <v>0</v>
      </c>
      <c r="BN293" s="539" t="str" cm="1">
        <f t="array" aca="1" ref="BN293" ca="1">INDIRECT($BM$2&amp;BN$7&amp;$BI293,1)</f>
        <v>-</v>
      </c>
      <c r="BO293" s="539" t="str">
        <f t="shared" ca="1" si="157"/>
        <v>-</v>
      </c>
      <c r="BP293" s="561" t="s">
        <v>8223</v>
      </c>
      <c r="BR293" s="469">
        <v>12</v>
      </c>
      <c r="BS293" s="539" t="s">
        <v>8055</v>
      </c>
      <c r="BT293" s="539">
        <f t="shared" si="158"/>
        <v>659</v>
      </c>
      <c r="BU293" s="539" cm="1">
        <f t="array" aca="1" ref="BU293" ca="1">INDIRECT($BM$2&amp;BU$7&amp;$BT293,1)</f>
        <v>0</v>
      </c>
      <c r="BV293" s="539" cm="1">
        <f t="array" aca="1" ref="BV293" ca="1">INDIRECT($BM$2&amp;BV$7&amp;$BT293,1)</f>
        <v>0</v>
      </c>
      <c r="BW293" s="539" cm="1">
        <f t="array" aca="1" ref="BW293" ca="1">INDIRECT($BM$2&amp;BW$7&amp;$BT293,1)</f>
        <v>0</v>
      </c>
      <c r="BX293" s="539" cm="1">
        <f t="array" aca="1" ref="BX293" ca="1">INDIRECT($BM$2&amp;BX$7&amp;$BT293,1)</f>
        <v>0</v>
      </c>
      <c r="BY293" s="539" t="str" cm="1">
        <f t="array" aca="1" ref="BY293" ca="1">INDIRECT($BM$2&amp;BY$7&amp;$BT293,1)</f>
        <v>-</v>
      </c>
      <c r="BZ293" s="539" t="str">
        <f t="shared" ca="1" si="159"/>
        <v>-</v>
      </c>
      <c r="CA293" s="561" t="s">
        <v>8223</v>
      </c>
      <c r="CC293" s="469">
        <v>12</v>
      </c>
      <c r="CD293" s="539" t="s">
        <v>8055</v>
      </c>
      <c r="CE293" s="539">
        <f t="shared" si="160"/>
        <v>1005</v>
      </c>
      <c r="CF293" s="539" cm="1">
        <f t="array" aca="1" ref="CF293" ca="1">INDIRECT($BM$2&amp;CF$7&amp;$CE293,1)</f>
        <v>0</v>
      </c>
      <c r="CG293" s="539" cm="1">
        <f t="array" aca="1" ref="CG293" ca="1">INDIRECT($BM$2&amp;CG$7&amp;$CE293,1)</f>
        <v>0</v>
      </c>
      <c r="CH293" s="539" cm="1">
        <f t="array" aca="1" ref="CH293" ca="1">INDIRECT($BM$2&amp;CH$7&amp;$CE293,1)</f>
        <v>0</v>
      </c>
      <c r="CI293" s="539" cm="1">
        <f t="array" aca="1" ref="CI293" ca="1">INDIRECT($BM$2&amp;CI$7&amp;$CE293,1)</f>
        <v>0</v>
      </c>
      <c r="CJ293" s="539" t="str" cm="1">
        <f t="array" aca="1" ref="CJ293" ca="1">INDIRECT($BM$2&amp;CJ$7&amp;$CE293,1)</f>
        <v>-</v>
      </c>
      <c r="CK293" s="539" t="str">
        <f t="shared" ca="1" si="161"/>
        <v>-</v>
      </c>
      <c r="CL293" s="561" t="s">
        <v>8223</v>
      </c>
      <c r="CU293" s="469" t="s">
        <v>5510</v>
      </c>
      <c r="ES293" s="504"/>
      <c r="ET293" s="507"/>
      <c r="EU293" s="585"/>
    </row>
    <row r="294" spans="1:151" x14ac:dyDescent="0.25">
      <c r="A294" s="667">
        <f ca="1"/>
        <v>1</v>
      </c>
      <c r="B294" s="666" t="str">
        <f ca="1"/>
        <v>Acetato de (e,z,z)-4,7,10-tridecatrienila</v>
      </c>
      <c r="H294" s="667">
        <f ca="1"/>
        <v>1</v>
      </c>
      <c r="I294" s="667" t="str">
        <f ca="1"/>
        <v>SEQUESTRANTE</v>
      </c>
      <c r="BF294" s="469" t="s">
        <v>5510</v>
      </c>
      <c r="BL294" s="372"/>
      <c r="BO294" s="472"/>
      <c r="BT294" s="372"/>
      <c r="BU294" s="472"/>
      <c r="BV294" s="472"/>
      <c r="BW294" s="372"/>
      <c r="BX294" s="472"/>
      <c r="BY294" s="372"/>
      <c r="BZ294" s="472"/>
      <c r="CA294" s="372"/>
      <c r="CE294" s="372"/>
      <c r="CF294" s="472"/>
      <c r="CG294" s="472"/>
      <c r="CH294" s="372"/>
      <c r="CI294" s="472"/>
      <c r="CJ294" s="372"/>
      <c r="CK294" s="472"/>
      <c r="CL294" s="372"/>
      <c r="CU294" s="469" t="s">
        <v>5510</v>
      </c>
      <c r="ES294" s="504"/>
      <c r="ET294" s="507"/>
      <c r="EU294" s="585"/>
    </row>
    <row r="295" spans="1:151" x14ac:dyDescent="0.25">
      <c r="A295" s="667">
        <f ca="1"/>
        <v>1</v>
      </c>
      <c r="B295" s="666" t="str">
        <f ca="1"/>
        <v>Acetato de (e,z)-4,7-tridecadienila</v>
      </c>
      <c r="H295" s="667">
        <f ca="1"/>
        <v>1</v>
      </c>
      <c r="I295" s="667" t="str">
        <f ca="1"/>
        <v>SOLVENTE</v>
      </c>
      <c r="BF295" s="469" t="s">
        <v>5510</v>
      </c>
      <c r="BL295" s="372"/>
      <c r="BO295" s="472"/>
      <c r="BT295" s="372"/>
      <c r="BU295" s="472"/>
      <c r="BV295" s="472"/>
      <c r="BW295" s="372"/>
      <c r="BX295" s="472"/>
      <c r="BY295" s="372"/>
      <c r="BZ295" s="472"/>
      <c r="CA295" s="372"/>
      <c r="CE295" s="372"/>
      <c r="CF295" s="472"/>
      <c r="CG295" s="472"/>
      <c r="CH295" s="372"/>
      <c r="CI295" s="472"/>
      <c r="CJ295" s="372"/>
      <c r="CK295" s="472"/>
      <c r="CL295" s="372"/>
      <c r="CU295" s="469" t="s">
        <v>5510</v>
      </c>
      <c r="ES295" s="504"/>
      <c r="ET295" s="507"/>
      <c r="EU295" s="585"/>
    </row>
    <row r="296" spans="1:151" x14ac:dyDescent="0.25">
      <c r="A296" s="667">
        <f ca="1"/>
        <v>1</v>
      </c>
      <c r="B296" s="666" t="str">
        <f ca="1"/>
        <v>Álcool isoesterearílico etoxilado</v>
      </c>
      <c r="H296" s="667">
        <f ca="1"/>
        <v>1</v>
      </c>
      <c r="I296" s="667" t="str">
        <f ca="1"/>
        <v>SUBSTRATO</v>
      </c>
      <c r="BF296" s="469" t="s">
        <v>5510</v>
      </c>
      <c r="BT296" s="372"/>
      <c r="BU296" s="472"/>
      <c r="BV296" s="472"/>
      <c r="BW296" s="472"/>
      <c r="BX296" s="472"/>
      <c r="BY296" s="372"/>
      <c r="BZ296" s="372"/>
      <c r="CA296" s="372"/>
      <c r="CE296" s="372"/>
      <c r="CF296" s="472"/>
      <c r="CG296" s="472"/>
      <c r="CH296" s="472"/>
      <c r="CI296" s="472"/>
      <c r="CJ296" s="372"/>
      <c r="CK296" s="372"/>
      <c r="CL296" s="372"/>
      <c r="CU296" s="469" t="s">
        <v>5510</v>
      </c>
      <c r="ES296" s="504"/>
      <c r="ET296" s="507"/>
      <c r="EU296" s="585"/>
    </row>
    <row r="297" spans="1:151" x14ac:dyDescent="0.25">
      <c r="A297" s="667">
        <f ca="1"/>
        <v>1</v>
      </c>
      <c r="B297" s="666" t="str">
        <f ca="1"/>
        <v>Aminopiralide</v>
      </c>
      <c r="H297" s="667">
        <f ca="1"/>
        <v>1</v>
      </c>
      <c r="I297" s="667" t="str">
        <f ca="1"/>
        <v>SURFACTANTE</v>
      </c>
      <c r="BF297" s="469" t="s">
        <v>5510</v>
      </c>
      <c r="BT297" s="372"/>
      <c r="BU297" s="472"/>
      <c r="BV297" s="472"/>
      <c r="BW297" s="472"/>
      <c r="BX297" s="472"/>
      <c r="BY297" s="372"/>
      <c r="BZ297" s="372"/>
      <c r="CA297" s="372"/>
      <c r="CE297" s="372"/>
      <c r="CF297" s="472"/>
      <c r="CG297" s="472"/>
      <c r="CH297" s="472"/>
      <c r="CI297" s="472"/>
      <c r="CJ297" s="372"/>
      <c r="CK297" s="372"/>
      <c r="CL297" s="372"/>
      <c r="CU297" s="469" t="s">
        <v>5510</v>
      </c>
      <c r="ES297" s="504"/>
      <c r="ET297" s="507"/>
      <c r="EU297" s="585"/>
    </row>
    <row r="298" spans="1:151" x14ac:dyDescent="0.25">
      <c r="A298" s="667">
        <f ca="1"/>
        <v>1</v>
      </c>
      <c r="B298" s="666" t="str">
        <f ca="1"/>
        <v>Azadiractina</v>
      </c>
      <c r="H298" s="667">
        <f ca="1"/>
        <v>1</v>
      </c>
      <c r="I298" s="667" t="str">
        <f ca="1"/>
        <v>TAMPONANTE</v>
      </c>
      <c r="BF298" s="469" t="s">
        <v>5510</v>
      </c>
      <c r="BG298" s="469">
        <v>1</v>
      </c>
      <c r="BH298" s="539" t="s">
        <v>8056</v>
      </c>
      <c r="BI298" s="539">
        <f>BI293+$BO$6</f>
        <v>319</v>
      </c>
      <c r="BJ298" s="539" cm="1">
        <f t="array" aca="1" ref="BJ298" ca="1">INDIRECT($BM$2&amp;BJ$7&amp;$BI298,1)</f>
        <v>0</v>
      </c>
      <c r="BK298" s="539" cm="1">
        <f t="array" aca="1" ref="BK298" ca="1">INDIRECT($BM$2&amp;BK$7&amp;$BI298,1)</f>
        <v>0</v>
      </c>
      <c r="BL298" s="539" cm="1">
        <f t="array" aca="1" ref="BL298" ca="1">INDIRECT($BM$2&amp;BL$7&amp;$BI298,1)</f>
        <v>0</v>
      </c>
      <c r="BM298" s="539" cm="1">
        <f t="array" aca="1" ref="BM298" ca="1">INDIRECT($BM$2&amp;BM$7&amp;$BI298,1)</f>
        <v>0</v>
      </c>
      <c r="BN298" s="539" cm="1">
        <f t="array" aca="1" ref="BN298" ca="1">INDIRECT($BM$2&amp;BN$7&amp;$BI298,1)</f>
        <v>0</v>
      </c>
      <c r="BO298" s="539" t="str">
        <f ca="1">IFERROR(BK298/BK$298,"-")</f>
        <v>-</v>
      </c>
      <c r="BP298" s="540" t="s">
        <v>8221</v>
      </c>
      <c r="BR298" s="469">
        <v>1</v>
      </c>
      <c r="BS298" s="539" t="s">
        <v>8056</v>
      </c>
      <c r="BT298" s="539">
        <f>BT293+$BO$6</f>
        <v>665</v>
      </c>
      <c r="BU298" s="539" cm="1">
        <f t="array" aca="1" ref="BU298" ca="1">INDIRECT($BM$2&amp;BU$7&amp;$BT298,1)</f>
        <v>0</v>
      </c>
      <c r="BV298" s="539" cm="1">
        <f t="array" aca="1" ref="BV298" ca="1">INDIRECT($BM$2&amp;BV$7&amp;$BT298,1)</f>
        <v>0</v>
      </c>
      <c r="BW298" s="539" cm="1">
        <f t="array" aca="1" ref="BW298" ca="1">INDIRECT($BM$2&amp;BW$7&amp;$BT298,1)</f>
        <v>0</v>
      </c>
      <c r="BX298" s="539" cm="1">
        <f t="array" aca="1" ref="BX298" ca="1">INDIRECT($BM$2&amp;BX$7&amp;$BT298,1)</f>
        <v>0</v>
      </c>
      <c r="BY298" s="539" cm="1">
        <f t="array" aca="1" ref="BY298" ca="1">INDIRECT($BM$2&amp;BY$7&amp;$BT298,1)</f>
        <v>0</v>
      </c>
      <c r="BZ298" s="539" t="str">
        <f ca="1">IFERROR(BV298/BV$298,"-")</f>
        <v>-</v>
      </c>
      <c r="CA298" s="540" t="s">
        <v>8221</v>
      </c>
      <c r="CC298" s="469">
        <v>1</v>
      </c>
      <c r="CD298" s="539" t="s">
        <v>8056</v>
      </c>
      <c r="CE298" s="539">
        <f>CE293+$BO$6</f>
        <v>1011</v>
      </c>
      <c r="CF298" s="539" cm="1">
        <f t="array" aca="1" ref="CF298" ca="1">INDIRECT($BM$2&amp;CF$7&amp;$CE298,1)</f>
        <v>0</v>
      </c>
      <c r="CG298" s="539" cm="1">
        <f t="array" aca="1" ref="CG298" ca="1">INDIRECT($BM$2&amp;CG$7&amp;$CE298,1)</f>
        <v>0</v>
      </c>
      <c r="CH298" s="539" cm="1">
        <f t="array" aca="1" ref="CH298" ca="1">INDIRECT($BM$2&amp;CH$7&amp;$CE298,1)</f>
        <v>0</v>
      </c>
      <c r="CI298" s="539" cm="1">
        <f t="array" aca="1" ref="CI298" ca="1">INDIRECT($BM$2&amp;CI$7&amp;$CE298,1)</f>
        <v>0</v>
      </c>
      <c r="CJ298" s="539" cm="1">
        <f t="array" aca="1" ref="CJ298" ca="1">INDIRECT($BM$2&amp;CJ$7&amp;$CE298,1)</f>
        <v>0</v>
      </c>
      <c r="CK298" s="539" t="str">
        <f ca="1">IFERROR(CG298/CG$298,"-")</f>
        <v>-</v>
      </c>
      <c r="CL298" s="540" t="s">
        <v>8221</v>
      </c>
      <c r="CU298" s="469" t="s">
        <v>5510</v>
      </c>
      <c r="ES298" s="504"/>
      <c r="ET298" s="507"/>
      <c r="EU298" s="585"/>
    </row>
    <row r="299" spans="1:151" x14ac:dyDescent="0.25">
      <c r="A299" s="667">
        <f ca="1"/>
        <v>1</v>
      </c>
      <c r="B299" s="666" t="str">
        <f ca="1"/>
        <v>Acetato de (z)-5-dodecenila</v>
      </c>
      <c r="H299" s="667">
        <f ca="1"/>
        <v>1</v>
      </c>
      <c r="I299" s="667" t="str">
        <f ca="1"/>
        <v>TENSOATIVO</v>
      </c>
      <c r="BF299" s="469" t="s">
        <v>5510</v>
      </c>
      <c r="BG299" s="469">
        <v>2</v>
      </c>
      <c r="BH299" s="539" t="s">
        <v>8056</v>
      </c>
      <c r="BI299" s="539">
        <f t="shared" ref="BI299:BI309" si="162">BI298+1</f>
        <v>320</v>
      </c>
      <c r="BJ299" s="539" cm="1">
        <f t="array" aca="1" ref="BJ299" ca="1">INDIRECT($BM$2&amp;BJ$7&amp;$BI299,1)</f>
        <v>0</v>
      </c>
      <c r="BK299" s="539" cm="1">
        <f t="array" aca="1" ref="BK299" ca="1">INDIRECT($BM$2&amp;BK$7&amp;$BI299,1)</f>
        <v>0</v>
      </c>
      <c r="BL299" s="539" cm="1">
        <f t="array" aca="1" ref="BL299" ca="1">INDIRECT($BM$2&amp;BL$7&amp;$BI299,1)</f>
        <v>0</v>
      </c>
      <c r="BM299" s="539" cm="1">
        <f t="array" aca="1" ref="BM299" ca="1">INDIRECT($BM$2&amp;BM$7&amp;$BI299,1)</f>
        <v>0</v>
      </c>
      <c r="BN299" s="539" cm="1">
        <f t="array" aca="1" ref="BN299" ca="1">INDIRECT($BM$2&amp;BN$7&amp;$BI299,1)</f>
        <v>0</v>
      </c>
      <c r="BO299" s="539" t="str">
        <f t="shared" ref="BO299:BO309" ca="1" si="163">IF(BK299=0,"-",IFERROR(BK299/BK$298,"-"))</f>
        <v>-</v>
      </c>
      <c r="BP299" s="494" t="s">
        <v>8222</v>
      </c>
      <c r="BR299" s="469">
        <v>2</v>
      </c>
      <c r="BS299" s="539" t="s">
        <v>8056</v>
      </c>
      <c r="BT299" s="539">
        <f t="shared" ref="BT299:BT309" si="164">BT298+1</f>
        <v>666</v>
      </c>
      <c r="BU299" s="539" cm="1">
        <f t="array" aca="1" ref="BU299" ca="1">INDIRECT($BM$2&amp;BU$7&amp;$BT299,1)</f>
        <v>0</v>
      </c>
      <c r="BV299" s="539" cm="1">
        <f t="array" aca="1" ref="BV299" ca="1">INDIRECT($BM$2&amp;BV$7&amp;$BT299,1)</f>
        <v>0</v>
      </c>
      <c r="BW299" s="539" cm="1">
        <f t="array" aca="1" ref="BW299" ca="1">INDIRECT($BM$2&amp;BW$7&amp;$BT299,1)</f>
        <v>0</v>
      </c>
      <c r="BX299" s="539" cm="1">
        <f t="array" aca="1" ref="BX299" ca="1">INDIRECT($BM$2&amp;BX$7&amp;$BT299,1)</f>
        <v>0</v>
      </c>
      <c r="BY299" s="539" cm="1">
        <f t="array" aca="1" ref="BY299" ca="1">INDIRECT($BM$2&amp;BY$7&amp;$BT299,1)</f>
        <v>0</v>
      </c>
      <c r="BZ299" s="539" t="str">
        <f t="shared" ref="BZ299:BZ309" ca="1" si="165">IF(BV299=0,"-",IFERROR(BV299/BV$298,"-"))</f>
        <v>-</v>
      </c>
      <c r="CA299" s="494" t="s">
        <v>8222</v>
      </c>
      <c r="CC299" s="469">
        <v>2</v>
      </c>
      <c r="CD299" s="539" t="s">
        <v>8056</v>
      </c>
      <c r="CE299" s="539">
        <f t="shared" ref="CE299:CE309" si="166">CE298+1</f>
        <v>1012</v>
      </c>
      <c r="CF299" s="539" cm="1">
        <f t="array" aca="1" ref="CF299" ca="1">INDIRECT($BM$2&amp;CF$7&amp;$CE299,1)</f>
        <v>0</v>
      </c>
      <c r="CG299" s="539" cm="1">
        <f t="array" aca="1" ref="CG299" ca="1">INDIRECT($BM$2&amp;CG$7&amp;$CE299,1)</f>
        <v>0</v>
      </c>
      <c r="CH299" s="539" cm="1">
        <f t="array" aca="1" ref="CH299" ca="1">INDIRECT($BM$2&amp;CH$7&amp;$CE299,1)</f>
        <v>0</v>
      </c>
      <c r="CI299" s="539" cm="1">
        <f t="array" aca="1" ref="CI299" ca="1">INDIRECT($BM$2&amp;CI$7&amp;$CE299,1)</f>
        <v>0</v>
      </c>
      <c r="CJ299" s="539" cm="1">
        <f t="array" aca="1" ref="CJ299" ca="1">INDIRECT($BM$2&amp;CJ$7&amp;$CE299,1)</f>
        <v>0</v>
      </c>
      <c r="CK299" s="539" t="str">
        <f t="shared" ref="CK299:CK309" ca="1" si="167">IF(CG299=0,"-",IFERROR(CG299/CG$298,"-"))</f>
        <v>-</v>
      </c>
      <c r="CL299" s="494" t="s">
        <v>8222</v>
      </c>
      <c r="CU299" s="469" t="s">
        <v>5510</v>
      </c>
      <c r="ES299" s="504"/>
      <c r="ET299" s="507"/>
      <c r="EU299" s="585"/>
    </row>
    <row r="300" spans="1:151" x14ac:dyDescent="0.25">
      <c r="A300" s="667">
        <f ca="1"/>
        <v>1</v>
      </c>
      <c r="B300" s="666" t="str">
        <f ca="1"/>
        <v>Aspergillus flavus</v>
      </c>
      <c r="H300" s="667">
        <f ca="1"/>
        <v>1</v>
      </c>
      <c r="I300" s="667" t="str">
        <f ca="1"/>
        <v>UMECTANTE</v>
      </c>
      <c r="BF300" s="469" t="s">
        <v>5510</v>
      </c>
      <c r="BG300" s="469">
        <v>3</v>
      </c>
      <c r="BH300" s="539" t="s">
        <v>8056</v>
      </c>
      <c r="BI300" s="539">
        <f t="shared" si="162"/>
        <v>321</v>
      </c>
      <c r="BJ300" s="539" cm="1">
        <f t="array" aca="1" ref="BJ300" ca="1">INDIRECT($BM$2&amp;BJ$7&amp;$BI300,1)</f>
        <v>0</v>
      </c>
      <c r="BK300" s="539" cm="1">
        <f t="array" aca="1" ref="BK300" ca="1">INDIRECT($BM$2&amp;BK$7&amp;$BI300,1)</f>
        <v>0</v>
      </c>
      <c r="BL300" s="539" cm="1">
        <f t="array" aca="1" ref="BL300" ca="1">INDIRECT($BM$2&amp;BL$7&amp;$BI300,1)</f>
        <v>0</v>
      </c>
      <c r="BM300" s="539" cm="1">
        <f t="array" aca="1" ref="BM300" ca="1">INDIRECT($BM$2&amp;BM$7&amp;$BI300,1)</f>
        <v>0</v>
      </c>
      <c r="BN300" s="539" cm="1">
        <f t="array" aca="1" ref="BN300" ca="1">INDIRECT($BM$2&amp;BN$7&amp;$BI300,1)</f>
        <v>0</v>
      </c>
      <c r="BO300" s="539" t="str">
        <f t="shared" ca="1" si="163"/>
        <v>-</v>
      </c>
      <c r="BP300" s="494" t="s">
        <v>8222</v>
      </c>
      <c r="BR300" s="469">
        <v>3</v>
      </c>
      <c r="BS300" s="539" t="s">
        <v>8056</v>
      </c>
      <c r="BT300" s="539">
        <f t="shared" si="164"/>
        <v>667</v>
      </c>
      <c r="BU300" s="539" cm="1">
        <f t="array" aca="1" ref="BU300" ca="1">INDIRECT($BM$2&amp;BU$7&amp;$BT300,1)</f>
        <v>0</v>
      </c>
      <c r="BV300" s="539" cm="1">
        <f t="array" aca="1" ref="BV300" ca="1">INDIRECT($BM$2&amp;BV$7&amp;$BT300,1)</f>
        <v>0</v>
      </c>
      <c r="BW300" s="539" cm="1">
        <f t="array" aca="1" ref="BW300" ca="1">INDIRECT($BM$2&amp;BW$7&amp;$BT300,1)</f>
        <v>0</v>
      </c>
      <c r="BX300" s="539" cm="1">
        <f t="array" aca="1" ref="BX300" ca="1">INDIRECT($BM$2&amp;BX$7&amp;$BT300,1)</f>
        <v>0</v>
      </c>
      <c r="BY300" s="539" cm="1">
        <f t="array" aca="1" ref="BY300" ca="1">INDIRECT($BM$2&amp;BY$7&amp;$BT300,1)</f>
        <v>0</v>
      </c>
      <c r="BZ300" s="539" t="str">
        <f t="shared" ca="1" si="165"/>
        <v>-</v>
      </c>
      <c r="CA300" s="494" t="s">
        <v>8222</v>
      </c>
      <c r="CC300" s="469">
        <v>3</v>
      </c>
      <c r="CD300" s="539" t="s">
        <v>8056</v>
      </c>
      <c r="CE300" s="539">
        <f t="shared" si="166"/>
        <v>1013</v>
      </c>
      <c r="CF300" s="539" cm="1">
        <f t="array" aca="1" ref="CF300" ca="1">INDIRECT($BM$2&amp;CF$7&amp;$CE300,1)</f>
        <v>0</v>
      </c>
      <c r="CG300" s="539" cm="1">
        <f t="array" aca="1" ref="CG300" ca="1">INDIRECT($BM$2&amp;CG$7&amp;$CE300,1)</f>
        <v>0</v>
      </c>
      <c r="CH300" s="539" cm="1">
        <f t="array" aca="1" ref="CH300" ca="1">INDIRECT($BM$2&amp;CH$7&amp;$CE300,1)</f>
        <v>0</v>
      </c>
      <c r="CI300" s="539" cm="1">
        <f t="array" aca="1" ref="CI300" ca="1">INDIRECT($BM$2&amp;CI$7&amp;$CE300,1)</f>
        <v>0</v>
      </c>
      <c r="CJ300" s="539" cm="1">
        <f t="array" aca="1" ref="CJ300" ca="1">INDIRECT($BM$2&amp;CJ$7&amp;$CE300,1)</f>
        <v>0</v>
      </c>
      <c r="CK300" s="539" t="str">
        <f t="shared" ca="1" si="167"/>
        <v>-</v>
      </c>
      <c r="CL300" s="494" t="s">
        <v>8222</v>
      </c>
      <c r="CU300" s="469" t="s">
        <v>5510</v>
      </c>
      <c r="ES300" s="504"/>
      <c r="ET300" s="507"/>
      <c r="EU300" s="585"/>
    </row>
    <row r="301" spans="1:151" x14ac:dyDescent="0.25">
      <c r="A301" s="667">
        <f ca="1"/>
        <v>1</v>
      </c>
      <c r="B301" s="666" t="str">
        <f ca="1"/>
        <v>Acetato de (E,Z)-7,9-dodecadinila</v>
      </c>
      <c r="H301" s="667">
        <f ca="1"/>
        <v>1</v>
      </c>
      <c r="I301" s="667" t="str">
        <f ca="1"/>
        <v>VEÍCULO</v>
      </c>
      <c r="BF301" s="469" t="s">
        <v>5510</v>
      </c>
      <c r="BG301" s="469">
        <v>4</v>
      </c>
      <c r="BH301" s="539" t="s">
        <v>8056</v>
      </c>
      <c r="BI301" s="539">
        <f t="shared" si="162"/>
        <v>322</v>
      </c>
      <c r="BJ301" s="539" cm="1">
        <f t="array" aca="1" ref="BJ301" ca="1">INDIRECT($BM$2&amp;BJ$7&amp;$BI301,1)</f>
        <v>0</v>
      </c>
      <c r="BK301" s="539" cm="1">
        <f t="array" aca="1" ref="BK301" ca="1">INDIRECT($BM$2&amp;BK$7&amp;$BI301,1)</f>
        <v>0</v>
      </c>
      <c r="BL301" s="539" cm="1">
        <f t="array" aca="1" ref="BL301" ca="1">INDIRECT($BM$2&amp;BL$7&amp;$BI301,1)</f>
        <v>0</v>
      </c>
      <c r="BM301" s="539" cm="1">
        <f t="array" aca="1" ref="BM301" ca="1">INDIRECT($BM$2&amp;BM$7&amp;$BI301,1)</f>
        <v>0</v>
      </c>
      <c r="BN301" s="539" cm="1">
        <f t="array" aca="1" ref="BN301" ca="1">INDIRECT($BM$2&amp;BN$7&amp;$BI301,1)</f>
        <v>0</v>
      </c>
      <c r="BO301" s="539" t="str">
        <f t="shared" ca="1" si="163"/>
        <v>-</v>
      </c>
      <c r="BP301" s="494" t="s">
        <v>8222</v>
      </c>
      <c r="BR301" s="469">
        <v>4</v>
      </c>
      <c r="BS301" s="539" t="s">
        <v>8056</v>
      </c>
      <c r="BT301" s="539">
        <f t="shared" si="164"/>
        <v>668</v>
      </c>
      <c r="BU301" s="539" cm="1">
        <f t="array" aca="1" ref="BU301" ca="1">INDIRECT($BM$2&amp;BU$7&amp;$BT301,1)</f>
        <v>0</v>
      </c>
      <c r="BV301" s="539" cm="1">
        <f t="array" aca="1" ref="BV301" ca="1">INDIRECT($BM$2&amp;BV$7&amp;$BT301,1)</f>
        <v>0</v>
      </c>
      <c r="BW301" s="539" cm="1">
        <f t="array" aca="1" ref="BW301" ca="1">INDIRECT($BM$2&amp;BW$7&amp;$BT301,1)</f>
        <v>0</v>
      </c>
      <c r="BX301" s="539" cm="1">
        <f t="array" aca="1" ref="BX301" ca="1">INDIRECT($BM$2&amp;BX$7&amp;$BT301,1)</f>
        <v>0</v>
      </c>
      <c r="BY301" s="539" cm="1">
        <f t="array" aca="1" ref="BY301" ca="1">INDIRECT($BM$2&amp;BY$7&amp;$BT301,1)</f>
        <v>0</v>
      </c>
      <c r="BZ301" s="539" t="str">
        <f t="shared" ca="1" si="165"/>
        <v>-</v>
      </c>
      <c r="CA301" s="494" t="s">
        <v>8222</v>
      </c>
      <c r="CC301" s="469">
        <v>4</v>
      </c>
      <c r="CD301" s="539" t="s">
        <v>8056</v>
      </c>
      <c r="CE301" s="539">
        <f t="shared" si="166"/>
        <v>1014</v>
      </c>
      <c r="CF301" s="539" cm="1">
        <f t="array" aca="1" ref="CF301" ca="1">INDIRECT($BM$2&amp;CF$7&amp;$CE301,1)</f>
        <v>0</v>
      </c>
      <c r="CG301" s="539" cm="1">
        <f t="array" aca="1" ref="CG301" ca="1">INDIRECT($BM$2&amp;CG$7&amp;$CE301,1)</f>
        <v>0</v>
      </c>
      <c r="CH301" s="539" cm="1">
        <f t="array" aca="1" ref="CH301" ca="1">INDIRECT($BM$2&amp;CH$7&amp;$CE301,1)</f>
        <v>0</v>
      </c>
      <c r="CI301" s="539" cm="1">
        <f t="array" aca="1" ref="CI301" ca="1">INDIRECT($BM$2&amp;CI$7&amp;$CE301,1)</f>
        <v>0</v>
      </c>
      <c r="CJ301" s="539" cm="1">
        <f t="array" aca="1" ref="CJ301" ca="1">INDIRECT($BM$2&amp;CJ$7&amp;$CE301,1)</f>
        <v>0</v>
      </c>
      <c r="CK301" s="539" t="str">
        <f t="shared" ca="1" si="167"/>
        <v>-</v>
      </c>
      <c r="CL301" s="494" t="s">
        <v>8222</v>
      </c>
      <c r="CU301" s="469" t="s">
        <v>5510</v>
      </c>
      <c r="ES301" s="504"/>
      <c r="ET301" s="507"/>
      <c r="EU301" s="585"/>
    </row>
    <row r="302" spans="1:151" x14ac:dyDescent="0.25">
      <c r="A302" s="667">
        <f ca="1"/>
        <v>1</v>
      </c>
      <c r="B302" s="666" t="str">
        <f ca="1"/>
        <v>Ácido abscísico</v>
      </c>
      <c r="H302" s="667"/>
      <c r="I302" s="667"/>
      <c r="BF302" s="469" t="s">
        <v>5510</v>
      </c>
      <c r="BG302" s="469">
        <v>5</v>
      </c>
      <c r="BH302" s="539" t="s">
        <v>8056</v>
      </c>
      <c r="BI302" s="539">
        <f t="shared" si="162"/>
        <v>323</v>
      </c>
      <c r="BJ302" s="539" cm="1">
        <f t="array" aca="1" ref="BJ302" ca="1">INDIRECT($BM$2&amp;BJ$7&amp;$BI302,1)</f>
        <v>0</v>
      </c>
      <c r="BK302" s="539" cm="1">
        <f t="array" aca="1" ref="BK302" ca="1">INDIRECT($BM$2&amp;BK$7&amp;$BI302,1)</f>
        <v>0</v>
      </c>
      <c r="BL302" s="539" cm="1">
        <f t="array" aca="1" ref="BL302" ca="1">INDIRECT($BM$2&amp;BL$7&amp;$BI302,1)</f>
        <v>0</v>
      </c>
      <c r="BM302" s="539" cm="1">
        <f t="array" aca="1" ref="BM302" ca="1">INDIRECT($BM$2&amp;BM$7&amp;$BI302,1)</f>
        <v>0</v>
      </c>
      <c r="BN302" s="539" cm="1">
        <f t="array" aca="1" ref="BN302" ca="1">INDIRECT($BM$2&amp;BN$7&amp;$BI302,1)</f>
        <v>0</v>
      </c>
      <c r="BO302" s="539" t="str">
        <f t="shared" ca="1" si="163"/>
        <v>-</v>
      </c>
      <c r="BP302" s="494" t="s">
        <v>8222</v>
      </c>
      <c r="BR302" s="469">
        <v>5</v>
      </c>
      <c r="BS302" s="539" t="s">
        <v>8056</v>
      </c>
      <c r="BT302" s="539">
        <f t="shared" si="164"/>
        <v>669</v>
      </c>
      <c r="BU302" s="539" cm="1">
        <f t="array" aca="1" ref="BU302" ca="1">INDIRECT($BM$2&amp;BU$7&amp;$BT302,1)</f>
        <v>0</v>
      </c>
      <c r="BV302" s="539" cm="1">
        <f t="array" aca="1" ref="BV302" ca="1">INDIRECT($BM$2&amp;BV$7&amp;$BT302,1)</f>
        <v>0</v>
      </c>
      <c r="BW302" s="539" cm="1">
        <f t="array" aca="1" ref="BW302" ca="1">INDIRECT($BM$2&amp;BW$7&amp;$BT302,1)</f>
        <v>0</v>
      </c>
      <c r="BX302" s="539" cm="1">
        <f t="array" aca="1" ref="BX302" ca="1">INDIRECT($BM$2&amp;BX$7&amp;$BT302,1)</f>
        <v>0</v>
      </c>
      <c r="BY302" s="539" cm="1">
        <f t="array" aca="1" ref="BY302" ca="1">INDIRECT($BM$2&amp;BY$7&amp;$BT302,1)</f>
        <v>0</v>
      </c>
      <c r="BZ302" s="539" t="str">
        <f t="shared" ca="1" si="165"/>
        <v>-</v>
      </c>
      <c r="CA302" s="494" t="s">
        <v>8222</v>
      </c>
      <c r="CC302" s="469">
        <v>5</v>
      </c>
      <c r="CD302" s="539" t="s">
        <v>8056</v>
      </c>
      <c r="CE302" s="539">
        <f t="shared" si="166"/>
        <v>1015</v>
      </c>
      <c r="CF302" s="539" cm="1">
        <f t="array" aca="1" ref="CF302" ca="1">INDIRECT($BM$2&amp;CF$7&amp;$CE302,1)</f>
        <v>0</v>
      </c>
      <c r="CG302" s="539" cm="1">
        <f t="array" aca="1" ref="CG302" ca="1">INDIRECT($BM$2&amp;CG$7&amp;$CE302,1)</f>
        <v>0</v>
      </c>
      <c r="CH302" s="539" cm="1">
        <f t="array" aca="1" ref="CH302" ca="1">INDIRECT($BM$2&amp;CH$7&amp;$CE302,1)</f>
        <v>0</v>
      </c>
      <c r="CI302" s="539" cm="1">
        <f t="array" aca="1" ref="CI302" ca="1">INDIRECT($BM$2&amp;CI$7&amp;$CE302,1)</f>
        <v>0</v>
      </c>
      <c r="CJ302" s="539" cm="1">
        <f t="array" aca="1" ref="CJ302" ca="1">INDIRECT($BM$2&amp;CJ$7&amp;$CE302,1)</f>
        <v>0</v>
      </c>
      <c r="CK302" s="539" t="str">
        <f t="shared" ca="1" si="167"/>
        <v>-</v>
      </c>
      <c r="CL302" s="494" t="s">
        <v>8222</v>
      </c>
      <c r="CU302" s="469" t="s">
        <v>5510</v>
      </c>
      <c r="ES302" s="504"/>
      <c r="ET302" s="507"/>
      <c r="EU302" s="585"/>
    </row>
    <row r="303" spans="1:151" x14ac:dyDescent="0.25">
      <c r="A303" s="667">
        <f ca="1"/>
        <v>1</v>
      </c>
      <c r="B303" s="666" t="str">
        <f ca="1"/>
        <v>Bacillus thuringiensis</v>
      </c>
      <c r="H303" s="667"/>
      <c r="I303" s="667"/>
      <c r="BF303" s="469" t="s">
        <v>5510</v>
      </c>
      <c r="BG303" s="469">
        <v>6</v>
      </c>
      <c r="BH303" s="539" t="s">
        <v>8056</v>
      </c>
      <c r="BI303" s="539">
        <f t="shared" si="162"/>
        <v>324</v>
      </c>
      <c r="BJ303" s="539" cm="1">
        <f t="array" aca="1" ref="BJ303" ca="1">INDIRECT($BM$2&amp;BJ$7&amp;$BI303,1)</f>
        <v>0</v>
      </c>
      <c r="BK303" s="539" cm="1">
        <f t="array" aca="1" ref="BK303" ca="1">INDIRECT($BM$2&amp;BK$7&amp;$BI303,1)</f>
        <v>0</v>
      </c>
      <c r="BL303" s="539" cm="1">
        <f t="array" aca="1" ref="BL303" ca="1">INDIRECT($BM$2&amp;BL$7&amp;$BI303,1)</f>
        <v>0</v>
      </c>
      <c r="BM303" s="539" cm="1">
        <f t="array" aca="1" ref="BM303" ca="1">INDIRECT($BM$2&amp;BM$7&amp;$BI303,1)</f>
        <v>0</v>
      </c>
      <c r="BN303" s="539" cm="1">
        <f t="array" aca="1" ref="BN303" ca="1">INDIRECT($BM$2&amp;BN$7&amp;$BI303,1)</f>
        <v>0</v>
      </c>
      <c r="BO303" s="539" t="str">
        <f t="shared" ca="1" si="163"/>
        <v>-</v>
      </c>
      <c r="BP303" s="494" t="s">
        <v>8222</v>
      </c>
      <c r="BR303" s="469">
        <v>6</v>
      </c>
      <c r="BS303" s="539" t="s">
        <v>8056</v>
      </c>
      <c r="BT303" s="539">
        <f t="shared" si="164"/>
        <v>670</v>
      </c>
      <c r="BU303" s="539" cm="1">
        <f t="array" aca="1" ref="BU303" ca="1">INDIRECT($BM$2&amp;BU$7&amp;$BT303,1)</f>
        <v>0</v>
      </c>
      <c r="BV303" s="539" cm="1">
        <f t="array" aca="1" ref="BV303" ca="1">INDIRECT($BM$2&amp;BV$7&amp;$BT303,1)</f>
        <v>0</v>
      </c>
      <c r="BW303" s="539" cm="1">
        <f t="array" aca="1" ref="BW303" ca="1">INDIRECT($BM$2&amp;BW$7&amp;$BT303,1)</f>
        <v>0</v>
      </c>
      <c r="BX303" s="539" cm="1">
        <f t="array" aca="1" ref="BX303" ca="1">INDIRECT($BM$2&amp;BX$7&amp;$BT303,1)</f>
        <v>0</v>
      </c>
      <c r="BY303" s="539" cm="1">
        <f t="array" aca="1" ref="BY303" ca="1">INDIRECT($BM$2&amp;BY$7&amp;$BT303,1)</f>
        <v>0</v>
      </c>
      <c r="BZ303" s="539" t="str">
        <f t="shared" ca="1" si="165"/>
        <v>-</v>
      </c>
      <c r="CA303" s="494" t="s">
        <v>8222</v>
      </c>
      <c r="CC303" s="469">
        <v>6</v>
      </c>
      <c r="CD303" s="539" t="s">
        <v>8056</v>
      </c>
      <c r="CE303" s="539">
        <f t="shared" si="166"/>
        <v>1016</v>
      </c>
      <c r="CF303" s="539" cm="1">
        <f t="array" aca="1" ref="CF303" ca="1">INDIRECT($BM$2&amp;CF$7&amp;$CE303,1)</f>
        <v>0</v>
      </c>
      <c r="CG303" s="539" cm="1">
        <f t="array" aca="1" ref="CG303" ca="1">INDIRECT($BM$2&amp;CG$7&amp;$CE303,1)</f>
        <v>0</v>
      </c>
      <c r="CH303" s="539" cm="1">
        <f t="array" aca="1" ref="CH303" ca="1">INDIRECT($BM$2&amp;CH$7&amp;$CE303,1)</f>
        <v>0</v>
      </c>
      <c r="CI303" s="539" cm="1">
        <f t="array" aca="1" ref="CI303" ca="1">INDIRECT($BM$2&amp;CI$7&amp;$CE303,1)</f>
        <v>0</v>
      </c>
      <c r="CJ303" s="539" cm="1">
        <f t="array" aca="1" ref="CJ303" ca="1">INDIRECT($BM$2&amp;CJ$7&amp;$CE303,1)</f>
        <v>0</v>
      </c>
      <c r="CK303" s="539" t="str">
        <f t="shared" ca="1" si="167"/>
        <v>-</v>
      </c>
      <c r="CL303" s="494" t="s">
        <v>8222</v>
      </c>
      <c r="CU303" s="469" t="s">
        <v>5510</v>
      </c>
      <c r="ES303" s="504"/>
      <c r="ET303" s="507"/>
      <c r="EU303" s="585"/>
    </row>
    <row r="304" spans="1:151" x14ac:dyDescent="0.25">
      <c r="A304" s="667">
        <f ca="1"/>
        <v>1</v>
      </c>
      <c r="B304" s="666" t="str">
        <f ca="1"/>
        <v>Bentazona</v>
      </c>
      <c r="H304" s="667"/>
      <c r="I304" s="667"/>
      <c r="BF304" s="469" t="s">
        <v>5510</v>
      </c>
      <c r="BG304" s="469">
        <v>7</v>
      </c>
      <c r="BH304" s="539" t="s">
        <v>8056</v>
      </c>
      <c r="BI304" s="539">
        <f t="shared" si="162"/>
        <v>325</v>
      </c>
      <c r="BJ304" s="539" cm="1">
        <f t="array" aca="1" ref="BJ304" ca="1">INDIRECT($BM$2&amp;BJ$7&amp;$BI304,1)</f>
        <v>0</v>
      </c>
      <c r="BK304" s="539" cm="1">
        <f t="array" aca="1" ref="BK304" ca="1">INDIRECT($BM$2&amp;BK$7&amp;$BI304,1)</f>
        <v>0</v>
      </c>
      <c r="BL304" s="539" cm="1">
        <f t="array" aca="1" ref="BL304" ca="1">INDIRECT($BM$2&amp;BL$7&amp;$BI304,1)</f>
        <v>0</v>
      </c>
      <c r="BM304" s="539" cm="1">
        <f t="array" aca="1" ref="BM304" ca="1">INDIRECT($BM$2&amp;BM$7&amp;$BI304,1)</f>
        <v>0</v>
      </c>
      <c r="BN304" s="539" cm="1">
        <f t="array" aca="1" ref="BN304" ca="1">INDIRECT($BM$2&amp;BN$7&amp;$BI304,1)</f>
        <v>0</v>
      </c>
      <c r="BO304" s="539" t="str">
        <f t="shared" ca="1" si="163"/>
        <v>-</v>
      </c>
      <c r="BP304" s="494" t="s">
        <v>8222</v>
      </c>
      <c r="BR304" s="469">
        <v>7</v>
      </c>
      <c r="BS304" s="539" t="s">
        <v>8056</v>
      </c>
      <c r="BT304" s="539">
        <f t="shared" si="164"/>
        <v>671</v>
      </c>
      <c r="BU304" s="539" cm="1">
        <f t="array" aca="1" ref="BU304" ca="1">INDIRECT($BM$2&amp;BU$7&amp;$BT304,1)</f>
        <v>0</v>
      </c>
      <c r="BV304" s="539" cm="1">
        <f t="array" aca="1" ref="BV304" ca="1">INDIRECT($BM$2&amp;BV$7&amp;$BT304,1)</f>
        <v>0</v>
      </c>
      <c r="BW304" s="539" cm="1">
        <f t="array" aca="1" ref="BW304" ca="1">INDIRECT($BM$2&amp;BW$7&amp;$BT304,1)</f>
        <v>0</v>
      </c>
      <c r="BX304" s="539" cm="1">
        <f t="array" aca="1" ref="BX304" ca="1">INDIRECT($BM$2&amp;BX$7&amp;$BT304,1)</f>
        <v>0</v>
      </c>
      <c r="BY304" s="539" cm="1">
        <f t="array" aca="1" ref="BY304" ca="1">INDIRECT($BM$2&amp;BY$7&amp;$BT304,1)</f>
        <v>0</v>
      </c>
      <c r="BZ304" s="539" t="str">
        <f t="shared" ca="1" si="165"/>
        <v>-</v>
      </c>
      <c r="CA304" s="494" t="s">
        <v>8222</v>
      </c>
      <c r="CC304" s="469">
        <v>7</v>
      </c>
      <c r="CD304" s="539" t="s">
        <v>8056</v>
      </c>
      <c r="CE304" s="539">
        <f t="shared" si="166"/>
        <v>1017</v>
      </c>
      <c r="CF304" s="539" cm="1">
        <f t="array" aca="1" ref="CF304" ca="1">INDIRECT($BM$2&amp;CF$7&amp;$CE304,1)</f>
        <v>0</v>
      </c>
      <c r="CG304" s="539" cm="1">
        <f t="array" aca="1" ref="CG304" ca="1">INDIRECT($BM$2&amp;CG$7&amp;$CE304,1)</f>
        <v>0</v>
      </c>
      <c r="CH304" s="539" cm="1">
        <f t="array" aca="1" ref="CH304" ca="1">INDIRECT($BM$2&amp;CH$7&amp;$CE304,1)</f>
        <v>0</v>
      </c>
      <c r="CI304" s="539" cm="1">
        <f t="array" aca="1" ref="CI304" ca="1">INDIRECT($BM$2&amp;CI$7&amp;$CE304,1)</f>
        <v>0</v>
      </c>
      <c r="CJ304" s="539" cm="1">
        <f t="array" aca="1" ref="CJ304" ca="1">INDIRECT($BM$2&amp;CJ$7&amp;$CE304,1)</f>
        <v>0</v>
      </c>
      <c r="CK304" s="539" t="str">
        <f t="shared" ca="1" si="167"/>
        <v>-</v>
      </c>
      <c r="CL304" s="494" t="s">
        <v>8222</v>
      </c>
      <c r="CU304" s="469" t="s">
        <v>5510</v>
      </c>
      <c r="ES304" s="504"/>
      <c r="ET304" s="507"/>
      <c r="EU304" s="585"/>
    </row>
    <row r="305" spans="1:151" x14ac:dyDescent="0.25">
      <c r="A305" s="667">
        <f ca="1"/>
        <v>1</v>
      </c>
      <c r="B305" s="666" t="str">
        <f ca="1"/>
        <v>Bioaletrina</v>
      </c>
      <c r="H305" s="667"/>
      <c r="I305" s="667"/>
      <c r="BF305" s="469" t="s">
        <v>5510</v>
      </c>
      <c r="BG305" s="469">
        <v>8</v>
      </c>
      <c r="BH305" s="539" t="s">
        <v>8056</v>
      </c>
      <c r="BI305" s="539">
        <f t="shared" si="162"/>
        <v>326</v>
      </c>
      <c r="BJ305" s="539" cm="1">
        <f t="array" aca="1" ref="BJ305" ca="1">INDIRECT($BM$2&amp;BJ$7&amp;$BI305,1)</f>
        <v>0</v>
      </c>
      <c r="BK305" s="539" cm="1">
        <f t="array" aca="1" ref="BK305" ca="1">INDIRECT($BM$2&amp;BK$7&amp;$BI305,1)</f>
        <v>0</v>
      </c>
      <c r="BL305" s="539" cm="1">
        <f t="array" aca="1" ref="BL305" ca="1">INDIRECT($BM$2&amp;BL$7&amp;$BI305,1)</f>
        <v>0</v>
      </c>
      <c r="BM305" s="539" cm="1">
        <f t="array" aca="1" ref="BM305" ca="1">INDIRECT($BM$2&amp;BM$7&amp;$BI305,1)</f>
        <v>0</v>
      </c>
      <c r="BN305" s="539" cm="1">
        <f t="array" aca="1" ref="BN305" ca="1">INDIRECT($BM$2&amp;BN$7&amp;$BI305,1)</f>
        <v>0</v>
      </c>
      <c r="BO305" s="539" t="str">
        <f t="shared" ca="1" si="163"/>
        <v>-</v>
      </c>
      <c r="BP305" s="494" t="s">
        <v>8222</v>
      </c>
      <c r="BR305" s="469">
        <v>8</v>
      </c>
      <c r="BS305" s="539" t="s">
        <v>8056</v>
      </c>
      <c r="BT305" s="539">
        <f t="shared" si="164"/>
        <v>672</v>
      </c>
      <c r="BU305" s="539" cm="1">
        <f t="array" aca="1" ref="BU305" ca="1">INDIRECT($BM$2&amp;BU$7&amp;$BT305,1)</f>
        <v>0</v>
      </c>
      <c r="BV305" s="539" cm="1">
        <f t="array" aca="1" ref="BV305" ca="1">INDIRECT($BM$2&amp;BV$7&amp;$BT305,1)</f>
        <v>0</v>
      </c>
      <c r="BW305" s="539" cm="1">
        <f t="array" aca="1" ref="BW305" ca="1">INDIRECT($BM$2&amp;BW$7&amp;$BT305,1)</f>
        <v>0</v>
      </c>
      <c r="BX305" s="539" cm="1">
        <f t="array" aca="1" ref="BX305" ca="1">INDIRECT($BM$2&amp;BX$7&amp;$BT305,1)</f>
        <v>0</v>
      </c>
      <c r="BY305" s="539" cm="1">
        <f t="array" aca="1" ref="BY305" ca="1">INDIRECT($BM$2&amp;BY$7&amp;$BT305,1)</f>
        <v>0</v>
      </c>
      <c r="BZ305" s="539" t="str">
        <f t="shared" ca="1" si="165"/>
        <v>-</v>
      </c>
      <c r="CA305" s="494" t="s">
        <v>8222</v>
      </c>
      <c r="CC305" s="469">
        <v>8</v>
      </c>
      <c r="CD305" s="539" t="s">
        <v>8056</v>
      </c>
      <c r="CE305" s="539">
        <f t="shared" si="166"/>
        <v>1018</v>
      </c>
      <c r="CF305" s="539" cm="1">
        <f t="array" aca="1" ref="CF305" ca="1">INDIRECT($BM$2&amp;CF$7&amp;$CE305,1)</f>
        <v>0</v>
      </c>
      <c r="CG305" s="539" cm="1">
        <f t="array" aca="1" ref="CG305" ca="1">INDIRECT($BM$2&amp;CG$7&amp;$CE305,1)</f>
        <v>0</v>
      </c>
      <c r="CH305" s="539" cm="1">
        <f t="array" aca="1" ref="CH305" ca="1">INDIRECT($BM$2&amp;CH$7&amp;$CE305,1)</f>
        <v>0</v>
      </c>
      <c r="CI305" s="539" cm="1">
        <f t="array" aca="1" ref="CI305" ca="1">INDIRECT($BM$2&amp;CI$7&amp;$CE305,1)</f>
        <v>0</v>
      </c>
      <c r="CJ305" s="539" cm="1">
        <f t="array" aca="1" ref="CJ305" ca="1">INDIRECT($BM$2&amp;CJ$7&amp;$CE305,1)</f>
        <v>0</v>
      </c>
      <c r="CK305" s="539" t="str">
        <f t="shared" ca="1" si="167"/>
        <v>-</v>
      </c>
      <c r="CL305" s="494" t="s">
        <v>8222</v>
      </c>
      <c r="CU305" s="469" t="s">
        <v>5510</v>
      </c>
      <c r="ES305" s="504"/>
      <c r="ET305" s="507"/>
      <c r="EU305" s="585"/>
    </row>
    <row r="306" spans="1:151" x14ac:dyDescent="0.25">
      <c r="A306" s="667">
        <f ca="1"/>
        <v>1</v>
      </c>
      <c r="B306" s="666" t="str">
        <f ca="1"/>
        <v>Bioresmetrina</v>
      </c>
      <c r="H306" s="667"/>
      <c r="I306" s="667"/>
      <c r="BF306" s="469" t="s">
        <v>5510</v>
      </c>
      <c r="BG306" s="469">
        <v>9</v>
      </c>
      <c r="BH306" s="539" t="s">
        <v>8056</v>
      </c>
      <c r="BI306" s="539">
        <f t="shared" si="162"/>
        <v>327</v>
      </c>
      <c r="BJ306" s="539" cm="1">
        <f t="array" aca="1" ref="BJ306" ca="1">INDIRECT($BM$2&amp;BJ$7&amp;$BI306,1)</f>
        <v>0</v>
      </c>
      <c r="BK306" s="539" cm="1">
        <f t="array" aca="1" ref="BK306" ca="1">INDIRECT($BM$2&amp;BK$7&amp;$BI306,1)</f>
        <v>0</v>
      </c>
      <c r="BL306" s="539" cm="1">
        <f t="array" aca="1" ref="BL306" ca="1">INDIRECT($BM$2&amp;BL$7&amp;$BI306,1)</f>
        <v>0</v>
      </c>
      <c r="BM306" s="539" cm="1">
        <f t="array" aca="1" ref="BM306" ca="1">INDIRECT($BM$2&amp;BM$7&amp;$BI306,1)</f>
        <v>0</v>
      </c>
      <c r="BN306" s="539" cm="1">
        <f t="array" aca="1" ref="BN306" ca="1">INDIRECT($BM$2&amp;BN$7&amp;$BI306,1)</f>
        <v>0</v>
      </c>
      <c r="BO306" s="539" t="str">
        <f t="shared" ca="1" si="163"/>
        <v>-</v>
      </c>
      <c r="BP306" s="494" t="s">
        <v>8222</v>
      </c>
      <c r="BR306" s="469">
        <v>9</v>
      </c>
      <c r="BS306" s="539" t="s">
        <v>8056</v>
      </c>
      <c r="BT306" s="539">
        <f t="shared" si="164"/>
        <v>673</v>
      </c>
      <c r="BU306" s="539" cm="1">
        <f t="array" aca="1" ref="BU306" ca="1">INDIRECT($BM$2&amp;BU$7&amp;$BT306,1)</f>
        <v>0</v>
      </c>
      <c r="BV306" s="539" cm="1">
        <f t="array" aca="1" ref="BV306" ca="1">INDIRECT($BM$2&amp;BV$7&amp;$BT306,1)</f>
        <v>0</v>
      </c>
      <c r="BW306" s="539" cm="1">
        <f t="array" aca="1" ref="BW306" ca="1">INDIRECT($BM$2&amp;BW$7&amp;$BT306,1)</f>
        <v>0</v>
      </c>
      <c r="BX306" s="539" cm="1">
        <f t="array" aca="1" ref="BX306" ca="1">INDIRECT($BM$2&amp;BX$7&amp;$BT306,1)</f>
        <v>0</v>
      </c>
      <c r="BY306" s="539" cm="1">
        <f t="array" aca="1" ref="BY306" ca="1">INDIRECT($BM$2&amp;BY$7&amp;$BT306,1)</f>
        <v>0</v>
      </c>
      <c r="BZ306" s="539" t="str">
        <f t="shared" ca="1" si="165"/>
        <v>-</v>
      </c>
      <c r="CA306" s="494" t="s">
        <v>8222</v>
      </c>
      <c r="CC306" s="469">
        <v>9</v>
      </c>
      <c r="CD306" s="539" t="s">
        <v>8056</v>
      </c>
      <c r="CE306" s="539">
        <f t="shared" si="166"/>
        <v>1019</v>
      </c>
      <c r="CF306" s="539" cm="1">
        <f t="array" aca="1" ref="CF306" ca="1">INDIRECT($BM$2&amp;CF$7&amp;$CE306,1)</f>
        <v>0</v>
      </c>
      <c r="CG306" s="539" cm="1">
        <f t="array" aca="1" ref="CG306" ca="1">INDIRECT($BM$2&amp;CG$7&amp;$CE306,1)</f>
        <v>0</v>
      </c>
      <c r="CH306" s="539" cm="1">
        <f t="array" aca="1" ref="CH306" ca="1">INDIRECT($BM$2&amp;CH$7&amp;$CE306,1)</f>
        <v>0</v>
      </c>
      <c r="CI306" s="539" cm="1">
        <f t="array" aca="1" ref="CI306" ca="1">INDIRECT($BM$2&amp;CI$7&amp;$CE306,1)</f>
        <v>0</v>
      </c>
      <c r="CJ306" s="539" cm="1">
        <f t="array" aca="1" ref="CJ306" ca="1">INDIRECT($BM$2&amp;CJ$7&amp;$CE306,1)</f>
        <v>0</v>
      </c>
      <c r="CK306" s="539" t="str">
        <f t="shared" ca="1" si="167"/>
        <v>-</v>
      </c>
      <c r="CL306" s="494" t="s">
        <v>8222</v>
      </c>
      <c r="CU306" s="469" t="s">
        <v>5510</v>
      </c>
      <c r="ES306" s="504"/>
      <c r="ET306" s="507"/>
      <c r="EU306" s="585"/>
    </row>
    <row r="307" spans="1:151" x14ac:dyDescent="0.25">
      <c r="A307" s="667">
        <f ca="1"/>
        <v>1</v>
      </c>
      <c r="B307" s="666" t="str">
        <f ca="1"/>
        <v>Brodifacum</v>
      </c>
      <c r="H307" s="667"/>
      <c r="I307" s="667"/>
      <c r="BF307" s="469" t="s">
        <v>5510</v>
      </c>
      <c r="BG307" s="469">
        <v>10</v>
      </c>
      <c r="BH307" s="539" t="s">
        <v>8056</v>
      </c>
      <c r="BI307" s="539">
        <f t="shared" si="162"/>
        <v>328</v>
      </c>
      <c r="BJ307" s="539" cm="1">
        <f t="array" aca="1" ref="BJ307" ca="1">INDIRECT($BM$2&amp;BJ$7&amp;$BI307,1)</f>
        <v>0</v>
      </c>
      <c r="BK307" s="539" cm="1">
        <f t="array" aca="1" ref="BK307" ca="1">INDIRECT($BM$2&amp;BK$7&amp;$BI307,1)</f>
        <v>0</v>
      </c>
      <c r="BL307" s="539" cm="1">
        <f t="array" aca="1" ref="BL307" ca="1">INDIRECT($BM$2&amp;BL$7&amp;$BI307,1)</f>
        <v>0</v>
      </c>
      <c r="BM307" s="539" cm="1">
        <f t="array" aca="1" ref="BM307" ca="1">INDIRECT($BM$2&amp;BM$7&amp;$BI307,1)</f>
        <v>0</v>
      </c>
      <c r="BN307" s="539" cm="1">
        <f t="array" aca="1" ref="BN307" ca="1">INDIRECT($BM$2&amp;BN$7&amp;$BI307,1)</f>
        <v>0</v>
      </c>
      <c r="BO307" s="539" t="str">
        <f t="shared" ca="1" si="163"/>
        <v>-</v>
      </c>
      <c r="BP307" s="494" t="s">
        <v>8222</v>
      </c>
      <c r="BR307" s="469">
        <v>10</v>
      </c>
      <c r="BS307" s="539" t="s">
        <v>8056</v>
      </c>
      <c r="BT307" s="539">
        <f t="shared" si="164"/>
        <v>674</v>
      </c>
      <c r="BU307" s="539" cm="1">
        <f t="array" aca="1" ref="BU307" ca="1">INDIRECT($BM$2&amp;BU$7&amp;$BT307,1)</f>
        <v>0</v>
      </c>
      <c r="BV307" s="539" cm="1">
        <f t="array" aca="1" ref="BV307" ca="1">INDIRECT($BM$2&amp;BV$7&amp;$BT307,1)</f>
        <v>0</v>
      </c>
      <c r="BW307" s="539" cm="1">
        <f t="array" aca="1" ref="BW307" ca="1">INDIRECT($BM$2&amp;BW$7&amp;$BT307,1)</f>
        <v>0</v>
      </c>
      <c r="BX307" s="539" cm="1">
        <f t="array" aca="1" ref="BX307" ca="1">INDIRECT($BM$2&amp;BX$7&amp;$BT307,1)</f>
        <v>0</v>
      </c>
      <c r="BY307" s="539" cm="1">
        <f t="array" aca="1" ref="BY307" ca="1">INDIRECT($BM$2&amp;BY$7&amp;$BT307,1)</f>
        <v>0</v>
      </c>
      <c r="BZ307" s="539" t="str">
        <f t="shared" ca="1" si="165"/>
        <v>-</v>
      </c>
      <c r="CA307" s="494" t="s">
        <v>8222</v>
      </c>
      <c r="CC307" s="469">
        <v>10</v>
      </c>
      <c r="CD307" s="539" t="s">
        <v>8056</v>
      </c>
      <c r="CE307" s="539">
        <f t="shared" si="166"/>
        <v>1020</v>
      </c>
      <c r="CF307" s="539" cm="1">
        <f t="array" aca="1" ref="CF307" ca="1">INDIRECT($BM$2&amp;CF$7&amp;$CE307,1)</f>
        <v>0</v>
      </c>
      <c r="CG307" s="539" cm="1">
        <f t="array" aca="1" ref="CG307" ca="1">INDIRECT($BM$2&amp;CG$7&amp;$CE307,1)</f>
        <v>0</v>
      </c>
      <c r="CH307" s="539" cm="1">
        <f t="array" aca="1" ref="CH307" ca="1">INDIRECT($BM$2&amp;CH$7&amp;$CE307,1)</f>
        <v>0</v>
      </c>
      <c r="CI307" s="539" cm="1">
        <f t="array" aca="1" ref="CI307" ca="1">INDIRECT($BM$2&amp;CI$7&amp;$CE307,1)</f>
        <v>0</v>
      </c>
      <c r="CJ307" s="539" cm="1">
        <f t="array" aca="1" ref="CJ307" ca="1">INDIRECT($BM$2&amp;CJ$7&amp;$CE307,1)</f>
        <v>0</v>
      </c>
      <c r="CK307" s="539" t="str">
        <f t="shared" ca="1" si="167"/>
        <v>-</v>
      </c>
      <c r="CL307" s="494" t="s">
        <v>8222</v>
      </c>
      <c r="CU307" s="469" t="s">
        <v>5510</v>
      </c>
      <c r="ES307" s="504"/>
      <c r="ET307" s="507"/>
      <c r="EU307" s="585"/>
    </row>
    <row r="308" spans="1:151" x14ac:dyDescent="0.25">
      <c r="A308" s="667">
        <f ca="1"/>
        <v>1</v>
      </c>
      <c r="B308" s="666" t="str">
        <f ca="1"/>
        <v>Bromacila</v>
      </c>
      <c r="H308" s="667"/>
      <c r="I308" s="667"/>
      <c r="BF308" s="469" t="s">
        <v>5510</v>
      </c>
      <c r="BG308" s="469">
        <v>11</v>
      </c>
      <c r="BH308" s="539" t="s">
        <v>8056</v>
      </c>
      <c r="BI308" s="539">
        <f t="shared" si="162"/>
        <v>329</v>
      </c>
      <c r="BJ308" s="539" cm="1">
        <f t="array" aca="1" ref="BJ308" ca="1">INDIRECT($BM$2&amp;BJ$7&amp;$BI308,1)</f>
        <v>0</v>
      </c>
      <c r="BK308" s="539" cm="1">
        <f t="array" aca="1" ref="BK308" ca="1">INDIRECT($BM$2&amp;BK$7&amp;$BI308,1)</f>
        <v>0</v>
      </c>
      <c r="BL308" s="539" cm="1">
        <f t="array" aca="1" ref="BL308" ca="1">INDIRECT($BM$2&amp;BL$7&amp;$BI308,1)</f>
        <v>0</v>
      </c>
      <c r="BM308" s="539" cm="1">
        <f t="array" aca="1" ref="BM308" ca="1">INDIRECT($BM$2&amp;BM$7&amp;$BI308,1)</f>
        <v>0</v>
      </c>
      <c r="BN308" s="539" cm="1">
        <f t="array" aca="1" ref="BN308" ca="1">INDIRECT($BM$2&amp;BN$7&amp;$BI308,1)</f>
        <v>0</v>
      </c>
      <c r="BO308" s="539" t="str">
        <f t="shared" ca="1" si="163"/>
        <v>-</v>
      </c>
      <c r="BP308" s="494" t="s">
        <v>8222</v>
      </c>
      <c r="BR308" s="469">
        <v>11</v>
      </c>
      <c r="BS308" s="539" t="s">
        <v>8056</v>
      </c>
      <c r="BT308" s="539">
        <f t="shared" si="164"/>
        <v>675</v>
      </c>
      <c r="BU308" s="539" cm="1">
        <f t="array" aca="1" ref="BU308" ca="1">INDIRECT($BM$2&amp;BU$7&amp;$BT308,1)</f>
        <v>0</v>
      </c>
      <c r="BV308" s="539" cm="1">
        <f t="array" aca="1" ref="BV308" ca="1">INDIRECT($BM$2&amp;BV$7&amp;$BT308,1)</f>
        <v>0</v>
      </c>
      <c r="BW308" s="539" cm="1">
        <f t="array" aca="1" ref="BW308" ca="1">INDIRECT($BM$2&amp;BW$7&amp;$BT308,1)</f>
        <v>0</v>
      </c>
      <c r="BX308" s="539" cm="1">
        <f t="array" aca="1" ref="BX308" ca="1">INDIRECT($BM$2&amp;BX$7&amp;$BT308,1)</f>
        <v>0</v>
      </c>
      <c r="BY308" s="539" cm="1">
        <f t="array" aca="1" ref="BY308" ca="1">INDIRECT($BM$2&amp;BY$7&amp;$BT308,1)</f>
        <v>0</v>
      </c>
      <c r="BZ308" s="539" t="str">
        <f t="shared" ca="1" si="165"/>
        <v>-</v>
      </c>
      <c r="CA308" s="494" t="s">
        <v>8222</v>
      </c>
      <c r="CC308" s="469">
        <v>11</v>
      </c>
      <c r="CD308" s="539" t="s">
        <v>8056</v>
      </c>
      <c r="CE308" s="539">
        <f t="shared" si="166"/>
        <v>1021</v>
      </c>
      <c r="CF308" s="539" cm="1">
        <f t="array" aca="1" ref="CF308" ca="1">INDIRECT($BM$2&amp;CF$7&amp;$CE308,1)</f>
        <v>0</v>
      </c>
      <c r="CG308" s="539" cm="1">
        <f t="array" aca="1" ref="CG308" ca="1">INDIRECT($BM$2&amp;CG$7&amp;$CE308,1)</f>
        <v>0</v>
      </c>
      <c r="CH308" s="539" cm="1">
        <f t="array" aca="1" ref="CH308" ca="1">INDIRECT($BM$2&amp;CH$7&amp;$CE308,1)</f>
        <v>0</v>
      </c>
      <c r="CI308" s="539" cm="1">
        <f t="array" aca="1" ref="CI308" ca="1">INDIRECT($BM$2&amp;CI$7&amp;$CE308,1)</f>
        <v>0</v>
      </c>
      <c r="CJ308" s="539" cm="1">
        <f t="array" aca="1" ref="CJ308" ca="1">INDIRECT($BM$2&amp;CJ$7&amp;$CE308,1)</f>
        <v>0</v>
      </c>
      <c r="CK308" s="539" t="str">
        <f t="shared" ca="1" si="167"/>
        <v>-</v>
      </c>
      <c r="CL308" s="494" t="s">
        <v>8222</v>
      </c>
      <c r="CU308" s="469" t="s">
        <v>5510</v>
      </c>
      <c r="ES308" s="504"/>
      <c r="ET308" s="507"/>
      <c r="EU308" s="585"/>
    </row>
    <row r="309" spans="1:151" x14ac:dyDescent="0.25">
      <c r="A309" s="667">
        <f ca="1"/>
        <v>1</v>
      </c>
      <c r="B309" s="666" t="str">
        <f ca="1"/>
        <v>Bromofós</v>
      </c>
      <c r="H309" s="667"/>
      <c r="I309" s="667"/>
      <c r="BF309" s="469" t="s">
        <v>5510</v>
      </c>
      <c r="BG309" s="469">
        <v>12</v>
      </c>
      <c r="BH309" s="539" t="s">
        <v>8056</v>
      </c>
      <c r="BI309" s="539">
        <f t="shared" si="162"/>
        <v>330</v>
      </c>
      <c r="BJ309" s="539" cm="1">
        <f t="array" aca="1" ref="BJ309" ca="1">INDIRECT($BM$2&amp;BJ$7&amp;$BI309,1)</f>
        <v>0</v>
      </c>
      <c r="BK309" s="539" cm="1">
        <f t="array" aca="1" ref="BK309" ca="1">INDIRECT($BM$2&amp;BK$7&amp;$BI309,1)</f>
        <v>0</v>
      </c>
      <c r="BL309" s="539" cm="1">
        <f t="array" aca="1" ref="BL309" ca="1">INDIRECT($BM$2&amp;BL$7&amp;$BI309,1)</f>
        <v>0</v>
      </c>
      <c r="BM309" s="539" cm="1">
        <f t="array" aca="1" ref="BM309" ca="1">INDIRECT($BM$2&amp;BM$7&amp;$BI309,1)</f>
        <v>0</v>
      </c>
      <c r="BN309" s="539" t="str" cm="1">
        <f t="array" aca="1" ref="BN309" ca="1">INDIRECT($BM$2&amp;BN$7&amp;$BI309,1)</f>
        <v>-</v>
      </c>
      <c r="BO309" s="539" t="str">
        <f t="shared" ca="1" si="163"/>
        <v>-</v>
      </c>
      <c r="BP309" s="561" t="s">
        <v>8223</v>
      </c>
      <c r="BR309" s="469">
        <v>12</v>
      </c>
      <c r="BS309" s="539" t="s">
        <v>8056</v>
      </c>
      <c r="BT309" s="539">
        <f t="shared" si="164"/>
        <v>676</v>
      </c>
      <c r="BU309" s="539" cm="1">
        <f t="array" aca="1" ref="BU309" ca="1">INDIRECT($BM$2&amp;BU$7&amp;$BT309,1)</f>
        <v>0</v>
      </c>
      <c r="BV309" s="539" cm="1">
        <f t="array" aca="1" ref="BV309" ca="1">INDIRECT($BM$2&amp;BV$7&amp;$BT309,1)</f>
        <v>0</v>
      </c>
      <c r="BW309" s="539" cm="1">
        <f t="array" aca="1" ref="BW309" ca="1">INDIRECT($BM$2&amp;BW$7&amp;$BT309,1)</f>
        <v>0</v>
      </c>
      <c r="BX309" s="539" cm="1">
        <f t="array" aca="1" ref="BX309" ca="1">INDIRECT($BM$2&amp;BX$7&amp;$BT309,1)</f>
        <v>0</v>
      </c>
      <c r="BY309" s="539" t="str" cm="1">
        <f t="array" aca="1" ref="BY309" ca="1">INDIRECT($BM$2&amp;BY$7&amp;$BT309,1)</f>
        <v>-</v>
      </c>
      <c r="BZ309" s="539" t="str">
        <f t="shared" ca="1" si="165"/>
        <v>-</v>
      </c>
      <c r="CA309" s="561" t="s">
        <v>8223</v>
      </c>
      <c r="CC309" s="469">
        <v>12</v>
      </c>
      <c r="CD309" s="539" t="s">
        <v>8056</v>
      </c>
      <c r="CE309" s="539">
        <f t="shared" si="166"/>
        <v>1022</v>
      </c>
      <c r="CF309" s="539" cm="1">
        <f t="array" aca="1" ref="CF309" ca="1">INDIRECT($BM$2&amp;CF$7&amp;$CE309,1)</f>
        <v>0</v>
      </c>
      <c r="CG309" s="539" cm="1">
        <f t="array" aca="1" ref="CG309" ca="1">INDIRECT($BM$2&amp;CG$7&amp;$CE309,1)</f>
        <v>0</v>
      </c>
      <c r="CH309" s="539" cm="1">
        <f t="array" aca="1" ref="CH309" ca="1">INDIRECT($BM$2&amp;CH$7&amp;$CE309,1)</f>
        <v>0</v>
      </c>
      <c r="CI309" s="539" cm="1">
        <f t="array" aca="1" ref="CI309" ca="1">INDIRECT($BM$2&amp;CI$7&amp;$CE309,1)</f>
        <v>0</v>
      </c>
      <c r="CJ309" s="539" t="str" cm="1">
        <f t="array" aca="1" ref="CJ309" ca="1">INDIRECT($BM$2&amp;CJ$7&amp;$CE309,1)</f>
        <v>-</v>
      </c>
      <c r="CK309" s="539" t="str">
        <f t="shared" ca="1" si="167"/>
        <v>-</v>
      </c>
      <c r="CL309" s="561" t="s">
        <v>8223</v>
      </c>
      <c r="CU309" s="469" t="s">
        <v>5510</v>
      </c>
      <c r="ES309" s="504"/>
      <c r="ET309" s="507"/>
      <c r="EU309" s="585"/>
    </row>
    <row r="310" spans="1:151" x14ac:dyDescent="0.25">
      <c r="A310" s="667">
        <f ca="1"/>
        <v>1</v>
      </c>
      <c r="B310" s="666" t="str">
        <f ca="1"/>
        <v>Bromoxinil</v>
      </c>
      <c r="H310" s="667"/>
      <c r="I310" s="667"/>
      <c r="BF310" s="469" t="s">
        <v>5510</v>
      </c>
      <c r="BL310" s="372"/>
      <c r="BO310" s="472"/>
      <c r="BT310" s="372"/>
      <c r="BU310" s="472"/>
      <c r="BV310" s="472"/>
      <c r="BW310" s="372"/>
      <c r="BX310" s="472"/>
      <c r="BY310" s="372"/>
      <c r="BZ310" s="472"/>
      <c r="CA310" s="372"/>
      <c r="CE310" s="372"/>
      <c r="CF310" s="472"/>
      <c r="CG310" s="472"/>
      <c r="CH310" s="372"/>
      <c r="CI310" s="472"/>
      <c r="CJ310" s="372"/>
      <c r="CK310" s="472"/>
      <c r="CL310" s="372"/>
      <c r="CU310" s="469" t="s">
        <v>5510</v>
      </c>
      <c r="ES310" s="504"/>
      <c r="ET310" s="507"/>
      <c r="EU310" s="585"/>
    </row>
    <row r="311" spans="1:151" x14ac:dyDescent="0.25">
      <c r="A311" s="667">
        <f ca="1"/>
        <v>1</v>
      </c>
      <c r="B311" s="666" t="str">
        <f ca="1"/>
        <v>Bendiocarbe</v>
      </c>
      <c r="BF311" s="469" t="s">
        <v>5510</v>
      </c>
      <c r="BL311" s="372"/>
      <c r="BO311" s="472"/>
      <c r="BT311" s="372"/>
      <c r="BU311" s="472"/>
      <c r="BV311" s="472"/>
      <c r="BW311" s="372"/>
      <c r="BX311" s="472"/>
      <c r="BY311" s="372"/>
      <c r="BZ311" s="472"/>
      <c r="CA311" s="372"/>
      <c r="CE311" s="372"/>
      <c r="CF311" s="472"/>
      <c r="CG311" s="472"/>
      <c r="CH311" s="372"/>
      <c r="CI311" s="472"/>
      <c r="CJ311" s="372"/>
      <c r="CK311" s="472"/>
      <c r="CL311" s="372"/>
      <c r="CU311" s="469" t="s">
        <v>5510</v>
      </c>
      <c r="ES311" s="504"/>
      <c r="ET311" s="507"/>
      <c r="EU311" s="585"/>
    </row>
    <row r="312" spans="1:151" x14ac:dyDescent="0.25">
      <c r="A312" s="667">
        <f ca="1"/>
        <v>1</v>
      </c>
      <c r="B312" s="666" t="str">
        <f ca="1"/>
        <v>Bromopropilato</v>
      </c>
      <c r="BF312" s="469" t="s">
        <v>5510</v>
      </c>
      <c r="BT312" s="372"/>
      <c r="BU312" s="472"/>
      <c r="BV312" s="472"/>
      <c r="BW312" s="472"/>
      <c r="BX312" s="472"/>
      <c r="BY312" s="372"/>
      <c r="BZ312" s="372"/>
      <c r="CA312" s="372"/>
      <c r="CE312" s="372"/>
      <c r="CF312" s="472"/>
      <c r="CG312" s="472"/>
      <c r="CH312" s="472"/>
      <c r="CI312" s="472"/>
      <c r="CJ312" s="372"/>
      <c r="CK312" s="372"/>
      <c r="CL312" s="372"/>
      <c r="CU312" s="469" t="s">
        <v>5510</v>
      </c>
      <c r="ES312" s="504"/>
      <c r="ET312" s="507"/>
      <c r="EU312" s="585"/>
    </row>
    <row r="313" spans="1:151" x14ac:dyDescent="0.25">
      <c r="A313" s="667">
        <f ca="1"/>
        <v>1</v>
      </c>
      <c r="B313" s="666" t="str">
        <f ca="1"/>
        <v>Brometo de metila</v>
      </c>
      <c r="BF313" s="469" t="s">
        <v>5510</v>
      </c>
      <c r="BT313" s="372"/>
      <c r="BU313" s="472"/>
      <c r="BV313" s="472"/>
      <c r="BW313" s="472"/>
      <c r="BX313" s="472"/>
      <c r="BY313" s="372"/>
      <c r="BZ313" s="372"/>
      <c r="CA313" s="372"/>
      <c r="CE313" s="372"/>
      <c r="CF313" s="472"/>
      <c r="CG313" s="472"/>
      <c r="CH313" s="472"/>
      <c r="CI313" s="472"/>
      <c r="CJ313" s="372"/>
      <c r="CK313" s="372"/>
      <c r="CL313" s="372"/>
      <c r="CU313" s="469" t="s">
        <v>5510</v>
      </c>
      <c r="ES313" s="504"/>
      <c r="ET313" s="507"/>
      <c r="EU313" s="585"/>
    </row>
    <row r="314" spans="1:151" x14ac:dyDescent="0.25">
      <c r="A314" s="667">
        <f ca="1"/>
        <v>1</v>
      </c>
      <c r="B314" s="666" t="str">
        <f ca="1"/>
        <v>Bitertanol</v>
      </c>
      <c r="BF314" s="469" t="s">
        <v>5510</v>
      </c>
      <c r="BG314" s="469">
        <v>1</v>
      </c>
      <c r="BH314" s="539" t="s">
        <v>8053</v>
      </c>
      <c r="BI314" s="539">
        <f>BI309+$BO$5</f>
        <v>336</v>
      </c>
      <c r="BJ314" s="539" cm="1">
        <f t="array" aca="1" ref="BJ314" ca="1">INDIRECT($BM$2&amp;BJ$7&amp;$BI314,1)</f>
        <v>0</v>
      </c>
      <c r="BK314" s="539" cm="1">
        <f t="array" aca="1" ref="BK314" ca="1">INDIRECT($BM$2&amp;BK$7&amp;$BI314,1)</f>
        <v>0</v>
      </c>
      <c r="BL314" s="539" cm="1">
        <f t="array" aca="1" ref="BL314" ca="1">INDIRECT($BM$2&amp;BL$7&amp;$BI314,1)</f>
        <v>0</v>
      </c>
      <c r="BM314" s="539" cm="1">
        <f t="array" aca="1" ref="BM314" ca="1">INDIRECT($BM$2&amp;BM$7&amp;$BI314,1)</f>
        <v>0</v>
      </c>
      <c r="BN314" s="539" cm="1">
        <f t="array" aca="1" ref="BN314" ca="1">INDIRECT($BM$2&amp;BN$7&amp;$BI314,1)</f>
        <v>0</v>
      </c>
      <c r="BO314" s="539" t="str">
        <f t="shared" ref="BO314:BO325" ca="1" si="168">IFERROR(BK314/BK$314,"-")</f>
        <v>-</v>
      </c>
      <c r="BP314" s="540" t="s">
        <v>8221</v>
      </c>
      <c r="BR314" s="469">
        <v>1</v>
      </c>
      <c r="BS314" s="539" t="s">
        <v>8053</v>
      </c>
      <c r="BT314" s="539">
        <f>BT309+$BO$5</f>
        <v>682</v>
      </c>
      <c r="BU314" s="539" cm="1">
        <f t="array" aca="1" ref="BU314" ca="1">INDIRECT($BM$2&amp;BU$7&amp;$BT314,1)</f>
        <v>0</v>
      </c>
      <c r="BV314" s="539" cm="1">
        <f t="array" aca="1" ref="BV314" ca="1">INDIRECT($BM$2&amp;BV$7&amp;$BT314,1)</f>
        <v>0</v>
      </c>
      <c r="BW314" s="539" cm="1">
        <f t="array" aca="1" ref="BW314" ca="1">INDIRECT($BM$2&amp;BW$7&amp;$BT314,1)</f>
        <v>0</v>
      </c>
      <c r="BX314" s="539" cm="1">
        <f t="array" aca="1" ref="BX314" ca="1">INDIRECT($BM$2&amp;BX$7&amp;$BT314,1)</f>
        <v>0</v>
      </c>
      <c r="BY314" s="539" cm="1">
        <f t="array" aca="1" ref="BY314" ca="1">INDIRECT($BM$2&amp;BY$7&amp;$BT314,1)</f>
        <v>0</v>
      </c>
      <c r="BZ314" s="539" t="str">
        <f t="shared" ref="BZ314:BZ325" ca="1" si="169">IFERROR(BV314/BV$314,"-")</f>
        <v>-</v>
      </c>
      <c r="CA314" s="540" t="s">
        <v>8221</v>
      </c>
      <c r="CC314" s="469">
        <v>1</v>
      </c>
      <c r="CD314" s="539" t="s">
        <v>8053</v>
      </c>
      <c r="CE314" s="539">
        <f>CE309+$BO$5</f>
        <v>1028</v>
      </c>
      <c r="CF314" s="539" cm="1">
        <f t="array" aca="1" ref="CF314" ca="1">INDIRECT($BM$2&amp;CF$7&amp;$CE314,1)</f>
        <v>0</v>
      </c>
      <c r="CG314" s="539" cm="1">
        <f t="array" aca="1" ref="CG314" ca="1">INDIRECT($BM$2&amp;CG$7&amp;$CE314,1)</f>
        <v>0</v>
      </c>
      <c r="CH314" s="539" cm="1">
        <f t="array" aca="1" ref="CH314" ca="1">INDIRECT($BM$2&amp;CH$7&amp;$CE314,1)</f>
        <v>0</v>
      </c>
      <c r="CI314" s="539" cm="1">
        <f t="array" aca="1" ref="CI314" ca="1">INDIRECT($BM$2&amp;CI$7&amp;$CE314,1)</f>
        <v>0</v>
      </c>
      <c r="CJ314" s="539" cm="1">
        <f t="array" aca="1" ref="CJ314" ca="1">INDIRECT($BM$2&amp;CJ$7&amp;$CE314,1)</f>
        <v>0</v>
      </c>
      <c r="CK314" s="539" t="str">
        <f t="shared" ref="CK314:CK325" ca="1" si="170">IFERROR(CG314/CG$314,"-")</f>
        <v>-</v>
      </c>
      <c r="CL314" s="540" t="s">
        <v>8221</v>
      </c>
      <c r="CU314" s="469" t="s">
        <v>5510</v>
      </c>
      <c r="ES314" s="504"/>
      <c r="ET314" s="507"/>
      <c r="EU314" s="585"/>
    </row>
    <row r="315" spans="1:151" x14ac:dyDescent="0.25">
      <c r="A315" s="667">
        <f ca="1"/>
        <v>1</v>
      </c>
      <c r="B315" s="666" t="str">
        <f ca="1"/>
        <v>Butralina</v>
      </c>
      <c r="BF315" s="469" t="s">
        <v>5510</v>
      </c>
      <c r="BG315" s="469">
        <v>2</v>
      </c>
      <c r="BH315" s="539" t="s">
        <v>8053</v>
      </c>
      <c r="BI315" s="539">
        <f t="shared" ref="BI315:BI325" si="171">BI314+1</f>
        <v>337</v>
      </c>
      <c r="BJ315" s="539" cm="1">
        <f t="array" aca="1" ref="BJ315" ca="1">INDIRECT($BM$2&amp;BJ$7&amp;$BI315,1)</f>
        <v>0</v>
      </c>
      <c r="BK315" s="539" cm="1">
        <f t="array" aca="1" ref="BK315" ca="1">INDIRECT($BM$2&amp;BK$7&amp;$BI315,1)</f>
        <v>0</v>
      </c>
      <c r="BL315" s="539" cm="1">
        <f t="array" aca="1" ref="BL315" ca="1">INDIRECT($BM$2&amp;BL$7&amp;$BI315,1)</f>
        <v>0</v>
      </c>
      <c r="BM315" s="539" cm="1">
        <f t="array" aca="1" ref="BM315" ca="1">INDIRECT($BM$2&amp;BM$7&amp;$BI315,1)</f>
        <v>0</v>
      </c>
      <c r="BN315" s="539" cm="1">
        <f t="array" aca="1" ref="BN315" ca="1">INDIRECT($BM$2&amp;BN$7&amp;$BI315,1)</f>
        <v>0</v>
      </c>
      <c r="BO315" s="539" t="str">
        <f t="shared" ca="1" si="168"/>
        <v>-</v>
      </c>
      <c r="BP315" s="494" t="s">
        <v>8222</v>
      </c>
      <c r="BR315" s="469">
        <v>2</v>
      </c>
      <c r="BS315" s="539" t="s">
        <v>8053</v>
      </c>
      <c r="BT315" s="539">
        <f>BT314+1</f>
        <v>683</v>
      </c>
      <c r="BU315" s="539" cm="1">
        <f t="array" aca="1" ref="BU315" ca="1">INDIRECT($BM$2&amp;BU$7&amp;$BT315,1)</f>
        <v>0</v>
      </c>
      <c r="BV315" s="539" cm="1">
        <f t="array" aca="1" ref="BV315" ca="1">INDIRECT($BM$2&amp;BV$7&amp;$BT315,1)</f>
        <v>0</v>
      </c>
      <c r="BW315" s="539" cm="1">
        <f t="array" aca="1" ref="BW315" ca="1">INDIRECT($BM$2&amp;BW$7&amp;$BT315,1)</f>
        <v>0</v>
      </c>
      <c r="BX315" s="539" cm="1">
        <f t="array" aca="1" ref="BX315" ca="1">INDIRECT($BM$2&amp;BX$7&amp;$BT315,1)</f>
        <v>0</v>
      </c>
      <c r="BY315" s="539" cm="1">
        <f t="array" aca="1" ref="BY315" ca="1">INDIRECT($BM$2&amp;BY$7&amp;$BT315,1)</f>
        <v>0</v>
      </c>
      <c r="BZ315" s="539" t="str">
        <f t="shared" ca="1" si="169"/>
        <v>-</v>
      </c>
      <c r="CA315" s="494" t="s">
        <v>8222</v>
      </c>
      <c r="CC315" s="469">
        <v>2</v>
      </c>
      <c r="CD315" s="539" t="s">
        <v>8053</v>
      </c>
      <c r="CE315" s="539">
        <f t="shared" ref="CE315:CE325" si="172">CE314+1</f>
        <v>1029</v>
      </c>
      <c r="CF315" s="539" cm="1">
        <f t="array" aca="1" ref="CF315" ca="1">INDIRECT($BM$2&amp;CF$7&amp;$CE315,1)</f>
        <v>0</v>
      </c>
      <c r="CG315" s="539" cm="1">
        <f t="array" aca="1" ref="CG315" ca="1">INDIRECT($BM$2&amp;CG$7&amp;$CE315,1)</f>
        <v>0</v>
      </c>
      <c r="CH315" s="539" cm="1">
        <f t="array" aca="1" ref="CH315" ca="1">INDIRECT($BM$2&amp;CH$7&amp;$CE315,1)</f>
        <v>0</v>
      </c>
      <c r="CI315" s="539" cm="1">
        <f t="array" aca="1" ref="CI315" ca="1">INDIRECT($BM$2&amp;CI$7&amp;$CE315,1)</f>
        <v>0</v>
      </c>
      <c r="CJ315" s="539" cm="1">
        <f t="array" aca="1" ref="CJ315" ca="1">INDIRECT($BM$2&amp;CJ$7&amp;$CE315,1)</f>
        <v>0</v>
      </c>
      <c r="CK315" s="539" t="str">
        <f t="shared" ca="1" si="170"/>
        <v>-</v>
      </c>
      <c r="CL315" s="494" t="s">
        <v>8222</v>
      </c>
      <c r="CU315" s="469" t="s">
        <v>5510</v>
      </c>
      <c r="ES315" s="504"/>
      <c r="ET315" s="507"/>
      <c r="EU315" s="585"/>
    </row>
    <row r="316" spans="1:151" x14ac:dyDescent="0.25">
      <c r="A316" s="667">
        <f ca="1"/>
        <v>1</v>
      </c>
      <c r="B316" s="666" t="str">
        <f ca="1"/>
        <v>Bifentrina</v>
      </c>
      <c r="BF316" s="469" t="s">
        <v>5510</v>
      </c>
      <c r="BG316" s="469">
        <v>3</v>
      </c>
      <c r="BH316" s="539" t="s">
        <v>8053</v>
      </c>
      <c r="BI316" s="539">
        <f t="shared" si="171"/>
        <v>338</v>
      </c>
      <c r="BJ316" s="539" cm="1">
        <f t="array" aca="1" ref="BJ316" ca="1">INDIRECT($BM$2&amp;BJ$7&amp;$BI316,1)</f>
        <v>0</v>
      </c>
      <c r="BK316" s="539" cm="1">
        <f t="array" aca="1" ref="BK316" ca="1">INDIRECT($BM$2&amp;BK$7&amp;$BI316,1)</f>
        <v>0</v>
      </c>
      <c r="BL316" s="539" cm="1">
        <f t="array" aca="1" ref="BL316" ca="1">INDIRECT($BM$2&amp;BL$7&amp;$BI316,1)</f>
        <v>0</v>
      </c>
      <c r="BM316" s="539" cm="1">
        <f t="array" aca="1" ref="BM316" ca="1">INDIRECT($BM$2&amp;BM$7&amp;$BI316,1)</f>
        <v>0</v>
      </c>
      <c r="BN316" s="539" cm="1">
        <f t="array" aca="1" ref="BN316" ca="1">INDIRECT($BM$2&amp;BN$7&amp;$BI316,1)</f>
        <v>0</v>
      </c>
      <c r="BO316" s="539" t="str">
        <f t="shared" ca="1" si="168"/>
        <v>-</v>
      </c>
      <c r="BP316" s="494" t="s">
        <v>8222</v>
      </c>
      <c r="BR316" s="469">
        <v>3</v>
      </c>
      <c r="BS316" s="539" t="s">
        <v>8053</v>
      </c>
      <c r="BT316" s="539">
        <f t="shared" ref="BT316:BT325" si="173">BT315+1</f>
        <v>684</v>
      </c>
      <c r="BU316" s="539" cm="1">
        <f t="array" aca="1" ref="BU316" ca="1">INDIRECT($BM$2&amp;BU$7&amp;$BT316,1)</f>
        <v>0</v>
      </c>
      <c r="BV316" s="539" cm="1">
        <f t="array" aca="1" ref="BV316" ca="1">INDIRECT($BM$2&amp;BV$7&amp;$BT316,1)</f>
        <v>0</v>
      </c>
      <c r="BW316" s="539" cm="1">
        <f t="array" aca="1" ref="BW316" ca="1">INDIRECT($BM$2&amp;BW$7&amp;$BT316,1)</f>
        <v>0</v>
      </c>
      <c r="BX316" s="539" cm="1">
        <f t="array" aca="1" ref="BX316" ca="1">INDIRECT($BM$2&amp;BX$7&amp;$BT316,1)</f>
        <v>0</v>
      </c>
      <c r="BY316" s="539" cm="1">
        <f t="array" aca="1" ref="BY316" ca="1">INDIRECT($BM$2&amp;BY$7&amp;$BT316,1)</f>
        <v>0</v>
      </c>
      <c r="BZ316" s="539" t="str">
        <f t="shared" ca="1" si="169"/>
        <v>-</v>
      </c>
      <c r="CA316" s="494" t="s">
        <v>8222</v>
      </c>
      <c r="CC316" s="469">
        <v>3</v>
      </c>
      <c r="CD316" s="539" t="s">
        <v>8053</v>
      </c>
      <c r="CE316" s="539">
        <f t="shared" si="172"/>
        <v>1030</v>
      </c>
      <c r="CF316" s="539" cm="1">
        <f t="array" aca="1" ref="CF316" ca="1">INDIRECT($BM$2&amp;CF$7&amp;$CE316,1)</f>
        <v>0</v>
      </c>
      <c r="CG316" s="539" cm="1">
        <f t="array" aca="1" ref="CG316" ca="1">INDIRECT($BM$2&amp;CG$7&amp;$CE316,1)</f>
        <v>0</v>
      </c>
      <c r="CH316" s="539" cm="1">
        <f t="array" aca="1" ref="CH316" ca="1">INDIRECT($BM$2&amp;CH$7&amp;$CE316,1)</f>
        <v>0</v>
      </c>
      <c r="CI316" s="539" cm="1">
        <f t="array" aca="1" ref="CI316" ca="1">INDIRECT($BM$2&amp;CI$7&amp;$CE316,1)</f>
        <v>0</v>
      </c>
      <c r="CJ316" s="539" cm="1">
        <f t="array" aca="1" ref="CJ316" ca="1">INDIRECT($BM$2&amp;CJ$7&amp;$CE316,1)</f>
        <v>0</v>
      </c>
      <c r="CK316" s="539" t="str">
        <f t="shared" ca="1" si="170"/>
        <v>-</v>
      </c>
      <c r="CL316" s="494" t="s">
        <v>8222</v>
      </c>
      <c r="CU316" s="469" t="s">
        <v>5510</v>
      </c>
      <c r="ES316" s="504"/>
      <c r="ET316" s="507"/>
      <c r="EU316" s="585"/>
    </row>
    <row r="317" spans="1:151" x14ac:dyDescent="0.25">
      <c r="A317" s="667">
        <f ca="1"/>
        <v>1</v>
      </c>
      <c r="B317" s="666" t="str">
        <f ca="1"/>
        <v>Bromadiolona</v>
      </c>
      <c r="BF317" s="469" t="s">
        <v>5510</v>
      </c>
      <c r="BG317" s="469">
        <v>4</v>
      </c>
      <c r="BH317" s="539" t="s">
        <v>8053</v>
      </c>
      <c r="BI317" s="539">
        <f t="shared" si="171"/>
        <v>339</v>
      </c>
      <c r="BJ317" s="539" cm="1">
        <f t="array" aca="1" ref="BJ317" ca="1">INDIRECT($BM$2&amp;BJ$7&amp;$BI317,1)</f>
        <v>0</v>
      </c>
      <c r="BK317" s="539" cm="1">
        <f t="array" aca="1" ref="BK317" ca="1">INDIRECT($BM$2&amp;BK$7&amp;$BI317,1)</f>
        <v>0</v>
      </c>
      <c r="BL317" s="539" cm="1">
        <f t="array" aca="1" ref="BL317" ca="1">INDIRECT($BM$2&amp;BL$7&amp;$BI317,1)</f>
        <v>0</v>
      </c>
      <c r="BM317" s="539" cm="1">
        <f t="array" aca="1" ref="BM317" ca="1">INDIRECT($BM$2&amp;BM$7&amp;$BI317,1)</f>
        <v>0</v>
      </c>
      <c r="BN317" s="539" cm="1">
        <f t="array" aca="1" ref="BN317" ca="1">INDIRECT($BM$2&amp;BN$7&amp;$BI317,1)</f>
        <v>0</v>
      </c>
      <c r="BO317" s="539" t="str">
        <f t="shared" ca="1" si="168"/>
        <v>-</v>
      </c>
      <c r="BP317" s="494" t="s">
        <v>8222</v>
      </c>
      <c r="BR317" s="469">
        <v>4</v>
      </c>
      <c r="BS317" s="539" t="s">
        <v>8053</v>
      </c>
      <c r="BT317" s="539">
        <f t="shared" si="173"/>
        <v>685</v>
      </c>
      <c r="BU317" s="539" cm="1">
        <f t="array" aca="1" ref="BU317" ca="1">INDIRECT($BM$2&amp;BU$7&amp;$BT317,1)</f>
        <v>0</v>
      </c>
      <c r="BV317" s="539" cm="1">
        <f t="array" aca="1" ref="BV317" ca="1">INDIRECT($BM$2&amp;BV$7&amp;$BT317,1)</f>
        <v>0</v>
      </c>
      <c r="BW317" s="539" cm="1">
        <f t="array" aca="1" ref="BW317" ca="1">INDIRECT($BM$2&amp;BW$7&amp;$BT317,1)</f>
        <v>0</v>
      </c>
      <c r="BX317" s="539" cm="1">
        <f t="array" aca="1" ref="BX317" ca="1">INDIRECT($BM$2&amp;BX$7&amp;$BT317,1)</f>
        <v>0</v>
      </c>
      <c r="BY317" s="539" cm="1">
        <f t="array" aca="1" ref="BY317" ca="1">INDIRECT($BM$2&amp;BY$7&amp;$BT317,1)</f>
        <v>0</v>
      </c>
      <c r="BZ317" s="539" t="str">
        <f t="shared" ca="1" si="169"/>
        <v>-</v>
      </c>
      <c r="CA317" s="494" t="s">
        <v>8222</v>
      </c>
      <c r="CC317" s="469">
        <v>4</v>
      </c>
      <c r="CD317" s="539" t="s">
        <v>8053</v>
      </c>
      <c r="CE317" s="539">
        <f t="shared" si="172"/>
        <v>1031</v>
      </c>
      <c r="CF317" s="539" cm="1">
        <f t="array" aca="1" ref="CF317" ca="1">INDIRECT($BM$2&amp;CF$7&amp;$CE317,1)</f>
        <v>0</v>
      </c>
      <c r="CG317" s="539" cm="1">
        <f t="array" aca="1" ref="CG317" ca="1">INDIRECT($BM$2&amp;CG$7&amp;$CE317,1)</f>
        <v>0</v>
      </c>
      <c r="CH317" s="539" cm="1">
        <f t="array" aca="1" ref="CH317" ca="1">INDIRECT($BM$2&amp;CH$7&amp;$CE317,1)</f>
        <v>0</v>
      </c>
      <c r="CI317" s="539" cm="1">
        <f t="array" aca="1" ref="CI317" ca="1">INDIRECT($BM$2&amp;CI$7&amp;$CE317,1)</f>
        <v>0</v>
      </c>
      <c r="CJ317" s="539" cm="1">
        <f t="array" aca="1" ref="CJ317" ca="1">INDIRECT($BM$2&amp;CJ$7&amp;$CE317,1)</f>
        <v>0</v>
      </c>
      <c r="CK317" s="539" t="str">
        <f t="shared" ca="1" si="170"/>
        <v>-</v>
      </c>
      <c r="CL317" s="494" t="s">
        <v>8222</v>
      </c>
      <c r="CU317" s="469" t="s">
        <v>5510</v>
      </c>
      <c r="ES317" s="504"/>
      <c r="ET317" s="507"/>
      <c r="EU317" s="585"/>
    </row>
    <row r="318" spans="1:151" x14ac:dyDescent="0.25">
      <c r="A318" s="667">
        <f ca="1"/>
        <v>1</v>
      </c>
      <c r="B318" s="666" t="str">
        <f ca="1"/>
        <v>Buprofenzina</v>
      </c>
      <c r="BF318" s="469" t="s">
        <v>5510</v>
      </c>
      <c r="BG318" s="469">
        <v>5</v>
      </c>
      <c r="BH318" s="539" t="s">
        <v>8053</v>
      </c>
      <c r="BI318" s="539">
        <f t="shared" si="171"/>
        <v>340</v>
      </c>
      <c r="BJ318" s="539" cm="1">
        <f t="array" aca="1" ref="BJ318" ca="1">INDIRECT($BM$2&amp;BJ$7&amp;$BI318,1)</f>
        <v>0</v>
      </c>
      <c r="BK318" s="539" cm="1">
        <f t="array" aca="1" ref="BK318" ca="1">INDIRECT($BM$2&amp;BK$7&amp;$BI318,1)</f>
        <v>0</v>
      </c>
      <c r="BL318" s="539" cm="1">
        <f t="array" aca="1" ref="BL318" ca="1">INDIRECT($BM$2&amp;BL$7&amp;$BI318,1)</f>
        <v>0</v>
      </c>
      <c r="BM318" s="539" cm="1">
        <f t="array" aca="1" ref="BM318" ca="1">INDIRECT($BM$2&amp;BM$7&amp;$BI318,1)</f>
        <v>0</v>
      </c>
      <c r="BN318" s="539" cm="1">
        <f t="array" aca="1" ref="BN318" ca="1">INDIRECT($BM$2&amp;BN$7&amp;$BI318,1)</f>
        <v>0</v>
      </c>
      <c r="BO318" s="539" t="str">
        <f t="shared" ca="1" si="168"/>
        <v>-</v>
      </c>
      <c r="BP318" s="494" t="s">
        <v>8222</v>
      </c>
      <c r="BR318" s="469">
        <v>5</v>
      </c>
      <c r="BS318" s="539" t="s">
        <v>8053</v>
      </c>
      <c r="BT318" s="539">
        <f t="shared" si="173"/>
        <v>686</v>
      </c>
      <c r="BU318" s="539" cm="1">
        <f t="array" aca="1" ref="BU318" ca="1">INDIRECT($BM$2&amp;BU$7&amp;$BT318,1)</f>
        <v>0</v>
      </c>
      <c r="BV318" s="539" cm="1">
        <f t="array" aca="1" ref="BV318" ca="1">INDIRECT($BM$2&amp;BV$7&amp;$BT318,1)</f>
        <v>0</v>
      </c>
      <c r="BW318" s="539" cm="1">
        <f t="array" aca="1" ref="BW318" ca="1">INDIRECT($BM$2&amp;BW$7&amp;$BT318,1)</f>
        <v>0</v>
      </c>
      <c r="BX318" s="539" cm="1">
        <f t="array" aca="1" ref="BX318" ca="1">INDIRECT($BM$2&amp;BX$7&amp;$BT318,1)</f>
        <v>0</v>
      </c>
      <c r="BY318" s="539" cm="1">
        <f t="array" aca="1" ref="BY318" ca="1">INDIRECT($BM$2&amp;BY$7&amp;$BT318,1)</f>
        <v>0</v>
      </c>
      <c r="BZ318" s="539" t="str">
        <f t="shared" ca="1" si="169"/>
        <v>-</v>
      </c>
      <c r="CA318" s="494" t="s">
        <v>8222</v>
      </c>
      <c r="CC318" s="469">
        <v>5</v>
      </c>
      <c r="CD318" s="539" t="s">
        <v>8053</v>
      </c>
      <c r="CE318" s="539">
        <f t="shared" si="172"/>
        <v>1032</v>
      </c>
      <c r="CF318" s="539" cm="1">
        <f t="array" aca="1" ref="CF318" ca="1">INDIRECT($BM$2&amp;CF$7&amp;$CE318,1)</f>
        <v>0</v>
      </c>
      <c r="CG318" s="539" cm="1">
        <f t="array" aca="1" ref="CG318" ca="1">INDIRECT($BM$2&amp;CG$7&amp;$CE318,1)</f>
        <v>0</v>
      </c>
      <c r="CH318" s="539" cm="1">
        <f t="array" aca="1" ref="CH318" ca="1">INDIRECT($BM$2&amp;CH$7&amp;$CE318,1)</f>
        <v>0</v>
      </c>
      <c r="CI318" s="539" cm="1">
        <f t="array" aca="1" ref="CI318" ca="1">INDIRECT($BM$2&amp;CI$7&amp;$CE318,1)</f>
        <v>0</v>
      </c>
      <c r="CJ318" s="539" cm="1">
        <f t="array" aca="1" ref="CJ318" ca="1">INDIRECT($BM$2&amp;CJ$7&amp;$CE318,1)</f>
        <v>0</v>
      </c>
      <c r="CK318" s="539" t="str">
        <f t="shared" ca="1" si="170"/>
        <v>-</v>
      </c>
      <c r="CL318" s="494" t="s">
        <v>8222</v>
      </c>
      <c r="CU318" s="469" t="s">
        <v>5510</v>
      </c>
      <c r="ES318" s="504"/>
      <c r="ET318" s="507"/>
      <c r="EU318" s="585"/>
    </row>
    <row r="319" spans="1:151" x14ac:dyDescent="0.25">
      <c r="A319" s="667">
        <f ca="1"/>
        <v>1</v>
      </c>
      <c r="B319" s="666" t="str">
        <f ca="1"/>
        <v>Baculovirus anticarsia</v>
      </c>
      <c r="BF319" s="469" t="s">
        <v>5510</v>
      </c>
      <c r="BG319" s="469">
        <v>6</v>
      </c>
      <c r="BH319" s="539" t="s">
        <v>8053</v>
      </c>
      <c r="BI319" s="539">
        <f t="shared" si="171"/>
        <v>341</v>
      </c>
      <c r="BJ319" s="539" cm="1">
        <f t="array" aca="1" ref="BJ319" ca="1">INDIRECT($BM$2&amp;BJ$7&amp;$BI319,1)</f>
        <v>0</v>
      </c>
      <c r="BK319" s="539" cm="1">
        <f t="array" aca="1" ref="BK319" ca="1">INDIRECT($BM$2&amp;BK$7&amp;$BI319,1)</f>
        <v>0</v>
      </c>
      <c r="BL319" s="539" cm="1">
        <f t="array" aca="1" ref="BL319" ca="1">INDIRECT($BM$2&amp;BL$7&amp;$BI319,1)</f>
        <v>0</v>
      </c>
      <c r="BM319" s="539" cm="1">
        <f t="array" aca="1" ref="BM319" ca="1">INDIRECT($BM$2&amp;BM$7&amp;$BI319,1)</f>
        <v>0</v>
      </c>
      <c r="BN319" s="539" cm="1">
        <f t="array" aca="1" ref="BN319" ca="1">INDIRECT($BM$2&amp;BN$7&amp;$BI319,1)</f>
        <v>0</v>
      </c>
      <c r="BO319" s="539" t="str">
        <f t="shared" ca="1" si="168"/>
        <v>-</v>
      </c>
      <c r="BP319" s="494" t="s">
        <v>8222</v>
      </c>
      <c r="BR319" s="469">
        <v>6</v>
      </c>
      <c r="BS319" s="539" t="s">
        <v>8053</v>
      </c>
      <c r="BT319" s="539">
        <f t="shared" si="173"/>
        <v>687</v>
      </c>
      <c r="BU319" s="539" cm="1">
        <f t="array" aca="1" ref="BU319" ca="1">INDIRECT($BM$2&amp;BU$7&amp;$BT319,1)</f>
        <v>0</v>
      </c>
      <c r="BV319" s="539" cm="1">
        <f t="array" aca="1" ref="BV319" ca="1">INDIRECT($BM$2&amp;BV$7&amp;$BT319,1)</f>
        <v>0</v>
      </c>
      <c r="BW319" s="539" cm="1">
        <f t="array" aca="1" ref="BW319" ca="1">INDIRECT($BM$2&amp;BW$7&amp;$BT319,1)</f>
        <v>0</v>
      </c>
      <c r="BX319" s="539" cm="1">
        <f t="array" aca="1" ref="BX319" ca="1">INDIRECT($BM$2&amp;BX$7&amp;$BT319,1)</f>
        <v>0</v>
      </c>
      <c r="BY319" s="539" cm="1">
        <f t="array" aca="1" ref="BY319" ca="1">INDIRECT($BM$2&amp;BY$7&amp;$BT319,1)</f>
        <v>0</v>
      </c>
      <c r="BZ319" s="539" t="str">
        <f t="shared" ca="1" si="169"/>
        <v>-</v>
      </c>
      <c r="CA319" s="494" t="s">
        <v>8222</v>
      </c>
      <c r="CC319" s="469">
        <v>6</v>
      </c>
      <c r="CD319" s="539" t="s">
        <v>8053</v>
      </c>
      <c r="CE319" s="539">
        <f t="shared" si="172"/>
        <v>1033</v>
      </c>
      <c r="CF319" s="539" cm="1">
        <f t="array" aca="1" ref="CF319" ca="1">INDIRECT($BM$2&amp;CF$7&amp;$CE319,1)</f>
        <v>0</v>
      </c>
      <c r="CG319" s="539" cm="1">
        <f t="array" aca="1" ref="CG319" ca="1">INDIRECT($BM$2&amp;CG$7&amp;$CE319,1)</f>
        <v>0</v>
      </c>
      <c r="CH319" s="539" cm="1">
        <f t="array" aca="1" ref="CH319" ca="1">INDIRECT($BM$2&amp;CH$7&amp;$CE319,1)</f>
        <v>0</v>
      </c>
      <c r="CI319" s="539" cm="1">
        <f t="array" aca="1" ref="CI319" ca="1">INDIRECT($BM$2&amp;CI$7&amp;$CE319,1)</f>
        <v>0</v>
      </c>
      <c r="CJ319" s="539" cm="1">
        <f t="array" aca="1" ref="CJ319" ca="1">INDIRECT($BM$2&amp;CJ$7&amp;$CE319,1)</f>
        <v>0</v>
      </c>
      <c r="CK319" s="539" t="str">
        <f t="shared" ca="1" si="170"/>
        <v>-</v>
      </c>
      <c r="CL319" s="494" t="s">
        <v>8222</v>
      </c>
      <c r="CU319" s="469" t="s">
        <v>5510</v>
      </c>
      <c r="ES319" s="504"/>
      <c r="ET319" s="507"/>
      <c r="EU319" s="585"/>
    </row>
    <row r="320" spans="1:151" x14ac:dyDescent="0.25">
      <c r="A320" s="667">
        <f ca="1"/>
        <v>1</v>
      </c>
      <c r="B320" s="666" t="str">
        <f ca="1"/>
        <v>Bacillus sphaericus</v>
      </c>
      <c r="BF320" s="469" t="s">
        <v>5510</v>
      </c>
      <c r="BG320" s="469">
        <v>7</v>
      </c>
      <c r="BH320" s="539" t="s">
        <v>8053</v>
      </c>
      <c r="BI320" s="539">
        <f t="shared" si="171"/>
        <v>342</v>
      </c>
      <c r="BJ320" s="539" cm="1">
        <f t="array" aca="1" ref="BJ320" ca="1">INDIRECT($BM$2&amp;BJ$7&amp;$BI320,1)</f>
        <v>0</v>
      </c>
      <c r="BK320" s="539" cm="1">
        <f t="array" aca="1" ref="BK320" ca="1">INDIRECT($BM$2&amp;BK$7&amp;$BI320,1)</f>
        <v>0</v>
      </c>
      <c r="BL320" s="539" cm="1">
        <f t="array" aca="1" ref="BL320" ca="1">INDIRECT($BM$2&amp;BL$7&amp;$BI320,1)</f>
        <v>0</v>
      </c>
      <c r="BM320" s="539" cm="1">
        <f t="array" aca="1" ref="BM320" ca="1">INDIRECT($BM$2&amp;BM$7&amp;$BI320,1)</f>
        <v>0</v>
      </c>
      <c r="BN320" s="539" cm="1">
        <f t="array" aca="1" ref="BN320" ca="1">INDIRECT($BM$2&amp;BN$7&amp;$BI320,1)</f>
        <v>0</v>
      </c>
      <c r="BO320" s="539" t="str">
        <f t="shared" ca="1" si="168"/>
        <v>-</v>
      </c>
      <c r="BP320" s="494" t="s">
        <v>8222</v>
      </c>
      <c r="BR320" s="469">
        <v>7</v>
      </c>
      <c r="BS320" s="539" t="s">
        <v>8053</v>
      </c>
      <c r="BT320" s="539">
        <f t="shared" si="173"/>
        <v>688</v>
      </c>
      <c r="BU320" s="539" cm="1">
        <f t="array" aca="1" ref="BU320" ca="1">INDIRECT($BM$2&amp;BU$7&amp;$BT320,1)</f>
        <v>0</v>
      </c>
      <c r="BV320" s="539" cm="1">
        <f t="array" aca="1" ref="BV320" ca="1">INDIRECT($BM$2&amp;BV$7&amp;$BT320,1)</f>
        <v>0</v>
      </c>
      <c r="BW320" s="539" cm="1">
        <f t="array" aca="1" ref="BW320" ca="1">INDIRECT($BM$2&amp;BW$7&amp;$BT320,1)</f>
        <v>0</v>
      </c>
      <c r="BX320" s="539" cm="1">
        <f t="array" aca="1" ref="BX320" ca="1">INDIRECT($BM$2&amp;BX$7&amp;$BT320,1)</f>
        <v>0</v>
      </c>
      <c r="BY320" s="539" cm="1">
        <f t="array" aca="1" ref="BY320" ca="1">INDIRECT($BM$2&amp;BY$7&amp;$BT320,1)</f>
        <v>0</v>
      </c>
      <c r="BZ320" s="539" t="str">
        <f t="shared" ca="1" si="169"/>
        <v>-</v>
      </c>
      <c r="CA320" s="494" t="s">
        <v>8222</v>
      </c>
      <c r="CC320" s="469">
        <v>7</v>
      </c>
      <c r="CD320" s="539" t="s">
        <v>8053</v>
      </c>
      <c r="CE320" s="539">
        <f t="shared" si="172"/>
        <v>1034</v>
      </c>
      <c r="CF320" s="539" cm="1">
        <f t="array" aca="1" ref="CF320" ca="1">INDIRECT($BM$2&amp;CF$7&amp;$CE320,1)</f>
        <v>0</v>
      </c>
      <c r="CG320" s="539" cm="1">
        <f t="array" aca="1" ref="CG320" ca="1">INDIRECT($BM$2&amp;CG$7&amp;$CE320,1)</f>
        <v>0</v>
      </c>
      <c r="CH320" s="539" cm="1">
        <f t="array" aca="1" ref="CH320" ca="1">INDIRECT($BM$2&amp;CH$7&amp;$CE320,1)</f>
        <v>0</v>
      </c>
      <c r="CI320" s="539" cm="1">
        <f t="array" aca="1" ref="CI320" ca="1">INDIRECT($BM$2&amp;CI$7&amp;$CE320,1)</f>
        <v>0</v>
      </c>
      <c r="CJ320" s="539" cm="1">
        <f t="array" aca="1" ref="CJ320" ca="1">INDIRECT($BM$2&amp;CJ$7&amp;$CE320,1)</f>
        <v>0</v>
      </c>
      <c r="CK320" s="539" t="str">
        <f t="shared" ca="1" si="170"/>
        <v>-</v>
      </c>
      <c r="CL320" s="494" t="s">
        <v>8222</v>
      </c>
      <c r="CU320" s="469" t="s">
        <v>5510</v>
      </c>
      <c r="ES320" s="504"/>
      <c r="ET320" s="507"/>
      <c r="EU320" s="585"/>
    </row>
    <row r="321" spans="1:151" x14ac:dyDescent="0.25">
      <c r="A321" s="667">
        <f ca="1"/>
        <v>1</v>
      </c>
      <c r="B321" s="666" t="str">
        <f ca="1"/>
        <v>Bromuconazol</v>
      </c>
      <c r="BF321" s="469" t="s">
        <v>5510</v>
      </c>
      <c r="BG321" s="469">
        <v>8</v>
      </c>
      <c r="BH321" s="539" t="s">
        <v>8053</v>
      </c>
      <c r="BI321" s="539">
        <f t="shared" si="171"/>
        <v>343</v>
      </c>
      <c r="BJ321" s="539" cm="1">
        <f t="array" aca="1" ref="BJ321" ca="1">INDIRECT($BM$2&amp;BJ$7&amp;$BI321,1)</f>
        <v>0</v>
      </c>
      <c r="BK321" s="539" cm="1">
        <f t="array" aca="1" ref="BK321" ca="1">INDIRECT($BM$2&amp;BK$7&amp;$BI321,1)</f>
        <v>0</v>
      </c>
      <c r="BL321" s="539" cm="1">
        <f t="array" aca="1" ref="BL321" ca="1">INDIRECT($BM$2&amp;BL$7&amp;$BI321,1)</f>
        <v>0</v>
      </c>
      <c r="BM321" s="539" cm="1">
        <f t="array" aca="1" ref="BM321" ca="1">INDIRECT($BM$2&amp;BM$7&amp;$BI321,1)</f>
        <v>0</v>
      </c>
      <c r="BN321" s="539" cm="1">
        <f t="array" aca="1" ref="BN321" ca="1">INDIRECT($BM$2&amp;BN$7&amp;$BI321,1)</f>
        <v>0</v>
      </c>
      <c r="BO321" s="539" t="str">
        <f t="shared" ca="1" si="168"/>
        <v>-</v>
      </c>
      <c r="BP321" s="494" t="s">
        <v>8222</v>
      </c>
      <c r="BR321" s="469">
        <v>8</v>
      </c>
      <c r="BS321" s="539" t="s">
        <v>8053</v>
      </c>
      <c r="BT321" s="539">
        <f t="shared" si="173"/>
        <v>689</v>
      </c>
      <c r="BU321" s="539" cm="1">
        <f t="array" aca="1" ref="BU321" ca="1">INDIRECT($BM$2&amp;BU$7&amp;$BT321,1)</f>
        <v>0</v>
      </c>
      <c r="BV321" s="539" cm="1">
        <f t="array" aca="1" ref="BV321" ca="1">INDIRECT($BM$2&amp;BV$7&amp;$BT321,1)</f>
        <v>0</v>
      </c>
      <c r="BW321" s="539" cm="1">
        <f t="array" aca="1" ref="BW321" ca="1">INDIRECT($BM$2&amp;BW$7&amp;$BT321,1)</f>
        <v>0</v>
      </c>
      <c r="BX321" s="539" cm="1">
        <f t="array" aca="1" ref="BX321" ca="1">INDIRECT($BM$2&amp;BX$7&amp;$BT321,1)</f>
        <v>0</v>
      </c>
      <c r="BY321" s="539" cm="1">
        <f t="array" aca="1" ref="BY321" ca="1">INDIRECT($BM$2&amp;BY$7&amp;$BT321,1)</f>
        <v>0</v>
      </c>
      <c r="BZ321" s="539" t="str">
        <f t="shared" ca="1" si="169"/>
        <v>-</v>
      </c>
      <c r="CA321" s="494" t="s">
        <v>8222</v>
      </c>
      <c r="CC321" s="469">
        <v>8</v>
      </c>
      <c r="CD321" s="539" t="s">
        <v>8053</v>
      </c>
      <c r="CE321" s="539">
        <f t="shared" si="172"/>
        <v>1035</v>
      </c>
      <c r="CF321" s="539" cm="1">
        <f t="array" aca="1" ref="CF321" ca="1">INDIRECT($BM$2&amp;CF$7&amp;$CE321,1)</f>
        <v>0</v>
      </c>
      <c r="CG321" s="539" cm="1">
        <f t="array" aca="1" ref="CG321" ca="1">INDIRECT($BM$2&amp;CG$7&amp;$CE321,1)</f>
        <v>0</v>
      </c>
      <c r="CH321" s="539" cm="1">
        <f t="array" aca="1" ref="CH321" ca="1">INDIRECT($BM$2&amp;CH$7&amp;$CE321,1)</f>
        <v>0</v>
      </c>
      <c r="CI321" s="539" cm="1">
        <f t="array" aca="1" ref="CI321" ca="1">INDIRECT($BM$2&amp;CI$7&amp;$CE321,1)</f>
        <v>0</v>
      </c>
      <c r="CJ321" s="539" cm="1">
        <f t="array" aca="1" ref="CJ321" ca="1">INDIRECT($BM$2&amp;CJ$7&amp;$CE321,1)</f>
        <v>0</v>
      </c>
      <c r="CK321" s="539" t="str">
        <f t="shared" ca="1" si="170"/>
        <v>-</v>
      </c>
      <c r="CL321" s="494" t="s">
        <v>8222</v>
      </c>
      <c r="CU321" s="469" t="s">
        <v>5510</v>
      </c>
      <c r="ES321" s="504"/>
      <c r="ET321" s="507"/>
      <c r="EU321" s="585"/>
    </row>
    <row r="322" spans="1:151" x14ac:dyDescent="0.25">
      <c r="A322" s="667">
        <f ca="1"/>
        <v>1</v>
      </c>
      <c r="B322" s="666" t="str">
        <f ca="1"/>
        <v>Bispiribaque</v>
      </c>
      <c r="BF322" s="469" t="s">
        <v>5510</v>
      </c>
      <c r="BG322" s="469">
        <v>9</v>
      </c>
      <c r="BH322" s="539" t="s">
        <v>8053</v>
      </c>
      <c r="BI322" s="539">
        <f t="shared" si="171"/>
        <v>344</v>
      </c>
      <c r="BJ322" s="539" cm="1">
        <f t="array" aca="1" ref="BJ322" ca="1">INDIRECT($BM$2&amp;BJ$7&amp;$BI322,1)</f>
        <v>0</v>
      </c>
      <c r="BK322" s="539" cm="1">
        <f t="array" aca="1" ref="BK322" ca="1">INDIRECT($BM$2&amp;BK$7&amp;$BI322,1)</f>
        <v>0</v>
      </c>
      <c r="BL322" s="539" cm="1">
        <f t="array" aca="1" ref="BL322" ca="1">INDIRECT($BM$2&amp;BL$7&amp;$BI322,1)</f>
        <v>0</v>
      </c>
      <c r="BM322" s="539" cm="1">
        <f t="array" aca="1" ref="BM322" ca="1">INDIRECT($BM$2&amp;BM$7&amp;$BI322,1)</f>
        <v>0</v>
      </c>
      <c r="BN322" s="539" cm="1">
        <f t="array" aca="1" ref="BN322" ca="1">INDIRECT($BM$2&amp;BN$7&amp;$BI322,1)</f>
        <v>0</v>
      </c>
      <c r="BO322" s="539" t="str">
        <f t="shared" ca="1" si="168"/>
        <v>-</v>
      </c>
      <c r="BP322" s="494" t="s">
        <v>8222</v>
      </c>
      <c r="BR322" s="469">
        <v>9</v>
      </c>
      <c r="BS322" s="539" t="s">
        <v>8053</v>
      </c>
      <c r="BT322" s="539">
        <f t="shared" si="173"/>
        <v>690</v>
      </c>
      <c r="BU322" s="539" cm="1">
        <f t="array" aca="1" ref="BU322" ca="1">INDIRECT($BM$2&amp;BU$7&amp;$BT322,1)</f>
        <v>0</v>
      </c>
      <c r="BV322" s="539" cm="1">
        <f t="array" aca="1" ref="BV322" ca="1">INDIRECT($BM$2&amp;BV$7&amp;$BT322,1)</f>
        <v>0</v>
      </c>
      <c r="BW322" s="539" cm="1">
        <f t="array" aca="1" ref="BW322" ca="1">INDIRECT($BM$2&amp;BW$7&amp;$BT322,1)</f>
        <v>0</v>
      </c>
      <c r="BX322" s="539" cm="1">
        <f t="array" aca="1" ref="BX322" ca="1">INDIRECT($BM$2&amp;BX$7&amp;$BT322,1)</f>
        <v>0</v>
      </c>
      <c r="BY322" s="539" cm="1">
        <f t="array" aca="1" ref="BY322" ca="1">INDIRECT($BM$2&amp;BY$7&amp;$BT322,1)</f>
        <v>0</v>
      </c>
      <c r="BZ322" s="539" t="str">
        <f t="shared" ca="1" si="169"/>
        <v>-</v>
      </c>
      <c r="CA322" s="494" t="s">
        <v>8222</v>
      </c>
      <c r="CC322" s="469">
        <v>9</v>
      </c>
      <c r="CD322" s="539" t="s">
        <v>8053</v>
      </c>
      <c r="CE322" s="539">
        <f t="shared" si="172"/>
        <v>1036</v>
      </c>
      <c r="CF322" s="539" cm="1">
        <f t="array" aca="1" ref="CF322" ca="1">INDIRECT($BM$2&amp;CF$7&amp;$CE322,1)</f>
        <v>0</v>
      </c>
      <c r="CG322" s="539" cm="1">
        <f t="array" aca="1" ref="CG322" ca="1">INDIRECT($BM$2&amp;CG$7&amp;$CE322,1)</f>
        <v>0</v>
      </c>
      <c r="CH322" s="539" cm="1">
        <f t="array" aca="1" ref="CH322" ca="1">INDIRECT($BM$2&amp;CH$7&amp;$CE322,1)</f>
        <v>0</v>
      </c>
      <c r="CI322" s="539" cm="1">
        <f t="array" aca="1" ref="CI322" ca="1">INDIRECT($BM$2&amp;CI$7&amp;$CE322,1)</f>
        <v>0</v>
      </c>
      <c r="CJ322" s="539" cm="1">
        <f t="array" aca="1" ref="CJ322" ca="1">INDIRECT($BM$2&amp;CJ$7&amp;$CE322,1)</f>
        <v>0</v>
      </c>
      <c r="CK322" s="539" t="str">
        <f t="shared" ca="1" si="170"/>
        <v>-</v>
      </c>
      <c r="CL322" s="494" t="s">
        <v>8222</v>
      </c>
      <c r="CU322" s="469" t="s">
        <v>5510</v>
      </c>
      <c r="ES322" s="504"/>
      <c r="ET322" s="507"/>
      <c r="EU322" s="585"/>
    </row>
    <row r="323" spans="1:151" x14ac:dyDescent="0.25">
      <c r="A323" s="667">
        <f ca="1"/>
        <v>1</v>
      </c>
      <c r="B323" s="666" t="str">
        <f ca="1"/>
        <v>Bispiribaque-sódico</v>
      </c>
      <c r="BF323" s="469" t="s">
        <v>5510</v>
      </c>
      <c r="BG323" s="469">
        <v>10</v>
      </c>
      <c r="BH323" s="539" t="s">
        <v>8053</v>
      </c>
      <c r="BI323" s="539">
        <f t="shared" si="171"/>
        <v>345</v>
      </c>
      <c r="BJ323" s="539" cm="1">
        <f t="array" aca="1" ref="BJ323" ca="1">INDIRECT($BM$2&amp;BJ$7&amp;$BI323,1)</f>
        <v>0</v>
      </c>
      <c r="BK323" s="539" cm="1">
        <f t="array" aca="1" ref="BK323" ca="1">INDIRECT($BM$2&amp;BK$7&amp;$BI323,1)</f>
        <v>0</v>
      </c>
      <c r="BL323" s="539" cm="1">
        <f t="array" aca="1" ref="BL323" ca="1">INDIRECT($BM$2&amp;BL$7&amp;$BI323,1)</f>
        <v>0</v>
      </c>
      <c r="BM323" s="539" cm="1">
        <f t="array" aca="1" ref="BM323" ca="1">INDIRECT($BM$2&amp;BM$7&amp;$BI323,1)</f>
        <v>0</v>
      </c>
      <c r="BN323" s="539" cm="1">
        <f t="array" aca="1" ref="BN323" ca="1">INDIRECT($BM$2&amp;BN$7&amp;$BI323,1)</f>
        <v>0</v>
      </c>
      <c r="BO323" s="539" t="str">
        <f t="shared" ca="1" si="168"/>
        <v>-</v>
      </c>
      <c r="BP323" s="494" t="s">
        <v>8222</v>
      </c>
      <c r="BR323" s="469">
        <v>10</v>
      </c>
      <c r="BS323" s="539" t="s">
        <v>8053</v>
      </c>
      <c r="BT323" s="539">
        <f t="shared" si="173"/>
        <v>691</v>
      </c>
      <c r="BU323" s="539" cm="1">
        <f t="array" aca="1" ref="BU323" ca="1">INDIRECT($BM$2&amp;BU$7&amp;$BT323,1)</f>
        <v>0</v>
      </c>
      <c r="BV323" s="539" cm="1">
        <f t="array" aca="1" ref="BV323" ca="1">INDIRECT($BM$2&amp;BV$7&amp;$BT323,1)</f>
        <v>0</v>
      </c>
      <c r="BW323" s="539" cm="1">
        <f t="array" aca="1" ref="BW323" ca="1">INDIRECT($BM$2&amp;BW$7&amp;$BT323,1)</f>
        <v>0</v>
      </c>
      <c r="BX323" s="539" cm="1">
        <f t="array" aca="1" ref="BX323" ca="1">INDIRECT($BM$2&amp;BX$7&amp;$BT323,1)</f>
        <v>0</v>
      </c>
      <c r="BY323" s="539" cm="1">
        <f t="array" aca="1" ref="BY323" ca="1">INDIRECT($BM$2&amp;BY$7&amp;$BT323,1)</f>
        <v>0</v>
      </c>
      <c r="BZ323" s="539" t="str">
        <f t="shared" ca="1" si="169"/>
        <v>-</v>
      </c>
      <c r="CA323" s="494" t="s">
        <v>8222</v>
      </c>
      <c r="CC323" s="469">
        <v>10</v>
      </c>
      <c r="CD323" s="539" t="s">
        <v>8053</v>
      </c>
      <c r="CE323" s="539">
        <f t="shared" si="172"/>
        <v>1037</v>
      </c>
      <c r="CF323" s="539" cm="1">
        <f t="array" aca="1" ref="CF323" ca="1">INDIRECT($BM$2&amp;CF$7&amp;$CE323,1)</f>
        <v>0</v>
      </c>
      <c r="CG323" s="539" cm="1">
        <f t="array" aca="1" ref="CG323" ca="1">INDIRECT($BM$2&amp;CG$7&amp;$CE323,1)</f>
        <v>0</v>
      </c>
      <c r="CH323" s="539" cm="1">
        <f t="array" aca="1" ref="CH323" ca="1">INDIRECT($BM$2&amp;CH$7&amp;$CE323,1)</f>
        <v>0</v>
      </c>
      <c r="CI323" s="539" cm="1">
        <f t="array" aca="1" ref="CI323" ca="1">INDIRECT($BM$2&amp;CI$7&amp;$CE323,1)</f>
        <v>0</v>
      </c>
      <c r="CJ323" s="539" cm="1">
        <f t="array" aca="1" ref="CJ323" ca="1">INDIRECT($BM$2&amp;CJ$7&amp;$CE323,1)</f>
        <v>0</v>
      </c>
      <c r="CK323" s="539" t="str">
        <f t="shared" ca="1" si="170"/>
        <v>-</v>
      </c>
      <c r="CL323" s="494" t="s">
        <v>8222</v>
      </c>
      <c r="CU323" s="469" t="s">
        <v>5510</v>
      </c>
      <c r="ES323" s="504"/>
      <c r="ET323" s="507"/>
      <c r="EU323" s="585"/>
    </row>
    <row r="324" spans="1:151" x14ac:dyDescent="0.25">
      <c r="A324" s="667">
        <f ca="1"/>
        <v>1</v>
      </c>
      <c r="B324" s="666" t="str">
        <f ca="1"/>
        <v>Butroxidim</v>
      </c>
      <c r="BF324" s="469" t="s">
        <v>5510</v>
      </c>
      <c r="BG324" s="469">
        <v>11</v>
      </c>
      <c r="BH324" s="539" t="s">
        <v>8053</v>
      </c>
      <c r="BI324" s="539">
        <f t="shared" si="171"/>
        <v>346</v>
      </c>
      <c r="BJ324" s="539" cm="1">
        <f t="array" aca="1" ref="BJ324" ca="1">INDIRECT($BM$2&amp;BJ$7&amp;$BI324,1)</f>
        <v>0</v>
      </c>
      <c r="BK324" s="539" cm="1">
        <f t="array" aca="1" ref="BK324" ca="1">INDIRECT($BM$2&amp;BK$7&amp;$BI324,1)</f>
        <v>0</v>
      </c>
      <c r="BL324" s="539" cm="1">
        <f t="array" aca="1" ref="BL324" ca="1">INDIRECT($BM$2&amp;BL$7&amp;$BI324,1)</f>
        <v>0</v>
      </c>
      <c r="BM324" s="539" cm="1">
        <f t="array" aca="1" ref="BM324" ca="1">INDIRECT($BM$2&amp;BM$7&amp;$BI324,1)</f>
        <v>0</v>
      </c>
      <c r="BN324" s="539" cm="1">
        <f t="array" aca="1" ref="BN324" ca="1">INDIRECT($BM$2&amp;BN$7&amp;$BI324,1)</f>
        <v>0</v>
      </c>
      <c r="BO324" s="539" t="str">
        <f t="shared" ca="1" si="168"/>
        <v>-</v>
      </c>
      <c r="BP324" s="494" t="s">
        <v>8222</v>
      </c>
      <c r="BR324" s="469">
        <v>11</v>
      </c>
      <c r="BS324" s="539" t="s">
        <v>8053</v>
      </c>
      <c r="BT324" s="539">
        <f t="shared" si="173"/>
        <v>692</v>
      </c>
      <c r="BU324" s="539" cm="1">
        <f t="array" aca="1" ref="BU324" ca="1">INDIRECT($BM$2&amp;BU$7&amp;$BT324,1)</f>
        <v>0</v>
      </c>
      <c r="BV324" s="539" cm="1">
        <f t="array" aca="1" ref="BV324" ca="1">INDIRECT($BM$2&amp;BV$7&amp;$BT324,1)</f>
        <v>0</v>
      </c>
      <c r="BW324" s="539" cm="1">
        <f t="array" aca="1" ref="BW324" ca="1">INDIRECT($BM$2&amp;BW$7&amp;$BT324,1)</f>
        <v>0</v>
      </c>
      <c r="BX324" s="539" cm="1">
        <f t="array" aca="1" ref="BX324" ca="1">INDIRECT($BM$2&amp;BX$7&amp;$BT324,1)</f>
        <v>0</v>
      </c>
      <c r="BY324" s="539" cm="1">
        <f t="array" aca="1" ref="BY324" ca="1">INDIRECT($BM$2&amp;BY$7&amp;$BT324,1)</f>
        <v>0</v>
      </c>
      <c r="BZ324" s="539" t="str">
        <f t="shared" ca="1" si="169"/>
        <v>-</v>
      </c>
      <c r="CA324" s="494" t="s">
        <v>8222</v>
      </c>
      <c r="CC324" s="469">
        <v>11</v>
      </c>
      <c r="CD324" s="539" t="s">
        <v>8053</v>
      </c>
      <c r="CE324" s="539">
        <f t="shared" si="172"/>
        <v>1038</v>
      </c>
      <c r="CF324" s="539" cm="1">
        <f t="array" aca="1" ref="CF324" ca="1">INDIRECT($BM$2&amp;CF$7&amp;$CE324,1)</f>
        <v>0</v>
      </c>
      <c r="CG324" s="539" cm="1">
        <f t="array" aca="1" ref="CG324" ca="1">INDIRECT($BM$2&amp;CG$7&amp;$CE324,1)</f>
        <v>0</v>
      </c>
      <c r="CH324" s="539" cm="1">
        <f t="array" aca="1" ref="CH324" ca="1">INDIRECT($BM$2&amp;CH$7&amp;$CE324,1)</f>
        <v>0</v>
      </c>
      <c r="CI324" s="539" cm="1">
        <f t="array" aca="1" ref="CI324" ca="1">INDIRECT($BM$2&amp;CI$7&amp;$CE324,1)</f>
        <v>0</v>
      </c>
      <c r="CJ324" s="539" cm="1">
        <f t="array" aca="1" ref="CJ324" ca="1">INDIRECT($BM$2&amp;CJ$7&amp;$CE324,1)</f>
        <v>0</v>
      </c>
      <c r="CK324" s="539" t="str">
        <f t="shared" ca="1" si="170"/>
        <v>-</v>
      </c>
      <c r="CL324" s="494" t="s">
        <v>8222</v>
      </c>
      <c r="CU324" s="469" t="s">
        <v>5510</v>
      </c>
      <c r="ES324" s="504"/>
      <c r="ET324" s="507"/>
      <c r="EU324" s="585"/>
    </row>
    <row r="325" spans="1:151" x14ac:dyDescent="0.25">
      <c r="A325" s="667">
        <f ca="1"/>
        <v>1</v>
      </c>
      <c r="B325" s="666" t="str">
        <f ca="1"/>
        <v>Benfuracarbe</v>
      </c>
      <c r="BF325" s="469" t="s">
        <v>5510</v>
      </c>
      <c r="BG325" s="469">
        <v>12</v>
      </c>
      <c r="BH325" s="539" t="s">
        <v>8053</v>
      </c>
      <c r="BI325" s="539">
        <f t="shared" si="171"/>
        <v>347</v>
      </c>
      <c r="BJ325" s="539" cm="1">
        <f t="array" aca="1" ref="BJ325" ca="1">INDIRECT($BM$2&amp;BJ$7&amp;$BI325,1)</f>
        <v>0</v>
      </c>
      <c r="BK325" s="539" cm="1">
        <f t="array" aca="1" ref="BK325" ca="1">INDIRECT($BM$2&amp;BK$7&amp;$BI325,1)</f>
        <v>0</v>
      </c>
      <c r="BL325" s="539" cm="1">
        <f t="array" aca="1" ref="BL325" ca="1">INDIRECT($BM$2&amp;BL$7&amp;$BI325,1)</f>
        <v>0</v>
      </c>
      <c r="BM325" s="539" cm="1">
        <f t="array" aca="1" ref="BM325" ca="1">INDIRECT($BM$2&amp;BM$7&amp;$BI325,1)</f>
        <v>0</v>
      </c>
      <c r="BN325" s="539" t="str" cm="1">
        <f t="array" aca="1" ref="BN325" ca="1">INDIRECT($BM$2&amp;BN$7&amp;$BI325,1)</f>
        <v>-</v>
      </c>
      <c r="BO325" s="539" t="str">
        <f t="shared" ca="1" si="168"/>
        <v>-</v>
      </c>
      <c r="BP325" s="561" t="s">
        <v>8223</v>
      </c>
      <c r="BR325" s="469">
        <v>12</v>
      </c>
      <c r="BS325" s="539" t="s">
        <v>8053</v>
      </c>
      <c r="BT325" s="539">
        <f t="shared" si="173"/>
        <v>693</v>
      </c>
      <c r="BU325" s="539" cm="1">
        <f t="array" aca="1" ref="BU325" ca="1">INDIRECT($BM$2&amp;BU$7&amp;$BT325,1)</f>
        <v>0</v>
      </c>
      <c r="BV325" s="539" cm="1">
        <f t="array" aca="1" ref="BV325" ca="1">INDIRECT($BM$2&amp;BV$7&amp;$BT325,1)</f>
        <v>0</v>
      </c>
      <c r="BW325" s="539" cm="1">
        <f t="array" aca="1" ref="BW325" ca="1">INDIRECT($BM$2&amp;BW$7&amp;$BT325,1)</f>
        <v>0</v>
      </c>
      <c r="BX325" s="539" cm="1">
        <f t="array" aca="1" ref="BX325" ca="1">INDIRECT($BM$2&amp;BX$7&amp;$BT325,1)</f>
        <v>0</v>
      </c>
      <c r="BY325" s="539" t="str" cm="1">
        <f t="array" aca="1" ref="BY325" ca="1">INDIRECT($BM$2&amp;BY$7&amp;$BT325,1)</f>
        <v>-</v>
      </c>
      <c r="BZ325" s="539" t="str">
        <f t="shared" ca="1" si="169"/>
        <v>-</v>
      </c>
      <c r="CA325" s="561" t="s">
        <v>8223</v>
      </c>
      <c r="CC325" s="469">
        <v>12</v>
      </c>
      <c r="CD325" s="539" t="s">
        <v>8053</v>
      </c>
      <c r="CE325" s="539">
        <f t="shared" si="172"/>
        <v>1039</v>
      </c>
      <c r="CF325" s="539" cm="1">
        <f t="array" aca="1" ref="CF325" ca="1">INDIRECT($BM$2&amp;CF$7&amp;$CE325,1)</f>
        <v>0</v>
      </c>
      <c r="CG325" s="539" cm="1">
        <f t="array" aca="1" ref="CG325" ca="1">INDIRECT($BM$2&amp;CG$7&amp;$CE325,1)</f>
        <v>0</v>
      </c>
      <c r="CH325" s="539" cm="1">
        <f t="array" aca="1" ref="CH325" ca="1">INDIRECT($BM$2&amp;CH$7&amp;$CE325,1)</f>
        <v>0</v>
      </c>
      <c r="CI325" s="539" cm="1">
        <f t="array" aca="1" ref="CI325" ca="1">INDIRECT($BM$2&amp;CI$7&amp;$CE325,1)</f>
        <v>0</v>
      </c>
      <c r="CJ325" s="539" t="str" cm="1">
        <f t="array" aca="1" ref="CJ325" ca="1">INDIRECT($BM$2&amp;CJ$7&amp;$CE325,1)</f>
        <v>-</v>
      </c>
      <c r="CK325" s="539" t="str">
        <f t="shared" ca="1" si="170"/>
        <v>-</v>
      </c>
      <c r="CL325" s="561" t="s">
        <v>8223</v>
      </c>
      <c r="CU325" s="469" t="s">
        <v>5510</v>
      </c>
      <c r="ES325" s="504"/>
      <c r="ET325" s="507"/>
      <c r="EU325" s="585"/>
    </row>
    <row r="326" spans="1:151" x14ac:dyDescent="0.25">
      <c r="A326" s="667">
        <f ca="1"/>
        <v>1</v>
      </c>
      <c r="B326" s="666" t="str">
        <f ca="1"/>
        <v>Bicarbonato de potássio</v>
      </c>
      <c r="BF326" s="469" t="s">
        <v>5510</v>
      </c>
      <c r="BT326" s="372"/>
      <c r="BU326" s="472"/>
      <c r="BV326" s="472"/>
      <c r="BW326" s="472"/>
      <c r="BX326" s="472"/>
      <c r="BY326" s="372"/>
      <c r="BZ326" s="372"/>
      <c r="CE326" s="372"/>
      <c r="CF326" s="472"/>
      <c r="CG326" s="472"/>
      <c r="CH326" s="472"/>
      <c r="CI326" s="472"/>
      <c r="CJ326" s="372"/>
      <c r="CK326" s="372"/>
      <c r="CU326" s="469" t="s">
        <v>5510</v>
      </c>
      <c r="ES326" s="504"/>
      <c r="ET326" s="507"/>
      <c r="EU326" s="585"/>
    </row>
    <row r="327" spans="1:151" x14ac:dyDescent="0.25">
      <c r="A327" s="667">
        <f ca="1"/>
        <v>1</v>
      </c>
      <c r="B327" s="666" t="str">
        <f ca="1"/>
        <v>Benalaxil</v>
      </c>
      <c r="BF327" s="469" t="s">
        <v>5510</v>
      </c>
      <c r="CU327" s="469" t="s">
        <v>5510</v>
      </c>
      <c r="ES327" s="504"/>
      <c r="ET327" s="507"/>
      <c r="EU327" s="585"/>
    </row>
    <row r="328" spans="1:151" x14ac:dyDescent="0.25">
      <c r="A328" s="667">
        <f ca="1"/>
        <v>1</v>
      </c>
      <c r="B328" s="666" t="str">
        <f ca="1"/>
        <v>Benziladenina</v>
      </c>
      <c r="BF328" s="469" t="s">
        <v>5510</v>
      </c>
      <c r="CU328" s="469" t="s">
        <v>5510</v>
      </c>
      <c r="ES328" s="504"/>
      <c r="ET328" s="507"/>
      <c r="EU328" s="585"/>
    </row>
    <row r="329" spans="1:151" x14ac:dyDescent="0.25">
      <c r="A329" s="667">
        <f ca="1"/>
        <v>1</v>
      </c>
      <c r="B329" s="666" t="str">
        <f ca="1"/>
        <v>Beauveria bassiana</v>
      </c>
      <c r="BF329" s="469" t="s">
        <v>5510</v>
      </c>
      <c r="CU329" s="469" t="s">
        <v>5510</v>
      </c>
      <c r="ES329" s="504"/>
      <c r="ET329" s="507"/>
      <c r="EU329" s="585"/>
    </row>
    <row r="330" spans="1:151" x14ac:dyDescent="0.25">
      <c r="A330" s="667">
        <f ca="1"/>
        <v>1</v>
      </c>
      <c r="B330" s="666" t="str">
        <f ca="1"/>
        <v>Boscalida</v>
      </c>
      <c r="BF330" s="469" t="s">
        <v>5510</v>
      </c>
      <c r="CU330" s="469" t="s">
        <v>5510</v>
      </c>
      <c r="ES330" s="504"/>
      <c r="ET330" s="507"/>
      <c r="EU330" s="585"/>
    </row>
    <row r="331" spans="1:151" ht="15.75" thickBot="1" x14ac:dyDescent="0.3">
      <c r="A331" s="667">
        <f ca="1"/>
        <v>1</v>
      </c>
      <c r="B331" s="666" t="str">
        <f ca="1"/>
        <v>Bentiavalicarbe isopropílico</v>
      </c>
      <c r="BF331" s="469" t="s">
        <v>5510</v>
      </c>
      <c r="BG331" s="468" t="s">
        <v>8059</v>
      </c>
      <c r="BH331" s="468"/>
      <c r="BI331" s="468"/>
      <c r="BJ331" s="468"/>
      <c r="BK331" s="468"/>
      <c r="BL331" s="468"/>
      <c r="BM331" s="468"/>
      <c r="BN331" s="468"/>
      <c r="BO331" s="468"/>
      <c r="BP331" s="468"/>
      <c r="BQ331" s="468"/>
      <c r="BR331" s="468"/>
      <c r="BS331" s="468"/>
      <c r="BT331" s="468"/>
      <c r="BU331" s="468"/>
      <c r="BV331" s="468"/>
      <c r="BW331" s="468"/>
      <c r="BX331" s="468"/>
      <c r="BY331" s="468"/>
      <c r="BZ331" s="468"/>
      <c r="CA331" s="468"/>
      <c r="CB331" s="468"/>
      <c r="CC331" s="468"/>
      <c r="CD331" s="468"/>
      <c r="CE331" s="468"/>
      <c r="CU331" s="469" t="s">
        <v>5510</v>
      </c>
      <c r="ES331" s="504"/>
      <c r="ET331" s="507"/>
      <c r="EU331" s="585"/>
    </row>
    <row r="332" spans="1:151" x14ac:dyDescent="0.25">
      <c r="A332" s="667">
        <f ca="1"/>
        <v>1</v>
      </c>
      <c r="B332" s="666" t="str">
        <f ca="1"/>
        <v>Bacillus pumilus</v>
      </c>
      <c r="BF332" s="469" t="s">
        <v>5510</v>
      </c>
      <c r="BI332" s="20"/>
      <c r="BJ332" s="20"/>
      <c r="BK332" s="20"/>
      <c r="BL332" s="20"/>
      <c r="BM332" s="20"/>
      <c r="BN332" s="20"/>
      <c r="BO332" s="20"/>
      <c r="BP332" s="20"/>
      <c r="BQ332" s="20"/>
      <c r="CU332" s="469" t="s">
        <v>5510</v>
      </c>
      <c r="ES332" s="504"/>
      <c r="ET332" s="507"/>
      <c r="EU332" s="585"/>
    </row>
    <row r="333" spans="1:151" ht="15.75" x14ac:dyDescent="0.25">
      <c r="A333" s="667">
        <f ca="1"/>
        <v>1</v>
      </c>
      <c r="B333" s="666" t="str">
        <f ca="1"/>
        <v>Bacillus subtilis</v>
      </c>
      <c r="BF333" s="469" t="s">
        <v>5510</v>
      </c>
      <c r="BH333" s="669" t="s">
        <v>8065</v>
      </c>
      <c r="BI333" s="670"/>
      <c r="BJ333" s="671"/>
      <c r="BK333" s="20"/>
      <c r="BL333" s="20"/>
      <c r="BM333" s="20"/>
      <c r="BN333" s="20"/>
      <c r="BO333" s="20"/>
      <c r="BP333" s="20"/>
      <c r="BQ333" s="20"/>
      <c r="CU333" s="469" t="s">
        <v>5510</v>
      </c>
      <c r="ES333" s="504"/>
      <c r="ET333" s="507"/>
      <c r="EU333" s="585"/>
    </row>
    <row r="334" spans="1:151" x14ac:dyDescent="0.25">
      <c r="A334" s="667">
        <f ca="1"/>
        <v>1</v>
      </c>
      <c r="B334" s="666" t="str">
        <f ca="1"/>
        <v>Baculovirus condylorrhiza vestigialis</v>
      </c>
      <c r="BF334" s="469" t="s">
        <v>5510</v>
      </c>
      <c r="BH334" s="470" t="s">
        <v>8283</v>
      </c>
      <c r="BI334" s="672">
        <v>9</v>
      </c>
      <c r="BJ334" s="20"/>
      <c r="BK334" s="536" t="s">
        <v>90</v>
      </c>
      <c r="BL334" s="536" t="s">
        <v>90</v>
      </c>
      <c r="BM334" s="536" t="s">
        <v>91</v>
      </c>
      <c r="BN334" s="536" t="s">
        <v>91</v>
      </c>
      <c r="BO334" s="536" t="s">
        <v>92</v>
      </c>
      <c r="BP334" s="536" t="s">
        <v>92</v>
      </c>
      <c r="BQ334" s="536" t="s">
        <v>93</v>
      </c>
      <c r="BR334" s="536" t="s">
        <v>93</v>
      </c>
      <c r="BS334" s="536" t="s">
        <v>94</v>
      </c>
      <c r="BT334" s="536" t="s">
        <v>94</v>
      </c>
      <c r="BU334" s="536" t="s">
        <v>95</v>
      </c>
      <c r="BV334" s="536" t="s">
        <v>95</v>
      </c>
      <c r="BW334" s="536" t="s">
        <v>96</v>
      </c>
      <c r="BX334" s="536" t="s">
        <v>96</v>
      </c>
      <c r="BY334" s="536" t="s">
        <v>97</v>
      </c>
      <c r="BZ334" s="536" t="s">
        <v>97</v>
      </c>
      <c r="CA334" s="536" t="s">
        <v>98</v>
      </c>
      <c r="CB334" s="536" t="s">
        <v>98</v>
      </c>
      <c r="CC334" s="536" t="s">
        <v>99</v>
      </c>
      <c r="CD334" s="536" t="s">
        <v>99</v>
      </c>
      <c r="CU334" s="469" t="s">
        <v>5510</v>
      </c>
      <c r="ES334" s="504"/>
      <c r="ET334" s="507"/>
      <c r="EU334" s="585"/>
    </row>
    <row r="335" spans="1:151" x14ac:dyDescent="0.25">
      <c r="A335" s="667">
        <f ca="1"/>
        <v>1</v>
      </c>
      <c r="B335" s="666" t="str">
        <f ca="1"/>
        <v>Benzovindiflupir</v>
      </c>
      <c r="BF335" s="469" t="s">
        <v>5510</v>
      </c>
      <c r="BH335" s="470" t="s">
        <v>8121</v>
      </c>
      <c r="BI335" s="672">
        <v>7</v>
      </c>
      <c r="BJ335" s="372"/>
      <c r="BK335" s="536" t="s">
        <v>10</v>
      </c>
      <c r="BL335" s="536" t="s">
        <v>237</v>
      </c>
      <c r="BM335" s="536" t="s">
        <v>10</v>
      </c>
      <c r="BN335" s="536" t="s">
        <v>237</v>
      </c>
      <c r="BO335" s="536" t="s">
        <v>10</v>
      </c>
      <c r="BP335" s="536" t="s">
        <v>237</v>
      </c>
      <c r="BQ335" s="536" t="s">
        <v>10</v>
      </c>
      <c r="BR335" s="536" t="s">
        <v>237</v>
      </c>
      <c r="BS335" s="536" t="s">
        <v>10</v>
      </c>
      <c r="BT335" s="536" t="s">
        <v>237</v>
      </c>
      <c r="BU335" s="536" t="s">
        <v>10</v>
      </c>
      <c r="BV335" s="536" t="s">
        <v>237</v>
      </c>
      <c r="BW335" s="536" t="s">
        <v>10</v>
      </c>
      <c r="BX335" s="536" t="s">
        <v>237</v>
      </c>
      <c r="BY335" s="536" t="s">
        <v>10</v>
      </c>
      <c r="BZ335" s="536" t="s">
        <v>237</v>
      </c>
      <c r="CA335" s="536" t="s">
        <v>10</v>
      </c>
      <c r="CB335" s="536" t="s">
        <v>237</v>
      </c>
      <c r="CC335" s="536" t="s">
        <v>10</v>
      </c>
      <c r="CD335" s="536" t="s">
        <v>237</v>
      </c>
      <c r="CU335" s="469" t="s">
        <v>5510</v>
      </c>
      <c r="ES335" s="504"/>
      <c r="ET335" s="507"/>
      <c r="EU335" s="585"/>
    </row>
    <row r="336" spans="1:151" x14ac:dyDescent="0.25">
      <c r="A336" s="667">
        <f ca="1"/>
        <v>1</v>
      </c>
      <c r="B336" s="666" t="str">
        <f ca="1"/>
        <v>Baculovirus helicoverpa zea</v>
      </c>
      <c r="BF336" s="469" t="s">
        <v>5510</v>
      </c>
      <c r="BJ336" s="673" t="s">
        <v>8066</v>
      </c>
      <c r="BK336" s="539">
        <f>MATCH(BK$334&amp;BK$335,$BH$1:$BH$325,0)+1</f>
        <v>11</v>
      </c>
      <c r="BL336" s="539">
        <f>BK337+$BI$335</f>
        <v>27</v>
      </c>
      <c r="BM336" s="539">
        <f t="shared" ref="BM336:CD336" si="174">BL337+$BI$335</f>
        <v>43</v>
      </c>
      <c r="BN336" s="539">
        <f t="shared" si="174"/>
        <v>59</v>
      </c>
      <c r="BO336" s="539">
        <f t="shared" si="174"/>
        <v>75</v>
      </c>
      <c r="BP336" s="539">
        <f t="shared" si="174"/>
        <v>91</v>
      </c>
      <c r="BQ336" s="539">
        <f t="shared" si="174"/>
        <v>107</v>
      </c>
      <c r="BR336" s="539">
        <f t="shared" si="174"/>
        <v>123</v>
      </c>
      <c r="BS336" s="539">
        <f t="shared" si="174"/>
        <v>139</v>
      </c>
      <c r="BT336" s="539">
        <f t="shared" si="174"/>
        <v>155</v>
      </c>
      <c r="BU336" s="539">
        <f t="shared" si="174"/>
        <v>171</v>
      </c>
      <c r="BV336" s="539">
        <f t="shared" si="174"/>
        <v>187</v>
      </c>
      <c r="BW336" s="539">
        <f t="shared" si="174"/>
        <v>203</v>
      </c>
      <c r="BX336" s="539">
        <f t="shared" si="174"/>
        <v>219</v>
      </c>
      <c r="BY336" s="539">
        <f t="shared" si="174"/>
        <v>235</v>
      </c>
      <c r="BZ336" s="539">
        <f t="shared" si="174"/>
        <v>251</v>
      </c>
      <c r="CA336" s="539">
        <f t="shared" si="174"/>
        <v>267</v>
      </c>
      <c r="CB336" s="539">
        <f t="shared" si="174"/>
        <v>283</v>
      </c>
      <c r="CC336" s="539">
        <f t="shared" si="174"/>
        <v>299</v>
      </c>
      <c r="CD336" s="539">
        <f t="shared" si="174"/>
        <v>315</v>
      </c>
      <c r="CU336" s="469" t="s">
        <v>5510</v>
      </c>
      <c r="ES336" s="504"/>
      <c r="ET336" s="507"/>
      <c r="EU336" s="585"/>
    </row>
    <row r="337" spans="1:151" x14ac:dyDescent="0.25">
      <c r="A337" s="667">
        <f ca="1"/>
        <v>1</v>
      </c>
      <c r="B337" s="666" t="str">
        <f ca="1"/>
        <v>Baculovirus helicoverpa armigera</v>
      </c>
      <c r="BF337" s="469" t="s">
        <v>5510</v>
      </c>
      <c r="BJ337" s="673" t="s">
        <v>8067</v>
      </c>
      <c r="BK337" s="539">
        <f>BK336+$BI$334</f>
        <v>20</v>
      </c>
      <c r="BL337" s="539">
        <f t="shared" ref="BL337:CD337" si="175">BL336+$BI$334</f>
        <v>36</v>
      </c>
      <c r="BM337" s="539">
        <f t="shared" si="175"/>
        <v>52</v>
      </c>
      <c r="BN337" s="539">
        <f t="shared" si="175"/>
        <v>68</v>
      </c>
      <c r="BO337" s="539">
        <f t="shared" si="175"/>
        <v>84</v>
      </c>
      <c r="BP337" s="539">
        <f t="shared" si="175"/>
        <v>100</v>
      </c>
      <c r="BQ337" s="539">
        <f t="shared" si="175"/>
        <v>116</v>
      </c>
      <c r="BR337" s="539">
        <f t="shared" si="175"/>
        <v>132</v>
      </c>
      <c r="BS337" s="539">
        <f t="shared" si="175"/>
        <v>148</v>
      </c>
      <c r="BT337" s="539">
        <f t="shared" si="175"/>
        <v>164</v>
      </c>
      <c r="BU337" s="539">
        <f t="shared" si="175"/>
        <v>180</v>
      </c>
      <c r="BV337" s="539">
        <f t="shared" si="175"/>
        <v>196</v>
      </c>
      <c r="BW337" s="539">
        <f t="shared" si="175"/>
        <v>212</v>
      </c>
      <c r="BX337" s="539">
        <f t="shared" si="175"/>
        <v>228</v>
      </c>
      <c r="BY337" s="539">
        <f t="shared" si="175"/>
        <v>244</v>
      </c>
      <c r="BZ337" s="539">
        <f t="shared" si="175"/>
        <v>260</v>
      </c>
      <c r="CA337" s="539">
        <f t="shared" si="175"/>
        <v>276</v>
      </c>
      <c r="CB337" s="539">
        <f t="shared" si="175"/>
        <v>292</v>
      </c>
      <c r="CC337" s="539">
        <f t="shared" si="175"/>
        <v>308</v>
      </c>
      <c r="CD337" s="539">
        <f t="shared" si="175"/>
        <v>324</v>
      </c>
      <c r="CU337" s="469" t="s">
        <v>5510</v>
      </c>
      <c r="ES337" s="504"/>
      <c r="ET337" s="507"/>
      <c r="EU337" s="585"/>
    </row>
    <row r="338" spans="1:151" x14ac:dyDescent="0.25">
      <c r="A338" s="667">
        <f ca="1"/>
        <v>1</v>
      </c>
      <c r="B338" s="666" t="str">
        <f ca="1"/>
        <v>Bacillus amyloliquefaciens</v>
      </c>
      <c r="BF338" s="469" t="s">
        <v>5510</v>
      </c>
      <c r="BI338" s="20"/>
      <c r="BJ338" s="20"/>
      <c r="BK338" s="20"/>
      <c r="BL338" s="20"/>
      <c r="BM338" s="20"/>
      <c r="BN338" s="20"/>
      <c r="BO338" s="20"/>
      <c r="BP338" s="20"/>
      <c r="BQ338" s="20"/>
      <c r="CU338" s="469" t="s">
        <v>5510</v>
      </c>
      <c r="ES338" s="504"/>
      <c r="ET338" s="507"/>
      <c r="EU338" s="585"/>
    </row>
    <row r="339" spans="1:151" x14ac:dyDescent="0.25">
      <c r="A339" s="667">
        <f ca="1"/>
        <v>1</v>
      </c>
      <c r="B339" s="666" t="str">
        <f ca="1"/>
        <v>Bacillus methylotrophicus</v>
      </c>
      <c r="BF339" s="469" t="s">
        <v>5510</v>
      </c>
      <c r="BI339" s="20"/>
      <c r="BJ339" s="20"/>
      <c r="BK339" s="20"/>
      <c r="BL339" s="20"/>
      <c r="BM339" s="20"/>
      <c r="BN339" s="20"/>
      <c r="BO339" s="20"/>
      <c r="BP339" s="20"/>
      <c r="BQ339" s="20"/>
      <c r="CU339" s="469" t="s">
        <v>5510</v>
      </c>
      <c r="ES339" s="504"/>
      <c r="ET339" s="507"/>
      <c r="EU339" s="585"/>
    </row>
    <row r="340" spans="1:151" ht="15.75" x14ac:dyDescent="0.25">
      <c r="A340" s="667">
        <f ca="1"/>
        <v>1</v>
      </c>
      <c r="B340" s="666" t="str">
        <f ca="1"/>
        <v>Baculovirus spodoptera frugiperda</v>
      </c>
      <c r="BF340" s="469" t="s">
        <v>5510</v>
      </c>
      <c r="BH340" s="669" t="s">
        <v>8076</v>
      </c>
      <c r="BI340" s="670"/>
      <c r="BJ340" s="671"/>
      <c r="BK340" s="20"/>
      <c r="BL340" s="20"/>
      <c r="BM340" s="20"/>
      <c r="BN340" s="20"/>
      <c r="BO340" s="20"/>
      <c r="BP340" s="20"/>
      <c r="BQ340" s="20"/>
      <c r="CU340" s="469" t="s">
        <v>5510</v>
      </c>
      <c r="ES340" s="504"/>
      <c r="ET340" s="507"/>
      <c r="EU340" s="585"/>
    </row>
    <row r="341" spans="1:151" x14ac:dyDescent="0.25">
      <c r="A341" s="667">
        <f ca="1"/>
        <v>1</v>
      </c>
      <c r="B341" s="666" t="str">
        <f ca="1"/>
        <v>Bacillus firmu</v>
      </c>
      <c r="BF341" s="469" t="s">
        <v>5510</v>
      </c>
      <c r="CU341" s="469" t="s">
        <v>5510</v>
      </c>
      <c r="ES341" s="504"/>
      <c r="ET341" s="507"/>
      <c r="EU341" s="585"/>
    </row>
    <row r="342" spans="1:151" x14ac:dyDescent="0.25">
      <c r="A342" s="667">
        <f ca="1"/>
        <v>1</v>
      </c>
      <c r="B342" s="666" t="str">
        <f ca="1"/>
        <v>Bacillus licheniformis</v>
      </c>
      <c r="BF342" s="469" t="s">
        <v>5510</v>
      </c>
      <c r="CU342" s="469" t="s">
        <v>5510</v>
      </c>
      <c r="ES342" s="504"/>
      <c r="ET342" s="507"/>
      <c r="EU342" s="585"/>
    </row>
    <row r="343" spans="1:151" x14ac:dyDescent="0.25">
      <c r="A343" s="667">
        <f ca="1"/>
        <v>1</v>
      </c>
      <c r="B343" s="666" t="str">
        <f ca="1"/>
        <v>Bixafem</v>
      </c>
      <c r="BF343" s="469" t="s">
        <v>5510</v>
      </c>
      <c r="BJ343" s="372"/>
      <c r="BK343" s="536" t="s">
        <v>90</v>
      </c>
      <c r="BL343" s="536" t="s">
        <v>90</v>
      </c>
      <c r="BM343" s="536" t="s">
        <v>91</v>
      </c>
      <c r="BN343" s="536" t="s">
        <v>91</v>
      </c>
      <c r="BO343" s="536" t="s">
        <v>92</v>
      </c>
      <c r="BP343" s="536" t="s">
        <v>92</v>
      </c>
      <c r="BQ343" s="536" t="s">
        <v>93</v>
      </c>
      <c r="BR343" s="536" t="s">
        <v>93</v>
      </c>
      <c r="BS343" s="536" t="s">
        <v>94</v>
      </c>
      <c r="BT343" s="536" t="s">
        <v>94</v>
      </c>
      <c r="BU343" s="536" t="s">
        <v>95</v>
      </c>
      <c r="BV343" s="536" t="s">
        <v>95</v>
      </c>
      <c r="BW343" s="536" t="s">
        <v>96</v>
      </c>
      <c r="BX343" s="536" t="s">
        <v>96</v>
      </c>
      <c r="BY343" s="536" t="s">
        <v>97</v>
      </c>
      <c r="BZ343" s="536" t="s">
        <v>97</v>
      </c>
      <c r="CA343" s="536" t="s">
        <v>98</v>
      </c>
      <c r="CB343" s="536" t="s">
        <v>98</v>
      </c>
      <c r="CC343" s="536" t="s">
        <v>99</v>
      </c>
      <c r="CD343" s="536" t="s">
        <v>99</v>
      </c>
      <c r="CU343" s="469" t="s">
        <v>5510</v>
      </c>
      <c r="ES343" s="504"/>
      <c r="ET343" s="507"/>
      <c r="EU343" s="585"/>
    </row>
    <row r="344" spans="1:151" x14ac:dyDescent="0.25">
      <c r="A344" s="667">
        <f ca="1"/>
        <v>1</v>
      </c>
      <c r="B344" s="666" t="str">
        <f ca="1"/>
        <v>Benzoato de Emamectina</v>
      </c>
      <c r="BF344" s="469" t="s">
        <v>5510</v>
      </c>
      <c r="BH344" s="372" t="s">
        <v>355</v>
      </c>
      <c r="BI344" s="372" t="s">
        <v>8071</v>
      </c>
      <c r="BJ344" s="372" t="s">
        <v>6058</v>
      </c>
      <c r="BK344" s="536" t="s">
        <v>10</v>
      </c>
      <c r="BL344" s="536" t="s">
        <v>237</v>
      </c>
      <c r="BM344" s="536" t="s">
        <v>10</v>
      </c>
      <c r="BN344" s="536" t="s">
        <v>237</v>
      </c>
      <c r="BO344" s="536" t="s">
        <v>10</v>
      </c>
      <c r="BP344" s="536" t="s">
        <v>237</v>
      </c>
      <c r="BQ344" s="536" t="s">
        <v>10</v>
      </c>
      <c r="BR344" s="536" t="s">
        <v>237</v>
      </c>
      <c r="BS344" s="536" t="s">
        <v>10</v>
      </c>
      <c r="BT344" s="536" t="s">
        <v>237</v>
      </c>
      <c r="BU344" s="536" t="s">
        <v>10</v>
      </c>
      <c r="BV344" s="536" t="s">
        <v>237</v>
      </c>
      <c r="BW344" s="536" t="s">
        <v>10</v>
      </c>
      <c r="BX344" s="536" t="s">
        <v>237</v>
      </c>
      <c r="BY344" s="536" t="s">
        <v>10</v>
      </c>
      <c r="BZ344" s="536" t="s">
        <v>237</v>
      </c>
      <c r="CA344" s="536" t="s">
        <v>10</v>
      </c>
      <c r="CB344" s="536" t="s">
        <v>237</v>
      </c>
      <c r="CC344" s="536" t="s">
        <v>10</v>
      </c>
      <c r="CD344" s="536" t="s">
        <v>237</v>
      </c>
      <c r="CU344" s="469" t="s">
        <v>5510</v>
      </c>
      <c r="ES344" s="504"/>
      <c r="ET344" s="507"/>
      <c r="EU344" s="585"/>
    </row>
    <row r="345" spans="1:151" x14ac:dyDescent="0.25">
      <c r="A345" s="667">
        <f ca="1"/>
        <v>1</v>
      </c>
      <c r="B345" s="666" t="str">
        <f ca="1"/>
        <v>Captana</v>
      </c>
      <c r="BF345" s="469" t="s">
        <v>5510</v>
      </c>
      <c r="BG345" s="470" t="s">
        <v>88</v>
      </c>
      <c r="BH345" s="672" t="s">
        <v>8068</v>
      </c>
      <c r="BI345" s="672" t="s">
        <v>8072</v>
      </c>
      <c r="BJ345" s="672" t="s">
        <v>8082</v>
      </c>
      <c r="BK345" s="539">
        <f t="shared" ref="BK345:BT347" ca="1" si="176">IF( SUM( INDIRECT($BH345&amp;BK$336&amp;":"&amp;$BH345&amp;BK$337), INDIRECT($BI345&amp;BK$336&amp;":"&amp;$BI345&amp;BK$337))&gt;0,1,0)</f>
        <v>0</v>
      </c>
      <c r="BL345" s="539">
        <f t="shared" ca="1" si="176"/>
        <v>0</v>
      </c>
      <c r="BM345" s="539">
        <f t="shared" ca="1" si="176"/>
        <v>0</v>
      </c>
      <c r="BN345" s="539">
        <f t="shared" ca="1" si="176"/>
        <v>0</v>
      </c>
      <c r="BO345" s="539">
        <f t="shared" ca="1" si="176"/>
        <v>0</v>
      </c>
      <c r="BP345" s="539">
        <f t="shared" ca="1" si="176"/>
        <v>0</v>
      </c>
      <c r="BQ345" s="539">
        <f t="shared" ca="1" si="176"/>
        <v>0</v>
      </c>
      <c r="BR345" s="539">
        <f t="shared" ca="1" si="176"/>
        <v>0</v>
      </c>
      <c r="BS345" s="539">
        <f t="shared" ca="1" si="176"/>
        <v>0</v>
      </c>
      <c r="BT345" s="539">
        <f t="shared" ca="1" si="176"/>
        <v>0</v>
      </c>
      <c r="BU345" s="539">
        <f t="shared" ref="BU345:CD347" ca="1" si="177">IF( SUM( INDIRECT($BH345&amp;BU$336&amp;":"&amp;$BH345&amp;BU$337), INDIRECT($BI345&amp;BU$336&amp;":"&amp;$BI345&amp;BU$337))&gt;0,1,0)</f>
        <v>0</v>
      </c>
      <c r="BV345" s="539">
        <f t="shared" ca="1" si="177"/>
        <v>0</v>
      </c>
      <c r="BW345" s="539">
        <f t="shared" ca="1" si="177"/>
        <v>0</v>
      </c>
      <c r="BX345" s="539">
        <f t="shared" ca="1" si="177"/>
        <v>0</v>
      </c>
      <c r="BY345" s="539">
        <f t="shared" ca="1" si="177"/>
        <v>0</v>
      </c>
      <c r="BZ345" s="539">
        <f t="shared" ca="1" si="177"/>
        <v>0</v>
      </c>
      <c r="CA345" s="539">
        <f t="shared" ca="1" si="177"/>
        <v>0</v>
      </c>
      <c r="CB345" s="539">
        <f t="shared" ca="1" si="177"/>
        <v>0</v>
      </c>
      <c r="CC345" s="539">
        <f t="shared" ca="1" si="177"/>
        <v>0</v>
      </c>
      <c r="CD345" s="539">
        <f t="shared" ca="1" si="177"/>
        <v>0</v>
      </c>
      <c r="CU345" s="469" t="s">
        <v>5510</v>
      </c>
      <c r="ES345" s="504"/>
      <c r="ET345" s="507"/>
      <c r="EU345" s="585"/>
    </row>
    <row r="346" spans="1:151" x14ac:dyDescent="0.25">
      <c r="A346" s="667">
        <f ca="1"/>
        <v>1</v>
      </c>
      <c r="B346" s="666" t="str">
        <f ca="1"/>
        <v>Carbaril</v>
      </c>
      <c r="BF346" s="469" t="s">
        <v>5510</v>
      </c>
      <c r="BG346" s="470" t="s">
        <v>101</v>
      </c>
      <c r="BH346" s="672" t="s">
        <v>8069</v>
      </c>
      <c r="BI346" s="672" t="s">
        <v>8073</v>
      </c>
      <c r="BJ346" s="672" t="s">
        <v>8083</v>
      </c>
      <c r="BK346" s="539">
        <f t="shared" ca="1" si="176"/>
        <v>0</v>
      </c>
      <c r="BL346" s="539">
        <f t="shared" ca="1" si="176"/>
        <v>0</v>
      </c>
      <c r="BM346" s="539">
        <f t="shared" ca="1" si="176"/>
        <v>0</v>
      </c>
      <c r="BN346" s="539">
        <f t="shared" ca="1" si="176"/>
        <v>0</v>
      </c>
      <c r="BO346" s="539">
        <f t="shared" ca="1" si="176"/>
        <v>0</v>
      </c>
      <c r="BP346" s="539">
        <f t="shared" ca="1" si="176"/>
        <v>0</v>
      </c>
      <c r="BQ346" s="539">
        <f t="shared" ca="1" si="176"/>
        <v>0</v>
      </c>
      <c r="BR346" s="539">
        <f t="shared" ca="1" si="176"/>
        <v>0</v>
      </c>
      <c r="BS346" s="539">
        <f t="shared" ca="1" si="176"/>
        <v>0</v>
      </c>
      <c r="BT346" s="539">
        <f t="shared" ca="1" si="176"/>
        <v>0</v>
      </c>
      <c r="BU346" s="539">
        <f t="shared" ca="1" si="177"/>
        <v>0</v>
      </c>
      <c r="BV346" s="539">
        <f t="shared" ca="1" si="177"/>
        <v>0</v>
      </c>
      <c r="BW346" s="539">
        <f t="shared" ca="1" si="177"/>
        <v>0</v>
      </c>
      <c r="BX346" s="539">
        <f t="shared" ca="1" si="177"/>
        <v>0</v>
      </c>
      <c r="BY346" s="539">
        <f t="shared" ca="1" si="177"/>
        <v>0</v>
      </c>
      <c r="BZ346" s="539">
        <f t="shared" ca="1" si="177"/>
        <v>0</v>
      </c>
      <c r="CA346" s="539">
        <f t="shared" ca="1" si="177"/>
        <v>0</v>
      </c>
      <c r="CB346" s="539">
        <f t="shared" ca="1" si="177"/>
        <v>0</v>
      </c>
      <c r="CC346" s="539">
        <f t="shared" ca="1" si="177"/>
        <v>0</v>
      </c>
      <c r="CD346" s="539">
        <f t="shared" ca="1" si="177"/>
        <v>0</v>
      </c>
      <c r="CU346" s="469" t="s">
        <v>5510</v>
      </c>
      <c r="ES346" s="504"/>
      <c r="ET346" s="507"/>
      <c r="EU346" s="585"/>
    </row>
    <row r="347" spans="1:151" x14ac:dyDescent="0.25">
      <c r="A347" s="667">
        <f ca="1"/>
        <v>1</v>
      </c>
      <c r="B347" s="666" t="str">
        <f ca="1"/>
        <v>Carboxina</v>
      </c>
      <c r="BF347" s="469" t="s">
        <v>5510</v>
      </c>
      <c r="BG347" s="470" t="s">
        <v>120</v>
      </c>
      <c r="BH347" s="672" t="s">
        <v>8070</v>
      </c>
      <c r="BI347" s="672" t="s">
        <v>8074</v>
      </c>
      <c r="BJ347" s="672" t="s">
        <v>8084</v>
      </c>
      <c r="BK347" s="539">
        <f t="shared" ca="1" si="176"/>
        <v>0</v>
      </c>
      <c r="BL347" s="539">
        <f t="shared" ca="1" si="176"/>
        <v>0</v>
      </c>
      <c r="BM347" s="539">
        <f t="shared" ca="1" si="176"/>
        <v>0</v>
      </c>
      <c r="BN347" s="539">
        <f t="shared" ca="1" si="176"/>
        <v>0</v>
      </c>
      <c r="BO347" s="539">
        <f t="shared" ca="1" si="176"/>
        <v>0</v>
      </c>
      <c r="BP347" s="539">
        <f t="shared" ca="1" si="176"/>
        <v>0</v>
      </c>
      <c r="BQ347" s="539">
        <f t="shared" ca="1" si="176"/>
        <v>0</v>
      </c>
      <c r="BR347" s="539">
        <f t="shared" ca="1" si="176"/>
        <v>0</v>
      </c>
      <c r="BS347" s="539">
        <f t="shared" ca="1" si="176"/>
        <v>0</v>
      </c>
      <c r="BT347" s="539">
        <f t="shared" ca="1" si="176"/>
        <v>0</v>
      </c>
      <c r="BU347" s="539">
        <f t="shared" ca="1" si="177"/>
        <v>0</v>
      </c>
      <c r="BV347" s="539">
        <f t="shared" ca="1" si="177"/>
        <v>0</v>
      </c>
      <c r="BW347" s="539">
        <f t="shared" ca="1" si="177"/>
        <v>0</v>
      </c>
      <c r="BX347" s="539">
        <f t="shared" ca="1" si="177"/>
        <v>0</v>
      </c>
      <c r="BY347" s="539">
        <f t="shared" ca="1" si="177"/>
        <v>0</v>
      </c>
      <c r="BZ347" s="539">
        <f t="shared" ca="1" si="177"/>
        <v>0</v>
      </c>
      <c r="CA347" s="539">
        <f t="shared" ca="1" si="177"/>
        <v>0</v>
      </c>
      <c r="CB347" s="539">
        <f t="shared" ca="1" si="177"/>
        <v>0</v>
      </c>
      <c r="CC347" s="539">
        <f t="shared" ca="1" si="177"/>
        <v>0</v>
      </c>
      <c r="CD347" s="539">
        <f t="shared" ca="1" si="177"/>
        <v>0</v>
      </c>
      <c r="CU347" s="469" t="s">
        <v>5510</v>
      </c>
      <c r="ES347" s="504"/>
      <c r="ET347" s="507"/>
      <c r="EU347" s="585"/>
    </row>
    <row r="348" spans="1:151" x14ac:dyDescent="0.25">
      <c r="A348" s="667">
        <f ca="1"/>
        <v>1</v>
      </c>
      <c r="B348" s="666" t="str">
        <f ca="1"/>
        <v>Casugamicina</v>
      </c>
      <c r="BF348" s="469" t="s">
        <v>5510</v>
      </c>
      <c r="CU348" s="469" t="s">
        <v>5510</v>
      </c>
      <c r="ES348" s="504"/>
      <c r="ET348" s="507"/>
      <c r="EU348" s="585"/>
    </row>
    <row r="349" spans="1:151" x14ac:dyDescent="0.25">
      <c r="A349" s="667">
        <f ca="1"/>
        <v>1</v>
      </c>
      <c r="B349" s="666" t="str">
        <f ca="1"/>
        <v>Cianazina</v>
      </c>
      <c r="BF349" s="469" t="s">
        <v>5510</v>
      </c>
      <c r="CU349" s="469" t="s">
        <v>5510</v>
      </c>
    </row>
    <row r="350" spans="1:151" ht="15.75" x14ac:dyDescent="0.25">
      <c r="A350" s="667">
        <f ca="1"/>
        <v>1</v>
      </c>
      <c r="B350" s="666" t="str">
        <f ca="1"/>
        <v>Cimoxanil</v>
      </c>
      <c r="BF350" s="469" t="s">
        <v>5510</v>
      </c>
      <c r="BH350" s="669" t="s">
        <v>6058</v>
      </c>
      <c r="BI350" s="674"/>
      <c r="BJ350" s="671"/>
      <c r="CU350" s="469" t="s">
        <v>5510</v>
      </c>
    </row>
    <row r="351" spans="1:151" x14ac:dyDescent="0.25">
      <c r="A351" s="667">
        <f ca="1"/>
        <v>1</v>
      </c>
      <c r="B351" s="666" t="str">
        <f ca="1"/>
        <v>Cipermetrina</v>
      </c>
      <c r="BF351" s="469" t="s">
        <v>5510</v>
      </c>
      <c r="BJ351" s="372"/>
      <c r="BK351" s="536" t="s">
        <v>90</v>
      </c>
      <c r="BL351" s="536" t="s">
        <v>90</v>
      </c>
      <c r="BM351" s="536" t="s">
        <v>91</v>
      </c>
      <c r="BN351" s="536" t="s">
        <v>91</v>
      </c>
      <c r="BO351" s="536" t="s">
        <v>92</v>
      </c>
      <c r="BP351" s="536" t="s">
        <v>92</v>
      </c>
      <c r="BQ351" s="536" t="s">
        <v>93</v>
      </c>
      <c r="BR351" s="536" t="s">
        <v>93</v>
      </c>
      <c r="BS351" s="536" t="s">
        <v>94</v>
      </c>
      <c r="BT351" s="536" t="s">
        <v>94</v>
      </c>
      <c r="BU351" s="536" t="s">
        <v>95</v>
      </c>
      <c r="BV351" s="536" t="s">
        <v>95</v>
      </c>
      <c r="BW351" s="536" t="s">
        <v>96</v>
      </c>
      <c r="BX351" s="536" t="s">
        <v>96</v>
      </c>
      <c r="BY351" s="536" t="s">
        <v>97</v>
      </c>
      <c r="BZ351" s="536" t="s">
        <v>97</v>
      </c>
      <c r="CA351" s="536" t="s">
        <v>98</v>
      </c>
      <c r="CB351" s="536" t="s">
        <v>98</v>
      </c>
      <c r="CC351" s="536" t="s">
        <v>99</v>
      </c>
      <c r="CD351" s="536" t="s">
        <v>99</v>
      </c>
      <c r="CU351" s="469" t="s">
        <v>5510</v>
      </c>
    </row>
    <row r="352" spans="1:151" x14ac:dyDescent="0.25">
      <c r="A352" s="667">
        <f ca="1"/>
        <v>1</v>
      </c>
      <c r="B352" s="666" t="str">
        <f ca="1"/>
        <v>Clormequate</v>
      </c>
      <c r="BF352" s="469" t="s">
        <v>5510</v>
      </c>
      <c r="BI352" s="20"/>
      <c r="BK352" s="536" t="s">
        <v>10</v>
      </c>
      <c r="BL352" s="536" t="s">
        <v>237</v>
      </c>
      <c r="BM352" s="536" t="s">
        <v>10</v>
      </c>
      <c r="BN352" s="536" t="s">
        <v>237</v>
      </c>
      <c r="BO352" s="536" t="s">
        <v>10</v>
      </c>
      <c r="BP352" s="536" t="s">
        <v>237</v>
      </c>
      <c r="BQ352" s="536" t="s">
        <v>10</v>
      </c>
      <c r="BR352" s="536" t="s">
        <v>237</v>
      </c>
      <c r="BS352" s="536" t="s">
        <v>10</v>
      </c>
      <c r="BT352" s="536" t="s">
        <v>237</v>
      </c>
      <c r="BU352" s="536" t="s">
        <v>10</v>
      </c>
      <c r="BV352" s="536" t="s">
        <v>237</v>
      </c>
      <c r="BW352" s="536" t="s">
        <v>10</v>
      </c>
      <c r="BX352" s="536" t="s">
        <v>237</v>
      </c>
      <c r="BY352" s="536" t="s">
        <v>10</v>
      </c>
      <c r="BZ352" s="536" t="s">
        <v>237</v>
      </c>
      <c r="CA352" s="536" t="s">
        <v>10</v>
      </c>
      <c r="CB352" s="536" t="s">
        <v>237</v>
      </c>
      <c r="CC352" s="536" t="s">
        <v>10</v>
      </c>
      <c r="CD352" s="536" t="s">
        <v>237</v>
      </c>
      <c r="CU352" s="469" t="s">
        <v>5510</v>
      </c>
    </row>
    <row r="353" spans="1:99" x14ac:dyDescent="0.25">
      <c r="A353" s="667">
        <f ca="1"/>
        <v>1</v>
      </c>
      <c r="B353" s="666" t="str">
        <f ca="1"/>
        <v>Cloreto de clormequate</v>
      </c>
      <c r="BF353" s="469" t="s">
        <v>5510</v>
      </c>
      <c r="BJ353" s="470" t="s">
        <v>88</v>
      </c>
      <c r="BK353" s="539">
        <f t="shared" ref="BK353:CD353" ca="1" si="178">COUNTIFS(
INDIRECT($BH345&amp;BK$336&amp;":"&amp;$BH345&amp;BK$337),"&gt;0",
INDIRECT($BI345&amp;BK$336&amp;":"&amp;$BI345&amp;BK$337,1),"&gt;0",
INDIRECT($BJ345&amp;BK$336&amp;":"&amp;$BJ345&amp;BK$337,1),"&gt;=2")</f>
        <v>0</v>
      </c>
      <c r="BL353" s="539">
        <f t="shared" ca="1" si="178"/>
        <v>0</v>
      </c>
      <c r="BM353" s="539">
        <f t="shared" ca="1" si="178"/>
        <v>0</v>
      </c>
      <c r="BN353" s="539">
        <f t="shared" ca="1" si="178"/>
        <v>0</v>
      </c>
      <c r="BO353" s="539">
        <f t="shared" ca="1" si="178"/>
        <v>0</v>
      </c>
      <c r="BP353" s="539">
        <f t="shared" ca="1" si="178"/>
        <v>0</v>
      </c>
      <c r="BQ353" s="539">
        <f t="shared" ca="1" si="178"/>
        <v>0</v>
      </c>
      <c r="BR353" s="539">
        <f t="shared" ca="1" si="178"/>
        <v>0</v>
      </c>
      <c r="BS353" s="539">
        <f t="shared" ca="1" si="178"/>
        <v>0</v>
      </c>
      <c r="BT353" s="539">
        <f t="shared" ca="1" si="178"/>
        <v>0</v>
      </c>
      <c r="BU353" s="539">
        <f t="shared" ca="1" si="178"/>
        <v>0</v>
      </c>
      <c r="BV353" s="539">
        <f t="shared" ca="1" si="178"/>
        <v>0</v>
      </c>
      <c r="BW353" s="539">
        <f t="shared" ca="1" si="178"/>
        <v>0</v>
      </c>
      <c r="BX353" s="539">
        <f t="shared" ca="1" si="178"/>
        <v>0</v>
      </c>
      <c r="BY353" s="539">
        <f t="shared" ca="1" si="178"/>
        <v>0</v>
      </c>
      <c r="BZ353" s="539">
        <f t="shared" ca="1" si="178"/>
        <v>0</v>
      </c>
      <c r="CA353" s="539">
        <f t="shared" ca="1" si="178"/>
        <v>0</v>
      </c>
      <c r="CB353" s="539">
        <f t="shared" ca="1" si="178"/>
        <v>0</v>
      </c>
      <c r="CC353" s="539">
        <f t="shared" ca="1" si="178"/>
        <v>0</v>
      </c>
      <c r="CD353" s="539">
        <f t="shared" ca="1" si="178"/>
        <v>0</v>
      </c>
      <c r="CU353" s="469" t="s">
        <v>5510</v>
      </c>
    </row>
    <row r="354" spans="1:99" x14ac:dyDescent="0.25">
      <c r="A354" s="667">
        <f ca="1"/>
        <v>1</v>
      </c>
      <c r="B354" s="666" t="str">
        <f ca="1"/>
        <v>Clorotalonil</v>
      </c>
      <c r="BF354" s="469" t="s">
        <v>5510</v>
      </c>
      <c r="BJ354" s="470" t="s">
        <v>101</v>
      </c>
      <c r="BK354" s="539">
        <f t="shared" ref="BK354:CD354" ca="1" si="179">COUNTIFS(
INDIRECT($BH346&amp;BK$336&amp;":"&amp;$BH346&amp;BK$337),"&gt;0",
INDIRECT($BI346&amp;BK$336&amp;":"&amp;$BI346&amp;BK$337,1),"&gt;0",
INDIRECT($BJ346&amp;BK$336&amp;":"&amp;$BJ346&amp;BK$337,1),"&gt;=2")</f>
        <v>0</v>
      </c>
      <c r="BL354" s="539">
        <f t="shared" ca="1" si="179"/>
        <v>0</v>
      </c>
      <c r="BM354" s="539">
        <f t="shared" ca="1" si="179"/>
        <v>0</v>
      </c>
      <c r="BN354" s="539">
        <f t="shared" ca="1" si="179"/>
        <v>0</v>
      </c>
      <c r="BO354" s="539">
        <f t="shared" ca="1" si="179"/>
        <v>0</v>
      </c>
      <c r="BP354" s="539">
        <f t="shared" ca="1" si="179"/>
        <v>0</v>
      </c>
      <c r="BQ354" s="539">
        <f t="shared" ca="1" si="179"/>
        <v>0</v>
      </c>
      <c r="BR354" s="539">
        <f t="shared" ca="1" si="179"/>
        <v>0</v>
      </c>
      <c r="BS354" s="539">
        <f t="shared" ca="1" si="179"/>
        <v>0</v>
      </c>
      <c r="BT354" s="539">
        <f t="shared" ca="1" si="179"/>
        <v>0</v>
      </c>
      <c r="BU354" s="539">
        <f t="shared" ca="1" si="179"/>
        <v>0</v>
      </c>
      <c r="BV354" s="539">
        <f t="shared" ca="1" si="179"/>
        <v>0</v>
      </c>
      <c r="BW354" s="539">
        <f t="shared" ca="1" si="179"/>
        <v>0</v>
      </c>
      <c r="BX354" s="539">
        <f t="shared" ca="1" si="179"/>
        <v>0</v>
      </c>
      <c r="BY354" s="539">
        <f t="shared" ca="1" si="179"/>
        <v>0</v>
      </c>
      <c r="BZ354" s="539">
        <f t="shared" ca="1" si="179"/>
        <v>0</v>
      </c>
      <c r="CA354" s="539">
        <f t="shared" ca="1" si="179"/>
        <v>0</v>
      </c>
      <c r="CB354" s="539">
        <f t="shared" ca="1" si="179"/>
        <v>0</v>
      </c>
      <c r="CC354" s="539">
        <f t="shared" ca="1" si="179"/>
        <v>0</v>
      </c>
      <c r="CD354" s="539">
        <f t="shared" ca="1" si="179"/>
        <v>0</v>
      </c>
      <c r="CU354" s="469" t="s">
        <v>5510</v>
      </c>
    </row>
    <row r="355" spans="1:99" x14ac:dyDescent="0.25">
      <c r="A355" s="667">
        <f ca="1"/>
        <v>1</v>
      </c>
      <c r="B355" s="666" t="str">
        <f ca="1"/>
        <v>Clorpirifós</v>
      </c>
      <c r="BF355" s="469" t="s">
        <v>5510</v>
      </c>
      <c r="BJ355" s="470" t="s">
        <v>120</v>
      </c>
      <c r="BK355" s="539">
        <f t="shared" ref="BK355:CD355" ca="1" si="180">COUNTIFS(
INDIRECT($BH347&amp;BK$336&amp;":"&amp;$BH347&amp;BK$337),"&gt;0",
INDIRECT($BI347&amp;BK$336&amp;":"&amp;$BI347&amp;BK$337,1),"&gt;0",
INDIRECT($BJ347&amp;BK$336&amp;":"&amp;$BJ347&amp;BK$337,1),"&gt;=2")</f>
        <v>0</v>
      </c>
      <c r="BL355" s="539">
        <f t="shared" ca="1" si="180"/>
        <v>0</v>
      </c>
      <c r="BM355" s="539">
        <f t="shared" ca="1" si="180"/>
        <v>0</v>
      </c>
      <c r="BN355" s="539">
        <f t="shared" ca="1" si="180"/>
        <v>0</v>
      </c>
      <c r="BO355" s="539">
        <f t="shared" ca="1" si="180"/>
        <v>0</v>
      </c>
      <c r="BP355" s="539">
        <f t="shared" ca="1" si="180"/>
        <v>0</v>
      </c>
      <c r="BQ355" s="539">
        <f t="shared" ca="1" si="180"/>
        <v>0</v>
      </c>
      <c r="BR355" s="539">
        <f t="shared" ca="1" si="180"/>
        <v>0</v>
      </c>
      <c r="BS355" s="539">
        <f t="shared" ca="1" si="180"/>
        <v>0</v>
      </c>
      <c r="BT355" s="539">
        <f t="shared" ca="1" si="180"/>
        <v>0</v>
      </c>
      <c r="BU355" s="539">
        <f t="shared" ca="1" si="180"/>
        <v>0</v>
      </c>
      <c r="BV355" s="539">
        <f t="shared" ca="1" si="180"/>
        <v>0</v>
      </c>
      <c r="BW355" s="539">
        <f t="shared" ca="1" si="180"/>
        <v>0</v>
      </c>
      <c r="BX355" s="539">
        <f t="shared" ca="1" si="180"/>
        <v>0</v>
      </c>
      <c r="BY355" s="539">
        <f t="shared" ca="1" si="180"/>
        <v>0</v>
      </c>
      <c r="BZ355" s="539">
        <f t="shared" ca="1" si="180"/>
        <v>0</v>
      </c>
      <c r="CA355" s="539">
        <f t="shared" ca="1" si="180"/>
        <v>0</v>
      </c>
      <c r="CB355" s="539">
        <f t="shared" ca="1" si="180"/>
        <v>0</v>
      </c>
      <c r="CC355" s="539">
        <f t="shared" ca="1" si="180"/>
        <v>0</v>
      </c>
      <c r="CD355" s="539">
        <f t="shared" ca="1" si="180"/>
        <v>0</v>
      </c>
      <c r="CU355" s="469" t="s">
        <v>5510</v>
      </c>
    </row>
    <row r="356" spans="1:99" x14ac:dyDescent="0.25">
      <c r="A356" s="667">
        <f ca="1"/>
        <v>1</v>
      </c>
      <c r="B356" s="666" t="str">
        <f ca="1"/>
        <v>Clortal-dimetílico</v>
      </c>
      <c r="BF356" s="469" t="s">
        <v>5510</v>
      </c>
      <c r="CU356" s="469" t="s">
        <v>5510</v>
      </c>
    </row>
    <row r="357" spans="1:99" x14ac:dyDescent="0.25">
      <c r="A357" s="667">
        <f ca="1"/>
        <v>1</v>
      </c>
      <c r="B357" s="666" t="str">
        <f ca="1"/>
        <v>Cumacloro</v>
      </c>
      <c r="BF357" s="469" t="s">
        <v>5510</v>
      </c>
      <c r="BK357" s="20"/>
      <c r="BL357" s="20"/>
      <c r="BM357" s="20"/>
      <c r="BN357" s="20"/>
      <c r="BO357" s="20"/>
      <c r="BP357" s="20"/>
      <c r="BQ357" s="20"/>
      <c r="CU357" s="469" t="s">
        <v>5510</v>
      </c>
    </row>
    <row r="358" spans="1:99" x14ac:dyDescent="0.25">
      <c r="A358" s="667">
        <f ca="1"/>
        <v>1</v>
      </c>
      <c r="B358" s="666" t="str">
        <f ca="1"/>
        <v>Carbendazim</v>
      </c>
      <c r="BF358" s="469" t="s">
        <v>5510</v>
      </c>
      <c r="BJ358" s="372" t="s">
        <v>8085</v>
      </c>
      <c r="BK358" s="675" t="s">
        <v>10</v>
      </c>
      <c r="BL358" s="675" t="s">
        <v>237</v>
      </c>
      <c r="BM358" s="675" t="s">
        <v>10</v>
      </c>
      <c r="BN358" s="675" t="s">
        <v>237</v>
      </c>
      <c r="BO358" s="675" t="s">
        <v>10</v>
      </c>
      <c r="BP358" s="675" t="s">
        <v>237</v>
      </c>
      <c r="BQ358" s="675" t="s">
        <v>10</v>
      </c>
      <c r="BR358" s="675" t="s">
        <v>237</v>
      </c>
      <c r="BS358" s="675" t="s">
        <v>10</v>
      </c>
      <c r="BT358" s="675" t="s">
        <v>237</v>
      </c>
      <c r="BU358" s="675" t="s">
        <v>10</v>
      </c>
      <c r="BV358" s="675" t="s">
        <v>237</v>
      </c>
      <c r="BW358" s="675" t="s">
        <v>10</v>
      </c>
      <c r="BX358" s="675" t="s">
        <v>237</v>
      </c>
      <c r="BY358" s="675" t="s">
        <v>10</v>
      </c>
      <c r="BZ358" s="675" t="s">
        <v>237</v>
      </c>
      <c r="CA358" s="675" t="s">
        <v>10</v>
      </c>
      <c r="CB358" s="675" t="s">
        <v>237</v>
      </c>
      <c r="CC358" s="675" t="s">
        <v>10</v>
      </c>
      <c r="CD358" s="675" t="s">
        <v>237</v>
      </c>
      <c r="CU358" s="469" t="s">
        <v>5510</v>
      </c>
    </row>
    <row r="359" spans="1:99" x14ac:dyDescent="0.25">
      <c r="A359" s="667">
        <f ca="1"/>
        <v>1</v>
      </c>
      <c r="B359" s="666" t="str">
        <f ca="1"/>
        <v>Cartape</v>
      </c>
      <c r="BF359" s="469" t="s">
        <v>5510</v>
      </c>
      <c r="BJ359" s="470" t="s">
        <v>88</v>
      </c>
      <c r="BK359" s="539" t="str">
        <f t="shared" ref="BK359:CD359" ca="1" si="181">IF(BK345=0, "-", IF(COUNTIF(INDIRECT($BJ345&amp;BK$336&amp;":"&amp;$BJ345&amp;BK$337), "&gt;0")&gt;0, "Sim", "Não"))</f>
        <v>-</v>
      </c>
      <c r="BL359" s="539" t="str">
        <f t="shared" ca="1" si="181"/>
        <v>-</v>
      </c>
      <c r="BM359" s="539" t="str">
        <f t="shared" ca="1" si="181"/>
        <v>-</v>
      </c>
      <c r="BN359" s="539" t="str">
        <f t="shared" ca="1" si="181"/>
        <v>-</v>
      </c>
      <c r="BO359" s="539" t="str">
        <f t="shared" ca="1" si="181"/>
        <v>-</v>
      </c>
      <c r="BP359" s="539" t="str">
        <f t="shared" ca="1" si="181"/>
        <v>-</v>
      </c>
      <c r="BQ359" s="539" t="str">
        <f t="shared" ca="1" si="181"/>
        <v>-</v>
      </c>
      <c r="BR359" s="539" t="str">
        <f t="shared" ca="1" si="181"/>
        <v>-</v>
      </c>
      <c r="BS359" s="539" t="str">
        <f t="shared" ca="1" si="181"/>
        <v>-</v>
      </c>
      <c r="BT359" s="539" t="str">
        <f t="shared" ca="1" si="181"/>
        <v>-</v>
      </c>
      <c r="BU359" s="539" t="str">
        <f t="shared" ca="1" si="181"/>
        <v>-</v>
      </c>
      <c r="BV359" s="539" t="str">
        <f t="shared" ca="1" si="181"/>
        <v>-</v>
      </c>
      <c r="BW359" s="539" t="str">
        <f t="shared" ca="1" si="181"/>
        <v>-</v>
      </c>
      <c r="BX359" s="539" t="str">
        <f t="shared" ca="1" si="181"/>
        <v>-</v>
      </c>
      <c r="BY359" s="539" t="str">
        <f t="shared" ca="1" si="181"/>
        <v>-</v>
      </c>
      <c r="BZ359" s="539" t="str">
        <f t="shared" ca="1" si="181"/>
        <v>-</v>
      </c>
      <c r="CA359" s="539" t="str">
        <f t="shared" ca="1" si="181"/>
        <v>-</v>
      </c>
      <c r="CB359" s="539" t="str">
        <f t="shared" ca="1" si="181"/>
        <v>-</v>
      </c>
      <c r="CC359" s="539" t="str">
        <f t="shared" ca="1" si="181"/>
        <v>-</v>
      </c>
      <c r="CD359" s="539" t="str">
        <f t="shared" ca="1" si="181"/>
        <v>-</v>
      </c>
      <c r="CU359" s="469" t="s">
        <v>5510</v>
      </c>
    </row>
    <row r="360" spans="1:99" x14ac:dyDescent="0.25">
      <c r="A360" s="667">
        <f ca="1"/>
        <v>1</v>
      </c>
      <c r="B360" s="666" t="str">
        <f ca="1"/>
        <v>Cloridrato de cartape</v>
      </c>
      <c r="BF360" s="469" t="s">
        <v>5510</v>
      </c>
      <c r="BJ360" s="470" t="s">
        <v>101</v>
      </c>
      <c r="BK360" s="539" t="str">
        <f t="shared" ref="BK360:CD360" ca="1" si="182">IF(BK346=0, "-", IF(COUNTIF(INDIRECT($BJ346&amp;BK$336&amp;":"&amp;$BJ346&amp;BK$337), "&gt;0")&gt;0, "Sim", "Não"))</f>
        <v>-</v>
      </c>
      <c r="BL360" s="539" t="str">
        <f t="shared" ca="1" si="182"/>
        <v>-</v>
      </c>
      <c r="BM360" s="539" t="str">
        <f t="shared" ca="1" si="182"/>
        <v>-</v>
      </c>
      <c r="BN360" s="539" t="str">
        <f t="shared" ca="1" si="182"/>
        <v>-</v>
      </c>
      <c r="BO360" s="539" t="str">
        <f t="shared" ca="1" si="182"/>
        <v>-</v>
      </c>
      <c r="BP360" s="539" t="str">
        <f t="shared" ca="1" si="182"/>
        <v>-</v>
      </c>
      <c r="BQ360" s="539" t="str">
        <f t="shared" ca="1" si="182"/>
        <v>-</v>
      </c>
      <c r="BR360" s="539" t="str">
        <f t="shared" ca="1" si="182"/>
        <v>-</v>
      </c>
      <c r="BS360" s="539" t="str">
        <f t="shared" ca="1" si="182"/>
        <v>-</v>
      </c>
      <c r="BT360" s="539" t="str">
        <f t="shared" ca="1" si="182"/>
        <v>-</v>
      </c>
      <c r="BU360" s="539" t="str">
        <f t="shared" ca="1" si="182"/>
        <v>-</v>
      </c>
      <c r="BV360" s="539" t="str">
        <f t="shared" ca="1" si="182"/>
        <v>-</v>
      </c>
      <c r="BW360" s="539" t="str">
        <f t="shared" ca="1" si="182"/>
        <v>-</v>
      </c>
      <c r="BX360" s="539" t="str">
        <f t="shared" ca="1" si="182"/>
        <v>-</v>
      </c>
      <c r="BY360" s="539" t="str">
        <f t="shared" ca="1" si="182"/>
        <v>-</v>
      </c>
      <c r="BZ360" s="539" t="str">
        <f t="shared" ca="1" si="182"/>
        <v>-</v>
      </c>
      <c r="CA360" s="539" t="str">
        <f t="shared" ca="1" si="182"/>
        <v>-</v>
      </c>
      <c r="CB360" s="539" t="str">
        <f t="shared" ca="1" si="182"/>
        <v>-</v>
      </c>
      <c r="CC360" s="539" t="str">
        <f t="shared" ca="1" si="182"/>
        <v>-</v>
      </c>
      <c r="CD360" s="539" t="str">
        <f t="shared" ca="1" si="182"/>
        <v>-</v>
      </c>
      <c r="CU360" s="469" t="s">
        <v>5510</v>
      </c>
    </row>
    <row r="361" spans="1:99" x14ac:dyDescent="0.25">
      <c r="A361" s="667">
        <f ca="1"/>
        <v>1</v>
      </c>
      <c r="B361" s="666" t="str">
        <f ca="1"/>
        <v>Carbossulfano</v>
      </c>
      <c r="BF361" s="469" t="s">
        <v>5510</v>
      </c>
      <c r="BJ361" s="470" t="s">
        <v>120</v>
      </c>
      <c r="BK361" s="539" t="str">
        <f t="shared" ref="BK361:CD361" ca="1" si="183">IF(BK347=0, "-", IF(COUNTIF(INDIRECT($BJ347&amp;BK$336&amp;":"&amp;$BJ347&amp;BK$337), "&gt;0")&gt;0, "Sim", "Não"))</f>
        <v>-</v>
      </c>
      <c r="BL361" s="539" t="str">
        <f t="shared" ca="1" si="183"/>
        <v>-</v>
      </c>
      <c r="BM361" s="539" t="str">
        <f t="shared" ca="1" si="183"/>
        <v>-</v>
      </c>
      <c r="BN361" s="539" t="str">
        <f t="shared" ca="1" si="183"/>
        <v>-</v>
      </c>
      <c r="BO361" s="539" t="str">
        <f t="shared" ca="1" si="183"/>
        <v>-</v>
      </c>
      <c r="BP361" s="539" t="str">
        <f t="shared" ca="1" si="183"/>
        <v>-</v>
      </c>
      <c r="BQ361" s="539" t="str">
        <f t="shared" ca="1" si="183"/>
        <v>-</v>
      </c>
      <c r="BR361" s="539" t="str">
        <f t="shared" ca="1" si="183"/>
        <v>-</v>
      </c>
      <c r="BS361" s="539" t="str">
        <f t="shared" ca="1" si="183"/>
        <v>-</v>
      </c>
      <c r="BT361" s="539" t="str">
        <f t="shared" ca="1" si="183"/>
        <v>-</v>
      </c>
      <c r="BU361" s="539" t="str">
        <f t="shared" ca="1" si="183"/>
        <v>-</v>
      </c>
      <c r="BV361" s="539" t="str">
        <f t="shared" ca="1" si="183"/>
        <v>-</v>
      </c>
      <c r="BW361" s="539" t="str">
        <f t="shared" ca="1" si="183"/>
        <v>-</v>
      </c>
      <c r="BX361" s="539" t="str">
        <f t="shared" ca="1" si="183"/>
        <v>-</v>
      </c>
      <c r="BY361" s="539" t="str">
        <f t="shared" ca="1" si="183"/>
        <v>-</v>
      </c>
      <c r="BZ361" s="539" t="str">
        <f t="shared" ca="1" si="183"/>
        <v>-</v>
      </c>
      <c r="CA361" s="539" t="str">
        <f t="shared" ca="1" si="183"/>
        <v>-</v>
      </c>
      <c r="CB361" s="539" t="str">
        <f t="shared" ca="1" si="183"/>
        <v>-</v>
      </c>
      <c r="CC361" s="539" t="str">
        <f t="shared" ca="1" si="183"/>
        <v>-</v>
      </c>
      <c r="CD361" s="539" t="str">
        <f t="shared" ca="1" si="183"/>
        <v>-</v>
      </c>
      <c r="CU361" s="469" t="s">
        <v>5510</v>
      </c>
    </row>
    <row r="362" spans="1:99" x14ac:dyDescent="0.25">
      <c r="A362" s="667">
        <f ca="1"/>
        <v>1</v>
      </c>
      <c r="B362" s="666" t="str">
        <f ca="1"/>
        <v>Clorimurom</v>
      </c>
      <c r="BF362" s="469" t="s">
        <v>5510</v>
      </c>
      <c r="CU362" s="469" t="s">
        <v>5510</v>
      </c>
    </row>
    <row r="363" spans="1:99" x14ac:dyDescent="0.25">
      <c r="A363" s="667">
        <f ca="1"/>
        <v>1</v>
      </c>
      <c r="B363" s="666" t="str">
        <f ca="1"/>
        <v>Clorimurom-etílico</v>
      </c>
      <c r="BF363" s="469" t="s">
        <v>5510</v>
      </c>
      <c r="CU363" s="469" t="s">
        <v>5510</v>
      </c>
    </row>
    <row r="364" spans="1:99" x14ac:dyDescent="0.25">
      <c r="A364" s="667">
        <f ca="1"/>
        <v>1</v>
      </c>
      <c r="B364" s="666" t="str">
        <f ca="1"/>
        <v>Ciflutrina</v>
      </c>
      <c r="BF364" s="469" t="s">
        <v>5510</v>
      </c>
      <c r="CU364" s="469" t="s">
        <v>5510</v>
      </c>
    </row>
    <row r="365" spans="1:99" ht="15.75" x14ac:dyDescent="0.25">
      <c r="A365" s="667">
        <f ca="1"/>
        <v>1</v>
      </c>
      <c r="B365" s="666" t="str">
        <f ca="1"/>
        <v>Clofentezina</v>
      </c>
      <c r="BF365" s="469" t="s">
        <v>5510</v>
      </c>
      <c r="BH365" s="669" t="s">
        <v>8075</v>
      </c>
      <c r="BI365" s="674"/>
      <c r="BJ365" s="671"/>
      <c r="BK365" s="20"/>
      <c r="BL365" s="20"/>
      <c r="BM365" s="20"/>
      <c r="BN365" s="20"/>
      <c r="BO365" s="20"/>
      <c r="BP365" s="20"/>
      <c r="BQ365" s="20"/>
      <c r="CU365" s="469" t="s">
        <v>5510</v>
      </c>
    </row>
    <row r="366" spans="1:99" x14ac:dyDescent="0.25">
      <c r="A366" s="667">
        <f ca="1"/>
        <v>1</v>
      </c>
      <c r="B366" s="666" t="str">
        <f ca="1"/>
        <v>Cletodim</v>
      </c>
      <c r="BF366" s="469" t="s">
        <v>5510</v>
      </c>
      <c r="BJ366" s="372" t="s">
        <v>8284</v>
      </c>
      <c r="BK366" s="675" t="s">
        <v>10</v>
      </c>
      <c r="BL366" s="675" t="s">
        <v>237</v>
      </c>
      <c r="BM366" s="675" t="s">
        <v>10</v>
      </c>
      <c r="BN366" s="675" t="s">
        <v>237</v>
      </c>
      <c r="BO366" s="675" t="s">
        <v>10</v>
      </c>
      <c r="BP366" s="675" t="s">
        <v>237</v>
      </c>
      <c r="BQ366" s="675" t="s">
        <v>10</v>
      </c>
      <c r="BR366" s="675" t="s">
        <v>237</v>
      </c>
      <c r="BS366" s="675" t="s">
        <v>10</v>
      </c>
      <c r="BT366" s="675" t="s">
        <v>237</v>
      </c>
      <c r="BU366" s="675" t="s">
        <v>10</v>
      </c>
      <c r="BV366" s="675" t="s">
        <v>237</v>
      </c>
      <c r="BW366" s="675" t="s">
        <v>10</v>
      </c>
      <c r="BX366" s="675" t="s">
        <v>237</v>
      </c>
      <c r="BY366" s="675" t="s">
        <v>10</v>
      </c>
      <c r="BZ366" s="675" t="s">
        <v>237</v>
      </c>
      <c r="CA366" s="675" t="s">
        <v>10</v>
      </c>
      <c r="CB366" s="675" t="s">
        <v>237</v>
      </c>
      <c r="CC366" s="675" t="s">
        <v>10</v>
      </c>
      <c r="CD366" s="675" t="s">
        <v>237</v>
      </c>
      <c r="CU366" s="469" t="s">
        <v>5510</v>
      </c>
    </row>
    <row r="367" spans="1:99" x14ac:dyDescent="0.25">
      <c r="A367" s="667">
        <f ca="1"/>
        <v>1</v>
      </c>
      <c r="B367" s="666" t="str">
        <f ca="1"/>
        <v>Cumafeno</v>
      </c>
      <c r="BF367" s="469" t="s">
        <v>5510</v>
      </c>
      <c r="BJ367" s="470" t="s">
        <v>88</v>
      </c>
      <c r="BK367" s="539" t="str">
        <f t="shared" ref="BK367:CD367" ca="1" si="184">IF(BK345=0,"-",
COUNTIFS(
INDIRECT($BH345&amp;BK$336&amp;":"&amp;$BH345&amp;BK$337),"&lt;&gt;0",
INDIRECT($BJ345&amp;BK$336&amp;":"&amp;$BJ345&amp;BK$337),"&lt;2"))</f>
        <v>-</v>
      </c>
      <c r="BL367" s="539" t="str">
        <f t="shared" ca="1" si="184"/>
        <v>-</v>
      </c>
      <c r="BM367" s="539" t="str">
        <f t="shared" ca="1" si="184"/>
        <v>-</v>
      </c>
      <c r="BN367" s="539" t="str">
        <f t="shared" ca="1" si="184"/>
        <v>-</v>
      </c>
      <c r="BO367" s="539" t="str">
        <f t="shared" ca="1" si="184"/>
        <v>-</v>
      </c>
      <c r="BP367" s="539" t="str">
        <f t="shared" ca="1" si="184"/>
        <v>-</v>
      </c>
      <c r="BQ367" s="539" t="str">
        <f t="shared" ca="1" si="184"/>
        <v>-</v>
      </c>
      <c r="BR367" s="539" t="str">
        <f t="shared" ca="1" si="184"/>
        <v>-</v>
      </c>
      <c r="BS367" s="539" t="str">
        <f t="shared" ca="1" si="184"/>
        <v>-</v>
      </c>
      <c r="BT367" s="539" t="str">
        <f t="shared" ca="1" si="184"/>
        <v>-</v>
      </c>
      <c r="BU367" s="539" t="str">
        <f t="shared" ca="1" si="184"/>
        <v>-</v>
      </c>
      <c r="BV367" s="539" t="str">
        <f t="shared" ca="1" si="184"/>
        <v>-</v>
      </c>
      <c r="BW367" s="539" t="str">
        <f t="shared" ca="1" si="184"/>
        <v>-</v>
      </c>
      <c r="BX367" s="539" t="str">
        <f t="shared" ca="1" si="184"/>
        <v>-</v>
      </c>
      <c r="BY367" s="539" t="str">
        <f t="shared" ca="1" si="184"/>
        <v>-</v>
      </c>
      <c r="BZ367" s="539" t="str">
        <f t="shared" ca="1" si="184"/>
        <v>-</v>
      </c>
      <c r="CA367" s="539" t="str">
        <f t="shared" ca="1" si="184"/>
        <v>-</v>
      </c>
      <c r="CB367" s="539" t="str">
        <f t="shared" ca="1" si="184"/>
        <v>-</v>
      </c>
      <c r="CC367" s="539" t="str">
        <f t="shared" ca="1" si="184"/>
        <v>-</v>
      </c>
      <c r="CD367" s="539" t="str">
        <f t="shared" ca="1" si="184"/>
        <v>-</v>
      </c>
      <c r="CU367" s="469" t="s">
        <v>5510</v>
      </c>
    </row>
    <row r="368" spans="1:99" x14ac:dyDescent="0.25">
      <c r="A368" s="667">
        <f ca="1"/>
        <v>1</v>
      </c>
      <c r="B368" s="666" t="str">
        <f ca="1"/>
        <v>Cifenotrina</v>
      </c>
      <c r="BF368" s="469" t="s">
        <v>5510</v>
      </c>
      <c r="BJ368" s="470" t="s">
        <v>101</v>
      </c>
      <c r="BK368" s="539" t="str">
        <f t="shared" ref="BK368:CD368" ca="1" si="185">IF(BK346=0,"-",
COUNTIFS(
INDIRECT($BH346&amp;BK$336&amp;":"&amp;$BH346&amp;BK$337),"&lt;&gt;0",
INDIRECT($BJ346&amp;BK$336&amp;":"&amp;$BJ346&amp;BK$337),"&lt;2"))</f>
        <v>-</v>
      </c>
      <c r="BL368" s="539" t="str">
        <f t="shared" ca="1" si="185"/>
        <v>-</v>
      </c>
      <c r="BM368" s="539" t="str">
        <f t="shared" ca="1" si="185"/>
        <v>-</v>
      </c>
      <c r="BN368" s="539" t="str">
        <f t="shared" ca="1" si="185"/>
        <v>-</v>
      </c>
      <c r="BO368" s="539" t="str">
        <f t="shared" ca="1" si="185"/>
        <v>-</v>
      </c>
      <c r="BP368" s="539" t="str">
        <f t="shared" ca="1" si="185"/>
        <v>-</v>
      </c>
      <c r="BQ368" s="539" t="str">
        <f t="shared" ca="1" si="185"/>
        <v>-</v>
      </c>
      <c r="BR368" s="539" t="str">
        <f t="shared" ca="1" si="185"/>
        <v>-</v>
      </c>
      <c r="BS368" s="539" t="str">
        <f t="shared" ca="1" si="185"/>
        <v>-</v>
      </c>
      <c r="BT368" s="539" t="str">
        <f t="shared" ca="1" si="185"/>
        <v>-</v>
      </c>
      <c r="BU368" s="539" t="str">
        <f t="shared" ca="1" si="185"/>
        <v>-</v>
      </c>
      <c r="BV368" s="539" t="str">
        <f t="shared" ca="1" si="185"/>
        <v>-</v>
      </c>
      <c r="BW368" s="539" t="str">
        <f t="shared" ca="1" si="185"/>
        <v>-</v>
      </c>
      <c r="BX368" s="539" t="str">
        <f t="shared" ca="1" si="185"/>
        <v>-</v>
      </c>
      <c r="BY368" s="539" t="str">
        <f t="shared" ca="1" si="185"/>
        <v>-</v>
      </c>
      <c r="BZ368" s="539" t="str">
        <f t="shared" ca="1" si="185"/>
        <v>-</v>
      </c>
      <c r="CA368" s="539" t="str">
        <f t="shared" ca="1" si="185"/>
        <v>-</v>
      </c>
      <c r="CB368" s="539" t="str">
        <f t="shared" ca="1" si="185"/>
        <v>-</v>
      </c>
      <c r="CC368" s="539" t="str">
        <f t="shared" ca="1" si="185"/>
        <v>-</v>
      </c>
      <c r="CD368" s="539" t="str">
        <f t="shared" ca="1" si="185"/>
        <v>-</v>
      </c>
      <c r="CU368" s="469" t="s">
        <v>5510</v>
      </c>
    </row>
    <row r="369" spans="1:99" x14ac:dyDescent="0.25">
      <c r="A369" s="667">
        <f ca="1"/>
        <v>1</v>
      </c>
      <c r="B369" s="666" t="str">
        <f ca="1"/>
        <v>Clomazona</v>
      </c>
      <c r="BF369" s="469" t="s">
        <v>5510</v>
      </c>
      <c r="BJ369" s="470" t="s">
        <v>120</v>
      </c>
      <c r="BK369" s="539" t="str">
        <f t="shared" ref="BK369:CD369" ca="1" si="186">IF(BK347=0,"-",
COUNTIFS(
INDIRECT($BH347&amp;BK$336&amp;":"&amp;$BH347&amp;BK$337),"&lt;&gt;0",
INDIRECT($BJ347&amp;BK$336&amp;":"&amp;$BJ347&amp;BK$337),"&lt;2"))</f>
        <v>-</v>
      </c>
      <c r="BL369" s="539" t="str">
        <f t="shared" ca="1" si="186"/>
        <v>-</v>
      </c>
      <c r="BM369" s="539" t="str">
        <f t="shared" ca="1" si="186"/>
        <v>-</v>
      </c>
      <c r="BN369" s="539" t="str">
        <f t="shared" ca="1" si="186"/>
        <v>-</v>
      </c>
      <c r="BO369" s="539" t="str">
        <f t="shared" ca="1" si="186"/>
        <v>-</v>
      </c>
      <c r="BP369" s="539" t="str">
        <f t="shared" ca="1" si="186"/>
        <v>-</v>
      </c>
      <c r="BQ369" s="539" t="str">
        <f t="shared" ca="1" si="186"/>
        <v>-</v>
      </c>
      <c r="BR369" s="539" t="str">
        <f t="shared" ca="1" si="186"/>
        <v>-</v>
      </c>
      <c r="BS369" s="539" t="str">
        <f t="shared" ca="1" si="186"/>
        <v>-</v>
      </c>
      <c r="BT369" s="539" t="str">
        <f t="shared" ca="1" si="186"/>
        <v>-</v>
      </c>
      <c r="BU369" s="539" t="str">
        <f t="shared" ca="1" si="186"/>
        <v>-</v>
      </c>
      <c r="BV369" s="539" t="str">
        <f t="shared" ca="1" si="186"/>
        <v>-</v>
      </c>
      <c r="BW369" s="539" t="str">
        <f t="shared" ca="1" si="186"/>
        <v>-</v>
      </c>
      <c r="BX369" s="539" t="str">
        <f t="shared" ca="1" si="186"/>
        <v>-</v>
      </c>
      <c r="BY369" s="539" t="str">
        <f t="shared" ca="1" si="186"/>
        <v>-</v>
      </c>
      <c r="BZ369" s="539" t="str">
        <f t="shared" ca="1" si="186"/>
        <v>-</v>
      </c>
      <c r="CA369" s="539" t="str">
        <f t="shared" ca="1" si="186"/>
        <v>-</v>
      </c>
      <c r="CB369" s="539" t="str">
        <f t="shared" ca="1" si="186"/>
        <v>-</v>
      </c>
      <c r="CC369" s="539" t="str">
        <f t="shared" ca="1" si="186"/>
        <v>-</v>
      </c>
      <c r="CD369" s="539" t="str">
        <f t="shared" ca="1" si="186"/>
        <v>-</v>
      </c>
      <c r="CU369" s="469" t="s">
        <v>5510</v>
      </c>
    </row>
    <row r="370" spans="1:99" x14ac:dyDescent="0.25">
      <c r="A370" s="667">
        <f ca="1"/>
        <v>1</v>
      </c>
      <c r="B370" s="666" t="str">
        <f ca="1"/>
        <v>Ciproconazol</v>
      </c>
      <c r="BF370" s="469" t="s">
        <v>5510</v>
      </c>
      <c r="CU370" s="469" t="s">
        <v>5510</v>
      </c>
    </row>
    <row r="371" spans="1:99" x14ac:dyDescent="0.25">
      <c r="A371" s="667">
        <f ca="1"/>
        <v>1</v>
      </c>
      <c r="B371" s="666" t="str">
        <f ca="1"/>
        <v>Ciromazina</v>
      </c>
      <c r="BF371" s="469" t="s">
        <v>5510</v>
      </c>
      <c r="BJ371" s="372" t="s">
        <v>8285</v>
      </c>
      <c r="BK371" s="675" t="s">
        <v>10</v>
      </c>
      <c r="BL371" s="675" t="s">
        <v>237</v>
      </c>
      <c r="BM371" s="675" t="s">
        <v>10</v>
      </c>
      <c r="BN371" s="675" t="s">
        <v>237</v>
      </c>
      <c r="BO371" s="675" t="s">
        <v>10</v>
      </c>
      <c r="BP371" s="675" t="s">
        <v>237</v>
      </c>
      <c r="BQ371" s="675" t="s">
        <v>10</v>
      </c>
      <c r="BR371" s="675" t="s">
        <v>237</v>
      </c>
      <c r="BS371" s="675" t="s">
        <v>10</v>
      </c>
      <c r="BT371" s="675" t="s">
        <v>237</v>
      </c>
      <c r="BU371" s="675" t="s">
        <v>10</v>
      </c>
      <c r="BV371" s="675" t="s">
        <v>237</v>
      </c>
      <c r="BW371" s="675" t="s">
        <v>10</v>
      </c>
      <c r="BX371" s="675" t="s">
        <v>237</v>
      </c>
      <c r="BY371" s="675" t="s">
        <v>10</v>
      </c>
      <c r="BZ371" s="675" t="s">
        <v>237</v>
      </c>
      <c r="CA371" s="675" t="s">
        <v>10</v>
      </c>
      <c r="CB371" s="675" t="s">
        <v>237</v>
      </c>
      <c r="CC371" s="675" t="s">
        <v>10</v>
      </c>
      <c r="CD371" s="675" t="s">
        <v>237</v>
      </c>
      <c r="CU371" s="469" t="s">
        <v>5510</v>
      </c>
    </row>
    <row r="372" spans="1:99" x14ac:dyDescent="0.25">
      <c r="A372" s="667">
        <f ca="1"/>
        <v>1</v>
      </c>
      <c r="B372" s="666" t="str">
        <f ca="1"/>
        <v>Clorfluazurom</v>
      </c>
      <c r="BF372" s="469" t="s">
        <v>5510</v>
      </c>
      <c r="BJ372" s="470" t="s">
        <v>88</v>
      </c>
      <c r="BK372" s="539" t="str">
        <f ca="1">IF(BK367="-","-",
IF(BK367&gt;=5,"Sim","Não")&amp;CHAR(10)&amp;" ("&amp;BK367&amp;")")</f>
        <v>-</v>
      </c>
      <c r="BL372" s="539" t="str">
        <f t="shared" ref="BL372:CD374" ca="1" si="187">IF(BL367="-","-",
IF(BL367&gt;=5,"Sim","Não")&amp;CHAR(10)&amp;" ("&amp;BL367&amp;")")</f>
        <v>-</v>
      </c>
      <c r="BM372" s="539" t="str">
        <f t="shared" ca="1" si="187"/>
        <v>-</v>
      </c>
      <c r="BN372" s="539" t="str">
        <f t="shared" ca="1" si="187"/>
        <v>-</v>
      </c>
      <c r="BO372" s="539" t="str">
        <f t="shared" ca="1" si="187"/>
        <v>-</v>
      </c>
      <c r="BP372" s="539" t="str">
        <f t="shared" ca="1" si="187"/>
        <v>-</v>
      </c>
      <c r="BQ372" s="539" t="str">
        <f t="shared" ca="1" si="187"/>
        <v>-</v>
      </c>
      <c r="BR372" s="539" t="str">
        <f t="shared" ca="1" si="187"/>
        <v>-</v>
      </c>
      <c r="BS372" s="539" t="str">
        <f t="shared" ca="1" si="187"/>
        <v>-</v>
      </c>
      <c r="BT372" s="539" t="str">
        <f t="shared" ca="1" si="187"/>
        <v>-</v>
      </c>
      <c r="BU372" s="539" t="str">
        <f t="shared" ca="1" si="187"/>
        <v>-</v>
      </c>
      <c r="BV372" s="539" t="str">
        <f t="shared" ca="1" si="187"/>
        <v>-</v>
      </c>
      <c r="BW372" s="539" t="str">
        <f t="shared" ca="1" si="187"/>
        <v>-</v>
      </c>
      <c r="BX372" s="539" t="str">
        <f t="shared" ca="1" si="187"/>
        <v>-</v>
      </c>
      <c r="BY372" s="539" t="str">
        <f t="shared" ca="1" si="187"/>
        <v>-</v>
      </c>
      <c r="BZ372" s="539" t="str">
        <f t="shared" ca="1" si="187"/>
        <v>-</v>
      </c>
      <c r="CA372" s="539" t="str">
        <f t="shared" ca="1" si="187"/>
        <v>-</v>
      </c>
      <c r="CB372" s="539" t="str">
        <f t="shared" ca="1" si="187"/>
        <v>-</v>
      </c>
      <c r="CC372" s="539" t="str">
        <f t="shared" ca="1" si="187"/>
        <v>-</v>
      </c>
      <c r="CD372" s="539" t="str">
        <f t="shared" ca="1" si="187"/>
        <v>-</v>
      </c>
      <c r="CU372" s="469" t="s">
        <v>5510</v>
      </c>
    </row>
    <row r="373" spans="1:99" x14ac:dyDescent="0.25">
      <c r="A373" s="667">
        <f ca="1"/>
        <v>1</v>
      </c>
      <c r="B373" s="666" t="str">
        <f ca="1"/>
        <v>Cianamida</v>
      </c>
      <c r="BF373" s="469" t="s">
        <v>5510</v>
      </c>
      <c r="BJ373" s="470" t="s">
        <v>101</v>
      </c>
      <c r="BK373" s="539" t="str">
        <f ca="1">IF(BK368="-","-",
IF(BK368&gt;=5,"Sim","Não")&amp;CHAR(10)&amp;" ("&amp;BK368&amp;")")</f>
        <v>-</v>
      </c>
      <c r="BL373" s="539" t="str">
        <f t="shared" ref="BK373:BZ374" ca="1" si="188">IF(BL368="-","-",
IF(BL368&gt;=5,"Sim","Não")&amp;CHAR(10)&amp;" ("&amp;BL368&amp;")")</f>
        <v>-</v>
      </c>
      <c r="BM373" s="539" t="str">
        <f t="shared" ca="1" si="188"/>
        <v>-</v>
      </c>
      <c r="BN373" s="539" t="str">
        <f t="shared" ca="1" si="188"/>
        <v>-</v>
      </c>
      <c r="BO373" s="539" t="str">
        <f ca="1">IF(BO368="-","-",
IF(BO368&gt;=5,"Sim","Não")&amp;CHAR(10)&amp;" ("&amp;BO368&amp;")")</f>
        <v>-</v>
      </c>
      <c r="BP373" s="539" t="str">
        <f ca="1">IF(BP368="-","-",
IF(BP368&gt;=5,"Sim","Não")&amp;CHAR(10)&amp;" ("&amp;BP368&amp;")")</f>
        <v>-</v>
      </c>
      <c r="BQ373" s="539" t="str">
        <f ca="1">IF(BQ368="-","-",
IF(BQ368&gt;=5,"Sim","Não")&amp;CHAR(10)&amp;" ("&amp;BQ368&amp;")")</f>
        <v>-</v>
      </c>
      <c r="BR373" s="539" t="str">
        <f t="shared" ca="1" si="188"/>
        <v>-</v>
      </c>
      <c r="BS373" s="539" t="str">
        <f t="shared" ca="1" si="188"/>
        <v>-</v>
      </c>
      <c r="BT373" s="539" t="str">
        <f t="shared" ca="1" si="188"/>
        <v>-</v>
      </c>
      <c r="BU373" s="539" t="str">
        <f t="shared" ca="1" si="188"/>
        <v>-</v>
      </c>
      <c r="BV373" s="539" t="str">
        <f t="shared" ca="1" si="188"/>
        <v>-</v>
      </c>
      <c r="BW373" s="539" t="str">
        <f t="shared" ca="1" si="188"/>
        <v>-</v>
      </c>
      <c r="BX373" s="539" t="str">
        <f t="shared" ca="1" si="188"/>
        <v>-</v>
      </c>
      <c r="BY373" s="539" t="str">
        <f t="shared" ca="1" si="188"/>
        <v>-</v>
      </c>
      <c r="BZ373" s="539" t="str">
        <f t="shared" ca="1" si="188"/>
        <v>-</v>
      </c>
      <c r="CA373" s="539" t="str">
        <f t="shared" ca="1" si="187"/>
        <v>-</v>
      </c>
      <c r="CB373" s="539" t="str">
        <f t="shared" ca="1" si="187"/>
        <v>-</v>
      </c>
      <c r="CC373" s="539" t="str">
        <f t="shared" ca="1" si="187"/>
        <v>-</v>
      </c>
      <c r="CD373" s="539" t="str">
        <f t="shared" ca="1" si="187"/>
        <v>-</v>
      </c>
      <c r="CU373" s="469" t="s">
        <v>5510</v>
      </c>
    </row>
    <row r="374" spans="1:99" x14ac:dyDescent="0.25">
      <c r="A374" s="667">
        <f ca="1"/>
        <v>1</v>
      </c>
      <c r="B374" s="666" t="str">
        <f ca="1"/>
        <v>Clorfenapir</v>
      </c>
      <c r="BF374" s="469" t="s">
        <v>5510</v>
      </c>
      <c r="BJ374" s="470" t="s">
        <v>120</v>
      </c>
      <c r="BK374" s="539" t="str">
        <f t="shared" ca="1" si="188"/>
        <v>-</v>
      </c>
      <c r="BL374" s="539" t="str">
        <f t="shared" ca="1" si="187"/>
        <v>-</v>
      </c>
      <c r="BM374" s="539" t="str">
        <f t="shared" ca="1" si="187"/>
        <v>-</v>
      </c>
      <c r="BN374" s="539" t="str">
        <f t="shared" ca="1" si="187"/>
        <v>-</v>
      </c>
      <c r="BO374" s="539" t="str">
        <f t="shared" ca="1" si="187"/>
        <v>-</v>
      </c>
      <c r="BP374" s="539" t="str">
        <f t="shared" ca="1" si="187"/>
        <v>-</v>
      </c>
      <c r="BQ374" s="539" t="str">
        <f t="shared" ca="1" si="187"/>
        <v>-</v>
      </c>
      <c r="BR374" s="539" t="str">
        <f t="shared" ca="1" si="187"/>
        <v>-</v>
      </c>
      <c r="BS374" s="539" t="str">
        <f t="shared" ca="1" si="187"/>
        <v>-</v>
      </c>
      <c r="BT374" s="539" t="str">
        <f t="shared" ca="1" si="187"/>
        <v>-</v>
      </c>
      <c r="BU374" s="539" t="str">
        <f t="shared" ca="1" si="187"/>
        <v>-</v>
      </c>
      <c r="BV374" s="539" t="str">
        <f t="shared" ca="1" si="187"/>
        <v>-</v>
      </c>
      <c r="BW374" s="539" t="str">
        <f t="shared" ca="1" si="187"/>
        <v>-</v>
      </c>
      <c r="BX374" s="539" t="str">
        <f t="shared" ca="1" si="187"/>
        <v>-</v>
      </c>
      <c r="BY374" s="539" t="str">
        <f t="shared" ca="1" si="187"/>
        <v>-</v>
      </c>
      <c r="BZ374" s="539" t="str">
        <f t="shared" ca="1" si="187"/>
        <v>-</v>
      </c>
      <c r="CA374" s="539" t="str">
        <f t="shared" ca="1" si="187"/>
        <v>-</v>
      </c>
      <c r="CB374" s="539" t="str">
        <f t="shared" ca="1" si="187"/>
        <v>-</v>
      </c>
      <c r="CC374" s="539" t="str">
        <f t="shared" ca="1" si="187"/>
        <v>-</v>
      </c>
      <c r="CD374" s="539" t="str">
        <f t="shared" ca="1" si="187"/>
        <v>-</v>
      </c>
      <c r="CU374" s="469" t="s">
        <v>5510</v>
      </c>
    </row>
    <row r="375" spans="1:99" x14ac:dyDescent="0.25">
      <c r="A375" s="667">
        <f ca="1"/>
        <v>1</v>
      </c>
      <c r="B375" s="666" t="str">
        <f ca="1"/>
        <v>Clorfacinona</v>
      </c>
      <c r="BF375" s="469" t="s">
        <v>5510</v>
      </c>
      <c r="CU375" s="469" t="s">
        <v>5510</v>
      </c>
    </row>
    <row r="376" spans="1:99" ht="15.75" thickBot="1" x14ac:dyDescent="0.3">
      <c r="A376" s="667">
        <f ca="1"/>
        <v>1</v>
      </c>
      <c r="B376" s="666" t="str">
        <f ca="1"/>
        <v>Cumatetralil</v>
      </c>
      <c r="BF376" s="469" t="s">
        <v>5510</v>
      </c>
      <c r="BG376" s="468" t="s">
        <v>8077</v>
      </c>
      <c r="BH376" s="468"/>
      <c r="BI376" s="468"/>
      <c r="BJ376" s="468"/>
      <c r="BK376" s="468"/>
      <c r="BL376" s="468"/>
      <c r="BM376" s="468"/>
      <c r="BN376" s="468"/>
      <c r="BO376" s="468"/>
      <c r="BP376" s="468"/>
      <c r="BQ376" s="468"/>
      <c r="BR376" s="468"/>
      <c r="BS376" s="468"/>
      <c r="BT376" s="468"/>
      <c r="BU376" s="468"/>
      <c r="BV376" s="468"/>
      <c r="BW376" s="468"/>
      <c r="BX376" s="468"/>
      <c r="BY376" s="468"/>
      <c r="BZ376" s="468"/>
      <c r="CA376" s="468"/>
      <c r="CB376" s="468"/>
      <c r="CC376" s="468"/>
      <c r="CD376" s="468"/>
      <c r="CE376" s="468"/>
      <c r="CU376" s="469" t="s">
        <v>5510</v>
      </c>
    </row>
    <row r="377" spans="1:99" x14ac:dyDescent="0.25">
      <c r="A377" s="667">
        <f ca="1"/>
        <v>1</v>
      </c>
      <c r="B377" s="666" t="str">
        <f ca="1"/>
        <v>Ciclanilida</v>
      </c>
      <c r="BF377" s="469" t="s">
        <v>5510</v>
      </c>
      <c r="CU377" s="469" t="s">
        <v>5510</v>
      </c>
    </row>
    <row r="378" spans="1:99" x14ac:dyDescent="0.25">
      <c r="A378" s="667">
        <f ca="1"/>
        <v>1</v>
      </c>
      <c r="B378" s="666" t="str">
        <f ca="1"/>
        <v>Ciclossulfamurom</v>
      </c>
      <c r="BF378" s="469" t="s">
        <v>5510</v>
      </c>
      <c r="BI378" s="536" t="s">
        <v>8086</v>
      </c>
      <c r="BJ378" s="480">
        <v>32</v>
      </c>
      <c r="BK378" s="20"/>
      <c r="BL378" s="20"/>
      <c r="BM378" s="20"/>
      <c r="BN378" s="20"/>
      <c r="BO378" s="20"/>
      <c r="BP378" s="20"/>
      <c r="BQ378" s="20"/>
      <c r="CU378" s="469" t="s">
        <v>5510</v>
      </c>
    </row>
    <row r="379" spans="1:99" x14ac:dyDescent="0.25">
      <c r="A379" s="667">
        <f ca="1"/>
        <v>1</v>
      </c>
      <c r="B379" s="666" t="str">
        <f ca="1"/>
        <v>Ciprodinil</v>
      </c>
      <c r="BF379" s="469" t="s">
        <v>5510</v>
      </c>
      <c r="BI379" s="20"/>
      <c r="BJ379" s="372"/>
      <c r="CU379" s="469" t="s">
        <v>5510</v>
      </c>
    </row>
    <row r="380" spans="1:99" x14ac:dyDescent="0.25">
      <c r="A380" s="667">
        <f ca="1"/>
        <v>1</v>
      </c>
      <c r="B380" s="666" t="str">
        <f ca="1"/>
        <v>Cinetina</v>
      </c>
      <c r="BF380" s="469" t="s">
        <v>5510</v>
      </c>
      <c r="BI380" s="20"/>
      <c r="BJ380" s="536" t="s">
        <v>8078</v>
      </c>
      <c r="BK380" s="536" t="s">
        <v>8079</v>
      </c>
      <c r="BL380" s="536" t="s">
        <v>8080</v>
      </c>
      <c r="BM380" s="536" t="s">
        <v>8081</v>
      </c>
      <c r="CU380" s="469" t="s">
        <v>5510</v>
      </c>
    </row>
    <row r="381" spans="1:99" x14ac:dyDescent="0.25">
      <c r="A381" s="667">
        <f ca="1"/>
        <v>1</v>
      </c>
      <c r="B381" s="666" t="str">
        <f ca="1"/>
        <v>Carfentrazona-etílica</v>
      </c>
      <c r="BF381" s="469" t="s">
        <v>5510</v>
      </c>
      <c r="BI381" s="536" t="s">
        <v>90</v>
      </c>
      <c r="BJ381" s="480">
        <f>ROW(BK10)</f>
        <v>10</v>
      </c>
      <c r="BK381" s="480">
        <f>BJ381+($BJ$378/2)</f>
        <v>26</v>
      </c>
      <c r="BL381" s="480">
        <f>BJ381+11</f>
        <v>21</v>
      </c>
      <c r="BM381" s="480">
        <f>BL381+(BJ378/2)</f>
        <v>37</v>
      </c>
      <c r="BX381" s="605"/>
      <c r="BY381" s="605"/>
      <c r="CU381" s="469" t="s">
        <v>5510</v>
      </c>
    </row>
    <row r="382" spans="1:99" x14ac:dyDescent="0.25">
      <c r="A382" s="667">
        <f ca="1"/>
        <v>1</v>
      </c>
      <c r="B382" s="666" t="str">
        <f ca="1"/>
        <v>Cloransulam-metílico</v>
      </c>
      <c r="BF382" s="469" t="s">
        <v>5510</v>
      </c>
      <c r="BI382" s="536" t="s">
        <v>91</v>
      </c>
      <c r="BJ382" s="480">
        <f>BJ381+$BJ$378</f>
        <v>42</v>
      </c>
      <c r="BK382" s="480">
        <f>BK381+$BJ$378</f>
        <v>58</v>
      </c>
      <c r="BL382" s="480">
        <f>BL381+$BJ$378</f>
        <v>53</v>
      </c>
      <c r="BM382" s="480">
        <f>BM381+$BJ$378</f>
        <v>69</v>
      </c>
      <c r="CU382" s="469" t="s">
        <v>5510</v>
      </c>
    </row>
    <row r="383" spans="1:99" x14ac:dyDescent="0.25">
      <c r="A383" s="667">
        <f ca="1"/>
        <v>1</v>
      </c>
      <c r="B383" s="666" t="str">
        <f ca="1"/>
        <v>Codlelure</v>
      </c>
      <c r="BF383" s="469" t="s">
        <v>5510</v>
      </c>
      <c r="BI383" s="536" t="s">
        <v>92</v>
      </c>
      <c r="BJ383" s="480">
        <f t="shared" ref="BJ383:BJ390" si="189">BJ382+$BJ$378</f>
        <v>74</v>
      </c>
      <c r="BK383" s="480">
        <f t="shared" ref="BK383:BK390" si="190">BK382+$BJ$378</f>
        <v>90</v>
      </c>
      <c r="BL383" s="480">
        <f t="shared" ref="BL383:BL390" si="191">BL382+$BJ$378</f>
        <v>85</v>
      </c>
      <c r="BM383" s="480">
        <f t="shared" ref="BM383:BM390" si="192">BM382+$BJ$378</f>
        <v>101</v>
      </c>
      <c r="CU383" s="469" t="s">
        <v>5510</v>
      </c>
    </row>
    <row r="384" spans="1:99" x14ac:dyDescent="0.25">
      <c r="A384" s="667">
        <f ca="1"/>
        <v>1</v>
      </c>
      <c r="B384" s="666" t="str">
        <f ca="1"/>
        <v>Cloreto de benzalcônio</v>
      </c>
      <c r="BF384" s="469" t="s">
        <v>5510</v>
      </c>
      <c r="BI384" s="536" t="s">
        <v>93</v>
      </c>
      <c r="BJ384" s="480">
        <f t="shared" si="189"/>
        <v>106</v>
      </c>
      <c r="BK384" s="480">
        <f t="shared" si="190"/>
        <v>122</v>
      </c>
      <c r="BL384" s="480">
        <f t="shared" si="191"/>
        <v>117</v>
      </c>
      <c r="BM384" s="480">
        <f t="shared" si="192"/>
        <v>133</v>
      </c>
      <c r="CU384" s="469" t="s">
        <v>5510</v>
      </c>
    </row>
    <row r="385" spans="1:99" x14ac:dyDescent="0.25">
      <c r="A385" s="667">
        <f ca="1"/>
        <v>1</v>
      </c>
      <c r="B385" s="666" t="str">
        <f ca="1"/>
        <v>Cadusafós</v>
      </c>
      <c r="BF385" s="469" t="s">
        <v>5510</v>
      </c>
      <c r="BI385" s="536" t="s">
        <v>94</v>
      </c>
      <c r="BJ385" s="480">
        <f t="shared" si="189"/>
        <v>138</v>
      </c>
      <c r="BK385" s="480">
        <f t="shared" si="190"/>
        <v>154</v>
      </c>
      <c r="BL385" s="480">
        <f t="shared" si="191"/>
        <v>149</v>
      </c>
      <c r="BM385" s="480">
        <f t="shared" si="192"/>
        <v>165</v>
      </c>
      <c r="CU385" s="469" t="s">
        <v>5510</v>
      </c>
    </row>
    <row r="386" spans="1:99" x14ac:dyDescent="0.25">
      <c r="A386" s="667">
        <f ca="1"/>
        <v>1</v>
      </c>
      <c r="B386" s="666" t="str">
        <f ca="1"/>
        <v>Cialofope-butílico</v>
      </c>
      <c r="BF386" s="469" t="s">
        <v>5510</v>
      </c>
      <c r="BI386" s="536" t="s">
        <v>95</v>
      </c>
      <c r="BJ386" s="480">
        <f t="shared" si="189"/>
        <v>170</v>
      </c>
      <c r="BK386" s="480">
        <f t="shared" si="190"/>
        <v>186</v>
      </c>
      <c r="BL386" s="480">
        <f t="shared" si="191"/>
        <v>181</v>
      </c>
      <c r="BM386" s="480">
        <f t="shared" si="192"/>
        <v>197</v>
      </c>
      <c r="CU386" s="469" t="s">
        <v>5510</v>
      </c>
    </row>
    <row r="387" spans="1:99" x14ac:dyDescent="0.25">
      <c r="A387" s="667">
        <f ca="1"/>
        <v>1</v>
      </c>
      <c r="B387" s="666" t="str">
        <f ca="1"/>
        <v>Compostos a Base de Cobre</v>
      </c>
      <c r="BF387" s="469" t="s">
        <v>5510</v>
      </c>
      <c r="BI387" s="536" t="s">
        <v>96</v>
      </c>
      <c r="BJ387" s="480">
        <f t="shared" si="189"/>
        <v>202</v>
      </c>
      <c r="BK387" s="480">
        <f t="shared" si="190"/>
        <v>218</v>
      </c>
      <c r="BL387" s="480">
        <f t="shared" si="191"/>
        <v>213</v>
      </c>
      <c r="BM387" s="480">
        <f t="shared" si="192"/>
        <v>229</v>
      </c>
      <c r="CU387" s="469" t="s">
        <v>5510</v>
      </c>
    </row>
    <row r="388" spans="1:99" x14ac:dyDescent="0.25">
      <c r="A388" s="667">
        <f ca="1"/>
        <v>1</v>
      </c>
      <c r="B388" s="666" t="str">
        <f ca="1"/>
        <v>Hidróxido de cobre</v>
      </c>
      <c r="BF388" s="469" t="s">
        <v>5510</v>
      </c>
      <c r="BI388" s="536" t="s">
        <v>97</v>
      </c>
      <c r="BJ388" s="480">
        <f t="shared" si="189"/>
        <v>234</v>
      </c>
      <c r="BK388" s="480">
        <f t="shared" si="190"/>
        <v>250</v>
      </c>
      <c r="BL388" s="480">
        <f t="shared" si="191"/>
        <v>245</v>
      </c>
      <c r="BM388" s="480">
        <f t="shared" si="192"/>
        <v>261</v>
      </c>
      <c r="CU388" s="469" t="s">
        <v>5510</v>
      </c>
    </row>
    <row r="389" spans="1:99" x14ac:dyDescent="0.25">
      <c r="A389" s="667">
        <f ca="1"/>
        <v>1</v>
      </c>
      <c r="B389" s="666" t="str">
        <f ca="1"/>
        <v>Oxicloreto de cobre</v>
      </c>
      <c r="BF389" s="469" t="s">
        <v>5510</v>
      </c>
      <c r="BI389" s="536" t="s">
        <v>98</v>
      </c>
      <c r="BJ389" s="480">
        <f t="shared" si="189"/>
        <v>266</v>
      </c>
      <c r="BK389" s="480">
        <f t="shared" si="190"/>
        <v>282</v>
      </c>
      <c r="BL389" s="480">
        <f t="shared" si="191"/>
        <v>277</v>
      </c>
      <c r="BM389" s="480">
        <f t="shared" si="192"/>
        <v>293</v>
      </c>
      <c r="CU389" s="469" t="s">
        <v>5510</v>
      </c>
    </row>
    <row r="390" spans="1:99" x14ac:dyDescent="0.25">
      <c r="A390" s="667">
        <f ca="1"/>
        <v>1</v>
      </c>
      <c r="B390" s="666" t="str">
        <f ca="1"/>
        <v>Óxido cuproso</v>
      </c>
      <c r="BF390" s="469" t="s">
        <v>5510</v>
      </c>
      <c r="BI390" s="536" t="s">
        <v>99</v>
      </c>
      <c r="BJ390" s="480">
        <f t="shared" si="189"/>
        <v>298</v>
      </c>
      <c r="BK390" s="480">
        <f t="shared" si="190"/>
        <v>314</v>
      </c>
      <c r="BL390" s="480">
        <f t="shared" si="191"/>
        <v>309</v>
      </c>
      <c r="BM390" s="480">
        <f t="shared" si="192"/>
        <v>325</v>
      </c>
      <c r="CU390" s="469" t="s">
        <v>5510</v>
      </c>
    </row>
    <row r="391" spans="1:99" x14ac:dyDescent="0.25">
      <c r="A391" s="667">
        <f ca="1"/>
        <v>1</v>
      </c>
      <c r="B391" s="666" t="str">
        <f ca="1"/>
        <v>Sulfato de cobre</v>
      </c>
      <c r="BF391" s="469" t="s">
        <v>5510</v>
      </c>
      <c r="CU391" s="469" t="s">
        <v>5510</v>
      </c>
    </row>
    <row r="392" spans="1:99" x14ac:dyDescent="0.25">
      <c r="A392" s="667">
        <f ca="1"/>
        <v>1</v>
      </c>
      <c r="B392" s="666" t="str">
        <f ca="1"/>
        <v>Oxina-cobre</v>
      </c>
      <c r="BF392" s="469" t="s">
        <v>5510</v>
      </c>
      <c r="CU392" s="469" t="s">
        <v>5510</v>
      </c>
    </row>
    <row r="393" spans="1:99" x14ac:dyDescent="0.25">
      <c r="A393" s="667">
        <f ca="1"/>
        <v>1</v>
      </c>
      <c r="B393" s="666" t="str">
        <f ca="1"/>
        <v>Carbonato básico de cobre</v>
      </c>
      <c r="BF393" s="469" t="s">
        <v>5510</v>
      </c>
      <c r="CU393" s="469" t="s">
        <v>5510</v>
      </c>
    </row>
    <row r="394" spans="1:99" x14ac:dyDescent="0.25">
      <c r="A394" s="667">
        <f ca="1"/>
        <v>1</v>
      </c>
      <c r="B394" s="666" t="str">
        <f ca="1"/>
        <v>Cresoxim-metílico</v>
      </c>
      <c r="BF394" s="469" t="s">
        <v>5510</v>
      </c>
      <c r="BJ394" s="676" t="s">
        <v>8100</v>
      </c>
      <c r="BK394" s="677"/>
      <c r="BL394" s="677"/>
      <c r="BM394" s="677"/>
      <c r="BN394" s="677"/>
      <c r="BO394" s="677"/>
      <c r="BP394" s="677"/>
      <c r="BQ394" s="677"/>
      <c r="BU394" s="678" t="s">
        <v>8102</v>
      </c>
      <c r="BV394" s="679"/>
      <c r="BW394" s="679"/>
      <c r="BX394" s="679"/>
      <c r="BY394" s="679"/>
      <c r="BZ394" s="679"/>
      <c r="CA394" s="679"/>
      <c r="CB394" s="679"/>
      <c r="CU394" s="469" t="s">
        <v>5510</v>
      </c>
    </row>
    <row r="395" spans="1:99" x14ac:dyDescent="0.25">
      <c r="A395" s="667">
        <f ca="1"/>
        <v>1</v>
      </c>
      <c r="B395" s="666" t="str">
        <f ca="1"/>
        <v>Alfa-cipermetrina</v>
      </c>
      <c r="BF395" s="469" t="s">
        <v>5510</v>
      </c>
      <c r="BJ395" s="480" t="s">
        <v>5982</v>
      </c>
      <c r="BK395" s="480" t="s">
        <v>5951</v>
      </c>
      <c r="BL395" s="480" t="s">
        <v>5734</v>
      </c>
      <c r="BM395" s="480" t="s">
        <v>5732</v>
      </c>
      <c r="BN395" s="480" t="s">
        <v>5983</v>
      </c>
      <c r="BO395" s="480" t="s">
        <v>5991</v>
      </c>
      <c r="BP395" s="480" t="s">
        <v>5984</v>
      </c>
      <c r="BQ395" s="480" t="s">
        <v>5985</v>
      </c>
      <c r="BT395" s="372"/>
      <c r="BU395" s="480" t="s">
        <v>5737</v>
      </c>
      <c r="BV395" s="480" t="s">
        <v>5739</v>
      </c>
      <c r="BW395" s="480" t="s">
        <v>5907</v>
      </c>
      <c r="BX395" s="480" t="s">
        <v>5531</v>
      </c>
      <c r="BY395" s="480" t="s">
        <v>5986</v>
      </c>
      <c r="BZ395" s="480" t="s">
        <v>5988</v>
      </c>
      <c r="CA395" s="480" t="s">
        <v>5987</v>
      </c>
      <c r="CB395" s="480" t="s">
        <v>5989</v>
      </c>
      <c r="CU395" s="469" t="s">
        <v>5510</v>
      </c>
    </row>
    <row r="396" spans="1:99" x14ac:dyDescent="0.25">
      <c r="A396" s="667">
        <f ca="1"/>
        <v>1</v>
      </c>
      <c r="B396" s="666" t="str">
        <f ca="1"/>
        <v>Beta-cipermetrina</v>
      </c>
      <c r="BF396" s="469" t="s">
        <v>5510</v>
      </c>
      <c r="BJ396" s="605" t="s">
        <v>5713</v>
      </c>
      <c r="BK396" s="605"/>
      <c r="BL396" s="605"/>
      <c r="BM396" s="605"/>
      <c r="BN396" s="605" t="s">
        <v>5714</v>
      </c>
      <c r="BO396" s="605"/>
      <c r="BP396" s="605"/>
      <c r="BQ396" s="605"/>
      <c r="BT396" s="372"/>
      <c r="BU396" s="605" t="s">
        <v>5713</v>
      </c>
      <c r="BV396" s="605"/>
      <c r="BW396" s="605"/>
      <c r="BX396" s="605"/>
      <c r="BY396" s="605" t="s">
        <v>5714</v>
      </c>
      <c r="BZ396" s="605"/>
      <c r="CA396" s="605"/>
      <c r="CB396" s="605"/>
      <c r="CU396" s="469" t="s">
        <v>5510</v>
      </c>
    </row>
    <row r="397" spans="1:99" x14ac:dyDescent="0.25">
      <c r="A397" s="667">
        <f ca="1"/>
        <v>1</v>
      </c>
      <c r="B397" s="666" t="str">
        <f ca="1"/>
        <v>Zeta-cipermetrina</v>
      </c>
      <c r="BF397" s="469" t="s">
        <v>5510</v>
      </c>
      <c r="BJ397" s="536" t="s">
        <v>10</v>
      </c>
      <c r="BK397" s="536" t="s">
        <v>10</v>
      </c>
      <c r="BL397" s="536" t="s">
        <v>237</v>
      </c>
      <c r="BM397" s="536" t="s">
        <v>237</v>
      </c>
      <c r="BN397" s="536" t="s">
        <v>10</v>
      </c>
      <c r="BO397" s="536" t="s">
        <v>10</v>
      </c>
      <c r="BP397" s="536" t="s">
        <v>237</v>
      </c>
      <c r="BQ397" s="536" t="s">
        <v>237</v>
      </c>
      <c r="BT397" s="372"/>
      <c r="BU397" s="536" t="s">
        <v>10</v>
      </c>
      <c r="BV397" s="536" t="s">
        <v>10</v>
      </c>
      <c r="BW397" s="536" t="s">
        <v>237</v>
      </c>
      <c r="BX397" s="536" t="s">
        <v>237</v>
      </c>
      <c r="BY397" s="536" t="s">
        <v>10</v>
      </c>
      <c r="BZ397" s="536" t="s">
        <v>10</v>
      </c>
      <c r="CA397" s="536" t="s">
        <v>237</v>
      </c>
      <c r="CB397" s="536" t="s">
        <v>237</v>
      </c>
      <c r="CU397" s="469" t="s">
        <v>5510</v>
      </c>
    </row>
    <row r="398" spans="1:99" x14ac:dyDescent="0.25">
      <c r="A398" s="667">
        <f ca="1"/>
        <v>1</v>
      </c>
      <c r="B398" s="666" t="str">
        <f ca="1"/>
        <v>Beta-ciflutrina</v>
      </c>
      <c r="BF398" s="469" t="s">
        <v>5510</v>
      </c>
      <c r="BJ398" s="536" t="s">
        <v>109</v>
      </c>
      <c r="BK398" s="536" t="s">
        <v>110</v>
      </c>
      <c r="BL398" s="536" t="s">
        <v>109</v>
      </c>
      <c r="BM398" s="536" t="s">
        <v>110</v>
      </c>
      <c r="BN398" s="536" t="s">
        <v>109</v>
      </c>
      <c r="BO398" s="536" t="s">
        <v>110</v>
      </c>
      <c r="BP398" s="536" t="s">
        <v>109</v>
      </c>
      <c r="BQ398" s="536" t="s">
        <v>110</v>
      </c>
      <c r="BT398" s="372"/>
      <c r="BU398" s="536" t="s">
        <v>109</v>
      </c>
      <c r="BV398" s="536" t="s">
        <v>110</v>
      </c>
      <c r="BW398" s="536" t="s">
        <v>109</v>
      </c>
      <c r="BX398" s="536" t="s">
        <v>110</v>
      </c>
      <c r="BY398" s="536" t="s">
        <v>109</v>
      </c>
      <c r="BZ398" s="536" t="s">
        <v>110</v>
      </c>
      <c r="CA398" s="536" t="s">
        <v>109</v>
      </c>
      <c r="CB398" s="536" t="s">
        <v>110</v>
      </c>
      <c r="CU398" s="469" t="s">
        <v>5510</v>
      </c>
    </row>
    <row r="399" spans="1:99" x14ac:dyDescent="0.25">
      <c r="A399" s="667">
        <f ca="1"/>
        <v>1</v>
      </c>
      <c r="B399" s="666" t="str">
        <f ca="1"/>
        <v>Carpropamida</v>
      </c>
      <c r="BF399" s="469" t="s">
        <v>5510</v>
      </c>
      <c r="BH399" s="480">
        <v>37</v>
      </c>
      <c r="BI399" s="536" t="s">
        <v>90</v>
      </c>
      <c r="BJ399" s="680" t="str" cm="1">
        <f t="array" aca="1" ref="BJ399" ca="1">IF(INDIRECT($BI$2&amp;BJ$395&amp;$BH399)="","",INDIRECT($BI$2&amp;BJ$395&amp;$BH399))</f>
        <v/>
      </c>
      <c r="BK399" s="680" t="str" cm="1">
        <f t="array" aca="1" ref="BK399" ca="1">IF(INDIRECT($BI$2&amp;BK$395&amp;$BH399)="","",INDIRECT($BI$2&amp;BK$395&amp;$BH399))</f>
        <v/>
      </c>
      <c r="BL399" s="681" t="str" cm="1">
        <f t="array" aca="1" ref="BL399" ca="1">IF(INDIRECT($BI$2&amp;BL$395&amp;$BH399)="","",INDIRECT($BI$2&amp;BL$395&amp;$BH399))</f>
        <v/>
      </c>
      <c r="BM399" s="681" t="str" cm="1">
        <f t="array" aca="1" ref="BM399" ca="1">IF(INDIRECT($BI$2&amp;BM$395&amp;$BH399)="","",INDIRECT($BI$2&amp;BM$395&amp;$BH399))</f>
        <v/>
      </c>
      <c r="BN399" s="682" t="str" cm="1">
        <f t="array" aca="1" ref="BN399" ca="1">IF(INDIRECT($BI$2&amp;BN$395&amp;$BH399)="","",INDIRECT($BI$2&amp;BN$395&amp;$BH399))</f>
        <v/>
      </c>
      <c r="BO399" s="682" t="str" cm="1">
        <f t="array" aca="1" ref="BO399" ca="1">IF(INDIRECT($BI$2&amp;BO$395&amp;$BH399)="","",INDIRECT($BI$2&amp;BO$395&amp;$BH399))</f>
        <v/>
      </c>
      <c r="BP399" s="624" t="str" cm="1">
        <f t="array" aca="1" ref="BP399" ca="1">IF(INDIRECT($BI$2&amp;BP$395&amp;$BH399)="","",INDIRECT($BI$2&amp;BP$395&amp;$BH399))</f>
        <v/>
      </c>
      <c r="BQ399" s="624" t="str" cm="1">
        <f t="array" aca="1" ref="BQ399" ca="1">IF(INDIRECT($BI$2&amp;BQ$395&amp;$BH399)="","",INDIRECT($BI$2&amp;BQ$395&amp;$BH399))</f>
        <v/>
      </c>
      <c r="BT399" s="536" t="s">
        <v>90</v>
      </c>
      <c r="BU399" s="683" t="str" cm="1">
        <f t="array" aca="1" ref="BU399" ca="1">IF(INDIRECT($BI$2&amp;BU$395&amp;$BH399)="","",INDIRECT($BI$2&amp;BU$395&amp;$BH399))</f>
        <v/>
      </c>
      <c r="BV399" s="683" t="str" cm="1">
        <f t="array" aca="1" ref="BV399" ca="1">IF(INDIRECT($BI$2&amp;BV$395&amp;$BH399)="","",INDIRECT($BI$2&amp;BV$395&amp;$BH399))</f>
        <v/>
      </c>
      <c r="BW399" s="684" t="str" cm="1">
        <f t="array" aca="1" ref="BW399" ca="1">IF(INDIRECT($BI$2&amp;BW$395&amp;$BH399)="","",INDIRECT($BI$2&amp;BW$395&amp;$BH399))</f>
        <v/>
      </c>
      <c r="BX399" s="684" t="str" cm="1">
        <f t="array" aca="1" ref="BX399" ca="1">IF(INDIRECT($BI$2&amp;BX$395&amp;$BH399)="","",INDIRECT($BI$2&amp;BX$395&amp;$BH399))</f>
        <v/>
      </c>
      <c r="BY399" s="685" t="str" cm="1">
        <f t="array" aca="1" ref="BY399" ca="1">IF(INDIRECT($BI$2&amp;BY$395&amp;$BH399)="","",INDIRECT($BI$2&amp;BY$395&amp;$BH399))</f>
        <v/>
      </c>
      <c r="BZ399" s="685" t="str" cm="1">
        <f t="array" aca="1" ref="BZ399" ca="1">IF(INDIRECT($BI$2&amp;BZ$395&amp;$BH399)="","",INDIRECT($BI$2&amp;BZ$395&amp;$BH399))</f>
        <v/>
      </c>
      <c r="CA399" s="686" t="str" cm="1">
        <f t="array" aca="1" ref="CA399" ca="1">IF(INDIRECT($BI$2&amp;CA$395&amp;$BH399)="","",INDIRECT($BI$2&amp;CA$395&amp;$BH399))</f>
        <v/>
      </c>
      <c r="CB399" s="686" t="str" cm="1">
        <f t="array" aca="1" ref="CB399" ca="1">IF(INDIRECT($BI$2&amp;CB$395&amp;$BH399)="","",INDIRECT($BI$2&amp;CB$395&amp;$BH399))</f>
        <v/>
      </c>
      <c r="CU399" s="469" t="s">
        <v>5510</v>
      </c>
    </row>
    <row r="400" spans="1:99" x14ac:dyDescent="0.25">
      <c r="A400" s="667">
        <f ca="1"/>
        <v>1</v>
      </c>
      <c r="B400" s="666" t="str">
        <f ca="1"/>
        <v>Lambda-cialotrina</v>
      </c>
      <c r="BF400" s="469" t="s">
        <v>5510</v>
      </c>
      <c r="BH400" s="480">
        <v>38</v>
      </c>
      <c r="BI400" s="536" t="s">
        <v>91</v>
      </c>
      <c r="BJ400" s="680" t="str" cm="1">
        <f t="array" aca="1" ref="BJ400" ca="1">IF(INDIRECT($BI$2&amp;BJ$395&amp;$BH400)="","",INDIRECT($BI$2&amp;BJ$395&amp;$BH400))</f>
        <v/>
      </c>
      <c r="BK400" s="680" t="str" cm="1">
        <f t="array" aca="1" ref="BK400" ca="1">IF(INDIRECT($BI$2&amp;BK$395&amp;$BH400)="","",INDIRECT($BI$2&amp;BK$395&amp;$BH400))</f>
        <v/>
      </c>
      <c r="BL400" s="681" t="str" cm="1">
        <f t="array" aca="1" ref="BL400" ca="1">IF(INDIRECT($BI$2&amp;BL$395&amp;$BH400)="","",INDIRECT($BI$2&amp;BL$395&amp;$BH400))</f>
        <v/>
      </c>
      <c r="BM400" s="681" t="str" cm="1">
        <f t="array" aca="1" ref="BM400" ca="1">IF(INDIRECT($BI$2&amp;BM$395&amp;$BH400)="","",INDIRECT($BI$2&amp;BM$395&amp;$BH400))</f>
        <v/>
      </c>
      <c r="BN400" s="682" t="str" cm="1">
        <f t="array" aca="1" ref="BN400" ca="1">IF(INDIRECT($BI$2&amp;BN$395&amp;$BH400)="","",INDIRECT($BI$2&amp;BN$395&amp;$BH400))</f>
        <v/>
      </c>
      <c r="BO400" s="682" t="str" cm="1">
        <f t="array" aca="1" ref="BO400" ca="1">IF(INDIRECT($BI$2&amp;BO$395&amp;$BH400)="","",INDIRECT($BI$2&amp;BO$395&amp;$BH400))</f>
        <v/>
      </c>
      <c r="BP400" s="624" t="str" cm="1">
        <f t="array" aca="1" ref="BP400" ca="1">IF(INDIRECT($BI$2&amp;BP$395&amp;$BH400)="","",INDIRECT($BI$2&amp;BP$395&amp;$BH400))</f>
        <v/>
      </c>
      <c r="BQ400" s="624" t="str" cm="1">
        <f t="array" aca="1" ref="BQ400" ca="1">IF(INDIRECT($BI$2&amp;BQ$395&amp;$BH400)="","",INDIRECT($BI$2&amp;BQ$395&amp;$BH400))</f>
        <v/>
      </c>
      <c r="BT400" s="536" t="s">
        <v>91</v>
      </c>
      <c r="BU400" s="683" t="str" cm="1">
        <f t="array" aca="1" ref="BU400" ca="1">IF(INDIRECT($BI$2&amp;BU$395&amp;$BH400)="","",INDIRECT($BI$2&amp;BU$395&amp;$BH400))</f>
        <v/>
      </c>
      <c r="BV400" s="683" t="str" cm="1">
        <f t="array" aca="1" ref="BV400" ca="1">IF(INDIRECT($BI$2&amp;BV$395&amp;$BH400)="","",INDIRECT($BI$2&amp;BV$395&amp;$BH400))</f>
        <v/>
      </c>
      <c r="BW400" s="684" t="str" cm="1">
        <f t="array" aca="1" ref="BW400" ca="1">IF(INDIRECT($BI$2&amp;BW$395&amp;$BH400)="","",INDIRECT($BI$2&amp;BW$395&amp;$BH400))</f>
        <v/>
      </c>
      <c r="BX400" s="684" t="str" cm="1">
        <f t="array" aca="1" ref="BX400" ca="1">IF(INDIRECT($BI$2&amp;BX$395&amp;$BH400)="","",INDIRECT($BI$2&amp;BX$395&amp;$BH400))</f>
        <v/>
      </c>
      <c r="BY400" s="685" t="str" cm="1">
        <f t="array" aca="1" ref="BY400" ca="1">IF(INDIRECT($BI$2&amp;BY$395&amp;$BH400)="","",INDIRECT($BI$2&amp;BY$395&amp;$BH400))</f>
        <v/>
      </c>
      <c r="BZ400" s="685" t="str" cm="1">
        <f t="array" aca="1" ref="BZ400" ca="1">IF(INDIRECT($BI$2&amp;BZ$395&amp;$BH400)="","",INDIRECT($BI$2&amp;BZ$395&amp;$BH400))</f>
        <v/>
      </c>
      <c r="CA400" s="686" t="str" cm="1">
        <f t="array" aca="1" ref="CA400" ca="1">IF(INDIRECT($BI$2&amp;CA$395&amp;$BH400)="","",INDIRECT($BI$2&amp;CA$395&amp;$BH400))</f>
        <v/>
      </c>
      <c r="CB400" s="686" t="str" cm="1">
        <f t="array" aca="1" ref="CB400" ca="1">IF(INDIRECT($BI$2&amp;CB$395&amp;$BH400)="","",INDIRECT($BI$2&amp;CB$395&amp;$BH400))</f>
        <v/>
      </c>
      <c r="CU400" s="469" t="s">
        <v>5510</v>
      </c>
    </row>
    <row r="401" spans="1:99" x14ac:dyDescent="0.25">
      <c r="A401" s="667">
        <f ca="1"/>
        <v>1</v>
      </c>
      <c r="B401" s="666" t="str">
        <f ca="1"/>
        <v>Clotianidina</v>
      </c>
      <c r="BF401" s="469" t="s">
        <v>5510</v>
      </c>
      <c r="BH401" s="480">
        <v>39</v>
      </c>
      <c r="BI401" s="536" t="s">
        <v>92</v>
      </c>
      <c r="BJ401" s="680" t="str" cm="1">
        <f t="array" aca="1" ref="BJ401" ca="1">IF(INDIRECT($BI$2&amp;BJ$395&amp;$BH401)="","",INDIRECT($BI$2&amp;BJ$395&amp;$BH401))</f>
        <v/>
      </c>
      <c r="BK401" s="680" t="str" cm="1">
        <f t="array" aca="1" ref="BK401" ca="1">IF(INDIRECT($BI$2&amp;BK$395&amp;$BH401)="","",INDIRECT($BI$2&amp;BK$395&amp;$BH401))</f>
        <v/>
      </c>
      <c r="BL401" s="681" t="str" cm="1">
        <f t="array" aca="1" ref="BL401" ca="1">IF(INDIRECT($BI$2&amp;BL$395&amp;$BH401)="","",INDIRECT($BI$2&amp;BL$395&amp;$BH401))</f>
        <v/>
      </c>
      <c r="BM401" s="681" t="str" cm="1">
        <f t="array" aca="1" ref="BM401" ca="1">IF(INDIRECT($BI$2&amp;BM$395&amp;$BH401)="","",INDIRECT($BI$2&amp;BM$395&amp;$BH401))</f>
        <v/>
      </c>
      <c r="BN401" s="682" t="str" cm="1">
        <f t="array" aca="1" ref="BN401" ca="1">IF(INDIRECT($BI$2&amp;BN$395&amp;$BH401)="","",INDIRECT($BI$2&amp;BN$395&amp;$BH401))</f>
        <v/>
      </c>
      <c r="BO401" s="682" t="str" cm="1">
        <f t="array" aca="1" ref="BO401" ca="1">IF(INDIRECT($BI$2&amp;BO$395&amp;$BH401)="","",INDIRECT($BI$2&amp;BO$395&amp;$BH401))</f>
        <v/>
      </c>
      <c r="BP401" s="624" t="str" cm="1">
        <f t="array" aca="1" ref="BP401" ca="1">IF(INDIRECT($BI$2&amp;BP$395&amp;$BH401)="","",INDIRECT($BI$2&amp;BP$395&amp;$BH401))</f>
        <v/>
      </c>
      <c r="BQ401" s="624" t="str" cm="1">
        <f t="array" aca="1" ref="BQ401" ca="1">IF(INDIRECT($BI$2&amp;BQ$395&amp;$BH401)="","",INDIRECT($BI$2&amp;BQ$395&amp;$BH401))</f>
        <v/>
      </c>
      <c r="BT401" s="536" t="s">
        <v>92</v>
      </c>
      <c r="BU401" s="683" t="str" cm="1">
        <f t="array" aca="1" ref="BU401" ca="1">IF(INDIRECT($BI$2&amp;BU$395&amp;$BH401)="","",INDIRECT($BI$2&amp;BU$395&amp;$BH401))</f>
        <v/>
      </c>
      <c r="BV401" s="683" t="str" cm="1">
        <f t="array" aca="1" ref="BV401" ca="1">IF(INDIRECT($BI$2&amp;BV$395&amp;$BH401)="","",INDIRECT($BI$2&amp;BV$395&amp;$BH401))</f>
        <v/>
      </c>
      <c r="BW401" s="684" t="str" cm="1">
        <f t="array" aca="1" ref="BW401" ca="1">IF(INDIRECT($BI$2&amp;BW$395&amp;$BH401)="","",INDIRECT($BI$2&amp;BW$395&amp;$BH401))</f>
        <v/>
      </c>
      <c r="BX401" s="684" t="str" cm="1">
        <f t="array" aca="1" ref="BX401" ca="1">IF(INDIRECT($BI$2&amp;BX$395&amp;$BH401)="","",INDIRECT($BI$2&amp;BX$395&amp;$BH401))</f>
        <v/>
      </c>
      <c r="BY401" s="685" t="str" cm="1">
        <f t="array" aca="1" ref="BY401" ca="1">IF(INDIRECT($BI$2&amp;BY$395&amp;$BH401)="","",INDIRECT($BI$2&amp;BY$395&amp;$BH401))</f>
        <v/>
      </c>
      <c r="BZ401" s="685" t="str" cm="1">
        <f t="array" aca="1" ref="BZ401" ca="1">IF(INDIRECT($BI$2&amp;BZ$395&amp;$BH401)="","",INDIRECT($BI$2&amp;BZ$395&amp;$BH401))</f>
        <v/>
      </c>
      <c r="CA401" s="686" t="str" cm="1">
        <f t="array" aca="1" ref="CA401" ca="1">IF(INDIRECT($BI$2&amp;CA$395&amp;$BH401)="","",INDIRECT($BI$2&amp;CA$395&amp;$BH401))</f>
        <v/>
      </c>
      <c r="CB401" s="686" t="str" cm="1">
        <f t="array" aca="1" ref="CB401" ca="1">IF(INDIRECT($BI$2&amp;CB$395&amp;$BH401)="","",INDIRECT($BI$2&amp;CB$395&amp;$BH401))</f>
        <v/>
      </c>
      <c r="CU401" s="469" t="s">
        <v>5510</v>
      </c>
    </row>
    <row r="402" spans="1:99" x14ac:dyDescent="0.25">
      <c r="A402" s="667">
        <f ca="1"/>
        <v>1</v>
      </c>
      <c r="B402" s="666" t="str">
        <f ca="1"/>
        <v>Gama-cialotrina</v>
      </c>
      <c r="BF402" s="469" t="s">
        <v>5510</v>
      </c>
      <c r="BH402" s="480">
        <v>40</v>
      </c>
      <c r="BI402" s="536" t="s">
        <v>93</v>
      </c>
      <c r="BJ402" s="680" t="str" cm="1">
        <f t="array" aca="1" ref="BJ402" ca="1">IF(INDIRECT($BI$2&amp;BJ$395&amp;$BH402)="","",INDIRECT($BI$2&amp;BJ$395&amp;$BH402))</f>
        <v/>
      </c>
      <c r="BK402" s="680" t="str" cm="1">
        <f t="array" aca="1" ref="BK402" ca="1">IF(INDIRECT($BI$2&amp;BK$395&amp;$BH402)="","",INDIRECT($BI$2&amp;BK$395&amp;$BH402))</f>
        <v/>
      </c>
      <c r="BL402" s="681" t="str" cm="1">
        <f t="array" aca="1" ref="BL402" ca="1">IF(INDIRECT($BI$2&amp;BL$395&amp;$BH402)="","",INDIRECT($BI$2&amp;BL$395&amp;$BH402))</f>
        <v/>
      </c>
      <c r="BM402" s="681" t="str" cm="1">
        <f t="array" aca="1" ref="BM402" ca="1">IF(INDIRECT($BI$2&amp;BM$395&amp;$BH402)="","",INDIRECT($BI$2&amp;BM$395&amp;$BH402))</f>
        <v/>
      </c>
      <c r="BN402" s="682" t="str" cm="1">
        <f t="array" aca="1" ref="BN402" ca="1">IF(INDIRECT($BI$2&amp;BN$395&amp;$BH402)="","",INDIRECT($BI$2&amp;BN$395&amp;$BH402))</f>
        <v/>
      </c>
      <c r="BO402" s="682" t="str" cm="1">
        <f t="array" aca="1" ref="BO402" ca="1">IF(INDIRECT($BI$2&amp;BO$395&amp;$BH402)="","",INDIRECT($BI$2&amp;BO$395&amp;$BH402))</f>
        <v/>
      </c>
      <c r="BP402" s="624" t="str" cm="1">
        <f t="array" aca="1" ref="BP402" ca="1">IF(INDIRECT($BI$2&amp;BP$395&amp;$BH402)="","",INDIRECT($BI$2&amp;BP$395&amp;$BH402))</f>
        <v/>
      </c>
      <c r="BQ402" s="624" t="str" cm="1">
        <f t="array" aca="1" ref="BQ402" ca="1">IF(INDIRECT($BI$2&amp;BQ$395&amp;$BH402)="","",INDIRECT($BI$2&amp;BQ$395&amp;$BH402))</f>
        <v/>
      </c>
      <c r="BT402" s="536" t="s">
        <v>93</v>
      </c>
      <c r="BU402" s="683" t="str" cm="1">
        <f t="array" aca="1" ref="BU402" ca="1">IF(INDIRECT($BI$2&amp;BU$395&amp;$BH402)="","",INDIRECT($BI$2&amp;BU$395&amp;$BH402))</f>
        <v/>
      </c>
      <c r="BV402" s="683" t="str" cm="1">
        <f t="array" aca="1" ref="BV402" ca="1">IF(INDIRECT($BI$2&amp;BV$395&amp;$BH402)="","",INDIRECT($BI$2&amp;BV$395&amp;$BH402))</f>
        <v/>
      </c>
      <c r="BW402" s="684" t="str" cm="1">
        <f t="array" aca="1" ref="BW402" ca="1">IF(INDIRECT($BI$2&amp;BW$395&amp;$BH402)="","",INDIRECT($BI$2&amp;BW$395&amp;$BH402))</f>
        <v/>
      </c>
      <c r="BX402" s="684" t="str" cm="1">
        <f t="array" aca="1" ref="BX402" ca="1">IF(INDIRECT($BI$2&amp;BX$395&amp;$BH402)="","",INDIRECT($BI$2&amp;BX$395&amp;$BH402))</f>
        <v/>
      </c>
      <c r="BY402" s="685" t="str" cm="1">
        <f t="array" aca="1" ref="BY402" ca="1">IF(INDIRECT($BI$2&amp;BY$395&amp;$BH402)="","",INDIRECT($BI$2&amp;BY$395&amp;$BH402))</f>
        <v/>
      </c>
      <c r="BZ402" s="685" t="str" cm="1">
        <f t="array" aca="1" ref="BZ402" ca="1">IF(INDIRECT($BI$2&amp;BZ$395&amp;$BH402)="","",INDIRECT($BI$2&amp;BZ$395&amp;$BH402))</f>
        <v/>
      </c>
      <c r="CA402" s="686" t="str" cm="1">
        <f t="array" aca="1" ref="CA402" ca="1">IF(INDIRECT($BI$2&amp;CA$395&amp;$BH402)="","",INDIRECT($BI$2&amp;CA$395&amp;$BH402))</f>
        <v/>
      </c>
      <c r="CB402" s="686" t="str" cm="1">
        <f t="array" aca="1" ref="CB402" ca="1">IF(INDIRECT($BI$2&amp;CB$395&amp;$BH402)="","",INDIRECT($BI$2&amp;CB$395&amp;$BH402))</f>
        <v/>
      </c>
      <c r="CU402" s="469" t="s">
        <v>5510</v>
      </c>
    </row>
    <row r="403" spans="1:99" x14ac:dyDescent="0.25">
      <c r="A403" s="667">
        <f ca="1"/>
        <v>1</v>
      </c>
      <c r="B403" s="666" t="str">
        <f ca="1"/>
        <v>Ciazofamida</v>
      </c>
      <c r="BF403" s="469" t="s">
        <v>5510</v>
      </c>
      <c r="BH403" s="480">
        <v>41</v>
      </c>
      <c r="BI403" s="536" t="s">
        <v>94</v>
      </c>
      <c r="BJ403" s="680" t="str" cm="1">
        <f t="array" aca="1" ref="BJ403" ca="1">IF(INDIRECT($BI$2&amp;BJ$395&amp;$BH403)="","",INDIRECT($BI$2&amp;BJ$395&amp;$BH403))</f>
        <v/>
      </c>
      <c r="BK403" s="680" t="str" cm="1">
        <f t="array" aca="1" ref="BK403" ca="1">IF(INDIRECT($BI$2&amp;BK$395&amp;$BH403)="","",INDIRECT($BI$2&amp;BK$395&amp;$BH403))</f>
        <v/>
      </c>
      <c r="BL403" s="681" t="str" cm="1">
        <f t="array" aca="1" ref="BL403" ca="1">IF(INDIRECT($BI$2&amp;BL$395&amp;$BH403)="","",INDIRECT($BI$2&amp;BL$395&amp;$BH403))</f>
        <v/>
      </c>
      <c r="BM403" s="681" t="str" cm="1">
        <f t="array" aca="1" ref="BM403" ca="1">IF(INDIRECT($BI$2&amp;BM$395&amp;$BH403)="","",INDIRECT($BI$2&amp;BM$395&amp;$BH403))</f>
        <v/>
      </c>
      <c r="BN403" s="682" t="str" cm="1">
        <f t="array" aca="1" ref="BN403" ca="1">IF(INDIRECT($BI$2&amp;BN$395&amp;$BH403)="","",INDIRECT($BI$2&amp;BN$395&amp;$BH403))</f>
        <v/>
      </c>
      <c r="BO403" s="682" t="str" cm="1">
        <f t="array" aca="1" ref="BO403" ca="1">IF(INDIRECT($BI$2&amp;BO$395&amp;$BH403)="","",INDIRECT($BI$2&amp;BO$395&amp;$BH403))</f>
        <v/>
      </c>
      <c r="BP403" s="624" t="str" cm="1">
        <f t="array" aca="1" ref="BP403" ca="1">IF(INDIRECT($BI$2&amp;BP$395&amp;$BH403)="","",INDIRECT($BI$2&amp;BP$395&amp;$BH403))</f>
        <v/>
      </c>
      <c r="BQ403" s="624" t="str" cm="1">
        <f t="array" aca="1" ref="BQ403" ca="1">IF(INDIRECT($BI$2&amp;BQ$395&amp;$BH403)="","",INDIRECT($BI$2&amp;BQ$395&amp;$BH403))</f>
        <v/>
      </c>
      <c r="BT403" s="536" t="s">
        <v>94</v>
      </c>
      <c r="BU403" s="683" t="str" cm="1">
        <f t="array" aca="1" ref="BU403" ca="1">IF(INDIRECT($BI$2&amp;BU$395&amp;$BH403)="","",INDIRECT($BI$2&amp;BU$395&amp;$BH403))</f>
        <v/>
      </c>
      <c r="BV403" s="683" t="str" cm="1">
        <f t="array" aca="1" ref="BV403" ca="1">IF(INDIRECT($BI$2&amp;BV$395&amp;$BH403)="","",INDIRECT($BI$2&amp;BV$395&amp;$BH403))</f>
        <v/>
      </c>
      <c r="BW403" s="684" t="str" cm="1">
        <f t="array" aca="1" ref="BW403" ca="1">IF(INDIRECT($BI$2&amp;BW$395&amp;$BH403)="","",INDIRECT($BI$2&amp;BW$395&amp;$BH403))</f>
        <v/>
      </c>
      <c r="BX403" s="684" t="str" cm="1">
        <f t="array" aca="1" ref="BX403" ca="1">IF(INDIRECT($BI$2&amp;BX$395&amp;$BH403)="","",INDIRECT($BI$2&amp;BX$395&amp;$BH403))</f>
        <v/>
      </c>
      <c r="BY403" s="685" t="str" cm="1">
        <f t="array" aca="1" ref="BY403" ca="1">IF(INDIRECT($BI$2&amp;BY$395&amp;$BH403)="","",INDIRECT($BI$2&amp;BY$395&amp;$BH403))</f>
        <v/>
      </c>
      <c r="BZ403" s="685" t="str" cm="1">
        <f t="array" aca="1" ref="BZ403" ca="1">IF(INDIRECT($BI$2&amp;BZ$395&amp;$BH403)="","",INDIRECT($BI$2&amp;BZ$395&amp;$BH403))</f>
        <v/>
      </c>
      <c r="CA403" s="686" t="str" cm="1">
        <f t="array" aca="1" ref="CA403" ca="1">IF(INDIRECT($BI$2&amp;CA$395&amp;$BH403)="","",INDIRECT($BI$2&amp;CA$395&amp;$BH403))</f>
        <v/>
      </c>
      <c r="CB403" s="686" t="str" cm="1">
        <f t="array" aca="1" ref="CB403" ca="1">IF(INDIRECT($BI$2&amp;CB$395&amp;$BH403)="","",INDIRECT($BI$2&amp;CB$395&amp;$BH403))</f>
        <v/>
      </c>
      <c r="CU403" s="469" t="s">
        <v>5510</v>
      </c>
    </row>
    <row r="404" spans="1:99" x14ac:dyDescent="0.25">
      <c r="A404" s="667">
        <f ca="1"/>
        <v>1</v>
      </c>
      <c r="B404" s="666" t="str">
        <f ca="1"/>
        <v>Cromafenozida</v>
      </c>
      <c r="BF404" s="469" t="s">
        <v>5510</v>
      </c>
      <c r="BH404" s="480">
        <v>42</v>
      </c>
      <c r="BI404" s="536" t="s">
        <v>95</v>
      </c>
      <c r="BJ404" s="680" t="str" cm="1">
        <f t="array" aca="1" ref="BJ404" ca="1">IF(INDIRECT($BI$2&amp;BJ$395&amp;$BH404)="","",INDIRECT($BI$2&amp;BJ$395&amp;$BH404))</f>
        <v/>
      </c>
      <c r="BK404" s="680" t="str" cm="1">
        <f t="array" aca="1" ref="BK404" ca="1">IF(INDIRECT($BI$2&amp;BK$395&amp;$BH404)="","",INDIRECT($BI$2&amp;BK$395&amp;$BH404))</f>
        <v/>
      </c>
      <c r="BL404" s="681" t="str" cm="1">
        <f t="array" aca="1" ref="BL404" ca="1">IF(INDIRECT($BI$2&amp;BL$395&amp;$BH404)="","",INDIRECT($BI$2&amp;BL$395&amp;$BH404))</f>
        <v/>
      </c>
      <c r="BM404" s="681" t="str" cm="1">
        <f t="array" aca="1" ref="BM404" ca="1">IF(INDIRECT($BI$2&amp;BM$395&amp;$BH404)="","",INDIRECT($BI$2&amp;BM$395&amp;$BH404))</f>
        <v/>
      </c>
      <c r="BN404" s="682" t="str" cm="1">
        <f t="array" aca="1" ref="BN404" ca="1">IF(INDIRECT($BI$2&amp;BN$395&amp;$BH404)="","",INDIRECT($BI$2&amp;BN$395&amp;$BH404))</f>
        <v/>
      </c>
      <c r="BO404" s="682" t="str" cm="1">
        <f t="array" aca="1" ref="BO404" ca="1">IF(INDIRECT($BI$2&amp;BO$395&amp;$BH404)="","",INDIRECT($BI$2&amp;BO$395&amp;$BH404))</f>
        <v/>
      </c>
      <c r="BP404" s="624" t="str" cm="1">
        <f t="array" aca="1" ref="BP404" ca="1">IF(INDIRECT($BI$2&amp;BP$395&amp;$BH404)="","",INDIRECT($BI$2&amp;BP$395&amp;$BH404))</f>
        <v/>
      </c>
      <c r="BQ404" s="624" t="str" cm="1">
        <f t="array" aca="1" ref="BQ404" ca="1">IF(INDIRECT($BI$2&amp;BQ$395&amp;$BH404)="","",INDIRECT($BI$2&amp;BQ$395&amp;$BH404))</f>
        <v/>
      </c>
      <c r="BT404" s="536" t="s">
        <v>95</v>
      </c>
      <c r="BU404" s="683" t="str" cm="1">
        <f t="array" aca="1" ref="BU404" ca="1">IF(INDIRECT($BI$2&amp;BU$395&amp;$BH404)="","",INDIRECT($BI$2&amp;BU$395&amp;$BH404))</f>
        <v/>
      </c>
      <c r="BV404" s="683" t="str" cm="1">
        <f t="array" aca="1" ref="BV404" ca="1">IF(INDIRECT($BI$2&amp;BV$395&amp;$BH404)="","",INDIRECT($BI$2&amp;BV$395&amp;$BH404))</f>
        <v/>
      </c>
      <c r="BW404" s="684" t="str" cm="1">
        <f t="array" aca="1" ref="BW404" ca="1">IF(INDIRECT($BI$2&amp;BW$395&amp;$BH404)="","",INDIRECT($BI$2&amp;BW$395&amp;$BH404))</f>
        <v/>
      </c>
      <c r="BX404" s="684" t="str" cm="1">
        <f t="array" aca="1" ref="BX404" ca="1">IF(INDIRECT($BI$2&amp;BX$395&amp;$BH404)="","",INDIRECT($BI$2&amp;BX$395&amp;$BH404))</f>
        <v/>
      </c>
      <c r="BY404" s="685" t="str" cm="1">
        <f t="array" aca="1" ref="BY404" ca="1">IF(INDIRECT($BI$2&amp;BY$395&amp;$BH404)="","",INDIRECT($BI$2&amp;BY$395&amp;$BH404))</f>
        <v/>
      </c>
      <c r="BZ404" s="685" t="str" cm="1">
        <f t="array" aca="1" ref="BZ404" ca="1">IF(INDIRECT($BI$2&amp;BZ$395&amp;$BH404)="","",INDIRECT($BI$2&amp;BZ$395&amp;$BH404))</f>
        <v/>
      </c>
      <c r="CA404" s="686" t="str" cm="1">
        <f t="array" aca="1" ref="CA404" ca="1">IF(INDIRECT($BI$2&amp;CA$395&amp;$BH404)="","",INDIRECT($BI$2&amp;CA$395&amp;$BH404))</f>
        <v/>
      </c>
      <c r="CB404" s="686" t="str" cm="1">
        <f t="array" aca="1" ref="CB404" ca="1">IF(INDIRECT($BI$2&amp;CB$395&amp;$BH404)="","",INDIRECT($BI$2&amp;CB$395&amp;$BH404))</f>
        <v/>
      </c>
      <c r="CU404" s="469" t="s">
        <v>5510</v>
      </c>
    </row>
    <row r="405" spans="1:99" x14ac:dyDescent="0.25">
      <c r="A405" s="667">
        <f ca="1"/>
        <v>1</v>
      </c>
      <c r="B405" s="666" t="str">
        <f ca="1"/>
        <v>Clodinafope</v>
      </c>
      <c r="BF405" s="469" t="s">
        <v>5510</v>
      </c>
      <c r="BH405" s="480">
        <v>43</v>
      </c>
      <c r="BI405" s="536" t="s">
        <v>96</v>
      </c>
      <c r="BJ405" s="680" t="str" cm="1">
        <f t="array" aca="1" ref="BJ405" ca="1">IF(INDIRECT($BI$2&amp;BJ$395&amp;$BH405)="","",INDIRECT($BI$2&amp;BJ$395&amp;$BH405))</f>
        <v/>
      </c>
      <c r="BK405" s="680" t="str" cm="1">
        <f t="array" aca="1" ref="BK405" ca="1">IF(INDIRECT($BI$2&amp;BK$395&amp;$BH405)="","",INDIRECT($BI$2&amp;BK$395&amp;$BH405))</f>
        <v/>
      </c>
      <c r="BL405" s="681" t="str" cm="1">
        <f t="array" aca="1" ref="BL405" ca="1">IF(INDIRECT($BI$2&amp;BL$395&amp;$BH405)="","",INDIRECT($BI$2&amp;BL$395&amp;$BH405))</f>
        <v/>
      </c>
      <c r="BM405" s="681" t="str" cm="1">
        <f t="array" aca="1" ref="BM405" ca="1">IF(INDIRECT($BI$2&amp;BM$395&amp;$BH405)="","",INDIRECT($BI$2&amp;BM$395&amp;$BH405))</f>
        <v/>
      </c>
      <c r="BN405" s="682" t="str" cm="1">
        <f t="array" aca="1" ref="BN405" ca="1">IF(INDIRECT($BI$2&amp;BN$395&amp;$BH405)="","",INDIRECT($BI$2&amp;BN$395&amp;$BH405))</f>
        <v/>
      </c>
      <c r="BO405" s="682" t="str" cm="1">
        <f t="array" aca="1" ref="BO405" ca="1">IF(INDIRECT($BI$2&amp;BO$395&amp;$BH405)="","",INDIRECT($BI$2&amp;BO$395&amp;$BH405))</f>
        <v/>
      </c>
      <c r="BP405" s="624" t="str" cm="1">
        <f t="array" aca="1" ref="BP405" ca="1">IF(INDIRECT($BI$2&amp;BP$395&amp;$BH405)="","",INDIRECT($BI$2&amp;BP$395&amp;$BH405))</f>
        <v/>
      </c>
      <c r="BQ405" s="624" t="str" cm="1">
        <f t="array" aca="1" ref="BQ405" ca="1">IF(INDIRECT($BI$2&amp;BQ$395&amp;$BH405)="","",INDIRECT($BI$2&amp;BQ$395&amp;$BH405))</f>
        <v/>
      </c>
      <c r="BT405" s="536" t="s">
        <v>96</v>
      </c>
      <c r="BU405" s="683" t="str" cm="1">
        <f t="array" aca="1" ref="BU405" ca="1">IF(INDIRECT($BI$2&amp;BU$395&amp;$BH405)="","",INDIRECT($BI$2&amp;BU$395&amp;$BH405))</f>
        <v/>
      </c>
      <c r="BV405" s="683" t="str" cm="1">
        <f t="array" aca="1" ref="BV405" ca="1">IF(INDIRECT($BI$2&amp;BV$395&amp;$BH405)="","",INDIRECT($BI$2&amp;BV$395&amp;$BH405))</f>
        <v/>
      </c>
      <c r="BW405" s="684" t="str" cm="1">
        <f t="array" aca="1" ref="BW405" ca="1">IF(INDIRECT($BI$2&amp;BW$395&amp;$BH405)="","",INDIRECT($BI$2&amp;BW$395&amp;$BH405))</f>
        <v/>
      </c>
      <c r="BX405" s="684" t="str" cm="1">
        <f t="array" aca="1" ref="BX405" ca="1">IF(INDIRECT($BI$2&amp;BX$395&amp;$BH405)="","",INDIRECT($BI$2&amp;BX$395&amp;$BH405))</f>
        <v/>
      </c>
      <c r="BY405" s="685" t="str" cm="1">
        <f t="array" aca="1" ref="BY405" ca="1">IF(INDIRECT($BI$2&amp;BY$395&amp;$BH405)="","",INDIRECT($BI$2&amp;BY$395&amp;$BH405))</f>
        <v/>
      </c>
      <c r="BZ405" s="685" t="str" cm="1">
        <f t="array" aca="1" ref="BZ405" ca="1">IF(INDIRECT($BI$2&amp;BZ$395&amp;$BH405)="","",INDIRECT($BI$2&amp;BZ$395&amp;$BH405))</f>
        <v/>
      </c>
      <c r="CA405" s="686" t="str" cm="1">
        <f t="array" aca="1" ref="CA405" ca="1">IF(INDIRECT($BI$2&amp;CA$395&amp;$BH405)="","",INDIRECT($BI$2&amp;CA$395&amp;$BH405))</f>
        <v/>
      </c>
      <c r="CB405" s="686" t="str" cm="1">
        <f t="array" aca="1" ref="CB405" ca="1">IF(INDIRECT($BI$2&amp;CB$395&amp;$BH405)="","",INDIRECT($BI$2&amp;CB$395&amp;$BH405))</f>
        <v/>
      </c>
      <c r="CU405" s="469" t="s">
        <v>5510</v>
      </c>
    </row>
    <row r="406" spans="1:99" x14ac:dyDescent="0.25">
      <c r="A406" s="667">
        <f ca="1"/>
        <v>1</v>
      </c>
      <c r="B406" s="666" t="str">
        <f ca="1"/>
        <v>Clodinafope-propargil</v>
      </c>
      <c r="BF406" s="469" t="s">
        <v>5510</v>
      </c>
      <c r="BH406" s="480">
        <v>44</v>
      </c>
      <c r="BI406" s="536" t="s">
        <v>97</v>
      </c>
      <c r="BJ406" s="680" t="str" cm="1">
        <f t="array" aca="1" ref="BJ406" ca="1">IF(INDIRECT($BI$2&amp;BJ$395&amp;$BH406)="","",INDIRECT($BI$2&amp;BJ$395&amp;$BH406))</f>
        <v/>
      </c>
      <c r="BK406" s="680" t="str" cm="1">
        <f t="array" aca="1" ref="BK406" ca="1">IF(INDIRECT($BI$2&amp;BK$395&amp;$BH406)="","",INDIRECT($BI$2&amp;BK$395&amp;$BH406))</f>
        <v/>
      </c>
      <c r="BL406" s="681" t="str" cm="1">
        <f t="array" aca="1" ref="BL406" ca="1">IF(INDIRECT($BI$2&amp;BL$395&amp;$BH406)="","",INDIRECT($BI$2&amp;BL$395&amp;$BH406))</f>
        <v/>
      </c>
      <c r="BM406" s="681" t="str" cm="1">
        <f t="array" aca="1" ref="BM406" ca="1">IF(INDIRECT($BI$2&amp;BM$395&amp;$BH406)="","",INDIRECT($BI$2&amp;BM$395&amp;$BH406))</f>
        <v/>
      </c>
      <c r="BN406" s="682" t="str" cm="1">
        <f t="array" aca="1" ref="BN406" ca="1">IF(INDIRECT($BI$2&amp;BN$395&amp;$BH406)="","",INDIRECT($BI$2&amp;BN$395&amp;$BH406))</f>
        <v/>
      </c>
      <c r="BO406" s="682" t="str" cm="1">
        <f t="array" aca="1" ref="BO406" ca="1">IF(INDIRECT($BI$2&amp;BO$395&amp;$BH406)="","",INDIRECT($BI$2&amp;BO$395&amp;$BH406))</f>
        <v/>
      </c>
      <c r="BP406" s="624" t="str" cm="1">
        <f t="array" aca="1" ref="BP406" ca="1">IF(INDIRECT($BI$2&amp;BP$395&amp;$BH406)="","",INDIRECT($BI$2&amp;BP$395&amp;$BH406))</f>
        <v/>
      </c>
      <c r="BQ406" s="624" t="str" cm="1">
        <f t="array" aca="1" ref="BQ406" ca="1">IF(INDIRECT($BI$2&amp;BQ$395&amp;$BH406)="","",INDIRECT($BI$2&amp;BQ$395&amp;$BH406))</f>
        <v/>
      </c>
      <c r="BT406" s="536" t="s">
        <v>97</v>
      </c>
      <c r="BU406" s="683" t="str" cm="1">
        <f t="array" aca="1" ref="BU406" ca="1">IF(INDIRECT($BI$2&amp;BU$395&amp;$BH406)="","",INDIRECT($BI$2&amp;BU$395&amp;$BH406))</f>
        <v/>
      </c>
      <c r="BV406" s="683" t="str" cm="1">
        <f t="array" aca="1" ref="BV406" ca="1">IF(INDIRECT($BI$2&amp;BV$395&amp;$BH406)="","",INDIRECT($BI$2&amp;BV$395&amp;$BH406))</f>
        <v/>
      </c>
      <c r="BW406" s="684" t="str" cm="1">
        <f t="array" aca="1" ref="BW406" ca="1">IF(INDIRECT($BI$2&amp;BW$395&amp;$BH406)="","",INDIRECT($BI$2&amp;BW$395&amp;$BH406))</f>
        <v/>
      </c>
      <c r="BX406" s="684" t="str" cm="1">
        <f t="array" aca="1" ref="BX406" ca="1">IF(INDIRECT($BI$2&amp;BX$395&amp;$BH406)="","",INDIRECT($BI$2&amp;BX$395&amp;$BH406))</f>
        <v/>
      </c>
      <c r="BY406" s="685" t="str" cm="1">
        <f t="array" aca="1" ref="BY406" ca="1">IF(INDIRECT($BI$2&amp;BY$395&amp;$BH406)="","",INDIRECT($BI$2&amp;BY$395&amp;$BH406))</f>
        <v/>
      </c>
      <c r="BZ406" s="685" t="str" cm="1">
        <f t="array" aca="1" ref="BZ406" ca="1">IF(INDIRECT($BI$2&amp;BZ$395&amp;$BH406)="","",INDIRECT($BI$2&amp;BZ$395&amp;$BH406))</f>
        <v/>
      </c>
      <c r="CA406" s="686" t="str" cm="1">
        <f t="array" aca="1" ref="CA406" ca="1">IF(INDIRECT($BI$2&amp;CA$395&amp;$BH406)="","",INDIRECT($BI$2&amp;CA$395&amp;$BH406))</f>
        <v/>
      </c>
      <c r="CB406" s="686" t="str" cm="1">
        <f t="array" aca="1" ref="CB406" ca="1">IF(INDIRECT($BI$2&amp;CB$395&amp;$BH406)="","",INDIRECT($BI$2&amp;CB$395&amp;$BH406))</f>
        <v/>
      </c>
      <c r="CU406" s="469" t="s">
        <v>5510</v>
      </c>
    </row>
    <row r="407" spans="1:99" x14ac:dyDescent="0.25">
      <c r="A407" s="667">
        <f ca="1"/>
        <v>1</v>
      </c>
      <c r="B407" s="666" t="str">
        <f ca="1"/>
        <v>Cuelure</v>
      </c>
      <c r="BF407" s="469" t="s">
        <v>5510</v>
      </c>
      <c r="BH407" s="480">
        <v>45</v>
      </c>
      <c r="BI407" s="536" t="s">
        <v>98</v>
      </c>
      <c r="BJ407" s="680" t="str" cm="1">
        <f t="array" aca="1" ref="BJ407" ca="1">IF(INDIRECT($BI$2&amp;BJ$395&amp;$BH407)="","",INDIRECT($BI$2&amp;BJ$395&amp;$BH407))</f>
        <v/>
      </c>
      <c r="BK407" s="680" t="str" cm="1">
        <f t="array" aca="1" ref="BK407" ca="1">IF(INDIRECT($BI$2&amp;BK$395&amp;$BH407)="","",INDIRECT($BI$2&amp;BK$395&amp;$BH407))</f>
        <v/>
      </c>
      <c r="BL407" s="681" t="str" cm="1">
        <f t="array" aca="1" ref="BL407" ca="1">IF(INDIRECT($BI$2&amp;BL$395&amp;$BH407)="","",INDIRECT($BI$2&amp;BL$395&amp;$BH407))</f>
        <v/>
      </c>
      <c r="BM407" s="681" t="str" cm="1">
        <f t="array" aca="1" ref="BM407" ca="1">IF(INDIRECT($BI$2&amp;BM$395&amp;$BH407)="","",INDIRECT($BI$2&amp;BM$395&amp;$BH407))</f>
        <v/>
      </c>
      <c r="BN407" s="682" t="str" cm="1">
        <f t="array" aca="1" ref="BN407" ca="1">IF(INDIRECT($BI$2&amp;BN$395&amp;$BH407)="","",INDIRECT($BI$2&amp;BN$395&amp;$BH407))</f>
        <v/>
      </c>
      <c r="BO407" s="682" t="str" cm="1">
        <f t="array" aca="1" ref="BO407" ca="1">IF(INDIRECT($BI$2&amp;BO$395&amp;$BH407)="","",INDIRECT($BI$2&amp;BO$395&amp;$BH407))</f>
        <v/>
      </c>
      <c r="BP407" s="624" t="str" cm="1">
        <f t="array" aca="1" ref="BP407" ca="1">IF(INDIRECT($BI$2&amp;BP$395&amp;$BH407)="","",INDIRECT($BI$2&amp;BP$395&amp;$BH407))</f>
        <v/>
      </c>
      <c r="BQ407" s="624" t="str" cm="1">
        <f t="array" aca="1" ref="BQ407" ca="1">IF(INDIRECT($BI$2&amp;BQ$395&amp;$BH407)="","",INDIRECT($BI$2&amp;BQ$395&amp;$BH407))</f>
        <v/>
      </c>
      <c r="BT407" s="536" t="s">
        <v>98</v>
      </c>
      <c r="BU407" s="683" t="str" cm="1">
        <f t="array" aca="1" ref="BU407" ca="1">IF(INDIRECT($BI$2&amp;BU$395&amp;$BH407)="","",INDIRECT($BI$2&amp;BU$395&amp;$BH407))</f>
        <v/>
      </c>
      <c r="BV407" s="683" t="str" cm="1">
        <f t="array" aca="1" ref="BV407" ca="1">IF(INDIRECT($BI$2&amp;BV$395&amp;$BH407)="","",INDIRECT($BI$2&amp;BV$395&amp;$BH407))</f>
        <v/>
      </c>
      <c r="BW407" s="684" t="str" cm="1">
        <f t="array" aca="1" ref="BW407" ca="1">IF(INDIRECT($BI$2&amp;BW$395&amp;$BH407)="","",INDIRECT($BI$2&amp;BW$395&amp;$BH407))</f>
        <v/>
      </c>
      <c r="BX407" s="684" t="str" cm="1">
        <f t="array" aca="1" ref="BX407" ca="1">IF(INDIRECT($BI$2&amp;BX$395&amp;$BH407)="","",INDIRECT($BI$2&amp;BX$395&amp;$BH407))</f>
        <v/>
      </c>
      <c r="BY407" s="685" t="str" cm="1">
        <f t="array" aca="1" ref="BY407" ca="1">IF(INDIRECT($BI$2&amp;BY$395&amp;$BH407)="","",INDIRECT($BI$2&amp;BY$395&amp;$BH407))</f>
        <v/>
      </c>
      <c r="BZ407" s="685" t="str" cm="1">
        <f t="array" aca="1" ref="BZ407" ca="1">IF(INDIRECT($BI$2&amp;BZ$395&amp;$BH407)="","",INDIRECT($BI$2&amp;BZ$395&amp;$BH407))</f>
        <v/>
      </c>
      <c r="CA407" s="686" t="str" cm="1">
        <f t="array" aca="1" ref="CA407" ca="1">IF(INDIRECT($BI$2&amp;CA$395&amp;$BH407)="","",INDIRECT($BI$2&amp;CA$395&amp;$BH407))</f>
        <v/>
      </c>
      <c r="CB407" s="686" t="str" cm="1">
        <f t="array" aca="1" ref="CB407" ca="1">IF(INDIRECT($BI$2&amp;CB$395&amp;$BH407)="","",INDIRECT($BI$2&amp;CB$395&amp;$BH407))</f>
        <v/>
      </c>
      <c r="CU407" s="469" t="s">
        <v>5510</v>
      </c>
    </row>
    <row r="408" spans="1:99" x14ac:dyDescent="0.25">
      <c r="A408" s="667">
        <f ca="1"/>
        <v>1</v>
      </c>
      <c r="B408" s="666" t="str">
        <f ca="1"/>
        <v>Clorantraniliprole</v>
      </c>
      <c r="BF408" s="469" t="s">
        <v>5510</v>
      </c>
      <c r="BH408" s="480">
        <v>46</v>
      </c>
      <c r="BI408" s="536" t="s">
        <v>99</v>
      </c>
      <c r="BJ408" s="680" t="str" cm="1">
        <f t="array" aca="1" ref="BJ408" ca="1">IF(INDIRECT($BI$2&amp;BJ$395&amp;$BH408)="","",INDIRECT($BI$2&amp;BJ$395&amp;$BH408))</f>
        <v/>
      </c>
      <c r="BK408" s="680" t="str" cm="1">
        <f t="array" aca="1" ref="BK408" ca="1">IF(INDIRECT($BI$2&amp;BK$395&amp;$BH408)="","",INDIRECT($BI$2&amp;BK$395&amp;$BH408))</f>
        <v/>
      </c>
      <c r="BL408" s="681" t="str" cm="1">
        <f t="array" aca="1" ref="BL408" ca="1">IF(INDIRECT($BI$2&amp;BL$395&amp;$BH408)="","",INDIRECT($BI$2&amp;BL$395&amp;$BH408))</f>
        <v/>
      </c>
      <c r="BM408" s="681" t="str" cm="1">
        <f t="array" aca="1" ref="BM408" ca="1">IF(INDIRECT($BI$2&amp;BM$395&amp;$BH408)="","",INDIRECT($BI$2&amp;BM$395&amp;$BH408))</f>
        <v/>
      </c>
      <c r="BN408" s="682" t="str" cm="1">
        <f t="array" aca="1" ref="BN408" ca="1">IF(INDIRECT($BI$2&amp;BN$395&amp;$BH408)="","",INDIRECT($BI$2&amp;BN$395&amp;$BH408))</f>
        <v/>
      </c>
      <c r="BO408" s="682" t="str" cm="1">
        <f t="array" aca="1" ref="BO408" ca="1">IF(INDIRECT($BI$2&amp;BO$395&amp;$BH408)="","",INDIRECT($BI$2&amp;BO$395&amp;$BH408))</f>
        <v/>
      </c>
      <c r="BP408" s="624" t="str" cm="1">
        <f t="array" aca="1" ref="BP408" ca="1">IF(INDIRECT($BI$2&amp;BP$395&amp;$BH408)="","",INDIRECT($BI$2&amp;BP$395&amp;$BH408))</f>
        <v/>
      </c>
      <c r="BQ408" s="624" t="str" cm="1">
        <f t="array" aca="1" ref="BQ408" ca="1">IF(INDIRECT($BI$2&amp;BQ$395&amp;$BH408)="","",INDIRECT($BI$2&amp;BQ$395&amp;$BH408))</f>
        <v/>
      </c>
      <c r="BT408" s="536" t="s">
        <v>99</v>
      </c>
      <c r="BU408" s="683" t="str" cm="1">
        <f t="array" aca="1" ref="BU408" ca="1">IF(INDIRECT($BI$2&amp;BU$395&amp;$BH408)="","",INDIRECT($BI$2&amp;BU$395&amp;$BH408))</f>
        <v/>
      </c>
      <c r="BV408" s="683" t="str" cm="1">
        <f t="array" aca="1" ref="BV408" ca="1">IF(INDIRECT($BI$2&amp;BV$395&amp;$BH408)="","",INDIRECT($BI$2&amp;BV$395&amp;$BH408))</f>
        <v/>
      </c>
      <c r="BW408" s="684" t="str" cm="1">
        <f t="array" aca="1" ref="BW408" ca="1">IF(INDIRECT($BI$2&amp;BW$395&amp;$BH408)="","",INDIRECT($BI$2&amp;BW$395&amp;$BH408))</f>
        <v/>
      </c>
      <c r="BX408" s="684" t="str" cm="1">
        <f t="array" aca="1" ref="BX408" ca="1">IF(INDIRECT($BI$2&amp;BX$395&amp;$BH408)="","",INDIRECT($BI$2&amp;BX$395&amp;$BH408))</f>
        <v/>
      </c>
      <c r="BY408" s="685" t="str" cm="1">
        <f t="array" aca="1" ref="BY408" ca="1">IF(INDIRECT($BI$2&amp;BY$395&amp;$BH408)="","",INDIRECT($BI$2&amp;BY$395&amp;$BH408))</f>
        <v/>
      </c>
      <c r="BZ408" s="685" t="str" cm="1">
        <f t="array" aca="1" ref="BZ408" ca="1">IF(INDIRECT($BI$2&amp;BZ$395&amp;$BH408)="","",INDIRECT($BI$2&amp;BZ$395&amp;$BH408))</f>
        <v/>
      </c>
      <c r="CA408" s="686" t="str" cm="1">
        <f t="array" aca="1" ref="CA408" ca="1">IF(INDIRECT($BI$2&amp;CA$395&amp;$BH408)="","",INDIRECT($BI$2&amp;CA$395&amp;$BH408))</f>
        <v/>
      </c>
      <c r="CB408" s="686" t="str" cm="1">
        <f t="array" aca="1" ref="CB408" ca="1">IF(INDIRECT($BI$2&amp;CB$395&amp;$BH408)="","",INDIRECT($BI$2&amp;CB$395&amp;$BH408))</f>
        <v/>
      </c>
      <c r="CU408" s="469" t="s">
        <v>5510</v>
      </c>
    </row>
    <row r="409" spans="1:99" x14ac:dyDescent="0.25">
      <c r="A409" s="667">
        <f ca="1"/>
        <v>1</v>
      </c>
      <c r="B409" s="666" t="str">
        <f ca="1"/>
        <v>Cotesia flavipes</v>
      </c>
      <c r="BF409" s="469" t="s">
        <v>5510</v>
      </c>
      <c r="BI409" s="472"/>
      <c r="CU409" s="469" t="s">
        <v>5510</v>
      </c>
    </row>
    <row r="410" spans="1:99" x14ac:dyDescent="0.25">
      <c r="A410" s="667">
        <f ca="1"/>
        <v>1</v>
      </c>
      <c r="B410" s="666" t="str">
        <f ca="1"/>
        <v>Ceratitis capitata</v>
      </c>
      <c r="BF410" s="469" t="s">
        <v>5510</v>
      </c>
      <c r="BI410" s="20"/>
      <c r="BJ410" s="687" t="s">
        <v>8101</v>
      </c>
      <c r="BK410" s="688"/>
      <c r="BL410" s="688"/>
      <c r="BM410" s="689"/>
      <c r="BN410" s="20"/>
      <c r="BO410" s="20"/>
      <c r="BP410" s="20"/>
      <c r="BU410" s="690" t="s">
        <v>8103</v>
      </c>
      <c r="BV410" s="691"/>
      <c r="BW410" s="691"/>
      <c r="BX410" s="692"/>
      <c r="CU410" s="469" t="s">
        <v>5510</v>
      </c>
    </row>
    <row r="411" spans="1:99" x14ac:dyDescent="0.25">
      <c r="A411" s="667">
        <f ca="1"/>
        <v>1</v>
      </c>
      <c r="B411" s="666" t="str">
        <f ca="1"/>
        <v>Ciflumetofem</v>
      </c>
      <c r="BF411" s="469" t="s">
        <v>5510</v>
      </c>
      <c r="BI411" s="372" t="s">
        <v>5802</v>
      </c>
      <c r="BJ411" s="693" t="str">
        <f ca="1">$CQ$11</f>
        <v>-</v>
      </c>
      <c r="BK411" s="694"/>
      <c r="BL411" s="694"/>
      <c r="BM411" s="695"/>
      <c r="BN411" s="696" t="s">
        <v>5741</v>
      </c>
      <c r="BO411" s="484" t="s">
        <v>5741</v>
      </c>
      <c r="BP411" s="484" t="s">
        <v>8104</v>
      </c>
      <c r="BQ411" s="484" t="s">
        <v>8104</v>
      </c>
      <c r="BT411" s="372" t="s">
        <v>5802</v>
      </c>
      <c r="BU411" s="697" t="str">
        <f ca="1">$CQ$11</f>
        <v>-</v>
      </c>
      <c r="BV411" s="694"/>
      <c r="BW411" s="694"/>
      <c r="BX411" s="695"/>
      <c r="BY411" s="696" t="s">
        <v>5741</v>
      </c>
      <c r="BZ411" s="484" t="s">
        <v>5741</v>
      </c>
      <c r="CA411" s="484" t="s">
        <v>8104</v>
      </c>
      <c r="CB411" s="484" t="s">
        <v>8104</v>
      </c>
      <c r="CU411" s="469" t="s">
        <v>5510</v>
      </c>
    </row>
    <row r="412" spans="1:99" x14ac:dyDescent="0.25">
      <c r="A412" s="667">
        <f ca="1"/>
        <v>1</v>
      </c>
      <c r="B412" s="666" t="str">
        <f ca="1"/>
        <v>Ciantraniliprole</v>
      </c>
      <c r="BF412" s="469" t="s">
        <v>5510</v>
      </c>
      <c r="BI412" s="372" t="s">
        <v>8092</v>
      </c>
      <c r="BJ412" s="536" t="s">
        <v>10</v>
      </c>
      <c r="BK412" s="536" t="s">
        <v>10</v>
      </c>
      <c r="BL412" s="536" t="s">
        <v>237</v>
      </c>
      <c r="BM412" s="536" t="s">
        <v>237</v>
      </c>
      <c r="BN412" s="536" t="s">
        <v>10</v>
      </c>
      <c r="BO412" s="536" t="s">
        <v>237</v>
      </c>
      <c r="BP412" s="479" t="s">
        <v>10</v>
      </c>
      <c r="BQ412" s="479" t="s">
        <v>237</v>
      </c>
      <c r="BT412" s="372" t="s">
        <v>8092</v>
      </c>
      <c r="BU412" s="536" t="s">
        <v>10</v>
      </c>
      <c r="BV412" s="536" t="s">
        <v>10</v>
      </c>
      <c r="BW412" s="536" t="s">
        <v>237</v>
      </c>
      <c r="BX412" s="536" t="s">
        <v>237</v>
      </c>
      <c r="BY412" s="536" t="s">
        <v>10</v>
      </c>
      <c r="BZ412" s="536" t="s">
        <v>237</v>
      </c>
      <c r="CA412" s="479" t="s">
        <v>10</v>
      </c>
      <c r="CB412" s="479" t="s">
        <v>237</v>
      </c>
      <c r="CU412" s="469" t="s">
        <v>5510</v>
      </c>
    </row>
    <row r="413" spans="1:99" x14ac:dyDescent="0.25">
      <c r="A413" s="667">
        <f ca="1"/>
        <v>1</v>
      </c>
      <c r="B413" s="666" t="str">
        <f ca="1"/>
        <v>Chrysodeixis includens nucleopolyhedrovirus</v>
      </c>
      <c r="BF413" s="469" t="s">
        <v>5510</v>
      </c>
      <c r="BJ413" s="536" t="s">
        <v>109</v>
      </c>
      <c r="BK413" s="536" t="s">
        <v>110</v>
      </c>
      <c r="BL413" s="536" t="s">
        <v>109</v>
      </c>
      <c r="BM413" s="536" t="s">
        <v>110</v>
      </c>
      <c r="BN413" s="536"/>
      <c r="BO413" s="536"/>
      <c r="BT413" s="372"/>
      <c r="BU413" s="536" t="s">
        <v>109</v>
      </c>
      <c r="BV413" s="536" t="s">
        <v>110</v>
      </c>
      <c r="BW413" s="536" t="s">
        <v>109</v>
      </c>
      <c r="BX413" s="536" t="s">
        <v>110</v>
      </c>
      <c r="BY413" s="536"/>
      <c r="BZ413" s="536"/>
      <c r="CA413" s="372"/>
      <c r="CB413" s="372"/>
      <c r="CU413" s="469" t="s">
        <v>5510</v>
      </c>
    </row>
    <row r="414" spans="1:99" x14ac:dyDescent="0.25">
      <c r="A414" s="667">
        <f ca="1"/>
        <v>1</v>
      </c>
      <c r="B414" s="666" t="str">
        <f ca="1"/>
        <v>CICLANILIPROLE</v>
      </c>
      <c r="BF414" s="469" t="s">
        <v>5510</v>
      </c>
      <c r="BI414" s="536" t="s">
        <v>90</v>
      </c>
      <c r="BJ414" s="680" t="str">
        <f t="shared" ref="BJ414:BJ423" ca="1" si="193">IF($BJ$411="-","",IF($BJ$411=$BJ$396,BJ399,BN399))</f>
        <v/>
      </c>
      <c r="BK414" s="680" t="str">
        <f t="shared" ref="BK414:BK423" ca="1" si="194">IF($BJ$411="-","",IF($BJ$411=$BJ$396,BK399,BO399))</f>
        <v/>
      </c>
      <c r="BL414" s="681" t="str">
        <f t="shared" ref="BL414:BL423" ca="1" si="195">IF($BJ$411="-","",IF($BJ$411=$BJ$396,BL399,BP399))</f>
        <v/>
      </c>
      <c r="BM414" s="681" t="str">
        <f t="shared" ref="BM414:BM423" ca="1" si="196">IF($BJ$411="-","",IF($BJ$411=$BJ$396,BM399,BQ399))</f>
        <v/>
      </c>
      <c r="BN414" s="681" t="str" cm="1">
        <f t="array" aca="1" ref="BN414" ca="1">IF(INDIRECT($BI$345&amp;BJ381)&lt;&gt;0,INDIRECT($BI$345&amp;BJ381),"")</f>
        <v/>
      </c>
      <c r="BO414" s="681" t="str" cm="1">
        <f t="array" aca="1" ref="BO414" ca="1">IF(INDIRECT($BI$345&amp;BK381)&lt;&gt;0,INDIRECT($BI$345&amp;BK381),"")</f>
        <v/>
      </c>
      <c r="BP414" s="698" t="str">
        <f ca="1">IF(BN414="","",
IF(BJ414="",3,IF(BN414&lt;BJ414,1,IF(BN414&gt;BK414,2,0)))
)</f>
        <v/>
      </c>
      <c r="BQ414" s="698" t="str">
        <f ca="1">IF(BO414="","",
IF(BL414="",3,IF(BO414&lt;BL414,1,IF(BO414&gt;BM414,2,0)))
)</f>
        <v/>
      </c>
      <c r="BT414" s="536" t="s">
        <v>90</v>
      </c>
      <c r="BU414" s="680" t="str">
        <f ca="1">IF($BU$411="-","",IF($BU$411=$BU$396,BU399,BY399))</f>
        <v/>
      </c>
      <c r="BV414" s="680" t="str">
        <f ca="1">IF($BU$411="-","",IF($BU$411=$BU$396,BV399,BZ399))</f>
        <v/>
      </c>
      <c r="BW414" s="681" t="str">
        <f ca="1">IF($BU$411="-","",IF($BU$411=$BU$396,BW399,CA399))</f>
        <v/>
      </c>
      <c r="BX414" s="681" t="str">
        <f ca="1">IF($BU$411="-","",IF($BU$411=$BU$396,BX399,CB399))</f>
        <v/>
      </c>
      <c r="BY414" s="539" t="str" cm="1">
        <f t="array" aca="1" ref="BY414" ca="1">IF(INDIRECT($BI$345&amp;BL381)&lt;&gt;0,INDIRECT($BI$345&amp;BL381),"")</f>
        <v/>
      </c>
      <c r="BZ414" s="539" t="str" cm="1">
        <f t="array" aca="1" ref="BZ414" ca="1">IF(INDIRECT($BI$345&amp;BM381)&lt;&gt;0,INDIRECT($BI$345&amp;BM381),"")</f>
        <v/>
      </c>
      <c r="CA414" s="698" t="str">
        <f ca="1">IF(BY414="","",
IF(BU414="",3,IF(BY414&lt;BU414,1,IF(BY414&gt;BV414,2,0)))
)</f>
        <v/>
      </c>
      <c r="CB414" s="698" t="str">
        <f ca="1">IF(BZ414="","",
IF(BW414="",3,IF(BZ414&lt;BW414,1,IF(BZ414&gt;BX414,2,0)))
)</f>
        <v/>
      </c>
      <c r="CU414" s="469" t="s">
        <v>5510</v>
      </c>
    </row>
    <row r="415" spans="1:99" x14ac:dyDescent="0.25">
      <c r="A415" s="667">
        <f ca="1"/>
        <v>1</v>
      </c>
      <c r="B415" s="666" t="str">
        <f ca="1"/>
        <v>COLECALCIFEROL</v>
      </c>
      <c r="BF415" s="469" t="s">
        <v>5510</v>
      </c>
      <c r="BI415" s="536" t="s">
        <v>91</v>
      </c>
      <c r="BJ415" s="680" t="str">
        <f t="shared" ca="1" si="193"/>
        <v/>
      </c>
      <c r="BK415" s="680" t="str">
        <f t="shared" ca="1" si="194"/>
        <v/>
      </c>
      <c r="BL415" s="681" t="str">
        <f t="shared" ca="1" si="195"/>
        <v/>
      </c>
      <c r="BM415" s="681" t="str">
        <f t="shared" ca="1" si="196"/>
        <v/>
      </c>
      <c r="BN415" s="681" t="str" cm="1">
        <f t="array" aca="1" ref="BN415" ca="1">IF(INDIRECT($BI$345&amp;BJ382)&lt;&gt;0,INDIRECT($BI$345&amp;BJ382),"")</f>
        <v/>
      </c>
      <c r="BO415" s="681" t="str" cm="1">
        <f t="array" aca="1" ref="BO415" ca="1">IF(INDIRECT($BI$345&amp;BK382)&lt;&gt;0,INDIRECT($BI$345&amp;BK382),"")</f>
        <v/>
      </c>
      <c r="BP415" s="698" t="str">
        <f t="shared" ref="BP415:BP423" ca="1" si="197">IF(BN415="","",
IF(BJ415="",3,IF(BN415&lt;BJ415,1,IF(BN415&gt;BK415,2,0)))
)</f>
        <v/>
      </c>
      <c r="BQ415" s="698" t="str">
        <f t="shared" ref="BQ415:BQ423" ca="1" si="198">IF(BO415="","",
IF(BL415="",3,IF(BO415&lt;BL415,1,IF(BO415&gt;BM415,2,0)))
)</f>
        <v/>
      </c>
      <c r="BT415" s="536" t="s">
        <v>91</v>
      </c>
      <c r="BU415" s="680" t="str">
        <f t="shared" ref="BU415:BX415" ca="1" si="199">IF($BU$411="-","",IF($BU$411=$BU$396,BU400,BY400))</f>
        <v/>
      </c>
      <c r="BV415" s="680" t="str">
        <f t="shared" ca="1" si="199"/>
        <v/>
      </c>
      <c r="BW415" s="681" t="str">
        <f t="shared" ca="1" si="199"/>
        <v/>
      </c>
      <c r="BX415" s="681" t="str">
        <f t="shared" ca="1" si="199"/>
        <v/>
      </c>
      <c r="BY415" s="539" t="str" cm="1">
        <f t="array" aca="1" ref="BY415" ca="1">IF(INDIRECT($BI$345&amp;BL382)&lt;&gt;0,INDIRECT($BI$345&amp;BL382),"")</f>
        <v/>
      </c>
      <c r="BZ415" s="539" t="str" cm="1">
        <f t="array" aca="1" ref="BZ415" ca="1">IF(INDIRECT($BI$345&amp;BM382)&lt;&gt;0,INDIRECT($BI$345&amp;BM382),"")</f>
        <v/>
      </c>
      <c r="CA415" s="698" t="str">
        <f t="shared" ref="CA415:CA423" ca="1" si="200">IF(BY415="","",
IF(BU415="",3,IF(BY415&lt;BU415,1,IF(BY415&gt;BV415,2,0)))
)</f>
        <v/>
      </c>
      <c r="CB415" s="698" t="str">
        <f t="shared" ref="CB415:CB423" ca="1" si="201">IF(BZ415="","",
IF(BW415="",3,IF(BZ415&lt;BW415,1,IF(BZ415&gt;BX415,2,0)))
)</f>
        <v/>
      </c>
      <c r="CU415" s="469" t="s">
        <v>5510</v>
      </c>
    </row>
    <row r="416" spans="1:99" x14ac:dyDescent="0.25">
      <c r="A416" s="667">
        <f ca="1"/>
        <v>1</v>
      </c>
      <c r="B416" s="666" t="str">
        <f ca="1"/>
        <v>CATOLACCUS GRANDIS</v>
      </c>
      <c r="BF416" s="469" t="s">
        <v>5510</v>
      </c>
      <c r="BI416" s="536" t="s">
        <v>92</v>
      </c>
      <c r="BJ416" s="680" t="str">
        <f t="shared" ca="1" si="193"/>
        <v/>
      </c>
      <c r="BK416" s="680" t="str">
        <f t="shared" ca="1" si="194"/>
        <v/>
      </c>
      <c r="BL416" s="681" t="str">
        <f t="shared" ca="1" si="195"/>
        <v/>
      </c>
      <c r="BM416" s="681" t="str">
        <f t="shared" ca="1" si="196"/>
        <v/>
      </c>
      <c r="BN416" s="681" t="str" cm="1">
        <f t="array" aca="1" ref="BN416" ca="1">IF(INDIRECT($BI$345&amp;BJ383)&lt;&gt;0,INDIRECT($BI$345&amp;BJ383),"")</f>
        <v/>
      </c>
      <c r="BO416" s="681" t="str" cm="1">
        <f t="array" aca="1" ref="BO416" ca="1">IF(INDIRECT($BI$345&amp;BK383)&lt;&gt;0,INDIRECT($BI$345&amp;BK383),"")</f>
        <v/>
      </c>
      <c r="BP416" s="698" t="str">
        <f t="shared" ca="1" si="197"/>
        <v/>
      </c>
      <c r="BQ416" s="698" t="str">
        <f t="shared" ca="1" si="198"/>
        <v/>
      </c>
      <c r="BT416" s="536" t="s">
        <v>92</v>
      </c>
      <c r="BU416" s="680" t="str">
        <f t="shared" ref="BU416:BX416" ca="1" si="202">IF($BU$411="-","",IF($BU$411=$BU$396,BU401,BY401))</f>
        <v/>
      </c>
      <c r="BV416" s="680" t="str">
        <f t="shared" ca="1" si="202"/>
        <v/>
      </c>
      <c r="BW416" s="681" t="str">
        <f t="shared" ca="1" si="202"/>
        <v/>
      </c>
      <c r="BX416" s="681" t="str">
        <f t="shared" ca="1" si="202"/>
        <v/>
      </c>
      <c r="BY416" s="539" t="str" cm="1">
        <f t="array" aca="1" ref="BY416" ca="1">IF(INDIRECT($BI$345&amp;BL383)&lt;&gt;0,INDIRECT($BI$345&amp;BL383),"")</f>
        <v/>
      </c>
      <c r="BZ416" s="539" t="str" cm="1">
        <f t="array" aca="1" ref="BZ416" ca="1">IF(INDIRECT($BI$345&amp;BM383)&lt;&gt;0,INDIRECT($BI$345&amp;BM383),"")</f>
        <v/>
      </c>
      <c r="CA416" s="698" t="str">
        <f t="shared" ca="1" si="200"/>
        <v/>
      </c>
      <c r="CB416" s="698" t="str">
        <f t="shared" ca="1" si="201"/>
        <v/>
      </c>
      <c r="CU416" s="469" t="s">
        <v>5510</v>
      </c>
    </row>
    <row r="417" spans="1:99" x14ac:dyDescent="0.25">
      <c r="A417" s="667">
        <f ca="1"/>
        <v>1</v>
      </c>
      <c r="B417" s="666" t="str">
        <f ca="1"/>
        <v>CINNAMOMUM VERUM</v>
      </c>
      <c r="BF417" s="469" t="s">
        <v>5510</v>
      </c>
      <c r="BI417" s="536" t="s">
        <v>93</v>
      </c>
      <c r="BJ417" s="680" t="str">
        <f t="shared" ca="1" si="193"/>
        <v/>
      </c>
      <c r="BK417" s="680" t="str">
        <f t="shared" ca="1" si="194"/>
        <v/>
      </c>
      <c r="BL417" s="681" t="str">
        <f t="shared" ca="1" si="195"/>
        <v/>
      </c>
      <c r="BM417" s="681" t="str">
        <f t="shared" ca="1" si="196"/>
        <v/>
      </c>
      <c r="BN417" s="681" t="str" cm="1">
        <f t="array" aca="1" ref="BN417" ca="1">IF(INDIRECT($BI$345&amp;BJ384)&lt;&gt;0,INDIRECT($BI$345&amp;BJ384),"")</f>
        <v/>
      </c>
      <c r="BO417" s="681" t="str" cm="1">
        <f t="array" aca="1" ref="BO417" ca="1">IF(INDIRECT($BI$345&amp;BK384)&lt;&gt;0,INDIRECT($BI$345&amp;BK384),"")</f>
        <v/>
      </c>
      <c r="BP417" s="698" t="str">
        <f t="shared" ca="1" si="197"/>
        <v/>
      </c>
      <c r="BQ417" s="698" t="str">
        <f t="shared" ca="1" si="198"/>
        <v/>
      </c>
      <c r="BT417" s="536" t="s">
        <v>93</v>
      </c>
      <c r="BU417" s="680" t="str">
        <f t="shared" ref="BU417:BX417" ca="1" si="203">IF($BU$411="-","",IF($BU$411=$BU$396,BU402,BY402))</f>
        <v/>
      </c>
      <c r="BV417" s="680" t="str">
        <f t="shared" ca="1" si="203"/>
        <v/>
      </c>
      <c r="BW417" s="681" t="str">
        <f t="shared" ca="1" si="203"/>
        <v/>
      </c>
      <c r="BX417" s="681" t="str">
        <f t="shared" ca="1" si="203"/>
        <v/>
      </c>
      <c r="BY417" s="539" t="str" cm="1">
        <f t="array" aca="1" ref="BY417" ca="1">IF(INDIRECT($BI$345&amp;BL384)&lt;&gt;0,INDIRECT($BI$345&amp;BL384),"")</f>
        <v/>
      </c>
      <c r="BZ417" s="539" t="str" cm="1">
        <f t="array" aca="1" ref="BZ417" ca="1">IF(INDIRECT($BI$345&amp;BM384)&lt;&gt;0,INDIRECT($BI$345&amp;BM384),"")</f>
        <v/>
      </c>
      <c r="CA417" s="698" t="str">
        <f t="shared" ca="1" si="200"/>
        <v/>
      </c>
      <c r="CB417" s="698" t="str">
        <f t="shared" ca="1" si="201"/>
        <v/>
      </c>
      <c r="CU417" s="469" t="s">
        <v>5510</v>
      </c>
    </row>
    <row r="418" spans="1:99" x14ac:dyDescent="0.25">
      <c r="A418" s="667">
        <f ca="1"/>
        <v>1</v>
      </c>
      <c r="B418" s="666" t="str">
        <f ca="1"/>
        <v>Dazomete</v>
      </c>
      <c r="BF418" s="469" t="s">
        <v>5510</v>
      </c>
      <c r="BI418" s="536" t="s">
        <v>94</v>
      </c>
      <c r="BJ418" s="680" t="str">
        <f t="shared" ca="1" si="193"/>
        <v/>
      </c>
      <c r="BK418" s="680" t="str">
        <f t="shared" ca="1" si="194"/>
        <v/>
      </c>
      <c r="BL418" s="681" t="str">
        <f t="shared" ca="1" si="195"/>
        <v/>
      </c>
      <c r="BM418" s="681" t="str">
        <f t="shared" ca="1" si="196"/>
        <v/>
      </c>
      <c r="BN418" s="681" t="str" cm="1">
        <f t="array" aca="1" ref="BN418" ca="1">IF(INDIRECT($BI$345&amp;BJ385)&lt;&gt;0,INDIRECT($BI$345&amp;BJ385),"")</f>
        <v/>
      </c>
      <c r="BO418" s="681" t="str" cm="1">
        <f t="array" aca="1" ref="BO418" ca="1">IF(INDIRECT($BI$345&amp;BK385)&lt;&gt;0,INDIRECT($BI$345&amp;BK385),"")</f>
        <v/>
      </c>
      <c r="BP418" s="698" t="str">
        <f t="shared" ca="1" si="197"/>
        <v/>
      </c>
      <c r="BQ418" s="698" t="str">
        <f t="shared" ca="1" si="198"/>
        <v/>
      </c>
      <c r="BT418" s="536" t="s">
        <v>94</v>
      </c>
      <c r="BU418" s="680" t="str">
        <f t="shared" ref="BU418:BX418" ca="1" si="204">IF($BU$411="-","",IF($BU$411=$BU$396,BU403,BY403))</f>
        <v/>
      </c>
      <c r="BV418" s="680" t="str">
        <f t="shared" ca="1" si="204"/>
        <v/>
      </c>
      <c r="BW418" s="681" t="str">
        <f t="shared" ca="1" si="204"/>
        <v/>
      </c>
      <c r="BX418" s="681" t="str">
        <f t="shared" ca="1" si="204"/>
        <v/>
      </c>
      <c r="BY418" s="539" t="str" cm="1">
        <f t="array" aca="1" ref="BY418" ca="1">IF(INDIRECT($BI$345&amp;BL385)&lt;&gt;0,INDIRECT($BI$345&amp;BL385),"")</f>
        <v/>
      </c>
      <c r="BZ418" s="539" t="str" cm="1">
        <f t="array" aca="1" ref="BZ418" ca="1">IF(INDIRECT($BI$345&amp;BM385)&lt;&gt;0,INDIRECT($BI$345&amp;BM385),"")</f>
        <v/>
      </c>
      <c r="CA418" s="698" t="str">
        <f t="shared" ca="1" si="200"/>
        <v/>
      </c>
      <c r="CB418" s="698" t="str">
        <f t="shared" ca="1" si="201"/>
        <v/>
      </c>
      <c r="CU418" s="469" t="s">
        <v>5510</v>
      </c>
    </row>
    <row r="419" spans="1:99" x14ac:dyDescent="0.25">
      <c r="A419" s="667">
        <f ca="1"/>
        <v>1</v>
      </c>
      <c r="B419" s="666" t="str">
        <f ca="1"/>
        <v>Deltametrina</v>
      </c>
      <c r="BF419" s="469" t="s">
        <v>5510</v>
      </c>
      <c r="BI419" s="536" t="s">
        <v>95</v>
      </c>
      <c r="BJ419" s="680" t="str">
        <f t="shared" ca="1" si="193"/>
        <v/>
      </c>
      <c r="BK419" s="680" t="str">
        <f t="shared" ca="1" si="194"/>
        <v/>
      </c>
      <c r="BL419" s="681" t="str">
        <f t="shared" ca="1" si="195"/>
        <v/>
      </c>
      <c r="BM419" s="681" t="str">
        <f t="shared" ca="1" si="196"/>
        <v/>
      </c>
      <c r="BN419" s="681" t="str" cm="1">
        <f t="array" aca="1" ref="BN419" ca="1">IF(INDIRECT($BI$345&amp;BJ386)&lt;&gt;0,INDIRECT($BI$345&amp;BJ386),"")</f>
        <v/>
      </c>
      <c r="BO419" s="681" t="str" cm="1">
        <f t="array" aca="1" ref="BO419" ca="1">IF(INDIRECT($BI$345&amp;BK386)&lt;&gt;0,INDIRECT($BI$345&amp;BK386),"")</f>
        <v/>
      </c>
      <c r="BP419" s="698" t="str">
        <f t="shared" ca="1" si="197"/>
        <v/>
      </c>
      <c r="BQ419" s="698" t="str">
        <f t="shared" ca="1" si="198"/>
        <v/>
      </c>
      <c r="BT419" s="536" t="s">
        <v>95</v>
      </c>
      <c r="BU419" s="680" t="str">
        <f t="shared" ref="BU419:BX419" ca="1" si="205">IF($BU$411="-","",IF($BU$411=$BU$396,BU404,BY404))</f>
        <v/>
      </c>
      <c r="BV419" s="680" t="str">
        <f t="shared" ca="1" si="205"/>
        <v/>
      </c>
      <c r="BW419" s="681" t="str">
        <f t="shared" ca="1" si="205"/>
        <v/>
      </c>
      <c r="BX419" s="681" t="str">
        <f t="shared" ca="1" si="205"/>
        <v/>
      </c>
      <c r="BY419" s="539" t="str" cm="1">
        <f t="array" aca="1" ref="BY419" ca="1">IF(INDIRECT($BI$345&amp;BL386)&lt;&gt;0,INDIRECT($BI$345&amp;BL386),"")</f>
        <v/>
      </c>
      <c r="BZ419" s="539" t="str" cm="1">
        <f t="array" aca="1" ref="BZ419" ca="1">IF(INDIRECT($BI$345&amp;BM386)&lt;&gt;0,INDIRECT($BI$345&amp;BM386),"")</f>
        <v/>
      </c>
      <c r="CA419" s="698" t="str">
        <f t="shared" ca="1" si="200"/>
        <v/>
      </c>
      <c r="CB419" s="698" t="str">
        <f t="shared" ca="1" si="201"/>
        <v/>
      </c>
      <c r="CU419" s="469" t="s">
        <v>5510</v>
      </c>
    </row>
    <row r="420" spans="1:99" x14ac:dyDescent="0.25">
      <c r="A420" s="667">
        <f ca="1"/>
        <v>1</v>
      </c>
      <c r="B420" s="666" t="str">
        <f ca="1"/>
        <v>Diazinona</v>
      </c>
      <c r="BF420" s="469" t="s">
        <v>5510</v>
      </c>
      <c r="BI420" s="536" t="s">
        <v>96</v>
      </c>
      <c r="BJ420" s="680" t="str">
        <f t="shared" ca="1" si="193"/>
        <v/>
      </c>
      <c r="BK420" s="680" t="str">
        <f t="shared" ca="1" si="194"/>
        <v/>
      </c>
      <c r="BL420" s="681" t="str">
        <f t="shared" ca="1" si="195"/>
        <v/>
      </c>
      <c r="BM420" s="681" t="str">
        <f t="shared" ca="1" si="196"/>
        <v/>
      </c>
      <c r="BN420" s="681" t="str" cm="1">
        <f t="array" aca="1" ref="BN420" ca="1">IF(INDIRECT($BI$345&amp;BJ387)&lt;&gt;0,INDIRECT($BI$345&amp;BJ387),"")</f>
        <v/>
      </c>
      <c r="BO420" s="681" t="str" cm="1">
        <f t="array" aca="1" ref="BO420" ca="1">IF(INDIRECT($BI$345&amp;BK387)&lt;&gt;0,INDIRECT($BI$345&amp;BK387),"")</f>
        <v/>
      </c>
      <c r="BP420" s="698" t="str">
        <f t="shared" ca="1" si="197"/>
        <v/>
      </c>
      <c r="BQ420" s="698" t="str">
        <f t="shared" ca="1" si="198"/>
        <v/>
      </c>
      <c r="BR420" s="699" t="s">
        <v>8087</v>
      </c>
      <c r="BT420" s="536" t="s">
        <v>96</v>
      </c>
      <c r="BU420" s="680" t="str">
        <f t="shared" ref="BU420:BX420" ca="1" si="206">IF($BU$411="-","",IF($BU$411=$BU$396,BU405,BY405))</f>
        <v/>
      </c>
      <c r="BV420" s="680" t="str">
        <f t="shared" ca="1" si="206"/>
        <v/>
      </c>
      <c r="BW420" s="681" t="str">
        <f t="shared" ca="1" si="206"/>
        <v/>
      </c>
      <c r="BX420" s="681" t="str">
        <f t="shared" ca="1" si="206"/>
        <v/>
      </c>
      <c r="BY420" s="539" t="str" cm="1">
        <f t="array" aca="1" ref="BY420" ca="1">IF(INDIRECT($BI$345&amp;BL387)&lt;&gt;0,INDIRECT($BI$345&amp;BL387),"")</f>
        <v/>
      </c>
      <c r="BZ420" s="539" t="str" cm="1">
        <f t="array" aca="1" ref="BZ420" ca="1">IF(INDIRECT($BI$345&amp;BM387)&lt;&gt;0,INDIRECT($BI$345&amp;BM387),"")</f>
        <v/>
      </c>
      <c r="CA420" s="698" t="str">
        <f t="shared" ca="1" si="200"/>
        <v/>
      </c>
      <c r="CB420" s="698" t="str">
        <f t="shared" ca="1" si="201"/>
        <v/>
      </c>
      <c r="CC420" s="699" t="s">
        <v>8087</v>
      </c>
      <c r="CU420" s="469" t="s">
        <v>5510</v>
      </c>
    </row>
    <row r="421" spans="1:99" x14ac:dyDescent="0.25">
      <c r="A421" s="667">
        <f ca="1"/>
        <v>1</v>
      </c>
      <c r="B421" s="666" t="str">
        <f ca="1"/>
        <v>Dicamba</v>
      </c>
      <c r="BF421" s="469" t="s">
        <v>5510</v>
      </c>
      <c r="BI421" s="536" t="s">
        <v>97</v>
      </c>
      <c r="BJ421" s="680" t="str">
        <f t="shared" ca="1" si="193"/>
        <v/>
      </c>
      <c r="BK421" s="680" t="str">
        <f t="shared" ca="1" si="194"/>
        <v/>
      </c>
      <c r="BL421" s="681" t="str">
        <f t="shared" ca="1" si="195"/>
        <v/>
      </c>
      <c r="BM421" s="681" t="str">
        <f t="shared" ca="1" si="196"/>
        <v/>
      </c>
      <c r="BN421" s="681" t="str" cm="1">
        <f t="array" aca="1" ref="BN421" ca="1">IF(INDIRECT($BI$345&amp;BJ388)&lt;&gt;0,INDIRECT($BI$345&amp;BJ388),"")</f>
        <v/>
      </c>
      <c r="BO421" s="681" t="str" cm="1">
        <f t="array" aca="1" ref="BO421" ca="1">IF(INDIRECT($BI$345&amp;BK388)&lt;&gt;0,INDIRECT($BI$345&amp;BK388),"")</f>
        <v/>
      </c>
      <c r="BP421" s="698" t="str">
        <f t="shared" ca="1" si="197"/>
        <v/>
      </c>
      <c r="BQ421" s="698" t="str">
        <f t="shared" ca="1" si="198"/>
        <v/>
      </c>
      <c r="BR421" s="700" t="s">
        <v>8088</v>
      </c>
      <c r="BT421" s="536" t="s">
        <v>97</v>
      </c>
      <c r="BU421" s="680" t="str">
        <f t="shared" ref="BU421:BX421" ca="1" si="207">IF($BU$411="-","",IF($BU$411=$BU$396,BU406,BY406))</f>
        <v/>
      </c>
      <c r="BV421" s="680" t="str">
        <f t="shared" ca="1" si="207"/>
        <v/>
      </c>
      <c r="BW421" s="681" t="str">
        <f t="shared" ca="1" si="207"/>
        <v/>
      </c>
      <c r="BX421" s="681" t="str">
        <f t="shared" ca="1" si="207"/>
        <v/>
      </c>
      <c r="BY421" s="539" t="str" cm="1">
        <f t="array" aca="1" ref="BY421" ca="1">IF(INDIRECT($BI$345&amp;BL388)&lt;&gt;0,INDIRECT($BI$345&amp;BL388),"")</f>
        <v/>
      </c>
      <c r="BZ421" s="539" t="str" cm="1">
        <f t="array" aca="1" ref="BZ421" ca="1">IF(INDIRECT($BI$345&amp;BM388)&lt;&gt;0,INDIRECT($BI$345&amp;BM388),"")</f>
        <v/>
      </c>
      <c r="CA421" s="698" t="str">
        <f t="shared" ca="1" si="200"/>
        <v/>
      </c>
      <c r="CB421" s="698" t="str">
        <f t="shared" ca="1" si="201"/>
        <v/>
      </c>
      <c r="CC421" s="700" t="s">
        <v>8088</v>
      </c>
      <c r="CU421" s="469" t="s">
        <v>5510</v>
      </c>
    </row>
    <row r="422" spans="1:99" x14ac:dyDescent="0.25">
      <c r="A422" s="667">
        <f ca="1"/>
        <v>1</v>
      </c>
      <c r="B422" s="666" t="str">
        <f ca="1"/>
        <v>Diclofope</v>
      </c>
      <c r="BF422" s="469" t="s">
        <v>5510</v>
      </c>
      <c r="BI422" s="536" t="s">
        <v>98</v>
      </c>
      <c r="BJ422" s="680" t="str">
        <f t="shared" ca="1" si="193"/>
        <v/>
      </c>
      <c r="BK422" s="680" t="str">
        <f t="shared" ca="1" si="194"/>
        <v/>
      </c>
      <c r="BL422" s="681" t="str">
        <f t="shared" ca="1" si="195"/>
        <v/>
      </c>
      <c r="BM422" s="681" t="str">
        <f t="shared" ca="1" si="196"/>
        <v/>
      </c>
      <c r="BN422" s="681" t="str" cm="1">
        <f t="array" aca="1" ref="BN422" ca="1">IF(INDIRECT($BI$345&amp;BJ389)&lt;&gt;0,INDIRECT($BI$345&amp;BJ389),"")</f>
        <v/>
      </c>
      <c r="BO422" s="681" t="str" cm="1">
        <f t="array" aca="1" ref="BO422" ca="1">IF(INDIRECT($BI$345&amp;BK389)&lt;&gt;0,INDIRECT($BI$345&amp;BK389),"")</f>
        <v/>
      </c>
      <c r="BP422" s="698" t="str">
        <f t="shared" ca="1" si="197"/>
        <v/>
      </c>
      <c r="BQ422" s="698" t="str">
        <f t="shared" ca="1" si="198"/>
        <v/>
      </c>
      <c r="BR422" s="679" t="s">
        <v>8089</v>
      </c>
      <c r="BT422" s="536" t="s">
        <v>98</v>
      </c>
      <c r="BU422" s="680" t="str">
        <f t="shared" ref="BU422:BX422" ca="1" si="208">IF($BU$411="-","",IF($BU$411=$BU$396,BU407,BY407))</f>
        <v/>
      </c>
      <c r="BV422" s="680" t="str">
        <f t="shared" ca="1" si="208"/>
        <v/>
      </c>
      <c r="BW422" s="681" t="str">
        <f t="shared" ca="1" si="208"/>
        <v/>
      </c>
      <c r="BX422" s="681" t="str">
        <f t="shared" ca="1" si="208"/>
        <v/>
      </c>
      <c r="BY422" s="539" t="str" cm="1">
        <f t="array" aca="1" ref="BY422" ca="1">IF(INDIRECT($BI$345&amp;BL389)&lt;&gt;0,INDIRECT($BI$345&amp;BL389),"")</f>
        <v/>
      </c>
      <c r="BZ422" s="539" t="str" cm="1">
        <f t="array" aca="1" ref="BZ422" ca="1">IF(INDIRECT($BI$345&amp;BM389)&lt;&gt;0,INDIRECT($BI$345&amp;BM389),"")</f>
        <v/>
      </c>
      <c r="CA422" s="698" t="str">
        <f t="shared" ca="1" si="200"/>
        <v/>
      </c>
      <c r="CB422" s="698" t="str">
        <f t="shared" ca="1" si="201"/>
        <v/>
      </c>
      <c r="CC422" s="679" t="s">
        <v>8089</v>
      </c>
      <c r="CU422" s="469" t="s">
        <v>5510</v>
      </c>
    </row>
    <row r="423" spans="1:99" x14ac:dyDescent="0.25">
      <c r="A423" s="667">
        <f ca="1"/>
        <v>1</v>
      </c>
      <c r="B423" s="666" t="str">
        <f ca="1"/>
        <v>Diclofope-metílico</v>
      </c>
      <c r="BF423" s="469" t="s">
        <v>5510</v>
      </c>
      <c r="BI423" s="536" t="s">
        <v>99</v>
      </c>
      <c r="BJ423" s="680" t="str">
        <f t="shared" ca="1" si="193"/>
        <v/>
      </c>
      <c r="BK423" s="680" t="str">
        <f t="shared" ca="1" si="194"/>
        <v/>
      </c>
      <c r="BL423" s="681" t="str">
        <f t="shared" ca="1" si="195"/>
        <v/>
      </c>
      <c r="BM423" s="681" t="str">
        <f t="shared" ca="1" si="196"/>
        <v/>
      </c>
      <c r="BN423" s="681" t="str" cm="1">
        <f t="array" aca="1" ref="BN423" ca="1">IF(INDIRECT($BI$345&amp;BJ390)&lt;&gt;0,INDIRECT($BI$345&amp;BJ390),"")</f>
        <v/>
      </c>
      <c r="BO423" s="681" t="str" cm="1">
        <f t="array" aca="1" ref="BO423" ca="1">IF(INDIRECT($BI$345&amp;BK390)&lt;&gt;0,INDIRECT($BI$345&amp;BK390),"")</f>
        <v/>
      </c>
      <c r="BP423" s="698" t="str">
        <f t="shared" ca="1" si="197"/>
        <v/>
      </c>
      <c r="BQ423" s="698" t="str">
        <f t="shared" ca="1" si="198"/>
        <v/>
      </c>
      <c r="BR423" s="701" t="s">
        <v>8090</v>
      </c>
      <c r="BT423" s="536" t="s">
        <v>99</v>
      </c>
      <c r="BU423" s="680" t="str">
        <f t="shared" ref="BU423:BX423" ca="1" si="209">IF($BU$411="-","",IF($BU$411=$BU$396,BU408,BY408))</f>
        <v/>
      </c>
      <c r="BV423" s="680" t="str">
        <f t="shared" ca="1" si="209"/>
        <v/>
      </c>
      <c r="BW423" s="681" t="str">
        <f t="shared" ca="1" si="209"/>
        <v/>
      </c>
      <c r="BX423" s="681" t="str">
        <f t="shared" ca="1" si="209"/>
        <v/>
      </c>
      <c r="BY423" s="539" t="str" cm="1">
        <f t="array" aca="1" ref="BY423" ca="1">IF(INDIRECT($BI$345&amp;BL390)&lt;&gt;0,INDIRECT($BI$345&amp;BL390),"")</f>
        <v/>
      </c>
      <c r="BZ423" s="539" t="str" cm="1">
        <f t="array" aca="1" ref="BZ423" ca="1">IF(INDIRECT($BI$345&amp;BM390)&lt;&gt;0,INDIRECT($BI$345&amp;BM390),"")</f>
        <v/>
      </c>
      <c r="CA423" s="698" t="str">
        <f t="shared" ca="1" si="200"/>
        <v/>
      </c>
      <c r="CB423" s="698" t="str">
        <f t="shared" ca="1" si="201"/>
        <v/>
      </c>
      <c r="CC423" s="701" t="s">
        <v>8090</v>
      </c>
      <c r="CU423" s="469" t="s">
        <v>5510</v>
      </c>
    </row>
    <row r="424" spans="1:99" x14ac:dyDescent="0.25">
      <c r="A424" s="667">
        <f ca="1"/>
        <v>1</v>
      </c>
      <c r="B424" s="666" t="str">
        <f ca="1"/>
        <v>Diclorvós</v>
      </c>
      <c r="BF424" s="469" t="s">
        <v>5510</v>
      </c>
      <c r="CU424" s="469" t="s">
        <v>5510</v>
      </c>
    </row>
    <row r="425" spans="1:99" x14ac:dyDescent="0.25">
      <c r="A425" s="667">
        <f ca="1"/>
        <v>1</v>
      </c>
      <c r="B425" s="666" t="str">
        <f ca="1"/>
        <v>Diflubenzurom</v>
      </c>
      <c r="BF425" s="469" t="s">
        <v>5510</v>
      </c>
      <c r="CU425" s="469" t="s">
        <v>5510</v>
      </c>
    </row>
    <row r="426" spans="1:99" x14ac:dyDescent="0.25">
      <c r="A426" s="667">
        <f ca="1"/>
        <v>1</v>
      </c>
      <c r="B426" s="666" t="str">
        <f ca="1"/>
        <v>Dimetoato</v>
      </c>
      <c r="BF426" s="469" t="s">
        <v>5510</v>
      </c>
      <c r="BI426" s="20"/>
      <c r="BJ426" s="687" t="s">
        <v>8101</v>
      </c>
      <c r="BK426" s="688"/>
      <c r="BL426" s="688"/>
      <c r="BM426" s="689"/>
      <c r="BN426" s="20"/>
      <c r="BO426" s="20"/>
      <c r="BU426" s="690" t="s">
        <v>8103</v>
      </c>
      <c r="BV426" s="691"/>
      <c r="BW426" s="691"/>
      <c r="BX426" s="692"/>
      <c r="CU426" s="469" t="s">
        <v>5510</v>
      </c>
    </row>
    <row r="427" spans="1:99" x14ac:dyDescent="0.25">
      <c r="A427" s="667">
        <f ca="1"/>
        <v>1</v>
      </c>
      <c r="B427" s="666" t="str">
        <f ca="1"/>
        <v>Diquate</v>
      </c>
      <c r="BF427" s="469" t="s">
        <v>5510</v>
      </c>
      <c r="BI427" s="372" t="s">
        <v>5802</v>
      </c>
      <c r="BJ427" s="697" t="str">
        <f ca="1">$CQ$16</f>
        <v>-</v>
      </c>
      <c r="BK427" s="694"/>
      <c r="BL427" s="694"/>
      <c r="BM427" s="695"/>
      <c r="BN427" s="696" t="s">
        <v>5742</v>
      </c>
      <c r="BO427" s="484" t="s">
        <v>5742</v>
      </c>
      <c r="BP427" s="484" t="s">
        <v>8104</v>
      </c>
      <c r="BQ427" s="484" t="s">
        <v>8104</v>
      </c>
      <c r="BT427" s="372" t="s">
        <v>5802</v>
      </c>
      <c r="BU427" s="697" t="str">
        <f ca="1">$CQ$16</f>
        <v>-</v>
      </c>
      <c r="BV427" s="694"/>
      <c r="BW427" s="694"/>
      <c r="BX427" s="695"/>
      <c r="BY427" s="696" t="s">
        <v>5742</v>
      </c>
      <c r="BZ427" s="484" t="s">
        <v>5742</v>
      </c>
      <c r="CA427" s="484" t="s">
        <v>8104</v>
      </c>
      <c r="CB427" s="484" t="s">
        <v>8104</v>
      </c>
      <c r="CU427" s="469" t="s">
        <v>5510</v>
      </c>
    </row>
    <row r="428" spans="1:99" x14ac:dyDescent="0.25">
      <c r="A428" s="667">
        <f ca="1"/>
        <v>1</v>
      </c>
      <c r="B428" s="666" t="str">
        <f ca="1"/>
        <v>Dibrometo de diquate</v>
      </c>
      <c r="BF428" s="469" t="s">
        <v>5510</v>
      </c>
      <c r="BI428" s="372" t="s">
        <v>8092</v>
      </c>
      <c r="BJ428" s="536" t="s">
        <v>10</v>
      </c>
      <c r="BK428" s="536" t="s">
        <v>10</v>
      </c>
      <c r="BL428" s="536" t="s">
        <v>237</v>
      </c>
      <c r="BM428" s="536" t="s">
        <v>237</v>
      </c>
      <c r="BN428" s="536" t="s">
        <v>10</v>
      </c>
      <c r="BO428" s="536" t="s">
        <v>237</v>
      </c>
      <c r="BP428" s="479" t="s">
        <v>10</v>
      </c>
      <c r="BQ428" s="479" t="s">
        <v>237</v>
      </c>
      <c r="BT428" s="372" t="s">
        <v>8092</v>
      </c>
      <c r="BU428" s="536" t="s">
        <v>10</v>
      </c>
      <c r="BV428" s="536" t="s">
        <v>10</v>
      </c>
      <c r="BW428" s="536" t="s">
        <v>237</v>
      </c>
      <c r="BX428" s="536" t="s">
        <v>237</v>
      </c>
      <c r="BY428" s="536" t="s">
        <v>10</v>
      </c>
      <c r="BZ428" s="536" t="s">
        <v>237</v>
      </c>
      <c r="CA428" s="479" t="s">
        <v>10</v>
      </c>
      <c r="CB428" s="479" t="s">
        <v>237</v>
      </c>
      <c r="CU428" s="469" t="s">
        <v>5510</v>
      </c>
    </row>
    <row r="429" spans="1:99" x14ac:dyDescent="0.25">
      <c r="A429" s="667">
        <f ca="1"/>
        <v>1</v>
      </c>
      <c r="B429" s="666" t="str">
        <f ca="1"/>
        <v>Dissulfotom</v>
      </c>
      <c r="BF429" s="469" t="s">
        <v>5510</v>
      </c>
      <c r="BJ429" s="536" t="s">
        <v>109</v>
      </c>
      <c r="BK429" s="536" t="s">
        <v>110</v>
      </c>
      <c r="BL429" s="536" t="s">
        <v>109</v>
      </c>
      <c r="BM429" s="536" t="s">
        <v>110</v>
      </c>
      <c r="BN429" s="536"/>
      <c r="BO429" s="536"/>
      <c r="BT429" s="372"/>
      <c r="BU429" s="536" t="s">
        <v>109</v>
      </c>
      <c r="BV429" s="536" t="s">
        <v>110</v>
      </c>
      <c r="BW429" s="536" t="s">
        <v>109</v>
      </c>
      <c r="BX429" s="536" t="s">
        <v>110</v>
      </c>
      <c r="BY429" s="536"/>
      <c r="BZ429" s="536"/>
      <c r="CA429" s="372"/>
      <c r="CB429" s="372"/>
      <c r="CU429" s="469" t="s">
        <v>5510</v>
      </c>
    </row>
    <row r="430" spans="1:99" x14ac:dyDescent="0.25">
      <c r="A430" s="667">
        <f ca="1"/>
        <v>1</v>
      </c>
      <c r="B430" s="666" t="str">
        <f ca="1"/>
        <v>Ditianona</v>
      </c>
      <c r="BF430" s="469" t="s">
        <v>5510</v>
      </c>
      <c r="BI430" s="536" t="s">
        <v>90</v>
      </c>
      <c r="BJ430" s="680" t="str">
        <f t="shared" ref="BJ430:BJ439" ca="1" si="210">IF($BJ$427="-","",IF($BJ$427=$BJ$396,BJ399,BN399))</f>
        <v/>
      </c>
      <c r="BK430" s="680" t="str">
        <f t="shared" ref="BK430:BK439" ca="1" si="211">IF($BJ$427="-","",IF($BJ$427=$BJ$396,BK399,BO399))</f>
        <v/>
      </c>
      <c r="BL430" s="681" t="str">
        <f t="shared" ref="BL430:BL439" ca="1" si="212">IF($BJ$427="-","",IF($BJ$427=$BJ$396,BL399,BP399))</f>
        <v/>
      </c>
      <c r="BM430" s="681" t="str">
        <f t="shared" ref="BM430:BM439" ca="1" si="213">IF($BJ$427="-","",IF($BJ$427=$BJ$396,BM399,BQ399))</f>
        <v/>
      </c>
      <c r="BN430" s="539" t="str" cm="1">
        <f t="array" aca="1" ref="BN430" ca="1">IF(INDIRECT($BI$346&amp;BJ381)&lt;&gt;0,INDIRECT($BI$346&amp;BJ381),"")</f>
        <v/>
      </c>
      <c r="BO430" s="539" t="str" cm="1">
        <f t="array" aca="1" ref="BO430" ca="1">IF(INDIRECT($BI$346&amp;BK381)&lt;&gt;0,INDIRECT($BI$346&amp;BK381),"")</f>
        <v/>
      </c>
      <c r="BP430" s="698" t="str">
        <f ca="1">IF(BN430="","",
IF(BJ430="",3,IF(BN430&lt;BJ430,1,IF(BN430&gt;BK430,2,0)))
)</f>
        <v/>
      </c>
      <c r="BQ430" s="698" t="str">
        <f ca="1">IF(BO430="","",
IF(BL430="",3,IF(BO430&lt;BL430,1,IF(BO430&gt;BM430,2,0)))
)</f>
        <v/>
      </c>
      <c r="BT430" s="536" t="s">
        <v>90</v>
      </c>
      <c r="BU430" s="680" t="str">
        <f ca="1">IF($BU$427="-","",IF($BU$427=$BU$396,BU399,BY399))</f>
        <v/>
      </c>
      <c r="BV430" s="680" t="str">
        <f ca="1">IF($BU$427="-","",IF($BU$427=$BU$396,BV399,BZ399))</f>
        <v/>
      </c>
      <c r="BW430" s="681" t="str">
        <f ca="1">IF($BU$427="-","",IF($BU$427=$BU$396,BW399,CA399))</f>
        <v/>
      </c>
      <c r="BX430" s="681" t="str">
        <f ca="1">IF($BU$427="-","",IF($BU$427=$BU$396,BX399,CB399))</f>
        <v/>
      </c>
      <c r="BY430" s="539" t="str" cm="1">
        <f t="array" aca="1" ref="BY430" ca="1">IF(INDIRECT($BI$346&amp;BL381)&lt;&gt;0,INDIRECT($BI$346&amp;BL381),"")</f>
        <v/>
      </c>
      <c r="BZ430" s="539" t="str" cm="1">
        <f t="array" aca="1" ref="BZ430" ca="1">IF(INDIRECT($BI$346&amp;BM381)&lt;&gt;0,INDIRECT($BI$346&amp;BM381),"")</f>
        <v/>
      </c>
      <c r="CA430" s="698" t="str">
        <f ca="1">IF(BY430="","",
IF(BU430="",3,IF(BY430&lt;BU430,1,IF(BY430&gt;BV430,2,0)))
)</f>
        <v/>
      </c>
      <c r="CB430" s="698" t="str">
        <f ca="1">IF(BZ430="","",
IF(BW430="",3,IF(BZ430&lt;BW430,1,IF(BZ430&gt;BX430,2,0)))
)</f>
        <v/>
      </c>
      <c r="CU430" s="469" t="s">
        <v>5510</v>
      </c>
    </row>
    <row r="431" spans="1:99" x14ac:dyDescent="0.25">
      <c r="A431" s="667">
        <f ca="1"/>
        <v>1</v>
      </c>
      <c r="B431" s="666" t="str">
        <f ca="1"/>
        <v>Diurom</v>
      </c>
      <c r="BF431" s="469" t="s">
        <v>5510</v>
      </c>
      <c r="BI431" s="536" t="s">
        <v>91</v>
      </c>
      <c r="BJ431" s="680" t="str">
        <f t="shared" ca="1" si="210"/>
        <v/>
      </c>
      <c r="BK431" s="680" t="str">
        <f t="shared" ca="1" si="211"/>
        <v/>
      </c>
      <c r="BL431" s="681" t="str">
        <f t="shared" ca="1" si="212"/>
        <v/>
      </c>
      <c r="BM431" s="681" t="str">
        <f t="shared" ca="1" si="213"/>
        <v/>
      </c>
      <c r="BN431" s="539" t="str" cm="1">
        <f t="array" aca="1" ref="BN431" ca="1">IF(INDIRECT($BI$346&amp;BJ382)&lt;&gt;0,INDIRECT($BI$346&amp;BJ382),"")</f>
        <v/>
      </c>
      <c r="BO431" s="539" t="str" cm="1">
        <f t="array" aca="1" ref="BO431" ca="1">IF(INDIRECT($BI$346&amp;BK382)&lt;&gt;0,INDIRECT($BI$346&amp;BK382),"")</f>
        <v/>
      </c>
      <c r="BP431" s="698" t="str">
        <f ca="1">IF(BN431="","",
IF(BJ431="",3,IF(BN431&lt;BJ431,1,IF(BN431&gt;BK431,2,0)))
)</f>
        <v/>
      </c>
      <c r="BQ431" s="698" t="str">
        <f t="shared" ref="BQ431:BQ439" ca="1" si="214">IF(BO431="","",
IF(BL431="",3,IF(BO431&lt;BL431,1,IF(BO431&gt;BM431,2,0)))
)</f>
        <v/>
      </c>
      <c r="BT431" s="536" t="s">
        <v>91</v>
      </c>
      <c r="BU431" s="680" t="str">
        <f t="shared" ref="BU431:BX431" ca="1" si="215">IF($BU$427="-","",IF($BU$427=$BU$396,BU400,BY400))</f>
        <v/>
      </c>
      <c r="BV431" s="680" t="str">
        <f t="shared" ca="1" si="215"/>
        <v/>
      </c>
      <c r="BW431" s="681" t="str">
        <f t="shared" ca="1" si="215"/>
        <v/>
      </c>
      <c r="BX431" s="681" t="str">
        <f t="shared" ca="1" si="215"/>
        <v/>
      </c>
      <c r="BY431" s="539" t="str" cm="1">
        <f t="array" aca="1" ref="BY431" ca="1">IF(INDIRECT($BI$346&amp;BL382)&lt;&gt;0,INDIRECT($BI$346&amp;BL382),"")</f>
        <v/>
      </c>
      <c r="BZ431" s="539" t="str" cm="1">
        <f t="array" aca="1" ref="BZ431" ca="1">IF(INDIRECT($BI$346&amp;BM382)&lt;&gt;0,INDIRECT($BI$346&amp;BM382),"")</f>
        <v/>
      </c>
      <c r="CA431" s="698" t="str">
        <f t="shared" ref="CA431:CA439" ca="1" si="216">IF(BY431="","",
IF(BU431="",3,IF(BY431&lt;BU431,1,IF(BY431&gt;BV431,2,0)))
)</f>
        <v/>
      </c>
      <c r="CB431" s="698" t="str">
        <f t="shared" ref="CB431:CB439" ca="1" si="217">IF(BZ431="","",
IF(BW431="",3,IF(BZ431&lt;BW431,1,IF(BZ431&gt;BX431,2,0)))
)</f>
        <v/>
      </c>
      <c r="CU431" s="469" t="s">
        <v>5510</v>
      </c>
    </row>
    <row r="432" spans="1:99" x14ac:dyDescent="0.25">
      <c r="A432" s="667">
        <f ca="1"/>
        <v>1</v>
      </c>
      <c r="B432" s="666" t="str">
        <f ca="1"/>
        <v>Dodina</v>
      </c>
      <c r="BF432" s="469" t="s">
        <v>5510</v>
      </c>
      <c r="BI432" s="536" t="s">
        <v>92</v>
      </c>
      <c r="BJ432" s="680" t="str">
        <f t="shared" ca="1" si="210"/>
        <v/>
      </c>
      <c r="BK432" s="680" t="str">
        <f t="shared" ca="1" si="211"/>
        <v/>
      </c>
      <c r="BL432" s="681" t="str">
        <f t="shared" ca="1" si="212"/>
        <v/>
      </c>
      <c r="BM432" s="681" t="str">
        <f t="shared" ca="1" si="213"/>
        <v/>
      </c>
      <c r="BN432" s="539" t="str" cm="1">
        <f t="array" aca="1" ref="BN432" ca="1">IF(INDIRECT($BI$346&amp;BJ383)&lt;&gt;0,INDIRECT($BI$346&amp;BJ383),"")</f>
        <v/>
      </c>
      <c r="BO432" s="539" t="str" cm="1">
        <f t="array" aca="1" ref="BO432" ca="1">IF(INDIRECT($BI$346&amp;BK383)&lt;&gt;0,INDIRECT($BI$346&amp;BK383),"")</f>
        <v/>
      </c>
      <c r="BP432" s="698" t="str">
        <f t="shared" ref="BP432:BP439" ca="1" si="218">IF(BN432="","",
IF(BJ432="",3,IF(BN432&lt;BJ432,1,IF(BN432&gt;BK432,2,0)))
)</f>
        <v/>
      </c>
      <c r="BQ432" s="698" t="str">
        <f t="shared" ca="1" si="214"/>
        <v/>
      </c>
      <c r="BT432" s="536" t="s">
        <v>92</v>
      </c>
      <c r="BU432" s="680" t="str">
        <f t="shared" ref="BU432:BX432" ca="1" si="219">IF($BU$427="-","",IF($BU$427=$BU$396,BU401,BY401))</f>
        <v/>
      </c>
      <c r="BV432" s="680" t="str">
        <f t="shared" ca="1" si="219"/>
        <v/>
      </c>
      <c r="BW432" s="681" t="str">
        <f t="shared" ca="1" si="219"/>
        <v/>
      </c>
      <c r="BX432" s="681" t="str">
        <f t="shared" ca="1" si="219"/>
        <v/>
      </c>
      <c r="BY432" s="539" t="str" cm="1">
        <f t="array" aca="1" ref="BY432" ca="1">IF(INDIRECT($BI$346&amp;BL383)&lt;&gt;0,INDIRECT($BI$346&amp;BL383),"")</f>
        <v/>
      </c>
      <c r="BZ432" s="539" t="str" cm="1">
        <f t="array" aca="1" ref="BZ432" ca="1">IF(INDIRECT($BI$346&amp;BM383)&lt;&gt;0,INDIRECT($BI$346&amp;BM383),"")</f>
        <v/>
      </c>
      <c r="CA432" s="698" t="str">
        <f ca="1">IF(BY432="","",
IF(BU432="",3,IF(BY432&lt;BU432,1,IF(BY432&gt;BV432,2,0)))
)</f>
        <v/>
      </c>
      <c r="CB432" s="698" t="str">
        <f t="shared" ca="1" si="217"/>
        <v/>
      </c>
      <c r="CU432" s="469" t="s">
        <v>5510</v>
      </c>
    </row>
    <row r="433" spans="1:99" x14ac:dyDescent="0.25">
      <c r="A433" s="667">
        <f ca="1"/>
        <v>1</v>
      </c>
      <c r="B433" s="666" t="str">
        <f ca="1"/>
        <v>2,4-D</v>
      </c>
      <c r="BF433" s="469" t="s">
        <v>5510</v>
      </c>
      <c r="BI433" s="536" t="s">
        <v>93</v>
      </c>
      <c r="BJ433" s="680" t="str">
        <f t="shared" ca="1" si="210"/>
        <v/>
      </c>
      <c r="BK433" s="680" t="str">
        <f t="shared" ca="1" si="211"/>
        <v/>
      </c>
      <c r="BL433" s="681" t="str">
        <f t="shared" ca="1" si="212"/>
        <v/>
      </c>
      <c r="BM433" s="681" t="str">
        <f t="shared" ca="1" si="213"/>
        <v/>
      </c>
      <c r="BN433" s="539" t="str" cm="1">
        <f t="array" aca="1" ref="BN433" ca="1">IF(INDIRECT($BI$346&amp;BJ384)&lt;&gt;0,INDIRECT($BI$346&amp;BJ384),"")</f>
        <v/>
      </c>
      <c r="BO433" s="539" t="str" cm="1">
        <f t="array" aca="1" ref="BO433" ca="1">IF(INDIRECT($BI$346&amp;BK384)&lt;&gt;0,INDIRECT($BI$346&amp;BK384),"")</f>
        <v/>
      </c>
      <c r="BP433" s="698" t="str">
        <f t="shared" ca="1" si="218"/>
        <v/>
      </c>
      <c r="BQ433" s="698" t="str">
        <f t="shared" ca="1" si="214"/>
        <v/>
      </c>
      <c r="BT433" s="536" t="s">
        <v>93</v>
      </c>
      <c r="BU433" s="680" t="str">
        <f t="shared" ref="BU433:BX433" ca="1" si="220">IF($BU$427="-","",IF($BU$427=$BU$396,BU402,BY402))</f>
        <v/>
      </c>
      <c r="BV433" s="680" t="str">
        <f t="shared" ca="1" si="220"/>
        <v/>
      </c>
      <c r="BW433" s="681" t="str">
        <f t="shared" ca="1" si="220"/>
        <v/>
      </c>
      <c r="BX433" s="681" t="str">
        <f t="shared" ca="1" si="220"/>
        <v/>
      </c>
      <c r="BY433" s="539" t="str" cm="1">
        <f t="array" aca="1" ref="BY433" ca="1">IF(INDIRECT($BI$346&amp;BL384)&lt;&gt;0,INDIRECT($BI$346&amp;BL384),"")</f>
        <v/>
      </c>
      <c r="BZ433" s="539" t="str" cm="1">
        <f t="array" aca="1" ref="BZ433" ca="1">IF(INDIRECT($BI$346&amp;BM384)&lt;&gt;0,INDIRECT($BI$346&amp;BM384),"")</f>
        <v/>
      </c>
      <c r="CA433" s="698" t="str">
        <f ca="1">IF(BY433="","",
IF(BU433="",3,IF(BY433&lt;BU433,1,IF(BY433&gt;BV433,2,0)))
)</f>
        <v/>
      </c>
      <c r="CB433" s="698" t="str">
        <f t="shared" ca="1" si="217"/>
        <v/>
      </c>
      <c r="CU433" s="469" t="s">
        <v>5510</v>
      </c>
    </row>
    <row r="434" spans="1:99" x14ac:dyDescent="0.25">
      <c r="A434" s="667">
        <f ca="1"/>
        <v>1</v>
      </c>
      <c r="B434" s="666" t="str">
        <f ca="1"/>
        <v>2,4-d-dimetilamina</v>
      </c>
      <c r="BF434" s="469" t="s">
        <v>5510</v>
      </c>
      <c r="BI434" s="536" t="s">
        <v>94</v>
      </c>
      <c r="BJ434" s="680" t="str">
        <f t="shared" ca="1" si="210"/>
        <v/>
      </c>
      <c r="BK434" s="680" t="str">
        <f t="shared" ca="1" si="211"/>
        <v/>
      </c>
      <c r="BL434" s="681" t="str">
        <f t="shared" ca="1" si="212"/>
        <v/>
      </c>
      <c r="BM434" s="681" t="str">
        <f t="shared" ca="1" si="213"/>
        <v/>
      </c>
      <c r="BN434" s="539" t="str" cm="1">
        <f t="array" aca="1" ref="BN434" ca="1">IF(INDIRECT($BI$346&amp;BJ385)&lt;&gt;0,INDIRECT($BI$346&amp;BJ385),"")</f>
        <v/>
      </c>
      <c r="BO434" s="539" t="str" cm="1">
        <f t="array" aca="1" ref="BO434" ca="1">IF(INDIRECT($BI$346&amp;BK385)&lt;&gt;0,INDIRECT($BI$346&amp;BK385),"")</f>
        <v/>
      </c>
      <c r="BP434" s="698" t="str">
        <f t="shared" ca="1" si="218"/>
        <v/>
      </c>
      <c r="BQ434" s="698" t="str">
        <f t="shared" ca="1" si="214"/>
        <v/>
      </c>
      <c r="BT434" s="536" t="s">
        <v>94</v>
      </c>
      <c r="BU434" s="680" t="str">
        <f t="shared" ref="BU434:BX434" ca="1" si="221">IF($BU$427="-","",IF($BU$427=$BU$396,BU403,BY403))</f>
        <v/>
      </c>
      <c r="BV434" s="680" t="str">
        <f t="shared" ca="1" si="221"/>
        <v/>
      </c>
      <c r="BW434" s="681" t="str">
        <f t="shared" ca="1" si="221"/>
        <v/>
      </c>
      <c r="BX434" s="681" t="str">
        <f t="shared" ca="1" si="221"/>
        <v/>
      </c>
      <c r="BY434" s="539" t="str" cm="1">
        <f t="array" aca="1" ref="BY434" ca="1">IF(INDIRECT($BI$346&amp;BL385)&lt;&gt;0,INDIRECT($BI$346&amp;BL385),"")</f>
        <v/>
      </c>
      <c r="BZ434" s="539" t="str" cm="1">
        <f t="array" aca="1" ref="BZ434" ca="1">IF(INDIRECT($BI$346&amp;BM385)&lt;&gt;0,INDIRECT($BI$346&amp;BM385),"")</f>
        <v/>
      </c>
      <c r="CA434" s="698" t="str">
        <f t="shared" ca="1" si="216"/>
        <v/>
      </c>
      <c r="CB434" s="698" t="str">
        <f t="shared" ca="1" si="217"/>
        <v/>
      </c>
      <c r="CU434" s="469" t="s">
        <v>5510</v>
      </c>
    </row>
    <row r="435" spans="1:99" x14ac:dyDescent="0.25">
      <c r="A435" s="667">
        <f ca="1"/>
        <v>1</v>
      </c>
      <c r="B435" s="666" t="str">
        <f ca="1"/>
        <v>2,4-d-trietanolamina</v>
      </c>
      <c r="BF435" s="469" t="s">
        <v>5510</v>
      </c>
      <c r="BI435" s="536" t="s">
        <v>95</v>
      </c>
      <c r="BJ435" s="680" t="str">
        <f t="shared" ca="1" si="210"/>
        <v/>
      </c>
      <c r="BK435" s="680" t="str">
        <f t="shared" ca="1" si="211"/>
        <v/>
      </c>
      <c r="BL435" s="681" t="str">
        <f t="shared" ca="1" si="212"/>
        <v/>
      </c>
      <c r="BM435" s="681" t="str">
        <f t="shared" ca="1" si="213"/>
        <v/>
      </c>
      <c r="BN435" s="539" t="str" cm="1">
        <f t="array" aca="1" ref="BN435" ca="1">IF(INDIRECT($BI$346&amp;BJ386)&lt;&gt;0,INDIRECT($BI$346&amp;BJ386),"")</f>
        <v/>
      </c>
      <c r="BO435" s="539" t="str" cm="1">
        <f t="array" aca="1" ref="BO435" ca="1">IF(INDIRECT($BI$346&amp;BK386)&lt;&gt;0,INDIRECT($BI$346&amp;BK386),"")</f>
        <v/>
      </c>
      <c r="BP435" s="698" t="str">
        <f t="shared" ca="1" si="218"/>
        <v/>
      </c>
      <c r="BQ435" s="698" t="str">
        <f t="shared" ca="1" si="214"/>
        <v/>
      </c>
      <c r="BT435" s="536" t="s">
        <v>95</v>
      </c>
      <c r="BU435" s="680" t="str">
        <f t="shared" ref="BU435:BX435" ca="1" si="222">IF($BU$427="-","",IF($BU$427=$BU$396,BU404,BY404))</f>
        <v/>
      </c>
      <c r="BV435" s="680" t="str">
        <f t="shared" ca="1" si="222"/>
        <v/>
      </c>
      <c r="BW435" s="681" t="str">
        <f t="shared" ca="1" si="222"/>
        <v/>
      </c>
      <c r="BX435" s="681" t="str">
        <f t="shared" ca="1" si="222"/>
        <v/>
      </c>
      <c r="BY435" s="539" t="str" cm="1">
        <f t="array" aca="1" ref="BY435" ca="1">IF(INDIRECT($BI$346&amp;BL386)&lt;&gt;0,INDIRECT($BI$346&amp;BL386),"")</f>
        <v/>
      </c>
      <c r="BZ435" s="539" t="str" cm="1">
        <f t="array" aca="1" ref="BZ435" ca="1">IF(INDIRECT($BI$346&amp;BM386)&lt;&gt;0,INDIRECT($BI$346&amp;BM386),"")</f>
        <v/>
      </c>
      <c r="CA435" s="698" t="str">
        <f t="shared" ca="1" si="216"/>
        <v/>
      </c>
      <c r="CB435" s="698" t="str">
        <f t="shared" ca="1" si="217"/>
        <v/>
      </c>
      <c r="CU435" s="469" t="s">
        <v>5510</v>
      </c>
    </row>
    <row r="436" spans="1:99" x14ac:dyDescent="0.25">
      <c r="A436" s="667">
        <f ca="1"/>
        <v>1</v>
      </c>
      <c r="B436" s="666" t="str">
        <f ca="1"/>
        <v>2,4-d-butílico</v>
      </c>
      <c r="BF436" s="469" t="s">
        <v>5510</v>
      </c>
      <c r="BI436" s="536" t="s">
        <v>96</v>
      </c>
      <c r="BJ436" s="680" t="str">
        <f t="shared" ca="1" si="210"/>
        <v/>
      </c>
      <c r="BK436" s="680" t="str">
        <f t="shared" ca="1" si="211"/>
        <v/>
      </c>
      <c r="BL436" s="681" t="str">
        <f t="shared" ca="1" si="212"/>
        <v/>
      </c>
      <c r="BM436" s="681" t="str">
        <f t="shared" ca="1" si="213"/>
        <v/>
      </c>
      <c r="BN436" s="539" t="str" cm="1">
        <f t="array" aca="1" ref="BN436" ca="1">IF(INDIRECT($BI$346&amp;BJ387)&lt;&gt;0,INDIRECT($BI$346&amp;BJ387),"")</f>
        <v/>
      </c>
      <c r="BO436" s="539" t="str" cm="1">
        <f t="array" aca="1" ref="BO436" ca="1">IF(INDIRECT($BI$346&amp;BK387)&lt;&gt;0,INDIRECT($BI$346&amp;BK387),"")</f>
        <v/>
      </c>
      <c r="BP436" s="698" t="str">
        <f t="shared" ca="1" si="218"/>
        <v/>
      </c>
      <c r="BQ436" s="698" t="str">
        <f t="shared" ca="1" si="214"/>
        <v/>
      </c>
      <c r="BR436" s="699" t="s">
        <v>8087</v>
      </c>
      <c r="BT436" s="536" t="s">
        <v>96</v>
      </c>
      <c r="BU436" s="680" t="str">
        <f t="shared" ref="BU436:BX436" ca="1" si="223">IF($BU$427="-","",IF($BU$427=$BU$396,BU405,BY405))</f>
        <v/>
      </c>
      <c r="BV436" s="680" t="str">
        <f t="shared" ca="1" si="223"/>
        <v/>
      </c>
      <c r="BW436" s="681" t="str">
        <f t="shared" ca="1" si="223"/>
        <v/>
      </c>
      <c r="BX436" s="681" t="str">
        <f t="shared" ca="1" si="223"/>
        <v/>
      </c>
      <c r="BY436" s="539" t="str" cm="1">
        <f t="array" aca="1" ref="BY436" ca="1">IF(INDIRECT($BI$346&amp;BL387)&lt;&gt;0,INDIRECT($BI$346&amp;BL387),"")</f>
        <v/>
      </c>
      <c r="BZ436" s="539" t="str" cm="1">
        <f t="array" aca="1" ref="BZ436" ca="1">IF(INDIRECT($BI$346&amp;BM387)&lt;&gt;0,INDIRECT($BI$346&amp;BM387),"")</f>
        <v/>
      </c>
      <c r="CA436" s="698" t="str">
        <f t="shared" ca="1" si="216"/>
        <v/>
      </c>
      <c r="CB436" s="698" t="str">
        <f t="shared" ca="1" si="217"/>
        <v/>
      </c>
      <c r="CC436" s="699" t="s">
        <v>8087</v>
      </c>
      <c r="CU436" s="469" t="s">
        <v>5510</v>
      </c>
    </row>
    <row r="437" spans="1:99" x14ac:dyDescent="0.25">
      <c r="A437" s="667">
        <f ca="1"/>
        <v>1</v>
      </c>
      <c r="B437" s="666" t="str">
        <f ca="1"/>
        <v>2,4-d-triisopropanolamina</v>
      </c>
      <c r="BF437" s="469" t="s">
        <v>5510</v>
      </c>
      <c r="BI437" s="536" t="s">
        <v>97</v>
      </c>
      <c r="BJ437" s="680" t="str">
        <f t="shared" ca="1" si="210"/>
        <v/>
      </c>
      <c r="BK437" s="680" t="str">
        <f t="shared" ca="1" si="211"/>
        <v/>
      </c>
      <c r="BL437" s="681" t="str">
        <f t="shared" ca="1" si="212"/>
        <v/>
      </c>
      <c r="BM437" s="681" t="str">
        <f t="shared" ca="1" si="213"/>
        <v/>
      </c>
      <c r="BN437" s="539" t="str" cm="1">
        <f t="array" aca="1" ref="BN437" ca="1">IF(INDIRECT($BI$346&amp;BJ388)&lt;&gt;0,INDIRECT($BI$346&amp;BJ388),"")</f>
        <v/>
      </c>
      <c r="BO437" s="539" t="str" cm="1">
        <f t="array" aca="1" ref="BO437" ca="1">IF(INDIRECT($BI$346&amp;BK388)&lt;&gt;0,INDIRECT($BI$346&amp;BK388),"")</f>
        <v/>
      </c>
      <c r="BP437" s="698" t="str">
        <f t="shared" ca="1" si="218"/>
        <v/>
      </c>
      <c r="BQ437" s="698" t="str">
        <f t="shared" ca="1" si="214"/>
        <v/>
      </c>
      <c r="BR437" s="700" t="s">
        <v>8088</v>
      </c>
      <c r="BT437" s="536" t="s">
        <v>97</v>
      </c>
      <c r="BU437" s="680" t="str">
        <f t="shared" ref="BU437:BX437" ca="1" si="224">IF($BU$427="-","",IF($BU$427=$BU$396,BU406,BY406))</f>
        <v/>
      </c>
      <c r="BV437" s="680" t="str">
        <f t="shared" ca="1" si="224"/>
        <v/>
      </c>
      <c r="BW437" s="681" t="str">
        <f t="shared" ca="1" si="224"/>
        <v/>
      </c>
      <c r="BX437" s="681" t="str">
        <f t="shared" ca="1" si="224"/>
        <v/>
      </c>
      <c r="BY437" s="539" t="str" cm="1">
        <f t="array" aca="1" ref="BY437" ca="1">IF(INDIRECT($BI$346&amp;BL388)&lt;&gt;0,INDIRECT($BI$346&amp;BL388),"")</f>
        <v/>
      </c>
      <c r="BZ437" s="539" t="str" cm="1">
        <f t="array" aca="1" ref="BZ437" ca="1">IF(INDIRECT($BI$346&amp;BM388)&lt;&gt;0,INDIRECT($BI$346&amp;BM388),"")</f>
        <v/>
      </c>
      <c r="CA437" s="698" t="str">
        <f t="shared" ca="1" si="216"/>
        <v/>
      </c>
      <c r="CB437" s="698" t="str">
        <f t="shared" ca="1" si="217"/>
        <v/>
      </c>
      <c r="CC437" s="700" t="s">
        <v>8088</v>
      </c>
      <c r="CU437" s="469" t="s">
        <v>5510</v>
      </c>
    </row>
    <row r="438" spans="1:99" x14ac:dyDescent="0.25">
      <c r="A438" s="667">
        <f ca="1"/>
        <v>1</v>
      </c>
      <c r="B438" s="666" t="str">
        <f ca="1"/>
        <v>Diclorana</v>
      </c>
      <c r="BF438" s="469" t="s">
        <v>5510</v>
      </c>
      <c r="BI438" s="536" t="s">
        <v>98</v>
      </c>
      <c r="BJ438" s="680" t="str">
        <f t="shared" ca="1" si="210"/>
        <v/>
      </c>
      <c r="BK438" s="680" t="str">
        <f t="shared" ca="1" si="211"/>
        <v/>
      </c>
      <c r="BL438" s="681" t="str">
        <f t="shared" ca="1" si="212"/>
        <v/>
      </c>
      <c r="BM438" s="681" t="str">
        <f t="shared" ca="1" si="213"/>
        <v/>
      </c>
      <c r="BN438" s="539" t="str" cm="1">
        <f t="array" aca="1" ref="BN438" ca="1">IF(INDIRECT($BI$346&amp;BJ389)&lt;&gt;0,INDIRECT($BI$346&amp;BJ389),"")</f>
        <v/>
      </c>
      <c r="BO438" s="539" t="str" cm="1">
        <f t="array" aca="1" ref="BO438" ca="1">IF(INDIRECT($BI$346&amp;BK389)&lt;&gt;0,INDIRECT($BI$346&amp;BK389),"")</f>
        <v/>
      </c>
      <c r="BP438" s="698" t="str">
        <f t="shared" ca="1" si="218"/>
        <v/>
      </c>
      <c r="BQ438" s="698" t="str">
        <f t="shared" ca="1" si="214"/>
        <v/>
      </c>
      <c r="BR438" s="679" t="s">
        <v>8089</v>
      </c>
      <c r="BT438" s="536" t="s">
        <v>98</v>
      </c>
      <c r="BU438" s="680" t="str">
        <f t="shared" ref="BU438:BX438" ca="1" si="225">IF($BU$427="-","",IF($BU$427=$BU$396,BU407,BY407))</f>
        <v/>
      </c>
      <c r="BV438" s="680" t="str">
        <f t="shared" ca="1" si="225"/>
        <v/>
      </c>
      <c r="BW438" s="681" t="str">
        <f t="shared" ca="1" si="225"/>
        <v/>
      </c>
      <c r="BX438" s="681" t="str">
        <f t="shared" ca="1" si="225"/>
        <v/>
      </c>
      <c r="BY438" s="539" t="str" cm="1">
        <f t="array" aca="1" ref="BY438" ca="1">IF(INDIRECT($BI$346&amp;BL389)&lt;&gt;0,INDIRECT($BI$346&amp;BL389),"")</f>
        <v/>
      </c>
      <c r="BZ438" s="539" t="str" cm="1">
        <f t="array" aca="1" ref="BZ438" ca="1">IF(INDIRECT($BI$346&amp;BM389)&lt;&gt;0,INDIRECT($BI$346&amp;BM389),"")</f>
        <v/>
      </c>
      <c r="CA438" s="698" t="str">
        <f t="shared" ca="1" si="216"/>
        <v/>
      </c>
      <c r="CB438" s="698" t="str">
        <f t="shared" ca="1" si="217"/>
        <v/>
      </c>
      <c r="CC438" s="679" t="s">
        <v>8089</v>
      </c>
      <c r="CU438" s="469" t="s">
        <v>5510</v>
      </c>
    </row>
    <row r="439" spans="1:99" x14ac:dyDescent="0.25">
      <c r="A439" s="667">
        <f ca="1"/>
        <v>1</v>
      </c>
      <c r="B439" s="666" t="str">
        <f ca="1"/>
        <v>Daminozida</v>
      </c>
      <c r="BF439" s="469" t="s">
        <v>5510</v>
      </c>
      <c r="BI439" s="536" t="s">
        <v>99</v>
      </c>
      <c r="BJ439" s="680" t="str">
        <f t="shared" ca="1" si="210"/>
        <v/>
      </c>
      <c r="BK439" s="680" t="str">
        <f t="shared" ca="1" si="211"/>
        <v/>
      </c>
      <c r="BL439" s="681" t="str">
        <f t="shared" ca="1" si="212"/>
        <v/>
      </c>
      <c r="BM439" s="681" t="str">
        <f t="shared" ca="1" si="213"/>
        <v/>
      </c>
      <c r="BN439" s="539" t="str" cm="1">
        <f t="array" aca="1" ref="BN439" ca="1">IF(INDIRECT($BI$346&amp;BJ390)&lt;&gt;0,INDIRECT($BI$346&amp;BJ390),"")</f>
        <v/>
      </c>
      <c r="BO439" s="539" t="str" cm="1">
        <f t="array" aca="1" ref="BO439" ca="1">IF(INDIRECT($BI$346&amp;BK390)&lt;&gt;0,INDIRECT($BI$346&amp;BK390),"")</f>
        <v/>
      </c>
      <c r="BP439" s="698" t="str">
        <f t="shared" ca="1" si="218"/>
        <v/>
      </c>
      <c r="BQ439" s="698" t="str">
        <f t="shared" ca="1" si="214"/>
        <v/>
      </c>
      <c r="BR439" s="701" t="s">
        <v>8090</v>
      </c>
      <c r="BT439" s="536" t="s">
        <v>99</v>
      </c>
      <c r="BU439" s="680" t="str">
        <f t="shared" ref="BU439:BX439" ca="1" si="226">IF($BU$427="-","",IF($BU$427=$BU$396,BU408,BY408))</f>
        <v/>
      </c>
      <c r="BV439" s="680" t="str">
        <f t="shared" ca="1" si="226"/>
        <v/>
      </c>
      <c r="BW439" s="681" t="str">
        <f t="shared" ca="1" si="226"/>
        <v/>
      </c>
      <c r="BX439" s="681" t="str">
        <f t="shared" ca="1" si="226"/>
        <v/>
      </c>
      <c r="BY439" s="539" t="str" cm="1">
        <f t="array" aca="1" ref="BY439" ca="1">IF(INDIRECT($BI$346&amp;BL390)&lt;&gt;0,INDIRECT($BI$346&amp;BL390),"")</f>
        <v/>
      </c>
      <c r="BZ439" s="539" t="str" cm="1">
        <f t="array" aca="1" ref="BZ439" ca="1">IF(INDIRECT($BI$346&amp;BM390)&lt;&gt;0,INDIRECT($BI$346&amp;BM390),"")</f>
        <v/>
      </c>
      <c r="CA439" s="698" t="str">
        <f t="shared" ca="1" si="216"/>
        <v/>
      </c>
      <c r="CB439" s="698" t="str">
        <f t="shared" ca="1" si="217"/>
        <v/>
      </c>
      <c r="CC439" s="701" t="s">
        <v>8090</v>
      </c>
      <c r="CU439" s="469" t="s">
        <v>5510</v>
      </c>
    </row>
    <row r="440" spans="1:99" x14ac:dyDescent="0.25">
      <c r="A440" s="667">
        <f ca="1"/>
        <v>1</v>
      </c>
      <c r="B440" s="666" t="str">
        <f ca="1"/>
        <v>Decanol</v>
      </c>
      <c r="BF440" s="469" t="s">
        <v>5510</v>
      </c>
      <c r="CU440" s="469" t="s">
        <v>5510</v>
      </c>
    </row>
    <row r="441" spans="1:99" x14ac:dyDescent="0.25">
      <c r="A441" s="667">
        <f ca="1"/>
        <v>1</v>
      </c>
      <c r="B441" s="666" t="str">
        <f ca="1"/>
        <v>Difenoconazol</v>
      </c>
      <c r="BF441" s="469" t="s">
        <v>5510</v>
      </c>
      <c r="CU441" s="469" t="s">
        <v>5510</v>
      </c>
    </row>
    <row r="442" spans="1:99" x14ac:dyDescent="0.25">
      <c r="A442" s="667">
        <f ca="1"/>
        <v>1</v>
      </c>
      <c r="B442" s="666" t="str">
        <f ca="1"/>
        <v>Dimetenamida</v>
      </c>
      <c r="BF442" s="469" t="s">
        <v>5510</v>
      </c>
      <c r="BI442" s="20"/>
      <c r="BJ442" s="687" t="s">
        <v>8101</v>
      </c>
      <c r="BK442" s="688"/>
      <c r="BL442" s="688"/>
      <c r="BM442" s="689"/>
      <c r="BN442" s="20"/>
      <c r="BO442" s="20"/>
      <c r="BU442" s="690" t="s">
        <v>8103</v>
      </c>
      <c r="BV442" s="691"/>
      <c r="BW442" s="691"/>
      <c r="BX442" s="692"/>
      <c r="CU442" s="469" t="s">
        <v>5510</v>
      </c>
    </row>
    <row r="443" spans="1:99" x14ac:dyDescent="0.25">
      <c r="A443" s="667">
        <f ca="1"/>
        <v>1</v>
      </c>
      <c r="B443" s="666" t="str">
        <f ca="1"/>
        <v>Difetialona</v>
      </c>
      <c r="BF443" s="469" t="s">
        <v>5510</v>
      </c>
      <c r="BI443" s="372" t="s">
        <v>5802</v>
      </c>
      <c r="BJ443" s="697" t="str">
        <f ca="1">$CQ$21</f>
        <v>-</v>
      </c>
      <c r="BK443" s="694"/>
      <c r="BL443" s="694"/>
      <c r="BM443" s="695"/>
      <c r="BN443" s="696" t="s">
        <v>5743</v>
      </c>
      <c r="BO443" s="484" t="s">
        <v>5743</v>
      </c>
      <c r="BP443" s="484" t="s">
        <v>8104</v>
      </c>
      <c r="BQ443" s="484" t="s">
        <v>8104</v>
      </c>
      <c r="BT443" s="372" t="s">
        <v>5802</v>
      </c>
      <c r="BU443" s="697" t="str">
        <f ca="1">$CQ$21</f>
        <v>-</v>
      </c>
      <c r="BV443" s="694"/>
      <c r="BW443" s="694"/>
      <c r="BX443" s="695"/>
      <c r="BY443" s="696" t="s">
        <v>5743</v>
      </c>
      <c r="BZ443" s="484" t="s">
        <v>5743</v>
      </c>
      <c r="CA443" s="484" t="s">
        <v>8104</v>
      </c>
      <c r="CB443" s="484" t="s">
        <v>8104</v>
      </c>
      <c r="CU443" s="469" t="s">
        <v>5510</v>
      </c>
    </row>
    <row r="444" spans="1:99" x14ac:dyDescent="0.25">
      <c r="A444" s="667">
        <f ca="1"/>
        <v>1</v>
      </c>
      <c r="B444" s="666" t="str">
        <f ca="1"/>
        <v>Dimetomorfe</v>
      </c>
      <c r="BF444" s="469" t="s">
        <v>5510</v>
      </c>
      <c r="BI444" s="372" t="s">
        <v>8092</v>
      </c>
      <c r="BJ444" s="536" t="s">
        <v>10</v>
      </c>
      <c r="BK444" s="536" t="s">
        <v>10</v>
      </c>
      <c r="BL444" s="536" t="s">
        <v>237</v>
      </c>
      <c r="BM444" s="536" t="s">
        <v>237</v>
      </c>
      <c r="BN444" s="536" t="s">
        <v>10</v>
      </c>
      <c r="BO444" s="536" t="s">
        <v>237</v>
      </c>
      <c r="BP444" s="479" t="s">
        <v>10</v>
      </c>
      <c r="BQ444" s="479" t="s">
        <v>237</v>
      </c>
      <c r="BT444" s="372" t="s">
        <v>8092</v>
      </c>
      <c r="BU444" s="536" t="s">
        <v>10</v>
      </c>
      <c r="BV444" s="536" t="s">
        <v>10</v>
      </c>
      <c r="BW444" s="536" t="s">
        <v>237</v>
      </c>
      <c r="BX444" s="536" t="s">
        <v>237</v>
      </c>
      <c r="BY444" s="536" t="s">
        <v>10</v>
      </c>
      <c r="BZ444" s="536" t="s">
        <v>237</v>
      </c>
      <c r="CA444" s="479" t="s">
        <v>10</v>
      </c>
      <c r="CB444" s="479" t="s">
        <v>237</v>
      </c>
      <c r="CU444" s="469" t="s">
        <v>5510</v>
      </c>
    </row>
    <row r="445" spans="1:99" x14ac:dyDescent="0.25">
      <c r="A445" s="667">
        <f ca="1"/>
        <v>1</v>
      </c>
      <c r="B445" s="666" t="str">
        <f ca="1"/>
        <v>Difenacuma</v>
      </c>
      <c r="BF445" s="469" t="s">
        <v>5510</v>
      </c>
      <c r="BJ445" s="536" t="s">
        <v>109</v>
      </c>
      <c r="BK445" s="536" t="s">
        <v>110</v>
      </c>
      <c r="BL445" s="536" t="s">
        <v>109</v>
      </c>
      <c r="BM445" s="536" t="s">
        <v>110</v>
      </c>
      <c r="BN445" s="536"/>
      <c r="BO445" s="536"/>
      <c r="BT445" s="372"/>
      <c r="BU445" s="536" t="s">
        <v>109</v>
      </c>
      <c r="BV445" s="536" t="s">
        <v>110</v>
      </c>
      <c r="BW445" s="536" t="s">
        <v>109</v>
      </c>
      <c r="BX445" s="536" t="s">
        <v>110</v>
      </c>
      <c r="BY445" s="536"/>
      <c r="BZ445" s="536"/>
      <c r="CA445" s="372"/>
      <c r="CB445" s="372"/>
      <c r="CU445" s="469" t="s">
        <v>5510</v>
      </c>
    </row>
    <row r="446" spans="1:99" x14ac:dyDescent="0.25">
      <c r="A446" s="667">
        <f ca="1"/>
        <v>1</v>
      </c>
      <c r="B446" s="666" t="str">
        <f ca="1"/>
        <v>Diafentiurom</v>
      </c>
      <c r="BF446" s="469" t="s">
        <v>5510</v>
      </c>
      <c r="BI446" s="536" t="s">
        <v>90</v>
      </c>
      <c r="BJ446" s="680" t="str">
        <f t="shared" ref="BJ446:BJ455" ca="1" si="227">IF($BJ$443="-","",IF($BJ$443=$BJ$396,BJ399,BN399))</f>
        <v/>
      </c>
      <c r="BK446" s="680" t="str">
        <f t="shared" ref="BK446:BK455" ca="1" si="228">IF($BJ$443="-","",IF($BJ$443=$BJ$396,BK399,BO399))</f>
        <v/>
      </c>
      <c r="BL446" s="681" t="str">
        <f t="shared" ref="BL446:BL455" ca="1" si="229">IF($BJ$443="-","",IF($BJ$443=$BJ$396,BL399,BP399))</f>
        <v/>
      </c>
      <c r="BM446" s="681" t="str">
        <f t="shared" ref="BM446:BM455" ca="1" si="230">IF($BJ$443="-","",IF($BJ$443=$BJ$396,BM399,BQ399))</f>
        <v/>
      </c>
      <c r="BN446" s="681" t="str" cm="1">
        <f t="array" aca="1" ref="BN446" ca="1">IF(INDIRECT($BI$347&amp;BJ381)&lt;&gt;0,INDIRECT($BI$347&amp;BJ381),"")</f>
        <v/>
      </c>
      <c r="BO446" s="681" t="str" cm="1">
        <f t="array" aca="1" ref="BO446" ca="1">IF(INDIRECT($BI$347&amp;BK381)&lt;&gt;0,INDIRECT($BI$347&amp;BK381),"")</f>
        <v/>
      </c>
      <c r="BP446" s="698" t="str">
        <f ca="1">IF(BN446="","",
IF(BJ446="",3,IF(BN446&lt;BJ446,1,IF(BN446&gt;BK446,2,0)))
)</f>
        <v/>
      </c>
      <c r="BQ446" s="698" t="str">
        <f ca="1">IF(BO446="","",
IF(BL446="",3,IF(BO446&lt;BL446,1,IF(BO446&gt;BM446,2,0)))
)</f>
        <v/>
      </c>
      <c r="BT446" s="536" t="s">
        <v>90</v>
      </c>
      <c r="BU446" s="680" t="str">
        <f ca="1">IF($BU$443="-","",IF($BU$443=$BU$396,BU399,BY399))</f>
        <v/>
      </c>
      <c r="BV446" s="680" t="str">
        <f ca="1">IF($BU$443="-","",IF($BU$443=$BU$396,BV399,BZ399))</f>
        <v/>
      </c>
      <c r="BW446" s="681" t="str">
        <f ca="1">IF($BU$443="-","",IF($BU$443=$BU$396,BW399,CA399))</f>
        <v/>
      </c>
      <c r="BX446" s="681" t="str">
        <f ca="1">IF($BU$443="-","",IF($BU$443=$BU$396,BX399,CB399))</f>
        <v/>
      </c>
      <c r="BY446" s="539" t="str" cm="1">
        <f t="array" aca="1" ref="BY446" ca="1">IF(INDIRECT($BI$347&amp;BL381)&lt;&gt;0,INDIRECT($BI$347&amp;BL381),"")</f>
        <v/>
      </c>
      <c r="BZ446" s="539" t="str" cm="1">
        <f t="array" aca="1" ref="BZ446" ca="1">IF(INDIRECT($BI$347&amp;BM381)&lt;&gt;0,INDIRECT($BI$347&amp;BM381),"")</f>
        <v/>
      </c>
      <c r="CA446" s="698" t="str">
        <f ca="1">IF(BY446="","",
IF(BU446="",3,IF(BY446&lt;BU446,1,IF(BY446&gt;BV446,2,0)))
)</f>
        <v/>
      </c>
      <c r="CB446" s="698" t="str">
        <f ca="1">IF(BZ446="","",
IF(BW446="",3,IF(BZ446&lt;BW446,1,IF(BZ446&gt;BX446,2,0)))
)</f>
        <v/>
      </c>
      <c r="CU446" s="469" t="s">
        <v>5510</v>
      </c>
    </row>
    <row r="447" spans="1:99" x14ac:dyDescent="0.25">
      <c r="A447" s="667">
        <f ca="1"/>
        <v>1</v>
      </c>
      <c r="B447" s="666" t="str">
        <f ca="1"/>
        <v>Dinocape</v>
      </c>
      <c r="BF447" s="469" t="s">
        <v>5510</v>
      </c>
      <c r="BI447" s="536" t="s">
        <v>91</v>
      </c>
      <c r="BJ447" s="680" t="str">
        <f t="shared" ca="1" si="227"/>
        <v/>
      </c>
      <c r="BK447" s="680" t="str">
        <f t="shared" ca="1" si="228"/>
        <v/>
      </c>
      <c r="BL447" s="681" t="str">
        <f t="shared" ca="1" si="229"/>
        <v/>
      </c>
      <c r="BM447" s="681" t="str">
        <f t="shared" ca="1" si="230"/>
        <v/>
      </c>
      <c r="BN447" s="681" t="str" cm="1">
        <f t="array" aca="1" ref="BN447" ca="1">IF(INDIRECT($BI$347&amp;BJ382)&lt;&gt;0,INDIRECT($BI$347&amp;BJ382),"")</f>
        <v/>
      </c>
      <c r="BO447" s="681" t="str" cm="1">
        <f t="array" aca="1" ref="BO447" ca="1">IF(INDIRECT($BI$347&amp;BK382)&lt;&gt;0,INDIRECT($BI$347&amp;BK382),"")</f>
        <v/>
      </c>
      <c r="BP447" s="698" t="str">
        <f ca="1">IF(BN447="","",
IF(BJ447="",3,IF(BN447&lt;BJ447,1,IF(BN447&gt;BK447,2,0)))
)</f>
        <v/>
      </c>
      <c r="BQ447" s="698" t="str">
        <f t="shared" ref="BQ447:BQ455" ca="1" si="231">IF(BO447="","",
IF(BL447="",3,IF(BO447&lt;BL447,1,IF(BO447&gt;BM447,2,0)))
)</f>
        <v/>
      </c>
      <c r="BT447" s="536" t="s">
        <v>91</v>
      </c>
      <c r="BU447" s="680" t="str">
        <f t="shared" ref="BU447:BX447" ca="1" si="232">IF($BU$443="-","",IF($BU$443=$BU$396,BU400,BY400))</f>
        <v/>
      </c>
      <c r="BV447" s="680" t="str">
        <f t="shared" ca="1" si="232"/>
        <v/>
      </c>
      <c r="BW447" s="681" t="str">
        <f t="shared" ca="1" si="232"/>
        <v/>
      </c>
      <c r="BX447" s="681" t="str">
        <f t="shared" ca="1" si="232"/>
        <v/>
      </c>
      <c r="BY447" s="539" t="str" cm="1">
        <f t="array" aca="1" ref="BY447" ca="1">IF(INDIRECT($BI$347&amp;BL382)&lt;&gt;0,INDIRECT($BI$347&amp;BL382),"")</f>
        <v/>
      </c>
      <c r="BZ447" s="539" t="str" cm="1">
        <f t="array" aca="1" ref="BZ447" ca="1">IF(INDIRECT($BI$347&amp;BM382)&lt;&gt;0,INDIRECT($BI$347&amp;BM382),"")</f>
        <v/>
      </c>
      <c r="CA447" s="698" t="str">
        <f t="shared" ref="CA447" ca="1" si="233">IF(BY447="","",
IF(BU447="",3,IF(BY447&lt;BU447,1,IF(BY447&gt;BV447,2,0)))
)</f>
        <v/>
      </c>
      <c r="CB447" s="698" t="str">
        <f t="shared" ref="CB447:CB455" ca="1" si="234">IF(BZ447="","",
IF(BW447="",3,IF(BZ447&lt;BW447,1,IF(BZ447&gt;BX447,2,0)))
)</f>
        <v/>
      </c>
      <c r="CU447" s="469" t="s">
        <v>5510</v>
      </c>
    </row>
    <row r="448" spans="1:99" x14ac:dyDescent="0.25">
      <c r="A448" s="667">
        <f ca="1"/>
        <v>1</v>
      </c>
      <c r="B448" s="666" t="str">
        <f ca="1"/>
        <v>Diclosulam</v>
      </c>
      <c r="BF448" s="469" t="s">
        <v>5510</v>
      </c>
      <c r="BI448" s="536" t="s">
        <v>92</v>
      </c>
      <c r="BJ448" s="680" t="str">
        <f t="shared" ca="1" si="227"/>
        <v/>
      </c>
      <c r="BK448" s="680" t="str">
        <f t="shared" ca="1" si="228"/>
        <v/>
      </c>
      <c r="BL448" s="681" t="str">
        <f t="shared" ca="1" si="229"/>
        <v/>
      </c>
      <c r="BM448" s="681" t="str">
        <f t="shared" ca="1" si="230"/>
        <v/>
      </c>
      <c r="BN448" s="681" t="str" cm="1">
        <f t="array" aca="1" ref="BN448" ca="1">IF(INDIRECT($BI$347&amp;BJ383)&lt;&gt;0,INDIRECT($BI$347&amp;BJ383),"")</f>
        <v/>
      </c>
      <c r="BO448" s="681" t="str" cm="1">
        <f t="array" aca="1" ref="BO448" ca="1">IF(INDIRECT($BI$347&amp;BK383)&lt;&gt;0,INDIRECT($BI$347&amp;BK383),"")</f>
        <v/>
      </c>
      <c r="BP448" s="698" t="str">
        <f t="shared" ref="BP448:BP455" ca="1" si="235">IF(BN448="","",
IF(BJ448="",3,IF(BN448&lt;BJ448,1,IF(BN448&gt;BK448,2,0)))
)</f>
        <v/>
      </c>
      <c r="BQ448" s="698" t="str">
        <f t="shared" ca="1" si="231"/>
        <v/>
      </c>
      <c r="BT448" s="536" t="s">
        <v>92</v>
      </c>
      <c r="BU448" s="680" t="str">
        <f t="shared" ref="BU448:BX448" ca="1" si="236">IF($BU$443="-","",IF($BU$443=$BU$396,BU401,BY401))</f>
        <v/>
      </c>
      <c r="BV448" s="680" t="str">
        <f t="shared" ca="1" si="236"/>
        <v/>
      </c>
      <c r="BW448" s="681" t="str">
        <f t="shared" ca="1" si="236"/>
        <v/>
      </c>
      <c r="BX448" s="681" t="str">
        <f t="shared" ca="1" si="236"/>
        <v/>
      </c>
      <c r="BY448" s="539" t="str" cm="1">
        <f t="array" aca="1" ref="BY448" ca="1">IF(INDIRECT($BI$347&amp;BL383)&lt;&gt;0,INDIRECT($BI$347&amp;BL383),"")</f>
        <v/>
      </c>
      <c r="BZ448" s="539" t="str" cm="1">
        <f t="array" aca="1" ref="BZ448" ca="1">IF(INDIRECT($BI$347&amp;BM383)&lt;&gt;0,INDIRECT($BI$347&amp;BM383),"")</f>
        <v/>
      </c>
      <c r="CA448" s="698" t="str">
        <f ca="1">IF(BY448="","",
IF(BU448="",3,IF(BY448&lt;BU448,1,IF(BY448&gt;BV448,2,0)))
)</f>
        <v/>
      </c>
      <c r="CB448" s="698" t="str">
        <f t="shared" ca="1" si="234"/>
        <v/>
      </c>
      <c r="CU448" s="469" t="s">
        <v>5510</v>
      </c>
    </row>
    <row r="449" spans="1:99" x14ac:dyDescent="0.25">
      <c r="A449" s="667">
        <f ca="1"/>
        <v>1</v>
      </c>
      <c r="B449" s="666" t="str">
        <f ca="1"/>
        <v>Diflufenicam</v>
      </c>
      <c r="BF449" s="469" t="s">
        <v>5510</v>
      </c>
      <c r="BI449" s="536" t="s">
        <v>93</v>
      </c>
      <c r="BJ449" s="680" t="str">
        <f t="shared" ca="1" si="227"/>
        <v/>
      </c>
      <c r="BK449" s="680" t="str">
        <f t="shared" ca="1" si="228"/>
        <v/>
      </c>
      <c r="BL449" s="681" t="str">
        <f t="shared" ca="1" si="229"/>
        <v/>
      </c>
      <c r="BM449" s="681" t="str">
        <f t="shared" ca="1" si="230"/>
        <v/>
      </c>
      <c r="BN449" s="681" t="str" cm="1">
        <f t="array" aca="1" ref="BN449" ca="1">IF(INDIRECT($BI$347&amp;BJ384)&lt;&gt;0,INDIRECT($BI$347&amp;BJ384),"")</f>
        <v/>
      </c>
      <c r="BO449" s="681" t="str" cm="1">
        <f t="array" aca="1" ref="BO449" ca="1">IF(INDIRECT($BI$347&amp;BK384)&lt;&gt;0,INDIRECT($BI$347&amp;BK384),"")</f>
        <v/>
      </c>
      <c r="BP449" s="698" t="str">
        <f t="shared" ca="1" si="235"/>
        <v/>
      </c>
      <c r="BQ449" s="698" t="str">
        <f t="shared" ca="1" si="231"/>
        <v/>
      </c>
      <c r="BT449" s="536" t="s">
        <v>93</v>
      </c>
      <c r="BU449" s="680" t="str">
        <f t="shared" ref="BU449:BX449" ca="1" si="237">IF($BU$443="-","",IF($BU$443=$BU$396,BU402,BY402))</f>
        <v/>
      </c>
      <c r="BV449" s="680" t="str">
        <f t="shared" ca="1" si="237"/>
        <v/>
      </c>
      <c r="BW449" s="681" t="str">
        <f t="shared" ca="1" si="237"/>
        <v/>
      </c>
      <c r="BX449" s="681" t="str">
        <f t="shared" ca="1" si="237"/>
        <v/>
      </c>
      <c r="BY449" s="539" t="str" cm="1">
        <f t="array" aca="1" ref="BY449" ca="1">IF(INDIRECT($BI$347&amp;BL384)&lt;&gt;0,INDIRECT($BI$347&amp;BL384),"")</f>
        <v/>
      </c>
      <c r="BZ449" s="539" t="str" cm="1">
        <f t="array" aca="1" ref="BZ449" ca="1">IF(INDIRECT($BI$347&amp;BM384)&lt;&gt;0,INDIRECT($BI$347&amp;BM384),"")</f>
        <v/>
      </c>
      <c r="CA449" s="698" t="str">
        <f ca="1">IF(BY449="","",
IF(BU449="",3,IF(BY449&lt;BU449,1,IF(BY449&gt;BV449,2,0)))
)</f>
        <v/>
      </c>
      <c r="CB449" s="698" t="str">
        <f t="shared" ca="1" si="234"/>
        <v/>
      </c>
      <c r="CU449" s="469" t="s">
        <v>5510</v>
      </c>
    </row>
    <row r="450" spans="1:99" x14ac:dyDescent="0.25">
      <c r="A450" s="667">
        <f ca="1"/>
        <v>1</v>
      </c>
      <c r="B450" s="666" t="str">
        <f ca="1"/>
        <v>5,9-dimetilpentadecano</v>
      </c>
      <c r="BF450" s="469" t="s">
        <v>5510</v>
      </c>
      <c r="BI450" s="536" t="s">
        <v>94</v>
      </c>
      <c r="BJ450" s="680" t="str">
        <f t="shared" ca="1" si="227"/>
        <v/>
      </c>
      <c r="BK450" s="680" t="str">
        <f t="shared" ca="1" si="228"/>
        <v/>
      </c>
      <c r="BL450" s="681" t="str">
        <f t="shared" ca="1" si="229"/>
        <v/>
      </c>
      <c r="BM450" s="681" t="str">
        <f t="shared" ca="1" si="230"/>
        <v/>
      </c>
      <c r="BN450" s="681" t="str" cm="1">
        <f t="array" aca="1" ref="BN450" ca="1">IF(INDIRECT($BI$347&amp;BJ385)&lt;&gt;0,INDIRECT($BI$347&amp;BJ385),"")</f>
        <v/>
      </c>
      <c r="BO450" s="681" t="str" cm="1">
        <f t="array" aca="1" ref="BO450" ca="1">IF(INDIRECT($BI$347&amp;BK385)&lt;&gt;0,INDIRECT($BI$347&amp;BK385),"")</f>
        <v/>
      </c>
      <c r="BP450" s="698" t="str">
        <f t="shared" ca="1" si="235"/>
        <v/>
      </c>
      <c r="BQ450" s="698" t="str">
        <f t="shared" ca="1" si="231"/>
        <v/>
      </c>
      <c r="BT450" s="536" t="s">
        <v>94</v>
      </c>
      <c r="BU450" s="680" t="str">
        <f t="shared" ref="BU450:BX450" ca="1" si="238">IF($BU$443="-","",IF($BU$443=$BU$396,BU403,BY403))</f>
        <v/>
      </c>
      <c r="BV450" s="680" t="str">
        <f t="shared" ca="1" si="238"/>
        <v/>
      </c>
      <c r="BW450" s="681" t="str">
        <f t="shared" ca="1" si="238"/>
        <v/>
      </c>
      <c r="BX450" s="681" t="str">
        <f t="shared" ca="1" si="238"/>
        <v/>
      </c>
      <c r="BY450" s="539" t="str" cm="1">
        <f t="array" aca="1" ref="BY450" ca="1">IF(INDIRECT($BI$347&amp;BL385)&lt;&gt;0,INDIRECT($BI$347&amp;BL385),"")</f>
        <v/>
      </c>
      <c r="BZ450" s="539" t="str" cm="1">
        <f t="array" aca="1" ref="BZ450" ca="1">IF(INDIRECT($BI$347&amp;BM385)&lt;&gt;0,INDIRECT($BI$347&amp;BM385),"")</f>
        <v/>
      </c>
      <c r="CA450" s="698" t="str">
        <f t="shared" ref="CA450:CA455" ca="1" si="239">IF(BY450="","",
IF(BU450="",3,IF(BY450&lt;BU450,1,IF(BY450&gt;BV450,2,0)))
)</f>
        <v/>
      </c>
      <c r="CB450" s="698" t="str">
        <f t="shared" ca="1" si="234"/>
        <v/>
      </c>
      <c r="CU450" s="469" t="s">
        <v>5510</v>
      </c>
    </row>
    <row r="451" spans="1:99" x14ac:dyDescent="0.25">
      <c r="A451" s="667">
        <f ca="1"/>
        <v>1</v>
      </c>
      <c r="B451" s="666" t="str">
        <f ca="1"/>
        <v>(e)-8-dodecenol</v>
      </c>
      <c r="BF451" s="469" t="s">
        <v>5510</v>
      </c>
      <c r="BI451" s="536" t="s">
        <v>95</v>
      </c>
      <c r="BJ451" s="680" t="str">
        <f t="shared" ca="1" si="227"/>
        <v/>
      </c>
      <c r="BK451" s="680" t="str">
        <f t="shared" ca="1" si="228"/>
        <v/>
      </c>
      <c r="BL451" s="681" t="str">
        <f t="shared" ca="1" si="229"/>
        <v/>
      </c>
      <c r="BM451" s="681" t="str">
        <f t="shared" ca="1" si="230"/>
        <v/>
      </c>
      <c r="BN451" s="681" t="str" cm="1">
        <f t="array" aca="1" ref="BN451" ca="1">IF(INDIRECT($BI$347&amp;BJ386)&lt;&gt;0,INDIRECT($BI$347&amp;BJ386),"")</f>
        <v/>
      </c>
      <c r="BO451" s="681" t="str" cm="1">
        <f t="array" aca="1" ref="BO451" ca="1">IF(INDIRECT($BI$347&amp;BK386)&lt;&gt;0,INDIRECT($BI$347&amp;BK386),"")</f>
        <v/>
      </c>
      <c r="BP451" s="698" t="str">
        <f t="shared" ca="1" si="235"/>
        <v/>
      </c>
      <c r="BQ451" s="698" t="str">
        <f t="shared" ca="1" si="231"/>
        <v/>
      </c>
      <c r="BT451" s="536" t="s">
        <v>95</v>
      </c>
      <c r="BU451" s="680" t="str">
        <f t="shared" ref="BU451:BX451" ca="1" si="240">IF($BU$443="-","",IF($BU$443=$BU$396,BU404,BY404))</f>
        <v/>
      </c>
      <c r="BV451" s="680" t="str">
        <f t="shared" ca="1" si="240"/>
        <v/>
      </c>
      <c r="BW451" s="681" t="str">
        <f t="shared" ca="1" si="240"/>
        <v/>
      </c>
      <c r="BX451" s="681" t="str">
        <f t="shared" ca="1" si="240"/>
        <v/>
      </c>
      <c r="BY451" s="539" t="str" cm="1">
        <f t="array" aca="1" ref="BY451" ca="1">IF(INDIRECT($BI$347&amp;BL386)&lt;&gt;0,INDIRECT($BI$347&amp;BL386),"")</f>
        <v/>
      </c>
      <c r="BZ451" s="539" t="str" cm="1">
        <f t="array" aca="1" ref="BZ451" ca="1">IF(INDIRECT($BI$347&amp;BM386)&lt;&gt;0,INDIRECT($BI$347&amp;BM386),"")</f>
        <v/>
      </c>
      <c r="CA451" s="698" t="str">
        <f t="shared" ca="1" si="239"/>
        <v/>
      </c>
      <c r="CB451" s="698" t="str">
        <f t="shared" ca="1" si="234"/>
        <v/>
      </c>
      <c r="CU451" s="469" t="s">
        <v>5510</v>
      </c>
    </row>
    <row r="452" spans="1:99" x14ac:dyDescent="0.25">
      <c r="A452" s="667">
        <f ca="1"/>
        <v>1</v>
      </c>
      <c r="B452" s="666" t="str">
        <f ca="1"/>
        <v>(z)-8-dodecenol</v>
      </c>
      <c r="BF452" s="469" t="s">
        <v>5510</v>
      </c>
      <c r="BI452" s="536" t="s">
        <v>96</v>
      </c>
      <c r="BJ452" s="680" t="str">
        <f t="shared" ca="1" si="227"/>
        <v/>
      </c>
      <c r="BK452" s="680" t="str">
        <f t="shared" ca="1" si="228"/>
        <v/>
      </c>
      <c r="BL452" s="681" t="str">
        <f t="shared" ca="1" si="229"/>
        <v/>
      </c>
      <c r="BM452" s="681" t="str">
        <f t="shared" ca="1" si="230"/>
        <v/>
      </c>
      <c r="BN452" s="681" t="str" cm="1">
        <f t="array" aca="1" ref="BN452" ca="1">IF(INDIRECT($BI$347&amp;BJ387)&lt;&gt;0,INDIRECT($BI$347&amp;BJ387),"")</f>
        <v/>
      </c>
      <c r="BO452" s="681" t="str" cm="1">
        <f t="array" aca="1" ref="BO452" ca="1">IF(INDIRECT($BI$347&amp;BK387)&lt;&gt;0,INDIRECT($BI$347&amp;BK387),"")</f>
        <v/>
      </c>
      <c r="BP452" s="698" t="str">
        <f t="shared" ca="1" si="235"/>
        <v/>
      </c>
      <c r="BQ452" s="698" t="str">
        <f t="shared" ca="1" si="231"/>
        <v/>
      </c>
      <c r="BR452" s="699" t="s">
        <v>8087</v>
      </c>
      <c r="BT452" s="536" t="s">
        <v>96</v>
      </c>
      <c r="BU452" s="680" t="str">
        <f t="shared" ref="BU452:BX452" ca="1" si="241">IF($BU$443="-","",IF($BU$443=$BU$396,BU405,BY405))</f>
        <v/>
      </c>
      <c r="BV452" s="680" t="str">
        <f t="shared" ca="1" si="241"/>
        <v/>
      </c>
      <c r="BW452" s="681" t="str">
        <f t="shared" ca="1" si="241"/>
        <v/>
      </c>
      <c r="BX452" s="681" t="str">
        <f t="shared" ca="1" si="241"/>
        <v/>
      </c>
      <c r="BY452" s="539" t="str" cm="1">
        <f t="array" aca="1" ref="BY452" ca="1">IF(INDIRECT($BI$347&amp;BL387)&lt;&gt;0,INDIRECT($BI$347&amp;BL387),"")</f>
        <v/>
      </c>
      <c r="BZ452" s="539" t="str" cm="1">
        <f t="array" aca="1" ref="BZ452" ca="1">IF(INDIRECT($BI$347&amp;BM387)&lt;&gt;0,INDIRECT($BI$347&amp;BM387),"")</f>
        <v/>
      </c>
      <c r="CA452" s="698" t="str">
        <f t="shared" ca="1" si="239"/>
        <v/>
      </c>
      <c r="CB452" s="698" t="str">
        <f t="shared" ca="1" si="234"/>
        <v/>
      </c>
      <c r="CC452" s="699" t="s">
        <v>8087</v>
      </c>
      <c r="CU452" s="469" t="s">
        <v>5510</v>
      </c>
    </row>
    <row r="453" spans="1:99" x14ac:dyDescent="0.25">
      <c r="A453" s="667">
        <f ca="1"/>
        <v>1</v>
      </c>
      <c r="B453" s="666" t="str">
        <f ca="1"/>
        <v>Difacinona</v>
      </c>
      <c r="BF453" s="469" t="s">
        <v>5510</v>
      </c>
      <c r="BI453" s="536" t="s">
        <v>97</v>
      </c>
      <c r="BJ453" s="680" t="str">
        <f t="shared" ca="1" si="227"/>
        <v/>
      </c>
      <c r="BK453" s="680" t="str">
        <f t="shared" ca="1" si="228"/>
        <v/>
      </c>
      <c r="BL453" s="681" t="str">
        <f t="shared" ca="1" si="229"/>
        <v/>
      </c>
      <c r="BM453" s="681" t="str">
        <f t="shared" ca="1" si="230"/>
        <v/>
      </c>
      <c r="BN453" s="681" t="str" cm="1">
        <f t="array" aca="1" ref="BN453" ca="1">IF(INDIRECT($BI$347&amp;BJ388)&lt;&gt;0,INDIRECT($BI$347&amp;BJ388),"")</f>
        <v/>
      </c>
      <c r="BO453" s="681" t="str" cm="1">
        <f t="array" aca="1" ref="BO453" ca="1">IF(INDIRECT($BI$347&amp;BK388)&lt;&gt;0,INDIRECT($BI$347&amp;BK388),"")</f>
        <v/>
      </c>
      <c r="BP453" s="698" t="str">
        <f t="shared" ca="1" si="235"/>
        <v/>
      </c>
      <c r="BQ453" s="698" t="str">
        <f t="shared" ca="1" si="231"/>
        <v/>
      </c>
      <c r="BR453" s="700" t="s">
        <v>8088</v>
      </c>
      <c r="BT453" s="536" t="s">
        <v>97</v>
      </c>
      <c r="BU453" s="680" t="str">
        <f t="shared" ref="BU453:BX453" ca="1" si="242">IF($BU$443="-","",IF($BU$443=$BU$396,BU406,BY406))</f>
        <v/>
      </c>
      <c r="BV453" s="680" t="str">
        <f t="shared" ca="1" si="242"/>
        <v/>
      </c>
      <c r="BW453" s="681" t="str">
        <f t="shared" ca="1" si="242"/>
        <v/>
      </c>
      <c r="BX453" s="681" t="str">
        <f t="shared" ca="1" si="242"/>
        <v/>
      </c>
      <c r="BY453" s="539" t="str" cm="1">
        <f t="array" aca="1" ref="BY453" ca="1">IF(INDIRECT($BI$347&amp;BL388)&lt;&gt;0,INDIRECT($BI$347&amp;BL388),"")</f>
        <v/>
      </c>
      <c r="BZ453" s="539" t="str" cm="1">
        <f t="array" aca="1" ref="BZ453" ca="1">IF(INDIRECT($BI$347&amp;BM388)&lt;&gt;0,INDIRECT($BI$347&amp;BM388),"")</f>
        <v/>
      </c>
      <c r="CA453" s="698" t="str">
        <f t="shared" ca="1" si="239"/>
        <v/>
      </c>
      <c r="CB453" s="698" t="str">
        <f t="shared" ca="1" si="234"/>
        <v/>
      </c>
      <c r="CC453" s="700" t="s">
        <v>8088</v>
      </c>
      <c r="CU453" s="469" t="s">
        <v>5510</v>
      </c>
    </row>
    <row r="454" spans="1:99" x14ac:dyDescent="0.25">
      <c r="A454" s="667">
        <f ca="1"/>
        <v>1</v>
      </c>
      <c r="B454" s="666" t="str">
        <f ca="1"/>
        <v>4,8-dimetildecanal</v>
      </c>
      <c r="BF454" s="469" t="s">
        <v>5510</v>
      </c>
      <c r="BI454" s="536" t="s">
        <v>98</v>
      </c>
      <c r="BJ454" s="680" t="str">
        <f t="shared" ca="1" si="227"/>
        <v/>
      </c>
      <c r="BK454" s="680" t="str">
        <f t="shared" ca="1" si="228"/>
        <v/>
      </c>
      <c r="BL454" s="681" t="str">
        <f t="shared" ca="1" si="229"/>
        <v/>
      </c>
      <c r="BM454" s="681" t="str">
        <f t="shared" ca="1" si="230"/>
        <v/>
      </c>
      <c r="BN454" s="681" t="str" cm="1">
        <f t="array" aca="1" ref="BN454" ca="1">IF(INDIRECT($BI$347&amp;BJ389)&lt;&gt;0,INDIRECT($BI$347&amp;BJ389),"")</f>
        <v/>
      </c>
      <c r="BO454" s="681" t="str" cm="1">
        <f t="array" aca="1" ref="BO454" ca="1">IF(INDIRECT($BI$347&amp;BK389)&lt;&gt;0,INDIRECT($BI$347&amp;BK389),"")</f>
        <v/>
      </c>
      <c r="BP454" s="698" t="str">
        <f t="shared" ca="1" si="235"/>
        <v/>
      </c>
      <c r="BQ454" s="698" t="str">
        <f t="shared" ca="1" si="231"/>
        <v/>
      </c>
      <c r="BR454" s="679" t="s">
        <v>8089</v>
      </c>
      <c r="BT454" s="536" t="s">
        <v>98</v>
      </c>
      <c r="BU454" s="680" t="str">
        <f t="shared" ref="BU454:BX454" ca="1" si="243">IF($BU$443="-","",IF($BU$443=$BU$396,BU407,BY407))</f>
        <v/>
      </c>
      <c r="BV454" s="680" t="str">
        <f t="shared" ca="1" si="243"/>
        <v/>
      </c>
      <c r="BW454" s="681" t="str">
        <f t="shared" ca="1" si="243"/>
        <v/>
      </c>
      <c r="BX454" s="681" t="str">
        <f t="shared" ca="1" si="243"/>
        <v/>
      </c>
      <c r="BY454" s="539" t="str" cm="1">
        <f t="array" aca="1" ref="BY454" ca="1">IF(INDIRECT($BI$347&amp;BL389)&lt;&gt;0,INDIRECT($BI$347&amp;BL389),"")</f>
        <v/>
      </c>
      <c r="BZ454" s="539" t="str" cm="1">
        <f t="array" aca="1" ref="BZ454" ca="1">IF(INDIRECT($BI$347&amp;BM389)&lt;&gt;0,INDIRECT($BI$347&amp;BM389),"")</f>
        <v/>
      </c>
      <c r="CA454" s="698" t="str">
        <f t="shared" ca="1" si="239"/>
        <v/>
      </c>
      <c r="CB454" s="698" t="str">
        <f t="shared" ca="1" si="234"/>
        <v/>
      </c>
      <c r="CC454" s="679" t="s">
        <v>8089</v>
      </c>
      <c r="CU454" s="469" t="s">
        <v>5510</v>
      </c>
    </row>
    <row r="455" spans="1:99" x14ac:dyDescent="0.25">
      <c r="A455" s="667">
        <f ca="1"/>
        <v>1</v>
      </c>
      <c r="B455" s="666" t="str">
        <f ca="1"/>
        <v>Diachasmimorpha longicaudata</v>
      </c>
      <c r="BF455" s="469" t="s">
        <v>5510</v>
      </c>
      <c r="BI455" s="536" t="s">
        <v>99</v>
      </c>
      <c r="BJ455" s="680" t="str">
        <f t="shared" ca="1" si="227"/>
        <v/>
      </c>
      <c r="BK455" s="680" t="str">
        <f t="shared" ca="1" si="228"/>
        <v/>
      </c>
      <c r="BL455" s="681" t="str">
        <f t="shared" ca="1" si="229"/>
        <v/>
      </c>
      <c r="BM455" s="681" t="str">
        <f t="shared" ca="1" si="230"/>
        <v/>
      </c>
      <c r="BN455" s="681" t="str" cm="1">
        <f t="array" aca="1" ref="BN455" ca="1">IF(INDIRECT($BI$347&amp;BJ390)&lt;&gt;0,INDIRECT($BI$347&amp;BJ390),"")</f>
        <v/>
      </c>
      <c r="BO455" s="681" t="str" cm="1">
        <f t="array" aca="1" ref="BO455" ca="1">IF(INDIRECT($BI$347&amp;BK390)&lt;&gt;0,INDIRECT($BI$347&amp;BK390),"")</f>
        <v/>
      </c>
      <c r="BP455" s="698" t="str">
        <f t="shared" ca="1" si="235"/>
        <v/>
      </c>
      <c r="BQ455" s="698" t="str">
        <f t="shared" ca="1" si="231"/>
        <v/>
      </c>
      <c r="BR455" s="701" t="s">
        <v>8090</v>
      </c>
      <c r="BT455" s="536" t="s">
        <v>99</v>
      </c>
      <c r="BU455" s="680" t="str">
        <f t="shared" ref="BU455:BX455" ca="1" si="244">IF($BU$443="-","",IF($BU$443=$BU$396,BU408,BY408))</f>
        <v/>
      </c>
      <c r="BV455" s="680" t="str">
        <f t="shared" ca="1" si="244"/>
        <v/>
      </c>
      <c r="BW455" s="681" t="str">
        <f t="shared" ca="1" si="244"/>
        <v/>
      </c>
      <c r="BX455" s="681" t="str">
        <f t="shared" ca="1" si="244"/>
        <v/>
      </c>
      <c r="BY455" s="539" t="str" cm="1">
        <f t="array" aca="1" ref="BY455" ca="1">IF(INDIRECT($BI$347&amp;BL390)&lt;&gt;0,INDIRECT($BI$347&amp;BL390),"")</f>
        <v/>
      </c>
      <c r="BZ455" s="539" t="str" cm="1">
        <f t="array" aca="1" ref="BZ455" ca="1">IF(INDIRECT($BI$347&amp;BM390)&lt;&gt;0,INDIRECT($BI$347&amp;BM390),"")</f>
        <v/>
      </c>
      <c r="CA455" s="698" t="str">
        <f t="shared" ca="1" si="239"/>
        <v/>
      </c>
      <c r="CB455" s="698" t="str">
        <f t="shared" ca="1" si="234"/>
        <v/>
      </c>
      <c r="CC455" s="701" t="s">
        <v>8090</v>
      </c>
      <c r="CU455" s="469" t="s">
        <v>5510</v>
      </c>
    </row>
    <row r="456" spans="1:99" x14ac:dyDescent="0.25">
      <c r="A456" s="667">
        <f ca="1"/>
        <v>1</v>
      </c>
      <c r="B456" s="666" t="str">
        <f ca="1"/>
        <v>Dimetenamida -p</v>
      </c>
      <c r="BF456" s="469" t="s">
        <v>5510</v>
      </c>
      <c r="CU456" s="469" t="s">
        <v>5510</v>
      </c>
    </row>
    <row r="457" spans="1:99" x14ac:dyDescent="0.25">
      <c r="A457" s="667">
        <f ca="1"/>
        <v>1</v>
      </c>
      <c r="B457" s="666" t="str">
        <f ca="1"/>
        <v>1,4-dimetoxibenzeno</v>
      </c>
      <c r="BF457" s="469" t="s">
        <v>5510</v>
      </c>
      <c r="CU457" s="469" t="s">
        <v>5510</v>
      </c>
    </row>
    <row r="458" spans="1:99" x14ac:dyDescent="0.25">
      <c r="A458" s="667">
        <f ca="1"/>
        <v>1</v>
      </c>
      <c r="B458" s="666" t="str">
        <f ca="1"/>
        <v>Dimoxistrobina</v>
      </c>
      <c r="BF458" s="469" t="s">
        <v>5510</v>
      </c>
      <c r="CU458" s="469" t="s">
        <v>5510</v>
      </c>
    </row>
    <row r="459" spans="1:99" x14ac:dyDescent="0.25">
      <c r="A459" s="667">
        <f ca="1"/>
        <v>1</v>
      </c>
      <c r="B459" s="666" t="str">
        <f ca="1"/>
        <v>DELADENUS SIRICIDICOLA</v>
      </c>
      <c r="BF459" s="469" t="s">
        <v>5510</v>
      </c>
      <c r="BU459" s="372"/>
      <c r="BV459" s="372"/>
      <c r="CU459" s="469" t="s">
        <v>5510</v>
      </c>
    </row>
    <row r="460" spans="1:99" x14ac:dyDescent="0.25">
      <c r="A460" s="667">
        <f ca="1"/>
        <v>1</v>
      </c>
      <c r="B460" s="666" t="str">
        <f ca="1"/>
        <v>DINOTEFURANO</v>
      </c>
      <c r="BF460" s="469" t="s">
        <v>5510</v>
      </c>
      <c r="BU460" s="372"/>
      <c r="CU460" s="469" t="s">
        <v>5510</v>
      </c>
    </row>
    <row r="461" spans="1:99" x14ac:dyDescent="0.25">
      <c r="A461" s="667">
        <f ca="1"/>
        <v>1</v>
      </c>
      <c r="B461" s="666" t="str">
        <f ca="1"/>
        <v>Edifenfós</v>
      </c>
      <c r="BF461" s="469" t="s">
        <v>5510</v>
      </c>
      <c r="BU461" s="372"/>
      <c r="CU461" s="469" t="s">
        <v>5510</v>
      </c>
    </row>
    <row r="462" spans="1:99" x14ac:dyDescent="0.25">
      <c r="A462" s="667">
        <f ca="1"/>
        <v>1</v>
      </c>
      <c r="B462" s="666" t="str">
        <f ca="1"/>
        <v>Enxofre</v>
      </c>
      <c r="BF462" s="469" t="s">
        <v>5510</v>
      </c>
      <c r="BU462" s="372"/>
      <c r="CU462" s="469" t="s">
        <v>5510</v>
      </c>
    </row>
    <row r="463" spans="1:99" ht="20.25" x14ac:dyDescent="0.3">
      <c r="A463" s="667">
        <f ca="1"/>
        <v>1</v>
      </c>
      <c r="B463" s="666" t="str">
        <f ca="1"/>
        <v>Etefom</v>
      </c>
      <c r="BF463" s="469" t="s">
        <v>5510</v>
      </c>
      <c r="BH463" s="372"/>
      <c r="BI463" s="432" t="s">
        <v>8097</v>
      </c>
      <c r="BJ463" s="702" t="s">
        <v>8099</v>
      </c>
      <c r="BM463" s="372"/>
      <c r="BQ463" s="20"/>
      <c r="CU463" s="469" t="s">
        <v>5510</v>
      </c>
    </row>
    <row r="464" spans="1:99" x14ac:dyDescent="0.25">
      <c r="A464" s="667">
        <f ca="1"/>
        <v>1</v>
      </c>
      <c r="B464" s="666" t="str">
        <f ca="1"/>
        <v>Etoprofós</v>
      </c>
      <c r="BF464" s="469" t="s">
        <v>5510</v>
      </c>
      <c r="BH464" s="372"/>
      <c r="BI464" s="703" t="s">
        <v>8093</v>
      </c>
      <c r="BJ464" s="704"/>
      <c r="BK464" s="704"/>
      <c r="BL464" s="704"/>
      <c r="BM464" s="704"/>
      <c r="BN464" s="704"/>
      <c r="BO464" s="705" t="s">
        <v>8093</v>
      </c>
      <c r="BP464" s="706"/>
      <c r="BQ464" s="706"/>
      <c r="BR464" s="706"/>
      <c r="BS464" s="706"/>
      <c r="BT464" s="706"/>
      <c r="CU464" s="469" t="s">
        <v>5510</v>
      </c>
    </row>
    <row r="465" spans="1:99" x14ac:dyDescent="0.25">
      <c r="A465" s="667">
        <f ca="1"/>
        <v>1</v>
      </c>
      <c r="B465" s="666" t="str">
        <f ca="1"/>
        <v>Etiona</v>
      </c>
      <c r="BF465" s="469" t="s">
        <v>5510</v>
      </c>
      <c r="BH465" s="372" t="s">
        <v>8091</v>
      </c>
      <c r="BI465" s="693" t="s">
        <v>88</v>
      </c>
      <c r="BJ465" s="693" t="s">
        <v>88</v>
      </c>
      <c r="BK465" s="693" t="s">
        <v>101</v>
      </c>
      <c r="BL465" s="693" t="s">
        <v>101</v>
      </c>
      <c r="BM465" s="693" t="s">
        <v>120</v>
      </c>
      <c r="BN465" s="693" t="s">
        <v>120</v>
      </c>
      <c r="BO465" s="693" t="s">
        <v>88</v>
      </c>
      <c r="BP465" s="693" t="s">
        <v>88</v>
      </c>
      <c r="BQ465" s="693" t="s">
        <v>101</v>
      </c>
      <c r="BR465" s="693" t="s">
        <v>101</v>
      </c>
      <c r="BS465" s="693" t="s">
        <v>120</v>
      </c>
      <c r="BT465" s="693" t="s">
        <v>120</v>
      </c>
      <c r="CU465" s="469" t="s">
        <v>5510</v>
      </c>
    </row>
    <row r="466" spans="1:99" x14ac:dyDescent="0.25">
      <c r="A466" s="667">
        <f ca="1"/>
        <v>1</v>
      </c>
      <c r="B466" s="666" t="str">
        <f ca="1"/>
        <v>Etridiazol</v>
      </c>
      <c r="BF466" s="469" t="s">
        <v>5510</v>
      </c>
      <c r="BI466" s="20"/>
      <c r="BJ466" s="20"/>
      <c r="BK466" s="20"/>
      <c r="BL466" s="20"/>
      <c r="BM466" s="20"/>
      <c r="BN466" s="20"/>
      <c r="BO466" s="20"/>
      <c r="BP466" s="20"/>
      <c r="BQ466" s="20"/>
      <c r="CU466" s="469" t="s">
        <v>5510</v>
      </c>
    </row>
    <row r="467" spans="1:99" x14ac:dyDescent="0.25">
      <c r="A467" s="667">
        <f ca="1"/>
        <v>1</v>
      </c>
      <c r="B467" s="666" t="str">
        <f ca="1"/>
        <v>Empentrina</v>
      </c>
      <c r="BF467" s="469" t="s">
        <v>5510</v>
      </c>
      <c r="BH467" s="372" t="s">
        <v>8092</v>
      </c>
      <c r="BI467" s="479" t="s">
        <v>10</v>
      </c>
      <c r="BJ467" s="479" t="s">
        <v>237</v>
      </c>
      <c r="BK467" s="479" t="s">
        <v>10</v>
      </c>
      <c r="BL467" s="479" t="s">
        <v>237</v>
      </c>
      <c r="BM467" s="479" t="s">
        <v>10</v>
      </c>
      <c r="BN467" s="479" t="s">
        <v>237</v>
      </c>
      <c r="BO467" s="479" t="s">
        <v>10</v>
      </c>
      <c r="BP467" s="479" t="s">
        <v>237</v>
      </c>
      <c r="BQ467" s="479" t="s">
        <v>10</v>
      </c>
      <c r="BR467" s="479" t="s">
        <v>237</v>
      </c>
      <c r="BS467" s="479" t="s">
        <v>10</v>
      </c>
      <c r="BT467" s="479" t="s">
        <v>237</v>
      </c>
      <c r="CU467" s="469" t="s">
        <v>5510</v>
      </c>
    </row>
    <row r="468" spans="1:99" x14ac:dyDescent="0.25">
      <c r="A468" s="667">
        <f ca="1"/>
        <v>1</v>
      </c>
      <c r="B468" s="666" t="str">
        <f ca="1"/>
        <v>Esbiol</v>
      </c>
      <c r="BF468" s="469" t="s">
        <v>5510</v>
      </c>
      <c r="BH468" s="536" t="s">
        <v>90</v>
      </c>
      <c r="BI468" s="539" t="str">
        <f ca="1">IF(BP414=0,$BI$463,
IF(OR(BP414=1,BP414=2),
IF(BK414="",BN414&amp;" [ ≥"&amp;BJ414&amp;" ]",BN414&amp;" ["&amp;BJ414&amp;"-"&amp;BK414&amp;"]"),
IF(BP414=3,BN414&amp;$BJ$463,"")))</f>
        <v/>
      </c>
      <c r="BJ468" s="539" t="str">
        <f ca="1">IF(BQ414=0,$BI$463,
IF(OR(BQ414=1,BQ414=2),
IF(BM414="",BO414&amp;" [ ≥"&amp;BL414&amp;" ]",BO414&amp;" ["&amp;BL414&amp;"-"&amp;BM414&amp;"]"),
IF(BQ414=3,BO414&amp;$BJ$463,"")))</f>
        <v/>
      </c>
      <c r="BK468" s="539" t="str">
        <f ca="1">IF(BP430=0,$BI$463,
IF(OR(BP430=1,BP430=2),
IF(BK430="",BN430&amp;" [ ≥"&amp;BJ430&amp;" ]",BN430&amp;" ["&amp;BJ430&amp;"-"&amp;BK430&amp;"]"),
IF(BP430=3,BN430&amp;$BJ$463,"")))</f>
        <v/>
      </c>
      <c r="BL468" s="539" t="str">
        <f ca="1">IF(BQ430=0,$BI$463,
IF(OR(BQ430=1,BQ430=2),
IF(BM430="",BO430&amp;" [ ≥"&amp;BL430&amp;" ]",BO430&amp;" ["&amp;BL430&amp;"-"&amp;BM430&amp;"]"),
IF(BQ430=3,BO430&amp;$BJ$463,"")))</f>
        <v/>
      </c>
      <c r="BM468" s="539" t="str">
        <f ca="1">IF(BP446=0,$BI$463,
IF(OR(BP446=1,BP446=2),
IF(BK446="",BN446&amp;" [ ≥"&amp;BJ446&amp;" ]",BN446&amp;" ["&amp;BJ446&amp;"-"&amp;BK446&amp;"]"),
IF(BP446=3,BN446&amp;$BJ$463,"")))</f>
        <v/>
      </c>
      <c r="BN468" s="539" t="str">
        <f ca="1">IF(BQ446=0,$BI$463,
IF(OR(BQ446=1,BQ446=2),
IF(BM446="",BO446&amp;" [ ≥"&amp;BL446&amp;" ]",BO446&amp;" ["&amp;BL446&amp;"-"&amp;BM446&amp;"]"),
IF(BQ446=3,BO446&amp;$BJ$463,"")))</f>
        <v/>
      </c>
      <c r="BO468" s="539" t="str">
        <f ca="1">IF(CA414=0,$BI$463,
IF(OR(CA414=1,CA414=2),
IF(BV414="",BY414&amp;" [ ≥"&amp;BU414&amp;" ]",BY414&amp;" ["&amp;BU414&amp;"-"&amp;BV414&amp;"]"),
IF(CA414=3,BY414&amp;$BJ$463,"")))</f>
        <v/>
      </c>
      <c r="BP468" s="539" t="str">
        <f ca="1">IF(CB414=0,$BI$463,
IF(OR(CB414=1,CB414=2),
IF(BX414="",BZ414&amp;" [ ≥"&amp;BW414&amp;" ]",BZ414&amp;" ["&amp;BW414&amp;"-"&amp;BX414&amp;"]"),
IF(CB414=3,BZ414&amp;$BJ$463,"")))</f>
        <v/>
      </c>
      <c r="BQ468" s="539" t="str">
        <f ca="1">IF(CA430=0,$BI$463,
IF(OR(CA430=1,CA430=2),
IF(BV430="",BY430&amp;" [ ≥"&amp;BU430&amp;" ]",BY430&amp;" ["&amp;BU430&amp;"-"&amp;BV430&amp;"]"),
IF(CA430=3,BY430&amp;$BJ$463,"")))</f>
        <v/>
      </c>
      <c r="BR468" s="539" t="str">
        <f ca="1">IF(CB430=0,$BI$463,
IF(OR(CB430=1,CB430=2),
IF(BX430="",BZ430&amp;" [ ≥"&amp;BW430&amp;" ]",BZ430&amp;" ["&amp;BW430&amp;"-"&amp;BX430&amp;"]"),
IF(CB430=3,BZ430&amp;$BJ$463,"")))</f>
        <v/>
      </c>
      <c r="BS468" s="539" t="str">
        <f ca="1">IF(CA446=0,$BI$463,
IF(OR(CA446=1,CA446=2),
IF(BV446="",BY446&amp;" [ ≥"&amp;BU446&amp;" ]",BY446&amp;" ["&amp;BU446&amp;"-"&amp;BV446&amp;"]"),
IF(CA446=3,BY446&amp;$BJ$463,"")))</f>
        <v/>
      </c>
      <c r="BT468" s="539" t="str">
        <f ca="1">IF(CB446=0,$BI$463,
IF(OR(CB446=1,CB446=2),
IF(BX446="",BZ446&amp;" [ ≥"&amp;BW446&amp;" ]",BZ446&amp;" ["&amp;BW446&amp;"-"&amp;BX446&amp;"]"),
IF(CB446=3,BZ446&amp;$BJ$463,"")))</f>
        <v/>
      </c>
      <c r="CU468" s="469" t="s">
        <v>5510</v>
      </c>
    </row>
    <row r="469" spans="1:99" x14ac:dyDescent="0.25">
      <c r="A469" s="667">
        <f ca="1"/>
        <v>1</v>
      </c>
      <c r="B469" s="666" t="str">
        <f ca="1"/>
        <v>Esfenvalerato</v>
      </c>
      <c r="BF469" s="469" t="s">
        <v>5510</v>
      </c>
      <c r="BH469" s="536" t="s">
        <v>91</v>
      </c>
      <c r="BI469" s="539" t="str">
        <f t="shared" ref="BI469:BI477" ca="1" si="245">IF(BP415=0,$BI$463,
IF(OR(BP415=1,BP415=2),
IF(BK415="",BN415&amp;" [ ≥"&amp;BJ415&amp;" ]",BN415&amp;" ["&amp;BJ415&amp;"-"&amp;BK415&amp;"]"),
IF(BP415=3,BN415&amp;$BJ$463,"")))</f>
        <v/>
      </c>
      <c r="BJ469" s="539" t="str">
        <f t="shared" ref="BJ469:BJ477" ca="1" si="246">IF(BQ415=0,$BI$463,
IF(OR(BQ415=1,BQ415=2),
IF(BM415="",BO415&amp;" [ ≥"&amp;BL415&amp;" ]",BO415&amp;" ["&amp;BL415&amp;"-"&amp;BM415&amp;"]"),
IF(BQ415=3,BO415&amp;$BJ$463,"")))</f>
        <v/>
      </c>
      <c r="BK469" s="539" t="str">
        <f t="shared" ref="BK469:BK477" ca="1" si="247">IF(BP431=0,$BI$463,
IF(OR(BP431=1,BP431=2),
IF(BK431="",BN431&amp;" [ ≥"&amp;BJ431&amp;" ]",BN431&amp;" ["&amp;BJ431&amp;"-"&amp;BK431&amp;"]"),
IF(BP431=3,BN431&amp;$BJ$463,"")))</f>
        <v/>
      </c>
      <c r="BL469" s="539" t="str">
        <f t="shared" ref="BL469:BL477" ca="1" si="248">IF(BQ431=0,$BI$463,
IF(OR(BQ431=1,BQ431=2),
IF(BM431="",BO431&amp;" [ ≥"&amp;BL431&amp;" ]",BO431&amp;" ["&amp;BL431&amp;"-"&amp;BM431&amp;"]"),
IF(BQ431=3,BO431&amp;$BJ$463,"")))</f>
        <v/>
      </c>
      <c r="BM469" s="539" t="str">
        <f t="shared" ref="BM469:BM477" ca="1" si="249">IF(BP447=0,$BI$463,
IF(OR(BP447=1,BP447=2),
IF(BK447="",BN447&amp;" [ ≥"&amp;BJ447&amp;" ]",BN447&amp;" ["&amp;BJ447&amp;"-"&amp;BK447&amp;"]"),
IF(BP447=3,BN447&amp;$BJ$463,"")))</f>
        <v/>
      </c>
      <c r="BN469" s="539" t="str">
        <f t="shared" ref="BN469:BN477" ca="1" si="250">IF(BQ447=0,$BI$463,
IF(OR(BQ447=1,BQ447=2),
IF(BM447="",BO447&amp;" [ ≥"&amp;BL447&amp;" ]",BO447&amp;" ["&amp;BL447&amp;"-"&amp;BM447&amp;"]"),
IF(BQ447=3,BO447&amp;$BJ$463,"")))</f>
        <v/>
      </c>
      <c r="BO469" s="539" t="str">
        <f t="shared" ref="BO469:BO477" ca="1" si="251">IF(CA415=0,$BI$463,
IF(OR(CA415=1,CA415=2),
IF(BV415="",BY415&amp;" [ ≥"&amp;BU415&amp;" ]",BY415&amp;" ["&amp;BU415&amp;"-"&amp;BV415&amp;"]"),
IF(CA415=3,BY415&amp;$BJ$463,"")))</f>
        <v/>
      </c>
      <c r="BP469" s="539" t="str">
        <f t="shared" ref="BP469:BP477" ca="1" si="252">IF(CB415=0,$BI$463,
IF(OR(CB415=1,CB415=2),
IF(BX415="",BZ415&amp;" [ ≥"&amp;BW415&amp;" ]",BZ415&amp;" ["&amp;BW415&amp;"-"&amp;BX415&amp;"]"),
IF(CB415=3,BZ415&amp;$BJ$463,"")))</f>
        <v/>
      </c>
      <c r="BQ469" s="539" t="str">
        <f t="shared" ref="BQ469:BQ477" ca="1" si="253">IF(CA431=0,$BI$463,
IF(OR(CA431=1,CA431=2),
IF(BV431="",BY431&amp;" [ ≥"&amp;BU431&amp;" ]",BY431&amp;" ["&amp;BU431&amp;"-"&amp;BV431&amp;"]"),
IF(CA431=3,BY431&amp;$BJ$463,"")))</f>
        <v/>
      </c>
      <c r="BR469" s="539" t="str">
        <f t="shared" ref="BR469:BR477" ca="1" si="254">IF(CB431=0,$BI$463,
IF(OR(CB431=1,CB431=2),
IF(BX431="",BZ431&amp;" [ ≥"&amp;BW431&amp;" ]",BZ431&amp;" ["&amp;BW431&amp;"-"&amp;BX431&amp;"]"),
IF(CB431=3,BZ431&amp;$BJ$463,"")))</f>
        <v/>
      </c>
      <c r="BS469" s="539" t="str">
        <f t="shared" ref="BS469:BS477" ca="1" si="255">IF(CA447=0,$BI$463,
IF(OR(CA447=1,CA447=2),
IF(BV447="",BY447&amp;" [ ≥"&amp;BU447&amp;" ]",BY447&amp;" ["&amp;BU447&amp;"-"&amp;BV447&amp;"]"),
IF(CA447=3,BY447&amp;$BJ$463,"")))</f>
        <v/>
      </c>
      <c r="BT469" s="539" t="str">
        <f t="shared" ref="BT469:BT477" ca="1" si="256">IF(CB447=0,$BI$463,
IF(OR(CB447=1,CB447=2),
IF(BX447="",BZ447&amp;" [ ≥"&amp;BW447&amp;" ]",BZ447&amp;" ["&amp;BW447&amp;"-"&amp;BX447&amp;"]"),
IF(CB447=3,BZ447&amp;$BJ$463,"")))</f>
        <v/>
      </c>
      <c r="CU469" s="469" t="s">
        <v>5510</v>
      </c>
    </row>
    <row r="470" spans="1:99" x14ac:dyDescent="0.25">
      <c r="A470" s="667">
        <f ca="1"/>
        <v>1</v>
      </c>
      <c r="B470" s="666" t="str">
        <f ca="1"/>
        <v>Etofenproxi</v>
      </c>
      <c r="BF470" s="469" t="s">
        <v>5510</v>
      </c>
      <c r="BH470" s="536" t="s">
        <v>92</v>
      </c>
      <c r="BI470" s="539" t="str">
        <f t="shared" ca="1" si="245"/>
        <v/>
      </c>
      <c r="BJ470" s="539" t="str">
        <f t="shared" ca="1" si="246"/>
        <v/>
      </c>
      <c r="BK470" s="539" t="str">
        <f t="shared" ca="1" si="247"/>
        <v/>
      </c>
      <c r="BL470" s="539" t="str">
        <f t="shared" ca="1" si="248"/>
        <v/>
      </c>
      <c r="BM470" s="539" t="str">
        <f t="shared" ca="1" si="249"/>
        <v/>
      </c>
      <c r="BN470" s="539" t="str">
        <f t="shared" ca="1" si="250"/>
        <v/>
      </c>
      <c r="BO470" s="539" t="str">
        <f t="shared" ca="1" si="251"/>
        <v/>
      </c>
      <c r="BP470" s="539" t="str">
        <f t="shared" ca="1" si="252"/>
        <v/>
      </c>
      <c r="BQ470" s="539" t="str">
        <f t="shared" ca="1" si="253"/>
        <v/>
      </c>
      <c r="BR470" s="539" t="str">
        <f t="shared" ca="1" si="254"/>
        <v/>
      </c>
      <c r="BS470" s="539" t="str">
        <f t="shared" ca="1" si="255"/>
        <v/>
      </c>
      <c r="BT470" s="539" t="str">
        <f t="shared" ca="1" si="256"/>
        <v/>
      </c>
      <c r="CU470" s="469" t="s">
        <v>5510</v>
      </c>
    </row>
    <row r="471" spans="1:99" x14ac:dyDescent="0.25">
      <c r="A471" s="667">
        <f ca="1"/>
        <v>1</v>
      </c>
      <c r="B471" s="666" t="str">
        <f ca="1"/>
        <v>Esbiotrim</v>
      </c>
      <c r="BF471" s="469" t="s">
        <v>5510</v>
      </c>
      <c r="BH471" s="536" t="s">
        <v>93</v>
      </c>
      <c r="BI471" s="539" t="str">
        <f t="shared" ca="1" si="245"/>
        <v/>
      </c>
      <c r="BJ471" s="539" t="str">
        <f t="shared" ca="1" si="246"/>
        <v/>
      </c>
      <c r="BK471" s="539" t="str">
        <f t="shared" ca="1" si="247"/>
        <v/>
      </c>
      <c r="BL471" s="539" t="str">
        <f t="shared" ca="1" si="248"/>
        <v/>
      </c>
      <c r="BM471" s="539" t="str">
        <f t="shared" ca="1" si="249"/>
        <v/>
      </c>
      <c r="BN471" s="539" t="str">
        <f t="shared" ca="1" si="250"/>
        <v/>
      </c>
      <c r="BO471" s="539" t="str">
        <f t="shared" ca="1" si="251"/>
        <v/>
      </c>
      <c r="BP471" s="539" t="str">
        <f t="shared" ca="1" si="252"/>
        <v/>
      </c>
      <c r="BQ471" s="539" t="str">
        <f t="shared" ca="1" si="253"/>
        <v/>
      </c>
      <c r="BR471" s="539" t="str">
        <f t="shared" ca="1" si="254"/>
        <v/>
      </c>
      <c r="BS471" s="539" t="str">
        <f t="shared" ca="1" si="255"/>
        <v/>
      </c>
      <c r="BT471" s="539" t="str">
        <f t="shared" ca="1" si="256"/>
        <v/>
      </c>
      <c r="CU471" s="469" t="s">
        <v>5510</v>
      </c>
    </row>
    <row r="472" spans="1:99" x14ac:dyDescent="0.25">
      <c r="A472" s="667">
        <f ca="1"/>
        <v>1</v>
      </c>
      <c r="B472" s="666" t="str">
        <f ca="1"/>
        <v>Epoxiconazol</v>
      </c>
      <c r="BF472" s="469" t="s">
        <v>5510</v>
      </c>
      <c r="BH472" s="536" t="s">
        <v>94</v>
      </c>
      <c r="BI472" s="539" t="str">
        <f t="shared" ca="1" si="245"/>
        <v/>
      </c>
      <c r="BJ472" s="539" t="str">
        <f t="shared" ca="1" si="246"/>
        <v/>
      </c>
      <c r="BK472" s="539" t="str">
        <f t="shared" ca="1" si="247"/>
        <v/>
      </c>
      <c r="BL472" s="539" t="str">
        <f t="shared" ca="1" si="248"/>
        <v/>
      </c>
      <c r="BM472" s="539" t="str">
        <f t="shared" ca="1" si="249"/>
        <v/>
      </c>
      <c r="BN472" s="539" t="str">
        <f t="shared" ca="1" si="250"/>
        <v/>
      </c>
      <c r="BO472" s="539" t="str">
        <f t="shared" ca="1" si="251"/>
        <v/>
      </c>
      <c r="BP472" s="539" t="str">
        <f t="shared" ca="1" si="252"/>
        <v/>
      </c>
      <c r="BQ472" s="539" t="str">
        <f t="shared" ca="1" si="253"/>
        <v/>
      </c>
      <c r="BR472" s="539" t="str">
        <f t="shared" ca="1" si="254"/>
        <v/>
      </c>
      <c r="BS472" s="539" t="str">
        <f t="shared" ca="1" si="255"/>
        <v/>
      </c>
      <c r="BT472" s="539" t="str">
        <f t="shared" ca="1" si="256"/>
        <v/>
      </c>
      <c r="CU472" s="469" t="s">
        <v>5510</v>
      </c>
    </row>
    <row r="473" spans="1:99" x14ac:dyDescent="0.25">
      <c r="A473" s="667">
        <f ca="1"/>
        <v>1</v>
      </c>
      <c r="B473" s="666" t="str">
        <f ca="1"/>
        <v>Etoxissulfurom</v>
      </c>
      <c r="BF473" s="469" t="s">
        <v>5510</v>
      </c>
      <c r="BH473" s="536" t="s">
        <v>95</v>
      </c>
      <c r="BI473" s="539" t="str">
        <f t="shared" ca="1" si="245"/>
        <v/>
      </c>
      <c r="BJ473" s="539" t="str">
        <f t="shared" ca="1" si="246"/>
        <v/>
      </c>
      <c r="BK473" s="539" t="str">
        <f t="shared" ca="1" si="247"/>
        <v/>
      </c>
      <c r="BL473" s="539" t="str">
        <f t="shared" ca="1" si="248"/>
        <v/>
      </c>
      <c r="BM473" s="539" t="str">
        <f t="shared" ca="1" si="249"/>
        <v/>
      </c>
      <c r="BN473" s="539" t="str">
        <f t="shared" ca="1" si="250"/>
        <v/>
      </c>
      <c r="BO473" s="539" t="str">
        <f t="shared" ca="1" si="251"/>
        <v/>
      </c>
      <c r="BP473" s="539" t="str">
        <f t="shared" ca="1" si="252"/>
        <v/>
      </c>
      <c r="BQ473" s="539" t="str">
        <f t="shared" ca="1" si="253"/>
        <v/>
      </c>
      <c r="BR473" s="539" t="str">
        <f t="shared" ca="1" si="254"/>
        <v/>
      </c>
      <c r="BS473" s="539" t="str">
        <f t="shared" ca="1" si="255"/>
        <v/>
      </c>
      <c r="BT473" s="539" t="str">
        <f t="shared" ca="1" si="256"/>
        <v/>
      </c>
      <c r="CU473" s="469" t="s">
        <v>5510</v>
      </c>
    </row>
    <row r="474" spans="1:99" x14ac:dyDescent="0.25">
      <c r="A474" s="667">
        <f ca="1"/>
        <v>1</v>
      </c>
      <c r="B474" s="666" t="str">
        <f ca="1"/>
        <v>Espinosade</v>
      </c>
      <c r="BF474" s="469" t="s">
        <v>5510</v>
      </c>
      <c r="BH474" s="536" t="s">
        <v>96</v>
      </c>
      <c r="BI474" s="539" t="str">
        <f t="shared" ca="1" si="245"/>
        <v/>
      </c>
      <c r="BJ474" s="539" t="str">
        <f t="shared" ca="1" si="246"/>
        <v/>
      </c>
      <c r="BK474" s="539" t="str">
        <f t="shared" ca="1" si="247"/>
        <v/>
      </c>
      <c r="BL474" s="539" t="str">
        <f t="shared" ca="1" si="248"/>
        <v/>
      </c>
      <c r="BM474" s="539" t="str">
        <f t="shared" ca="1" si="249"/>
        <v/>
      </c>
      <c r="BN474" s="539" t="str">
        <f t="shared" ca="1" si="250"/>
        <v/>
      </c>
      <c r="BO474" s="539" t="str">
        <f t="shared" ca="1" si="251"/>
        <v/>
      </c>
      <c r="BP474" s="539" t="str">
        <f t="shared" ca="1" si="252"/>
        <v/>
      </c>
      <c r="BQ474" s="539" t="str">
        <f t="shared" ca="1" si="253"/>
        <v/>
      </c>
      <c r="BR474" s="539" t="str">
        <f t="shared" ca="1" si="254"/>
        <v/>
      </c>
      <c r="BS474" s="539" t="str">
        <f t="shared" ca="1" si="255"/>
        <v/>
      </c>
      <c r="BT474" s="539" t="str">
        <f t="shared" ca="1" si="256"/>
        <v/>
      </c>
      <c r="CU474" s="469" t="s">
        <v>5510</v>
      </c>
    </row>
    <row r="475" spans="1:99" x14ac:dyDescent="0.25">
      <c r="A475" s="667">
        <f ca="1"/>
        <v>1</v>
      </c>
      <c r="B475" s="666" t="str">
        <f ca="1"/>
        <v>Espirodiclofeno</v>
      </c>
      <c r="BF475" s="469" t="s">
        <v>5510</v>
      </c>
      <c r="BH475" s="536" t="s">
        <v>97</v>
      </c>
      <c r="BI475" s="539" t="str">
        <f t="shared" ca="1" si="245"/>
        <v/>
      </c>
      <c r="BJ475" s="539" t="str">
        <f t="shared" ca="1" si="246"/>
        <v/>
      </c>
      <c r="BK475" s="539" t="str">
        <f t="shared" ca="1" si="247"/>
        <v/>
      </c>
      <c r="BL475" s="539" t="str">
        <f t="shared" ca="1" si="248"/>
        <v/>
      </c>
      <c r="BM475" s="539" t="str">
        <f t="shared" ca="1" si="249"/>
        <v/>
      </c>
      <c r="BN475" s="539" t="str">
        <f t="shared" ca="1" si="250"/>
        <v/>
      </c>
      <c r="BO475" s="539" t="str">
        <f t="shared" ca="1" si="251"/>
        <v/>
      </c>
      <c r="BP475" s="539" t="str">
        <f t="shared" ca="1" si="252"/>
        <v/>
      </c>
      <c r="BQ475" s="539" t="str">
        <f t="shared" ca="1" si="253"/>
        <v/>
      </c>
      <c r="BR475" s="539" t="str">
        <f t="shared" ca="1" si="254"/>
        <v/>
      </c>
      <c r="BS475" s="539" t="str">
        <f t="shared" ca="1" si="255"/>
        <v/>
      </c>
      <c r="BT475" s="539" t="str">
        <f t="shared" ca="1" si="256"/>
        <v/>
      </c>
      <c r="CU475" s="469" t="s">
        <v>5510</v>
      </c>
    </row>
    <row r="476" spans="1:99" x14ac:dyDescent="0.25">
      <c r="A476" s="667">
        <f ca="1"/>
        <v>1</v>
      </c>
      <c r="B476" s="666" t="str">
        <f ca="1"/>
        <v>Espiromesifeno</v>
      </c>
      <c r="BF476" s="469" t="s">
        <v>5510</v>
      </c>
      <c r="BH476" s="536" t="s">
        <v>98</v>
      </c>
      <c r="BI476" s="539" t="str">
        <f t="shared" ca="1" si="245"/>
        <v/>
      </c>
      <c r="BJ476" s="539" t="str">
        <f t="shared" ca="1" si="246"/>
        <v/>
      </c>
      <c r="BK476" s="539" t="str">
        <f t="shared" ca="1" si="247"/>
        <v/>
      </c>
      <c r="BL476" s="539" t="str">
        <f t="shared" ca="1" si="248"/>
        <v/>
      </c>
      <c r="BM476" s="539" t="str">
        <f t="shared" ca="1" si="249"/>
        <v/>
      </c>
      <c r="BN476" s="539" t="str">
        <f t="shared" ca="1" si="250"/>
        <v/>
      </c>
      <c r="BO476" s="539" t="str">
        <f t="shared" ca="1" si="251"/>
        <v/>
      </c>
      <c r="BP476" s="539" t="str">
        <f t="shared" ca="1" si="252"/>
        <v/>
      </c>
      <c r="BQ476" s="539" t="str">
        <f t="shared" ca="1" si="253"/>
        <v/>
      </c>
      <c r="BR476" s="539" t="str">
        <f t="shared" ca="1" si="254"/>
        <v/>
      </c>
      <c r="BS476" s="539" t="str">
        <f t="shared" ca="1" si="255"/>
        <v/>
      </c>
      <c r="BT476" s="539" t="str">
        <f t="shared" ca="1" si="256"/>
        <v/>
      </c>
      <c r="CU476" s="469" t="s">
        <v>5510</v>
      </c>
    </row>
    <row r="477" spans="1:99" x14ac:dyDescent="0.25">
      <c r="A477" s="667">
        <f ca="1"/>
        <v>1</v>
      </c>
      <c r="B477" s="666" t="str">
        <f ca="1"/>
        <v>Etanol</v>
      </c>
      <c r="BF477" s="469" t="s">
        <v>5510</v>
      </c>
      <c r="BH477" s="536" t="s">
        <v>99</v>
      </c>
      <c r="BI477" s="539" t="str">
        <f t="shared" ca="1" si="245"/>
        <v/>
      </c>
      <c r="BJ477" s="539" t="str">
        <f t="shared" ca="1" si="246"/>
        <v/>
      </c>
      <c r="BK477" s="539" t="str">
        <f t="shared" ca="1" si="247"/>
        <v/>
      </c>
      <c r="BL477" s="539" t="str">
        <f t="shared" ca="1" si="248"/>
        <v/>
      </c>
      <c r="BM477" s="539" t="str">
        <f t="shared" ca="1" si="249"/>
        <v/>
      </c>
      <c r="BN477" s="539" t="str">
        <f t="shared" ca="1" si="250"/>
        <v/>
      </c>
      <c r="BO477" s="539" t="str">
        <f t="shared" ca="1" si="251"/>
        <v/>
      </c>
      <c r="BP477" s="539" t="str">
        <f t="shared" ca="1" si="252"/>
        <v/>
      </c>
      <c r="BQ477" s="539" t="str">
        <f t="shared" ca="1" si="253"/>
        <v/>
      </c>
      <c r="BR477" s="539" t="str">
        <f t="shared" ca="1" si="254"/>
        <v/>
      </c>
      <c r="BS477" s="539" t="str">
        <f t="shared" ca="1" si="255"/>
        <v/>
      </c>
      <c r="BT477" s="539" t="str">
        <f t="shared" ca="1" si="256"/>
        <v/>
      </c>
      <c r="CU477" s="469" t="s">
        <v>5510</v>
      </c>
    </row>
    <row r="478" spans="1:99" x14ac:dyDescent="0.25">
      <c r="A478" s="667">
        <f ca="1"/>
        <v>1</v>
      </c>
      <c r="B478" s="666" t="str">
        <f ca="1"/>
        <v>Eugenol-metílico</v>
      </c>
      <c r="BF478" s="469" t="s">
        <v>5510</v>
      </c>
      <c r="BI478" s="20"/>
      <c r="BJ478" s="20"/>
      <c r="BK478" s="20"/>
      <c r="BL478" s="20"/>
      <c r="BM478" s="20"/>
      <c r="BN478" s="20"/>
      <c r="BO478" s="20"/>
      <c r="BP478" s="20"/>
      <c r="BQ478" s="20"/>
      <c r="CU478" s="469" t="s">
        <v>5510</v>
      </c>
    </row>
    <row r="479" spans="1:99" x14ac:dyDescent="0.25">
      <c r="A479" s="667">
        <f ca="1"/>
        <v>1</v>
      </c>
      <c r="B479" s="666" t="str">
        <f ca="1"/>
        <v>Etiprole</v>
      </c>
      <c r="BF479" s="469" t="s">
        <v>5510</v>
      </c>
      <c r="BU479" s="372"/>
      <c r="CU479" s="469" t="s">
        <v>5510</v>
      </c>
    </row>
    <row r="480" spans="1:99" x14ac:dyDescent="0.25">
      <c r="A480" s="667">
        <f ca="1"/>
        <v>1</v>
      </c>
      <c r="B480" s="666" t="str">
        <f ca="1"/>
        <v>Etoxazol</v>
      </c>
      <c r="BF480" s="469" t="s">
        <v>5510</v>
      </c>
      <c r="BU480" s="372"/>
      <c r="CU480" s="469" t="s">
        <v>5510</v>
      </c>
    </row>
    <row r="481" spans="1:99" x14ac:dyDescent="0.25">
      <c r="A481" s="667">
        <f ca="1"/>
        <v>1</v>
      </c>
      <c r="B481" s="666" t="str">
        <f ca="1"/>
        <v>Ecklonia maxima</v>
      </c>
      <c r="BF481" s="469" t="s">
        <v>5510</v>
      </c>
      <c r="BU481" s="372"/>
      <c r="CU481" s="469" t="s">
        <v>5510</v>
      </c>
    </row>
    <row r="482" spans="1:99" x14ac:dyDescent="0.25">
      <c r="A482" s="667">
        <f ca="1"/>
        <v>1</v>
      </c>
      <c r="B482" s="666" t="str">
        <f ca="1"/>
        <v>Espinetoram</v>
      </c>
      <c r="BF482" s="469" t="s">
        <v>5510</v>
      </c>
      <c r="BU482" s="372"/>
      <c r="CU482" s="469" t="s">
        <v>5510</v>
      </c>
    </row>
    <row r="483" spans="1:99" x14ac:dyDescent="0.25">
      <c r="A483" s="667">
        <f ca="1"/>
        <v>1</v>
      </c>
      <c r="B483" s="666" t="str">
        <f ca="1"/>
        <v>Fenamifós</v>
      </c>
      <c r="BF483" s="469" t="s">
        <v>5510</v>
      </c>
      <c r="BU483" s="372"/>
      <c r="CU483" s="469" t="s">
        <v>5510</v>
      </c>
    </row>
    <row r="484" spans="1:99" x14ac:dyDescent="0.25">
      <c r="A484" s="667">
        <f ca="1"/>
        <v>1</v>
      </c>
      <c r="B484" s="666" t="str">
        <f ca="1"/>
        <v>Fenarimol</v>
      </c>
      <c r="BF484" s="469" t="s">
        <v>5510</v>
      </c>
      <c r="BU484" s="372"/>
      <c r="CU484" s="469" t="s">
        <v>5510</v>
      </c>
    </row>
    <row r="485" spans="1:99" ht="15.75" thickBot="1" x14ac:dyDescent="0.3">
      <c r="A485" s="667">
        <f ca="1"/>
        <v>1</v>
      </c>
      <c r="B485" s="666" t="str">
        <f ca="1"/>
        <v>Fenclorfós</v>
      </c>
      <c r="BF485" s="469" t="s">
        <v>5510</v>
      </c>
      <c r="BG485" s="468" t="s">
        <v>8220</v>
      </c>
      <c r="BH485" s="468"/>
      <c r="BI485" s="468"/>
      <c r="BJ485" s="468"/>
      <c r="BK485" s="468"/>
      <c r="BL485" s="468"/>
      <c r="BM485" s="468"/>
      <c r="BN485" s="468"/>
      <c r="BO485" s="468"/>
      <c r="BP485" s="468"/>
      <c r="BQ485" s="468"/>
      <c r="BR485" s="468"/>
      <c r="BS485" s="468"/>
      <c r="BT485" s="468"/>
      <c r="BU485" s="372"/>
    </row>
    <row r="486" spans="1:99" x14ac:dyDescent="0.25">
      <c r="A486" s="667">
        <f ca="1"/>
        <v>1</v>
      </c>
      <c r="B486" s="666" t="str">
        <f ca="1"/>
        <v>Fenitrotiona</v>
      </c>
      <c r="BF486" s="469" t="s">
        <v>5510</v>
      </c>
      <c r="BI486" s="20"/>
      <c r="BJ486" s="20"/>
      <c r="BK486" s="20"/>
      <c r="BL486" s="20"/>
      <c r="BO486" s="20"/>
      <c r="BU486" s="372"/>
    </row>
    <row r="487" spans="1:99" x14ac:dyDescent="0.25">
      <c r="A487" s="667">
        <f ca="1"/>
        <v>1</v>
      </c>
      <c r="B487" s="666" t="str">
        <f ca="1"/>
        <v>Fentiona</v>
      </c>
      <c r="BF487" s="469" t="s">
        <v>5510</v>
      </c>
      <c r="BO487" s="20"/>
      <c r="BU487" s="372"/>
    </row>
    <row r="488" spans="1:99" x14ac:dyDescent="0.25">
      <c r="A488" s="667">
        <f ca="1"/>
        <v>1</v>
      </c>
      <c r="B488" s="666" t="str">
        <f ca="1"/>
        <v>Fenvalerato</v>
      </c>
      <c r="BF488" s="469" t="s">
        <v>5510</v>
      </c>
      <c r="BO488" s="20"/>
      <c r="BU488" s="372"/>
    </row>
    <row r="489" spans="1:99" x14ac:dyDescent="0.25">
      <c r="A489" s="667">
        <f ca="1"/>
        <v>1</v>
      </c>
      <c r="B489" s="666" t="str">
        <f ca="1"/>
        <v>Folpete</v>
      </c>
      <c r="BF489" s="469" t="s">
        <v>5510</v>
      </c>
      <c r="BH489" s="479" t="s">
        <v>8034</v>
      </c>
      <c r="BI489" s="479" t="s">
        <v>5800</v>
      </c>
      <c r="BK489" s="479" t="s">
        <v>8218</v>
      </c>
      <c r="BL489" s="619" t="str">
        <f>"Aumento de revertentes"&amp;CHAR(10)</f>
        <v xml:space="preserve">Aumento de revertentes
</v>
      </c>
      <c r="BM489" s="20"/>
      <c r="BN489" s="20"/>
      <c r="BO489" s="20"/>
      <c r="BU489" s="372"/>
    </row>
    <row r="490" spans="1:99" x14ac:dyDescent="0.25">
      <c r="A490" s="667">
        <f ca="1"/>
        <v>1</v>
      </c>
      <c r="B490" s="666" t="str">
        <f ca="1"/>
        <v>Fosalona</v>
      </c>
      <c r="BF490" s="469" t="s">
        <v>5510</v>
      </c>
      <c r="BH490" s="537" t="s">
        <v>90</v>
      </c>
      <c r="BI490" s="537" t="s">
        <v>5807</v>
      </c>
      <c r="BK490" s="479" t="s">
        <v>8218</v>
      </c>
      <c r="BL490" s="619" t="s">
        <v>7799</v>
      </c>
      <c r="BM490" s="20"/>
      <c r="BN490" s="20"/>
      <c r="BO490" s="20"/>
      <c r="BQ490" s="20"/>
    </row>
    <row r="491" spans="1:99" x14ac:dyDescent="0.25">
      <c r="A491" s="667">
        <f ca="1"/>
        <v>1</v>
      </c>
      <c r="B491" s="666" t="str">
        <f ca="1"/>
        <v>Fosetil</v>
      </c>
      <c r="BF491" s="469" t="s">
        <v>5510</v>
      </c>
      <c r="BH491" s="537" t="s">
        <v>91</v>
      </c>
      <c r="BI491" s="537" t="s">
        <v>5807</v>
      </c>
      <c r="BK491" s="20"/>
      <c r="BL491" s="20"/>
      <c r="BM491" s="20"/>
      <c r="BN491" s="20"/>
      <c r="BO491" s="20"/>
      <c r="CA491" s="472"/>
      <c r="CB491" s="372"/>
    </row>
    <row r="492" spans="1:99" x14ac:dyDescent="0.25">
      <c r="A492" s="667">
        <f ca="1"/>
        <v>1</v>
      </c>
      <c r="B492" s="666" t="str">
        <f ca="1"/>
        <v>Fosfina</v>
      </c>
      <c r="BF492" s="469" t="s">
        <v>5510</v>
      </c>
      <c r="BH492" s="537" t="s">
        <v>92</v>
      </c>
      <c r="BI492" s="537" t="s">
        <v>5807</v>
      </c>
      <c r="BK492" s="20"/>
      <c r="BL492" s="20"/>
      <c r="BM492" s="20"/>
      <c r="BN492" s="20"/>
      <c r="BO492" s="20"/>
      <c r="CA492" s="472"/>
      <c r="CB492" s="372"/>
    </row>
    <row r="493" spans="1:99" x14ac:dyDescent="0.25">
      <c r="A493" s="667">
        <f ca="1"/>
        <v>1</v>
      </c>
      <c r="B493" s="666" t="str">
        <f ca="1"/>
        <v>Fosfeto de alumínio</v>
      </c>
      <c r="BF493" s="469" t="s">
        <v>5510</v>
      </c>
      <c r="BH493" s="537" t="s">
        <v>93</v>
      </c>
      <c r="BI493" s="537" t="s">
        <v>5807</v>
      </c>
      <c r="BK493" s="20"/>
      <c r="BL493" s="372"/>
      <c r="BM493" s="20"/>
      <c r="BN493" s="20"/>
      <c r="BO493" s="20"/>
      <c r="CA493" s="472"/>
      <c r="CB493" s="372"/>
    </row>
    <row r="494" spans="1:99" x14ac:dyDescent="0.25">
      <c r="A494" s="667">
        <f ca="1"/>
        <v>1</v>
      </c>
      <c r="B494" s="666" t="str">
        <f ca="1"/>
        <v>Fosfeto de magnésio</v>
      </c>
      <c r="BF494" s="469" t="s">
        <v>5510</v>
      </c>
      <c r="BH494" s="537" t="s">
        <v>94</v>
      </c>
      <c r="BI494" s="537" t="s">
        <v>5807</v>
      </c>
      <c r="BK494" s="631" t="s">
        <v>5809</v>
      </c>
      <c r="BL494" s="426" t="str">
        <f ca="1">IF(COUNTIF(BO508:BQ527,"&gt;0")&gt;0,BL489,"")</f>
        <v/>
      </c>
      <c r="BM494" s="20"/>
      <c r="BN494" s="20"/>
      <c r="BO494" s="20"/>
      <c r="CA494" s="472"/>
      <c r="CB494" s="372"/>
    </row>
    <row r="495" spans="1:99" x14ac:dyDescent="0.25">
      <c r="A495" s="667">
        <f ca="1"/>
        <v>1</v>
      </c>
      <c r="B495" s="666" t="str">
        <f ca="1"/>
        <v>Fosmete</v>
      </c>
      <c r="BF495" s="469" t="s">
        <v>5510</v>
      </c>
      <c r="BH495" s="537" t="s">
        <v>95</v>
      </c>
      <c r="BI495" s="537" t="s">
        <v>5808</v>
      </c>
      <c r="BK495" s="631" t="s">
        <v>7799</v>
      </c>
      <c r="BL495" s="426" t="str">
        <f ca="1">IF(COUNTIF(INDIRECT($BI$2&amp;$BM$495),"sim")&gt;0,BL490,"")</f>
        <v/>
      </c>
      <c r="BM495" s="480" t="s">
        <v>8229</v>
      </c>
      <c r="BN495" s="20"/>
      <c r="BO495" s="20"/>
      <c r="CA495" s="472"/>
      <c r="CB495" s="372"/>
    </row>
    <row r="496" spans="1:99" x14ac:dyDescent="0.25">
      <c r="A496" s="667">
        <f ca="1"/>
        <v>1</v>
      </c>
      <c r="B496" s="666" t="str">
        <f ca="1"/>
        <v>Fluasifope-p</v>
      </c>
      <c r="BF496" s="469" t="s">
        <v>5510</v>
      </c>
      <c r="BH496" s="537" t="s">
        <v>96</v>
      </c>
      <c r="BI496" s="537" t="s">
        <v>5808</v>
      </c>
      <c r="BN496" s="472"/>
      <c r="BO496" s="20"/>
      <c r="CA496" s="472"/>
      <c r="CB496" s="372"/>
    </row>
    <row r="497" spans="1:80" x14ac:dyDescent="0.25">
      <c r="A497" s="667">
        <f ca="1"/>
        <v>1</v>
      </c>
      <c r="B497" s="666" t="str">
        <f ca="1"/>
        <v>Fluasifope-p-butílico</v>
      </c>
      <c r="BF497" s="469" t="s">
        <v>5510</v>
      </c>
      <c r="BH497" s="537" t="s">
        <v>97</v>
      </c>
      <c r="BI497" s="537" t="s">
        <v>5808</v>
      </c>
      <c r="BK497" s="20"/>
      <c r="BL497" s="20"/>
      <c r="BM497" s="20"/>
      <c r="BN497" s="20"/>
      <c r="BO497" s="20"/>
      <c r="CA497" s="472"/>
      <c r="CB497" s="372"/>
    </row>
    <row r="498" spans="1:80" x14ac:dyDescent="0.25">
      <c r="A498" s="667">
        <f ca="1"/>
        <v>1</v>
      </c>
      <c r="B498" s="666" t="str">
        <f ca="1"/>
        <v>Fenpropimorfe</v>
      </c>
      <c r="BF498" s="469" t="s">
        <v>5510</v>
      </c>
      <c r="BH498" s="537" t="s">
        <v>98</v>
      </c>
      <c r="BI498" s="537" t="s">
        <v>5807</v>
      </c>
      <c r="BK498" s="20"/>
      <c r="BL498" s="20"/>
      <c r="BM498" s="20"/>
      <c r="BN498" s="20"/>
      <c r="BO498" s="20"/>
      <c r="CA498" s="472"/>
      <c r="CB498" s="372"/>
    </row>
    <row r="499" spans="1:80" x14ac:dyDescent="0.25">
      <c r="A499" s="667">
        <f ca="1"/>
        <v>1</v>
      </c>
      <c r="B499" s="666" t="str">
        <f ca="1"/>
        <v>Fluvalinato</v>
      </c>
      <c r="BF499" s="469" t="s">
        <v>5510</v>
      </c>
      <c r="BH499" s="537" t="s">
        <v>8224</v>
      </c>
      <c r="BI499" s="537" t="s">
        <v>5807</v>
      </c>
      <c r="BK499" s="20"/>
      <c r="BL499" s="20"/>
      <c r="BM499" s="20"/>
      <c r="BN499" s="20"/>
      <c r="BO499" s="20"/>
      <c r="CA499" s="472"/>
      <c r="CB499" s="372"/>
    </row>
    <row r="500" spans="1:80" x14ac:dyDescent="0.25">
      <c r="A500" s="667">
        <f ca="1"/>
        <v>1</v>
      </c>
      <c r="B500" s="666" t="str">
        <f ca="1"/>
        <v>Fomesafem</v>
      </c>
      <c r="BF500" s="469" t="s">
        <v>5510</v>
      </c>
      <c r="BH500" s="537" t="s">
        <v>8224</v>
      </c>
      <c r="BI500" s="537" t="s">
        <v>5807</v>
      </c>
      <c r="BK500" s="20"/>
      <c r="BL500" s="20"/>
      <c r="BM500" s="20"/>
      <c r="BN500" s="20"/>
      <c r="BO500" s="20"/>
      <c r="CA500" s="472"/>
      <c r="CB500" s="372"/>
    </row>
    <row r="501" spans="1:80" x14ac:dyDescent="0.25">
      <c r="A501" s="667">
        <f ca="1"/>
        <v>1</v>
      </c>
      <c r="B501" s="666" t="str">
        <f ca="1"/>
        <v>Fenpropatrina</v>
      </c>
      <c r="BF501" s="469" t="s">
        <v>5510</v>
      </c>
      <c r="BK501" s="20"/>
      <c r="BL501" s="20"/>
      <c r="BM501" s="20"/>
      <c r="BN501" s="20"/>
      <c r="BO501" s="20"/>
    </row>
    <row r="502" spans="1:80" x14ac:dyDescent="0.25">
      <c r="A502" s="667">
        <f ca="1"/>
        <v>1</v>
      </c>
      <c r="B502" s="666" t="str">
        <f ca="1"/>
        <v>Ftalida</v>
      </c>
      <c r="BF502" s="469" t="s">
        <v>5510</v>
      </c>
      <c r="BK502" s="20"/>
      <c r="BL502" s="20"/>
      <c r="BM502" s="20"/>
      <c r="BN502" s="20"/>
      <c r="BO502" s="20"/>
    </row>
    <row r="503" spans="1:80" x14ac:dyDescent="0.25">
      <c r="A503" s="667">
        <f ca="1"/>
        <v>1</v>
      </c>
      <c r="B503" s="666" t="str">
        <f ca="1"/>
        <v>Fenoxaprope-p</v>
      </c>
      <c r="BF503" s="469" t="s">
        <v>5510</v>
      </c>
      <c r="BH503" s="479" t="s">
        <v>8031</v>
      </c>
      <c r="BI503" s="672">
        <v>9</v>
      </c>
      <c r="BM503" s="20"/>
      <c r="BN503" s="20"/>
      <c r="BO503" s="20"/>
    </row>
    <row r="504" spans="1:80" x14ac:dyDescent="0.25">
      <c r="A504" s="667">
        <f ca="1"/>
        <v>1</v>
      </c>
      <c r="B504" s="666" t="str">
        <f ca="1"/>
        <v>Fenoxaprope-p-etílico</v>
      </c>
      <c r="BF504" s="469" t="s">
        <v>5510</v>
      </c>
      <c r="BH504" s="479" t="s">
        <v>8032</v>
      </c>
      <c r="BI504" s="672">
        <v>7</v>
      </c>
      <c r="BM504" s="20"/>
      <c r="BN504" s="20"/>
      <c r="BO504" s="20"/>
    </row>
    <row r="505" spans="1:80" x14ac:dyDescent="0.25">
      <c r="A505" s="667">
        <f ca="1"/>
        <v>1</v>
      </c>
      <c r="B505" s="666" t="str">
        <f ca="1"/>
        <v>Fentoato</v>
      </c>
      <c r="BF505" s="469" t="s">
        <v>5510</v>
      </c>
      <c r="BK505" s="20"/>
      <c r="BM505" s="20"/>
      <c r="BN505" s="20"/>
      <c r="BO505" s="20"/>
    </row>
    <row r="506" spans="1:80" x14ac:dyDescent="0.25">
      <c r="A506" s="667">
        <f ca="1"/>
        <v>1</v>
      </c>
      <c r="B506" s="666" t="str">
        <f ca="1"/>
        <v>Flocumafeno</v>
      </c>
      <c r="BF506" s="469" t="s">
        <v>5510</v>
      </c>
      <c r="BK506" s="20"/>
      <c r="BL506" s="479" t="s">
        <v>88</v>
      </c>
      <c r="BM506" s="479" t="s">
        <v>101</v>
      </c>
      <c r="BN506" s="479" t="s">
        <v>120</v>
      </c>
      <c r="BO506" s="479" t="s">
        <v>88</v>
      </c>
      <c r="BP506" s="479" t="s">
        <v>101</v>
      </c>
      <c r="BQ506" s="479" t="s">
        <v>120</v>
      </c>
    </row>
    <row r="507" spans="1:80" x14ac:dyDescent="0.25">
      <c r="A507" s="667">
        <f ca="1"/>
        <v>1</v>
      </c>
      <c r="B507" s="666" t="str">
        <f ca="1"/>
        <v>Fenotrina</v>
      </c>
      <c r="BF507" s="469" t="s">
        <v>5510</v>
      </c>
      <c r="BH507" s="479" t="s">
        <v>8034</v>
      </c>
      <c r="BI507" s="479" t="s">
        <v>5800</v>
      </c>
      <c r="BJ507" s="552" t="s">
        <v>5805</v>
      </c>
      <c r="BK507" s="552" t="s">
        <v>5806</v>
      </c>
      <c r="BL507" s="672" t="s">
        <v>8226</v>
      </c>
      <c r="BM507" s="672" t="s">
        <v>8227</v>
      </c>
      <c r="BN507" s="672" t="s">
        <v>8228</v>
      </c>
      <c r="BO507" s="479" t="s">
        <v>8225</v>
      </c>
      <c r="BP507" s="479" t="s">
        <v>8225</v>
      </c>
      <c r="BQ507" s="479" t="s">
        <v>8225</v>
      </c>
    </row>
    <row r="508" spans="1:80" x14ac:dyDescent="0.25">
      <c r="A508" s="667">
        <f ca="1"/>
        <v>1</v>
      </c>
      <c r="B508" s="666" t="str">
        <f ca="1"/>
        <v>Flutriafol</v>
      </c>
      <c r="BF508" s="469" t="s">
        <v>5510</v>
      </c>
      <c r="BH508" s="537" t="s">
        <v>8037</v>
      </c>
      <c r="BI508" s="537" t="str">
        <f>IFERROR(
VLOOKUP(LEFT(BH508,LEN(BH508)-1),$BH$490:$BI$500,2,0),
"erro")</f>
        <v>&gt;=2</v>
      </c>
      <c r="BJ508" s="480">
        <f>ROW(BO11)</f>
        <v>11</v>
      </c>
      <c r="BK508" s="480">
        <f>BJ508+$BI$503</f>
        <v>20</v>
      </c>
      <c r="BL508" s="672" t="str">
        <f>BL$507&amp;$BJ508&amp;":"&amp;BL$507&amp;$BK508</f>
        <v>BO11:BO20</v>
      </c>
      <c r="BM508" s="672" t="str">
        <f t="shared" ref="BM508" si="257">BM$507&amp;$BJ508&amp;":"&amp;BM$507&amp;$BK508</f>
        <v>BZ11:BZ20</v>
      </c>
      <c r="BN508" s="672" t="str">
        <f>BN$507&amp;$BJ508&amp;":"&amp;BN$507&amp;$BK508</f>
        <v>CK11:CK20</v>
      </c>
      <c r="BO508" s="707">
        <f ca="1">COUNTIF(INDIRECT(BL508),$BI508)</f>
        <v>0</v>
      </c>
      <c r="BP508" s="707">
        <f ca="1">COUNTIF(INDIRECT(BM508),$BI508)</f>
        <v>0</v>
      </c>
      <c r="BQ508" s="707">
        <f t="shared" ref="BP508:BQ523" ca="1" si="258">COUNTIF(INDIRECT(BN508),$BI508)</f>
        <v>0</v>
      </c>
    </row>
    <row r="509" spans="1:80" x14ac:dyDescent="0.25">
      <c r="A509" s="667">
        <f ca="1"/>
        <v>1</v>
      </c>
      <c r="B509" s="666" t="str">
        <f ca="1"/>
        <v>Fenpiroximato</v>
      </c>
      <c r="BF509" s="469" t="s">
        <v>5510</v>
      </c>
      <c r="BH509" s="537" t="s">
        <v>8038</v>
      </c>
      <c r="BI509" s="537" t="str">
        <f t="shared" ref="BI509:BI527" si="259">IFERROR(
VLOOKUP(LEFT(BH509,LEN(BH509)-1),$BH$490:$BI$500,2,0),
"erro")</f>
        <v>&gt;=2</v>
      </c>
      <c r="BJ509" s="480">
        <f>BK508+$BI$504</f>
        <v>27</v>
      </c>
      <c r="BK509" s="480">
        <f t="shared" ref="BK509:BK527" si="260">BJ509+$BI$503</f>
        <v>36</v>
      </c>
      <c r="BL509" s="672" t="str">
        <f t="shared" ref="BL509:BN527" si="261">BL$507&amp;$BJ509&amp;":"&amp;BL$507&amp;$BK509</f>
        <v>BO27:BO36</v>
      </c>
      <c r="BM509" s="672" t="str">
        <f t="shared" si="261"/>
        <v>BZ27:BZ36</v>
      </c>
      <c r="BN509" s="672" t="str">
        <f t="shared" si="261"/>
        <v>CK27:CK36</v>
      </c>
      <c r="BO509" s="707">
        <f t="shared" ref="BO509:BO527" ca="1" si="262">COUNTIF(INDIRECT(BL509),$BI509)</f>
        <v>0</v>
      </c>
      <c r="BP509" s="707">
        <f t="shared" ca="1" si="258"/>
        <v>0</v>
      </c>
      <c r="BQ509" s="707">
        <f t="shared" ca="1" si="258"/>
        <v>0</v>
      </c>
    </row>
    <row r="510" spans="1:80" x14ac:dyDescent="0.25">
      <c r="A510" s="667">
        <f ca="1"/>
        <v>1</v>
      </c>
      <c r="B510" s="666" t="str">
        <f ca="1"/>
        <v>Flumetralina</v>
      </c>
      <c r="BF510" s="469" t="s">
        <v>5510</v>
      </c>
      <c r="BH510" s="537" t="s">
        <v>8040</v>
      </c>
      <c r="BI510" s="537" t="str">
        <f t="shared" si="259"/>
        <v>&gt;=2</v>
      </c>
      <c r="BJ510" s="480">
        <f t="shared" ref="BJ510:BJ527" si="263">BK509+$BI$504</f>
        <v>43</v>
      </c>
      <c r="BK510" s="480">
        <f t="shared" si="260"/>
        <v>52</v>
      </c>
      <c r="BL510" s="672" t="str">
        <f t="shared" si="261"/>
        <v>BO43:BO52</v>
      </c>
      <c r="BM510" s="672" t="str">
        <f t="shared" si="261"/>
        <v>BZ43:BZ52</v>
      </c>
      <c r="BN510" s="672" t="str">
        <f t="shared" si="261"/>
        <v>CK43:CK52</v>
      </c>
      <c r="BO510" s="707">
        <f t="shared" ca="1" si="262"/>
        <v>0</v>
      </c>
      <c r="BP510" s="707">
        <f t="shared" ca="1" si="258"/>
        <v>0</v>
      </c>
      <c r="BQ510" s="707">
        <f ca="1">COUNTIF(INDIRECT(BN510),$BI510)</f>
        <v>0</v>
      </c>
    </row>
    <row r="511" spans="1:80" x14ac:dyDescent="0.25">
      <c r="A511" s="667">
        <f ca="1"/>
        <v>1</v>
      </c>
      <c r="B511" s="666" t="str">
        <f ca="1"/>
        <v>Flumetsulam</v>
      </c>
      <c r="BF511" s="469" t="s">
        <v>5510</v>
      </c>
      <c r="BH511" s="537" t="s">
        <v>8039</v>
      </c>
      <c r="BI511" s="537" t="str">
        <f t="shared" si="259"/>
        <v>&gt;=2</v>
      </c>
      <c r="BJ511" s="480">
        <f t="shared" si="263"/>
        <v>59</v>
      </c>
      <c r="BK511" s="480">
        <f t="shared" si="260"/>
        <v>68</v>
      </c>
      <c r="BL511" s="672" t="str">
        <f t="shared" si="261"/>
        <v>BO59:BO68</v>
      </c>
      <c r="BM511" s="672" t="str">
        <f t="shared" si="261"/>
        <v>BZ59:BZ68</v>
      </c>
      <c r="BN511" s="672" t="str">
        <f t="shared" si="261"/>
        <v>CK59:CK68</v>
      </c>
      <c r="BO511" s="707">
        <f t="shared" ca="1" si="262"/>
        <v>0</v>
      </c>
      <c r="BP511" s="707">
        <f t="shared" ca="1" si="258"/>
        <v>0</v>
      </c>
      <c r="BQ511" s="707">
        <f t="shared" ca="1" si="258"/>
        <v>0</v>
      </c>
    </row>
    <row r="512" spans="1:80" x14ac:dyDescent="0.25">
      <c r="A512" s="667">
        <f ca="1"/>
        <v>1</v>
      </c>
      <c r="B512" s="666" t="str">
        <f ca="1"/>
        <v>Formetanato</v>
      </c>
      <c r="BF512" s="469" t="s">
        <v>5510</v>
      </c>
      <c r="BH512" s="537" t="s">
        <v>8041</v>
      </c>
      <c r="BI512" s="537" t="str">
        <f t="shared" si="259"/>
        <v>&gt;=2</v>
      </c>
      <c r="BJ512" s="480">
        <f t="shared" si="263"/>
        <v>75</v>
      </c>
      <c r="BK512" s="480">
        <f t="shared" si="260"/>
        <v>84</v>
      </c>
      <c r="BL512" s="672" t="str">
        <f t="shared" si="261"/>
        <v>BO75:BO84</v>
      </c>
      <c r="BM512" s="672" t="str">
        <f t="shared" si="261"/>
        <v>BZ75:BZ84</v>
      </c>
      <c r="BN512" s="672" t="str">
        <f t="shared" si="261"/>
        <v>CK75:CK84</v>
      </c>
      <c r="BO512" s="707">
        <f t="shared" ca="1" si="262"/>
        <v>0</v>
      </c>
      <c r="BP512" s="707">
        <f t="shared" ca="1" si="258"/>
        <v>0</v>
      </c>
      <c r="BQ512" s="707">
        <f t="shared" ca="1" si="258"/>
        <v>0</v>
      </c>
    </row>
    <row r="513" spans="1:69" x14ac:dyDescent="0.25">
      <c r="A513" s="667">
        <f ca="1"/>
        <v>1</v>
      </c>
      <c r="B513" s="666" t="str">
        <f ca="1"/>
        <v>Cloridrato de formetanato</v>
      </c>
      <c r="BF513" s="469" t="s">
        <v>5510</v>
      </c>
      <c r="BH513" s="537" t="s">
        <v>8042</v>
      </c>
      <c r="BI513" s="537" t="str">
        <f t="shared" si="259"/>
        <v>&gt;=2</v>
      </c>
      <c r="BJ513" s="480">
        <f t="shared" si="263"/>
        <v>91</v>
      </c>
      <c r="BK513" s="480">
        <f t="shared" si="260"/>
        <v>100</v>
      </c>
      <c r="BL513" s="672" t="str">
        <f t="shared" si="261"/>
        <v>BO91:BO100</v>
      </c>
      <c r="BM513" s="672" t="str">
        <f t="shared" si="261"/>
        <v>BZ91:BZ100</v>
      </c>
      <c r="BN513" s="672" t="str">
        <f t="shared" si="261"/>
        <v>CK91:CK100</v>
      </c>
      <c r="BO513" s="707">
        <f t="shared" ca="1" si="262"/>
        <v>0</v>
      </c>
      <c r="BP513" s="707">
        <f t="shared" ca="1" si="258"/>
        <v>0</v>
      </c>
      <c r="BQ513" s="707">
        <f t="shared" ca="1" si="258"/>
        <v>0</v>
      </c>
    </row>
    <row r="514" spans="1:69" x14ac:dyDescent="0.25">
      <c r="A514" s="667">
        <f ca="1"/>
        <v>1</v>
      </c>
      <c r="B514" s="666" t="str">
        <f ca="1"/>
        <v>Fluroxipir</v>
      </c>
      <c r="BF514" s="469" t="s">
        <v>5510</v>
      </c>
      <c r="BH514" s="537" t="s">
        <v>8043</v>
      </c>
      <c r="BI514" s="537" t="str">
        <f t="shared" si="259"/>
        <v>&gt;=2</v>
      </c>
      <c r="BJ514" s="480">
        <f t="shared" si="263"/>
        <v>107</v>
      </c>
      <c r="BK514" s="480">
        <f t="shared" si="260"/>
        <v>116</v>
      </c>
      <c r="BL514" s="672" t="str">
        <f t="shared" si="261"/>
        <v>BO107:BO116</v>
      </c>
      <c r="BM514" s="672" t="str">
        <f t="shared" si="261"/>
        <v>BZ107:BZ116</v>
      </c>
      <c r="BN514" s="672" t="str">
        <f t="shared" si="261"/>
        <v>CK107:CK116</v>
      </c>
      <c r="BO514" s="707">
        <f t="shared" ca="1" si="262"/>
        <v>0</v>
      </c>
      <c r="BP514" s="707">
        <f t="shared" ca="1" si="258"/>
        <v>0</v>
      </c>
      <c r="BQ514" s="707">
        <f t="shared" ca="1" si="258"/>
        <v>0</v>
      </c>
    </row>
    <row r="515" spans="1:69" x14ac:dyDescent="0.25">
      <c r="A515" s="667">
        <f ca="1"/>
        <v>1</v>
      </c>
      <c r="B515" s="666" t="str">
        <f ca="1"/>
        <v>Fluroxipir-meptílico</v>
      </c>
      <c r="BF515" s="469" t="s">
        <v>5510</v>
      </c>
      <c r="BH515" s="537" t="s">
        <v>8044</v>
      </c>
      <c r="BI515" s="537" t="str">
        <f t="shared" si="259"/>
        <v>&gt;=2</v>
      </c>
      <c r="BJ515" s="480">
        <f t="shared" si="263"/>
        <v>123</v>
      </c>
      <c r="BK515" s="480">
        <f t="shared" si="260"/>
        <v>132</v>
      </c>
      <c r="BL515" s="672" t="str">
        <f t="shared" si="261"/>
        <v>BO123:BO132</v>
      </c>
      <c r="BM515" s="672" t="str">
        <f t="shared" si="261"/>
        <v>BZ123:BZ132</v>
      </c>
      <c r="BN515" s="672" t="str">
        <f t="shared" si="261"/>
        <v>CK123:CK132</v>
      </c>
      <c r="BO515" s="707">
        <f t="shared" ca="1" si="262"/>
        <v>0</v>
      </c>
      <c r="BP515" s="707">
        <f t="shared" ca="1" si="258"/>
        <v>0</v>
      </c>
      <c r="BQ515" s="707">
        <f t="shared" ca="1" si="258"/>
        <v>0</v>
      </c>
    </row>
    <row r="516" spans="1:69" x14ac:dyDescent="0.25">
      <c r="A516" s="667">
        <f ca="1"/>
        <v>1</v>
      </c>
      <c r="B516" s="666" t="str">
        <f ca="1"/>
        <v>Fipronil</v>
      </c>
      <c r="BF516" s="469" t="s">
        <v>5510</v>
      </c>
      <c r="BH516" s="537" t="s">
        <v>8045</v>
      </c>
      <c r="BI516" s="537" t="str">
        <f t="shared" si="259"/>
        <v>&gt;=2</v>
      </c>
      <c r="BJ516" s="480">
        <f t="shared" si="263"/>
        <v>139</v>
      </c>
      <c r="BK516" s="480">
        <f t="shared" si="260"/>
        <v>148</v>
      </c>
      <c r="BL516" s="672" t="str">
        <f t="shared" si="261"/>
        <v>BO139:BO148</v>
      </c>
      <c r="BM516" s="672" t="str">
        <f t="shared" si="261"/>
        <v>BZ139:BZ148</v>
      </c>
      <c r="BN516" s="672" t="str">
        <f t="shared" si="261"/>
        <v>CK139:CK148</v>
      </c>
      <c r="BO516" s="707">
        <f t="shared" ca="1" si="262"/>
        <v>0</v>
      </c>
      <c r="BP516" s="707">
        <f t="shared" ca="1" si="258"/>
        <v>0</v>
      </c>
      <c r="BQ516" s="707">
        <f t="shared" ca="1" si="258"/>
        <v>0</v>
      </c>
    </row>
    <row r="517" spans="1:69" x14ac:dyDescent="0.25">
      <c r="A517" s="667">
        <f ca="1"/>
        <v>1</v>
      </c>
      <c r="B517" s="666" t="str">
        <f ca="1"/>
        <v>Flufenoxurom</v>
      </c>
      <c r="BF517" s="469" t="s">
        <v>5510</v>
      </c>
      <c r="BH517" s="537" t="s">
        <v>8046</v>
      </c>
      <c r="BI517" s="537" t="str">
        <f t="shared" si="259"/>
        <v>&gt;=2</v>
      </c>
      <c r="BJ517" s="480">
        <f t="shared" si="263"/>
        <v>155</v>
      </c>
      <c r="BK517" s="480">
        <f t="shared" si="260"/>
        <v>164</v>
      </c>
      <c r="BL517" s="672" t="str">
        <f t="shared" si="261"/>
        <v>BO155:BO164</v>
      </c>
      <c r="BM517" s="672" t="str">
        <f t="shared" si="261"/>
        <v>BZ155:BZ164</v>
      </c>
      <c r="BN517" s="672" t="str">
        <f t="shared" si="261"/>
        <v>CK155:CK164</v>
      </c>
      <c r="BO517" s="707">
        <f t="shared" ca="1" si="262"/>
        <v>0</v>
      </c>
      <c r="BP517" s="707">
        <f t="shared" ca="1" si="258"/>
        <v>0</v>
      </c>
      <c r="BQ517" s="707">
        <f t="shared" ca="1" si="258"/>
        <v>0</v>
      </c>
    </row>
    <row r="518" spans="1:69" x14ac:dyDescent="0.25">
      <c r="A518" s="667">
        <f ca="1"/>
        <v>1</v>
      </c>
      <c r="B518" s="666" t="str">
        <f ca="1"/>
        <v>Flumicloraque-pentílico</v>
      </c>
      <c r="BF518" s="469" t="s">
        <v>5510</v>
      </c>
      <c r="BH518" s="537" t="s">
        <v>8047</v>
      </c>
      <c r="BI518" s="537" t="str">
        <f t="shared" si="259"/>
        <v>&gt;=3</v>
      </c>
      <c r="BJ518" s="480">
        <f t="shared" si="263"/>
        <v>171</v>
      </c>
      <c r="BK518" s="480">
        <f t="shared" si="260"/>
        <v>180</v>
      </c>
      <c r="BL518" s="672" t="str">
        <f t="shared" si="261"/>
        <v>BO171:BO180</v>
      </c>
      <c r="BM518" s="672" t="str">
        <f t="shared" si="261"/>
        <v>BZ171:BZ180</v>
      </c>
      <c r="BN518" s="672" t="str">
        <f t="shared" si="261"/>
        <v>CK171:CK180</v>
      </c>
      <c r="BO518" s="707">
        <f t="shared" ca="1" si="262"/>
        <v>0</v>
      </c>
      <c r="BP518" s="707">
        <f t="shared" ca="1" si="258"/>
        <v>0</v>
      </c>
      <c r="BQ518" s="707">
        <f t="shared" ca="1" si="258"/>
        <v>0</v>
      </c>
    </row>
    <row r="519" spans="1:69" x14ac:dyDescent="0.25">
      <c r="A519" s="667">
        <f ca="1"/>
        <v>1</v>
      </c>
      <c r="B519" s="666" t="str">
        <f ca="1"/>
        <v>Flumioxazina</v>
      </c>
      <c r="BF519" s="469" t="s">
        <v>5510</v>
      </c>
      <c r="BH519" s="537" t="s">
        <v>8048</v>
      </c>
      <c r="BI519" s="537" t="str">
        <f t="shared" si="259"/>
        <v>&gt;=3</v>
      </c>
      <c r="BJ519" s="480">
        <f t="shared" si="263"/>
        <v>187</v>
      </c>
      <c r="BK519" s="480">
        <f t="shared" si="260"/>
        <v>196</v>
      </c>
      <c r="BL519" s="672" t="str">
        <f t="shared" si="261"/>
        <v>BO187:BO196</v>
      </c>
      <c r="BM519" s="672" t="str">
        <f t="shared" si="261"/>
        <v>BZ187:BZ196</v>
      </c>
      <c r="BN519" s="672" t="str">
        <f t="shared" si="261"/>
        <v>CK187:CK196</v>
      </c>
      <c r="BO519" s="707">
        <f t="shared" ca="1" si="262"/>
        <v>0</v>
      </c>
      <c r="BP519" s="707">
        <f t="shared" ca="1" si="258"/>
        <v>0</v>
      </c>
      <c r="BQ519" s="707">
        <f t="shared" ca="1" si="258"/>
        <v>0</v>
      </c>
    </row>
    <row r="520" spans="1:69" x14ac:dyDescent="0.25">
      <c r="A520" s="667">
        <f ca="1"/>
        <v>1</v>
      </c>
      <c r="B520" s="666" t="str">
        <f ca="1"/>
        <v>Fluazinam</v>
      </c>
      <c r="BF520" s="469" t="s">
        <v>5510</v>
      </c>
      <c r="BH520" s="537" t="s">
        <v>8049</v>
      </c>
      <c r="BI520" s="537" t="str">
        <f t="shared" si="259"/>
        <v>&gt;=3</v>
      </c>
      <c r="BJ520" s="480">
        <f t="shared" si="263"/>
        <v>203</v>
      </c>
      <c r="BK520" s="480">
        <f t="shared" si="260"/>
        <v>212</v>
      </c>
      <c r="BL520" s="672" t="str">
        <f t="shared" si="261"/>
        <v>BO203:BO212</v>
      </c>
      <c r="BM520" s="672" t="str">
        <f t="shared" si="261"/>
        <v>BZ203:BZ212</v>
      </c>
      <c r="BN520" s="672" t="str">
        <f t="shared" si="261"/>
        <v>CK203:CK212</v>
      </c>
      <c r="BO520" s="707">
        <f t="shared" ca="1" si="262"/>
        <v>0</v>
      </c>
      <c r="BP520" s="707">
        <f t="shared" ca="1" si="258"/>
        <v>0</v>
      </c>
      <c r="BQ520" s="707">
        <f t="shared" ca="1" si="258"/>
        <v>0</v>
      </c>
    </row>
    <row r="521" spans="1:69" x14ac:dyDescent="0.25">
      <c r="A521" s="667">
        <f ca="1"/>
        <v>1</v>
      </c>
      <c r="B521" s="666" t="str">
        <f ca="1"/>
        <v>Flazassulfurom</v>
      </c>
      <c r="BF521" s="469" t="s">
        <v>5510</v>
      </c>
      <c r="BH521" s="537" t="s">
        <v>8050</v>
      </c>
      <c r="BI521" s="537" t="str">
        <f t="shared" si="259"/>
        <v>&gt;=3</v>
      </c>
      <c r="BJ521" s="480">
        <f t="shared" si="263"/>
        <v>219</v>
      </c>
      <c r="BK521" s="480">
        <f t="shared" si="260"/>
        <v>228</v>
      </c>
      <c r="BL521" s="672" t="str">
        <f t="shared" si="261"/>
        <v>BO219:BO228</v>
      </c>
      <c r="BM521" s="672" t="str">
        <f t="shared" si="261"/>
        <v>BZ219:BZ228</v>
      </c>
      <c r="BN521" s="672" t="str">
        <f t="shared" si="261"/>
        <v>CK219:CK228</v>
      </c>
      <c r="BO521" s="707">
        <f t="shared" ca="1" si="262"/>
        <v>0</v>
      </c>
      <c r="BP521" s="707">
        <f t="shared" ca="1" si="258"/>
        <v>0</v>
      </c>
      <c r="BQ521" s="707">
        <f t="shared" ca="1" si="258"/>
        <v>0</v>
      </c>
    </row>
    <row r="522" spans="1:69" x14ac:dyDescent="0.25">
      <c r="A522" s="667">
        <f ca="1"/>
        <v>1</v>
      </c>
      <c r="B522" s="666" t="str">
        <f ca="1"/>
        <v>Fludioxonil</v>
      </c>
      <c r="BF522" s="469" t="s">
        <v>5510</v>
      </c>
      <c r="BH522" s="537" t="s">
        <v>8051</v>
      </c>
      <c r="BI522" s="537" t="str">
        <f t="shared" si="259"/>
        <v>&gt;=3</v>
      </c>
      <c r="BJ522" s="480">
        <f t="shared" si="263"/>
        <v>235</v>
      </c>
      <c r="BK522" s="480">
        <f t="shared" si="260"/>
        <v>244</v>
      </c>
      <c r="BL522" s="672" t="str">
        <f t="shared" si="261"/>
        <v>BO235:BO244</v>
      </c>
      <c r="BM522" s="672" t="str">
        <f t="shared" si="261"/>
        <v>BZ235:BZ244</v>
      </c>
      <c r="BN522" s="672" t="str">
        <f t="shared" si="261"/>
        <v>CK235:CK244</v>
      </c>
      <c r="BO522" s="707">
        <f t="shared" ca="1" si="262"/>
        <v>0</v>
      </c>
      <c r="BP522" s="707">
        <f t="shared" ca="1" si="258"/>
        <v>0</v>
      </c>
      <c r="BQ522" s="707">
        <f t="shared" ca="1" si="258"/>
        <v>0</v>
      </c>
    </row>
    <row r="523" spans="1:69" x14ac:dyDescent="0.25">
      <c r="A523" s="667">
        <f ca="1"/>
        <v>1</v>
      </c>
      <c r="B523" s="666" t="str">
        <f ca="1"/>
        <v>Fostiazato</v>
      </c>
      <c r="BF523" s="469" t="s">
        <v>5510</v>
      </c>
      <c r="BH523" s="537" t="s">
        <v>8052</v>
      </c>
      <c r="BI523" s="537" t="str">
        <f t="shared" si="259"/>
        <v>&gt;=3</v>
      </c>
      <c r="BJ523" s="480">
        <f t="shared" si="263"/>
        <v>251</v>
      </c>
      <c r="BK523" s="480">
        <f t="shared" si="260"/>
        <v>260</v>
      </c>
      <c r="BL523" s="672" t="str">
        <f t="shared" si="261"/>
        <v>BO251:BO260</v>
      </c>
      <c r="BM523" s="672" t="str">
        <f t="shared" si="261"/>
        <v>BZ251:BZ260</v>
      </c>
      <c r="BN523" s="672" t="str">
        <f t="shared" si="261"/>
        <v>CK251:CK260</v>
      </c>
      <c r="BO523" s="707">
        <f t="shared" ca="1" si="262"/>
        <v>0</v>
      </c>
      <c r="BP523" s="707">
        <f t="shared" ca="1" si="258"/>
        <v>0</v>
      </c>
      <c r="BQ523" s="707">
        <f t="shared" ca="1" si="258"/>
        <v>0</v>
      </c>
    </row>
    <row r="524" spans="1:69" x14ac:dyDescent="0.25">
      <c r="A524" s="667">
        <f ca="1"/>
        <v>1</v>
      </c>
      <c r="B524" s="666" t="str">
        <f ca="1"/>
        <v>Fluquinconazol</v>
      </c>
      <c r="BF524" s="469" t="s">
        <v>5510</v>
      </c>
      <c r="BH524" s="537" t="s">
        <v>8054</v>
      </c>
      <c r="BI524" s="537" t="str">
        <f t="shared" si="259"/>
        <v>&gt;=2</v>
      </c>
      <c r="BJ524" s="480">
        <f t="shared" si="263"/>
        <v>267</v>
      </c>
      <c r="BK524" s="480">
        <f t="shared" si="260"/>
        <v>276</v>
      </c>
      <c r="BL524" s="672" t="str">
        <f t="shared" si="261"/>
        <v>BO267:BO276</v>
      </c>
      <c r="BM524" s="672" t="str">
        <f t="shared" si="261"/>
        <v>BZ267:BZ276</v>
      </c>
      <c r="BN524" s="672" t="str">
        <f t="shared" si="261"/>
        <v>CK267:CK276</v>
      </c>
      <c r="BO524" s="707">
        <f t="shared" ca="1" si="262"/>
        <v>0</v>
      </c>
      <c r="BP524" s="707">
        <f t="shared" ref="BP524:BP527" ca="1" si="264">COUNTIF(INDIRECT(BM524),$BI524)</f>
        <v>0</v>
      </c>
      <c r="BQ524" s="707">
        <f t="shared" ref="BQ524:BQ527" ca="1" si="265">COUNTIF(INDIRECT(BN524),$BI524)</f>
        <v>0</v>
      </c>
    </row>
    <row r="525" spans="1:69" x14ac:dyDescent="0.25">
      <c r="A525" s="667">
        <f ca="1"/>
        <v>1</v>
      </c>
      <c r="B525" s="666" t="str">
        <f ca="1"/>
        <v>Famoxadona</v>
      </c>
      <c r="BF525" s="469" t="s">
        <v>5510</v>
      </c>
      <c r="BH525" s="537" t="s">
        <v>8055</v>
      </c>
      <c r="BI525" s="537" t="str">
        <f t="shared" si="259"/>
        <v>&gt;=2</v>
      </c>
      <c r="BJ525" s="480">
        <f t="shared" si="263"/>
        <v>283</v>
      </c>
      <c r="BK525" s="480">
        <f t="shared" si="260"/>
        <v>292</v>
      </c>
      <c r="BL525" s="672" t="str">
        <f t="shared" si="261"/>
        <v>BO283:BO292</v>
      </c>
      <c r="BM525" s="672" t="str">
        <f t="shared" si="261"/>
        <v>BZ283:BZ292</v>
      </c>
      <c r="BN525" s="672" t="str">
        <f t="shared" si="261"/>
        <v>CK283:CK292</v>
      </c>
      <c r="BO525" s="707">
        <f t="shared" ca="1" si="262"/>
        <v>0</v>
      </c>
      <c r="BP525" s="707">
        <f t="shared" ca="1" si="264"/>
        <v>0</v>
      </c>
      <c r="BQ525" s="707">
        <f t="shared" ca="1" si="265"/>
        <v>0</v>
      </c>
    </row>
    <row r="526" spans="1:69" x14ac:dyDescent="0.25">
      <c r="A526" s="667">
        <f ca="1"/>
        <v>1</v>
      </c>
      <c r="B526" s="666" t="str">
        <f ca="1"/>
        <v>Foransulfurom</v>
      </c>
      <c r="BF526" s="469" t="s">
        <v>5510</v>
      </c>
      <c r="BH526" s="537" t="s">
        <v>8056</v>
      </c>
      <c r="BI526" s="537" t="str">
        <f t="shared" si="259"/>
        <v>&gt;=2</v>
      </c>
      <c r="BJ526" s="480">
        <f t="shared" si="263"/>
        <v>299</v>
      </c>
      <c r="BK526" s="480">
        <f t="shared" si="260"/>
        <v>308</v>
      </c>
      <c r="BL526" s="672" t="str">
        <f t="shared" si="261"/>
        <v>BO299:BO308</v>
      </c>
      <c r="BM526" s="672" t="str">
        <f t="shared" si="261"/>
        <v>BZ299:BZ308</v>
      </c>
      <c r="BN526" s="672" t="str">
        <f t="shared" si="261"/>
        <v>CK299:CK308</v>
      </c>
      <c r="BO526" s="707">
        <f t="shared" ca="1" si="262"/>
        <v>0</v>
      </c>
      <c r="BP526" s="707">
        <f t="shared" ca="1" si="264"/>
        <v>0</v>
      </c>
      <c r="BQ526" s="707">
        <f t="shared" ca="1" si="265"/>
        <v>0</v>
      </c>
    </row>
    <row r="527" spans="1:69" x14ac:dyDescent="0.25">
      <c r="A527" s="667">
        <f ca="1"/>
        <v>1</v>
      </c>
      <c r="B527" s="666" t="str">
        <f ca="1"/>
        <v>Fenamidona</v>
      </c>
      <c r="BF527" s="469" t="s">
        <v>5510</v>
      </c>
      <c r="BH527" s="537" t="s">
        <v>8053</v>
      </c>
      <c r="BI527" s="537" t="str">
        <f t="shared" si="259"/>
        <v>&gt;=2</v>
      </c>
      <c r="BJ527" s="480">
        <f t="shared" si="263"/>
        <v>315</v>
      </c>
      <c r="BK527" s="480">
        <f t="shared" si="260"/>
        <v>324</v>
      </c>
      <c r="BL527" s="672" t="str">
        <f t="shared" si="261"/>
        <v>BO315:BO324</v>
      </c>
      <c r="BM527" s="672" t="str">
        <f t="shared" si="261"/>
        <v>BZ315:BZ324</v>
      </c>
      <c r="BN527" s="672" t="str">
        <f t="shared" si="261"/>
        <v>CK315:CK324</v>
      </c>
      <c r="BO527" s="707">
        <f t="shared" ca="1" si="262"/>
        <v>0</v>
      </c>
      <c r="BP527" s="707">
        <f t="shared" ca="1" si="264"/>
        <v>0</v>
      </c>
      <c r="BQ527" s="707">
        <f t="shared" ca="1" si="265"/>
        <v>0</v>
      </c>
    </row>
    <row r="528" spans="1:69" x14ac:dyDescent="0.25">
      <c r="A528" s="667">
        <f ca="1"/>
        <v>1</v>
      </c>
      <c r="B528" s="666" t="str">
        <f ca="1"/>
        <v>Fluridona</v>
      </c>
      <c r="BF528" s="469" t="s">
        <v>5510</v>
      </c>
    </row>
    <row r="529" spans="1:69" x14ac:dyDescent="0.25">
      <c r="A529" s="667">
        <f ca="1"/>
        <v>1</v>
      </c>
      <c r="B529" s="666" t="str">
        <f ca="1"/>
        <v>Fenotiol</v>
      </c>
      <c r="BF529" s="469" t="s">
        <v>5510</v>
      </c>
    </row>
    <row r="530" spans="1:69" x14ac:dyDescent="0.25">
      <c r="A530" s="667">
        <f ca="1"/>
        <v>1</v>
      </c>
      <c r="B530" s="666" t="str">
        <f ca="1"/>
        <v>Foxim</v>
      </c>
      <c r="BF530" s="469" t="s">
        <v>5510</v>
      </c>
    </row>
    <row r="531" spans="1:69" x14ac:dyDescent="0.25">
      <c r="A531" s="667">
        <f ca="1"/>
        <v>1</v>
      </c>
      <c r="B531" s="666" t="str">
        <f ca="1"/>
        <v>Fentina</v>
      </c>
      <c r="BF531" s="469" t="s">
        <v>5510</v>
      </c>
    </row>
    <row r="532" spans="1:69" x14ac:dyDescent="0.25">
      <c r="A532" s="667">
        <f ca="1"/>
        <v>1</v>
      </c>
      <c r="B532" s="666" t="str">
        <f ca="1"/>
        <v>Acetato de fentina</v>
      </c>
      <c r="BF532" s="469" t="s">
        <v>5510</v>
      </c>
    </row>
    <row r="533" spans="1:69" x14ac:dyDescent="0.25">
      <c r="A533" s="667">
        <f ca="1"/>
        <v>1</v>
      </c>
      <c r="B533" s="666" t="str">
        <f ca="1"/>
        <v>Hidróxido de fentina</v>
      </c>
      <c r="BF533" s="469" t="s">
        <v>5510</v>
      </c>
    </row>
    <row r="534" spans="1:69" x14ac:dyDescent="0.25">
      <c r="A534" s="667">
        <f ca="1"/>
        <v>1</v>
      </c>
      <c r="B534" s="666" t="str">
        <f ca="1"/>
        <v>Flufenpir</v>
      </c>
      <c r="BF534" s="469" t="s">
        <v>5510</v>
      </c>
    </row>
    <row r="535" spans="1:69" x14ac:dyDescent="0.25">
      <c r="A535" s="667">
        <f ca="1"/>
        <v>1</v>
      </c>
      <c r="B535" s="666" t="str">
        <f ca="1"/>
        <v>Flufenpir-etílico</v>
      </c>
      <c r="BF535" s="469" t="s">
        <v>5510</v>
      </c>
    </row>
    <row r="536" spans="1:69" x14ac:dyDescent="0.25">
      <c r="A536" s="667">
        <f ca="1"/>
        <v>1</v>
      </c>
      <c r="B536" s="666" t="str">
        <f ca="1"/>
        <v>Flonicamida</v>
      </c>
      <c r="BF536" s="469" t="s">
        <v>5510</v>
      </c>
    </row>
    <row r="537" spans="1:69" x14ac:dyDescent="0.25">
      <c r="A537" s="667">
        <f ca="1"/>
        <v>1</v>
      </c>
      <c r="B537" s="666" t="str">
        <f ca="1"/>
        <v>Fluoreto de sódio</v>
      </c>
      <c r="BF537" s="469" t="s">
        <v>5510</v>
      </c>
    </row>
    <row r="538" spans="1:69" x14ac:dyDescent="0.25">
      <c r="A538" s="667">
        <f ca="1"/>
        <v>1</v>
      </c>
      <c r="B538" s="666" t="str">
        <f ca="1"/>
        <v>Fosfato férrico</v>
      </c>
      <c r="BF538" s="469" t="s">
        <v>5510</v>
      </c>
    </row>
    <row r="539" spans="1:69" x14ac:dyDescent="0.25">
      <c r="A539" s="667">
        <f ca="1"/>
        <v>1</v>
      </c>
      <c r="B539" s="666" t="str">
        <f ca="1"/>
        <v>Fluopicolida</v>
      </c>
      <c r="BF539" s="469" t="s">
        <v>5510</v>
      </c>
    </row>
    <row r="540" spans="1:69" x14ac:dyDescent="0.25">
      <c r="A540" s="667">
        <f ca="1"/>
        <v>1</v>
      </c>
      <c r="B540" s="666" t="str">
        <f ca="1"/>
        <v>Flubendiamida</v>
      </c>
      <c r="BF540" s="469" t="s">
        <v>5510</v>
      </c>
    </row>
    <row r="541" spans="1:69" x14ac:dyDescent="0.25">
      <c r="A541" s="667">
        <f ca="1"/>
        <v>1</v>
      </c>
      <c r="B541" s="666" t="str">
        <f ca="1"/>
        <v>Flutolanil</v>
      </c>
      <c r="BF541" s="469" t="s">
        <v>5510</v>
      </c>
    </row>
    <row r="542" spans="1:69" x14ac:dyDescent="0.25">
      <c r="A542" s="667">
        <f ca="1"/>
        <v>1</v>
      </c>
      <c r="B542" s="666" t="str">
        <f ca="1"/>
        <v>Fluxapiroxade</v>
      </c>
      <c r="BF542" s="469" t="s">
        <v>5510</v>
      </c>
      <c r="BI542" s="20"/>
      <c r="BJ542" s="20"/>
      <c r="BK542" s="20"/>
      <c r="BL542" s="20"/>
      <c r="BM542" s="20"/>
      <c r="BN542" s="20"/>
      <c r="BO542" s="20"/>
      <c r="BP542" s="20"/>
      <c r="BQ542" s="20"/>
    </row>
    <row r="543" spans="1:69" x14ac:dyDescent="0.25">
      <c r="A543" s="667">
        <f ca="1"/>
        <v>1</v>
      </c>
      <c r="B543" s="666" t="str">
        <f ca="1"/>
        <v>Flupiradifurone</v>
      </c>
      <c r="BF543" s="469" t="s">
        <v>5510</v>
      </c>
      <c r="BI543" s="20"/>
      <c r="BJ543" s="20"/>
      <c r="BK543" s="20"/>
      <c r="BL543" s="20"/>
      <c r="BM543" s="20"/>
      <c r="BN543" s="20"/>
      <c r="BO543" s="20"/>
      <c r="BP543" s="20"/>
      <c r="BQ543" s="20"/>
    </row>
    <row r="544" spans="1:69" x14ac:dyDescent="0.25">
      <c r="A544" s="667">
        <f ca="1"/>
        <v>1</v>
      </c>
      <c r="B544" s="666" t="str">
        <f ca="1"/>
        <v>Fluensulfona</v>
      </c>
      <c r="BF544" s="469" t="s">
        <v>5510</v>
      </c>
    </row>
    <row r="545" spans="1:58" x14ac:dyDescent="0.25">
      <c r="A545" s="667">
        <f ca="1"/>
        <v>1</v>
      </c>
      <c r="B545" s="666" t="str">
        <f ca="1"/>
        <v>FLORPIRAUXIFENO BENZÍLICO</v>
      </c>
      <c r="BF545" s="469" t="s">
        <v>5510</v>
      </c>
    </row>
    <row r="546" spans="1:58" x14ac:dyDescent="0.25">
      <c r="A546" s="667">
        <f ca="1"/>
        <v>1</v>
      </c>
      <c r="B546" s="666" t="str">
        <f ca="1"/>
        <v>FLUOPIRAM</v>
      </c>
      <c r="BF546" s="469" t="s">
        <v>5510</v>
      </c>
    </row>
    <row r="547" spans="1:58" x14ac:dyDescent="0.25">
      <c r="A547" s="667">
        <f ca="1"/>
        <v>1</v>
      </c>
      <c r="B547" s="666" t="str">
        <f ca="1"/>
        <v>FENPIRAZAMINA</v>
      </c>
      <c r="BF547" s="469" t="s">
        <v>5510</v>
      </c>
    </row>
    <row r="548" spans="1:58" x14ac:dyDescent="0.25">
      <c r="A548" s="667">
        <f ca="1"/>
        <v>1</v>
      </c>
      <c r="B548" s="666" t="str">
        <f ca="1"/>
        <v>Glifosato</v>
      </c>
      <c r="BF548" s="469" t="s">
        <v>5510</v>
      </c>
    </row>
    <row r="549" spans="1:58" x14ac:dyDescent="0.25">
      <c r="A549" s="667">
        <f ca="1"/>
        <v>1</v>
      </c>
      <c r="B549" s="666" t="str">
        <f ca="1"/>
        <v>Glifosato-sal de isopropilamina</v>
      </c>
      <c r="BF549" s="469" t="s">
        <v>5510</v>
      </c>
    </row>
    <row r="550" spans="1:58" x14ac:dyDescent="0.25">
      <c r="A550" s="667">
        <f ca="1"/>
        <v>1</v>
      </c>
      <c r="B550" s="666" t="str">
        <f ca="1"/>
        <v>Glifosato-sal de potássio</v>
      </c>
      <c r="BF550" s="469" t="s">
        <v>5510</v>
      </c>
    </row>
    <row r="551" spans="1:58" x14ac:dyDescent="0.25">
      <c r="A551" s="667">
        <f ca="1"/>
        <v>1</v>
      </c>
      <c r="B551" s="666" t="str">
        <f ca="1"/>
        <v>Glifosato-sal de amônio</v>
      </c>
      <c r="BF551" s="469" t="s">
        <v>5510</v>
      </c>
    </row>
    <row r="552" spans="1:58" x14ac:dyDescent="0.25">
      <c r="A552" s="667">
        <f ca="1"/>
        <v>1</v>
      </c>
      <c r="B552" s="666" t="str">
        <f ca="1"/>
        <v>Grandlure</v>
      </c>
      <c r="BF552" s="469" t="s">
        <v>5510</v>
      </c>
    </row>
    <row r="553" spans="1:58" x14ac:dyDescent="0.25">
      <c r="A553" s="667">
        <f ca="1"/>
        <v>1</v>
      </c>
      <c r="B553" s="666" t="str">
        <f ca="1"/>
        <v>Glufosinato</v>
      </c>
      <c r="BF553" s="469" t="s">
        <v>5510</v>
      </c>
    </row>
    <row r="554" spans="1:58" x14ac:dyDescent="0.25">
      <c r="A554" s="667">
        <f ca="1"/>
        <v>1</v>
      </c>
      <c r="B554" s="666" t="str">
        <f ca="1"/>
        <v>Glufosinato-sal de amônio</v>
      </c>
      <c r="BF554" s="469" t="s">
        <v>5510</v>
      </c>
    </row>
    <row r="555" spans="1:58" x14ac:dyDescent="0.25">
      <c r="A555" s="667">
        <f ca="1"/>
        <v>1</v>
      </c>
      <c r="B555" s="666" t="str">
        <f ca="1"/>
        <v>Gossiplure</v>
      </c>
      <c r="BF555" s="469" t="s">
        <v>5510</v>
      </c>
    </row>
    <row r="556" spans="1:58" x14ac:dyDescent="0.25">
      <c r="A556" s="667">
        <f ca="1"/>
        <v>1</v>
      </c>
      <c r="B556" s="666" t="str">
        <f ca="1"/>
        <v>Geraniol</v>
      </c>
      <c r="BF556" s="469" t="s">
        <v>5510</v>
      </c>
    </row>
    <row r="557" spans="1:58" x14ac:dyDescent="0.25">
      <c r="A557" s="667">
        <f ca="1"/>
        <v>1</v>
      </c>
      <c r="B557" s="666" t="str">
        <f ca="1"/>
        <v>Hexazinona</v>
      </c>
      <c r="BF557" s="469" t="s">
        <v>5510</v>
      </c>
    </row>
    <row r="558" spans="1:58" x14ac:dyDescent="0.25">
      <c r="A558" s="667">
        <f ca="1"/>
        <v>1</v>
      </c>
      <c r="B558" s="666" t="str">
        <f ca="1"/>
        <v>Hidrazida malêica</v>
      </c>
      <c r="BF558" s="469" t="s">
        <v>5510</v>
      </c>
    </row>
    <row r="559" spans="1:58" x14ac:dyDescent="0.25">
      <c r="A559" s="667">
        <f ca="1"/>
        <v>1</v>
      </c>
      <c r="B559" s="666" t="str">
        <f ca="1"/>
        <v>Hidrametilnona</v>
      </c>
      <c r="BF559" s="469" t="s">
        <v>5510</v>
      </c>
    </row>
    <row r="560" spans="1:58" x14ac:dyDescent="0.25">
      <c r="A560" s="667">
        <f ca="1"/>
        <v>1</v>
      </c>
      <c r="B560" s="666" t="str">
        <f ca="1"/>
        <v>Hexitiazoxi</v>
      </c>
      <c r="BF560" s="469" t="s">
        <v>5510</v>
      </c>
    </row>
    <row r="561" spans="1:58" x14ac:dyDescent="0.25">
      <c r="A561" s="667">
        <f ca="1"/>
        <v>1</v>
      </c>
      <c r="B561" s="666" t="str">
        <f ca="1"/>
        <v>Haloxifope-p</v>
      </c>
      <c r="BF561" s="469" t="s">
        <v>5510</v>
      </c>
    </row>
    <row r="562" spans="1:58" x14ac:dyDescent="0.25">
      <c r="A562" s="667">
        <f ca="1"/>
        <v>1</v>
      </c>
      <c r="B562" s="666" t="str">
        <f ca="1"/>
        <v>Haloxifope-p-metílico</v>
      </c>
      <c r="BF562" s="469" t="s">
        <v>5510</v>
      </c>
    </row>
    <row r="563" spans="1:58" x14ac:dyDescent="0.25">
      <c r="A563" s="667">
        <f ca="1"/>
        <v>1</v>
      </c>
      <c r="B563" s="666" t="str">
        <f ca="1"/>
        <v>Halossulfurom</v>
      </c>
      <c r="BF563" s="469" t="s">
        <v>5510</v>
      </c>
    </row>
    <row r="564" spans="1:58" x14ac:dyDescent="0.25">
      <c r="A564" s="667">
        <f ca="1"/>
        <v>1</v>
      </c>
      <c r="B564" s="666" t="str">
        <f ca="1"/>
        <v>Halossulfurom-metílico</v>
      </c>
      <c r="BF564" s="469" t="s">
        <v>5510</v>
      </c>
    </row>
    <row r="565" spans="1:58" x14ac:dyDescent="0.25">
      <c r="A565" s="667">
        <f ca="1"/>
        <v>1</v>
      </c>
      <c r="B565" s="666" t="str">
        <f ca="1"/>
        <v>Hexaconazol</v>
      </c>
      <c r="BF565" s="469" t="s">
        <v>5510</v>
      </c>
    </row>
    <row r="566" spans="1:58" x14ac:dyDescent="0.25">
      <c r="A566" s="667">
        <f ca="1"/>
        <v>1</v>
      </c>
      <c r="B566" s="666" t="str">
        <f ca="1"/>
        <v>Hexaflumurom</v>
      </c>
      <c r="BF566" s="469" t="s">
        <v>5510</v>
      </c>
    </row>
    <row r="567" spans="1:58" x14ac:dyDescent="0.25">
      <c r="A567" s="667">
        <f ca="1"/>
        <v>1</v>
      </c>
      <c r="B567" s="666" t="str">
        <f ca="1"/>
        <v>E -11-hexadecenol</v>
      </c>
    </row>
    <row r="568" spans="1:58" x14ac:dyDescent="0.25">
      <c r="A568" s="667">
        <f ca="1"/>
        <v>1</v>
      </c>
      <c r="B568" s="666" t="str">
        <f ca="1"/>
        <v>(z)-11-hexadecenal</v>
      </c>
    </row>
    <row r="569" spans="1:58" x14ac:dyDescent="0.25">
      <c r="A569" s="667">
        <f ca="1"/>
        <v>1</v>
      </c>
      <c r="B569" s="666" t="str">
        <f ca="1"/>
        <v>(z)-9-hexadecenal</v>
      </c>
    </row>
    <row r="570" spans="1:58" x14ac:dyDescent="0.25">
      <c r="A570" s="667">
        <f ca="1"/>
        <v>1</v>
      </c>
      <c r="B570" s="666" t="str">
        <f ca="1"/>
        <v>(Z)-7-hexadecenal</v>
      </c>
    </row>
    <row r="571" spans="1:58" x14ac:dyDescent="0.25">
      <c r="A571" s="667">
        <f ca="1"/>
        <v>1</v>
      </c>
      <c r="B571" s="666" t="str">
        <f ca="1"/>
        <v>HALAUXIFENO METÍLICO</v>
      </c>
    </row>
    <row r="572" spans="1:58" x14ac:dyDescent="0.25">
      <c r="A572" s="667">
        <f ca="1"/>
        <v>1</v>
      </c>
      <c r="B572" s="666" t="str">
        <f ca="1"/>
        <v>Iodofenfós</v>
      </c>
    </row>
    <row r="573" spans="1:58" x14ac:dyDescent="0.25">
      <c r="A573" s="667">
        <f ca="1"/>
        <v>1</v>
      </c>
      <c r="B573" s="666" t="str">
        <f ca="1"/>
        <v>Iprodiona</v>
      </c>
    </row>
    <row r="574" spans="1:58" x14ac:dyDescent="0.25">
      <c r="A574" s="667">
        <f ca="1"/>
        <v>1</v>
      </c>
      <c r="B574" s="666" t="str">
        <f ca="1"/>
        <v>Imazaquim</v>
      </c>
    </row>
    <row r="575" spans="1:58" x14ac:dyDescent="0.25">
      <c r="A575" s="667">
        <f ca="1"/>
        <v>1</v>
      </c>
      <c r="B575" s="666" t="str">
        <f ca="1"/>
        <v>Imazetapir</v>
      </c>
    </row>
    <row r="576" spans="1:58" x14ac:dyDescent="0.25">
      <c r="A576" s="667">
        <f ca="1"/>
        <v>1</v>
      </c>
      <c r="B576" s="666" t="str">
        <f ca="1"/>
        <v>Imazapir</v>
      </c>
    </row>
    <row r="577" spans="1:2" x14ac:dyDescent="0.25">
      <c r="A577" s="667">
        <f ca="1"/>
        <v>1</v>
      </c>
      <c r="B577" s="666" t="str">
        <f ca="1"/>
        <v>Imidacloprido</v>
      </c>
    </row>
    <row r="578" spans="1:2" x14ac:dyDescent="0.25">
      <c r="A578" s="667">
        <f ca="1"/>
        <v>1</v>
      </c>
      <c r="B578" s="666" t="str">
        <f ca="1"/>
        <v>Imazamoxi</v>
      </c>
    </row>
    <row r="579" spans="1:2" x14ac:dyDescent="0.25">
      <c r="A579" s="667">
        <f ca="1"/>
        <v>1</v>
      </c>
      <c r="B579" s="666" t="str">
        <f ca="1"/>
        <v>Imibenconazol</v>
      </c>
    </row>
    <row r="580" spans="1:2" x14ac:dyDescent="0.25">
      <c r="A580" s="667">
        <f ca="1"/>
        <v>1</v>
      </c>
      <c r="B580" s="666" t="str">
        <f ca="1"/>
        <v>Imiprotrim</v>
      </c>
    </row>
    <row r="581" spans="1:2" x14ac:dyDescent="0.25">
      <c r="A581" s="667">
        <f ca="1"/>
        <v>1</v>
      </c>
      <c r="B581" s="666" t="str">
        <f ca="1"/>
        <v>Isoxaflutol</v>
      </c>
    </row>
    <row r="582" spans="1:2" x14ac:dyDescent="0.25">
      <c r="A582" s="667">
        <f ca="1"/>
        <v>1</v>
      </c>
      <c r="B582" s="666" t="str">
        <f ca="1"/>
        <v>Imazalil</v>
      </c>
    </row>
    <row r="583" spans="1:2" x14ac:dyDescent="0.25">
      <c r="A583" s="667">
        <f ca="1"/>
        <v>1</v>
      </c>
      <c r="B583" s="666" t="str">
        <f ca="1"/>
        <v>Imazapique</v>
      </c>
    </row>
    <row r="584" spans="1:2" x14ac:dyDescent="0.25">
      <c r="A584" s="667">
        <f ca="1"/>
        <v>1</v>
      </c>
      <c r="B584" s="666" t="str">
        <f ca="1"/>
        <v>Indoxacarbe</v>
      </c>
    </row>
    <row r="585" spans="1:2" x14ac:dyDescent="0.25">
      <c r="A585" s="667">
        <f ca="1"/>
        <v>1</v>
      </c>
      <c r="B585" s="666" t="str">
        <f ca="1"/>
        <v>Iodossulfurom-metílico-sódico</v>
      </c>
    </row>
    <row r="586" spans="1:2" x14ac:dyDescent="0.25">
      <c r="A586" s="667">
        <f ca="1"/>
        <v>1</v>
      </c>
      <c r="B586" s="666" t="str">
        <f ca="1"/>
        <v>Ipbc</v>
      </c>
    </row>
    <row r="587" spans="1:2" x14ac:dyDescent="0.25">
      <c r="A587" s="667">
        <f ca="1"/>
        <v>1</v>
      </c>
      <c r="B587" s="666" t="str">
        <f ca="1"/>
        <v>Iprovalicarbe</v>
      </c>
    </row>
    <row r="588" spans="1:2" x14ac:dyDescent="0.25">
      <c r="A588" s="667">
        <f ca="1"/>
        <v>1</v>
      </c>
      <c r="B588" s="666" t="str">
        <f ca="1"/>
        <v>Iminoctadina</v>
      </c>
    </row>
    <row r="589" spans="1:2" x14ac:dyDescent="0.25">
      <c r="A589" s="667">
        <f ca="1"/>
        <v>1</v>
      </c>
      <c r="B589" s="666" t="str">
        <f ca="1"/>
        <v>Iminoctadina tris(albesilato)</v>
      </c>
    </row>
    <row r="590" spans="1:2" x14ac:dyDescent="0.25">
      <c r="A590" s="667">
        <f ca="1"/>
        <v>1</v>
      </c>
      <c r="B590" s="666" t="str">
        <f ca="1"/>
        <v>Ipconazol</v>
      </c>
    </row>
    <row r="591" spans="1:2" x14ac:dyDescent="0.25">
      <c r="A591" s="667">
        <f ca="1"/>
        <v>1</v>
      </c>
      <c r="B591" s="666" t="str">
        <f ca="1"/>
        <v>Indaziflam</v>
      </c>
    </row>
    <row r="592" spans="1:2" x14ac:dyDescent="0.25">
      <c r="A592" s="667">
        <f ca="1"/>
        <v>1</v>
      </c>
      <c r="B592" s="666" t="str">
        <f ca="1"/>
        <v>Isaria fumosorosea</v>
      </c>
    </row>
    <row r="593" spans="1:2" x14ac:dyDescent="0.25">
      <c r="A593" s="667">
        <f ca="1"/>
        <v>1</v>
      </c>
      <c r="B593" s="666" t="str">
        <f ca="1"/>
        <v>ISOFETAMIDA</v>
      </c>
    </row>
    <row r="594" spans="1:2" x14ac:dyDescent="0.25">
      <c r="A594" s="667">
        <f ca="1"/>
        <v>1</v>
      </c>
      <c r="B594" s="666" t="str">
        <f ca="1"/>
        <v>IMPIRFLUXAM</v>
      </c>
    </row>
    <row r="595" spans="1:2" x14ac:dyDescent="0.25">
      <c r="A595" s="667">
        <f ca="1"/>
        <v>1</v>
      </c>
      <c r="B595" s="666" t="str">
        <f ca="1"/>
        <v>ISARIA JAVANICA</v>
      </c>
    </row>
    <row r="596" spans="1:2" x14ac:dyDescent="0.25">
      <c r="A596" s="667">
        <f ca="1"/>
        <v>1</v>
      </c>
      <c r="B596" s="666" t="str">
        <f ca="1"/>
        <v>Linurom</v>
      </c>
    </row>
    <row r="597" spans="1:2" x14ac:dyDescent="0.25">
      <c r="A597" s="667">
        <f ca="1"/>
        <v>1</v>
      </c>
      <c r="B597" s="666" t="str">
        <f ca="1"/>
        <v>Lactofem</v>
      </c>
    </row>
    <row r="598" spans="1:2" x14ac:dyDescent="0.25">
      <c r="A598" s="667">
        <f ca="1"/>
        <v>1</v>
      </c>
      <c r="B598" s="666" t="str">
        <f ca="1"/>
        <v>Lufenurom</v>
      </c>
    </row>
    <row r="599" spans="1:2" x14ac:dyDescent="0.25">
      <c r="A599" s="667">
        <f ca="1"/>
        <v>1</v>
      </c>
      <c r="B599" s="666" t="str">
        <f ca="1"/>
        <v>Malationa</v>
      </c>
    </row>
    <row r="600" spans="1:2" x14ac:dyDescent="0.25">
      <c r="A600" s="667">
        <f ca="1"/>
        <v>1</v>
      </c>
      <c r="B600" s="666" t="str">
        <f ca="1"/>
        <v>Mancozebe</v>
      </c>
    </row>
    <row r="601" spans="1:2" x14ac:dyDescent="0.25">
      <c r="A601" s="667">
        <f ca="1"/>
        <v>1</v>
      </c>
      <c r="B601" s="666" t="str">
        <f ca="1"/>
        <v>Mcpa</v>
      </c>
    </row>
    <row r="602" spans="1:2" x14ac:dyDescent="0.25">
      <c r="A602" s="667">
        <f ca="1"/>
        <v>1</v>
      </c>
      <c r="B602" s="666" t="str">
        <f ca="1"/>
        <v>Mcpa-dimetilamônio</v>
      </c>
    </row>
    <row r="603" spans="1:2" x14ac:dyDescent="0.25">
      <c r="A603" s="667">
        <f ca="1"/>
        <v>1</v>
      </c>
      <c r="B603" s="666" t="str">
        <f ca="1"/>
        <v>Metaldeído</v>
      </c>
    </row>
    <row r="604" spans="1:2" x14ac:dyDescent="0.25">
      <c r="A604" s="667">
        <f ca="1"/>
        <v>1</v>
      </c>
      <c r="B604" s="666" t="str">
        <f ca="1"/>
        <v>Metidationa</v>
      </c>
    </row>
    <row r="605" spans="1:2" x14ac:dyDescent="0.25">
      <c r="A605" s="667">
        <f ca="1"/>
        <v>1</v>
      </c>
      <c r="B605" s="666" t="str">
        <f ca="1"/>
        <v>Metiram</v>
      </c>
    </row>
    <row r="606" spans="1:2" x14ac:dyDescent="0.25">
      <c r="A606" s="667">
        <f ca="1"/>
        <v>1</v>
      </c>
      <c r="B606" s="666" t="str">
        <f ca="1"/>
        <v>Metolacloro</v>
      </c>
    </row>
    <row r="607" spans="1:2" x14ac:dyDescent="0.25">
      <c r="A607" s="667">
        <f ca="1"/>
        <v>1</v>
      </c>
      <c r="B607" s="666" t="str">
        <f ca="1"/>
        <v>Metomil</v>
      </c>
    </row>
    <row r="608" spans="1:2" x14ac:dyDescent="0.25">
      <c r="A608" s="667">
        <f ca="1"/>
        <v>1</v>
      </c>
      <c r="B608" s="666" t="str">
        <f ca="1"/>
        <v>Metribuzim</v>
      </c>
    </row>
    <row r="609" spans="1:2" x14ac:dyDescent="0.25">
      <c r="A609" s="667">
        <f ca="1"/>
        <v>1</v>
      </c>
      <c r="B609" s="666" t="str">
        <f ca="1"/>
        <v>Mevinfós</v>
      </c>
    </row>
    <row r="610" spans="1:2" x14ac:dyDescent="0.25">
      <c r="A610" s="667">
        <f ca="1"/>
        <v>1</v>
      </c>
      <c r="B610" s="666" t="str">
        <f ca="1"/>
        <v>Molinato</v>
      </c>
    </row>
    <row r="611" spans="1:2" x14ac:dyDescent="0.25">
      <c r="A611" s="667">
        <f ca="1"/>
        <v>1</v>
      </c>
      <c r="B611" s="666" t="str">
        <f ca="1"/>
        <v>MSMA</v>
      </c>
    </row>
    <row r="612" spans="1:2" x14ac:dyDescent="0.25">
      <c r="A612" s="667">
        <f ca="1"/>
        <v>1</v>
      </c>
      <c r="B612" s="666" t="str">
        <f ca="1"/>
        <v>Metopreno</v>
      </c>
    </row>
    <row r="613" spans="1:2" x14ac:dyDescent="0.25">
      <c r="A613" s="667">
        <f ca="1"/>
        <v>1</v>
      </c>
      <c r="B613" s="666" t="str">
        <f ca="1"/>
        <v>Metsulfurom</v>
      </c>
    </row>
    <row r="614" spans="1:2" x14ac:dyDescent="0.25">
      <c r="A614" s="667">
        <f ca="1"/>
        <v>1</v>
      </c>
      <c r="B614" s="666" t="str">
        <f ca="1"/>
        <v>Metsulfurom-metílico</v>
      </c>
    </row>
    <row r="615" spans="1:2" x14ac:dyDescent="0.25">
      <c r="A615" s="667">
        <f ca="1"/>
        <v>1</v>
      </c>
      <c r="B615" s="666" t="str">
        <f ca="1"/>
        <v>Miclobutanil</v>
      </c>
    </row>
    <row r="616" spans="1:2" x14ac:dyDescent="0.25">
      <c r="A616" s="667">
        <f ca="1"/>
        <v>1</v>
      </c>
      <c r="B616" s="666" t="str">
        <f ca="1"/>
        <v>Metam</v>
      </c>
    </row>
    <row r="617" spans="1:2" x14ac:dyDescent="0.25">
      <c r="A617" s="667">
        <f ca="1"/>
        <v>1</v>
      </c>
      <c r="B617" s="666" t="str">
        <f ca="1"/>
        <v>Metam-sódico</v>
      </c>
    </row>
    <row r="618" spans="1:2" x14ac:dyDescent="0.25">
      <c r="A618" s="667">
        <f ca="1"/>
        <v>1</v>
      </c>
      <c r="B618" s="666" t="str">
        <f ca="1"/>
        <v>Metil neodecanamida</v>
      </c>
    </row>
    <row r="619" spans="1:2" x14ac:dyDescent="0.25">
      <c r="A619" s="667">
        <f ca="1"/>
        <v>1</v>
      </c>
      <c r="B619" s="666" t="str">
        <f ca="1"/>
        <v>Metiocarbe</v>
      </c>
    </row>
    <row r="620" spans="1:2" x14ac:dyDescent="0.25">
      <c r="A620" s="667">
        <f ca="1"/>
        <v>1</v>
      </c>
      <c r="B620" s="666" t="str">
        <f ca="1"/>
        <v>Metalaxil-m</v>
      </c>
    </row>
    <row r="621" spans="1:2" x14ac:dyDescent="0.25">
      <c r="A621" s="667">
        <f ca="1"/>
        <v>1</v>
      </c>
      <c r="B621" s="666" t="str">
        <f ca="1"/>
        <v>Metoxifenozida</v>
      </c>
    </row>
    <row r="622" spans="1:2" x14ac:dyDescent="0.25">
      <c r="A622" s="667">
        <f ca="1"/>
        <v>1</v>
      </c>
      <c r="B622" s="666" t="str">
        <f ca="1"/>
        <v>Metamitrona</v>
      </c>
    </row>
    <row r="623" spans="1:2" x14ac:dyDescent="0.25">
      <c r="A623" s="667">
        <f ca="1"/>
        <v>1</v>
      </c>
      <c r="B623" s="666" t="str">
        <f ca="1"/>
        <v>Metconazol</v>
      </c>
    </row>
    <row r="624" spans="1:2" x14ac:dyDescent="0.25">
      <c r="A624" s="667">
        <f ca="1"/>
        <v>1</v>
      </c>
      <c r="B624" s="666" t="str">
        <f ca="1"/>
        <v>Metilciclopropeno</v>
      </c>
    </row>
    <row r="625" spans="1:2" x14ac:dyDescent="0.25">
      <c r="A625" s="667">
        <f ca="1"/>
        <v>1</v>
      </c>
      <c r="B625" s="666" t="str">
        <f ca="1"/>
        <v>N-2’s-metilbutil-2-metilbutilamida</v>
      </c>
    </row>
    <row r="626" spans="1:2" x14ac:dyDescent="0.25">
      <c r="A626" s="667">
        <f ca="1"/>
        <v>1</v>
      </c>
      <c r="B626" s="666" t="str">
        <f ca="1"/>
        <v>Mepiquate</v>
      </c>
    </row>
    <row r="627" spans="1:2" x14ac:dyDescent="0.25">
      <c r="A627" s="667">
        <f ca="1"/>
        <v>1</v>
      </c>
      <c r="B627" s="666" t="str">
        <f ca="1"/>
        <v>Cloreto de mepiquate</v>
      </c>
    </row>
    <row r="628" spans="1:2" x14ac:dyDescent="0.25">
      <c r="A628" s="667">
        <f ca="1"/>
        <v>1</v>
      </c>
      <c r="B628" s="666" t="str">
        <f ca="1"/>
        <v>Milbemectina</v>
      </c>
    </row>
    <row r="629" spans="1:2" x14ac:dyDescent="0.25">
      <c r="A629" s="667">
        <f ca="1"/>
        <v>1</v>
      </c>
      <c r="B629" s="666" t="str">
        <f ca="1"/>
        <v>Metarhizium anisopliae</v>
      </c>
    </row>
    <row r="630" spans="1:2" x14ac:dyDescent="0.25">
      <c r="A630" s="667">
        <f ca="1"/>
        <v>1</v>
      </c>
      <c r="B630" s="666" t="str">
        <f ca="1"/>
        <v>Mesotriona</v>
      </c>
    </row>
    <row r="631" spans="1:2" x14ac:dyDescent="0.25">
      <c r="A631" s="667">
        <f ca="1"/>
        <v>1</v>
      </c>
      <c r="B631" s="666" t="str">
        <f ca="1"/>
        <v>Metanol</v>
      </c>
    </row>
    <row r="632" spans="1:2" x14ac:dyDescent="0.25">
      <c r="A632" s="667">
        <f ca="1"/>
        <v>1</v>
      </c>
      <c r="B632" s="666" t="str">
        <f ca="1"/>
        <v>Metoflutrina</v>
      </c>
    </row>
    <row r="633" spans="1:2" x14ac:dyDescent="0.25">
      <c r="A633" s="667">
        <f ca="1"/>
        <v>1</v>
      </c>
      <c r="B633" s="666" t="str">
        <f ca="1"/>
        <v>Mandipropamida</v>
      </c>
    </row>
    <row r="634" spans="1:2" x14ac:dyDescent="0.25">
      <c r="A634" s="667">
        <f ca="1"/>
        <v>1</v>
      </c>
      <c r="B634" s="666" t="str">
        <f ca="1"/>
        <v>Mesossulfurom-metílico</v>
      </c>
    </row>
    <row r="635" spans="1:2" x14ac:dyDescent="0.25">
      <c r="A635" s="667">
        <f ca="1"/>
        <v>1</v>
      </c>
      <c r="B635" s="666" t="str">
        <f ca="1"/>
        <v>Melaleuca alternifolia</v>
      </c>
    </row>
    <row r="636" spans="1:2" x14ac:dyDescent="0.25">
      <c r="A636" s="667">
        <f ca="1"/>
        <v>1</v>
      </c>
      <c r="B636" s="666" t="str">
        <f ca="1"/>
        <v>Metaflumizona</v>
      </c>
    </row>
    <row r="637" spans="1:2" x14ac:dyDescent="0.25">
      <c r="A637" s="667">
        <f ca="1"/>
        <v>1</v>
      </c>
      <c r="B637" s="666" t="str">
        <f ca="1"/>
        <v>METOMINOSTROBINA</v>
      </c>
    </row>
    <row r="638" spans="1:2" x14ac:dyDescent="0.25">
      <c r="A638" s="667">
        <f ca="1"/>
        <v>1</v>
      </c>
      <c r="B638" s="666" t="str">
        <f ca="1"/>
        <v>MONFLUOROTRINA</v>
      </c>
    </row>
    <row r="639" spans="1:2" x14ac:dyDescent="0.25">
      <c r="A639" s="667">
        <f ca="1"/>
        <v>1</v>
      </c>
      <c r="B639" s="666" t="str">
        <f ca="1"/>
        <v>Metarhizium rileyi</v>
      </c>
    </row>
    <row r="640" spans="1:2" x14ac:dyDescent="0.25">
      <c r="A640" s="667">
        <f ca="1"/>
        <v>1</v>
      </c>
      <c r="B640" s="666" t="str">
        <f ca="1"/>
        <v>MEFENTRIFLUCONAZOL</v>
      </c>
    </row>
    <row r="641" spans="1:2" x14ac:dyDescent="0.25">
      <c r="A641" s="667">
        <f ca="1"/>
        <v>1</v>
      </c>
      <c r="B641" s="666" t="str">
        <f ca="1"/>
        <v>Nalede</v>
      </c>
    </row>
    <row r="642" spans="1:2" x14ac:dyDescent="0.25">
      <c r="A642" s="667">
        <f ca="1"/>
        <v>1</v>
      </c>
      <c r="B642" s="666" t="str">
        <f ca="1"/>
        <v>Napropamida</v>
      </c>
    </row>
    <row r="643" spans="1:2" x14ac:dyDescent="0.25">
      <c r="A643" s="667">
        <f ca="1"/>
        <v>1</v>
      </c>
      <c r="B643" s="666" t="str">
        <f ca="1"/>
        <v>Niclosamida</v>
      </c>
    </row>
    <row r="644" spans="1:2" x14ac:dyDescent="0.25">
      <c r="A644" s="667">
        <f ca="1"/>
        <v>1</v>
      </c>
      <c r="B644" s="666" t="str">
        <f ca="1"/>
        <v>Nicossulfurom</v>
      </c>
    </row>
    <row r="645" spans="1:2" x14ac:dyDescent="0.25">
      <c r="A645" s="667">
        <f ca="1"/>
        <v>1</v>
      </c>
      <c r="B645" s="666" t="str">
        <f ca="1"/>
        <v>Novalurom</v>
      </c>
    </row>
    <row r="646" spans="1:2" x14ac:dyDescent="0.25">
      <c r="A646" s="667">
        <f ca="1"/>
        <v>1</v>
      </c>
      <c r="B646" s="666" t="str">
        <f ca="1"/>
        <v>Neoseiulus californicus</v>
      </c>
    </row>
    <row r="647" spans="1:2" x14ac:dyDescent="0.25">
      <c r="A647" s="667">
        <f ca="1"/>
        <v>1</v>
      </c>
      <c r="B647" s="666" t="str">
        <f ca="1"/>
        <v>Pidiflumetofem</v>
      </c>
    </row>
    <row r="648" spans="1:2" x14ac:dyDescent="0.25">
      <c r="A648" s="667">
        <f ca="1"/>
        <v>1</v>
      </c>
      <c r="B648" s="666" t="str">
        <f ca="1"/>
        <v>Óleo vegetal</v>
      </c>
    </row>
    <row r="649" spans="1:2" x14ac:dyDescent="0.25">
      <c r="A649" s="667">
        <f ca="1"/>
        <v>1</v>
      </c>
      <c r="B649" s="666" t="str">
        <f ca="1"/>
        <v>Óleo mineral</v>
      </c>
    </row>
    <row r="650" spans="1:2" x14ac:dyDescent="0.25">
      <c r="A650" s="667">
        <f ca="1"/>
        <v>1</v>
      </c>
      <c r="B650" s="666" t="str">
        <f ca="1"/>
        <v>Orizalina</v>
      </c>
    </row>
    <row r="651" spans="1:2" x14ac:dyDescent="0.25">
      <c r="A651" s="667">
        <f ca="1"/>
        <v>1</v>
      </c>
      <c r="B651" s="666" t="str">
        <f ca="1"/>
        <v>Oxadiazona</v>
      </c>
    </row>
    <row r="652" spans="1:2" x14ac:dyDescent="0.25">
      <c r="A652" s="667">
        <f ca="1"/>
        <v>1</v>
      </c>
      <c r="B652" s="666" t="str">
        <f ca="1"/>
        <v>Oxicarboxina</v>
      </c>
    </row>
    <row r="653" spans="1:2" x14ac:dyDescent="0.25">
      <c r="A653" s="667">
        <f ca="1"/>
        <v>1</v>
      </c>
      <c r="B653" s="666" t="str">
        <f ca="1"/>
        <v>Óxido de fembutatina</v>
      </c>
    </row>
    <row r="654" spans="1:2" x14ac:dyDescent="0.25">
      <c r="A654" s="667">
        <f ca="1"/>
        <v>1</v>
      </c>
      <c r="B654" s="666" t="str">
        <f ca="1"/>
        <v>Oxifluorfem</v>
      </c>
    </row>
    <row r="655" spans="1:2" x14ac:dyDescent="0.25">
      <c r="A655" s="667">
        <f ca="1"/>
        <v>1</v>
      </c>
      <c r="B655" s="666" t="str">
        <f ca="1"/>
        <v>Oxassulfurom</v>
      </c>
    </row>
    <row r="656" spans="1:2" x14ac:dyDescent="0.25">
      <c r="A656" s="667">
        <f ca="1"/>
        <v>1</v>
      </c>
      <c r="B656" s="666" t="str">
        <f ca="1"/>
        <v>Óleo creosoto</v>
      </c>
    </row>
    <row r="657" spans="1:2" x14ac:dyDescent="0.25">
      <c r="A657" s="667">
        <f ca="1"/>
        <v>1</v>
      </c>
      <c r="B657" s="666" t="str">
        <f ca="1"/>
        <v>Oxadiargil</v>
      </c>
    </row>
    <row r="658" spans="1:2" x14ac:dyDescent="0.25">
      <c r="A658" s="667">
        <f ca="1"/>
        <v>1</v>
      </c>
      <c r="B658" s="666" t="str">
        <f ca="1"/>
        <v>Octanoato de ioxinila</v>
      </c>
    </row>
    <row r="659" spans="1:2" x14ac:dyDescent="0.25">
      <c r="A659" s="667">
        <f ca="1"/>
        <v>1</v>
      </c>
      <c r="B659" s="666" t="str">
        <f ca="1"/>
        <v>(z)-13-octadecenal</v>
      </c>
    </row>
    <row r="660" spans="1:2" x14ac:dyDescent="0.25">
      <c r="A660" s="667">
        <f ca="1"/>
        <v>1</v>
      </c>
      <c r="B660" s="666" t="str">
        <f ca="1"/>
        <v>Ortossulfamurom</v>
      </c>
    </row>
    <row r="661" spans="1:2" x14ac:dyDescent="0.25">
      <c r="A661" s="667">
        <f ca="1"/>
        <v>1</v>
      </c>
      <c r="B661" s="666" t="str">
        <f ca="1"/>
        <v>Orius insidiosus</v>
      </c>
    </row>
    <row r="662" spans="1:2" x14ac:dyDescent="0.25">
      <c r="A662" s="667">
        <f ca="1"/>
        <v>1</v>
      </c>
      <c r="B662" s="666" t="str">
        <f ca="1"/>
        <v>OXATIAPIPROLINA</v>
      </c>
    </row>
    <row r="663" spans="1:2" x14ac:dyDescent="0.25">
      <c r="A663" s="667">
        <f ca="1"/>
        <v>1</v>
      </c>
      <c r="B663" s="666" t="str">
        <f ca="1"/>
        <v>Paraquate</v>
      </c>
    </row>
    <row r="664" spans="1:2" x14ac:dyDescent="0.25">
      <c r="A664" s="667">
        <f ca="1"/>
        <v>1</v>
      </c>
      <c r="B664" s="666" t="str">
        <f ca="1"/>
        <v>Dicloreto de paraquate</v>
      </c>
    </row>
    <row r="665" spans="1:2" x14ac:dyDescent="0.25">
      <c r="A665" s="667">
        <f ca="1"/>
        <v>1</v>
      </c>
      <c r="B665" s="666" t="str">
        <f ca="1"/>
        <v>Parationa-metílica</v>
      </c>
    </row>
    <row r="666" spans="1:2" x14ac:dyDescent="0.25">
      <c r="A666" s="667">
        <f ca="1"/>
        <v>1</v>
      </c>
      <c r="B666" s="666" t="str">
        <f ca="1"/>
        <v>Pendimetalina</v>
      </c>
    </row>
    <row r="667" spans="1:2" x14ac:dyDescent="0.25">
      <c r="A667" s="667">
        <f ca="1"/>
        <v>1</v>
      </c>
      <c r="B667" s="666" t="str">
        <f ca="1"/>
        <v>Permetrina</v>
      </c>
    </row>
    <row r="668" spans="1:2" x14ac:dyDescent="0.25">
      <c r="A668" s="667">
        <f ca="1"/>
        <v>1</v>
      </c>
      <c r="B668" s="666" t="str">
        <f ca="1"/>
        <v>Picloram</v>
      </c>
    </row>
    <row r="669" spans="1:2" x14ac:dyDescent="0.25">
      <c r="A669" s="667">
        <f ca="1"/>
        <v>1</v>
      </c>
      <c r="B669" s="666" t="str">
        <f ca="1"/>
        <v>Pirazofós</v>
      </c>
    </row>
    <row r="670" spans="1:2" x14ac:dyDescent="0.25">
      <c r="A670" s="667">
        <f ca="1"/>
        <v>1</v>
      </c>
      <c r="B670" s="666" t="str">
        <f ca="1"/>
        <v>Pirimicarbe</v>
      </c>
    </row>
    <row r="671" spans="1:2" x14ac:dyDescent="0.25">
      <c r="A671" s="667">
        <f ca="1"/>
        <v>1</v>
      </c>
      <c r="B671" s="666" t="str">
        <f ca="1"/>
        <v>Pirimifós-metílico</v>
      </c>
    </row>
    <row r="672" spans="1:2" x14ac:dyDescent="0.25">
      <c r="A672" s="667">
        <f ca="1"/>
        <v>1</v>
      </c>
      <c r="B672" s="666" t="str">
        <f ca="1"/>
        <v>Profenofós</v>
      </c>
    </row>
    <row r="673" spans="1:2" x14ac:dyDescent="0.25">
      <c r="A673" s="667">
        <f ca="1"/>
        <v>1</v>
      </c>
      <c r="B673" s="666" t="str">
        <f ca="1"/>
        <v>Prometrina</v>
      </c>
    </row>
    <row r="674" spans="1:2" x14ac:dyDescent="0.25">
      <c r="A674" s="667">
        <f ca="1"/>
        <v>1</v>
      </c>
      <c r="B674" s="666" t="str">
        <f ca="1"/>
        <v>Propanil</v>
      </c>
    </row>
    <row r="675" spans="1:2" x14ac:dyDescent="0.25">
      <c r="A675" s="667">
        <f ca="1"/>
        <v>1</v>
      </c>
      <c r="B675" s="666" t="str">
        <f ca="1"/>
        <v>Propargito</v>
      </c>
    </row>
    <row r="676" spans="1:2" x14ac:dyDescent="0.25">
      <c r="A676" s="667">
        <f ca="1"/>
        <v>1</v>
      </c>
      <c r="B676" s="666" t="str">
        <f ca="1"/>
        <v>Propoxur</v>
      </c>
    </row>
    <row r="677" spans="1:2" x14ac:dyDescent="0.25">
      <c r="A677" s="667">
        <f ca="1"/>
        <v>1</v>
      </c>
      <c r="B677" s="666" t="str">
        <f ca="1"/>
        <v>Propiconazol</v>
      </c>
    </row>
    <row r="678" spans="1:2" x14ac:dyDescent="0.25">
      <c r="A678" s="667">
        <f ca="1"/>
        <v>1</v>
      </c>
      <c r="B678" s="666" t="str">
        <f ca="1"/>
        <v>Piretrinas</v>
      </c>
    </row>
    <row r="679" spans="1:2" x14ac:dyDescent="0.25">
      <c r="A679" s="667">
        <f ca="1"/>
        <v>1</v>
      </c>
      <c r="B679" s="666" t="str">
        <f ca="1"/>
        <v>Propamocarbe</v>
      </c>
    </row>
    <row r="680" spans="1:2" x14ac:dyDescent="0.25">
      <c r="A680" s="667">
        <f ca="1"/>
        <v>1</v>
      </c>
      <c r="B680" s="666" t="str">
        <f ca="1"/>
        <v>Cloridrato de propamocarbe</v>
      </c>
    </row>
    <row r="681" spans="1:2" x14ac:dyDescent="0.25">
      <c r="A681" s="667">
        <f ca="1"/>
        <v>1</v>
      </c>
      <c r="B681" s="666" t="str">
        <f ca="1"/>
        <v>Piroquilona</v>
      </c>
    </row>
    <row r="682" spans="1:2" x14ac:dyDescent="0.25">
      <c r="A682" s="667">
        <f ca="1"/>
        <v>1</v>
      </c>
      <c r="B682" s="666" t="str">
        <f ca="1"/>
        <v>Procloraz</v>
      </c>
    </row>
    <row r="683" spans="1:2" x14ac:dyDescent="0.25">
      <c r="A683" s="667">
        <f ca="1"/>
        <v>1</v>
      </c>
      <c r="B683" s="666" t="str">
        <f ca="1"/>
        <v>Pirazossulfurom</v>
      </c>
    </row>
    <row r="684" spans="1:2" x14ac:dyDescent="0.25">
      <c r="A684" s="667">
        <f ca="1"/>
        <v>1</v>
      </c>
      <c r="B684" s="666" t="str">
        <f ca="1"/>
        <v>Pirazossulfurom-etílico</v>
      </c>
    </row>
    <row r="685" spans="1:2" x14ac:dyDescent="0.25">
      <c r="A685" s="667">
        <f ca="1"/>
        <v>1</v>
      </c>
      <c r="B685" s="666" t="str">
        <f ca="1"/>
        <v>Praletrina</v>
      </c>
    </row>
    <row r="686" spans="1:2" x14ac:dyDescent="0.25">
      <c r="A686" s="667">
        <f ca="1"/>
        <v>1</v>
      </c>
      <c r="B686" s="666" t="str">
        <f ca="1"/>
        <v>Propaquizafope</v>
      </c>
    </row>
    <row r="687" spans="1:2" x14ac:dyDescent="0.25">
      <c r="A687" s="667">
        <f ca="1"/>
        <v>1</v>
      </c>
      <c r="B687" s="666" t="str">
        <f ca="1"/>
        <v>Piridafentiona</v>
      </c>
    </row>
    <row r="688" spans="1:2" x14ac:dyDescent="0.25">
      <c r="A688" s="667">
        <f ca="1"/>
        <v>1</v>
      </c>
      <c r="B688" s="666" t="str">
        <f ca="1"/>
        <v>Procimidona</v>
      </c>
    </row>
    <row r="689" spans="1:2" x14ac:dyDescent="0.25">
      <c r="A689" s="667">
        <f ca="1"/>
        <v>1</v>
      </c>
      <c r="B689" s="666" t="str">
        <f ca="1"/>
        <v>Piriproxifem</v>
      </c>
    </row>
    <row r="690" spans="1:2" x14ac:dyDescent="0.25">
      <c r="A690" s="667">
        <f ca="1"/>
        <v>1</v>
      </c>
      <c r="B690" s="666" t="str">
        <f ca="1"/>
        <v>Piridabem</v>
      </c>
    </row>
    <row r="691" spans="1:2" x14ac:dyDescent="0.25">
      <c r="A691" s="667">
        <f ca="1"/>
        <v>1</v>
      </c>
      <c r="B691" s="666" t="str">
        <f ca="1"/>
        <v>Pencicurom</v>
      </c>
    </row>
    <row r="692" spans="1:2" x14ac:dyDescent="0.25">
      <c r="A692" s="667">
        <f ca="1"/>
        <v>1</v>
      </c>
      <c r="B692" s="666" t="str">
        <f ca="1"/>
        <v>Protiofós</v>
      </c>
    </row>
    <row r="693" spans="1:2" x14ac:dyDescent="0.25">
      <c r="A693" s="667">
        <f ca="1"/>
        <v>1</v>
      </c>
      <c r="B693" s="666" t="str">
        <f ca="1"/>
        <v>Piritiobaque</v>
      </c>
    </row>
    <row r="694" spans="1:2" x14ac:dyDescent="0.25">
      <c r="A694" s="667">
        <f ca="1"/>
        <v>1</v>
      </c>
      <c r="B694" s="666" t="str">
        <f ca="1"/>
        <v>Piritiobaque-sódico</v>
      </c>
    </row>
    <row r="695" spans="1:2" x14ac:dyDescent="0.25">
      <c r="A695" s="667">
        <f ca="1"/>
        <v>1</v>
      </c>
      <c r="B695" s="666" t="str">
        <f ca="1"/>
        <v>Propinebe</v>
      </c>
    </row>
    <row r="696" spans="1:2" x14ac:dyDescent="0.25">
      <c r="A696" s="667">
        <f ca="1"/>
        <v>1</v>
      </c>
      <c r="B696" s="666" t="str">
        <f ca="1"/>
        <v>Pirimetanil</v>
      </c>
    </row>
    <row r="697" spans="1:2" x14ac:dyDescent="0.25">
      <c r="A697" s="667">
        <f ca="1"/>
        <v>1</v>
      </c>
      <c r="B697" s="666" t="str">
        <f ca="1"/>
        <v>Paclobutrazol</v>
      </c>
    </row>
    <row r="698" spans="1:2" x14ac:dyDescent="0.25">
      <c r="A698" s="667">
        <f ca="1"/>
        <v>1</v>
      </c>
      <c r="B698" s="666" t="str">
        <f ca="1"/>
        <v>Piraclostrobina</v>
      </c>
    </row>
    <row r="699" spans="1:2" x14ac:dyDescent="0.25">
      <c r="A699" s="667">
        <f ca="1"/>
        <v>1</v>
      </c>
      <c r="B699" s="666" t="str">
        <f ca="1"/>
        <v>Profoxidim</v>
      </c>
    </row>
    <row r="700" spans="1:2" x14ac:dyDescent="0.25">
      <c r="A700" s="667">
        <f ca="1"/>
        <v>1</v>
      </c>
      <c r="B700" s="666" t="str">
        <f ca="1"/>
        <v>Perfluorooctano sulfonato de lítio</v>
      </c>
    </row>
    <row r="701" spans="1:2" x14ac:dyDescent="0.25">
      <c r="A701" s="667">
        <f ca="1"/>
        <v>1</v>
      </c>
      <c r="B701" s="666" t="str">
        <f ca="1"/>
        <v>Piraflufem</v>
      </c>
    </row>
    <row r="702" spans="1:2" x14ac:dyDescent="0.25">
      <c r="A702" s="667">
        <f ca="1"/>
        <v>1</v>
      </c>
      <c r="B702" s="666" t="str">
        <f ca="1"/>
        <v>Piraflufem-etílico</v>
      </c>
    </row>
    <row r="703" spans="1:2" x14ac:dyDescent="0.25">
      <c r="A703" s="667">
        <f ca="1"/>
        <v>1</v>
      </c>
      <c r="B703" s="666" t="str">
        <f ca="1"/>
        <v>Picoxistrobina</v>
      </c>
    </row>
    <row r="704" spans="1:2" x14ac:dyDescent="0.25">
      <c r="A704" s="667">
        <f ca="1"/>
        <v>1</v>
      </c>
      <c r="B704" s="666" t="str">
        <f ca="1"/>
        <v>Penoxsulam</v>
      </c>
    </row>
    <row r="705" spans="1:2" x14ac:dyDescent="0.25">
      <c r="A705" s="667">
        <f ca="1"/>
        <v>1</v>
      </c>
      <c r="B705" s="666" t="str">
        <f ca="1"/>
        <v>Pimetrozina</v>
      </c>
    </row>
    <row r="706" spans="1:2" x14ac:dyDescent="0.25">
      <c r="A706" s="667">
        <f ca="1"/>
        <v>1</v>
      </c>
      <c r="B706" s="666" t="str">
        <f ca="1"/>
        <v>Protioconazol</v>
      </c>
    </row>
    <row r="707" spans="1:2" x14ac:dyDescent="0.25">
      <c r="A707" s="667">
        <f ca="1"/>
        <v>1</v>
      </c>
      <c r="B707" s="666" t="str">
        <f ca="1"/>
        <v>Proexadiona cálcica</v>
      </c>
    </row>
    <row r="708" spans="1:2" x14ac:dyDescent="0.25">
      <c r="A708" s="667">
        <f ca="1"/>
        <v>1</v>
      </c>
      <c r="B708" s="666" t="str">
        <f ca="1"/>
        <v>Phytoseiulus macropilis</v>
      </c>
    </row>
    <row r="709" spans="1:2" x14ac:dyDescent="0.25">
      <c r="A709" s="667">
        <f ca="1"/>
        <v>1</v>
      </c>
      <c r="B709" s="666" t="str">
        <f ca="1"/>
        <v>Paecilomyces lilacinus</v>
      </c>
    </row>
    <row r="710" spans="1:2" x14ac:dyDescent="0.25">
      <c r="A710" s="667">
        <f ca="1"/>
        <v>1</v>
      </c>
      <c r="B710" s="666" t="str">
        <f ca="1"/>
        <v>Piroxsulam</v>
      </c>
    </row>
    <row r="711" spans="1:2" x14ac:dyDescent="0.25">
      <c r="A711" s="667">
        <f ca="1"/>
        <v>1</v>
      </c>
      <c r="B711" s="666" t="str">
        <f ca="1"/>
        <v>Pochonia chlamydosporia</v>
      </c>
    </row>
    <row r="712" spans="1:2" x14ac:dyDescent="0.25">
      <c r="A712" s="667">
        <f ca="1"/>
        <v>1</v>
      </c>
      <c r="B712" s="666" t="str">
        <f ca="1"/>
        <v>Pasteuria nishizawae</v>
      </c>
    </row>
    <row r="713" spans="1:2" x14ac:dyDescent="0.25">
      <c r="A713" s="667">
        <f ca="1"/>
        <v>1</v>
      </c>
      <c r="B713" s="666" t="str">
        <f ca="1"/>
        <v>Peróxido de Hidrogêni</v>
      </c>
    </row>
    <row r="714" spans="1:2" x14ac:dyDescent="0.25">
      <c r="A714" s="667">
        <f ca="1"/>
        <v>1</v>
      </c>
      <c r="B714" s="666" t="str">
        <f ca="1"/>
        <v>PIROXASULFONA</v>
      </c>
    </row>
    <row r="715" spans="1:2" x14ac:dyDescent="0.25">
      <c r="A715" s="667">
        <f ca="1"/>
        <v>1</v>
      </c>
      <c r="B715" s="666" t="str">
        <f ca="1"/>
        <v>PEPTÍDEOS DERIVADOS DA PROTEÍNA HARPIN</v>
      </c>
    </row>
    <row r="716" spans="1:2" x14ac:dyDescent="0.25">
      <c r="A716" s="667">
        <f ca="1"/>
        <v>1</v>
      </c>
      <c r="B716" s="666" t="str">
        <f ca="1"/>
        <v>PALMISTICHUS ELAEISIS</v>
      </c>
    </row>
    <row r="717" spans="1:2" x14ac:dyDescent="0.25">
      <c r="A717" s="667">
        <f ca="1"/>
        <v>1</v>
      </c>
      <c r="B717" s="666" t="str">
        <f ca="1"/>
        <v>PSEUDOMONAS ORYZIHABITANS</v>
      </c>
    </row>
    <row r="718" spans="1:2" x14ac:dyDescent="0.25">
      <c r="A718" s="667">
        <f ca="1"/>
        <v>1</v>
      </c>
      <c r="B718" s="666" t="str">
        <f ca="1"/>
        <v>PIDIFLUMETOFEM</v>
      </c>
    </row>
    <row r="719" spans="1:2" x14ac:dyDescent="0.25">
      <c r="A719" s="667">
        <f ca="1"/>
        <v>1</v>
      </c>
      <c r="B719" s="666" t="str">
        <f ca="1"/>
        <v>Pseudomonas chlororaphis</v>
      </c>
    </row>
    <row r="720" spans="1:2" x14ac:dyDescent="0.25">
      <c r="A720" s="667">
        <f ca="1"/>
        <v>1</v>
      </c>
      <c r="B720" s="666" t="str">
        <f ca="1"/>
        <v>Pseudomonas fluorescens</v>
      </c>
    </row>
    <row r="721" spans="1:2" x14ac:dyDescent="0.25">
      <c r="A721" s="667">
        <f ca="1"/>
        <v>1</v>
      </c>
      <c r="B721" s="666" t="str">
        <f ca="1"/>
        <v>PHTHORIMAEA OPERCULELLA
GRANULOVIRUS</v>
      </c>
    </row>
    <row r="722" spans="1:2" x14ac:dyDescent="0.25">
      <c r="A722" s="667">
        <f ca="1"/>
        <v>1</v>
      </c>
      <c r="B722" s="666" t="str">
        <f ca="1"/>
        <v>Quinometionato</v>
      </c>
    </row>
    <row r="723" spans="1:2" x14ac:dyDescent="0.25">
      <c r="A723" s="667">
        <f ca="1"/>
        <v>1</v>
      </c>
      <c r="B723" s="666" t="str">
        <f ca="1"/>
        <v>Quintozeno</v>
      </c>
    </row>
    <row r="724" spans="1:2" x14ac:dyDescent="0.25">
      <c r="A724" s="667">
        <f ca="1"/>
        <v>1</v>
      </c>
      <c r="B724" s="666" t="str">
        <f ca="1"/>
        <v>Quincloraque</v>
      </c>
    </row>
    <row r="725" spans="1:2" x14ac:dyDescent="0.25">
      <c r="A725" s="667">
        <f ca="1"/>
        <v>1</v>
      </c>
      <c r="B725" s="666" t="str">
        <f ca="1"/>
        <v>Quizalofope-p</v>
      </c>
    </row>
    <row r="726" spans="1:2" x14ac:dyDescent="0.25">
      <c r="A726" s="667">
        <f ca="1"/>
        <v>1</v>
      </c>
      <c r="B726" s="666" t="str">
        <f ca="1"/>
        <v>Quizalofope-p-etílico</v>
      </c>
    </row>
    <row r="727" spans="1:2" x14ac:dyDescent="0.25">
      <c r="A727" s="667">
        <f ca="1"/>
        <v>1</v>
      </c>
      <c r="B727" s="666" t="str">
        <f ca="1"/>
        <v>Quizalofope-p-tefurílico</v>
      </c>
    </row>
    <row r="728" spans="1:2" x14ac:dyDescent="0.25">
      <c r="A728" s="667">
        <f ca="1"/>
        <v>1</v>
      </c>
      <c r="B728" s="666" t="str">
        <f ca="1"/>
        <v>Resmetrina</v>
      </c>
    </row>
    <row r="729" spans="1:2" x14ac:dyDescent="0.25">
      <c r="A729" s="667">
        <f ca="1"/>
        <v>1</v>
      </c>
      <c r="B729" s="666" t="str">
        <f ca="1"/>
        <v>Rincoforol</v>
      </c>
    </row>
    <row r="730" spans="1:2" x14ac:dyDescent="0.25">
      <c r="A730" s="667">
        <f ca="1"/>
        <v>1</v>
      </c>
      <c r="B730" s="666" t="str">
        <f ca="1"/>
        <v>Reynoutria sachalinensis</v>
      </c>
    </row>
    <row r="731" spans="1:2" x14ac:dyDescent="0.25">
      <c r="A731" s="667">
        <f ca="1"/>
        <v>1</v>
      </c>
      <c r="B731" s="666" t="str">
        <f ca="1"/>
        <v>Setoxidim</v>
      </c>
    </row>
    <row r="732" spans="1:2" x14ac:dyDescent="0.25">
      <c r="A732" s="667">
        <f ca="1"/>
        <v>1</v>
      </c>
      <c r="B732" s="666" t="str">
        <f ca="1"/>
        <v>Simazina</v>
      </c>
    </row>
    <row r="733" spans="1:2" x14ac:dyDescent="0.25">
      <c r="A733" s="667">
        <f ca="1"/>
        <v>1</v>
      </c>
      <c r="B733" s="666" t="str">
        <f ca="1"/>
        <v>Sumitrina</v>
      </c>
    </row>
    <row r="734" spans="1:2" x14ac:dyDescent="0.25">
      <c r="A734" s="667">
        <f ca="1"/>
        <v>1</v>
      </c>
      <c r="B734" s="666" t="str">
        <f ca="1"/>
        <v>Serricornim</v>
      </c>
    </row>
    <row r="735" spans="1:2" x14ac:dyDescent="0.25">
      <c r="A735" s="667">
        <f ca="1"/>
        <v>1</v>
      </c>
      <c r="B735" s="666" t="str">
        <f ca="1"/>
        <v>Sulfluramida</v>
      </c>
    </row>
    <row r="736" spans="1:2" x14ac:dyDescent="0.25">
      <c r="A736" s="667">
        <f ca="1"/>
        <v>1</v>
      </c>
      <c r="B736" s="666" t="str">
        <f ca="1"/>
        <v>Sulfosato</v>
      </c>
    </row>
    <row r="737" spans="1:2" x14ac:dyDescent="0.25">
      <c r="A737" s="667">
        <f ca="1"/>
        <v>1</v>
      </c>
      <c r="B737" s="666" t="str">
        <f ca="1"/>
        <v>Sulfentrazona</v>
      </c>
    </row>
    <row r="738" spans="1:2" x14ac:dyDescent="0.25">
      <c r="A738" s="667">
        <f ca="1"/>
        <v>1</v>
      </c>
      <c r="B738" s="666" t="str">
        <f ca="1"/>
        <v>Sulfometurom-metílico</v>
      </c>
    </row>
    <row r="739" spans="1:2" x14ac:dyDescent="0.25">
      <c r="A739" s="667">
        <f ca="1"/>
        <v>1</v>
      </c>
      <c r="B739" s="666" t="str">
        <f ca="1"/>
        <v>S-metolacloro</v>
      </c>
    </row>
    <row r="740" spans="1:2" x14ac:dyDescent="0.25">
      <c r="A740" s="667">
        <f ca="1"/>
        <v>1</v>
      </c>
      <c r="B740" s="666" t="str">
        <f ca="1"/>
        <v>Sordidim</v>
      </c>
    </row>
    <row r="741" spans="1:2" x14ac:dyDescent="0.25">
      <c r="A741" s="667">
        <f ca="1"/>
        <v>1</v>
      </c>
      <c r="B741" s="666" t="str">
        <f ca="1"/>
        <v>Steinernema puertoricense</v>
      </c>
    </row>
    <row r="742" spans="1:2" x14ac:dyDescent="0.25">
      <c r="A742" s="667">
        <f ca="1"/>
        <v>1</v>
      </c>
      <c r="B742" s="666" t="str">
        <f ca="1"/>
        <v>Saflufenacil</v>
      </c>
    </row>
    <row r="743" spans="1:2" x14ac:dyDescent="0.25">
      <c r="A743" s="667">
        <f ca="1"/>
        <v>1</v>
      </c>
      <c r="B743" s="666" t="str">
        <f ca="1"/>
        <v>Sophora flavescens</v>
      </c>
    </row>
    <row r="744" spans="1:2" x14ac:dyDescent="0.25">
      <c r="A744" s="667">
        <f ca="1"/>
        <v>1</v>
      </c>
      <c r="B744" s="666" t="str">
        <f ca="1"/>
        <v>Stratiolaelaps scimitus</v>
      </c>
    </row>
    <row r="745" spans="1:2" x14ac:dyDescent="0.25">
      <c r="A745" s="667">
        <f ca="1"/>
        <v>1</v>
      </c>
      <c r="B745" s="666" t="str">
        <f ca="1"/>
        <v>SULFOXAFLOR</v>
      </c>
    </row>
    <row r="746" spans="1:2" x14ac:dyDescent="0.25">
      <c r="A746" s="667">
        <f ca="1"/>
        <v>1</v>
      </c>
      <c r="B746" s="666" t="str">
        <f ca="1"/>
        <v xml:space="preserve">SACCHAROMYCES CEREVISIAE </v>
      </c>
    </row>
    <row r="747" spans="1:2" x14ac:dyDescent="0.25">
      <c r="A747" s="667">
        <f ca="1"/>
        <v>1</v>
      </c>
      <c r="B747" s="666" t="str">
        <f ca="1"/>
        <v>Tebutiurom</v>
      </c>
    </row>
    <row r="748" spans="1:2" x14ac:dyDescent="0.25">
      <c r="A748" s="667">
        <f ca="1"/>
        <v>1</v>
      </c>
      <c r="B748" s="666" t="str">
        <f ca="1"/>
        <v>Temefós</v>
      </c>
    </row>
    <row r="749" spans="1:2" x14ac:dyDescent="0.25">
      <c r="A749" s="667">
        <f ca="1"/>
        <v>1</v>
      </c>
      <c r="B749" s="666" t="str">
        <f ca="1"/>
        <v>Tetradifona</v>
      </c>
    </row>
    <row r="750" spans="1:2" x14ac:dyDescent="0.25">
      <c r="A750" s="667">
        <f ca="1"/>
        <v>1</v>
      </c>
      <c r="B750" s="666" t="str">
        <f ca="1"/>
        <v>Tetrametrina</v>
      </c>
    </row>
    <row r="751" spans="1:2" x14ac:dyDescent="0.25">
      <c r="A751" s="667">
        <f ca="1"/>
        <v>1</v>
      </c>
      <c r="B751" s="666" t="str">
        <f ca="1"/>
        <v>Tiabendazol</v>
      </c>
    </row>
    <row r="752" spans="1:2" x14ac:dyDescent="0.25">
      <c r="A752" s="667">
        <f ca="1"/>
        <v>1</v>
      </c>
      <c r="B752" s="666" t="str">
        <f ca="1"/>
        <v>Tidiazurom</v>
      </c>
    </row>
    <row r="753" spans="1:2" x14ac:dyDescent="0.25">
      <c r="A753" s="667">
        <f ca="1"/>
        <v>1</v>
      </c>
      <c r="B753" s="666" t="str">
        <f ca="1"/>
        <v>Tiofanato-metílico</v>
      </c>
    </row>
    <row r="754" spans="1:2" x14ac:dyDescent="0.25">
      <c r="A754" s="667">
        <f ca="1"/>
        <v>1</v>
      </c>
      <c r="B754" s="666" t="str">
        <f ca="1"/>
        <v>Tiram</v>
      </c>
    </row>
    <row r="755" spans="1:2" x14ac:dyDescent="0.25">
      <c r="A755" s="667">
        <f ca="1"/>
        <v>1</v>
      </c>
      <c r="B755" s="666" t="str">
        <f ca="1"/>
        <v>Triadimefom</v>
      </c>
    </row>
    <row r="756" spans="1:2" x14ac:dyDescent="0.25">
      <c r="A756" s="667">
        <f ca="1"/>
        <v>1</v>
      </c>
      <c r="B756" s="666" t="str">
        <f ca="1"/>
        <v>Triazofós</v>
      </c>
    </row>
    <row r="757" spans="1:2" x14ac:dyDescent="0.25">
      <c r="A757" s="667">
        <f ca="1"/>
        <v>1</v>
      </c>
      <c r="B757" s="666" t="str">
        <f ca="1"/>
        <v>Triciclazol</v>
      </c>
    </row>
    <row r="758" spans="1:2" x14ac:dyDescent="0.25">
      <c r="A758" s="667">
        <f ca="1"/>
        <v>1</v>
      </c>
      <c r="B758" s="666" t="str">
        <f ca="1"/>
        <v>Trifluralina</v>
      </c>
    </row>
    <row r="759" spans="1:2" x14ac:dyDescent="0.25">
      <c r="A759" s="667">
        <f ca="1"/>
        <v>1</v>
      </c>
      <c r="B759" s="666" t="str">
        <f ca="1"/>
        <v>Triforina</v>
      </c>
    </row>
    <row r="760" spans="1:2" x14ac:dyDescent="0.25">
      <c r="A760" s="667">
        <f ca="1"/>
        <v>1</v>
      </c>
      <c r="B760" s="666" t="str">
        <f ca="1"/>
        <v>Tridemorfe</v>
      </c>
    </row>
    <row r="761" spans="1:2" x14ac:dyDescent="0.25">
      <c r="A761" s="667">
        <f ca="1"/>
        <v>1</v>
      </c>
      <c r="B761" s="666" t="str">
        <f ca="1"/>
        <v>Triclopir</v>
      </c>
    </row>
    <row r="762" spans="1:2" x14ac:dyDescent="0.25">
      <c r="A762" s="667">
        <f ca="1"/>
        <v>1</v>
      </c>
      <c r="B762" s="666" t="str">
        <f ca="1"/>
        <v>Triclopir-butotílico</v>
      </c>
    </row>
    <row r="763" spans="1:2" x14ac:dyDescent="0.25">
      <c r="A763" s="667">
        <f ca="1"/>
        <v>1</v>
      </c>
      <c r="B763" s="666" t="str">
        <f ca="1"/>
        <v>Tiobencarbe</v>
      </c>
    </row>
    <row r="764" spans="1:2" x14ac:dyDescent="0.25">
      <c r="A764" s="667">
        <f ca="1"/>
        <v>1</v>
      </c>
      <c r="B764" s="666" t="str">
        <f ca="1"/>
        <v>Tiodicarbe</v>
      </c>
    </row>
    <row r="765" spans="1:2" x14ac:dyDescent="0.25">
      <c r="A765" s="667">
        <f ca="1"/>
        <v>1</v>
      </c>
      <c r="B765" s="666" t="str">
        <f ca="1"/>
        <v>Triadimenol</v>
      </c>
    </row>
    <row r="766" spans="1:2" x14ac:dyDescent="0.25">
      <c r="A766" s="667">
        <f ca="1"/>
        <v>1</v>
      </c>
      <c r="B766" s="666" t="str">
        <f ca="1"/>
        <v>Tebuconazol</v>
      </c>
    </row>
    <row r="767" spans="1:2" x14ac:dyDescent="0.25">
      <c r="A767" s="667">
        <f ca="1"/>
        <v>1</v>
      </c>
      <c r="B767" s="666" t="str">
        <f ca="1"/>
        <v>Teflubenzurom</v>
      </c>
    </row>
    <row r="768" spans="1:2" x14ac:dyDescent="0.25">
      <c r="A768" s="667">
        <f ca="1"/>
        <v>1</v>
      </c>
      <c r="B768" s="666" t="str">
        <f ca="1"/>
        <v>Triflumurom</v>
      </c>
    </row>
    <row r="769" spans="1:2" x14ac:dyDescent="0.25">
      <c r="A769" s="667">
        <f ca="1"/>
        <v>1</v>
      </c>
      <c r="B769" s="666" t="str">
        <f ca="1"/>
        <v>Triflumizol</v>
      </c>
    </row>
    <row r="770" spans="1:2" x14ac:dyDescent="0.25">
      <c r="A770" s="667">
        <f ca="1"/>
        <v>1</v>
      </c>
      <c r="B770" s="666" t="str">
        <f ca="1"/>
        <v>Terbufós</v>
      </c>
    </row>
    <row r="771" spans="1:2" x14ac:dyDescent="0.25">
      <c r="A771" s="667">
        <f ca="1"/>
        <v>1</v>
      </c>
      <c r="B771" s="666" t="str">
        <f ca="1"/>
        <v>Tolifluanida</v>
      </c>
    </row>
    <row r="772" spans="1:2" x14ac:dyDescent="0.25">
      <c r="A772" s="667">
        <f ca="1"/>
        <v>1</v>
      </c>
      <c r="B772" s="666" t="str">
        <f ca="1"/>
        <v>Terbutilazina</v>
      </c>
    </row>
    <row r="773" spans="1:2" x14ac:dyDescent="0.25">
      <c r="A773" s="667">
        <f ca="1"/>
        <v>1</v>
      </c>
      <c r="B773" s="666" t="str">
        <f ca="1"/>
        <v>Triticonazol</v>
      </c>
    </row>
    <row r="774" spans="1:2" x14ac:dyDescent="0.25">
      <c r="A774" s="667">
        <f ca="1"/>
        <v>1</v>
      </c>
      <c r="B774" s="666" t="str">
        <f ca="1"/>
        <v>Tebufenozida</v>
      </c>
    </row>
    <row r="775" spans="1:2" x14ac:dyDescent="0.25">
      <c r="A775" s="667">
        <f ca="1"/>
        <v>1</v>
      </c>
      <c r="B775" s="666" t="str">
        <f ca="1"/>
        <v>Transflutrina</v>
      </c>
    </row>
    <row r="776" spans="1:2" x14ac:dyDescent="0.25">
      <c r="A776" s="667">
        <f ca="1"/>
        <v>1</v>
      </c>
      <c r="B776" s="666" t="str">
        <f ca="1"/>
        <v>Terra diatomácea</v>
      </c>
    </row>
    <row r="777" spans="1:2" x14ac:dyDescent="0.25">
      <c r="A777" s="667">
        <f ca="1"/>
        <v>1</v>
      </c>
      <c r="B777" s="666" t="str">
        <f ca="1"/>
        <v>Tiazopir</v>
      </c>
    </row>
    <row r="778" spans="1:2" x14ac:dyDescent="0.25">
      <c r="A778" s="667">
        <f ca="1"/>
        <v>1</v>
      </c>
      <c r="B778" s="666" t="str">
        <f ca="1"/>
        <v>Tetraconazol</v>
      </c>
    </row>
    <row r="779" spans="1:2" x14ac:dyDescent="0.25">
      <c r="A779" s="667">
        <f ca="1"/>
        <v>1</v>
      </c>
      <c r="B779" s="666" t="str">
        <f ca="1"/>
        <v>Tribromofenol</v>
      </c>
    </row>
    <row r="780" spans="1:2" x14ac:dyDescent="0.25">
      <c r="A780" s="667">
        <f ca="1"/>
        <v>1</v>
      </c>
      <c r="B780" s="666" t="str">
        <f ca="1"/>
        <v>Tribromofenóxido de sódio</v>
      </c>
    </row>
    <row r="781" spans="1:2" x14ac:dyDescent="0.25">
      <c r="A781" s="667">
        <f ca="1"/>
        <v>1</v>
      </c>
      <c r="B781" s="666" t="str">
        <f ca="1"/>
        <v>Tiametoxam</v>
      </c>
    </row>
    <row r="782" spans="1:2" x14ac:dyDescent="0.25">
      <c r="A782" s="708">
        <f ca="1"/>
        <v>1</v>
      </c>
      <c r="B782" s="666" t="str">
        <f ca="1"/>
        <v>Tiacloprido</v>
      </c>
    </row>
    <row r="783" spans="1:2" x14ac:dyDescent="0.25">
      <c r="A783" s="708">
        <f ca="1"/>
        <v>1</v>
      </c>
      <c r="B783" s="666" t="str">
        <f ca="1"/>
        <v>Tepraloxidim</v>
      </c>
    </row>
    <row r="784" spans="1:2" x14ac:dyDescent="0.25">
      <c r="A784" s="708">
        <f ca="1"/>
        <v>1</v>
      </c>
      <c r="B784" s="666" t="str">
        <f ca="1"/>
        <v>Trimedlure</v>
      </c>
    </row>
    <row r="785" spans="1:2" x14ac:dyDescent="0.25">
      <c r="A785" s="708">
        <f ca="1"/>
        <v>1</v>
      </c>
      <c r="B785" s="666" t="str">
        <f ca="1"/>
        <v>Tifluzamida</v>
      </c>
    </row>
    <row r="786" spans="1:2" x14ac:dyDescent="0.25">
      <c r="A786" s="708">
        <f ca="1"/>
        <v>1</v>
      </c>
      <c r="B786" s="666" t="str">
        <f ca="1"/>
        <v>(z,z,z)-3,6,9-tricosatrieno</v>
      </c>
    </row>
    <row r="787" spans="1:2" x14ac:dyDescent="0.25">
      <c r="A787" s="708">
        <f ca="1"/>
        <v>1</v>
      </c>
      <c r="B787" s="666" t="str">
        <f ca="1"/>
        <v>Trifloxistrobina</v>
      </c>
    </row>
    <row r="788" spans="1:2" x14ac:dyDescent="0.25">
      <c r="A788" s="708">
        <f ca="1"/>
        <v>1</v>
      </c>
      <c r="B788" s="666" t="str">
        <f ca="1"/>
        <v>Trifloxissulfurom</v>
      </c>
    </row>
    <row r="789" spans="1:2" x14ac:dyDescent="0.25">
      <c r="A789" s="708">
        <f ca="1"/>
        <v>1</v>
      </c>
      <c r="B789" s="666" t="str">
        <f ca="1"/>
        <v>Trifloxissulfurom-sódico</v>
      </c>
    </row>
    <row r="790" spans="1:2" x14ac:dyDescent="0.25">
      <c r="A790" s="708">
        <f ca="1"/>
        <v>1</v>
      </c>
      <c r="B790" s="666" t="str">
        <f ca="1"/>
        <v>Trinexapaque-etílico</v>
      </c>
    </row>
    <row r="791" spans="1:2" x14ac:dyDescent="0.25">
      <c r="A791" s="708">
        <f ca="1"/>
        <v>1</v>
      </c>
      <c r="B791" s="666" t="str">
        <f ca="1"/>
        <v>Tebupirinfós</v>
      </c>
    </row>
    <row r="792" spans="1:2" x14ac:dyDescent="0.25">
      <c r="A792" s="708">
        <f ca="1"/>
        <v>1</v>
      </c>
      <c r="B792" s="666" t="str">
        <f ca="1"/>
        <v>D-tetrametrina</v>
      </c>
    </row>
    <row r="793" spans="1:2" x14ac:dyDescent="0.25">
      <c r="A793" s="708">
        <f ca="1"/>
        <v>1</v>
      </c>
      <c r="B793" s="666" t="str">
        <f ca="1"/>
        <v>Taninos</v>
      </c>
    </row>
    <row r="794" spans="1:2" x14ac:dyDescent="0.25">
      <c r="A794" s="708">
        <f ca="1"/>
        <v>1</v>
      </c>
      <c r="B794" s="666" t="str">
        <f ca="1"/>
        <v>Trichoderma harzianum</v>
      </c>
    </row>
    <row r="795" spans="1:2" x14ac:dyDescent="0.25">
      <c r="A795" s="708">
        <f ca="1"/>
        <v>1</v>
      </c>
      <c r="B795" s="666" t="str">
        <f ca="1"/>
        <v>Tembotriona</v>
      </c>
    </row>
    <row r="796" spans="1:2" x14ac:dyDescent="0.25">
      <c r="A796" s="708">
        <f ca="1"/>
        <v>1</v>
      </c>
      <c r="B796" s="666" t="str">
        <f ca="1"/>
        <v>Trichogramma galloi</v>
      </c>
    </row>
    <row r="797" spans="1:2" x14ac:dyDescent="0.25">
      <c r="A797" s="708">
        <f ca="1"/>
        <v>1</v>
      </c>
      <c r="B797" s="666" t="str">
        <f ca="1"/>
        <v>Tephrosia candida</v>
      </c>
    </row>
    <row r="798" spans="1:2" x14ac:dyDescent="0.25">
      <c r="A798" s="708">
        <f ca="1"/>
        <v>1</v>
      </c>
      <c r="B798" s="666" t="str">
        <f ca="1"/>
        <v>Trichoderma asperellum</v>
      </c>
    </row>
    <row r="799" spans="1:2" x14ac:dyDescent="0.25">
      <c r="A799" s="708">
        <f ca="1"/>
        <v>1</v>
      </c>
      <c r="B799" s="666" t="str">
        <f ca="1"/>
        <v>Trichoderma asperellum (Samuels, Lieckf. &amp; Nirenberg., 1999 ) isolado T211 (CBMAI-840)</v>
      </c>
    </row>
    <row r="800" spans="1:2" x14ac:dyDescent="0.25">
      <c r="A800" s="708">
        <f ca="1"/>
        <v>1</v>
      </c>
      <c r="B800" s="666" t="str">
        <f ca="1"/>
        <v>Trichoderma asperellum (Samuels, Lieckf. &amp; Nirenberg., 1999 ) isolado SF04 (URM-5911)</v>
      </c>
    </row>
    <row r="801" spans="1:2" x14ac:dyDescent="0.25">
      <c r="A801" s="708">
        <f ca="1"/>
        <v>1</v>
      </c>
      <c r="B801" s="666" t="str">
        <f ca="1"/>
        <v>Trichoderma asperellum (Samuels, Lieckf. &amp; Nirenberg., 1999 ) isolado BV-1</v>
      </c>
    </row>
    <row r="802" spans="1:2" x14ac:dyDescent="0.25">
      <c r="A802" s="708">
        <f ca="1"/>
        <v>1</v>
      </c>
      <c r="B802" s="666" t="str">
        <f ca="1"/>
        <v>Trichoderma stromaticum</v>
      </c>
    </row>
    <row r="803" spans="1:2" x14ac:dyDescent="0.25">
      <c r="A803" s="708">
        <f ca="1"/>
        <v>1</v>
      </c>
      <c r="B803" s="666" t="str">
        <f ca="1"/>
        <v>Trichoderma stromaticum Samuels &amp; Pardo-Schultheiss isolado CEPLAC 3550</v>
      </c>
    </row>
    <row r="804" spans="1:2" x14ac:dyDescent="0.25">
      <c r="A804" s="708">
        <f ca="1"/>
        <v>1</v>
      </c>
      <c r="B804" s="666" t="str">
        <f ca="1"/>
        <v>Trichogramma pretiosum</v>
      </c>
    </row>
    <row r="805" spans="1:2" x14ac:dyDescent="0.25">
      <c r="A805" s="666">
        <f ca="1"/>
        <v>1</v>
      </c>
      <c r="B805" s="666" t="str">
        <f ca="1"/>
        <v>Trichoderma koningiopsis</v>
      </c>
    </row>
    <row r="806" spans="1:2" x14ac:dyDescent="0.25">
      <c r="A806" s="666">
        <f ca="1"/>
        <v>1</v>
      </c>
      <c r="B806" s="666" t="str">
        <f ca="1"/>
        <v>Trissolcus basalis</v>
      </c>
    </row>
    <row r="807" spans="1:2" x14ac:dyDescent="0.25">
      <c r="A807" s="666">
        <f ca="1"/>
        <v>1</v>
      </c>
      <c r="B807" s="666" t="str">
        <f ca="1"/>
        <v>TELONOMUS PODISI</v>
      </c>
    </row>
    <row r="808" spans="1:2" x14ac:dyDescent="0.25">
      <c r="A808" s="666">
        <f ca="1"/>
        <v>1</v>
      </c>
      <c r="B808" s="666" t="str">
        <f ca="1"/>
        <v>TOLFENPIRADE</v>
      </c>
    </row>
    <row r="809" spans="1:2" x14ac:dyDescent="0.25">
      <c r="A809" s="666">
        <f ca="1"/>
        <v>1</v>
      </c>
      <c r="B809" s="666" t="str">
        <f ca="1"/>
        <v>TIENCARBAZONA METÍLICA</v>
      </c>
    </row>
    <row r="810" spans="1:2" x14ac:dyDescent="0.25">
      <c r="A810" s="666">
        <f ca="1"/>
        <v>1</v>
      </c>
      <c r="B810" s="666" t="str">
        <f ca="1"/>
        <v>1-TETRADECANOL</v>
      </c>
    </row>
    <row r="811" spans="1:2" x14ac:dyDescent="0.25">
      <c r="A811" s="20">
        <f ca="1"/>
        <v>1</v>
      </c>
      <c r="B811" s="20" t="str">
        <f ca="1"/>
        <v>TRICHODERMA AFROHARZIANUM</v>
      </c>
    </row>
    <row r="812" spans="1:2" x14ac:dyDescent="0.25">
      <c r="A812" s="20">
        <f ca="1"/>
        <v>1</v>
      </c>
      <c r="B812" s="20" t="str">
        <f ca="1"/>
        <v>TRICHOSPILUS DIATRAEAE</v>
      </c>
    </row>
    <row r="813" spans="1:2" x14ac:dyDescent="0.25">
      <c r="A813" s="20">
        <f ca="1"/>
        <v>1</v>
      </c>
      <c r="B813" s="20" t="str">
        <f ca="1"/>
        <v>Trichoderma atroviride</v>
      </c>
    </row>
    <row r="814" spans="1:2" x14ac:dyDescent="0.25">
      <c r="A814" s="20">
        <f ca="1"/>
        <v>1</v>
      </c>
      <c r="B814" s="20" t="str">
        <f ca="1"/>
        <v>TETRASTICHUS HOWARDI</v>
      </c>
    </row>
    <row r="815" spans="1:2" x14ac:dyDescent="0.25">
      <c r="A815" s="20">
        <f ca="1"/>
        <v>1</v>
      </c>
      <c r="B815" s="20" t="str">
        <f ca="1"/>
        <v>Trichoderma viride</v>
      </c>
    </row>
    <row r="816" spans="1:2" x14ac:dyDescent="0.25">
      <c r="A816" s="20">
        <f ca="1"/>
        <v>1</v>
      </c>
      <c r="B816" s="20" t="str">
        <f ca="1"/>
        <v>TIAFENACIL</v>
      </c>
    </row>
    <row r="817" spans="1:2" x14ac:dyDescent="0.25">
      <c r="A817" s="20">
        <f ca="1"/>
        <v>1</v>
      </c>
      <c r="B817" s="20" t="str">
        <f ca="1"/>
        <v>Zoxamida</v>
      </c>
    </row>
  </sheetData>
  <sheetProtection algorithmName="SHA-512" hashValue="MGqSk3aMYOA5K1X4Osys0E0jVkRovJ6PXHoikfs3/u0o/2jPvczMxGJ44RqhY4ZREyRrVvlNTgajBn8SWoDqaQ==" saltValue="QdnI05iAZykBSjAN1r2zrg==" spinCount="100000" sheet="1" objects="1" scenarios="1" formatColumns="0" formatRows="0"/>
  <mergeCells count="57">
    <mergeCell ref="GX22:GX25"/>
    <mergeCell ref="GW22:GW25"/>
    <mergeCell ref="GX16:GX17"/>
    <mergeCell ref="GW16:GW17"/>
    <mergeCell ref="GX18:GX21"/>
    <mergeCell ref="GW18:GW21"/>
    <mergeCell ref="GY14:GY15"/>
    <mergeCell ref="GY16:GY17"/>
    <mergeCell ref="GY18:GY21"/>
    <mergeCell ref="GY22:GY25"/>
    <mergeCell ref="D219:E219"/>
    <mergeCell ref="F219:G219"/>
    <mergeCell ref="H219:I219"/>
    <mergeCell ref="J219:K219"/>
    <mergeCell ref="GP18:GP21"/>
    <mergeCell ref="GP22:GP25"/>
    <mergeCell ref="F204:G204"/>
    <mergeCell ref="E191:F191"/>
    <mergeCell ref="E192:F192"/>
    <mergeCell ref="D204:E204"/>
    <mergeCell ref="Q157:S157"/>
    <mergeCell ref="T157:V157"/>
    <mergeCell ref="CZ29:DA29"/>
    <mergeCell ref="C192:D192"/>
    <mergeCell ref="H204:I204"/>
    <mergeCell ref="J204:K204"/>
    <mergeCell ref="CX29:CY29"/>
    <mergeCell ref="DI16:DJ16"/>
    <mergeCell ref="DG30:DH30"/>
    <mergeCell ref="GV14:GV15"/>
    <mergeCell ref="DA16:DB16"/>
    <mergeCell ref="DE16:DF16"/>
    <mergeCell ref="DB29:DC29"/>
    <mergeCell ref="DD29:DE29"/>
    <mergeCell ref="DC16:DD16"/>
    <mergeCell ref="DG16:DH16"/>
    <mergeCell ref="DK16:DL16"/>
    <mergeCell ref="DM16:DN16"/>
    <mergeCell ref="GP14:GP15"/>
    <mergeCell ref="GP16:GP17"/>
    <mergeCell ref="GV16:GV17"/>
    <mergeCell ref="GV18:GV21"/>
    <mergeCell ref="GV22:GV25"/>
    <mergeCell ref="GP6:GP9"/>
    <mergeCell ref="GP10:GP11"/>
    <mergeCell ref="GP12:GP13"/>
    <mergeCell ref="GX14:GX15"/>
    <mergeCell ref="GW14:GW15"/>
    <mergeCell ref="GW10:GW11"/>
    <mergeCell ref="GX12:GX13"/>
    <mergeCell ref="GW12:GW13"/>
    <mergeCell ref="GX10:GX11"/>
    <mergeCell ref="GV6:GV9"/>
    <mergeCell ref="GV10:GV11"/>
    <mergeCell ref="GV12:GV13"/>
    <mergeCell ref="GX6:GX9"/>
    <mergeCell ref="GW6:GW9"/>
  </mergeCells>
  <phoneticPr fontId="23" type="noConversion"/>
  <pageMargins left="0.511811024" right="0.511811024" top="0.78740157499999996" bottom="0.78740157499999996" header="0.31496062000000002" footer="0.31496062000000002"/>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C351-45BD-4B60-A098-A5C9B8420579}">
  <sheetPr codeName="Planilha38"/>
  <dimension ref="A1:HP804"/>
  <sheetViews>
    <sheetView showGridLines="0" topLeftCell="AO1" zoomScale="70" zoomScaleNormal="70" workbookViewId="0">
      <selection activeCell="D1" sqref="D1"/>
    </sheetView>
  </sheetViews>
  <sheetFormatPr defaultRowHeight="15" x14ac:dyDescent="0.25"/>
  <cols>
    <col min="1" max="1" width="39.140625" style="20" customWidth="1"/>
    <col min="2" max="2" width="23.85546875" style="20" customWidth="1"/>
    <col min="3" max="3" width="17.5703125" style="20" customWidth="1"/>
    <col min="4" max="4" width="12.140625" style="20" customWidth="1"/>
    <col min="5" max="5" width="12.7109375" style="20" customWidth="1"/>
    <col min="6" max="6" width="20.42578125" style="20" customWidth="1"/>
    <col min="7" max="7" width="15" style="20" customWidth="1"/>
    <col min="8" max="8" width="25.5703125" style="20" customWidth="1"/>
    <col min="9" max="9" width="21.7109375" style="20" customWidth="1"/>
    <col min="10" max="10" width="18.5703125" style="20" customWidth="1"/>
    <col min="11" max="11" width="17.140625" style="20" customWidth="1"/>
    <col min="12" max="12" width="21.28515625" style="20" customWidth="1"/>
    <col min="13" max="13" width="18.42578125" style="20" customWidth="1"/>
    <col min="14" max="14" width="29.5703125" style="475" customWidth="1"/>
    <col min="15" max="15" width="18.42578125" style="20" bestFit="1" customWidth="1"/>
    <col min="16" max="16" width="22.42578125" style="20" customWidth="1"/>
    <col min="17" max="17" width="23.7109375" style="20" customWidth="1"/>
    <col min="18" max="18" width="21.28515625" style="20" customWidth="1"/>
    <col min="19" max="19" width="12" style="20" customWidth="1"/>
    <col min="20" max="20" width="18" style="20" customWidth="1"/>
    <col min="21" max="21" width="27.28515625" style="20" customWidth="1"/>
    <col min="22" max="22" width="14.28515625" style="20" customWidth="1"/>
    <col min="23" max="23" width="22.140625" style="20" customWidth="1"/>
    <col min="24" max="24" width="16.7109375" style="20" customWidth="1"/>
    <col min="25" max="25" width="22.85546875" style="372" customWidth="1"/>
    <col min="26" max="29" width="20.7109375" style="20" customWidth="1"/>
    <col min="30" max="31" width="22.85546875" style="20" customWidth="1"/>
    <col min="32" max="32" width="3.5703125" style="20" customWidth="1"/>
    <col min="33" max="33" width="6.42578125" style="20" customWidth="1"/>
    <col min="34" max="34" width="24.42578125" style="20" customWidth="1"/>
    <col min="35" max="37" width="9.140625" style="20"/>
    <col min="38" max="38" width="16.28515625" style="20" customWidth="1"/>
    <col min="39" max="40" width="9.140625" style="20"/>
    <col min="41" max="41" width="15.7109375" style="20" customWidth="1"/>
    <col min="42" max="42" width="15" style="20" customWidth="1"/>
    <col min="43" max="44" width="9.140625" style="20"/>
    <col min="45" max="45" width="31" style="20" customWidth="1"/>
    <col min="46" max="46" width="16.28515625" style="20" customWidth="1"/>
    <col min="47" max="48" width="9.140625" style="20"/>
    <col min="49" max="49" width="21" style="20" customWidth="1"/>
    <col min="50" max="50" width="20.42578125" style="20" customWidth="1"/>
    <col min="51" max="51" width="20.5703125" style="20" customWidth="1"/>
    <col min="52" max="52" width="19.7109375" style="20" customWidth="1"/>
    <col min="53" max="55" width="9.140625" style="20"/>
    <col min="56" max="56" width="17.28515625" style="20" customWidth="1"/>
    <col min="57" max="59" width="9.140625" style="20"/>
    <col min="60" max="60" width="14.85546875" style="20" bestFit="1" customWidth="1"/>
    <col min="61" max="61" width="17.28515625" style="372" customWidth="1"/>
    <col min="62" max="62" width="23.28515625" style="472" customWidth="1"/>
    <col min="63" max="63" width="16.5703125" style="472" bestFit="1" customWidth="1"/>
    <col min="64" max="64" width="16.5703125" style="472" customWidth="1"/>
    <col min="65" max="65" width="15.140625" style="472" customWidth="1"/>
    <col min="66" max="66" width="13.28515625" style="372" bestFit="1" customWidth="1"/>
    <col min="67" max="67" width="14.140625" style="372" bestFit="1" customWidth="1"/>
    <col min="68" max="69" width="11.140625" style="372" bestFit="1" customWidth="1"/>
    <col min="70" max="70" width="11.7109375" style="20" customWidth="1"/>
    <col min="71" max="74" width="9.7109375" style="20" customWidth="1"/>
    <col min="75" max="75" width="17.7109375" style="20" customWidth="1"/>
    <col min="76" max="76" width="24" style="20" customWidth="1"/>
    <col min="77" max="77" width="16.5703125" style="20" bestFit="1" customWidth="1"/>
    <col min="78" max="78" width="7.28515625" style="20" customWidth="1"/>
    <col min="79" max="79" width="4.28515625" style="20" customWidth="1"/>
    <col min="80" max="80" width="17.5703125" style="20" bestFit="1" customWidth="1"/>
    <col min="81" max="83" width="11.140625" style="20" bestFit="1" customWidth="1"/>
    <col min="84" max="84" width="9.5703125" style="20" customWidth="1"/>
    <col min="85" max="88" width="10.42578125" style="20" customWidth="1"/>
    <col min="89" max="89" width="13.7109375" style="20" bestFit="1" customWidth="1"/>
    <col min="90" max="90" width="16.5703125" style="20" bestFit="1" customWidth="1"/>
    <col min="91" max="93" width="9.140625" style="20"/>
    <col min="94" max="94" width="28.140625" style="20" customWidth="1"/>
    <col min="95" max="96" width="27.85546875" style="20" bestFit="1" customWidth="1"/>
    <col min="97" max="99" width="9.140625" style="20"/>
    <col min="100" max="100" width="17.5703125" style="20" customWidth="1"/>
    <col min="101" max="101" width="21.28515625" style="20" customWidth="1"/>
    <col min="102" max="102" width="9.140625" style="20"/>
    <col min="103" max="103" width="23.85546875" style="20" customWidth="1"/>
    <col min="104" max="104" width="21.5703125" style="20" customWidth="1"/>
    <col min="105" max="105" width="13.85546875" style="20" customWidth="1"/>
    <col min="106" max="106" width="12.85546875" style="20" customWidth="1"/>
    <col min="107" max="107" width="12.140625" style="20" customWidth="1"/>
    <col min="108" max="108" width="26.28515625" style="20" customWidth="1"/>
    <col min="109" max="110" width="9.140625" style="20"/>
    <col min="111" max="111" width="19.28515625" style="20" customWidth="1"/>
    <col min="112" max="112" width="18.7109375" style="20" customWidth="1"/>
    <col min="113" max="113" width="9.140625" style="20"/>
    <col min="114" max="114" width="11.28515625" style="20" bestFit="1" customWidth="1"/>
    <col min="115" max="115" width="21" style="20" customWidth="1"/>
    <col min="116" max="116" width="9.140625" style="20"/>
    <col min="117" max="117" width="11.28515625" style="20" bestFit="1" customWidth="1"/>
    <col min="118" max="147" width="9.140625" style="20"/>
    <col min="148" max="148" width="22.42578125" style="20" bestFit="1" customWidth="1"/>
    <col min="149" max="149" width="16.5703125" style="20" bestFit="1" customWidth="1"/>
    <col min="150" max="150" width="12" style="20" bestFit="1" customWidth="1"/>
    <col min="151" max="151" width="21.28515625" style="20" customWidth="1"/>
    <col min="152" max="159" width="12.7109375" style="20" customWidth="1"/>
    <col min="160" max="160" width="9.140625" style="20"/>
    <col min="161" max="161" width="14.7109375" style="20" bestFit="1" customWidth="1"/>
    <col min="162" max="162" width="9.140625" style="20"/>
    <col min="163" max="163" width="14.85546875" style="20" bestFit="1" customWidth="1"/>
    <col min="164" max="164" width="9.140625" style="20"/>
    <col min="165" max="165" width="10.85546875" style="20" bestFit="1" customWidth="1"/>
    <col min="166" max="166" width="9.140625" style="20"/>
    <col min="167" max="167" width="10.85546875" style="20" bestFit="1" customWidth="1"/>
    <col min="168" max="168" width="9.140625" style="20"/>
    <col min="169" max="169" width="10.85546875" style="20" bestFit="1" customWidth="1"/>
    <col min="170" max="170" width="9.140625" style="20"/>
    <col min="171" max="171" width="10.85546875" style="20" bestFit="1" customWidth="1"/>
    <col min="172" max="184" width="9.140625" style="20"/>
    <col min="185" max="185" width="5.28515625" style="20" customWidth="1"/>
    <col min="186" max="186" width="9.140625" style="20"/>
    <col min="187" max="187" width="19.28515625" style="20" bestFit="1" customWidth="1"/>
    <col min="188" max="188" width="23.140625" style="20" customWidth="1"/>
    <col min="189" max="189" width="18.85546875" style="20" customWidth="1"/>
    <col min="190" max="190" width="13.7109375" style="20" customWidth="1"/>
    <col min="191" max="191" width="22" style="20" customWidth="1"/>
    <col min="192" max="192" width="16.7109375" style="20" customWidth="1"/>
    <col min="193" max="193" width="13.7109375" style="20" customWidth="1"/>
    <col min="194" max="194" width="18" style="20" customWidth="1"/>
    <col min="195" max="195" width="19.140625" style="20" customWidth="1"/>
    <col min="196" max="196" width="26.7109375" style="20" customWidth="1"/>
    <col min="197" max="197" width="23.5703125" style="20" customWidth="1"/>
    <col min="198" max="198" width="17.7109375" style="20" customWidth="1"/>
    <col min="199" max="199" width="18.42578125" style="20" customWidth="1"/>
    <col min="200" max="200" width="21.42578125" style="20" customWidth="1"/>
    <col min="201" max="201" width="25.5703125" style="20" customWidth="1"/>
    <col min="202" max="203" width="17.85546875" style="20" customWidth="1"/>
    <col min="204" max="204" width="9.140625" style="20"/>
    <col min="205" max="205" width="28" style="20" customWidth="1"/>
    <col min="206" max="206" width="28.28515625" style="20" customWidth="1"/>
    <col min="207" max="207" width="13" style="20" customWidth="1"/>
    <col min="208" max="208" width="21" style="20" customWidth="1"/>
    <col min="209" max="209" width="21.85546875" style="20" customWidth="1"/>
    <col min="210" max="210" width="21.7109375" style="20" customWidth="1"/>
    <col min="211" max="211" width="10.5703125" style="20" customWidth="1"/>
    <col min="212" max="216" width="9.140625" style="20"/>
    <col min="217" max="217" width="33.42578125" style="20" customWidth="1"/>
    <col min="218" max="218" width="29.85546875" style="20" customWidth="1"/>
    <col min="219" max="219" width="22.28515625" style="20" customWidth="1"/>
    <col min="220" max="220" width="28.140625" style="20" customWidth="1"/>
    <col min="221" max="221" width="45.42578125" style="20" customWidth="1"/>
    <col min="222" max="222" width="12.85546875" style="472" customWidth="1"/>
    <col min="223" max="223" width="40.7109375" style="20" bestFit="1" customWidth="1"/>
    <col min="224" max="224" width="13.42578125" style="20" customWidth="1"/>
    <col min="225" max="16384" width="9.140625" style="20"/>
  </cols>
  <sheetData>
    <row r="1" spans="48:181" s="20" customFormat="1" ht="15.75" thickBot="1" x14ac:dyDescent="0.3">
      <c r="AV1" s="469" t="s">
        <v>5510</v>
      </c>
      <c r="BB1" s="469" t="s">
        <v>5510</v>
      </c>
      <c r="BC1" s="468" t="s">
        <v>5545</v>
      </c>
      <c r="BD1" s="468"/>
      <c r="BF1" s="469" t="s">
        <v>5510</v>
      </c>
      <c r="BG1" s="469"/>
      <c r="BH1" s="468" t="s">
        <v>8026</v>
      </c>
      <c r="BI1" s="468"/>
      <c r="BJ1" s="468"/>
      <c r="BK1" s="468"/>
      <c r="BL1" s="468"/>
      <c r="BM1" s="468"/>
      <c r="BN1" s="468"/>
      <c r="BO1" s="468"/>
      <c r="BP1" s="468"/>
      <c r="BQ1" s="468"/>
      <c r="BR1" s="468"/>
      <c r="BS1" s="468"/>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9" t="s">
        <v>5510</v>
      </c>
      <c r="CV1" s="468" t="s">
        <v>8117</v>
      </c>
      <c r="CW1" s="468"/>
      <c r="CX1" s="468"/>
      <c r="CY1" s="468"/>
      <c r="CZ1" s="468"/>
      <c r="DA1" s="468"/>
      <c r="DB1" s="468"/>
      <c r="DC1" s="468"/>
      <c r="DD1" s="468"/>
      <c r="DE1" s="468"/>
      <c r="DF1" s="468"/>
      <c r="DG1" s="468"/>
      <c r="DH1" s="468"/>
      <c r="DI1" s="468"/>
      <c r="DJ1" s="468"/>
      <c r="DK1" s="468"/>
      <c r="DL1" s="468"/>
      <c r="DM1" s="468"/>
      <c r="DN1" s="468"/>
      <c r="DO1" s="468"/>
      <c r="DP1" s="468"/>
      <c r="DQ1" s="468"/>
      <c r="DR1" s="468"/>
      <c r="DS1" s="468"/>
      <c r="DT1" s="468"/>
      <c r="DU1" s="468"/>
      <c r="DV1" s="468"/>
      <c r="DW1" s="468"/>
      <c r="DX1" s="468"/>
      <c r="DY1" s="468"/>
      <c r="DZ1" s="468"/>
      <c r="EA1" s="468"/>
      <c r="EB1" s="468"/>
      <c r="EC1" s="468"/>
      <c r="ED1" s="468"/>
      <c r="EE1" s="468"/>
      <c r="EF1" s="468"/>
      <c r="EG1" s="468"/>
      <c r="EH1" s="468"/>
      <c r="EI1" s="468"/>
      <c r="EJ1" s="468"/>
      <c r="EK1" s="468"/>
      <c r="EL1" s="468"/>
      <c r="EM1" s="468"/>
      <c r="EN1" s="468"/>
      <c r="EO1" s="468"/>
      <c r="EP1" s="468"/>
      <c r="EQ1" s="469" t="s">
        <v>5510</v>
      </c>
      <c r="ER1" s="20" t="s">
        <v>5974</v>
      </c>
      <c r="FL1" s="20" t="s">
        <v>5993</v>
      </c>
    </row>
    <row r="2" spans="48:181" s="20" customFormat="1" x14ac:dyDescent="0.25">
      <c r="AV2" s="469" t="s">
        <v>5510</v>
      </c>
      <c r="BB2" s="469" t="s">
        <v>5510</v>
      </c>
      <c r="BC2" s="479" t="s">
        <v>5596</v>
      </c>
      <c r="BD2" s="479" t="s">
        <v>5595</v>
      </c>
      <c r="BF2" s="469" t="s">
        <v>5510</v>
      </c>
      <c r="BG2" s="469"/>
      <c r="BH2" s="479" t="s">
        <v>8000</v>
      </c>
      <c r="BI2" s="480" t="s">
        <v>5583</v>
      </c>
      <c r="BJ2" s="472"/>
      <c r="BK2" s="472"/>
      <c r="BL2" s="479" t="s">
        <v>8000</v>
      </c>
      <c r="BM2" s="480" t="s">
        <v>5745</v>
      </c>
      <c r="BN2" s="479" t="s">
        <v>88</v>
      </c>
      <c r="BO2" s="480">
        <v>13</v>
      </c>
      <c r="CU2" s="469" t="s">
        <v>5510</v>
      </c>
      <c r="CV2" s="479" t="s">
        <v>8000</v>
      </c>
      <c r="CW2" s="480" t="s">
        <v>5585</v>
      </c>
      <c r="DC2" s="479" t="s">
        <v>8000</v>
      </c>
      <c r="DD2" s="480" t="s">
        <v>6040</v>
      </c>
      <c r="EQ2" s="469" t="s">
        <v>5510</v>
      </c>
      <c r="ET2" s="372"/>
      <c r="EU2" s="472"/>
      <c r="EV2" s="472"/>
      <c r="EW2" s="472"/>
      <c r="EX2" s="372"/>
      <c r="EY2" s="372"/>
      <c r="EZ2" s="372"/>
      <c r="FA2" s="372"/>
      <c r="FL2" s="20" t="s">
        <v>5975</v>
      </c>
      <c r="FT2" s="20" t="s">
        <v>5976</v>
      </c>
    </row>
    <row r="3" spans="48:181" s="20" customFormat="1" x14ac:dyDescent="0.25">
      <c r="AV3" s="469" t="s">
        <v>5510</v>
      </c>
      <c r="BB3" s="469" t="s">
        <v>5510</v>
      </c>
      <c r="BC3" s="494">
        <v>31</v>
      </c>
      <c r="BD3" s="494" t="str" cm="1">
        <f t="array" aca="1" ref="BD3" ca="1">IF(INDIRECT("'"&amp;$BC$1&amp;"'!R"&amp;BC3,1)&lt;&gt;0,INDIRECT("'CL50(2)'!R"&amp;BC3,1),"")</f>
        <v/>
      </c>
      <c r="BF3" s="469" t="s">
        <v>5510</v>
      </c>
      <c r="BG3" s="469"/>
      <c r="BH3" s="479" t="s">
        <v>355</v>
      </c>
      <c r="BI3" s="480" t="s">
        <v>7406</v>
      </c>
      <c r="BJ3" s="479" t="str" cm="1">
        <f t="array" aca="1" ref="BJ3" ca="1">IF(INDIRECT($BI$2&amp;$BI$3,1)&lt;&gt;0,INDIRECT($BI$2&amp;$BI$3,1),"-")</f>
        <v>-</v>
      </c>
      <c r="BK3" s="472"/>
      <c r="BL3" s="472"/>
      <c r="BM3" s="472"/>
      <c r="BN3" s="479" t="s">
        <v>8033</v>
      </c>
      <c r="BO3" s="480">
        <v>359</v>
      </c>
      <c r="CU3" s="469" t="s">
        <v>5510</v>
      </c>
      <c r="CV3" s="479" t="s">
        <v>8118</v>
      </c>
      <c r="CW3" s="480" t="s">
        <v>7717</v>
      </c>
      <c r="CX3" s="426" cm="1">
        <f t="array" aca="1" ref="CX3" ca="1">INDIRECT($CW$2&amp;$CW$3)</f>
        <v>0</v>
      </c>
      <c r="DC3" s="479" t="s">
        <v>8120</v>
      </c>
      <c r="DD3" s="480">
        <v>16</v>
      </c>
      <c r="EQ3" s="469" t="s">
        <v>5510</v>
      </c>
      <c r="FM3" s="1667" t="s">
        <v>88</v>
      </c>
      <c r="FN3" s="1667"/>
      <c r="FO3" s="1667" t="s">
        <v>101</v>
      </c>
      <c r="FP3" s="1667"/>
      <c r="FQ3" s="1667" t="s">
        <v>120</v>
      </c>
      <c r="FR3" s="1667"/>
      <c r="FT3" s="1678" t="s">
        <v>88</v>
      </c>
      <c r="FU3" s="1678"/>
      <c r="FV3" s="1678" t="s">
        <v>101</v>
      </c>
      <c r="FW3" s="1678"/>
      <c r="FX3" s="1678" t="s">
        <v>120</v>
      </c>
      <c r="FY3" s="1678"/>
    </row>
    <row r="4" spans="48:181" s="20" customFormat="1" x14ac:dyDescent="0.25">
      <c r="AV4" s="469" t="s">
        <v>5510</v>
      </c>
      <c r="BB4" s="469" t="s">
        <v>5510</v>
      </c>
      <c r="BC4" s="494">
        <v>32</v>
      </c>
      <c r="BD4" s="494" t="str" cm="1">
        <f t="array" aca="1" ref="BD4" ca="1">IF(INDIRECT("'"&amp;$BC$1&amp;"'!R"&amp;BC4,1)&lt;&gt;0,INDIRECT("'CL50(2)'!R"&amp;BC4,1),"")</f>
        <v/>
      </c>
      <c r="BF4" s="469" t="s">
        <v>5510</v>
      </c>
      <c r="BG4" s="469"/>
      <c r="BH4" s="479" t="s">
        <v>8057</v>
      </c>
      <c r="BI4" s="480" t="s">
        <v>7417</v>
      </c>
      <c r="BJ4" s="479" t="str" cm="1">
        <f t="array" aca="1" ref="BJ4" ca="1">IF(INDIRECT($BI$2&amp;$BI$4,1)&lt;&gt;0,"Teste I" &amp; CHAR(10) &amp; INDIRECT($BI$2&amp;$BI$4,1),"-")</f>
        <v>-</v>
      </c>
      <c r="BK4" s="472"/>
      <c r="BL4" s="472"/>
      <c r="BM4" s="472"/>
      <c r="BN4" s="479" t="s">
        <v>120</v>
      </c>
      <c r="BO4" s="480">
        <v>705</v>
      </c>
      <c r="CU4" s="469" t="s">
        <v>5510</v>
      </c>
      <c r="CV4" s="479" t="s">
        <v>8136</v>
      </c>
      <c r="CW4" s="480" t="str">
        <f>Tabelas_fonte!W12</f>
        <v>Machos</v>
      </c>
      <c r="DC4" s="479" t="s">
        <v>8121</v>
      </c>
      <c r="DD4" s="480">
        <v>8</v>
      </c>
      <c r="EQ4" s="469" t="s">
        <v>5510</v>
      </c>
      <c r="ES4" s="605" t="s">
        <v>207</v>
      </c>
      <c r="ET4" s="372"/>
      <c r="EU4" s="472"/>
      <c r="EV4" s="472"/>
      <c r="EW4" s="472"/>
      <c r="EX4" s="372"/>
      <c r="EY4" s="372"/>
      <c r="EZ4" s="372"/>
      <c r="FA4" s="605" t="s">
        <v>208</v>
      </c>
      <c r="FB4" s="372"/>
      <c r="FC4" s="472"/>
      <c r="FD4" s="472"/>
      <c r="FE4" s="472"/>
      <c r="FF4" s="372"/>
      <c r="FG4" s="372"/>
      <c r="FH4" s="372"/>
      <c r="FM4" s="1679">
        <f>CP5</f>
        <v>0</v>
      </c>
      <c r="FN4" s="1667"/>
      <c r="FO4" s="1679">
        <f>CQ5</f>
        <v>0</v>
      </c>
      <c r="FP4" s="1667"/>
      <c r="FQ4" s="1679">
        <f>CR5</f>
        <v>0</v>
      </c>
      <c r="FR4" s="1667"/>
      <c r="FT4" s="1677">
        <f>CP5</f>
        <v>0</v>
      </c>
      <c r="FU4" s="1678"/>
      <c r="FV4" s="1677">
        <f>CR5</f>
        <v>0</v>
      </c>
      <c r="FW4" s="1678"/>
      <c r="FX4" s="1677">
        <f>CT5</f>
        <v>0</v>
      </c>
      <c r="FY4" s="1678"/>
    </row>
    <row r="5" spans="48:181" s="20" customFormat="1" x14ac:dyDescent="0.25">
      <c r="AV5" s="469" t="s">
        <v>5510</v>
      </c>
      <c r="BB5" s="469" t="s">
        <v>5510</v>
      </c>
      <c r="BC5" s="494">
        <v>33</v>
      </c>
      <c r="BD5" s="494" t="str" cm="1">
        <f t="array" aca="1" ref="BD5" ca="1">IF(INDIRECT("'"&amp;$BC$1&amp;"'!R"&amp;BC5,1)&lt;&gt;0,INDIRECT("'CL50(2)'!R"&amp;BC5,1),"")</f>
        <v/>
      </c>
      <c r="BF5" s="469" t="s">
        <v>5510</v>
      </c>
      <c r="BG5" s="469"/>
      <c r="BH5" s="479" t="s">
        <v>8058</v>
      </c>
      <c r="BI5" s="480" t="s">
        <v>7639</v>
      </c>
      <c r="BJ5" s="479" t="str" cm="1">
        <f t="array" aca="1" ref="BJ5" ca="1">IF(INDIRECT($BI$2&amp;$BI$5,1)&lt;&gt;0,"Teste II" &amp; CHAR(10) &amp; INDIRECT($BI$2&amp;$BI$5,1),"-")</f>
        <v>-</v>
      </c>
      <c r="BK5" s="472"/>
      <c r="BL5" s="472"/>
      <c r="BM5" s="472"/>
      <c r="BN5" s="479" t="s">
        <v>8031</v>
      </c>
      <c r="BO5" s="480">
        <v>6</v>
      </c>
      <c r="CU5" s="469" t="s">
        <v>5510</v>
      </c>
      <c r="CV5" s="479" t="s">
        <v>8136</v>
      </c>
      <c r="CW5" s="480" t="str">
        <f>Tabelas_fonte!W13</f>
        <v>Fêmeas</v>
      </c>
      <c r="DH5" s="506"/>
      <c r="DI5" s="475"/>
      <c r="EQ5" s="469" t="s">
        <v>5510</v>
      </c>
      <c r="ES5" s="1672" t="s">
        <v>190</v>
      </c>
      <c r="ET5" s="1672"/>
      <c r="EU5" s="1672"/>
      <c r="EV5" s="1672"/>
      <c r="EW5" s="1672" t="s">
        <v>5980</v>
      </c>
      <c r="EX5" s="1672"/>
      <c r="EY5" s="1672"/>
      <c r="EZ5" s="1672"/>
      <c r="FA5" s="1035" t="s">
        <v>190</v>
      </c>
      <c r="FB5" s="1035"/>
      <c r="FC5" s="1035"/>
      <c r="FD5" s="1035"/>
      <c r="FE5" s="1035" t="s">
        <v>5980</v>
      </c>
      <c r="FF5" s="1035"/>
      <c r="FG5" s="1035"/>
      <c r="FH5" s="1035"/>
      <c r="FI5" s="712" t="s">
        <v>5904</v>
      </c>
      <c r="FL5" s="20" t="s">
        <v>347</v>
      </c>
      <c r="FM5" s="597" t="s">
        <v>10</v>
      </c>
      <c r="FN5" s="643" t="s">
        <v>237</v>
      </c>
      <c r="FO5" s="597" t="s">
        <v>10</v>
      </c>
      <c r="FP5" s="643" t="s">
        <v>237</v>
      </c>
      <c r="FQ5" s="597" t="s">
        <v>10</v>
      </c>
      <c r="FR5" s="643" t="s">
        <v>237</v>
      </c>
      <c r="FT5" s="709" t="s">
        <v>10</v>
      </c>
      <c r="FU5" s="713" t="s">
        <v>237</v>
      </c>
      <c r="FV5" s="709" t="s">
        <v>10</v>
      </c>
      <c r="FW5" s="713" t="s">
        <v>237</v>
      </c>
      <c r="FX5" s="709" t="s">
        <v>10</v>
      </c>
      <c r="FY5" s="713" t="s">
        <v>237</v>
      </c>
    </row>
    <row r="6" spans="48:181" s="20" customFormat="1" x14ac:dyDescent="0.25">
      <c r="AV6" s="469" t="s">
        <v>5510</v>
      </c>
      <c r="BB6" s="469" t="s">
        <v>5510</v>
      </c>
      <c r="BC6" s="494">
        <v>34</v>
      </c>
      <c r="BD6" s="494" t="str" cm="1">
        <f t="array" aca="1" ref="BD6" ca="1">IF(INDIRECT("'"&amp;$BC$1&amp;"'!R"&amp;BC6,1)&lt;&gt;0,INDIRECT("'CL50(2)'!R"&amp;BC6,1),"")</f>
        <v/>
      </c>
      <c r="BF6" s="469" t="s">
        <v>5510</v>
      </c>
      <c r="BG6" s="469"/>
      <c r="BH6" s="479" t="s">
        <v>8058</v>
      </c>
      <c r="BI6" s="480" t="s">
        <v>7651</v>
      </c>
      <c r="BJ6" s="479" t="str" cm="1">
        <f t="array" aca="1" ref="BJ6" ca="1">IF(INDIRECT($BI$2&amp;$BI$6,1)&lt;&gt;0,"Teste III" &amp; CHAR(10) &amp; INDIRECT($BI$2&amp;$BI$6,1),"-")</f>
        <v>-</v>
      </c>
      <c r="BK6" s="472"/>
      <c r="BL6" s="472"/>
      <c r="BM6" s="472"/>
      <c r="BN6" s="479" t="s">
        <v>8032</v>
      </c>
      <c r="BO6" s="480">
        <v>6</v>
      </c>
      <c r="CU6" s="469" t="s">
        <v>5510</v>
      </c>
      <c r="CV6" s="479" t="s">
        <v>8136</v>
      </c>
      <c r="CW6" s="480" t="str">
        <f>Tabelas_fonte!W14</f>
        <v>Machos e Fêmeas</v>
      </c>
      <c r="EQ6" s="469" t="s">
        <v>5510</v>
      </c>
      <c r="ES6" s="1673" t="s">
        <v>149</v>
      </c>
      <c r="ET6" s="1674"/>
      <c r="EU6" s="1673" t="s">
        <v>150</v>
      </c>
      <c r="EV6" s="1674"/>
      <c r="EW6" s="1673" t="s">
        <v>149</v>
      </c>
      <c r="EX6" s="1674"/>
      <c r="EY6" s="1673" t="s">
        <v>150</v>
      </c>
      <c r="EZ6" s="1674"/>
      <c r="FA6" s="1675" t="s">
        <v>149</v>
      </c>
      <c r="FB6" s="1676"/>
      <c r="FC6" s="1675" t="s">
        <v>150</v>
      </c>
      <c r="FD6" s="1676"/>
      <c r="FE6" s="1675" t="s">
        <v>149</v>
      </c>
      <c r="FF6" s="1676"/>
      <c r="FG6" s="1675" t="s">
        <v>150</v>
      </c>
      <c r="FH6" s="1676"/>
      <c r="FI6" s="608"/>
      <c r="FL6" s="20" t="s">
        <v>90</v>
      </c>
      <c r="FM6" s="710">
        <f>BR10</f>
        <v>1</v>
      </c>
      <c r="FN6" s="714">
        <f ca="1">CF10</f>
        <v>0</v>
      </c>
      <c r="FO6" s="710">
        <f>BR187</f>
        <v>2</v>
      </c>
      <c r="FP6" s="714">
        <f ca="1">CF187</f>
        <v>0</v>
      </c>
      <c r="FQ6" s="710">
        <f>BR362</f>
        <v>0</v>
      </c>
      <c r="FR6" s="714">
        <f>CF362</f>
        <v>0</v>
      </c>
      <c r="FT6" s="711">
        <f>BR21</f>
        <v>12</v>
      </c>
      <c r="FU6" s="715">
        <f ca="1">CF21</f>
        <v>0</v>
      </c>
      <c r="FV6" s="711">
        <f>BR198</f>
        <v>0</v>
      </c>
      <c r="FW6" s="715">
        <f>CF198</f>
        <v>0</v>
      </c>
      <c r="FX6" s="711" t="str">
        <f ca="1">BR373</f>
        <v>-</v>
      </c>
      <c r="FY6" s="715">
        <f>CF373</f>
        <v>0</v>
      </c>
    </row>
    <row r="7" spans="48:181" s="20" customFormat="1" x14ac:dyDescent="0.25">
      <c r="AV7" s="469" t="s">
        <v>5510</v>
      </c>
      <c r="BB7" s="469" t="s">
        <v>5510</v>
      </c>
      <c r="BC7" s="494">
        <v>35</v>
      </c>
      <c r="BD7" s="494" t="str" cm="1">
        <f t="array" aca="1" ref="BD7" ca="1">IF(INDIRECT("'"&amp;$BC$1&amp;"'!R"&amp;BC7,1)&lt;&gt;0,INDIRECT("'CL50(2)'!R"&amp;BC7,1),"")</f>
        <v/>
      </c>
      <c r="BF7" s="469" t="s">
        <v>5510</v>
      </c>
      <c r="BG7" s="469"/>
      <c r="BJ7" s="480" t="s">
        <v>5734</v>
      </c>
      <c r="BK7" s="480" t="s">
        <v>5735</v>
      </c>
      <c r="BL7" s="480" t="s">
        <v>5732</v>
      </c>
      <c r="BM7" s="480" t="s">
        <v>5736</v>
      </c>
      <c r="BN7" s="480" t="s">
        <v>5737</v>
      </c>
      <c r="BO7" s="480" t="s">
        <v>5738</v>
      </c>
      <c r="BQ7" s="372"/>
      <c r="BU7" s="480" t="str">
        <f>$BJ$7</f>
        <v>N</v>
      </c>
      <c r="BV7" s="480" t="str">
        <f>$BK$7</f>
        <v>O</v>
      </c>
      <c r="BW7" s="480" t="str">
        <f>$BL$7</f>
        <v>P</v>
      </c>
      <c r="BX7" s="480" t="str">
        <f>$BM$7</f>
        <v>Q</v>
      </c>
      <c r="BY7" s="480" t="str">
        <f>$BN$7</f>
        <v>R</v>
      </c>
      <c r="BZ7" s="480" t="str">
        <f>$BO$7</f>
        <v>S</v>
      </c>
      <c r="CF7" s="480" t="str">
        <f>$BJ$7</f>
        <v>N</v>
      </c>
      <c r="CG7" s="480" t="str">
        <f>$BK$7</f>
        <v>O</v>
      </c>
      <c r="CH7" s="480" t="str">
        <f>$BL$7</f>
        <v>P</v>
      </c>
      <c r="CI7" s="480" t="str">
        <f>$BM$7</f>
        <v>Q</v>
      </c>
      <c r="CJ7" s="480" t="str">
        <f>$BN$7</f>
        <v>R</v>
      </c>
      <c r="CK7" s="480" t="str">
        <f>$BO$7</f>
        <v>S</v>
      </c>
      <c r="CU7" s="469" t="s">
        <v>5510</v>
      </c>
      <c r="EQ7" s="469" t="s">
        <v>5510</v>
      </c>
      <c r="ES7" s="624" t="s">
        <v>109</v>
      </c>
      <c r="ET7" s="624" t="s">
        <v>110</v>
      </c>
      <c r="EU7" s="624" t="s">
        <v>109</v>
      </c>
      <c r="EV7" s="539" t="s">
        <v>110</v>
      </c>
      <c r="EW7" s="624" t="s">
        <v>109</v>
      </c>
      <c r="EX7" s="624" t="s">
        <v>110</v>
      </c>
      <c r="EY7" s="624" t="s">
        <v>109</v>
      </c>
      <c r="EZ7" s="539" t="s">
        <v>110</v>
      </c>
      <c r="FA7" s="716" t="s">
        <v>109</v>
      </c>
      <c r="FB7" s="716" t="s">
        <v>110</v>
      </c>
      <c r="FC7" s="716" t="s">
        <v>109</v>
      </c>
      <c r="FD7" s="717" t="s">
        <v>110</v>
      </c>
      <c r="FE7" s="716" t="s">
        <v>109</v>
      </c>
      <c r="FF7" s="716" t="s">
        <v>110</v>
      </c>
      <c r="FG7" s="716" t="s">
        <v>109</v>
      </c>
      <c r="FH7" s="717" t="s">
        <v>110</v>
      </c>
      <c r="FI7" s="624"/>
      <c r="FL7" s="20" t="s">
        <v>91</v>
      </c>
      <c r="FM7" s="710">
        <f>BR27</f>
        <v>2</v>
      </c>
      <c r="FN7" s="714">
        <f ca="1">CF27</f>
        <v>0</v>
      </c>
      <c r="FO7" s="710">
        <f>BR204</f>
        <v>3</v>
      </c>
      <c r="FP7" s="714">
        <f ca="1">CF204</f>
        <v>0</v>
      </c>
      <c r="FQ7" s="710">
        <f>BR379</f>
        <v>0</v>
      </c>
      <c r="FR7" s="714">
        <f>CF379</f>
        <v>0</v>
      </c>
      <c r="FT7" s="711">
        <f>BR38</f>
        <v>0</v>
      </c>
      <c r="FU7" s="715">
        <f>CF38</f>
        <v>0</v>
      </c>
      <c r="FV7" s="711">
        <f>BR215</f>
        <v>0</v>
      </c>
      <c r="FW7" s="715">
        <f>CF215</f>
        <v>0</v>
      </c>
      <c r="FX7" s="711">
        <f>BR390</f>
        <v>0</v>
      </c>
      <c r="FY7" s="715">
        <f>CF390</f>
        <v>0</v>
      </c>
    </row>
    <row r="8" spans="48:181" s="20" customFormat="1" x14ac:dyDescent="0.25">
      <c r="AV8" s="469" t="s">
        <v>5510</v>
      </c>
      <c r="AW8" s="528" t="s">
        <v>8644</v>
      </c>
      <c r="AX8" s="529" t="s">
        <v>8643</v>
      </c>
      <c r="BB8" s="469" t="s">
        <v>5510</v>
      </c>
      <c r="BC8" s="494">
        <v>36</v>
      </c>
      <c r="BD8" s="494" t="str" cm="1">
        <f t="array" aca="1" ref="BD8" ca="1">IF(INDIRECT("'"&amp;$BC$1&amp;"'!R"&amp;BC8,1)&lt;&gt;0,INDIRECT("'CL50(2)'!R"&amp;BC8,1),"")</f>
        <v/>
      </c>
      <c r="BF8" s="469" t="s">
        <v>5510</v>
      </c>
      <c r="BG8" s="469"/>
      <c r="BH8" s="530" t="s">
        <v>5741</v>
      </c>
      <c r="BI8" s="531"/>
      <c r="BJ8" s="532"/>
      <c r="BK8" s="532"/>
      <c r="BL8" s="532"/>
      <c r="BM8" s="532"/>
      <c r="BN8" s="531"/>
      <c r="BO8" s="531"/>
      <c r="BR8" s="469"/>
      <c r="BS8" s="530" t="s">
        <v>5742</v>
      </c>
      <c r="BT8" s="531"/>
      <c r="BU8" s="532"/>
      <c r="BV8" s="532"/>
      <c r="BW8" s="532"/>
      <c r="BX8" s="532"/>
      <c r="BY8" s="531"/>
      <c r="BZ8" s="531"/>
      <c r="CC8" s="469"/>
      <c r="CD8" s="530" t="s">
        <v>5743</v>
      </c>
      <c r="CE8" s="531"/>
      <c r="CF8" s="532"/>
      <c r="CG8" s="532"/>
      <c r="CH8" s="532"/>
      <c r="CI8" s="532"/>
      <c r="CJ8" s="531"/>
      <c r="CK8" s="531"/>
      <c r="CO8" s="479" t="s">
        <v>8060</v>
      </c>
      <c r="CQ8" s="479" t="s">
        <v>88</v>
      </c>
      <c r="CU8" s="469" t="s">
        <v>5510</v>
      </c>
      <c r="EQ8" s="469" t="s">
        <v>5510</v>
      </c>
      <c r="ER8" s="20" t="s">
        <v>90</v>
      </c>
      <c r="ES8" s="624" t="str" cm="1">
        <f t="array" aca="1" ref="ES8" ca="1">IF(INDIRECT($ES$23&amp;ES$18&amp;$FI8,1)="","",INDIRECT($ES$23&amp;ES$18&amp;$FI8,1))</f>
        <v/>
      </c>
      <c r="ET8" s="624" t="str" cm="1">
        <f t="array" aca="1" ref="ET8" ca="1">IF(INDIRECT($ES$23&amp;ET$18&amp;$FI8,1)="","",INDIRECT($ES$23&amp;ET$18&amp;$FI8,1))</f>
        <v/>
      </c>
      <c r="EU8" s="624" t="str" cm="1">
        <f t="array" aca="1" ref="EU8" ca="1">IF(INDIRECT($ES$23&amp;EU$18&amp;$FI8,1)="","",INDIRECT($ES$23&amp;EU$18&amp;$FI8,1))</f>
        <v/>
      </c>
      <c r="EV8" s="624" t="str" cm="1">
        <f t="array" aca="1" ref="EV8" ca="1">IF(INDIRECT($ES$23&amp;EV$18&amp;$FI8,1)="","",INDIRECT($ES$23&amp;EV$18&amp;$FI8,1))</f>
        <v/>
      </c>
      <c r="EW8" s="624" t="str" cm="1">
        <f t="array" aca="1" ref="EW8" ca="1">IF(INDIRECT($ES$23&amp;EW$18&amp;$FI8,1)="","",INDIRECT($ES$23&amp;EW$18&amp;$FI8,1))</f>
        <v/>
      </c>
      <c r="EX8" s="624" t="str" cm="1">
        <f t="array" aca="1" ref="EX8" ca="1">IF(INDIRECT($ES$23&amp;EX$18&amp;$FI8,1)="","",INDIRECT($ES$23&amp;EX$18&amp;$FI8,1))</f>
        <v/>
      </c>
      <c r="EY8" s="624" t="str" cm="1">
        <f t="array" aca="1" ref="EY8" ca="1">IF(INDIRECT($ES$23&amp;EY$18&amp;$FI8,1)="","",INDIRECT($ES$23&amp;EY$18&amp;$FI8,1))</f>
        <v/>
      </c>
      <c r="EZ8" s="624" t="str" cm="1">
        <f t="array" aca="1" ref="EZ8" ca="1">IF(INDIRECT($ES$23&amp;EZ$18&amp;$FI8,1)="","",INDIRECT($ES$23&amp;EZ$18&amp;$FI8,1))</f>
        <v/>
      </c>
      <c r="FA8" s="716" t="str" cm="1">
        <f t="array" aca="1" ref="FA8" ca="1">IF(INDIRECT($ES$23&amp;FA$18&amp;$FI8,1)="","",INDIRECT($ES$23&amp;FA$18&amp;$FI8,1))</f>
        <v/>
      </c>
      <c r="FB8" s="716" t="str" cm="1">
        <f t="array" aca="1" ref="FB8" ca="1">IF(INDIRECT($ES$23&amp;FB$18&amp;$FI8,1)="","",INDIRECT($ES$23&amp;FB$18&amp;$FI8,1))</f>
        <v/>
      </c>
      <c r="FC8" s="716" t="str" cm="1">
        <f t="array" aca="1" ref="FC8" ca="1">IF(INDIRECT($ES$23&amp;FC$18&amp;$FI8,1)="","",INDIRECT($ES$23&amp;FC$18&amp;$FI8,1))</f>
        <v/>
      </c>
      <c r="FD8" s="716" t="str" cm="1">
        <f t="array" aca="1" ref="FD8" ca="1">IF(INDIRECT($ES$23&amp;FD$18&amp;$FI8,1)="","",INDIRECT($ES$23&amp;FD$18&amp;$FI8,1))</f>
        <v/>
      </c>
      <c r="FE8" s="716" t="str" cm="1">
        <f t="array" aca="1" ref="FE8" ca="1">IF(INDIRECT($ES$23&amp;FE$18&amp;$FI8,1)="","",INDIRECT($ES$23&amp;FE$18&amp;$FI8,1))</f>
        <v/>
      </c>
      <c r="FF8" s="716" t="str" cm="1">
        <f t="array" aca="1" ref="FF8" ca="1">IF(INDIRECT($ES$23&amp;FF$18&amp;$FI8,1)="","",INDIRECT($ES$23&amp;FF$18&amp;$FI8,1))</f>
        <v/>
      </c>
      <c r="FG8" s="716" t="str" cm="1">
        <f t="array" aca="1" ref="FG8" ca="1">IF(INDIRECT($ES$23&amp;FG$18&amp;$FI8,1)="","",INDIRECT($ES$23&amp;FG$18&amp;$FI8,1))</f>
        <v/>
      </c>
      <c r="FH8" s="716" t="str" cm="1">
        <f t="array" aca="1" ref="FH8" ca="1">IF(INDIRECT($ES$23&amp;FH$18&amp;$FI8,1)="","",INDIRECT($ES$23&amp;FH$18&amp;$FI8,1))</f>
        <v/>
      </c>
      <c r="FI8" s="624">
        <v>37</v>
      </c>
      <c r="FL8" s="20" t="s">
        <v>92</v>
      </c>
      <c r="FM8" s="710">
        <f>BR44</f>
        <v>3</v>
      </c>
      <c r="FN8" s="714">
        <f ca="1">CF44</f>
        <v>0</v>
      </c>
      <c r="FO8" s="710">
        <f>BR221</f>
        <v>4</v>
      </c>
      <c r="FP8" s="714">
        <f ca="1">CF221</f>
        <v>0</v>
      </c>
      <c r="FQ8" s="710">
        <f>BR396</f>
        <v>0</v>
      </c>
      <c r="FR8" s="714">
        <f>CF396</f>
        <v>0</v>
      </c>
      <c r="FT8" s="711">
        <f>BR55</f>
        <v>0</v>
      </c>
      <c r="FU8" s="715">
        <f>CF55</f>
        <v>0</v>
      </c>
      <c r="FV8" s="711">
        <f>BR232</f>
        <v>0</v>
      </c>
      <c r="FW8" s="715">
        <f>CF232</f>
        <v>0</v>
      </c>
      <c r="FX8" s="711">
        <f>BR407</f>
        <v>0</v>
      </c>
      <c r="FY8" s="715">
        <f>CF407</f>
        <v>0</v>
      </c>
    </row>
    <row r="9" spans="48:181" s="20" customFormat="1" x14ac:dyDescent="0.25">
      <c r="AV9" s="469" t="s">
        <v>5510</v>
      </c>
      <c r="AW9" s="528" t="s">
        <v>8644</v>
      </c>
      <c r="AX9" s="529" t="s">
        <v>142</v>
      </c>
      <c r="BB9" s="469" t="s">
        <v>5510</v>
      </c>
      <c r="BC9" s="494">
        <v>37</v>
      </c>
      <c r="BD9" s="494" t="str" cm="1">
        <f t="array" aca="1" ref="BD9" ca="1">IF(INDIRECT("'"&amp;$BC$1&amp;"'!R"&amp;BC9,1)&lt;&gt;0,INDIRECT("'CL50(2)'!R"&amp;BC9,1),"")</f>
        <v/>
      </c>
      <c r="BF9" s="469" t="s">
        <v>5510</v>
      </c>
      <c r="BG9" s="469"/>
      <c r="BH9" s="536" t="s">
        <v>8034</v>
      </c>
      <c r="BI9" s="536" t="s">
        <v>5508</v>
      </c>
      <c r="BJ9" s="536" t="s">
        <v>355</v>
      </c>
      <c r="BK9" s="536" t="s">
        <v>249</v>
      </c>
      <c r="BL9" s="536" t="s">
        <v>8025</v>
      </c>
      <c r="BM9" s="536" t="s">
        <v>8035</v>
      </c>
      <c r="BN9" s="536" t="s">
        <v>8036</v>
      </c>
      <c r="BO9" s="536" t="s">
        <v>119</v>
      </c>
      <c r="BP9" s="372"/>
      <c r="BQ9" s="372"/>
      <c r="BR9" s="469"/>
      <c r="BS9" s="536" t="s">
        <v>8034</v>
      </c>
      <c r="BT9" s="536" t="s">
        <v>5508</v>
      </c>
      <c r="BU9" s="536" t="s">
        <v>355</v>
      </c>
      <c r="BV9" s="536" t="s">
        <v>249</v>
      </c>
      <c r="BW9" s="536" t="s">
        <v>8025</v>
      </c>
      <c r="BX9" s="536" t="s">
        <v>8035</v>
      </c>
      <c r="BY9" s="536" t="s">
        <v>8036</v>
      </c>
      <c r="BZ9" s="536" t="s">
        <v>119</v>
      </c>
      <c r="CC9" s="469"/>
      <c r="CD9" s="536" t="s">
        <v>8034</v>
      </c>
      <c r="CE9" s="536" t="s">
        <v>5508</v>
      </c>
      <c r="CF9" s="536" t="s">
        <v>355</v>
      </c>
      <c r="CG9" s="536" t="s">
        <v>249</v>
      </c>
      <c r="CH9" s="536" t="s">
        <v>8025</v>
      </c>
      <c r="CI9" s="536" t="s">
        <v>8035</v>
      </c>
      <c r="CJ9" s="536" t="s">
        <v>8036</v>
      </c>
      <c r="CK9" s="536" t="s">
        <v>119</v>
      </c>
      <c r="CO9" s="537" t="s">
        <v>8061</v>
      </c>
      <c r="CP9" s="480" t="s">
        <v>7417</v>
      </c>
      <c r="CQ9" s="537" t="str" cm="1">
        <f t="array" aca="1" ref="CQ9" ca="1">IF(INDIRECT($BI$2&amp;$CP9)&lt;&gt;0,INDIRECT($BI$2&amp;$CP9),"-")</f>
        <v>-</v>
      </c>
      <c r="CU9" s="469" t="s">
        <v>5510</v>
      </c>
      <c r="EQ9" s="469" t="s">
        <v>5510</v>
      </c>
      <c r="ER9" s="20" t="s">
        <v>91</v>
      </c>
      <c r="ES9" s="624" t="str" cm="1">
        <f t="array" aca="1" ref="ES9" ca="1">IF(INDIRECT($ES$23&amp;ES$18&amp;$FI9,1)="","",INDIRECT($ES$23&amp;ES$18&amp;$FI9,1))</f>
        <v/>
      </c>
      <c r="ET9" s="624" t="str" cm="1">
        <f t="array" aca="1" ref="ET9" ca="1">IF(INDIRECT($ES$23&amp;ET$18&amp;$FI9,1)="","",INDIRECT($ES$23&amp;ET$18&amp;$FI9,1))</f>
        <v/>
      </c>
      <c r="EU9" s="624" t="str" cm="1">
        <f t="array" aca="1" ref="EU9" ca="1">IF(INDIRECT($ES$23&amp;EU$18&amp;$FI9,1)="","",INDIRECT($ES$23&amp;EU$18&amp;$FI9,1))</f>
        <v/>
      </c>
      <c r="EV9" s="624" t="str" cm="1">
        <f t="array" aca="1" ref="EV9" ca="1">IF(INDIRECT($ES$23&amp;EV$18&amp;$FI9,1)="","",INDIRECT($ES$23&amp;EV$18&amp;$FI9,1))</f>
        <v/>
      </c>
      <c r="EW9" s="624" t="str" cm="1">
        <f t="array" aca="1" ref="EW9" ca="1">IF(INDIRECT($ES$23&amp;EW$18&amp;$FI9,1)="","",INDIRECT($ES$23&amp;EW$18&amp;$FI9,1))</f>
        <v/>
      </c>
      <c r="EX9" s="624" t="str" cm="1">
        <f t="array" aca="1" ref="EX9" ca="1">IF(INDIRECT($ES$23&amp;EX$18&amp;$FI9,1)="","",INDIRECT($ES$23&amp;EX$18&amp;$FI9,1))</f>
        <v/>
      </c>
      <c r="EY9" s="624" t="str" cm="1">
        <f t="array" aca="1" ref="EY9" ca="1">IF(INDIRECT($ES$23&amp;EY$18&amp;$FI9,1)="","",INDIRECT($ES$23&amp;EY$18&amp;$FI9,1))</f>
        <v/>
      </c>
      <c r="EZ9" s="624" t="str" cm="1">
        <f t="array" aca="1" ref="EZ9" ca="1">IF(INDIRECT($ES$23&amp;EZ$18&amp;$FI9,1)="","",INDIRECT($ES$23&amp;EZ$18&amp;$FI9,1))</f>
        <v/>
      </c>
      <c r="FA9" s="716" t="str" cm="1">
        <f t="array" aca="1" ref="FA9" ca="1">IF(INDIRECT($ES$23&amp;FA$18&amp;$FI9,1)="","",INDIRECT($ES$23&amp;FA$18&amp;$FI9,1))</f>
        <v/>
      </c>
      <c r="FB9" s="716" t="str" cm="1">
        <f t="array" aca="1" ref="FB9" ca="1">IF(INDIRECT($ES$23&amp;FB$18&amp;$FI9,1)="","",INDIRECT($ES$23&amp;FB$18&amp;$FI9,1))</f>
        <v/>
      </c>
      <c r="FC9" s="716" t="str" cm="1">
        <f t="array" aca="1" ref="FC9" ca="1">IF(INDIRECT($ES$23&amp;FC$18&amp;$FI9,1)="","",INDIRECT($ES$23&amp;FC$18&amp;$FI9,1))</f>
        <v/>
      </c>
      <c r="FD9" s="716" t="str" cm="1">
        <f t="array" aca="1" ref="FD9" ca="1">IF(INDIRECT($ES$23&amp;FD$18&amp;$FI9,1)="","",INDIRECT($ES$23&amp;FD$18&amp;$FI9,1))</f>
        <v/>
      </c>
      <c r="FE9" s="716" t="str" cm="1">
        <f t="array" aca="1" ref="FE9" ca="1">IF(INDIRECT($ES$23&amp;FE$18&amp;$FI9,1)="","",INDIRECT($ES$23&amp;FE$18&amp;$FI9,1))</f>
        <v/>
      </c>
      <c r="FF9" s="716" t="str" cm="1">
        <f t="array" aca="1" ref="FF9" ca="1">IF(INDIRECT($ES$23&amp;FF$18&amp;$FI9,1)="","",INDIRECT($ES$23&amp;FF$18&amp;$FI9,1))</f>
        <v/>
      </c>
      <c r="FG9" s="716" t="str" cm="1">
        <f t="array" aca="1" ref="FG9" ca="1">IF(INDIRECT($ES$23&amp;FG$18&amp;$FI9,1)="","",INDIRECT($ES$23&amp;FG$18&amp;$FI9,1))</f>
        <v/>
      </c>
      <c r="FH9" s="716" t="str" cm="1">
        <f t="array" aca="1" ref="FH9" ca="1">IF(INDIRECT($ES$23&amp;FH$18&amp;$FI9,1)="","",INDIRECT($ES$23&amp;FH$18&amp;$FI9,1))</f>
        <v/>
      </c>
      <c r="FI9" s="624">
        <v>38</v>
      </c>
      <c r="FL9" s="20" t="s">
        <v>93</v>
      </c>
      <c r="FM9" s="710">
        <f>BR61</f>
        <v>4</v>
      </c>
      <c r="FN9" s="714">
        <f ca="1">CF61</f>
        <v>0</v>
      </c>
      <c r="FO9" s="710">
        <f>BR238</f>
        <v>5</v>
      </c>
      <c r="FP9" s="714">
        <f ca="1">CF238</f>
        <v>0</v>
      </c>
      <c r="FQ9" s="710">
        <f>BR413</f>
        <v>0</v>
      </c>
      <c r="FR9" s="714">
        <f>CF413</f>
        <v>0</v>
      </c>
      <c r="FT9" s="711">
        <f>BR72</f>
        <v>0</v>
      </c>
      <c r="FU9" s="715">
        <f>CF72</f>
        <v>0</v>
      </c>
      <c r="FV9" s="711">
        <f>BR249</f>
        <v>0</v>
      </c>
      <c r="FW9" s="715">
        <f>CF249</f>
        <v>0</v>
      </c>
      <c r="FX9" s="711">
        <f>BR424</f>
        <v>0</v>
      </c>
      <c r="FY9" s="715">
        <f>CF424</f>
        <v>0</v>
      </c>
    </row>
    <row r="10" spans="48:181" s="20" customFormat="1" x14ac:dyDescent="0.25">
      <c r="AV10" s="469" t="s">
        <v>5510</v>
      </c>
      <c r="BB10" s="469" t="s">
        <v>5510</v>
      </c>
      <c r="BC10" s="494">
        <v>38</v>
      </c>
      <c r="BD10" s="494" t="str" cm="1">
        <f t="array" aca="1" ref="BD10" ca="1">IF(INDIRECT("'"&amp;$BC$1&amp;"'!R"&amp;BC10,1)&lt;&gt;0,INDIRECT("'CL50(2)'!R"&amp;BC10,1),"")</f>
        <v/>
      </c>
      <c r="BF10" s="469" t="s">
        <v>5510</v>
      </c>
      <c r="BG10" s="469"/>
      <c r="BH10" s="539" t="s">
        <v>8037</v>
      </c>
      <c r="BI10" s="539">
        <f>$BO$2</f>
        <v>13</v>
      </c>
      <c r="BJ10" s="539" cm="1">
        <f t="array" aca="1" ref="BJ10" ca="1">INDIRECT($BM$2&amp;BJ$7&amp;$BI10,1)</f>
        <v>0</v>
      </c>
      <c r="BK10" s="539" cm="1">
        <f t="array" aca="1" ref="BK10" ca="1">INDIRECT($BM$2&amp;BK$7&amp;$BI10,1)</f>
        <v>0</v>
      </c>
      <c r="BL10" s="539" cm="1">
        <f t="array" aca="1" ref="BL10" ca="1">INDIRECT($BM$2&amp;BL$7&amp;$BI10,1)</f>
        <v>0</v>
      </c>
      <c r="BM10" s="539" cm="1">
        <f t="array" aca="1" ref="BM10" ca="1">INDIRECT($BM$2&amp;BM$7&amp;$BI10,1)</f>
        <v>0</v>
      </c>
      <c r="BN10" s="539" cm="1">
        <f t="array" aca="1" ref="BN10" ca="1">INDIRECT($BM$2&amp;BN$7&amp;$BI10,1)</f>
        <v>0</v>
      </c>
      <c r="BO10" s="539" t="str">
        <f ca="1">IFERROR(BK10/BK$10,"-")</f>
        <v>-</v>
      </c>
      <c r="BP10" s="372"/>
      <c r="BR10" s="469">
        <v>1</v>
      </c>
      <c r="BS10" s="539" t="s">
        <v>8037</v>
      </c>
      <c r="BT10" s="539">
        <f>$BO$3</f>
        <v>359</v>
      </c>
      <c r="BU10" s="539" cm="1">
        <f t="array" aca="1" ref="BU10" ca="1">INDIRECT($BM$2&amp;BU$7&amp;$BT10,1)</f>
        <v>0</v>
      </c>
      <c r="BV10" s="539" cm="1">
        <f t="array" aca="1" ref="BV10" ca="1">INDIRECT($BM$2&amp;BV$7&amp;$BT10,1)</f>
        <v>0</v>
      </c>
      <c r="BW10" s="539" cm="1">
        <f t="array" aca="1" ref="BW10" ca="1">INDIRECT($BM$2&amp;BW$7&amp;$BT10,1)</f>
        <v>0</v>
      </c>
      <c r="BX10" s="539" cm="1">
        <f t="array" aca="1" ref="BX10" ca="1">INDIRECT($BM$2&amp;BX$7&amp;$BT10,1)</f>
        <v>0</v>
      </c>
      <c r="BY10" s="539" cm="1">
        <f t="array" aca="1" ref="BY10" ca="1">INDIRECT($BM$2&amp;BY$7&amp;$BT10,1)</f>
        <v>0</v>
      </c>
      <c r="BZ10" s="539" t="str">
        <f ca="1">IFERROR(BV10/BV$10,"-")</f>
        <v>-</v>
      </c>
      <c r="CC10" s="469">
        <v>1</v>
      </c>
      <c r="CD10" s="539" t="s">
        <v>8037</v>
      </c>
      <c r="CE10" s="539">
        <f>$BO$4</f>
        <v>705</v>
      </c>
      <c r="CF10" s="539" cm="1">
        <f t="array" aca="1" ref="CF10" ca="1">INDIRECT($BM$2&amp;CF$7&amp;$CE10,1)</f>
        <v>0</v>
      </c>
      <c r="CG10" s="539" cm="1">
        <f t="array" aca="1" ref="CG10" ca="1">INDIRECT($BM$2&amp;CG$7&amp;$CE10,1)</f>
        <v>0</v>
      </c>
      <c r="CH10" s="539" cm="1">
        <f t="array" aca="1" ref="CH10" ca="1">INDIRECT($BM$2&amp;CH$7&amp;$CE10,1)</f>
        <v>0</v>
      </c>
      <c r="CI10" s="539" cm="1">
        <f t="array" aca="1" ref="CI10" ca="1">INDIRECT($BM$2&amp;CI$7&amp;$CE10,1)</f>
        <v>0</v>
      </c>
      <c r="CJ10" s="539" cm="1">
        <f t="array" aca="1" ref="CJ10" ca="1">INDIRECT($BM$2&amp;CJ$7&amp;$CE10,1)</f>
        <v>0</v>
      </c>
      <c r="CK10" s="539" t="str">
        <f ca="1">IFERROR(CG10/CG$10,"-")</f>
        <v>-</v>
      </c>
      <c r="CO10" s="537" t="s">
        <v>5724</v>
      </c>
      <c r="CP10" s="480" t="s">
        <v>7632</v>
      </c>
      <c r="CQ10" s="537" t="str" cm="1">
        <f t="array" aca="1" ref="CQ10" ca="1">IF(INDIRECT($BI$2&amp;$CP10)&lt;&gt;0,INDIRECT($BI$2&amp;$CP10),"-")</f>
        <v>-</v>
      </c>
      <c r="CU10" s="469" t="s">
        <v>5510</v>
      </c>
      <c r="CY10" s="527" t="s">
        <v>8129</v>
      </c>
      <c r="CZ10" s="480">
        <v>13</v>
      </c>
      <c r="EQ10" s="469" t="s">
        <v>5510</v>
      </c>
      <c r="ER10" s="20" t="s">
        <v>92</v>
      </c>
      <c r="ES10" s="624" t="str" cm="1">
        <f t="array" aca="1" ref="ES10" ca="1">IF(INDIRECT($ES$23&amp;ES$18&amp;$FI10,1)="","",INDIRECT($ES$23&amp;ES$18&amp;$FI10,1))</f>
        <v/>
      </c>
      <c r="ET10" s="624" t="str" cm="1">
        <f t="array" aca="1" ref="ET10" ca="1">IF(INDIRECT($ES$23&amp;ET$18&amp;$FI10,1)="","",INDIRECT($ES$23&amp;ET$18&amp;$FI10,1))</f>
        <v/>
      </c>
      <c r="EU10" s="624" t="str" cm="1">
        <f t="array" aca="1" ref="EU10" ca="1">IF(INDIRECT($ES$23&amp;EU$18&amp;$FI10,1)="","",INDIRECT($ES$23&amp;EU$18&amp;$FI10,1))</f>
        <v/>
      </c>
      <c r="EV10" s="624" t="str" cm="1">
        <f t="array" aca="1" ref="EV10" ca="1">IF(INDIRECT($ES$23&amp;EV$18&amp;$FI10,1)="","",INDIRECT($ES$23&amp;EV$18&amp;$FI10,1))</f>
        <v/>
      </c>
      <c r="EW10" s="624" t="str" cm="1">
        <f t="array" aca="1" ref="EW10" ca="1">IF(INDIRECT($ES$23&amp;EW$18&amp;$FI10,1)="","",INDIRECT($ES$23&amp;EW$18&amp;$FI10,1))</f>
        <v/>
      </c>
      <c r="EX10" s="624" t="str" cm="1">
        <f t="array" aca="1" ref="EX10" ca="1">IF(INDIRECT($ES$23&amp;EX$18&amp;$FI10,1)="","",INDIRECT($ES$23&amp;EX$18&amp;$FI10,1))</f>
        <v/>
      </c>
      <c r="EY10" s="624" t="str" cm="1">
        <f t="array" aca="1" ref="EY10" ca="1">IF(INDIRECT($ES$23&amp;EY$18&amp;$FI10,1)="","",INDIRECT($ES$23&amp;EY$18&amp;$FI10,1))</f>
        <v/>
      </c>
      <c r="EZ10" s="624" t="str" cm="1">
        <f t="array" aca="1" ref="EZ10" ca="1">IF(INDIRECT($ES$23&amp;EZ$18&amp;$FI10,1)="","",INDIRECT($ES$23&amp;EZ$18&amp;$FI10,1))</f>
        <v/>
      </c>
      <c r="FA10" s="716" t="str" cm="1">
        <f t="array" aca="1" ref="FA10" ca="1">IF(INDIRECT($ES$23&amp;FA$18&amp;$FI10,1)="","",INDIRECT($ES$23&amp;FA$18&amp;$FI10,1))</f>
        <v/>
      </c>
      <c r="FB10" s="716" t="str" cm="1">
        <f t="array" aca="1" ref="FB10" ca="1">IF(INDIRECT($ES$23&amp;FB$18&amp;$FI10,1)="","",INDIRECT($ES$23&amp;FB$18&amp;$FI10,1))</f>
        <v/>
      </c>
      <c r="FC10" s="716" t="str" cm="1">
        <f t="array" aca="1" ref="FC10" ca="1">IF(INDIRECT($ES$23&amp;FC$18&amp;$FI10,1)="","",INDIRECT($ES$23&amp;FC$18&amp;$FI10,1))</f>
        <v/>
      </c>
      <c r="FD10" s="716" t="str" cm="1">
        <f t="array" aca="1" ref="FD10" ca="1">IF(INDIRECT($ES$23&amp;FD$18&amp;$FI10,1)="","",INDIRECT($ES$23&amp;FD$18&amp;$FI10,1))</f>
        <v/>
      </c>
      <c r="FE10" s="716" t="str" cm="1">
        <f t="array" aca="1" ref="FE10" ca="1">IF(INDIRECT($ES$23&amp;FE$18&amp;$FI10,1)="","",INDIRECT($ES$23&amp;FE$18&amp;$FI10,1))</f>
        <v/>
      </c>
      <c r="FF10" s="716" t="str" cm="1">
        <f t="array" aca="1" ref="FF10" ca="1">IF(INDIRECT($ES$23&amp;FF$18&amp;$FI10,1)="","",INDIRECT($ES$23&amp;FF$18&amp;$FI10,1))</f>
        <v/>
      </c>
      <c r="FG10" s="716" t="str" cm="1">
        <f t="array" aca="1" ref="FG10" ca="1">IF(INDIRECT($ES$23&amp;FG$18&amp;$FI10,1)="","",INDIRECT($ES$23&amp;FG$18&amp;$FI10,1))</f>
        <v/>
      </c>
      <c r="FH10" s="716" t="str" cm="1">
        <f t="array" aca="1" ref="FH10" ca="1">IF(INDIRECT($ES$23&amp;FH$18&amp;$FI10,1)="","",INDIRECT($ES$23&amp;FH$18&amp;$FI10,1))</f>
        <v/>
      </c>
      <c r="FI10" s="624">
        <v>39</v>
      </c>
      <c r="FL10" s="20" t="s">
        <v>94</v>
      </c>
      <c r="FM10" s="710">
        <f>BR78</f>
        <v>5</v>
      </c>
      <c r="FN10" s="714">
        <f ca="1">CF78</f>
        <v>0</v>
      </c>
      <c r="FO10" s="710">
        <f>BR255</f>
        <v>6</v>
      </c>
      <c r="FP10" s="714">
        <f ca="1">CF255</f>
        <v>0</v>
      </c>
      <c r="FQ10" s="710">
        <f>BR430</f>
        <v>0</v>
      </c>
      <c r="FR10" s="714">
        <f>CF430</f>
        <v>0</v>
      </c>
      <c r="FT10" s="711">
        <f>BR89</f>
        <v>0</v>
      </c>
      <c r="FU10" s="715">
        <f>CF89</f>
        <v>0</v>
      </c>
      <c r="FV10" s="711">
        <f>BR266</f>
        <v>1</v>
      </c>
      <c r="FW10" s="715">
        <f ca="1">CF266</f>
        <v>0</v>
      </c>
      <c r="FX10" s="711">
        <f>BR441</f>
        <v>0</v>
      </c>
      <c r="FY10" s="715">
        <f>CF441</f>
        <v>0</v>
      </c>
    </row>
    <row r="11" spans="48:181" s="20" customFormat="1" x14ac:dyDescent="0.25">
      <c r="AV11" s="469" t="s">
        <v>5510</v>
      </c>
      <c r="BB11" s="469" t="s">
        <v>5510</v>
      </c>
      <c r="BC11" s="494">
        <v>39</v>
      </c>
      <c r="BD11" s="494" t="str" cm="1">
        <f t="array" aca="1" ref="BD11" ca="1">IF(INDIRECT("'"&amp;$BC$1&amp;"'!R"&amp;BC11,1)&lt;&gt;0,INDIRECT("'CL50(2)'!R"&amp;BC11,1),"")</f>
        <v/>
      </c>
      <c r="BF11" s="469" t="s">
        <v>5510</v>
      </c>
      <c r="BG11" s="469"/>
      <c r="BH11" s="539" t="s">
        <v>8037</v>
      </c>
      <c r="BI11" s="539">
        <f>BI10+1</f>
        <v>14</v>
      </c>
      <c r="BJ11" s="539" cm="1">
        <f t="array" aca="1" ref="BJ11" ca="1">INDIRECT($BM$2&amp;BJ$7&amp;$BI11,1)</f>
        <v>0</v>
      </c>
      <c r="BK11" s="539" cm="1">
        <f t="array" aca="1" ref="BK11" ca="1">INDIRECT($BM$2&amp;BK$7&amp;$BI11,1)</f>
        <v>0</v>
      </c>
      <c r="BL11" s="539" cm="1">
        <f t="array" aca="1" ref="BL11" ca="1">INDIRECT($BM$2&amp;BL$7&amp;$BI11,1)</f>
        <v>0</v>
      </c>
      <c r="BM11" s="539" cm="1">
        <f t="array" aca="1" ref="BM11" ca="1">INDIRECT($BM$2&amp;BM$7&amp;$BI11,1)</f>
        <v>0</v>
      </c>
      <c r="BN11" s="539" cm="1">
        <f t="array" aca="1" ref="BN11" ca="1">INDIRECT($BM$2&amp;BN$7&amp;$BI11,1)</f>
        <v>0</v>
      </c>
      <c r="BO11" s="539" t="str">
        <f t="shared" ref="BO11:BO21" ca="1" si="0">IF(BK11=0,"-",IFERROR(BK11/BK$10,"-"))</f>
        <v>-</v>
      </c>
      <c r="BP11" s="372"/>
      <c r="BR11" s="469">
        <v>2</v>
      </c>
      <c r="BS11" s="539" t="s">
        <v>8037</v>
      </c>
      <c r="BT11" s="539">
        <f>BT10+1</f>
        <v>360</v>
      </c>
      <c r="BU11" s="539" cm="1">
        <f t="array" aca="1" ref="BU11" ca="1">INDIRECT($BM$2&amp;BU$7&amp;$BT11,1)</f>
        <v>0</v>
      </c>
      <c r="BV11" s="539" cm="1">
        <f t="array" aca="1" ref="BV11" ca="1">INDIRECT($BM$2&amp;BV$7&amp;$BT11,1)</f>
        <v>0</v>
      </c>
      <c r="BW11" s="539" cm="1">
        <f t="array" aca="1" ref="BW11" ca="1">INDIRECT($BM$2&amp;BW$7&amp;$BT11,1)</f>
        <v>0</v>
      </c>
      <c r="BX11" s="539" cm="1">
        <f t="array" aca="1" ref="BX11" ca="1">INDIRECT($BM$2&amp;BX$7&amp;$BT11,1)</f>
        <v>0</v>
      </c>
      <c r="BY11" s="539" cm="1">
        <f t="array" aca="1" ref="BY11" ca="1">INDIRECT($BM$2&amp;BY$7&amp;$BT11,1)</f>
        <v>0</v>
      </c>
      <c r="BZ11" s="539" t="str">
        <f t="shared" ref="BZ11:BZ21" ca="1" si="1">IF(BV11=0,"-",IFERROR(BV11/BV$10,"-"))</f>
        <v>-</v>
      </c>
      <c r="CC11" s="469">
        <v>2</v>
      </c>
      <c r="CD11" s="539" t="s">
        <v>8037</v>
      </c>
      <c r="CE11" s="539">
        <f>CE10+1</f>
        <v>706</v>
      </c>
      <c r="CF11" s="539" cm="1">
        <f t="array" aca="1" ref="CF11" ca="1">INDIRECT($BM$2&amp;CF$7&amp;$CE11,1)</f>
        <v>0</v>
      </c>
      <c r="CG11" s="539" cm="1">
        <f t="array" aca="1" ref="CG11" ca="1">INDIRECT($BM$2&amp;CG$7&amp;$CE11,1)</f>
        <v>0</v>
      </c>
      <c r="CH11" s="539" cm="1">
        <f t="array" aca="1" ref="CH11" ca="1">INDIRECT($BM$2&amp;CH$7&amp;$CE11,1)</f>
        <v>0</v>
      </c>
      <c r="CI11" s="539" cm="1">
        <f t="array" aca="1" ref="CI11" ca="1">INDIRECT($BM$2&amp;CI$7&amp;$CE11,1)</f>
        <v>0</v>
      </c>
      <c r="CJ11" s="539" cm="1">
        <f t="array" aca="1" ref="CJ11" ca="1">INDIRECT($BM$2&amp;CJ$7&amp;$CE11,1)</f>
        <v>0</v>
      </c>
      <c r="CK11" s="539" t="str">
        <f t="shared" ref="CK11:CK21" ca="1" si="2">IF(CG11=0,"-",IFERROR(CG11/CG$10,"-"))</f>
        <v>-</v>
      </c>
      <c r="CO11" s="537" t="s">
        <v>5802</v>
      </c>
      <c r="CP11" s="480" t="s">
        <v>7548</v>
      </c>
      <c r="CQ11" s="537" t="str" cm="1">
        <f t="array" aca="1" ref="CQ11" ca="1">IF(INDIRECT($BI$2&amp;$CP11)&lt;&gt;0,INDIRECT($BI$2&amp;$CP11),"-")</f>
        <v>-</v>
      </c>
      <c r="CU11" s="469" t="s">
        <v>5510</v>
      </c>
      <c r="CY11" s="527" t="s">
        <v>8130</v>
      </c>
      <c r="CZ11" s="480">
        <v>30</v>
      </c>
      <c r="EQ11" s="469" t="s">
        <v>5510</v>
      </c>
      <c r="ER11" s="20" t="s">
        <v>93</v>
      </c>
      <c r="ES11" s="624" t="str" cm="1">
        <f t="array" aca="1" ref="ES11" ca="1">IF(INDIRECT($ES$23&amp;ES$18&amp;$FI11,1)="","",INDIRECT($ES$23&amp;ES$18&amp;$FI11,1))</f>
        <v/>
      </c>
      <c r="ET11" s="624" t="str" cm="1">
        <f t="array" aca="1" ref="ET11" ca="1">IF(INDIRECT($ES$23&amp;ET$18&amp;$FI11,1)="","",INDIRECT($ES$23&amp;ET$18&amp;$FI11,1))</f>
        <v/>
      </c>
      <c r="EU11" s="624" t="str" cm="1">
        <f t="array" aca="1" ref="EU11" ca="1">IF(INDIRECT($ES$23&amp;EU$18&amp;$FI11,1)="","",INDIRECT($ES$23&amp;EU$18&amp;$FI11,1))</f>
        <v/>
      </c>
      <c r="EV11" s="624" t="str" cm="1">
        <f t="array" aca="1" ref="EV11" ca="1">IF(INDIRECT($ES$23&amp;EV$18&amp;$FI11,1)="","",INDIRECT($ES$23&amp;EV$18&amp;$FI11,1))</f>
        <v/>
      </c>
      <c r="EW11" s="624" t="str" cm="1">
        <f t="array" aca="1" ref="EW11" ca="1">IF(INDIRECT($ES$23&amp;EW$18&amp;$FI11,1)="","",INDIRECT($ES$23&amp;EW$18&amp;$FI11,1))</f>
        <v/>
      </c>
      <c r="EX11" s="624" t="str" cm="1">
        <f t="array" aca="1" ref="EX11" ca="1">IF(INDIRECT($ES$23&amp;EX$18&amp;$FI11,1)="","",INDIRECT($ES$23&amp;EX$18&amp;$FI11,1))</f>
        <v/>
      </c>
      <c r="EY11" s="624" t="str" cm="1">
        <f t="array" aca="1" ref="EY11" ca="1">IF(INDIRECT($ES$23&amp;EY$18&amp;$FI11,1)="","",INDIRECT($ES$23&amp;EY$18&amp;$FI11,1))</f>
        <v/>
      </c>
      <c r="EZ11" s="624" t="str" cm="1">
        <f t="array" aca="1" ref="EZ11" ca="1">IF(INDIRECT($ES$23&amp;EZ$18&amp;$FI11,1)="","",INDIRECT($ES$23&amp;EZ$18&amp;$FI11,1))</f>
        <v/>
      </c>
      <c r="FA11" s="716" t="str" cm="1">
        <f t="array" aca="1" ref="FA11" ca="1">IF(INDIRECT($ES$23&amp;FA$18&amp;$FI11,1)="","",INDIRECT($ES$23&amp;FA$18&amp;$FI11,1))</f>
        <v/>
      </c>
      <c r="FB11" s="716" t="str" cm="1">
        <f t="array" aca="1" ref="FB11" ca="1">IF(INDIRECT($ES$23&amp;FB$18&amp;$FI11,1)="","",INDIRECT($ES$23&amp;FB$18&amp;$FI11,1))</f>
        <v/>
      </c>
      <c r="FC11" s="716" t="str" cm="1">
        <f t="array" aca="1" ref="FC11" ca="1">IF(INDIRECT($ES$23&amp;FC$18&amp;$FI11,1)="","",INDIRECT($ES$23&amp;FC$18&amp;$FI11,1))</f>
        <v/>
      </c>
      <c r="FD11" s="716" t="str" cm="1">
        <f t="array" aca="1" ref="FD11" ca="1">IF(INDIRECT($ES$23&amp;FD$18&amp;$FI11,1)="","",INDIRECT($ES$23&amp;FD$18&amp;$FI11,1))</f>
        <v/>
      </c>
      <c r="FE11" s="716" t="str" cm="1">
        <f t="array" aca="1" ref="FE11" ca="1">IF(INDIRECT($ES$23&amp;FE$18&amp;$FI11,1)="","",INDIRECT($ES$23&amp;FE$18&amp;$FI11,1))</f>
        <v/>
      </c>
      <c r="FF11" s="716" t="str" cm="1">
        <f t="array" aca="1" ref="FF11" ca="1">IF(INDIRECT($ES$23&amp;FF$18&amp;$FI11,1)="","",INDIRECT($ES$23&amp;FF$18&amp;$FI11,1))</f>
        <v/>
      </c>
      <c r="FG11" s="716" t="str" cm="1">
        <f t="array" aca="1" ref="FG11" ca="1">IF(INDIRECT($ES$23&amp;FG$18&amp;$FI11,1)="","",INDIRECT($ES$23&amp;FG$18&amp;$FI11,1))</f>
        <v/>
      </c>
      <c r="FH11" s="716" t="str" cm="1">
        <f t="array" aca="1" ref="FH11" ca="1">IF(INDIRECT($ES$23&amp;FH$18&amp;$FI11,1)="","",INDIRECT($ES$23&amp;FH$18&amp;$FI11,1))</f>
        <v/>
      </c>
      <c r="FI11" s="624">
        <v>40</v>
      </c>
      <c r="FL11" s="20" t="s">
        <v>95</v>
      </c>
      <c r="FM11" s="710">
        <f>BR95</f>
        <v>6</v>
      </c>
      <c r="FN11" s="714">
        <f ca="1">CF95</f>
        <v>0</v>
      </c>
      <c r="FO11" s="710">
        <f>BR272</f>
        <v>7</v>
      </c>
      <c r="FP11" s="714">
        <f ca="1">CF272</f>
        <v>0</v>
      </c>
      <c r="FQ11" s="710">
        <f>BR447</f>
        <v>0</v>
      </c>
      <c r="FR11" s="714">
        <f>CF447</f>
        <v>0</v>
      </c>
      <c r="FT11" s="711">
        <f>BR106</f>
        <v>1</v>
      </c>
      <c r="FU11" s="715">
        <f ca="1">CF106</f>
        <v>0</v>
      </c>
      <c r="FV11" s="711">
        <f>BR283</f>
        <v>2</v>
      </c>
      <c r="FW11" s="715">
        <f ca="1">CF283</f>
        <v>0</v>
      </c>
      <c r="FX11" s="711">
        <f>BR458</f>
        <v>0</v>
      </c>
      <c r="FY11" s="715">
        <f>CF458</f>
        <v>0</v>
      </c>
    </row>
    <row r="12" spans="48:181" s="20" customFormat="1" x14ac:dyDescent="0.25">
      <c r="AV12" s="469" t="s">
        <v>5510</v>
      </c>
      <c r="AW12" s="528" t="s">
        <v>8218</v>
      </c>
      <c r="AX12" s="529" t="s">
        <v>8601</v>
      </c>
      <c r="BB12" s="469" t="s">
        <v>5510</v>
      </c>
      <c r="BC12" s="494">
        <v>40</v>
      </c>
      <c r="BD12" s="494" t="str" cm="1">
        <f t="array" aca="1" ref="BD12" ca="1">IF(INDIRECT("'"&amp;$BC$1&amp;"'!R"&amp;BC12,1)&lt;&gt;0,INDIRECT("'CL50(2)'!R"&amp;BC12,1),"")</f>
        <v/>
      </c>
      <c r="BF12" s="469" t="s">
        <v>5510</v>
      </c>
      <c r="BG12" s="469"/>
      <c r="BH12" s="539" t="s">
        <v>8037</v>
      </c>
      <c r="BI12" s="539">
        <f t="shared" ref="BI12:BI21" si="3">BI11+1</f>
        <v>15</v>
      </c>
      <c r="BJ12" s="539" cm="1">
        <f t="array" aca="1" ref="BJ12" ca="1">INDIRECT($BM$2&amp;BJ$7&amp;$BI12,1)</f>
        <v>0</v>
      </c>
      <c r="BK12" s="539" cm="1">
        <f t="array" aca="1" ref="BK12" ca="1">INDIRECT($BM$2&amp;BK$7&amp;$BI12,1)</f>
        <v>0</v>
      </c>
      <c r="BL12" s="539" cm="1">
        <f t="array" aca="1" ref="BL12" ca="1">INDIRECT($BM$2&amp;BL$7&amp;$BI12,1)</f>
        <v>0</v>
      </c>
      <c r="BM12" s="539" cm="1">
        <f t="array" aca="1" ref="BM12" ca="1">INDIRECT($BM$2&amp;BM$7&amp;$BI12,1)</f>
        <v>0</v>
      </c>
      <c r="BN12" s="539" cm="1">
        <f t="array" aca="1" ref="BN12" ca="1">INDIRECT($BM$2&amp;BN$7&amp;$BI12,1)</f>
        <v>0</v>
      </c>
      <c r="BO12" s="539" t="str">
        <f t="shared" ca="1" si="0"/>
        <v>-</v>
      </c>
      <c r="BP12" s="372"/>
      <c r="BR12" s="469">
        <v>3</v>
      </c>
      <c r="BS12" s="539" t="s">
        <v>8037</v>
      </c>
      <c r="BT12" s="539">
        <f t="shared" ref="BT12:BT21" si="4">BT11+1</f>
        <v>361</v>
      </c>
      <c r="BU12" s="539" cm="1">
        <f t="array" aca="1" ref="BU12" ca="1">INDIRECT($BM$2&amp;BU$7&amp;$BT12,1)</f>
        <v>0</v>
      </c>
      <c r="BV12" s="539" cm="1">
        <f t="array" aca="1" ref="BV12" ca="1">INDIRECT($BM$2&amp;BV$7&amp;$BT12,1)</f>
        <v>0</v>
      </c>
      <c r="BW12" s="539" cm="1">
        <f t="array" aca="1" ref="BW12" ca="1">INDIRECT($BM$2&amp;BW$7&amp;$BT12,1)</f>
        <v>0</v>
      </c>
      <c r="BX12" s="539" cm="1">
        <f t="array" aca="1" ref="BX12" ca="1">INDIRECT($BM$2&amp;BX$7&amp;$BT12,1)</f>
        <v>0</v>
      </c>
      <c r="BY12" s="539" cm="1">
        <f t="array" aca="1" ref="BY12" ca="1">INDIRECT($BM$2&amp;BY$7&amp;$BT12,1)</f>
        <v>0</v>
      </c>
      <c r="BZ12" s="539" t="str">
        <f t="shared" ca="1" si="1"/>
        <v>-</v>
      </c>
      <c r="CC12" s="469">
        <v>3</v>
      </c>
      <c r="CD12" s="539" t="s">
        <v>8037</v>
      </c>
      <c r="CE12" s="539">
        <f t="shared" ref="CE12:CE21" si="5">CE11+1</f>
        <v>707</v>
      </c>
      <c r="CF12" s="539" cm="1">
        <f t="array" aca="1" ref="CF12" ca="1">INDIRECT($BM$2&amp;CF$7&amp;$CE12,1)</f>
        <v>0</v>
      </c>
      <c r="CG12" s="539" cm="1">
        <f t="array" aca="1" ref="CG12" ca="1">INDIRECT($BM$2&amp;CG$7&amp;$CE12,1)</f>
        <v>0</v>
      </c>
      <c r="CH12" s="539" cm="1">
        <f t="array" aca="1" ref="CH12" ca="1">INDIRECT($BM$2&amp;CH$7&amp;$CE12,1)</f>
        <v>0</v>
      </c>
      <c r="CI12" s="539" cm="1">
        <f t="array" aca="1" ref="CI12" ca="1">INDIRECT($BM$2&amp;CI$7&amp;$CE12,1)</f>
        <v>0</v>
      </c>
      <c r="CJ12" s="539" cm="1">
        <f t="array" aca="1" ref="CJ12" ca="1">INDIRECT($BM$2&amp;CJ$7&amp;$CE12,1)</f>
        <v>0</v>
      </c>
      <c r="CK12" s="539" t="str">
        <f t="shared" ca="1" si="2"/>
        <v>-</v>
      </c>
      <c r="CU12" s="469" t="s">
        <v>5510</v>
      </c>
      <c r="CY12" s="527" t="s">
        <v>8128</v>
      </c>
      <c r="CZ12" s="480">
        <v>46</v>
      </c>
      <c r="EQ12" s="469" t="s">
        <v>5510</v>
      </c>
      <c r="ER12" s="20" t="s">
        <v>94</v>
      </c>
      <c r="ES12" s="624" t="str" cm="1">
        <f t="array" aca="1" ref="ES12" ca="1">IF(INDIRECT($ES$23&amp;ES$18&amp;$FI12,1)="","",INDIRECT($ES$23&amp;ES$18&amp;$FI12,1))</f>
        <v/>
      </c>
      <c r="ET12" s="624" t="str" cm="1">
        <f t="array" aca="1" ref="ET12" ca="1">IF(INDIRECT($ES$23&amp;ET$18&amp;$FI12,1)="","",INDIRECT($ES$23&amp;ET$18&amp;$FI12,1))</f>
        <v/>
      </c>
      <c r="EU12" s="624" t="str" cm="1">
        <f t="array" aca="1" ref="EU12" ca="1">IF(INDIRECT($ES$23&amp;EU$18&amp;$FI12,1)="","",INDIRECT($ES$23&amp;EU$18&amp;$FI12,1))</f>
        <v/>
      </c>
      <c r="EV12" s="624" t="str" cm="1">
        <f t="array" aca="1" ref="EV12" ca="1">IF(INDIRECT($ES$23&amp;EV$18&amp;$FI12,1)="","",INDIRECT($ES$23&amp;EV$18&amp;$FI12,1))</f>
        <v/>
      </c>
      <c r="EW12" s="624" t="str" cm="1">
        <f t="array" aca="1" ref="EW12" ca="1">IF(INDIRECT($ES$23&amp;EW$18&amp;$FI12,1)="","",INDIRECT($ES$23&amp;EW$18&amp;$FI12,1))</f>
        <v/>
      </c>
      <c r="EX12" s="624" t="str" cm="1">
        <f t="array" aca="1" ref="EX12" ca="1">IF(INDIRECT($ES$23&amp;EX$18&amp;$FI12,1)="","",INDIRECT($ES$23&amp;EX$18&amp;$FI12,1))</f>
        <v/>
      </c>
      <c r="EY12" s="624" t="str" cm="1">
        <f t="array" aca="1" ref="EY12" ca="1">IF(INDIRECT($ES$23&amp;EY$18&amp;$FI12,1)="","",INDIRECT($ES$23&amp;EY$18&amp;$FI12,1))</f>
        <v/>
      </c>
      <c r="EZ12" s="624" t="str" cm="1">
        <f t="array" aca="1" ref="EZ12" ca="1">IF(INDIRECT($ES$23&amp;EZ$18&amp;$FI12,1)="","",INDIRECT($ES$23&amp;EZ$18&amp;$FI12,1))</f>
        <v/>
      </c>
      <c r="FA12" s="716" t="str" cm="1">
        <f t="array" aca="1" ref="FA12" ca="1">IF(INDIRECT($ES$23&amp;FA$18&amp;$FI12,1)="","",INDIRECT($ES$23&amp;FA$18&amp;$FI12,1))</f>
        <v/>
      </c>
      <c r="FB12" s="716" t="str" cm="1">
        <f t="array" aca="1" ref="FB12" ca="1">IF(INDIRECT($ES$23&amp;FB$18&amp;$FI12,1)="","",INDIRECT($ES$23&amp;FB$18&amp;$FI12,1))</f>
        <v/>
      </c>
      <c r="FC12" s="716" t="str" cm="1">
        <f t="array" aca="1" ref="FC12" ca="1">IF(INDIRECT($ES$23&amp;FC$18&amp;$FI12,1)="","",INDIRECT($ES$23&amp;FC$18&amp;$FI12,1))</f>
        <v/>
      </c>
      <c r="FD12" s="716" t="str" cm="1">
        <f t="array" aca="1" ref="FD12" ca="1">IF(INDIRECT($ES$23&amp;FD$18&amp;$FI12,1)="","",INDIRECT($ES$23&amp;FD$18&amp;$FI12,1))</f>
        <v/>
      </c>
      <c r="FE12" s="716" t="str" cm="1">
        <f t="array" aca="1" ref="FE12" ca="1">IF(INDIRECT($ES$23&amp;FE$18&amp;$FI12,1)="","",INDIRECT($ES$23&amp;FE$18&amp;$FI12,1))</f>
        <v/>
      </c>
      <c r="FF12" s="716" t="str" cm="1">
        <f t="array" aca="1" ref="FF12" ca="1">IF(INDIRECT($ES$23&amp;FF$18&amp;$FI12,1)="","",INDIRECT($ES$23&amp;FF$18&amp;$FI12,1))</f>
        <v/>
      </c>
      <c r="FG12" s="716" t="str" cm="1">
        <f t="array" aca="1" ref="FG12" ca="1">IF(INDIRECT($ES$23&amp;FG$18&amp;$FI12,1)="","",INDIRECT($ES$23&amp;FG$18&amp;$FI12,1))</f>
        <v/>
      </c>
      <c r="FH12" s="716" t="str" cm="1">
        <f t="array" aca="1" ref="FH12" ca="1">IF(INDIRECT($ES$23&amp;FH$18&amp;$FI12,1)="","",INDIRECT($ES$23&amp;FH$18&amp;$FI12,1))</f>
        <v/>
      </c>
      <c r="FI12" s="624">
        <v>41</v>
      </c>
      <c r="FL12" s="20" t="s">
        <v>96</v>
      </c>
      <c r="FM12" s="710">
        <f>BR112</f>
        <v>7</v>
      </c>
      <c r="FN12" s="714">
        <f ca="1">CF112</f>
        <v>0</v>
      </c>
      <c r="FO12" s="710">
        <f>BR289</f>
        <v>8</v>
      </c>
      <c r="FP12" s="714">
        <f ca="1">CF289</f>
        <v>0</v>
      </c>
      <c r="FQ12" s="710">
        <f>BR464</f>
        <v>0</v>
      </c>
      <c r="FR12" s="714">
        <f>CF464</f>
        <v>0</v>
      </c>
      <c r="FT12" s="711">
        <f>BR123</f>
        <v>2</v>
      </c>
      <c r="FU12" s="715">
        <f ca="1">CF123</f>
        <v>0</v>
      </c>
      <c r="FV12" s="711">
        <f>BR300</f>
        <v>3</v>
      </c>
      <c r="FW12" s="715">
        <f ca="1">CF300</f>
        <v>0</v>
      </c>
      <c r="FX12" s="711" t="str">
        <f ca="1">BR475</f>
        <v/>
      </c>
      <c r="FY12" s="715">
        <f>CF475</f>
        <v>0</v>
      </c>
    </row>
    <row r="13" spans="48:181" s="20" customFormat="1" x14ac:dyDescent="0.25">
      <c r="AV13" s="469" t="s">
        <v>5510</v>
      </c>
      <c r="BB13" s="469" t="s">
        <v>5510</v>
      </c>
      <c r="BF13" s="469" t="s">
        <v>5510</v>
      </c>
      <c r="BG13" s="469"/>
      <c r="BH13" s="539" t="s">
        <v>8037</v>
      </c>
      <c r="BI13" s="539">
        <f t="shared" si="3"/>
        <v>16</v>
      </c>
      <c r="BJ13" s="539" cm="1">
        <f t="array" aca="1" ref="BJ13" ca="1">INDIRECT($BM$2&amp;BJ$7&amp;$BI13,1)</f>
        <v>0</v>
      </c>
      <c r="BK13" s="539" cm="1">
        <f t="array" aca="1" ref="BK13" ca="1">INDIRECT($BM$2&amp;BK$7&amp;$BI13,1)</f>
        <v>0</v>
      </c>
      <c r="BL13" s="539" cm="1">
        <f t="array" aca="1" ref="BL13" ca="1">INDIRECT($BM$2&amp;BL$7&amp;$BI13,1)</f>
        <v>0</v>
      </c>
      <c r="BM13" s="539" cm="1">
        <f t="array" aca="1" ref="BM13" ca="1">INDIRECT($BM$2&amp;BM$7&amp;$BI13,1)</f>
        <v>0</v>
      </c>
      <c r="BN13" s="539" cm="1">
        <f t="array" aca="1" ref="BN13" ca="1">INDIRECT($BM$2&amp;BN$7&amp;$BI13,1)</f>
        <v>0</v>
      </c>
      <c r="BO13" s="539" t="str">
        <f t="shared" ca="1" si="0"/>
        <v>-</v>
      </c>
      <c r="BP13" s="372"/>
      <c r="BR13" s="469">
        <v>4</v>
      </c>
      <c r="BS13" s="539" t="s">
        <v>8037</v>
      </c>
      <c r="BT13" s="539">
        <f t="shared" si="4"/>
        <v>362</v>
      </c>
      <c r="BU13" s="539" cm="1">
        <f t="array" aca="1" ref="BU13" ca="1">INDIRECT($BM$2&amp;BU$7&amp;$BT13,1)</f>
        <v>0</v>
      </c>
      <c r="BV13" s="539" cm="1">
        <f t="array" aca="1" ref="BV13" ca="1">INDIRECT($BM$2&amp;BV$7&amp;$BT13,1)</f>
        <v>0</v>
      </c>
      <c r="BW13" s="539" cm="1">
        <f t="array" aca="1" ref="BW13" ca="1">INDIRECT($BM$2&amp;BW$7&amp;$BT13,1)</f>
        <v>0</v>
      </c>
      <c r="BX13" s="539" cm="1">
        <f t="array" aca="1" ref="BX13" ca="1">INDIRECT($BM$2&amp;BX$7&amp;$BT13,1)</f>
        <v>0</v>
      </c>
      <c r="BY13" s="539" cm="1">
        <f t="array" aca="1" ref="BY13" ca="1">INDIRECT($BM$2&amp;BY$7&amp;$BT13,1)</f>
        <v>0</v>
      </c>
      <c r="BZ13" s="539" t="str">
        <f t="shared" ca="1" si="1"/>
        <v>-</v>
      </c>
      <c r="CC13" s="469">
        <v>4</v>
      </c>
      <c r="CD13" s="539" t="s">
        <v>8037</v>
      </c>
      <c r="CE13" s="539">
        <f t="shared" si="5"/>
        <v>708</v>
      </c>
      <c r="CF13" s="539" cm="1">
        <f t="array" aca="1" ref="CF13" ca="1">INDIRECT($BM$2&amp;CF$7&amp;$CE13,1)</f>
        <v>0</v>
      </c>
      <c r="CG13" s="539" cm="1">
        <f t="array" aca="1" ref="CG13" ca="1">INDIRECT($BM$2&amp;CG$7&amp;$CE13,1)</f>
        <v>0</v>
      </c>
      <c r="CH13" s="539" cm="1">
        <f t="array" aca="1" ref="CH13" ca="1">INDIRECT($BM$2&amp;CH$7&amp;$CE13,1)</f>
        <v>0</v>
      </c>
      <c r="CI13" s="539" cm="1">
        <f t="array" aca="1" ref="CI13" ca="1">INDIRECT($BM$2&amp;CI$7&amp;$CE13,1)</f>
        <v>0</v>
      </c>
      <c r="CJ13" s="539" cm="1">
        <f t="array" aca="1" ref="CJ13" ca="1">INDIRECT($BM$2&amp;CJ$7&amp;$CE13,1)</f>
        <v>0</v>
      </c>
      <c r="CK13" s="539" t="str">
        <f t="shared" ca="1" si="2"/>
        <v>-</v>
      </c>
      <c r="CO13" s="479" t="s">
        <v>8060</v>
      </c>
      <c r="CQ13" s="479" t="s">
        <v>101</v>
      </c>
      <c r="CU13" s="469" t="s">
        <v>5510</v>
      </c>
      <c r="CY13" s="527" t="s">
        <v>8121</v>
      </c>
      <c r="CZ13" s="480">
        <v>17</v>
      </c>
      <c r="EQ13" s="469" t="s">
        <v>5510</v>
      </c>
      <c r="ER13" s="20" t="s">
        <v>95</v>
      </c>
      <c r="ES13" s="624" t="str" cm="1">
        <f t="array" aca="1" ref="ES13" ca="1">IF(INDIRECT($ES$23&amp;ES$18&amp;$FI13,1)="","",INDIRECT($ES$23&amp;ES$18&amp;$FI13,1))</f>
        <v/>
      </c>
      <c r="ET13" s="624" t="str" cm="1">
        <f t="array" aca="1" ref="ET13" ca="1">IF(INDIRECT($ES$23&amp;ET$18&amp;$FI13,1)="","",INDIRECT($ES$23&amp;ET$18&amp;$FI13,1))</f>
        <v/>
      </c>
      <c r="EU13" s="624" t="str" cm="1">
        <f t="array" aca="1" ref="EU13" ca="1">IF(INDIRECT($ES$23&amp;EU$18&amp;$FI13,1)="","",INDIRECT($ES$23&amp;EU$18&amp;$FI13,1))</f>
        <v/>
      </c>
      <c r="EV13" s="624" t="str" cm="1">
        <f t="array" aca="1" ref="EV13" ca="1">IF(INDIRECT($ES$23&amp;EV$18&amp;$FI13,1)="","",INDIRECT($ES$23&amp;EV$18&amp;$FI13,1))</f>
        <v/>
      </c>
      <c r="EW13" s="624" t="str" cm="1">
        <f t="array" aca="1" ref="EW13" ca="1">IF(INDIRECT($ES$23&amp;EW$18&amp;$FI13,1)="","",INDIRECT($ES$23&amp;EW$18&amp;$FI13,1))</f>
        <v/>
      </c>
      <c r="EX13" s="624" t="str" cm="1">
        <f t="array" aca="1" ref="EX13" ca="1">IF(INDIRECT($ES$23&amp;EX$18&amp;$FI13,1)="","",INDIRECT($ES$23&amp;EX$18&amp;$FI13,1))</f>
        <v/>
      </c>
      <c r="EY13" s="624" t="str" cm="1">
        <f t="array" aca="1" ref="EY13" ca="1">IF(INDIRECT($ES$23&amp;EY$18&amp;$FI13,1)="","",INDIRECT($ES$23&amp;EY$18&amp;$FI13,1))</f>
        <v/>
      </c>
      <c r="EZ13" s="624" t="str" cm="1">
        <f t="array" aca="1" ref="EZ13" ca="1">IF(INDIRECT($ES$23&amp;EZ$18&amp;$FI13,1)="","",INDIRECT($ES$23&amp;EZ$18&amp;$FI13,1))</f>
        <v/>
      </c>
      <c r="FA13" s="716" t="str" cm="1">
        <f t="array" aca="1" ref="FA13" ca="1">IF(INDIRECT($ES$23&amp;FA$18&amp;$FI13,1)="","",INDIRECT($ES$23&amp;FA$18&amp;$FI13,1))</f>
        <v/>
      </c>
      <c r="FB13" s="716" t="str" cm="1">
        <f t="array" aca="1" ref="FB13" ca="1">IF(INDIRECT($ES$23&amp;FB$18&amp;$FI13,1)="","",INDIRECT($ES$23&amp;FB$18&amp;$FI13,1))</f>
        <v/>
      </c>
      <c r="FC13" s="716" t="str" cm="1">
        <f t="array" aca="1" ref="FC13" ca="1">IF(INDIRECT($ES$23&amp;FC$18&amp;$FI13,1)="","",INDIRECT($ES$23&amp;FC$18&amp;$FI13,1))</f>
        <v/>
      </c>
      <c r="FD13" s="716" t="str" cm="1">
        <f t="array" aca="1" ref="FD13" ca="1">IF(INDIRECT($ES$23&amp;FD$18&amp;$FI13,1)="","",INDIRECT($ES$23&amp;FD$18&amp;$FI13,1))</f>
        <v/>
      </c>
      <c r="FE13" s="716" t="str" cm="1">
        <f t="array" aca="1" ref="FE13" ca="1">IF(INDIRECT($ES$23&amp;FE$18&amp;$FI13,1)="","",INDIRECT($ES$23&amp;FE$18&amp;$FI13,1))</f>
        <v/>
      </c>
      <c r="FF13" s="716" t="str" cm="1">
        <f t="array" aca="1" ref="FF13" ca="1">IF(INDIRECT($ES$23&amp;FF$18&amp;$FI13,1)="","",INDIRECT($ES$23&amp;FF$18&amp;$FI13,1))</f>
        <v/>
      </c>
      <c r="FG13" s="716" t="str" cm="1">
        <f t="array" aca="1" ref="FG13" ca="1">IF(INDIRECT($ES$23&amp;FG$18&amp;$FI13,1)="","",INDIRECT($ES$23&amp;FG$18&amp;$FI13,1))</f>
        <v/>
      </c>
      <c r="FH13" s="716" t="str" cm="1">
        <f t="array" aca="1" ref="FH13" ca="1">IF(INDIRECT($ES$23&amp;FH$18&amp;$FI13,1)="","",INDIRECT($ES$23&amp;FH$18&amp;$FI13,1))</f>
        <v/>
      </c>
      <c r="FI13" s="624">
        <v>42</v>
      </c>
      <c r="FL13" s="20" t="s">
        <v>97</v>
      </c>
      <c r="FM13" s="710">
        <f>BR129</f>
        <v>8</v>
      </c>
      <c r="FN13" s="714">
        <f ca="1">CF129</f>
        <v>0</v>
      </c>
      <c r="FO13" s="710">
        <f>BR306</f>
        <v>9</v>
      </c>
      <c r="FP13" s="714">
        <f ca="1">CF306</f>
        <v>0</v>
      </c>
      <c r="FQ13" s="710">
        <f>BR481</f>
        <v>0</v>
      </c>
      <c r="FR13" s="714">
        <f>CF481</f>
        <v>0</v>
      </c>
      <c r="FT13" s="711">
        <f>BR140</f>
        <v>3</v>
      </c>
      <c r="FU13" s="715">
        <f ca="1">CF140</f>
        <v>0</v>
      </c>
      <c r="FV13" s="711">
        <f>BR317</f>
        <v>4</v>
      </c>
      <c r="FW13" s="715">
        <f ca="1">CF317</f>
        <v>0</v>
      </c>
      <c r="FX13" s="711">
        <f>BR492</f>
        <v>0</v>
      </c>
      <c r="FY13" s="715">
        <f>CF492</f>
        <v>0</v>
      </c>
    </row>
    <row r="14" spans="48:181" s="20" customFormat="1" x14ac:dyDescent="0.25">
      <c r="AV14" s="469" t="s">
        <v>5510</v>
      </c>
      <c r="BB14" s="469" t="s">
        <v>5510</v>
      </c>
      <c r="BF14" s="469" t="s">
        <v>5510</v>
      </c>
      <c r="BG14" s="469"/>
      <c r="BH14" s="539" t="s">
        <v>8037</v>
      </c>
      <c r="BI14" s="539">
        <f t="shared" si="3"/>
        <v>17</v>
      </c>
      <c r="BJ14" s="539" cm="1">
        <f t="array" aca="1" ref="BJ14" ca="1">INDIRECT($BM$2&amp;BJ$7&amp;$BI14,1)</f>
        <v>0</v>
      </c>
      <c r="BK14" s="539" cm="1">
        <f t="array" aca="1" ref="BK14" ca="1">INDIRECT($BM$2&amp;BK$7&amp;$BI14,1)</f>
        <v>0</v>
      </c>
      <c r="BL14" s="539" cm="1">
        <f t="array" aca="1" ref="BL14" ca="1">INDIRECT($BM$2&amp;BL$7&amp;$BI14,1)</f>
        <v>0</v>
      </c>
      <c r="BM14" s="539" cm="1">
        <f t="array" aca="1" ref="BM14" ca="1">INDIRECT($BM$2&amp;BM$7&amp;$BI14,1)</f>
        <v>0</v>
      </c>
      <c r="BN14" s="539" cm="1">
        <f t="array" aca="1" ref="BN14" ca="1">INDIRECT($BM$2&amp;BN$7&amp;$BI14,1)</f>
        <v>0</v>
      </c>
      <c r="BO14" s="539" t="str">
        <f t="shared" ca="1" si="0"/>
        <v>-</v>
      </c>
      <c r="BP14" s="372"/>
      <c r="BR14" s="469">
        <v>5</v>
      </c>
      <c r="BS14" s="539" t="s">
        <v>8037</v>
      </c>
      <c r="BT14" s="539">
        <f t="shared" si="4"/>
        <v>363</v>
      </c>
      <c r="BU14" s="539" cm="1">
        <f t="array" aca="1" ref="BU14" ca="1">INDIRECT($BM$2&amp;BU$7&amp;$BT14,1)</f>
        <v>0</v>
      </c>
      <c r="BV14" s="539" cm="1">
        <f t="array" aca="1" ref="BV14" ca="1">INDIRECT($BM$2&amp;BV$7&amp;$BT14,1)</f>
        <v>0</v>
      </c>
      <c r="BW14" s="539" cm="1">
        <f t="array" aca="1" ref="BW14" ca="1">INDIRECT($BM$2&amp;BW$7&amp;$BT14,1)</f>
        <v>0</v>
      </c>
      <c r="BX14" s="539" cm="1">
        <f t="array" aca="1" ref="BX14" ca="1">INDIRECT($BM$2&amp;BX$7&amp;$BT14,1)</f>
        <v>0</v>
      </c>
      <c r="BY14" s="539" cm="1">
        <f t="array" aca="1" ref="BY14" ca="1">INDIRECT($BM$2&amp;BY$7&amp;$BT14,1)</f>
        <v>0</v>
      </c>
      <c r="BZ14" s="539" t="str">
        <f t="shared" ca="1" si="1"/>
        <v>-</v>
      </c>
      <c r="CC14" s="469">
        <v>5</v>
      </c>
      <c r="CD14" s="539" t="s">
        <v>8037</v>
      </c>
      <c r="CE14" s="539">
        <f t="shared" si="5"/>
        <v>709</v>
      </c>
      <c r="CF14" s="539" cm="1">
        <f t="array" aca="1" ref="CF14" ca="1">INDIRECT($BM$2&amp;CF$7&amp;$CE14,1)</f>
        <v>0</v>
      </c>
      <c r="CG14" s="539" cm="1">
        <f t="array" aca="1" ref="CG14" ca="1">INDIRECT($BM$2&amp;CG$7&amp;$CE14,1)</f>
        <v>0</v>
      </c>
      <c r="CH14" s="539" cm="1">
        <f t="array" aca="1" ref="CH14" ca="1">INDIRECT($BM$2&amp;CH$7&amp;$CE14,1)</f>
        <v>0</v>
      </c>
      <c r="CI14" s="539" cm="1">
        <f t="array" aca="1" ref="CI14" ca="1">INDIRECT($BM$2&amp;CI$7&amp;$CE14,1)</f>
        <v>0</v>
      </c>
      <c r="CJ14" s="539" cm="1">
        <f t="array" aca="1" ref="CJ14" ca="1">INDIRECT($BM$2&amp;CJ$7&amp;$CE14,1)</f>
        <v>0</v>
      </c>
      <c r="CK14" s="539" t="str">
        <f t="shared" ca="1" si="2"/>
        <v>-</v>
      </c>
      <c r="CO14" s="537" t="s">
        <v>8061</v>
      </c>
      <c r="CP14" s="480" t="s">
        <v>7639</v>
      </c>
      <c r="CQ14" s="537" t="str" cm="1">
        <f t="array" aca="1" ref="CQ14" ca="1">IF(INDIRECT($BI$2&amp;$CP14)&lt;&gt;0,INDIRECT($BI$2&amp;$CP14),"-")</f>
        <v>-</v>
      </c>
      <c r="CU14" s="469" t="s">
        <v>5510</v>
      </c>
      <c r="CY14" s="527" t="s">
        <v>8125</v>
      </c>
      <c r="CZ14" s="480" t="s">
        <v>5780</v>
      </c>
      <c r="EQ14" s="469" t="s">
        <v>5510</v>
      </c>
      <c r="ER14" s="20" t="s">
        <v>96</v>
      </c>
      <c r="ES14" s="624" t="str" cm="1">
        <f t="array" aca="1" ref="ES14" ca="1">IF(INDIRECT($ES$23&amp;ES$18&amp;$FI14,1)="","",INDIRECT($ES$23&amp;ES$18&amp;$FI14,1))</f>
        <v/>
      </c>
      <c r="ET14" s="624" t="str" cm="1">
        <f t="array" aca="1" ref="ET14" ca="1">IF(INDIRECT($ES$23&amp;ET$18&amp;$FI14,1)="","",INDIRECT($ES$23&amp;ET$18&amp;$FI14,1))</f>
        <v/>
      </c>
      <c r="EU14" s="624" t="str" cm="1">
        <f t="array" aca="1" ref="EU14" ca="1">IF(INDIRECT($ES$23&amp;EU$18&amp;$FI14,1)="","",INDIRECT($ES$23&amp;EU$18&amp;$FI14,1))</f>
        <v/>
      </c>
      <c r="EV14" s="624" t="str" cm="1">
        <f t="array" aca="1" ref="EV14" ca="1">IF(INDIRECT($ES$23&amp;EV$18&amp;$FI14,1)="","",INDIRECT($ES$23&amp;EV$18&amp;$FI14,1))</f>
        <v/>
      </c>
      <c r="EW14" s="624" t="str" cm="1">
        <f t="array" aca="1" ref="EW14" ca="1">IF(INDIRECT($ES$23&amp;EW$18&amp;$FI14,1)="","",INDIRECT($ES$23&amp;EW$18&amp;$FI14,1))</f>
        <v/>
      </c>
      <c r="EX14" s="624" t="str" cm="1">
        <f t="array" aca="1" ref="EX14" ca="1">IF(INDIRECT($ES$23&amp;EX$18&amp;$FI14,1)="","",INDIRECT($ES$23&amp;EX$18&amp;$FI14,1))</f>
        <v/>
      </c>
      <c r="EY14" s="624" t="str" cm="1">
        <f t="array" aca="1" ref="EY14" ca="1">IF(INDIRECT($ES$23&amp;EY$18&amp;$FI14,1)="","",INDIRECT($ES$23&amp;EY$18&amp;$FI14,1))</f>
        <v/>
      </c>
      <c r="EZ14" s="624" t="str" cm="1">
        <f t="array" aca="1" ref="EZ14" ca="1">IF(INDIRECT($ES$23&amp;EZ$18&amp;$FI14,1)="","",INDIRECT($ES$23&amp;EZ$18&amp;$FI14,1))</f>
        <v/>
      </c>
      <c r="FA14" s="716" t="str" cm="1">
        <f t="array" aca="1" ref="FA14" ca="1">IF(INDIRECT($ES$23&amp;FA$18&amp;$FI14,1)="","",INDIRECT($ES$23&amp;FA$18&amp;$FI14,1))</f>
        <v/>
      </c>
      <c r="FB14" s="716" t="str" cm="1">
        <f t="array" aca="1" ref="FB14" ca="1">IF(INDIRECT($ES$23&amp;FB$18&amp;$FI14,1)="","",INDIRECT($ES$23&amp;FB$18&amp;$FI14,1))</f>
        <v/>
      </c>
      <c r="FC14" s="716" t="str" cm="1">
        <f t="array" aca="1" ref="FC14" ca="1">IF(INDIRECT($ES$23&amp;FC$18&amp;$FI14,1)="","",INDIRECT($ES$23&amp;FC$18&amp;$FI14,1))</f>
        <v/>
      </c>
      <c r="FD14" s="716" t="str" cm="1">
        <f t="array" aca="1" ref="FD14" ca="1">IF(INDIRECT($ES$23&amp;FD$18&amp;$FI14,1)="","",INDIRECT($ES$23&amp;FD$18&amp;$FI14,1))</f>
        <v/>
      </c>
      <c r="FE14" s="716" t="str" cm="1">
        <f t="array" aca="1" ref="FE14" ca="1">IF(INDIRECT($ES$23&amp;FE$18&amp;$FI14,1)="","",INDIRECT($ES$23&amp;FE$18&amp;$FI14,1))</f>
        <v/>
      </c>
      <c r="FF14" s="716" t="str" cm="1">
        <f t="array" aca="1" ref="FF14" ca="1">IF(INDIRECT($ES$23&amp;FF$18&amp;$FI14,1)="","",INDIRECT($ES$23&amp;FF$18&amp;$FI14,1))</f>
        <v/>
      </c>
      <c r="FG14" s="716" t="str" cm="1">
        <f t="array" aca="1" ref="FG14" ca="1">IF(INDIRECT($ES$23&amp;FG$18&amp;$FI14,1)="","",INDIRECT($ES$23&amp;FG$18&amp;$FI14,1))</f>
        <v/>
      </c>
      <c r="FH14" s="716" t="str" cm="1">
        <f t="array" aca="1" ref="FH14" ca="1">IF(INDIRECT($ES$23&amp;FH$18&amp;$FI14,1)="","",INDIRECT($ES$23&amp;FH$18&amp;$FI14,1))</f>
        <v/>
      </c>
      <c r="FI14" s="624">
        <v>43</v>
      </c>
      <c r="FL14" s="20" t="s">
        <v>98</v>
      </c>
      <c r="FM14" s="710">
        <f>BR146</f>
        <v>9</v>
      </c>
      <c r="FN14" s="714">
        <f ca="1">CF146</f>
        <v>0</v>
      </c>
      <c r="FO14" s="710">
        <f>BR323</f>
        <v>10</v>
      </c>
      <c r="FP14" s="714">
        <f ca="1">CF323</f>
        <v>0</v>
      </c>
      <c r="FQ14" s="710">
        <f>BR498</f>
        <v>0</v>
      </c>
      <c r="FR14" s="714">
        <f>CF498</f>
        <v>0</v>
      </c>
      <c r="FT14" s="711">
        <f>BR157</f>
        <v>4</v>
      </c>
      <c r="FU14" s="715">
        <f ca="1">CF157</f>
        <v>0</v>
      </c>
      <c r="FV14" s="711" t="str">
        <f>BR334</f>
        <v>TA100</v>
      </c>
      <c r="FW14" s="715">
        <f>CF334</f>
        <v>0</v>
      </c>
      <c r="FX14" s="711">
        <f>BR509</f>
        <v>0</v>
      </c>
      <c r="FY14" s="715">
        <f>CF509</f>
        <v>0</v>
      </c>
    </row>
    <row r="15" spans="48:181" s="20" customFormat="1" x14ac:dyDescent="0.25">
      <c r="AV15" s="469" t="s">
        <v>5510</v>
      </c>
      <c r="AW15" s="20" t="s">
        <v>6542</v>
      </c>
      <c r="BB15" s="469" t="s">
        <v>5510</v>
      </c>
      <c r="BF15" s="469" t="s">
        <v>5510</v>
      </c>
      <c r="BG15" s="469"/>
      <c r="BH15" s="539" t="s">
        <v>8037</v>
      </c>
      <c r="BI15" s="539">
        <f t="shared" si="3"/>
        <v>18</v>
      </c>
      <c r="BJ15" s="539" cm="1">
        <f t="array" aca="1" ref="BJ15" ca="1">INDIRECT($BM$2&amp;BJ$7&amp;$BI15,1)</f>
        <v>0</v>
      </c>
      <c r="BK15" s="539" cm="1">
        <f t="array" aca="1" ref="BK15" ca="1">INDIRECT($BM$2&amp;BK$7&amp;$BI15,1)</f>
        <v>0</v>
      </c>
      <c r="BL15" s="539" cm="1">
        <f t="array" aca="1" ref="BL15" ca="1">INDIRECT($BM$2&amp;BL$7&amp;$BI15,1)</f>
        <v>0</v>
      </c>
      <c r="BM15" s="539" cm="1">
        <f t="array" aca="1" ref="BM15" ca="1">INDIRECT($BM$2&amp;BM$7&amp;$BI15,1)</f>
        <v>0</v>
      </c>
      <c r="BN15" s="539" cm="1">
        <f t="array" aca="1" ref="BN15" ca="1">INDIRECT($BM$2&amp;BN$7&amp;$BI15,1)</f>
        <v>0</v>
      </c>
      <c r="BO15" s="539" t="str">
        <f t="shared" ca="1" si="0"/>
        <v>-</v>
      </c>
      <c r="BP15" s="372"/>
      <c r="BR15" s="469">
        <v>6</v>
      </c>
      <c r="BS15" s="539" t="s">
        <v>8037</v>
      </c>
      <c r="BT15" s="539">
        <f t="shared" si="4"/>
        <v>364</v>
      </c>
      <c r="BU15" s="539" cm="1">
        <f t="array" aca="1" ref="BU15" ca="1">INDIRECT($BM$2&amp;BU$7&amp;$BT15,1)</f>
        <v>0</v>
      </c>
      <c r="BV15" s="539" cm="1">
        <f t="array" aca="1" ref="BV15" ca="1">INDIRECT($BM$2&amp;BV$7&amp;$BT15,1)</f>
        <v>0</v>
      </c>
      <c r="BW15" s="539" cm="1">
        <f t="array" aca="1" ref="BW15" ca="1">INDIRECT($BM$2&amp;BW$7&amp;$BT15,1)</f>
        <v>0</v>
      </c>
      <c r="BX15" s="539" cm="1">
        <f t="array" aca="1" ref="BX15" ca="1">INDIRECT($BM$2&amp;BX$7&amp;$BT15,1)</f>
        <v>0</v>
      </c>
      <c r="BY15" s="539" cm="1">
        <f t="array" aca="1" ref="BY15" ca="1">INDIRECT($BM$2&amp;BY$7&amp;$BT15,1)</f>
        <v>0</v>
      </c>
      <c r="BZ15" s="539" t="str">
        <f t="shared" ca="1" si="1"/>
        <v>-</v>
      </c>
      <c r="CC15" s="469">
        <v>6</v>
      </c>
      <c r="CD15" s="539" t="s">
        <v>8037</v>
      </c>
      <c r="CE15" s="539">
        <f t="shared" si="5"/>
        <v>710</v>
      </c>
      <c r="CF15" s="539" cm="1">
        <f t="array" aca="1" ref="CF15" ca="1">INDIRECT($BM$2&amp;CF$7&amp;$CE15,1)</f>
        <v>0</v>
      </c>
      <c r="CG15" s="539" cm="1">
        <f t="array" aca="1" ref="CG15" ca="1">INDIRECT($BM$2&amp;CG$7&amp;$CE15,1)</f>
        <v>0</v>
      </c>
      <c r="CH15" s="539" cm="1">
        <f t="array" aca="1" ref="CH15" ca="1">INDIRECT($BM$2&amp;CH$7&amp;$CE15,1)</f>
        <v>0</v>
      </c>
      <c r="CI15" s="539" cm="1">
        <f t="array" aca="1" ref="CI15" ca="1">INDIRECT($BM$2&amp;CI$7&amp;$CE15,1)</f>
        <v>0</v>
      </c>
      <c r="CJ15" s="539" cm="1">
        <f t="array" aca="1" ref="CJ15" ca="1">INDIRECT($BM$2&amp;CJ$7&amp;$CE15,1)</f>
        <v>0</v>
      </c>
      <c r="CK15" s="539" t="str">
        <f t="shared" ca="1" si="2"/>
        <v>-</v>
      </c>
      <c r="CO15" s="537" t="s">
        <v>5724</v>
      </c>
      <c r="CP15" s="480" t="s">
        <v>7640</v>
      </c>
      <c r="CQ15" s="537" t="str" cm="1">
        <f t="array" aca="1" ref="CQ15" ca="1">IF(INDIRECT($BI$2&amp;$CP15)&lt;&gt;0,INDIRECT($BI$2&amp;$CP15),"-")</f>
        <v>-</v>
      </c>
      <c r="CU15" s="469" t="s">
        <v>5510</v>
      </c>
      <c r="CY15" s="527" t="s">
        <v>140</v>
      </c>
      <c r="CZ15" s="480" t="s">
        <v>5735</v>
      </c>
      <c r="EQ15" s="469" t="s">
        <v>5510</v>
      </c>
      <c r="ER15" s="20" t="s">
        <v>97</v>
      </c>
      <c r="ES15" s="624" t="str" cm="1">
        <f t="array" aca="1" ref="ES15" ca="1">IF(INDIRECT($ES$23&amp;ES$18&amp;$FI15,1)="","",INDIRECT($ES$23&amp;ES$18&amp;$FI15,1))</f>
        <v/>
      </c>
      <c r="ET15" s="624" t="str" cm="1">
        <f t="array" aca="1" ref="ET15" ca="1">IF(INDIRECT($ES$23&amp;ET$18&amp;$FI15,1)="","",INDIRECT($ES$23&amp;ET$18&amp;$FI15,1))</f>
        <v/>
      </c>
      <c r="EU15" s="624" t="str" cm="1">
        <f t="array" aca="1" ref="EU15" ca="1">IF(INDIRECT($ES$23&amp;EU$18&amp;$FI15,1)="","",INDIRECT($ES$23&amp;EU$18&amp;$FI15,1))</f>
        <v/>
      </c>
      <c r="EV15" s="624" t="str" cm="1">
        <f t="array" aca="1" ref="EV15" ca="1">IF(INDIRECT($ES$23&amp;EV$18&amp;$FI15,1)="","",INDIRECT($ES$23&amp;EV$18&amp;$FI15,1))</f>
        <v/>
      </c>
      <c r="EW15" s="624" t="str" cm="1">
        <f t="array" aca="1" ref="EW15" ca="1">IF(INDIRECT($ES$23&amp;EW$18&amp;$FI15,1)="","",INDIRECT($ES$23&amp;EW$18&amp;$FI15,1))</f>
        <v/>
      </c>
      <c r="EX15" s="624" t="str" cm="1">
        <f t="array" aca="1" ref="EX15" ca="1">IF(INDIRECT($ES$23&amp;EX$18&amp;$FI15,1)="","",INDIRECT($ES$23&amp;EX$18&amp;$FI15,1))</f>
        <v/>
      </c>
      <c r="EY15" s="624" t="str" cm="1">
        <f t="array" aca="1" ref="EY15" ca="1">IF(INDIRECT($ES$23&amp;EY$18&amp;$FI15,1)="","",INDIRECT($ES$23&amp;EY$18&amp;$FI15,1))</f>
        <v/>
      </c>
      <c r="EZ15" s="624" t="str" cm="1">
        <f t="array" aca="1" ref="EZ15" ca="1">IF(INDIRECT($ES$23&amp;EZ$18&amp;$FI15,1)="","",INDIRECT($ES$23&amp;EZ$18&amp;$FI15,1))</f>
        <v/>
      </c>
      <c r="FA15" s="716" t="str" cm="1">
        <f t="array" aca="1" ref="FA15" ca="1">IF(INDIRECT($ES$23&amp;FA$18&amp;$FI15,1)="","",INDIRECT($ES$23&amp;FA$18&amp;$FI15,1))</f>
        <v/>
      </c>
      <c r="FB15" s="716" t="str" cm="1">
        <f t="array" aca="1" ref="FB15" ca="1">IF(INDIRECT($ES$23&amp;FB$18&amp;$FI15,1)="","",INDIRECT($ES$23&amp;FB$18&amp;$FI15,1))</f>
        <v/>
      </c>
      <c r="FC15" s="716" t="str" cm="1">
        <f t="array" aca="1" ref="FC15" ca="1">IF(INDIRECT($ES$23&amp;FC$18&amp;$FI15,1)="","",INDIRECT($ES$23&amp;FC$18&amp;$FI15,1))</f>
        <v/>
      </c>
      <c r="FD15" s="716" t="str" cm="1">
        <f t="array" aca="1" ref="FD15" ca="1">IF(INDIRECT($ES$23&amp;FD$18&amp;$FI15,1)="","",INDIRECT($ES$23&amp;FD$18&amp;$FI15,1))</f>
        <v/>
      </c>
      <c r="FE15" s="716" t="str" cm="1">
        <f t="array" aca="1" ref="FE15" ca="1">IF(INDIRECT($ES$23&amp;FE$18&amp;$FI15,1)="","",INDIRECT($ES$23&amp;FE$18&amp;$FI15,1))</f>
        <v/>
      </c>
      <c r="FF15" s="716" t="str" cm="1">
        <f t="array" aca="1" ref="FF15" ca="1">IF(INDIRECT($ES$23&amp;FF$18&amp;$FI15,1)="","",INDIRECT($ES$23&amp;FF$18&amp;$FI15,1))</f>
        <v/>
      </c>
      <c r="FG15" s="716" t="str" cm="1">
        <f t="array" aca="1" ref="FG15" ca="1">IF(INDIRECT($ES$23&amp;FG$18&amp;$FI15,1)="","",INDIRECT($ES$23&amp;FG$18&amp;$FI15,1))</f>
        <v/>
      </c>
      <c r="FH15" s="716" t="str" cm="1">
        <f t="array" aca="1" ref="FH15" ca="1">IF(INDIRECT($ES$23&amp;FH$18&amp;$FI15,1)="","",INDIRECT($ES$23&amp;FH$18&amp;$FI15,1))</f>
        <v/>
      </c>
      <c r="FI15" s="624">
        <v>44</v>
      </c>
      <c r="FL15" s="20" t="s">
        <v>99</v>
      </c>
      <c r="FM15" s="710">
        <f>BR163</f>
        <v>10</v>
      </c>
      <c r="FN15" s="714">
        <f ca="1">CF163</f>
        <v>0</v>
      </c>
      <c r="FO15" s="710">
        <f>BR340</f>
        <v>0</v>
      </c>
      <c r="FP15" s="714">
        <f>CF340</f>
        <v>0</v>
      </c>
      <c r="FQ15" s="710">
        <f>BR515</f>
        <v>0</v>
      </c>
      <c r="FR15" s="714">
        <f>CF515</f>
        <v>0</v>
      </c>
      <c r="FT15" s="711">
        <f>BR174</f>
        <v>5</v>
      </c>
      <c r="FU15" s="715">
        <f ca="1">CF174</f>
        <v>0</v>
      </c>
      <c r="FV15" s="711" t="str">
        <f>BR351</f>
        <v>TA100</v>
      </c>
      <c r="FW15" s="715">
        <f>CF351</f>
        <v>0</v>
      </c>
      <c r="FX15" s="711">
        <f>BR526</f>
        <v>0</v>
      </c>
      <c r="FY15" s="715">
        <f>CF526</f>
        <v>0</v>
      </c>
    </row>
    <row r="16" spans="48:181" s="20" customFormat="1" x14ac:dyDescent="0.25">
      <c r="AV16" s="469" t="s">
        <v>5510</v>
      </c>
      <c r="AW16" s="479" t="s">
        <v>6543</v>
      </c>
      <c r="AX16" s="479" t="s">
        <v>6133</v>
      </c>
      <c r="AY16" s="479" t="s">
        <v>18</v>
      </c>
      <c r="BB16" s="469" t="s">
        <v>5510</v>
      </c>
      <c r="BF16" s="469" t="s">
        <v>5510</v>
      </c>
      <c r="BG16" s="469"/>
      <c r="BH16" s="539" t="s">
        <v>8037</v>
      </c>
      <c r="BI16" s="539">
        <f t="shared" si="3"/>
        <v>19</v>
      </c>
      <c r="BJ16" s="539" cm="1">
        <f t="array" aca="1" ref="BJ16" ca="1">INDIRECT($BM$2&amp;BJ$7&amp;$BI16,1)</f>
        <v>0</v>
      </c>
      <c r="BK16" s="539" cm="1">
        <f t="array" aca="1" ref="BK16" ca="1">INDIRECT($BM$2&amp;BK$7&amp;$BI16,1)</f>
        <v>0</v>
      </c>
      <c r="BL16" s="539" cm="1">
        <f t="array" aca="1" ref="BL16" ca="1">INDIRECT($BM$2&amp;BL$7&amp;$BI16,1)</f>
        <v>0</v>
      </c>
      <c r="BM16" s="539" cm="1">
        <f t="array" aca="1" ref="BM16" ca="1">INDIRECT($BM$2&amp;BM$7&amp;$BI16,1)</f>
        <v>0</v>
      </c>
      <c r="BN16" s="539" cm="1">
        <f t="array" aca="1" ref="BN16" ca="1">INDIRECT($BM$2&amp;BN$7&amp;$BI16,1)</f>
        <v>0</v>
      </c>
      <c r="BO16" s="539" t="str">
        <f t="shared" ca="1" si="0"/>
        <v>-</v>
      </c>
      <c r="BP16" s="372"/>
      <c r="BR16" s="469">
        <v>7</v>
      </c>
      <c r="BS16" s="539" t="s">
        <v>8037</v>
      </c>
      <c r="BT16" s="539">
        <f t="shared" si="4"/>
        <v>365</v>
      </c>
      <c r="BU16" s="539" cm="1">
        <f t="array" aca="1" ref="BU16" ca="1">INDIRECT($BM$2&amp;BU$7&amp;$BT16,1)</f>
        <v>0</v>
      </c>
      <c r="BV16" s="539" cm="1">
        <f t="array" aca="1" ref="BV16" ca="1">INDIRECT($BM$2&amp;BV$7&amp;$BT16,1)</f>
        <v>0</v>
      </c>
      <c r="BW16" s="539" cm="1">
        <f t="array" aca="1" ref="BW16" ca="1">INDIRECT($BM$2&amp;BW$7&amp;$BT16,1)</f>
        <v>0</v>
      </c>
      <c r="BX16" s="539" cm="1">
        <f t="array" aca="1" ref="BX16" ca="1">INDIRECT($BM$2&amp;BX$7&amp;$BT16,1)</f>
        <v>0</v>
      </c>
      <c r="BY16" s="539" cm="1">
        <f t="array" aca="1" ref="BY16" ca="1">INDIRECT($BM$2&amp;BY$7&amp;$BT16,1)</f>
        <v>0</v>
      </c>
      <c r="BZ16" s="539" t="str">
        <f t="shared" ca="1" si="1"/>
        <v>-</v>
      </c>
      <c r="CC16" s="469">
        <v>7</v>
      </c>
      <c r="CD16" s="539" t="s">
        <v>8037</v>
      </c>
      <c r="CE16" s="539">
        <f t="shared" si="5"/>
        <v>711</v>
      </c>
      <c r="CF16" s="539" cm="1">
        <f t="array" aca="1" ref="CF16" ca="1">INDIRECT($BM$2&amp;CF$7&amp;$CE16,1)</f>
        <v>0</v>
      </c>
      <c r="CG16" s="539" cm="1">
        <f t="array" aca="1" ref="CG16" ca="1">INDIRECT($BM$2&amp;CG$7&amp;$CE16,1)</f>
        <v>0</v>
      </c>
      <c r="CH16" s="539" cm="1">
        <f t="array" aca="1" ref="CH16" ca="1">INDIRECT($BM$2&amp;CH$7&amp;$CE16,1)</f>
        <v>0</v>
      </c>
      <c r="CI16" s="539" cm="1">
        <f t="array" aca="1" ref="CI16" ca="1">INDIRECT($BM$2&amp;CI$7&amp;$CE16,1)</f>
        <v>0</v>
      </c>
      <c r="CJ16" s="539" cm="1">
        <f t="array" aca="1" ref="CJ16" ca="1">INDIRECT($BM$2&amp;CJ$7&amp;$CE16,1)</f>
        <v>0</v>
      </c>
      <c r="CK16" s="539" t="str">
        <f t="shared" ca="1" si="2"/>
        <v>-</v>
      </c>
      <c r="CO16" s="537" t="s">
        <v>5802</v>
      </c>
      <c r="CP16" s="480" t="s">
        <v>7642</v>
      </c>
      <c r="CQ16" s="537" t="str" cm="1">
        <f t="array" aca="1" ref="CQ16" ca="1">IF(INDIRECT($BI$2&amp;$CP16)&lt;&gt;0,INDIRECT($BI$2&amp;$CP16),"-")</f>
        <v>-</v>
      </c>
      <c r="CU16" s="469" t="s">
        <v>5510</v>
      </c>
      <c r="DA16" s="1653" t="s">
        <v>104</v>
      </c>
      <c r="DB16" s="1653"/>
      <c r="DC16" s="1650" t="s">
        <v>121</v>
      </c>
      <c r="DD16" s="1651"/>
      <c r="DE16" s="1654" t="s">
        <v>8132</v>
      </c>
      <c r="DF16" s="1655"/>
      <c r="DG16" s="1658" t="s">
        <v>171</v>
      </c>
      <c r="DH16" s="1659"/>
      <c r="DI16" s="1650" t="s">
        <v>194</v>
      </c>
      <c r="DJ16" s="1651"/>
      <c r="DK16" s="1650" t="s">
        <v>5815</v>
      </c>
      <c r="DL16" s="1651"/>
      <c r="DM16" s="1650" t="s">
        <v>8133</v>
      </c>
      <c r="DN16" s="1651"/>
      <c r="EQ16" s="469" t="s">
        <v>5510</v>
      </c>
      <c r="ER16" s="20" t="s">
        <v>98</v>
      </c>
      <c r="ES16" s="624" t="str" cm="1">
        <f t="array" aca="1" ref="ES16" ca="1">IF(INDIRECT($ES$23&amp;ES$18&amp;$FI16,1)="","",INDIRECT($ES$23&amp;ES$18&amp;$FI16,1))</f>
        <v/>
      </c>
      <c r="ET16" s="624" t="str" cm="1">
        <f t="array" aca="1" ref="ET16" ca="1">IF(INDIRECT($ES$23&amp;ET$18&amp;$FI16,1)="","",INDIRECT($ES$23&amp;ET$18&amp;$FI16,1))</f>
        <v/>
      </c>
      <c r="EU16" s="624" t="str" cm="1">
        <f t="array" aca="1" ref="EU16" ca="1">IF(INDIRECT($ES$23&amp;EU$18&amp;$FI16,1)="","",INDIRECT($ES$23&amp;EU$18&amp;$FI16,1))</f>
        <v/>
      </c>
      <c r="EV16" s="624" t="str" cm="1">
        <f t="array" aca="1" ref="EV16" ca="1">IF(INDIRECT($ES$23&amp;EV$18&amp;$FI16,1)="","",INDIRECT($ES$23&amp;EV$18&amp;$FI16,1))</f>
        <v/>
      </c>
      <c r="EW16" s="624" t="str" cm="1">
        <f t="array" aca="1" ref="EW16" ca="1">IF(INDIRECT($ES$23&amp;EW$18&amp;$FI16,1)="","",INDIRECT($ES$23&amp;EW$18&amp;$FI16,1))</f>
        <v/>
      </c>
      <c r="EX16" s="624" t="str" cm="1">
        <f t="array" aca="1" ref="EX16" ca="1">IF(INDIRECT($ES$23&amp;EX$18&amp;$FI16,1)="","",INDIRECT($ES$23&amp;EX$18&amp;$FI16,1))</f>
        <v/>
      </c>
      <c r="EY16" s="624" t="str" cm="1">
        <f t="array" aca="1" ref="EY16" ca="1">IF(INDIRECT($ES$23&amp;EY$18&amp;$FI16,1)="","",INDIRECT($ES$23&amp;EY$18&amp;$FI16,1))</f>
        <v/>
      </c>
      <c r="EZ16" s="624" t="str" cm="1">
        <f t="array" aca="1" ref="EZ16" ca="1">IF(INDIRECT($ES$23&amp;EZ$18&amp;$FI16,1)="","",INDIRECT($ES$23&amp;EZ$18&amp;$FI16,1))</f>
        <v/>
      </c>
      <c r="FA16" s="716" t="str" cm="1">
        <f t="array" aca="1" ref="FA16" ca="1">IF(INDIRECT($ES$23&amp;FA$18&amp;$FI16,1)="","",INDIRECT($ES$23&amp;FA$18&amp;$FI16,1))</f>
        <v/>
      </c>
      <c r="FB16" s="716" t="str" cm="1">
        <f t="array" aca="1" ref="FB16" ca="1">IF(INDIRECT($ES$23&amp;FB$18&amp;$FI16,1)="","",INDIRECT($ES$23&amp;FB$18&amp;$FI16,1))</f>
        <v/>
      </c>
      <c r="FC16" s="716" t="str" cm="1">
        <f t="array" aca="1" ref="FC16" ca="1">IF(INDIRECT($ES$23&amp;FC$18&amp;$FI16,1)="","",INDIRECT($ES$23&amp;FC$18&amp;$FI16,1))</f>
        <v/>
      </c>
      <c r="FD16" s="716" t="str" cm="1">
        <f t="array" aca="1" ref="FD16" ca="1">IF(INDIRECT($ES$23&amp;FD$18&amp;$FI16,1)="","",INDIRECT($ES$23&amp;FD$18&amp;$FI16,1))</f>
        <v/>
      </c>
      <c r="FE16" s="716" t="str" cm="1">
        <f t="array" aca="1" ref="FE16" ca="1">IF(INDIRECT($ES$23&amp;FE$18&amp;$FI16,1)="","",INDIRECT($ES$23&amp;FE$18&amp;$FI16,1))</f>
        <v/>
      </c>
      <c r="FF16" s="716" t="str" cm="1">
        <f t="array" aca="1" ref="FF16" ca="1">IF(INDIRECT($ES$23&amp;FF$18&amp;$FI16,1)="","",INDIRECT($ES$23&amp;FF$18&amp;$FI16,1))</f>
        <v/>
      </c>
      <c r="FG16" s="716" t="str" cm="1">
        <f t="array" aca="1" ref="FG16" ca="1">IF(INDIRECT($ES$23&amp;FG$18&amp;$FI16,1)="","",INDIRECT($ES$23&amp;FG$18&amp;$FI16,1))</f>
        <v/>
      </c>
      <c r="FH16" s="716" t="str" cm="1">
        <f t="array" aca="1" ref="FH16" ca="1">IF(INDIRECT($ES$23&amp;FH$18&amp;$FI16,1)="","",INDIRECT($ES$23&amp;FH$18&amp;$FI16,1))</f>
        <v/>
      </c>
      <c r="FI16" s="624">
        <v>45</v>
      </c>
      <c r="FN16" s="372"/>
      <c r="FO16" s="472"/>
      <c r="FP16" s="472"/>
      <c r="FQ16" s="472"/>
      <c r="FR16" s="372"/>
    </row>
    <row r="17" spans="48:175" s="20" customFormat="1" x14ac:dyDescent="0.25">
      <c r="AV17" s="469" t="s">
        <v>5510</v>
      </c>
      <c r="AW17" s="555" t="s">
        <v>6531</v>
      </c>
      <c r="AX17" s="555" cm="1">
        <f t="array" aca="1" ref="AX17" ca="1">INDIRECT(AW17,1)</f>
        <v>0</v>
      </c>
      <c r="AY17" s="555">
        <f ca="1">IF(AX17="não",1,
IF(AND(AX17="sim",AX18=1),1,0))</f>
        <v>0</v>
      </c>
      <c r="BB17" s="469" t="s">
        <v>5510</v>
      </c>
      <c r="BF17" s="469" t="s">
        <v>5510</v>
      </c>
      <c r="BG17" s="469"/>
      <c r="BH17" s="539" t="s">
        <v>8037</v>
      </c>
      <c r="BI17" s="539">
        <f t="shared" si="3"/>
        <v>20</v>
      </c>
      <c r="BJ17" s="539" cm="1">
        <f t="array" aca="1" ref="BJ17" ca="1">INDIRECT($BM$2&amp;BJ$7&amp;$BI17,1)</f>
        <v>0</v>
      </c>
      <c r="BK17" s="539" cm="1">
        <f t="array" aca="1" ref="BK17" ca="1">INDIRECT($BM$2&amp;BK$7&amp;$BI17,1)</f>
        <v>0</v>
      </c>
      <c r="BL17" s="539" cm="1">
        <f t="array" aca="1" ref="BL17" ca="1">INDIRECT($BM$2&amp;BL$7&amp;$BI17,1)</f>
        <v>0</v>
      </c>
      <c r="BM17" s="539" cm="1">
        <f t="array" aca="1" ref="BM17" ca="1">INDIRECT($BM$2&amp;BM$7&amp;$BI17,1)</f>
        <v>0</v>
      </c>
      <c r="BN17" s="539" cm="1">
        <f t="array" aca="1" ref="BN17" ca="1">INDIRECT($BM$2&amp;BN$7&amp;$BI17,1)</f>
        <v>0</v>
      </c>
      <c r="BO17" s="539" t="str">
        <f t="shared" ca="1" si="0"/>
        <v>-</v>
      </c>
      <c r="BP17" s="372"/>
      <c r="BR17" s="469">
        <v>8</v>
      </c>
      <c r="BS17" s="539" t="s">
        <v>8037</v>
      </c>
      <c r="BT17" s="539">
        <f t="shared" si="4"/>
        <v>366</v>
      </c>
      <c r="BU17" s="539" cm="1">
        <f t="array" aca="1" ref="BU17" ca="1">INDIRECT($BM$2&amp;BU$7&amp;$BT17,1)</f>
        <v>0</v>
      </c>
      <c r="BV17" s="539" cm="1">
        <f t="array" aca="1" ref="BV17" ca="1">INDIRECT($BM$2&amp;BV$7&amp;$BT17,1)</f>
        <v>0</v>
      </c>
      <c r="BW17" s="539" cm="1">
        <f t="array" aca="1" ref="BW17" ca="1">INDIRECT($BM$2&amp;BW$7&amp;$BT17,1)</f>
        <v>0</v>
      </c>
      <c r="BX17" s="539" cm="1">
        <f t="array" aca="1" ref="BX17" ca="1">INDIRECT($BM$2&amp;BX$7&amp;$BT17,1)</f>
        <v>0</v>
      </c>
      <c r="BY17" s="539" cm="1">
        <f t="array" aca="1" ref="BY17" ca="1">INDIRECT($BM$2&amp;BY$7&amp;$BT17,1)</f>
        <v>0</v>
      </c>
      <c r="BZ17" s="539" t="str">
        <f t="shared" ca="1" si="1"/>
        <v>-</v>
      </c>
      <c r="CC17" s="469">
        <v>8</v>
      </c>
      <c r="CD17" s="539" t="s">
        <v>8037</v>
      </c>
      <c r="CE17" s="539">
        <f t="shared" si="5"/>
        <v>712</v>
      </c>
      <c r="CF17" s="539" cm="1">
        <f t="array" aca="1" ref="CF17" ca="1">INDIRECT($BM$2&amp;CF$7&amp;$CE17,1)</f>
        <v>0</v>
      </c>
      <c r="CG17" s="539" cm="1">
        <f t="array" aca="1" ref="CG17" ca="1">INDIRECT($BM$2&amp;CG$7&amp;$CE17,1)</f>
        <v>0</v>
      </c>
      <c r="CH17" s="539" cm="1">
        <f t="array" aca="1" ref="CH17" ca="1">INDIRECT($BM$2&amp;CH$7&amp;$CE17,1)</f>
        <v>0</v>
      </c>
      <c r="CI17" s="539" cm="1">
        <f t="array" aca="1" ref="CI17" ca="1">INDIRECT($BM$2&amp;CI$7&amp;$CE17,1)</f>
        <v>0</v>
      </c>
      <c r="CJ17" s="539" cm="1">
        <f t="array" aca="1" ref="CJ17" ca="1">INDIRECT($BM$2&amp;CJ$7&amp;$CE17,1)</f>
        <v>0</v>
      </c>
      <c r="CK17" s="539" t="str">
        <f t="shared" ca="1" si="2"/>
        <v>-</v>
      </c>
      <c r="CU17" s="469" t="s">
        <v>5510</v>
      </c>
      <c r="CV17" s="372"/>
      <c r="CW17" s="477" t="s">
        <v>5777</v>
      </c>
      <c r="CX17" s="477" t="s">
        <v>8124</v>
      </c>
      <c r="CY17" s="477" t="s">
        <v>6007</v>
      </c>
      <c r="CZ17" s="477" t="s">
        <v>6008</v>
      </c>
      <c r="DA17" s="477" t="s">
        <v>36</v>
      </c>
      <c r="DB17" s="477" t="s">
        <v>37</v>
      </c>
      <c r="DC17" s="504" t="s">
        <v>36</v>
      </c>
      <c r="DD17" s="504" t="s">
        <v>37</v>
      </c>
      <c r="DE17" s="504" t="s">
        <v>36</v>
      </c>
      <c r="DF17" s="504" t="s">
        <v>37</v>
      </c>
      <c r="DG17" s="504" t="s">
        <v>36</v>
      </c>
      <c r="DH17" s="504" t="s">
        <v>37</v>
      </c>
      <c r="DI17" s="504" t="s">
        <v>36</v>
      </c>
      <c r="DJ17" s="504" t="s">
        <v>37</v>
      </c>
      <c r="DK17" s="504" t="s">
        <v>36</v>
      </c>
      <c r="DL17" s="504" t="s">
        <v>37</v>
      </c>
      <c r="DM17" s="504" t="s">
        <v>36</v>
      </c>
      <c r="DN17" s="504" t="s">
        <v>37</v>
      </c>
      <c r="EQ17" s="469" t="s">
        <v>5510</v>
      </c>
      <c r="ER17" s="20" t="s">
        <v>99</v>
      </c>
      <c r="ES17" s="624" t="str" cm="1">
        <f t="array" aca="1" ref="ES17" ca="1">IF(INDIRECT($ES$23&amp;ES$18&amp;$FI17,1)="","",INDIRECT($ES$23&amp;ES$18&amp;$FI17,1))</f>
        <v/>
      </c>
      <c r="ET17" s="624" t="str" cm="1">
        <f t="array" aca="1" ref="ET17" ca="1">IF(INDIRECT($ES$23&amp;ET$18&amp;$FI17,1)="","",INDIRECT($ES$23&amp;ET$18&amp;$FI17,1))</f>
        <v/>
      </c>
      <c r="EU17" s="624" t="str" cm="1">
        <f t="array" aca="1" ref="EU17" ca="1">IF(INDIRECT($ES$23&amp;EU$18&amp;$FI17,1)="","",INDIRECT($ES$23&amp;EU$18&amp;$FI17,1))</f>
        <v/>
      </c>
      <c r="EV17" s="624" t="str" cm="1">
        <f t="array" aca="1" ref="EV17" ca="1">IF(INDIRECT($ES$23&amp;EV$18&amp;$FI17,1)="","",INDIRECT($ES$23&amp;EV$18&amp;$FI17,1))</f>
        <v/>
      </c>
      <c r="EW17" s="624" t="str" cm="1">
        <f t="array" aca="1" ref="EW17" ca="1">IF(INDIRECT($ES$23&amp;EW$18&amp;$FI17,1)="","",INDIRECT($ES$23&amp;EW$18&amp;$FI17,1))</f>
        <v/>
      </c>
      <c r="EX17" s="624" t="str" cm="1">
        <f t="array" aca="1" ref="EX17" ca="1">IF(INDIRECT($ES$23&amp;EX$18&amp;$FI17,1)="","",INDIRECT($ES$23&amp;EX$18&amp;$FI17,1))</f>
        <v/>
      </c>
      <c r="EY17" s="624" t="str" cm="1">
        <f t="array" aca="1" ref="EY17" ca="1">IF(INDIRECT($ES$23&amp;EY$18&amp;$FI17,1)="","",INDIRECT($ES$23&amp;EY$18&amp;$FI17,1))</f>
        <v/>
      </c>
      <c r="EZ17" s="624" t="str" cm="1">
        <f t="array" aca="1" ref="EZ17" ca="1">IF(INDIRECT($ES$23&amp;EZ$18&amp;$FI17,1)="","",INDIRECT($ES$23&amp;EZ$18&amp;$FI17,1))</f>
        <v/>
      </c>
      <c r="FA17" s="716" t="str" cm="1">
        <f t="array" aca="1" ref="FA17" ca="1">IF(INDIRECT($ES$23&amp;FA$18&amp;$FI17,1)="","",INDIRECT($ES$23&amp;FA$18&amp;$FI17,1))</f>
        <v/>
      </c>
      <c r="FB17" s="716" t="str" cm="1">
        <f t="array" aca="1" ref="FB17" ca="1">IF(INDIRECT($ES$23&amp;FB$18&amp;$FI17,1)="","",INDIRECT($ES$23&amp;FB$18&amp;$FI17,1))</f>
        <v/>
      </c>
      <c r="FC17" s="716" t="str" cm="1">
        <f t="array" aca="1" ref="FC17" ca="1">IF(INDIRECT($ES$23&amp;FC$18&amp;$FI17,1)="","",INDIRECT($ES$23&amp;FC$18&amp;$FI17,1))</f>
        <v/>
      </c>
      <c r="FD17" s="716" t="str" cm="1">
        <f t="array" aca="1" ref="FD17" ca="1">IF(INDIRECT($ES$23&amp;FD$18&amp;$FI17,1)="","",INDIRECT($ES$23&amp;FD$18&amp;$FI17,1))</f>
        <v/>
      </c>
      <c r="FE17" s="716" t="str" cm="1">
        <f t="array" aca="1" ref="FE17" ca="1">IF(INDIRECT($ES$23&amp;FE$18&amp;$FI17,1)="","",INDIRECT($ES$23&amp;FE$18&amp;$FI17,1))</f>
        <v/>
      </c>
      <c r="FF17" s="716" t="str" cm="1">
        <f t="array" aca="1" ref="FF17" ca="1">IF(INDIRECT($ES$23&amp;FF$18&amp;$FI17,1)="","",INDIRECT($ES$23&amp;FF$18&amp;$FI17,1))</f>
        <v/>
      </c>
      <c r="FG17" s="716" t="str" cm="1">
        <f t="array" aca="1" ref="FG17" ca="1">IF(INDIRECT($ES$23&amp;FG$18&amp;$FI17,1)="","",INDIRECT($ES$23&amp;FG$18&amp;$FI17,1))</f>
        <v/>
      </c>
      <c r="FH17" s="716" t="str" cm="1">
        <f t="array" aca="1" ref="FH17" ca="1">IF(INDIRECT($ES$23&amp;FH$18&amp;$FI17,1)="","",INDIRECT($ES$23&amp;FH$18&amp;$FI17,1))</f>
        <v/>
      </c>
      <c r="FI17" s="624">
        <v>46</v>
      </c>
    </row>
    <row r="18" spans="48:175" s="20" customFormat="1" x14ac:dyDescent="0.25">
      <c r="AV18" s="469" t="s">
        <v>5510</v>
      </c>
      <c r="AW18" s="555" t="s">
        <v>6548</v>
      </c>
      <c r="AX18" s="555">
        <f ca="1">COUNTIF(INDIRECT(AW18,1),"*vivo*")</f>
        <v>0</v>
      </c>
      <c r="BB18" s="469" t="s">
        <v>5510</v>
      </c>
      <c r="BF18" s="469" t="s">
        <v>5510</v>
      </c>
      <c r="BG18" s="469"/>
      <c r="BH18" s="539" t="s">
        <v>8037</v>
      </c>
      <c r="BI18" s="539">
        <f t="shared" si="3"/>
        <v>21</v>
      </c>
      <c r="BJ18" s="539" cm="1">
        <f t="array" aca="1" ref="BJ18" ca="1">INDIRECT($BM$2&amp;BJ$7&amp;$BI18,1)</f>
        <v>0</v>
      </c>
      <c r="BK18" s="539" cm="1">
        <f t="array" aca="1" ref="BK18" ca="1">INDIRECT($BM$2&amp;BK$7&amp;$BI18,1)</f>
        <v>0</v>
      </c>
      <c r="BL18" s="539" cm="1">
        <f t="array" aca="1" ref="BL18" ca="1">INDIRECT($BM$2&amp;BL$7&amp;$BI18,1)</f>
        <v>0</v>
      </c>
      <c r="BM18" s="539" cm="1">
        <f t="array" aca="1" ref="BM18" ca="1">INDIRECT($BM$2&amp;BM$7&amp;$BI18,1)</f>
        <v>0</v>
      </c>
      <c r="BN18" s="539" cm="1">
        <f t="array" aca="1" ref="BN18" ca="1">INDIRECT($BM$2&amp;BN$7&amp;$BI18,1)</f>
        <v>0</v>
      </c>
      <c r="BO18" s="539" t="str">
        <f t="shared" ca="1" si="0"/>
        <v>-</v>
      </c>
      <c r="BP18" s="372"/>
      <c r="BR18" s="469">
        <v>9</v>
      </c>
      <c r="BS18" s="539" t="s">
        <v>8037</v>
      </c>
      <c r="BT18" s="539">
        <f t="shared" si="4"/>
        <v>367</v>
      </c>
      <c r="BU18" s="539" cm="1">
        <f t="array" aca="1" ref="BU18" ca="1">INDIRECT($BM$2&amp;BU$7&amp;$BT18,1)</f>
        <v>0</v>
      </c>
      <c r="BV18" s="539" cm="1">
        <f t="array" aca="1" ref="BV18" ca="1">INDIRECT($BM$2&amp;BV$7&amp;$BT18,1)</f>
        <v>0</v>
      </c>
      <c r="BW18" s="539" cm="1">
        <f t="array" aca="1" ref="BW18" ca="1">INDIRECT($BM$2&amp;BW$7&amp;$BT18,1)</f>
        <v>0</v>
      </c>
      <c r="BX18" s="539" cm="1">
        <f t="array" aca="1" ref="BX18" ca="1">INDIRECT($BM$2&amp;BX$7&amp;$BT18,1)</f>
        <v>0</v>
      </c>
      <c r="BY18" s="539" cm="1">
        <f t="array" aca="1" ref="BY18" ca="1">INDIRECT($BM$2&amp;BY$7&amp;$BT18,1)</f>
        <v>0</v>
      </c>
      <c r="BZ18" s="539" t="str">
        <f t="shared" ca="1" si="1"/>
        <v>-</v>
      </c>
      <c r="CC18" s="469">
        <v>9</v>
      </c>
      <c r="CD18" s="539" t="s">
        <v>8037</v>
      </c>
      <c r="CE18" s="539">
        <f t="shared" si="5"/>
        <v>713</v>
      </c>
      <c r="CF18" s="539" cm="1">
        <f t="array" aca="1" ref="CF18" ca="1">INDIRECT($BM$2&amp;CF$7&amp;$CE18,1)</f>
        <v>0</v>
      </c>
      <c r="CG18" s="539" cm="1">
        <f t="array" aca="1" ref="CG18" ca="1">INDIRECT($BM$2&amp;CG$7&amp;$CE18,1)</f>
        <v>0</v>
      </c>
      <c r="CH18" s="539" cm="1">
        <f t="array" aca="1" ref="CH18" ca="1">INDIRECT($BM$2&amp;CH$7&amp;$CE18,1)</f>
        <v>0</v>
      </c>
      <c r="CI18" s="539" cm="1">
        <f t="array" aca="1" ref="CI18" ca="1">INDIRECT($BM$2&amp;CI$7&amp;$CE18,1)</f>
        <v>0</v>
      </c>
      <c r="CJ18" s="539" cm="1">
        <f t="array" aca="1" ref="CJ18" ca="1">INDIRECT($BM$2&amp;CJ$7&amp;$CE18,1)</f>
        <v>0</v>
      </c>
      <c r="CK18" s="539" t="str">
        <f t="shared" ca="1" si="2"/>
        <v>-</v>
      </c>
      <c r="CO18" s="479" t="s">
        <v>8060</v>
      </c>
      <c r="CQ18" s="479" t="s">
        <v>120</v>
      </c>
      <c r="CU18" s="469" t="s">
        <v>5510</v>
      </c>
      <c r="CV18" s="372"/>
      <c r="CW18" s="492" t="s">
        <v>5774</v>
      </c>
      <c r="CX18" s="492">
        <f>MATCH(CW18,$CV$1:$CV$110,0)</f>
        <v>31</v>
      </c>
      <c r="CY18" s="480">
        <f>CZ10</f>
        <v>13</v>
      </c>
      <c r="CZ18" s="480">
        <f>CY18</f>
        <v>13</v>
      </c>
      <c r="DA18" s="492" t="s">
        <v>79</v>
      </c>
      <c r="DB18" s="492" t="s">
        <v>79</v>
      </c>
      <c r="DC18" s="557" t="str">
        <f ca="1">IFERROR(AVERAGEIFS(
CX$31:CX$110,
$CV31:$CV110,$CW18,
CX$31:CX$110,"&lt;&gt;0"),"")</f>
        <v/>
      </c>
      <c r="DD18" s="557" t="str">
        <f ca="1">IFERROR(AVERAGEIFS(
CY$31:CY$110,
$CV31:$CV110,$CW18,
CY$31:CY$110,"&lt;&gt;0"),"")</f>
        <v/>
      </c>
      <c r="DE18" s="492" t="str">
        <f ca="1">IF(SUMIF($CV$31:$CV$110,$CW18,CZ$31:CZ$110)=0,"",SUMIF($CV$31:$CV$110,$CW18,CZ$31:CZ$110))</f>
        <v/>
      </c>
      <c r="DF18" s="492" t="str">
        <f ca="1">IF(SUMIF($CV$31:$CV$110,$CW18,DA$31:DA$110)=0,"",SUMIF($CV$31:$CV$110,$CW18,DA$31:DA$110))</f>
        <v/>
      </c>
      <c r="DG18" s="492" t="str">
        <f ca="1">IF(SUMIF($CV$31:$CV$110,$CW18,DB$31:DB$110)=0,"",SUMIF($CV$31:$CV$110,$CW18,DB$31:DB$110))</f>
        <v/>
      </c>
      <c r="DH18" s="492" t="str">
        <f ca="1">IF(SUMIF($CV$31:$CV$110,$CW18,DC$31:DC$110)=0,"",SUMIF($CV$31:$CV$110,$CW18,DC$31:DC$110))</f>
        <v/>
      </c>
      <c r="DI18" s="492" t="str">
        <f ca="1">IFERROR(DG18/DE18,"")</f>
        <v/>
      </c>
      <c r="DJ18" s="492" t="str">
        <f ca="1">IFERROR(DH18/DF18,"")</f>
        <v/>
      </c>
      <c r="DK18" s="492" t="str">
        <f ca="1">IF(DI18="","",IFERROR(DI18/$DI$18,"?"))</f>
        <v/>
      </c>
      <c r="DL18" s="492" t="str">
        <f ca="1">IF(DJ18="","",IFERROR(DJ18/$DI$18,"?"))</f>
        <v/>
      </c>
      <c r="DM18" s="492" t="str">
        <f ca="1">IF(DI18="","",IF(DI18&gt;=DI$25,1,0))</f>
        <v/>
      </c>
      <c r="DN18" s="492" t="str">
        <f ca="1">IF(DJ18="","",IF(DJ18&gt;=DJ$25,1,0))</f>
        <v/>
      </c>
      <c r="EQ18" s="469" t="s">
        <v>5510</v>
      </c>
      <c r="ER18" s="20" t="s">
        <v>5990</v>
      </c>
      <c r="ES18" s="624" t="s">
        <v>5982</v>
      </c>
      <c r="ET18" s="539" t="s">
        <v>5951</v>
      </c>
      <c r="EU18" s="624" t="s">
        <v>5734</v>
      </c>
      <c r="EV18" s="624" t="s">
        <v>5732</v>
      </c>
      <c r="EW18" s="624" t="s">
        <v>5737</v>
      </c>
      <c r="EX18" s="539" t="s">
        <v>5739</v>
      </c>
      <c r="EY18" s="539" t="s">
        <v>5907</v>
      </c>
      <c r="EZ18" s="539" t="s">
        <v>5531</v>
      </c>
      <c r="FA18" s="717" t="s">
        <v>5983</v>
      </c>
      <c r="FB18" s="717" t="s">
        <v>5991</v>
      </c>
      <c r="FC18" s="717" t="s">
        <v>5984</v>
      </c>
      <c r="FD18" s="717" t="s">
        <v>5985</v>
      </c>
      <c r="FE18" s="717" t="s">
        <v>5986</v>
      </c>
      <c r="FF18" s="717" t="s">
        <v>5988</v>
      </c>
      <c r="FG18" s="717" t="s">
        <v>5987</v>
      </c>
      <c r="FH18" s="717" t="s">
        <v>5989</v>
      </c>
    </row>
    <row r="19" spans="48:175" s="20" customFormat="1" x14ac:dyDescent="0.25">
      <c r="AV19" s="469" t="s">
        <v>5510</v>
      </c>
      <c r="BB19" s="469" t="s">
        <v>5510</v>
      </c>
      <c r="BF19" s="469" t="s">
        <v>5510</v>
      </c>
      <c r="BG19" s="469"/>
      <c r="BH19" s="539" t="s">
        <v>8037</v>
      </c>
      <c r="BI19" s="539">
        <f t="shared" si="3"/>
        <v>22</v>
      </c>
      <c r="BJ19" s="539" cm="1">
        <f t="array" aca="1" ref="BJ19" ca="1">INDIRECT($BM$2&amp;BJ$7&amp;$BI19,1)</f>
        <v>0</v>
      </c>
      <c r="BK19" s="539" cm="1">
        <f t="array" aca="1" ref="BK19" ca="1">INDIRECT($BM$2&amp;BK$7&amp;$BI19,1)</f>
        <v>0</v>
      </c>
      <c r="BL19" s="539" cm="1">
        <f t="array" aca="1" ref="BL19" ca="1">INDIRECT($BM$2&amp;BL$7&amp;$BI19,1)</f>
        <v>0</v>
      </c>
      <c r="BM19" s="539" cm="1">
        <f t="array" aca="1" ref="BM19" ca="1">INDIRECT($BM$2&amp;BM$7&amp;$BI19,1)</f>
        <v>0</v>
      </c>
      <c r="BN19" s="539" cm="1">
        <f t="array" aca="1" ref="BN19" ca="1">INDIRECT($BM$2&amp;BN$7&amp;$BI19,1)</f>
        <v>0</v>
      </c>
      <c r="BO19" s="539" t="str">
        <f t="shared" ca="1" si="0"/>
        <v>-</v>
      </c>
      <c r="BP19" s="372"/>
      <c r="BR19" s="469">
        <v>10</v>
      </c>
      <c r="BS19" s="539" t="s">
        <v>8037</v>
      </c>
      <c r="BT19" s="539">
        <f t="shared" si="4"/>
        <v>368</v>
      </c>
      <c r="BU19" s="539" cm="1">
        <f t="array" aca="1" ref="BU19" ca="1">INDIRECT($BM$2&amp;BU$7&amp;$BT19,1)</f>
        <v>0</v>
      </c>
      <c r="BV19" s="539" cm="1">
        <f t="array" aca="1" ref="BV19" ca="1">INDIRECT($BM$2&amp;BV$7&amp;$BT19,1)</f>
        <v>0</v>
      </c>
      <c r="BW19" s="539" cm="1">
        <f t="array" aca="1" ref="BW19" ca="1">INDIRECT($BM$2&amp;BW$7&amp;$BT19,1)</f>
        <v>0</v>
      </c>
      <c r="BX19" s="539" cm="1">
        <f t="array" aca="1" ref="BX19" ca="1">INDIRECT($BM$2&amp;BX$7&amp;$BT19,1)</f>
        <v>0</v>
      </c>
      <c r="BY19" s="539" cm="1">
        <f t="array" aca="1" ref="BY19" ca="1">INDIRECT($BM$2&amp;BY$7&amp;$BT19,1)</f>
        <v>0</v>
      </c>
      <c r="BZ19" s="539" t="str">
        <f t="shared" ca="1" si="1"/>
        <v>-</v>
      </c>
      <c r="CC19" s="469">
        <v>10</v>
      </c>
      <c r="CD19" s="539" t="s">
        <v>8037</v>
      </c>
      <c r="CE19" s="539">
        <f t="shared" si="5"/>
        <v>714</v>
      </c>
      <c r="CF19" s="539" cm="1">
        <f t="array" aca="1" ref="CF19" ca="1">INDIRECT($BM$2&amp;CF$7&amp;$CE19,1)</f>
        <v>0</v>
      </c>
      <c r="CG19" s="539" cm="1">
        <f t="array" aca="1" ref="CG19" ca="1">INDIRECT($BM$2&amp;CG$7&amp;$CE19,1)</f>
        <v>0</v>
      </c>
      <c r="CH19" s="539" cm="1">
        <f t="array" aca="1" ref="CH19" ca="1">INDIRECT($BM$2&amp;CH$7&amp;$CE19,1)</f>
        <v>0</v>
      </c>
      <c r="CI19" s="539" cm="1">
        <f t="array" aca="1" ref="CI19" ca="1">INDIRECT($BM$2&amp;CI$7&amp;$CE19,1)</f>
        <v>0</v>
      </c>
      <c r="CJ19" s="539" cm="1">
        <f t="array" aca="1" ref="CJ19" ca="1">INDIRECT($BM$2&amp;CJ$7&amp;$CE19,1)</f>
        <v>0</v>
      </c>
      <c r="CK19" s="539" t="str">
        <f t="shared" ca="1" si="2"/>
        <v>-</v>
      </c>
      <c r="CO19" s="537" t="s">
        <v>8061</v>
      </c>
      <c r="CP19" s="480" t="s">
        <v>7651</v>
      </c>
      <c r="CQ19" s="537" t="str" cm="1">
        <f t="array" aca="1" ref="CQ19" ca="1">IF(INDIRECT($BI$2&amp;$CP19)&lt;&gt;0,INDIRECT($BI$2&amp;$CP19),"-")</f>
        <v>-</v>
      </c>
      <c r="CU19" s="469" t="s">
        <v>5510</v>
      </c>
      <c r="CV19" s="372"/>
      <c r="CW19" s="492">
        <v>1</v>
      </c>
      <c r="CX19" s="492">
        <f t="shared" ref="CX19:CX25" si="6">MATCH(CW19,$CV$1:$CV$110,0)</f>
        <v>51</v>
      </c>
      <c r="CY19" s="480">
        <f>CZ12</f>
        <v>46</v>
      </c>
      <c r="CZ19" s="480">
        <f>CY19+1</f>
        <v>47</v>
      </c>
      <c r="DA19" s="492" t="str" cm="1">
        <f t="array" aca="1" ref="DA19" ca="1">IF(INDIRECT($DD$2&amp;$CZ$15&amp;CY19,1)&lt;&gt;0,INDIRECT($DD$2&amp;$CZ$15&amp;CY19,1),"-")</f>
        <v>-</v>
      </c>
      <c r="DB19" s="492" t="str" cm="1">
        <f t="array" aca="1" ref="DB19" ca="1">IF(INDIRECT($DD$2&amp;$CZ$15&amp;CZ19,1)&lt;&gt;0,INDIRECT($DD$2&amp;$CZ$15&amp;CZ19,1),"-")</f>
        <v>-</v>
      </c>
      <c r="DC19" s="557" t="str">
        <f t="shared" ref="DC19:DC25" ca="1" si="7">IFERROR(AVERAGEIFS(
CX$31:CX$110,
$CV32:$CV111,$CW19,
CX$31:CX$110,"&lt;&gt;0"),"")</f>
        <v/>
      </c>
      <c r="DD19" s="557" t="str">
        <f t="shared" ref="DD19:DD25" ca="1" si="8">IFERROR(AVERAGEIFS(
CY$31:CY$110,
$CV32:$CV111,$CW19,
CY$31:CY$110,"&lt;&gt;0"),"")</f>
        <v/>
      </c>
      <c r="DE19" s="492" t="str">
        <f t="shared" ref="DE19:DE25" ca="1" si="9">IF(SUMIF($CV$31:$CV$110,$CW19,CZ$31:CZ$110)=0,"",SUMIF($CV$31:$CV$110,$CW19,CZ$31:CZ$110))</f>
        <v/>
      </c>
      <c r="DF19" s="492" t="str">
        <f t="shared" ref="DF19:DF25" ca="1" si="10">IF(SUMIF($CV$31:$CV$110,$CW19,DA$31:DA$110)=0,"",SUMIF($CV$31:$CV$110,$CW19,DA$31:DA$110))</f>
        <v/>
      </c>
      <c r="DG19" s="492" t="str">
        <f t="shared" ref="DG19:DG25" ca="1" si="11">IF(SUMIF($CV$31:$CV$110,$CW19,DB$31:DB$110)=0,"",SUMIF($CV$31:$CV$110,$CW19,DB$31:DB$110))</f>
        <v/>
      </c>
      <c r="DH19" s="492" t="str">
        <f ca="1">IF(SUMIF($CV$31:$CV$110,$CW19,DC$31:DC$110)=0,"",SUMIF($CV$31:$CV$110,$CW19,DC$31:DC$110))</f>
        <v/>
      </c>
      <c r="DI19" s="492" t="str">
        <f t="shared" ref="DI19:DI25" ca="1" si="12">IFERROR(DG19/DE19,"")</f>
        <v/>
      </c>
      <c r="DJ19" s="492" t="str">
        <f ca="1">IFERROR(DH19/DF19,"")</f>
        <v/>
      </c>
      <c r="DK19" s="492" t="str">
        <f t="shared" ref="DK19:DK25" ca="1" si="13">IF(DI19="","",IFERROR(DI19/$DI$18,"?"))</f>
        <v/>
      </c>
      <c r="DL19" s="492" t="str">
        <f t="shared" ref="DL19:DL25" ca="1" si="14">IF(DJ19="","",IFERROR(DJ19/$DI$18,"?"))</f>
        <v/>
      </c>
      <c r="DM19" s="492" t="str">
        <f t="shared" ref="DM19:DM25" ca="1" si="15">IF(DI19="","",IF(DI19&gt;=DI$25,1,0))</f>
        <v/>
      </c>
      <c r="DN19" s="492" t="str">
        <f t="shared" ref="DN19:DN25" ca="1" si="16">IF(DJ19="","",IF(DJ19&gt;=DJ$25,1,0))</f>
        <v/>
      </c>
      <c r="EQ19" s="469" t="s">
        <v>5510</v>
      </c>
      <c r="FL19" s="643">
        <v>17</v>
      </c>
      <c r="FM19" s="20" t="s">
        <v>5741</v>
      </c>
      <c r="FN19" s="472"/>
      <c r="FO19" s="20" t="s">
        <v>5742</v>
      </c>
      <c r="FP19" s="372"/>
      <c r="FQ19" s="20" t="s">
        <v>5743</v>
      </c>
    </row>
    <row r="20" spans="48:175" s="20" customFormat="1" x14ac:dyDescent="0.25">
      <c r="AV20" s="469" t="s">
        <v>5510</v>
      </c>
      <c r="AW20" s="20" t="s">
        <v>6545</v>
      </c>
      <c r="BB20" s="469" t="s">
        <v>5510</v>
      </c>
      <c r="BF20" s="469" t="s">
        <v>5510</v>
      </c>
      <c r="BG20" s="469"/>
      <c r="BH20" s="539" t="s">
        <v>8037</v>
      </c>
      <c r="BI20" s="539">
        <f t="shared" si="3"/>
        <v>23</v>
      </c>
      <c r="BJ20" s="539" cm="1">
        <f t="array" aca="1" ref="BJ20" ca="1">INDIRECT($BM$2&amp;BJ$7&amp;$BI20,1)</f>
        <v>0</v>
      </c>
      <c r="BK20" s="539" cm="1">
        <f t="array" aca="1" ref="BK20" ca="1">INDIRECT($BM$2&amp;BK$7&amp;$BI20,1)</f>
        <v>0</v>
      </c>
      <c r="BL20" s="539" cm="1">
        <f t="array" aca="1" ref="BL20" ca="1">INDIRECT($BM$2&amp;BL$7&amp;$BI20,1)</f>
        <v>0</v>
      </c>
      <c r="BM20" s="539" cm="1">
        <f t="array" aca="1" ref="BM20" ca="1">INDIRECT($BM$2&amp;BM$7&amp;$BI20,1)</f>
        <v>0</v>
      </c>
      <c r="BN20" s="539" cm="1">
        <f t="array" aca="1" ref="BN20" ca="1">INDIRECT($BM$2&amp;BN$7&amp;$BI20,1)</f>
        <v>0</v>
      </c>
      <c r="BO20" s="539" t="str">
        <f t="shared" ca="1" si="0"/>
        <v>-</v>
      </c>
      <c r="BP20" s="372"/>
      <c r="BR20" s="469">
        <v>11</v>
      </c>
      <c r="BS20" s="539" t="s">
        <v>8037</v>
      </c>
      <c r="BT20" s="539">
        <f t="shared" si="4"/>
        <v>369</v>
      </c>
      <c r="BU20" s="539" cm="1">
        <f t="array" aca="1" ref="BU20" ca="1">INDIRECT($BM$2&amp;BU$7&amp;$BT20,1)</f>
        <v>0</v>
      </c>
      <c r="BV20" s="539" cm="1">
        <f t="array" aca="1" ref="BV20" ca="1">INDIRECT($BM$2&amp;BV$7&amp;$BT20,1)</f>
        <v>0</v>
      </c>
      <c r="BW20" s="539" cm="1">
        <f t="array" aca="1" ref="BW20" ca="1">INDIRECT($BM$2&amp;BW$7&amp;$BT20,1)</f>
        <v>0</v>
      </c>
      <c r="BX20" s="539" cm="1">
        <f t="array" aca="1" ref="BX20" ca="1">INDIRECT($BM$2&amp;BX$7&amp;$BT20,1)</f>
        <v>0</v>
      </c>
      <c r="BY20" s="539" cm="1">
        <f t="array" aca="1" ref="BY20" ca="1">INDIRECT($BM$2&amp;BY$7&amp;$BT20,1)</f>
        <v>0</v>
      </c>
      <c r="BZ20" s="539" t="str">
        <f t="shared" ca="1" si="1"/>
        <v>-</v>
      </c>
      <c r="CC20" s="469">
        <v>11</v>
      </c>
      <c r="CD20" s="539" t="s">
        <v>8037</v>
      </c>
      <c r="CE20" s="539">
        <f t="shared" si="5"/>
        <v>715</v>
      </c>
      <c r="CF20" s="539" cm="1">
        <f t="array" aca="1" ref="CF20" ca="1">INDIRECT($BM$2&amp;CF$7&amp;$CE20,1)</f>
        <v>0</v>
      </c>
      <c r="CG20" s="539" cm="1">
        <f t="array" aca="1" ref="CG20" ca="1">INDIRECT($BM$2&amp;CG$7&amp;$CE20,1)</f>
        <v>0</v>
      </c>
      <c r="CH20" s="539" cm="1">
        <f t="array" aca="1" ref="CH20" ca="1">INDIRECT($BM$2&amp;CH$7&amp;$CE20,1)</f>
        <v>0</v>
      </c>
      <c r="CI20" s="539" cm="1">
        <f t="array" aca="1" ref="CI20" ca="1">INDIRECT($BM$2&amp;CI$7&amp;$CE20,1)</f>
        <v>0</v>
      </c>
      <c r="CJ20" s="539" cm="1">
        <f t="array" aca="1" ref="CJ20" ca="1">INDIRECT($BM$2&amp;CJ$7&amp;$CE20,1)</f>
        <v>0</v>
      </c>
      <c r="CK20" s="539" t="str">
        <f t="shared" ca="1" si="2"/>
        <v>-</v>
      </c>
      <c r="CO20" s="537" t="s">
        <v>5724</v>
      </c>
      <c r="CP20" s="480" t="s">
        <v>7652</v>
      </c>
      <c r="CQ20" s="537" t="str" cm="1">
        <f t="array" aca="1" ref="CQ20" ca="1">IF(INDIRECT($BI$2&amp;$CP20)&lt;&gt;0,INDIRECT($BI$2&amp;$CP20),"-")</f>
        <v>-</v>
      </c>
      <c r="CU20" s="469" t="s">
        <v>5510</v>
      </c>
      <c r="CV20" s="372"/>
      <c r="CW20" s="492">
        <v>2</v>
      </c>
      <c r="CX20" s="492">
        <f t="shared" si="6"/>
        <v>61</v>
      </c>
      <c r="CY20" s="480">
        <f>CY19+$CZ$13</f>
        <v>63</v>
      </c>
      <c r="CZ20" s="480">
        <f t="shared" ref="CZ20:CZ24" si="17">CY20+1</f>
        <v>64</v>
      </c>
      <c r="DA20" s="492" t="str" cm="1">
        <f t="array" aca="1" ref="DA20" ca="1">IF(INDIRECT($DD$2&amp;$CZ$15&amp;CY20,1)&lt;&gt;0,INDIRECT($DD$2&amp;$CZ$15&amp;CY20,1),"-")</f>
        <v>-</v>
      </c>
      <c r="DB20" s="492" t="str" cm="1">
        <f t="array" aca="1" ref="DB20" ca="1">IF(INDIRECT($DD$2&amp;$CZ$15&amp;CZ20,1)&lt;&gt;0,INDIRECT($DD$2&amp;$CZ$15&amp;CZ20,1),"-")</f>
        <v>-</v>
      </c>
      <c r="DC20" s="557" t="str">
        <f t="shared" ca="1" si="7"/>
        <v/>
      </c>
      <c r="DD20" s="557" t="str">
        <f t="shared" ca="1" si="8"/>
        <v/>
      </c>
      <c r="DE20" s="492" t="str">
        <f t="shared" ca="1" si="9"/>
        <v/>
      </c>
      <c r="DF20" s="492" t="str">
        <f t="shared" ca="1" si="10"/>
        <v/>
      </c>
      <c r="DG20" s="492" t="str">
        <f t="shared" ca="1" si="11"/>
        <v/>
      </c>
      <c r="DH20" s="492" t="str">
        <f ca="1">IF(SUMIF($CV$31:$CV$110,$CW20,DC$31:DC$110)=0,"",SUMIF($CV$31:$CV$110,$CW20,DC$31:DC$110))</f>
        <v/>
      </c>
      <c r="DI20" s="492" t="str">
        <f t="shared" ca="1" si="12"/>
        <v/>
      </c>
      <c r="DJ20" s="492" t="str">
        <f ca="1">IFERROR(DH20/DF20,"")</f>
        <v/>
      </c>
      <c r="DK20" s="492" t="str">
        <f t="shared" ca="1" si="13"/>
        <v/>
      </c>
      <c r="DL20" s="492" t="str">
        <f t="shared" ca="1" si="14"/>
        <v/>
      </c>
      <c r="DM20" s="492" t="str">
        <f t="shared" ca="1" si="15"/>
        <v/>
      </c>
      <c r="DN20" s="492" t="str">
        <f t="shared" ca="1" si="16"/>
        <v/>
      </c>
      <c r="EQ20" s="469" t="s">
        <v>5510</v>
      </c>
      <c r="FL20" s="372"/>
      <c r="FM20" s="597" t="s">
        <v>5774</v>
      </c>
      <c r="FN20" s="597" t="s">
        <v>5775</v>
      </c>
      <c r="FO20" s="597" t="s">
        <v>5774</v>
      </c>
      <c r="FP20" s="597" t="s">
        <v>5775</v>
      </c>
      <c r="FQ20" s="597" t="s">
        <v>5774</v>
      </c>
      <c r="FR20" s="597" t="s">
        <v>5775</v>
      </c>
    </row>
    <row r="21" spans="48:175" s="20" customFormat="1" x14ac:dyDescent="0.25">
      <c r="AV21" s="469" t="s">
        <v>5510</v>
      </c>
      <c r="AW21" s="479" t="s">
        <v>6546</v>
      </c>
      <c r="AX21" s="479" t="s">
        <v>6133</v>
      </c>
      <c r="AY21" s="479" t="s">
        <v>18</v>
      </c>
      <c r="BB21" s="469" t="s">
        <v>5510</v>
      </c>
      <c r="BF21" s="469" t="s">
        <v>5510</v>
      </c>
      <c r="BG21" s="469"/>
      <c r="BH21" s="539" t="s">
        <v>8037</v>
      </c>
      <c r="BI21" s="539">
        <f t="shared" si="3"/>
        <v>24</v>
      </c>
      <c r="BJ21" s="539" cm="1">
        <f t="array" aca="1" ref="BJ21" ca="1">INDIRECT($BM$2&amp;BJ$7&amp;$BI21,1)</f>
        <v>0</v>
      </c>
      <c r="BK21" s="539" cm="1">
        <f t="array" aca="1" ref="BK21" ca="1">INDIRECT($BM$2&amp;BK$7&amp;$BI21,1)</f>
        <v>0</v>
      </c>
      <c r="BL21" s="539" cm="1">
        <f t="array" aca="1" ref="BL21" ca="1">INDIRECT($BM$2&amp;BL$7&amp;$BI21,1)</f>
        <v>0</v>
      </c>
      <c r="BM21" s="539" cm="1">
        <f t="array" aca="1" ref="BM21" ca="1">INDIRECT($BM$2&amp;BM$7&amp;$BI21,1)</f>
        <v>0</v>
      </c>
      <c r="BN21" s="539" t="str" cm="1">
        <f t="array" aca="1" ref="BN21" ca="1">INDIRECT($BM$2&amp;BN$7&amp;$BI21,1)</f>
        <v>-</v>
      </c>
      <c r="BO21" s="539" t="str">
        <f t="shared" ca="1" si="0"/>
        <v>-</v>
      </c>
      <c r="BP21" s="372"/>
      <c r="BR21" s="469">
        <v>12</v>
      </c>
      <c r="BS21" s="539" t="s">
        <v>8037</v>
      </c>
      <c r="BT21" s="539">
        <f t="shared" si="4"/>
        <v>370</v>
      </c>
      <c r="BU21" s="539" cm="1">
        <f t="array" aca="1" ref="BU21" ca="1">INDIRECT($BM$2&amp;BU$7&amp;$BT21,1)</f>
        <v>0</v>
      </c>
      <c r="BV21" s="539" cm="1">
        <f t="array" aca="1" ref="BV21" ca="1">INDIRECT($BM$2&amp;BV$7&amp;$BT21,1)</f>
        <v>0</v>
      </c>
      <c r="BW21" s="539" cm="1">
        <f t="array" aca="1" ref="BW21" ca="1">INDIRECT($BM$2&amp;BW$7&amp;$BT21,1)</f>
        <v>0</v>
      </c>
      <c r="BX21" s="539" cm="1">
        <f t="array" aca="1" ref="BX21" ca="1">INDIRECT($BM$2&amp;BX$7&amp;$BT21,1)</f>
        <v>0</v>
      </c>
      <c r="BY21" s="539" t="str" cm="1">
        <f t="array" aca="1" ref="BY21" ca="1">INDIRECT($BM$2&amp;BY$7&amp;$BT21,1)</f>
        <v>-</v>
      </c>
      <c r="BZ21" s="539" t="str">
        <f t="shared" ca="1" si="1"/>
        <v>-</v>
      </c>
      <c r="CC21" s="469">
        <v>12</v>
      </c>
      <c r="CD21" s="539" t="s">
        <v>8037</v>
      </c>
      <c r="CE21" s="539">
        <f t="shared" si="5"/>
        <v>716</v>
      </c>
      <c r="CF21" s="539" cm="1">
        <f t="array" aca="1" ref="CF21" ca="1">INDIRECT($BM$2&amp;CF$7&amp;$CE21,1)</f>
        <v>0</v>
      </c>
      <c r="CG21" s="539" cm="1">
        <f t="array" aca="1" ref="CG21" ca="1">INDIRECT($BM$2&amp;CG$7&amp;$CE21,1)</f>
        <v>0</v>
      </c>
      <c r="CH21" s="539" cm="1">
        <f t="array" aca="1" ref="CH21" ca="1">INDIRECT($BM$2&amp;CH$7&amp;$CE21,1)</f>
        <v>0</v>
      </c>
      <c r="CI21" s="539" cm="1">
        <f t="array" aca="1" ref="CI21" ca="1">INDIRECT($BM$2&amp;CI$7&amp;$CE21,1)</f>
        <v>0</v>
      </c>
      <c r="CJ21" s="539" t="str" cm="1">
        <f t="array" aca="1" ref="CJ21" ca="1">INDIRECT($BM$2&amp;CJ$7&amp;$CE21,1)</f>
        <v>-</v>
      </c>
      <c r="CK21" s="539" t="str">
        <f t="shared" ca="1" si="2"/>
        <v>-</v>
      </c>
      <c r="CO21" s="537" t="s">
        <v>5802</v>
      </c>
      <c r="CP21" s="480" t="s">
        <v>7654</v>
      </c>
      <c r="CQ21" s="537" t="str" cm="1">
        <f t="array" aca="1" ref="CQ21" ca="1">IF(INDIRECT($BI$2&amp;$CP21)&lt;&gt;0,INDIRECT($BI$2&amp;$CP21),"-")</f>
        <v>-</v>
      </c>
      <c r="CU21" s="469" t="s">
        <v>5510</v>
      </c>
      <c r="CV21" s="372"/>
      <c r="CW21" s="492">
        <v>3</v>
      </c>
      <c r="CX21" s="492">
        <f t="shared" si="6"/>
        <v>71</v>
      </c>
      <c r="CY21" s="480">
        <f>CY20+$CZ$13</f>
        <v>80</v>
      </c>
      <c r="CZ21" s="480">
        <f t="shared" si="17"/>
        <v>81</v>
      </c>
      <c r="DA21" s="492" t="str" cm="1">
        <f t="array" aca="1" ref="DA21" ca="1">IF(INDIRECT($DD$2&amp;$CZ$15&amp;CY21,1)&lt;&gt;0,INDIRECT($DD$2&amp;$CZ$15&amp;CY21,1),"-")</f>
        <v>-</v>
      </c>
      <c r="DB21" s="492" t="str" cm="1">
        <f t="array" aca="1" ref="DB21" ca="1">IF(INDIRECT($DD$2&amp;$CZ$15&amp;CZ21,1)&lt;&gt;0,INDIRECT($DD$2&amp;$CZ$15&amp;CZ21,1),"-")</f>
        <v>-</v>
      </c>
      <c r="DC21" s="557" t="str">
        <f t="shared" ca="1" si="7"/>
        <v/>
      </c>
      <c r="DD21" s="557" t="str">
        <f t="shared" ca="1" si="8"/>
        <v/>
      </c>
      <c r="DE21" s="492" t="str">
        <f t="shared" ca="1" si="9"/>
        <v/>
      </c>
      <c r="DF21" s="492" t="str">
        <f t="shared" ca="1" si="10"/>
        <v/>
      </c>
      <c r="DG21" s="492" t="str">
        <f t="shared" ca="1" si="11"/>
        <v/>
      </c>
      <c r="DH21" s="492" t="str">
        <f ca="1">IF(SUMIF($CV$31:$CV$110,$CW21,DC$31:DC$110)=0,"",SUMIF($CV$31:$CV$110,$CW21,DC$31:DC$110))</f>
        <v/>
      </c>
      <c r="DI21" s="492" t="str">
        <f t="shared" ca="1" si="12"/>
        <v/>
      </c>
      <c r="DJ21" s="492" t="str">
        <f t="shared" ref="DJ21:DJ25" ca="1" si="18">IFERROR(DH21/DF21,"")</f>
        <v/>
      </c>
      <c r="DK21" s="492" t="str">
        <f t="shared" ca="1" si="13"/>
        <v/>
      </c>
      <c r="DL21" s="492" t="str">
        <f t="shared" ca="1" si="14"/>
        <v/>
      </c>
      <c r="DM21" s="492" t="str">
        <f t="shared" ca="1" si="15"/>
        <v/>
      </c>
      <c r="DN21" s="492" t="str">
        <f t="shared" ca="1" si="16"/>
        <v/>
      </c>
      <c r="EQ21" s="469" t="s">
        <v>5510</v>
      </c>
      <c r="ER21" s="605" t="s">
        <v>5979</v>
      </c>
      <c r="FL21" s="506" t="s">
        <v>5977</v>
      </c>
      <c r="FM21" s="597">
        <v>10</v>
      </c>
      <c r="FN21" s="597">
        <v>21</v>
      </c>
      <c r="FO21" s="597">
        <v>187</v>
      </c>
      <c r="FP21" s="597">
        <v>198</v>
      </c>
      <c r="FQ21" s="597">
        <v>362</v>
      </c>
      <c r="FR21" s="597">
        <v>373</v>
      </c>
      <c r="FS21" s="20" t="s">
        <v>5978</v>
      </c>
    </row>
    <row r="22" spans="48:175" s="20" customFormat="1" x14ac:dyDescent="0.25">
      <c r="AV22" s="469" t="s">
        <v>5510</v>
      </c>
      <c r="AW22" s="555" t="s">
        <v>6532</v>
      </c>
      <c r="AX22" s="555" cm="1">
        <f t="array" aca="1" ref="AX22" ca="1">INDIRECT(AW22,1)</f>
        <v>0</v>
      </c>
      <c r="AY22" s="555">
        <f ca="1">IF(AX22="não",1,
IF(AND(AX22="sim",AX23=1),1,0))</f>
        <v>0</v>
      </c>
      <c r="BB22" s="469" t="s">
        <v>5510</v>
      </c>
      <c r="BF22" s="469" t="s">
        <v>5510</v>
      </c>
      <c r="BG22" s="469"/>
      <c r="BI22" s="372"/>
      <c r="BJ22" s="472"/>
      <c r="BK22" s="472"/>
      <c r="BL22" s="372"/>
      <c r="BM22" s="472"/>
      <c r="BN22" s="372"/>
      <c r="BO22" s="472"/>
      <c r="BP22" s="372"/>
      <c r="BT22" s="372"/>
      <c r="BU22" s="472"/>
      <c r="BV22" s="472"/>
      <c r="BW22" s="372"/>
      <c r="BX22" s="472"/>
      <c r="BY22" s="372"/>
      <c r="BZ22" s="472"/>
      <c r="CE22" s="372"/>
      <c r="CF22" s="472"/>
      <c r="CG22" s="472"/>
      <c r="CH22" s="372"/>
      <c r="CI22" s="472"/>
      <c r="CJ22" s="372"/>
      <c r="CK22" s="472"/>
      <c r="CU22" s="469" t="s">
        <v>5510</v>
      </c>
      <c r="CV22" s="372"/>
      <c r="CW22" s="492">
        <v>4</v>
      </c>
      <c r="CX22" s="492">
        <f t="shared" si="6"/>
        <v>81</v>
      </c>
      <c r="CY22" s="480">
        <f>CY21+$CZ$13</f>
        <v>97</v>
      </c>
      <c r="CZ22" s="480">
        <f t="shared" si="17"/>
        <v>98</v>
      </c>
      <c r="DA22" s="492" t="str" cm="1">
        <f t="array" aca="1" ref="DA22" ca="1">IF(INDIRECT($DD$2&amp;$CZ$15&amp;CY22,1)&lt;&gt;0,INDIRECT($DD$2&amp;$CZ$15&amp;CY22,1),"-")</f>
        <v>-</v>
      </c>
      <c r="DB22" s="492" t="str" cm="1">
        <f t="array" aca="1" ref="DB22" ca="1">IF(INDIRECT($DD$2&amp;$CZ$15&amp;CZ22,1)&lt;&gt;0,INDIRECT($DD$2&amp;$CZ$15&amp;CZ22,1),"-")</f>
        <v>-</v>
      </c>
      <c r="DC22" s="557" t="str">
        <f t="shared" ca="1" si="7"/>
        <v/>
      </c>
      <c r="DD22" s="557" t="str">
        <f t="shared" ca="1" si="8"/>
        <v/>
      </c>
      <c r="DE22" s="492" t="str">
        <f t="shared" ca="1" si="9"/>
        <v/>
      </c>
      <c r="DF22" s="492" t="str">
        <f t="shared" ca="1" si="10"/>
        <v/>
      </c>
      <c r="DG22" s="492" t="str">
        <f t="shared" ca="1" si="11"/>
        <v/>
      </c>
      <c r="DH22" s="492" t="str">
        <f t="shared" ref="DH22:DH25" ca="1" si="19">IF(SUMIF($CV$31:$CV$110,$CW22,DC$31:DC$110)=0,"",SUMIF($CV$31:$CV$110,$CW22,DC$31:DC$110))</f>
        <v/>
      </c>
      <c r="DI22" s="492" t="str">
        <f t="shared" ca="1" si="12"/>
        <v/>
      </c>
      <c r="DJ22" s="492" t="str">
        <f t="shared" ca="1" si="18"/>
        <v/>
      </c>
      <c r="DK22" s="492" t="str">
        <f t="shared" ca="1" si="13"/>
        <v/>
      </c>
      <c r="DL22" s="492" t="str">
        <f t="shared" ca="1" si="14"/>
        <v/>
      </c>
      <c r="DM22" s="492" t="str">
        <f t="shared" ca="1" si="15"/>
        <v/>
      </c>
      <c r="DN22" s="492" t="str">
        <f t="shared" ca="1" si="16"/>
        <v/>
      </c>
      <c r="EQ22" s="469" t="s">
        <v>5510</v>
      </c>
      <c r="ER22" s="20" t="s">
        <v>5992</v>
      </c>
      <c r="FM22" s="597">
        <f t="shared" ref="FM22:FR30" si="20">FM21+$FL$19</f>
        <v>27</v>
      </c>
      <c r="FN22" s="597">
        <f t="shared" si="20"/>
        <v>38</v>
      </c>
      <c r="FO22" s="597">
        <f t="shared" si="20"/>
        <v>204</v>
      </c>
      <c r="FP22" s="597">
        <f t="shared" si="20"/>
        <v>215</v>
      </c>
      <c r="FQ22" s="597">
        <f t="shared" si="20"/>
        <v>379</v>
      </c>
      <c r="FR22" s="597">
        <f t="shared" si="20"/>
        <v>390</v>
      </c>
    </row>
    <row r="23" spans="48:175" s="20" customFormat="1" x14ac:dyDescent="0.25">
      <c r="AV23" s="469" t="s">
        <v>5510</v>
      </c>
      <c r="AW23" s="555" t="s">
        <v>6549</v>
      </c>
      <c r="AX23" s="555">
        <f ca="1">COUNTIF(INDIRECT(AW23,1),"*vivo*")</f>
        <v>0</v>
      </c>
      <c r="BB23" s="469" t="s">
        <v>5510</v>
      </c>
      <c r="BF23" s="469" t="s">
        <v>5510</v>
      </c>
      <c r="BG23" s="469"/>
      <c r="BI23" s="372"/>
      <c r="BJ23" s="472"/>
      <c r="BK23" s="472"/>
      <c r="BL23" s="372"/>
      <c r="BM23" s="472"/>
      <c r="BN23" s="372"/>
      <c r="BO23" s="472"/>
      <c r="BP23" s="372"/>
      <c r="BT23" s="372"/>
      <c r="BU23" s="472"/>
      <c r="BV23" s="472"/>
      <c r="BW23" s="372"/>
      <c r="BX23" s="472"/>
      <c r="BY23" s="372"/>
      <c r="BZ23" s="472"/>
      <c r="CE23" s="372"/>
      <c r="CF23" s="472"/>
      <c r="CG23" s="472"/>
      <c r="CH23" s="372"/>
      <c r="CI23" s="472"/>
      <c r="CJ23" s="372"/>
      <c r="CK23" s="472"/>
      <c r="CU23" s="469" t="s">
        <v>5510</v>
      </c>
      <c r="CV23" s="372"/>
      <c r="CW23" s="492">
        <v>5</v>
      </c>
      <c r="CX23" s="492">
        <f t="shared" si="6"/>
        <v>91</v>
      </c>
      <c r="CY23" s="480">
        <f>CY22+$CZ$13</f>
        <v>114</v>
      </c>
      <c r="CZ23" s="480">
        <f t="shared" si="17"/>
        <v>115</v>
      </c>
      <c r="DA23" s="492" t="str" cm="1">
        <f t="array" aca="1" ref="DA23" ca="1">IF(INDIRECT($DD$2&amp;$CZ$15&amp;CY23,1)&lt;&gt;0,INDIRECT($DD$2&amp;$CZ$15&amp;CY23,1),"-")</f>
        <v>-</v>
      </c>
      <c r="DB23" s="492" t="str" cm="1">
        <f t="array" aca="1" ref="DB23" ca="1">IF(INDIRECT($DD$2&amp;$CZ$15&amp;CZ23,1)&lt;&gt;0,INDIRECT($DD$2&amp;$CZ$15&amp;CZ23,1),"-")</f>
        <v>-</v>
      </c>
      <c r="DC23" s="557" t="str">
        <f t="shared" ca="1" si="7"/>
        <v/>
      </c>
      <c r="DD23" s="557" t="str">
        <f t="shared" ca="1" si="8"/>
        <v/>
      </c>
      <c r="DE23" s="492" t="str">
        <f t="shared" ca="1" si="9"/>
        <v/>
      </c>
      <c r="DF23" s="492" t="str">
        <f t="shared" ca="1" si="10"/>
        <v/>
      </c>
      <c r="DG23" s="492" t="str">
        <f t="shared" ca="1" si="11"/>
        <v/>
      </c>
      <c r="DH23" s="492" t="str">
        <f t="shared" ca="1" si="19"/>
        <v/>
      </c>
      <c r="DI23" s="492" t="str">
        <f t="shared" ca="1" si="12"/>
        <v/>
      </c>
      <c r="DJ23" s="492" t="str">
        <f t="shared" ca="1" si="18"/>
        <v/>
      </c>
      <c r="DK23" s="492" t="str">
        <f t="shared" ca="1" si="13"/>
        <v/>
      </c>
      <c r="DL23" s="492" t="str">
        <f t="shared" ca="1" si="14"/>
        <v/>
      </c>
      <c r="DM23" s="492" t="str">
        <f t="shared" ca="1" si="15"/>
        <v/>
      </c>
      <c r="DN23" s="492" t="str">
        <f t="shared" ca="1" si="16"/>
        <v/>
      </c>
      <c r="EQ23" s="469" t="s">
        <v>5510</v>
      </c>
      <c r="ER23" s="479" t="s">
        <v>5981</v>
      </c>
      <c r="ES23" s="718" t="s">
        <v>5583</v>
      </c>
      <c r="FM23" s="597">
        <f t="shared" si="20"/>
        <v>44</v>
      </c>
      <c r="FN23" s="597">
        <f t="shared" si="20"/>
        <v>55</v>
      </c>
      <c r="FO23" s="597">
        <f t="shared" si="20"/>
        <v>221</v>
      </c>
      <c r="FP23" s="597">
        <f t="shared" si="20"/>
        <v>232</v>
      </c>
      <c r="FQ23" s="597">
        <f t="shared" si="20"/>
        <v>396</v>
      </c>
      <c r="FR23" s="597">
        <f t="shared" si="20"/>
        <v>407</v>
      </c>
    </row>
    <row r="24" spans="48:175" s="20" customFormat="1" x14ac:dyDescent="0.25">
      <c r="AV24" s="469" t="s">
        <v>5510</v>
      </c>
      <c r="AW24" s="469"/>
      <c r="BB24" s="469" t="s">
        <v>5510</v>
      </c>
      <c r="BF24" s="469" t="s">
        <v>5510</v>
      </c>
      <c r="BG24" s="469"/>
      <c r="BI24" s="372"/>
      <c r="BJ24" s="472"/>
      <c r="BK24" s="472"/>
      <c r="BL24" s="472"/>
      <c r="BM24" s="472"/>
      <c r="BN24" s="372"/>
      <c r="BO24" s="372"/>
      <c r="BP24" s="372"/>
      <c r="BT24" s="372"/>
      <c r="BU24" s="472"/>
      <c r="BV24" s="472"/>
      <c r="BW24" s="472"/>
      <c r="BX24" s="472"/>
      <c r="BY24" s="372"/>
      <c r="BZ24" s="372"/>
      <c r="CE24" s="372"/>
      <c r="CF24" s="472"/>
      <c r="CG24" s="472"/>
      <c r="CH24" s="472"/>
      <c r="CI24" s="472"/>
      <c r="CJ24" s="372"/>
      <c r="CK24" s="372"/>
      <c r="CU24" s="469" t="s">
        <v>5510</v>
      </c>
      <c r="CV24" s="372"/>
      <c r="CW24" s="492">
        <v>6</v>
      </c>
      <c r="CX24" s="492">
        <f t="shared" si="6"/>
        <v>101</v>
      </c>
      <c r="CY24" s="480">
        <f>CY23+$CZ$13</f>
        <v>131</v>
      </c>
      <c r="CZ24" s="480">
        <f t="shared" si="17"/>
        <v>132</v>
      </c>
      <c r="DA24" s="492" t="str" cm="1">
        <f t="array" aca="1" ref="DA24" ca="1">IF(INDIRECT($DD$2&amp;$CZ$15&amp;CY24,1)&lt;&gt;0,INDIRECT($DD$2&amp;$CZ$15&amp;CY24,1),"-")</f>
        <v>-</v>
      </c>
      <c r="DB24" s="492" t="str" cm="1">
        <f t="array" aca="1" ref="DB24" ca="1">IF(INDIRECT($DD$2&amp;$CZ$15&amp;CZ24,1)&lt;&gt;0,INDIRECT($DD$2&amp;$CZ$15&amp;CZ24,1),"-")</f>
        <v>-</v>
      </c>
      <c r="DC24" s="557" t="str">
        <f t="shared" ca="1" si="7"/>
        <v/>
      </c>
      <c r="DD24" s="557" t="str">
        <f t="shared" ca="1" si="8"/>
        <v/>
      </c>
      <c r="DE24" s="492" t="str">
        <f t="shared" ca="1" si="9"/>
        <v/>
      </c>
      <c r="DF24" s="492" t="str">
        <f t="shared" ca="1" si="10"/>
        <v/>
      </c>
      <c r="DG24" s="492" t="str">
        <f t="shared" ca="1" si="11"/>
        <v/>
      </c>
      <c r="DH24" s="492" t="str">
        <f t="shared" ca="1" si="19"/>
        <v/>
      </c>
      <c r="DI24" s="492" t="str">
        <f t="shared" ca="1" si="12"/>
        <v/>
      </c>
      <c r="DJ24" s="492" t="str">
        <f t="shared" ca="1" si="18"/>
        <v/>
      </c>
      <c r="DK24" s="492" t="str">
        <f t="shared" ca="1" si="13"/>
        <v/>
      </c>
      <c r="DL24" s="492" t="str">
        <f t="shared" ca="1" si="14"/>
        <v/>
      </c>
      <c r="DM24" s="492" t="str">
        <f t="shared" ca="1" si="15"/>
        <v/>
      </c>
      <c r="DN24" s="492" t="str">
        <f t="shared" ca="1" si="16"/>
        <v/>
      </c>
      <c r="EQ24" s="469" t="s">
        <v>5510</v>
      </c>
      <c r="ER24" s="484" t="s">
        <v>88</v>
      </c>
      <c r="ES24" s="719">
        <f>CP5</f>
        <v>0</v>
      </c>
      <c r="FM24" s="597">
        <f t="shared" si="20"/>
        <v>61</v>
      </c>
      <c r="FN24" s="597">
        <f t="shared" si="20"/>
        <v>72</v>
      </c>
      <c r="FO24" s="597">
        <f t="shared" si="20"/>
        <v>238</v>
      </c>
      <c r="FP24" s="597">
        <f t="shared" si="20"/>
        <v>249</v>
      </c>
      <c r="FQ24" s="597">
        <f t="shared" si="20"/>
        <v>413</v>
      </c>
      <c r="FR24" s="597">
        <f t="shared" si="20"/>
        <v>424</v>
      </c>
    </row>
    <row r="25" spans="48:175" s="20" customFormat="1" x14ac:dyDescent="0.25">
      <c r="AV25" s="469" t="s">
        <v>5510</v>
      </c>
      <c r="AW25" s="479" t="s">
        <v>5667</v>
      </c>
      <c r="AY25" s="20" t="s">
        <v>5668</v>
      </c>
      <c r="AZ25" s="20" t="s">
        <v>2034</v>
      </c>
      <c r="BB25" s="469" t="s">
        <v>5510</v>
      </c>
      <c r="BF25" s="469" t="s">
        <v>5510</v>
      </c>
      <c r="BG25" s="469"/>
      <c r="BI25" s="372"/>
      <c r="BJ25" s="472"/>
      <c r="BK25" s="472"/>
      <c r="BL25" s="472"/>
      <c r="BM25" s="472"/>
      <c r="BN25" s="372"/>
      <c r="BO25" s="372"/>
      <c r="BP25" s="372"/>
      <c r="BT25" s="372"/>
      <c r="BU25" s="472"/>
      <c r="BV25" s="472"/>
      <c r="BW25" s="472"/>
      <c r="BX25" s="472"/>
      <c r="BY25" s="372"/>
      <c r="BZ25" s="372"/>
      <c r="CE25" s="372"/>
      <c r="CF25" s="472"/>
      <c r="CG25" s="472"/>
      <c r="CH25" s="472"/>
      <c r="CI25" s="472"/>
      <c r="CJ25" s="372"/>
      <c r="CK25" s="372"/>
      <c r="CU25" s="469" t="s">
        <v>5510</v>
      </c>
      <c r="CV25" s="372"/>
      <c r="CW25" s="492" t="s">
        <v>5775</v>
      </c>
      <c r="CX25" s="492">
        <f t="shared" si="6"/>
        <v>41</v>
      </c>
      <c r="CY25" s="480">
        <f>CZ11</f>
        <v>30</v>
      </c>
      <c r="CZ25" s="480">
        <f>CY25</f>
        <v>30</v>
      </c>
      <c r="DA25" s="492" t="s">
        <v>80</v>
      </c>
      <c r="DB25" s="492" t="s">
        <v>80</v>
      </c>
      <c r="DC25" s="557" t="str">
        <f t="shared" ca="1" si="7"/>
        <v/>
      </c>
      <c r="DD25" s="557" t="str">
        <f t="shared" ca="1" si="8"/>
        <v/>
      </c>
      <c r="DE25" s="492" t="str">
        <f t="shared" ca="1" si="9"/>
        <v/>
      </c>
      <c r="DF25" s="492" t="str">
        <f t="shared" ca="1" si="10"/>
        <v/>
      </c>
      <c r="DG25" s="492" t="str">
        <f t="shared" ca="1" si="11"/>
        <v/>
      </c>
      <c r="DH25" s="492" t="str">
        <f t="shared" ca="1" si="19"/>
        <v/>
      </c>
      <c r="DI25" s="492" t="str">
        <f t="shared" ca="1" si="12"/>
        <v/>
      </c>
      <c r="DJ25" s="492" t="str">
        <f t="shared" ca="1" si="18"/>
        <v/>
      </c>
      <c r="DK25" s="492" t="str">
        <f t="shared" ca="1" si="13"/>
        <v/>
      </c>
      <c r="DL25" s="492" t="str">
        <f t="shared" ca="1" si="14"/>
        <v/>
      </c>
      <c r="DM25" s="492" t="str">
        <f t="shared" ca="1" si="15"/>
        <v/>
      </c>
      <c r="DN25" s="492" t="str">
        <f t="shared" ca="1" si="16"/>
        <v/>
      </c>
      <c r="EQ25" s="469" t="s">
        <v>5510</v>
      </c>
      <c r="ER25" s="484" t="s">
        <v>101</v>
      </c>
      <c r="ES25" s="719">
        <f>CQ5</f>
        <v>0</v>
      </c>
      <c r="FM25" s="597">
        <f t="shared" si="20"/>
        <v>78</v>
      </c>
      <c r="FN25" s="597">
        <f t="shared" si="20"/>
        <v>89</v>
      </c>
      <c r="FO25" s="597">
        <f t="shared" si="20"/>
        <v>255</v>
      </c>
      <c r="FP25" s="597">
        <f t="shared" si="20"/>
        <v>266</v>
      </c>
      <c r="FQ25" s="597">
        <f t="shared" si="20"/>
        <v>430</v>
      </c>
      <c r="FR25" s="597">
        <f t="shared" si="20"/>
        <v>441</v>
      </c>
    </row>
    <row r="26" spans="48:175" s="20" customFormat="1" x14ac:dyDescent="0.25">
      <c r="AV26" s="469" t="s">
        <v>5510</v>
      </c>
      <c r="AW26" s="570" t="str">
        <f>IF($AE$2=Tabelas_fonte!$W$2,"Dose  (ml/animal) (?)",IF($AE$2=Tabelas_fonte!$W$3,"Dose  (g/animal) (?)",$AX$12))</f>
        <v>Aguardando preenchimento da unidade de medida na aba Composição</v>
      </c>
      <c r="AY26" s="20" t="s">
        <v>5669</v>
      </c>
      <c r="AZ26" s="20" t="s">
        <v>2035</v>
      </c>
      <c r="BB26" s="469" t="s">
        <v>5510</v>
      </c>
      <c r="BF26" s="469" t="s">
        <v>5510</v>
      </c>
      <c r="BG26" s="469"/>
      <c r="BH26" s="539" t="s">
        <v>8038</v>
      </c>
      <c r="BI26" s="539">
        <f>BI21+$BO$5</f>
        <v>30</v>
      </c>
      <c r="BJ26" s="539" cm="1">
        <f t="array" aca="1" ref="BJ26" ca="1">INDIRECT($BM$2&amp;BJ$7&amp;$BI26,1)</f>
        <v>0</v>
      </c>
      <c r="BK26" s="539" cm="1">
        <f t="array" aca="1" ref="BK26" ca="1">INDIRECT($BM$2&amp;BK$7&amp;$BI26,1)</f>
        <v>0</v>
      </c>
      <c r="BL26" s="539" cm="1">
        <f t="array" aca="1" ref="BL26" ca="1">INDIRECT($BM$2&amp;BL$7&amp;$BI26,1)</f>
        <v>0</v>
      </c>
      <c r="BM26" s="539" cm="1">
        <f t="array" aca="1" ref="BM26" ca="1">INDIRECT($BM$2&amp;BM$7&amp;$BI26,1)</f>
        <v>0</v>
      </c>
      <c r="BN26" s="539" cm="1">
        <f t="array" aca="1" ref="BN26" ca="1">INDIRECT($BM$2&amp;BN$7&amp;$BI26,1)</f>
        <v>0</v>
      </c>
      <c r="BO26" s="539" t="str">
        <f ca="1">IFERROR(BK26/BK$26,"-")</f>
        <v>-</v>
      </c>
      <c r="BP26" s="372"/>
      <c r="BR26" s="469">
        <v>1</v>
      </c>
      <c r="BS26" s="539" t="s">
        <v>8038</v>
      </c>
      <c r="BT26" s="539">
        <f>BT21+$BO$5</f>
        <v>376</v>
      </c>
      <c r="BU26" s="539" cm="1">
        <f t="array" aca="1" ref="BU26" ca="1">INDIRECT($BM$2&amp;BU$7&amp;$BT26,1)</f>
        <v>0</v>
      </c>
      <c r="BV26" s="539" cm="1">
        <f t="array" aca="1" ref="BV26" ca="1">INDIRECT($BM$2&amp;BV$7&amp;$BT26,1)</f>
        <v>0</v>
      </c>
      <c r="BW26" s="539" cm="1">
        <f t="array" aca="1" ref="BW26" ca="1">INDIRECT($BM$2&amp;BW$7&amp;$BT26,1)</f>
        <v>0</v>
      </c>
      <c r="BX26" s="539" cm="1">
        <f t="array" aca="1" ref="BX26" ca="1">INDIRECT($BM$2&amp;BX$7&amp;$BT26,1)</f>
        <v>0</v>
      </c>
      <c r="BY26" s="539" cm="1">
        <f t="array" aca="1" ref="BY26" ca="1">INDIRECT($BM$2&amp;BY$7&amp;$BT26,1)</f>
        <v>0</v>
      </c>
      <c r="BZ26" s="539" t="str">
        <f ca="1">IFERROR(BV26/BV$26,"-")</f>
        <v>-</v>
      </c>
      <c r="CC26" s="469">
        <v>1</v>
      </c>
      <c r="CD26" s="539" t="s">
        <v>8038</v>
      </c>
      <c r="CE26" s="539">
        <f>CE21+$BO$5</f>
        <v>722</v>
      </c>
      <c r="CF26" s="539" cm="1">
        <f t="array" aca="1" ref="CF26" ca="1">INDIRECT($BM$2&amp;CF$7&amp;$CE26,1)</f>
        <v>0</v>
      </c>
      <c r="CG26" s="539" cm="1">
        <f t="array" aca="1" ref="CG26" ca="1">INDIRECT($BM$2&amp;CG$7&amp;$CE26,1)</f>
        <v>0</v>
      </c>
      <c r="CH26" s="539" cm="1">
        <f t="array" aca="1" ref="CH26" ca="1">INDIRECT($BM$2&amp;CH$7&amp;$CE26,1)</f>
        <v>0</v>
      </c>
      <c r="CI26" s="539" cm="1">
        <f t="array" aca="1" ref="CI26" ca="1">INDIRECT($BM$2&amp;CI$7&amp;$CE26,1)</f>
        <v>0</v>
      </c>
      <c r="CJ26" s="539" cm="1">
        <f t="array" aca="1" ref="CJ26" ca="1">INDIRECT($BM$2&amp;CJ$7&amp;$CE26,1)</f>
        <v>0</v>
      </c>
      <c r="CK26" s="539" t="str">
        <f ca="1">IFERROR(CG26/CG$26,"-")</f>
        <v>-</v>
      </c>
      <c r="CP26" s="571" t="s">
        <v>8072</v>
      </c>
      <c r="CU26" s="469" t="s">
        <v>5510</v>
      </c>
      <c r="CV26" s="372"/>
      <c r="CW26" s="372"/>
      <c r="CX26" s="372"/>
      <c r="CY26" s="372"/>
      <c r="CZ26" s="372"/>
      <c r="DA26" s="372"/>
      <c r="DB26" s="372"/>
      <c r="DC26" s="372"/>
      <c r="DD26" s="372"/>
      <c r="DE26" s="372"/>
      <c r="DF26" s="372"/>
      <c r="DG26" s="372"/>
      <c r="DH26" s="372"/>
      <c r="DI26" s="372"/>
      <c r="DJ26" s="372"/>
      <c r="DK26" s="372"/>
      <c r="DL26" s="372"/>
      <c r="DM26" s="372"/>
      <c r="DN26" s="372"/>
      <c r="EQ26" s="469" t="s">
        <v>5510</v>
      </c>
      <c r="ER26" s="484" t="s">
        <v>120</v>
      </c>
      <c r="ES26" s="720">
        <f>CR5</f>
        <v>0</v>
      </c>
      <c r="FM26" s="597">
        <f t="shared" si="20"/>
        <v>95</v>
      </c>
      <c r="FN26" s="597">
        <f t="shared" si="20"/>
        <v>106</v>
      </c>
      <c r="FO26" s="597">
        <f t="shared" si="20"/>
        <v>272</v>
      </c>
      <c r="FP26" s="597">
        <f t="shared" si="20"/>
        <v>283</v>
      </c>
      <c r="FQ26" s="597">
        <f t="shared" si="20"/>
        <v>447</v>
      </c>
      <c r="FR26" s="597">
        <f t="shared" si="20"/>
        <v>458</v>
      </c>
    </row>
    <row r="27" spans="48:175" s="20" customFormat="1" x14ac:dyDescent="0.25">
      <c r="AV27" s="469" t="s">
        <v>5510</v>
      </c>
      <c r="AW27" s="469"/>
      <c r="BB27" s="469" t="s">
        <v>5510</v>
      </c>
      <c r="BF27" s="469" t="s">
        <v>5510</v>
      </c>
      <c r="BG27" s="469"/>
      <c r="BH27" s="539" t="s">
        <v>8038</v>
      </c>
      <c r="BI27" s="539">
        <f>BI26+1</f>
        <v>31</v>
      </c>
      <c r="BJ27" s="539" cm="1">
        <f t="array" aca="1" ref="BJ27" ca="1">INDIRECT($BM$2&amp;BJ$7&amp;$BI27,1)</f>
        <v>0</v>
      </c>
      <c r="BK27" s="539" cm="1">
        <f t="array" aca="1" ref="BK27" ca="1">INDIRECT($BM$2&amp;BK$7&amp;$BI27,1)</f>
        <v>0</v>
      </c>
      <c r="BL27" s="539" cm="1">
        <f t="array" aca="1" ref="BL27" ca="1">INDIRECT($BM$2&amp;BL$7&amp;$BI27,1)</f>
        <v>0</v>
      </c>
      <c r="BM27" s="539" cm="1">
        <f t="array" aca="1" ref="BM27" ca="1">INDIRECT($BM$2&amp;BM$7&amp;$BI27,1)</f>
        <v>0</v>
      </c>
      <c r="BN27" s="539" cm="1">
        <f t="array" aca="1" ref="BN27" ca="1">INDIRECT($BM$2&amp;BN$7&amp;$BI27,1)</f>
        <v>0</v>
      </c>
      <c r="BO27" s="539" t="str">
        <f t="shared" ref="BO27:BO37" ca="1" si="21">IF(BK27=0,"-",IFERROR(BK27/BK$26,"-"))</f>
        <v>-</v>
      </c>
      <c r="BP27" s="372"/>
      <c r="BR27" s="469">
        <v>2</v>
      </c>
      <c r="BS27" s="539" t="s">
        <v>8038</v>
      </c>
      <c r="BT27" s="539">
        <f>BT26+1</f>
        <v>377</v>
      </c>
      <c r="BU27" s="539" cm="1">
        <f t="array" aca="1" ref="BU27" ca="1">INDIRECT($BM$2&amp;BU$7&amp;$BT27,1)</f>
        <v>0</v>
      </c>
      <c r="BV27" s="539" cm="1">
        <f t="array" aca="1" ref="BV27" ca="1">INDIRECT($BM$2&amp;BV$7&amp;$BT27,1)</f>
        <v>0</v>
      </c>
      <c r="BW27" s="539" cm="1">
        <f t="array" aca="1" ref="BW27" ca="1">INDIRECT($BM$2&amp;BW$7&amp;$BT27,1)</f>
        <v>0</v>
      </c>
      <c r="BX27" s="539" cm="1">
        <f t="array" aca="1" ref="BX27" ca="1">INDIRECT($BM$2&amp;BX$7&amp;$BT27,1)</f>
        <v>0</v>
      </c>
      <c r="BY27" s="539" cm="1">
        <f t="array" aca="1" ref="BY27" ca="1">INDIRECT($BM$2&amp;BY$7&amp;$BT27,1)</f>
        <v>0</v>
      </c>
      <c r="BZ27" s="539" t="str">
        <f t="shared" ref="BZ27:BZ37" ca="1" si="22">IF(BV27=0,"-",IFERROR(BV27/BV$26,"-"))</f>
        <v>-</v>
      </c>
      <c r="CC27" s="469">
        <v>2</v>
      </c>
      <c r="CD27" s="539" t="s">
        <v>8038</v>
      </c>
      <c r="CE27" s="539">
        <f>CE26+1</f>
        <v>723</v>
      </c>
      <c r="CF27" s="539" cm="1">
        <f t="array" aca="1" ref="CF27" ca="1">INDIRECT($BM$2&amp;CF$7&amp;$CE27,1)</f>
        <v>0</v>
      </c>
      <c r="CG27" s="539" cm="1">
        <f t="array" aca="1" ref="CG27" ca="1">INDIRECT($BM$2&amp;CG$7&amp;$CE27,1)</f>
        <v>0</v>
      </c>
      <c r="CH27" s="539" cm="1">
        <f t="array" aca="1" ref="CH27" ca="1">INDIRECT($BM$2&amp;CH$7&amp;$CE27,1)</f>
        <v>0</v>
      </c>
      <c r="CI27" s="539" cm="1">
        <f t="array" aca="1" ref="CI27" ca="1">INDIRECT($BM$2&amp;CI$7&amp;$CE27,1)</f>
        <v>0</v>
      </c>
      <c r="CJ27" s="539" cm="1">
        <f t="array" aca="1" ref="CJ27" ca="1">INDIRECT($BM$2&amp;CJ$7&amp;$CE27,1)</f>
        <v>0</v>
      </c>
      <c r="CK27" s="539" t="str">
        <f t="shared" ref="CK27:CK37" ca="1" si="23">IF(CG27=0,"-",IFERROR(CG27/CG$26,"-"))</f>
        <v>-</v>
      </c>
      <c r="CO27" s="573" t="s">
        <v>8062</v>
      </c>
      <c r="CP27" s="574"/>
      <c r="CQ27" s="574"/>
      <c r="CR27" s="575"/>
      <c r="CU27" s="469" t="s">
        <v>5510</v>
      </c>
      <c r="CV27" s="372"/>
      <c r="CW27" s="372"/>
      <c r="CX27" s="372"/>
      <c r="CY27" s="372"/>
      <c r="CZ27" s="372"/>
      <c r="DA27" s="372"/>
      <c r="DB27" s="372"/>
      <c r="DC27" s="372"/>
      <c r="DD27" s="372"/>
      <c r="DE27" s="372"/>
      <c r="DF27" s="372"/>
      <c r="DG27" s="372"/>
      <c r="DH27" s="372"/>
      <c r="DI27" s="372"/>
      <c r="DJ27" s="372"/>
      <c r="DK27" s="372"/>
      <c r="DL27" s="372"/>
      <c r="DM27" s="372"/>
      <c r="DN27" s="372"/>
      <c r="EQ27" s="469" t="s">
        <v>5510</v>
      </c>
      <c r="FM27" s="597">
        <f t="shared" si="20"/>
        <v>112</v>
      </c>
      <c r="FN27" s="597">
        <f t="shared" si="20"/>
        <v>123</v>
      </c>
      <c r="FO27" s="597">
        <f t="shared" si="20"/>
        <v>289</v>
      </c>
      <c r="FP27" s="597">
        <f t="shared" si="20"/>
        <v>300</v>
      </c>
      <c r="FQ27" s="597">
        <f t="shared" si="20"/>
        <v>464</v>
      </c>
      <c r="FR27" s="597">
        <f t="shared" si="20"/>
        <v>475</v>
      </c>
    </row>
    <row r="28" spans="48:175" s="20" customFormat="1" x14ac:dyDescent="0.25">
      <c r="AV28" s="469" t="s">
        <v>5510</v>
      </c>
      <c r="AW28" s="576" t="str">
        <f>Calculos!$GE$19</f>
        <v>'LLNA(2)'!</v>
      </c>
      <c r="AX28" s="576" t="s">
        <v>7335</v>
      </c>
      <c r="BB28" s="469" t="s">
        <v>5510</v>
      </c>
      <c r="BF28" s="469" t="s">
        <v>5510</v>
      </c>
      <c r="BG28" s="469"/>
      <c r="BH28" s="539" t="s">
        <v>8038</v>
      </c>
      <c r="BI28" s="539">
        <f t="shared" ref="BI28:BI37" si="24">BI27+1</f>
        <v>32</v>
      </c>
      <c r="BJ28" s="539" cm="1">
        <f t="array" aca="1" ref="BJ28" ca="1">INDIRECT($BM$2&amp;BJ$7&amp;$BI28,1)</f>
        <v>0</v>
      </c>
      <c r="BK28" s="539" cm="1">
        <f t="array" aca="1" ref="BK28" ca="1">INDIRECT($BM$2&amp;BK$7&amp;$BI28,1)</f>
        <v>0</v>
      </c>
      <c r="BL28" s="539" cm="1">
        <f t="array" aca="1" ref="BL28" ca="1">INDIRECT($BM$2&amp;BL$7&amp;$BI28,1)</f>
        <v>0</v>
      </c>
      <c r="BM28" s="539" cm="1">
        <f t="array" aca="1" ref="BM28" ca="1">INDIRECT($BM$2&amp;BM$7&amp;$BI28,1)</f>
        <v>0</v>
      </c>
      <c r="BN28" s="539" cm="1">
        <f t="array" aca="1" ref="BN28" ca="1">INDIRECT($BM$2&amp;BN$7&amp;$BI28,1)</f>
        <v>0</v>
      </c>
      <c r="BO28" s="539" t="str">
        <f t="shared" ca="1" si="21"/>
        <v>-</v>
      </c>
      <c r="BP28" s="372"/>
      <c r="BR28" s="469">
        <v>3</v>
      </c>
      <c r="BS28" s="539" t="s">
        <v>8038</v>
      </c>
      <c r="BT28" s="539">
        <f t="shared" ref="BT28:BT37" si="25">BT27+1</f>
        <v>378</v>
      </c>
      <c r="BU28" s="539" cm="1">
        <f t="array" aca="1" ref="BU28" ca="1">INDIRECT($BM$2&amp;BU$7&amp;$BT28,1)</f>
        <v>0</v>
      </c>
      <c r="BV28" s="539" cm="1">
        <f t="array" aca="1" ref="BV28" ca="1">INDIRECT($BM$2&amp;BV$7&amp;$BT28,1)</f>
        <v>0</v>
      </c>
      <c r="BW28" s="539" cm="1">
        <f t="array" aca="1" ref="BW28" ca="1">INDIRECT($BM$2&amp;BW$7&amp;$BT28,1)</f>
        <v>0</v>
      </c>
      <c r="BX28" s="539" cm="1">
        <f t="array" aca="1" ref="BX28" ca="1">INDIRECT($BM$2&amp;BX$7&amp;$BT28,1)</f>
        <v>0</v>
      </c>
      <c r="BY28" s="539" cm="1">
        <f t="array" aca="1" ref="BY28" ca="1">INDIRECT($BM$2&amp;BY$7&amp;$BT28,1)</f>
        <v>0</v>
      </c>
      <c r="BZ28" s="539" t="str">
        <f t="shared" ca="1" si="22"/>
        <v>-</v>
      </c>
      <c r="CC28" s="469">
        <v>3</v>
      </c>
      <c r="CD28" s="539" t="s">
        <v>8038</v>
      </c>
      <c r="CE28" s="539">
        <f t="shared" ref="CE28:CE37" si="26">CE27+1</f>
        <v>724</v>
      </c>
      <c r="CF28" s="539" cm="1">
        <f t="array" aca="1" ref="CF28" ca="1">INDIRECT($BM$2&amp;CF$7&amp;$CE28,1)</f>
        <v>0</v>
      </c>
      <c r="CG28" s="539" cm="1">
        <f t="array" aca="1" ref="CG28" ca="1">INDIRECT($BM$2&amp;CG$7&amp;$CE28,1)</f>
        <v>0</v>
      </c>
      <c r="CH28" s="539" cm="1">
        <f t="array" aca="1" ref="CH28" ca="1">INDIRECT($BM$2&amp;CH$7&amp;$CE28,1)</f>
        <v>0</v>
      </c>
      <c r="CI28" s="539" cm="1">
        <f t="array" aca="1" ref="CI28" ca="1">INDIRECT($BM$2&amp;CI$7&amp;$CE28,1)</f>
        <v>0</v>
      </c>
      <c r="CJ28" s="539" cm="1">
        <f t="array" aca="1" ref="CJ28" ca="1">INDIRECT($BM$2&amp;CJ$7&amp;$CE28,1)</f>
        <v>0</v>
      </c>
      <c r="CK28" s="539" t="str">
        <f t="shared" ca="1" si="23"/>
        <v>-</v>
      </c>
      <c r="CN28" s="571">
        <f>MATCH(CO28&amp;"-",$BS$1:$BS$325,0)</f>
        <v>10</v>
      </c>
      <c r="CO28" s="577" t="s">
        <v>90</v>
      </c>
      <c r="CP28" s="577" t="str" cm="1">
        <f t="array" aca="1" ref="CP28" ca="1">IF(INDIRECT($CP$26&amp;CN28)=0,"---","Preenchido")</f>
        <v>---</v>
      </c>
      <c r="CQ28" s="577" t="s">
        <v>95</v>
      </c>
      <c r="CR28" s="577" t="str" cm="1">
        <f t="array" aca="1" ref="CR28" ca="1">IF(INDIRECT($CP$26&amp;CS28)=0,"---","Preenchido")</f>
        <v>---</v>
      </c>
      <c r="CS28" s="571">
        <f>MATCH(CQ28&amp;"-",$BS$1:$BS$325,0)</f>
        <v>170</v>
      </c>
      <c r="CU28" s="469" t="s">
        <v>5510</v>
      </c>
      <c r="CV28" s="372"/>
      <c r="CW28" s="470" t="s">
        <v>5779</v>
      </c>
      <c r="CX28" s="480" t="s">
        <v>5780</v>
      </c>
      <c r="CY28" s="480" t="s">
        <v>5735</v>
      </c>
      <c r="CZ28" s="480" t="s">
        <v>5736</v>
      </c>
      <c r="DA28" s="480" t="s">
        <v>5738</v>
      </c>
      <c r="DB28" s="480" t="s">
        <v>5740</v>
      </c>
      <c r="DC28" s="480" t="s">
        <v>6321</v>
      </c>
      <c r="DD28" s="372"/>
      <c r="DE28" s="372"/>
      <c r="DF28" s="372"/>
      <c r="DG28" s="372"/>
      <c r="DH28" s="372"/>
      <c r="DI28" s="372"/>
      <c r="DJ28" s="372"/>
      <c r="DK28" s="372"/>
      <c r="DL28" s="372"/>
      <c r="DM28" s="372"/>
      <c r="DN28" s="372"/>
      <c r="EQ28" s="469" t="s">
        <v>5510</v>
      </c>
      <c r="FM28" s="597">
        <f t="shared" si="20"/>
        <v>129</v>
      </c>
      <c r="FN28" s="597">
        <f t="shared" si="20"/>
        <v>140</v>
      </c>
      <c r="FO28" s="597">
        <f t="shared" si="20"/>
        <v>306</v>
      </c>
      <c r="FP28" s="597">
        <f t="shared" si="20"/>
        <v>317</v>
      </c>
      <c r="FQ28" s="597">
        <f t="shared" si="20"/>
        <v>481</v>
      </c>
      <c r="FR28" s="597">
        <f t="shared" si="20"/>
        <v>492</v>
      </c>
    </row>
    <row r="29" spans="48:175" s="20" customFormat="1" x14ac:dyDescent="0.25">
      <c r="AV29" s="469" t="s">
        <v>5510</v>
      </c>
      <c r="AW29" s="579" t="s">
        <v>5679</v>
      </c>
      <c r="AX29" s="579" t="s">
        <v>7097</v>
      </c>
      <c r="AY29" s="579" t="s">
        <v>7096</v>
      </c>
      <c r="BB29" s="469" t="s">
        <v>5510</v>
      </c>
      <c r="BF29" s="469" t="s">
        <v>5510</v>
      </c>
      <c r="BG29" s="469"/>
      <c r="BH29" s="539" t="s">
        <v>8038</v>
      </c>
      <c r="BI29" s="539">
        <f t="shared" si="24"/>
        <v>33</v>
      </c>
      <c r="BJ29" s="539" cm="1">
        <f t="array" aca="1" ref="BJ29" ca="1">INDIRECT($BM$2&amp;BJ$7&amp;$BI29,1)</f>
        <v>0</v>
      </c>
      <c r="BK29" s="539" cm="1">
        <f t="array" aca="1" ref="BK29" ca="1">INDIRECT($BM$2&amp;BK$7&amp;$BI29,1)</f>
        <v>0</v>
      </c>
      <c r="BL29" s="539" cm="1">
        <f t="array" aca="1" ref="BL29" ca="1">INDIRECT($BM$2&amp;BL$7&amp;$BI29,1)</f>
        <v>0</v>
      </c>
      <c r="BM29" s="539" cm="1">
        <f t="array" aca="1" ref="BM29" ca="1">INDIRECT($BM$2&amp;BM$7&amp;$BI29,1)</f>
        <v>0</v>
      </c>
      <c r="BN29" s="539" cm="1">
        <f t="array" aca="1" ref="BN29" ca="1">INDIRECT($BM$2&amp;BN$7&amp;$BI29,1)</f>
        <v>0</v>
      </c>
      <c r="BO29" s="539" t="str">
        <f t="shared" ca="1" si="21"/>
        <v>-</v>
      </c>
      <c r="BP29" s="372"/>
      <c r="BR29" s="469">
        <v>4</v>
      </c>
      <c r="BS29" s="539" t="s">
        <v>8038</v>
      </c>
      <c r="BT29" s="539">
        <f t="shared" si="25"/>
        <v>379</v>
      </c>
      <c r="BU29" s="539" cm="1">
        <f t="array" aca="1" ref="BU29" ca="1">INDIRECT($BM$2&amp;BU$7&amp;$BT29,1)</f>
        <v>0</v>
      </c>
      <c r="BV29" s="539" cm="1">
        <f t="array" aca="1" ref="BV29" ca="1">INDIRECT($BM$2&amp;BV$7&amp;$BT29,1)</f>
        <v>0</v>
      </c>
      <c r="BW29" s="539" cm="1">
        <f t="array" aca="1" ref="BW29" ca="1">INDIRECT($BM$2&amp;BW$7&amp;$BT29,1)</f>
        <v>0</v>
      </c>
      <c r="BX29" s="539" cm="1">
        <f t="array" aca="1" ref="BX29" ca="1">INDIRECT($BM$2&amp;BX$7&amp;$BT29,1)</f>
        <v>0</v>
      </c>
      <c r="BY29" s="539" cm="1">
        <f t="array" aca="1" ref="BY29" ca="1">INDIRECT($BM$2&amp;BY$7&amp;$BT29,1)</f>
        <v>0</v>
      </c>
      <c r="BZ29" s="539" t="str">
        <f t="shared" ca="1" si="22"/>
        <v>-</v>
      </c>
      <c r="CC29" s="469">
        <v>4</v>
      </c>
      <c r="CD29" s="539" t="s">
        <v>8038</v>
      </c>
      <c r="CE29" s="539">
        <f t="shared" si="26"/>
        <v>725</v>
      </c>
      <c r="CF29" s="539" cm="1">
        <f t="array" aca="1" ref="CF29" ca="1">INDIRECT($BM$2&amp;CF$7&amp;$CE29,1)</f>
        <v>0</v>
      </c>
      <c r="CG29" s="539" cm="1">
        <f t="array" aca="1" ref="CG29" ca="1">INDIRECT($BM$2&amp;CG$7&amp;$CE29,1)</f>
        <v>0</v>
      </c>
      <c r="CH29" s="539" cm="1">
        <f t="array" aca="1" ref="CH29" ca="1">INDIRECT($BM$2&amp;CH$7&amp;$CE29,1)</f>
        <v>0</v>
      </c>
      <c r="CI29" s="539" cm="1">
        <f t="array" aca="1" ref="CI29" ca="1">INDIRECT($BM$2&amp;CI$7&amp;$CE29,1)</f>
        <v>0</v>
      </c>
      <c r="CJ29" s="539" cm="1">
        <f t="array" aca="1" ref="CJ29" ca="1">INDIRECT($BM$2&amp;CJ$7&amp;$CE29,1)</f>
        <v>0</v>
      </c>
      <c r="CK29" s="539" t="str">
        <f t="shared" ca="1" si="23"/>
        <v>-</v>
      </c>
      <c r="CN29" s="571">
        <f>MATCH(CO29&amp;"-",$BS$1:$BS$325,0)</f>
        <v>42</v>
      </c>
      <c r="CO29" s="537" t="s">
        <v>91</v>
      </c>
      <c r="CP29" s="577" t="str" cm="1">
        <f t="array" aca="1" ref="CP29" ca="1">IF(INDIRECT($CP$26&amp;CN29)=0,"---","Preenchido")</f>
        <v>---</v>
      </c>
      <c r="CQ29" s="537" t="s">
        <v>96</v>
      </c>
      <c r="CR29" s="577" t="str" cm="1">
        <f t="array" aca="1" ref="CR29" ca="1">IF(INDIRECT($CP$26&amp;CS29)=0,"---","Preenchido")</f>
        <v>---</v>
      </c>
      <c r="CS29" s="571">
        <f t="shared" ref="CS29:CS31" si="27">MATCH(CQ29&amp;"-",$BS$1:$BS$325,0)</f>
        <v>202</v>
      </c>
      <c r="CU29" s="469" t="s">
        <v>5510</v>
      </c>
      <c r="CV29" s="580" t="s">
        <v>5777</v>
      </c>
      <c r="CW29" s="581" t="s">
        <v>5776</v>
      </c>
      <c r="CX29" s="1650" t="s">
        <v>8131</v>
      </c>
      <c r="CY29" s="1651"/>
      <c r="CZ29" s="1661" t="s">
        <v>8122</v>
      </c>
      <c r="DA29" s="1657"/>
      <c r="DB29" s="1656" t="s">
        <v>171</v>
      </c>
      <c r="DC29" s="1657"/>
      <c r="DD29" s="1658" t="s">
        <v>194</v>
      </c>
      <c r="DE29" s="1659"/>
      <c r="DF29" s="372"/>
      <c r="DG29" s="372"/>
      <c r="DH29" s="372"/>
      <c r="DI29" s="372"/>
      <c r="DJ29" s="372"/>
      <c r="DK29" s="372"/>
      <c r="DL29" s="477" t="s">
        <v>36</v>
      </c>
      <c r="DM29" s="477" t="s">
        <v>37</v>
      </c>
      <c r="DN29" s="477" t="s">
        <v>5785</v>
      </c>
      <c r="EQ29" s="469" t="s">
        <v>5510</v>
      </c>
      <c r="FM29" s="597">
        <f t="shared" si="20"/>
        <v>146</v>
      </c>
      <c r="FN29" s="597">
        <f t="shared" si="20"/>
        <v>157</v>
      </c>
      <c r="FO29" s="597">
        <f t="shared" si="20"/>
        <v>323</v>
      </c>
      <c r="FP29" s="597">
        <f t="shared" si="20"/>
        <v>334</v>
      </c>
      <c r="FQ29" s="597">
        <f t="shared" si="20"/>
        <v>498</v>
      </c>
      <c r="FR29" s="597">
        <f t="shared" si="20"/>
        <v>509</v>
      </c>
    </row>
    <row r="30" spans="48:175" s="20" customFormat="1" x14ac:dyDescent="0.25">
      <c r="AV30" s="469" t="s">
        <v>5510</v>
      </c>
      <c r="AW30" s="570" t="str">
        <f>IF(
    AE$10=Tabelas_fonte!$W$2,
       "(Campo em branco)",
       IF($AE$10=Tabelas_fonte!$W$3,
          "Foi realizado o teste de solubilidade com a substância testada?",
          $AX$12
       )
)</f>
        <v>Aguardando preenchimento da unidade de medida na aba Composição</v>
      </c>
      <c r="AX30" s="570" cm="1">
        <f t="array" aca="1" ref="AX30" ca="1">INDIRECT($AW$28&amp;$AX$28)</f>
        <v>0</v>
      </c>
      <c r="AY30" s="570" t="str">
        <f ca="1">IF(COUNTIF(AX30,"*442*")&gt;0,$AX$8,$AX$9)</f>
        <v>Desintegrações por minuto (DPM)</v>
      </c>
      <c r="BB30" s="469" t="s">
        <v>5510</v>
      </c>
      <c r="BF30" s="469" t="s">
        <v>5510</v>
      </c>
      <c r="BG30" s="469"/>
      <c r="BH30" s="539" t="s">
        <v>8038</v>
      </c>
      <c r="BI30" s="539">
        <f t="shared" si="24"/>
        <v>34</v>
      </c>
      <c r="BJ30" s="539" cm="1">
        <f t="array" aca="1" ref="BJ30" ca="1">INDIRECT($BM$2&amp;BJ$7&amp;$BI30,1)</f>
        <v>0</v>
      </c>
      <c r="BK30" s="539" cm="1">
        <f t="array" aca="1" ref="BK30" ca="1">INDIRECT($BM$2&amp;BK$7&amp;$BI30,1)</f>
        <v>0</v>
      </c>
      <c r="BL30" s="539" cm="1">
        <f t="array" aca="1" ref="BL30" ca="1">INDIRECT($BM$2&amp;BL$7&amp;$BI30,1)</f>
        <v>0</v>
      </c>
      <c r="BM30" s="539" cm="1">
        <f t="array" aca="1" ref="BM30" ca="1">INDIRECT($BM$2&amp;BM$7&amp;$BI30,1)</f>
        <v>0</v>
      </c>
      <c r="BN30" s="539" cm="1">
        <f t="array" aca="1" ref="BN30" ca="1">INDIRECT($BM$2&amp;BN$7&amp;$BI30,1)</f>
        <v>0</v>
      </c>
      <c r="BO30" s="539" t="str">
        <f t="shared" ca="1" si="21"/>
        <v>-</v>
      </c>
      <c r="BP30" s="372"/>
      <c r="BR30" s="469">
        <v>5</v>
      </c>
      <c r="BS30" s="539" t="s">
        <v>8038</v>
      </c>
      <c r="BT30" s="539">
        <f t="shared" si="25"/>
        <v>380</v>
      </c>
      <c r="BU30" s="539" cm="1">
        <f t="array" aca="1" ref="BU30" ca="1">INDIRECT($BM$2&amp;BU$7&amp;$BT30,1)</f>
        <v>0</v>
      </c>
      <c r="BV30" s="539" cm="1">
        <f t="array" aca="1" ref="BV30" ca="1">INDIRECT($BM$2&amp;BV$7&amp;$BT30,1)</f>
        <v>0</v>
      </c>
      <c r="BW30" s="539" cm="1">
        <f t="array" aca="1" ref="BW30" ca="1">INDIRECT($BM$2&amp;BW$7&amp;$BT30,1)</f>
        <v>0</v>
      </c>
      <c r="BX30" s="539" cm="1">
        <f t="array" aca="1" ref="BX30" ca="1">INDIRECT($BM$2&amp;BX$7&amp;$BT30,1)</f>
        <v>0</v>
      </c>
      <c r="BY30" s="539" cm="1">
        <f t="array" aca="1" ref="BY30" ca="1">INDIRECT($BM$2&amp;BY$7&amp;$BT30,1)</f>
        <v>0</v>
      </c>
      <c r="BZ30" s="539" t="str">
        <f t="shared" ca="1" si="22"/>
        <v>-</v>
      </c>
      <c r="CC30" s="469">
        <v>5</v>
      </c>
      <c r="CD30" s="539" t="s">
        <v>8038</v>
      </c>
      <c r="CE30" s="539">
        <f t="shared" si="26"/>
        <v>726</v>
      </c>
      <c r="CF30" s="539" cm="1">
        <f t="array" aca="1" ref="CF30" ca="1">INDIRECT($BM$2&amp;CF$7&amp;$CE30,1)</f>
        <v>0</v>
      </c>
      <c r="CG30" s="539" cm="1">
        <f t="array" aca="1" ref="CG30" ca="1">INDIRECT($BM$2&amp;CG$7&amp;$CE30,1)</f>
        <v>0</v>
      </c>
      <c r="CH30" s="539" cm="1">
        <f t="array" aca="1" ref="CH30" ca="1">INDIRECT($BM$2&amp;CH$7&amp;$CE30,1)</f>
        <v>0</v>
      </c>
      <c r="CI30" s="539" cm="1">
        <f t="array" aca="1" ref="CI30" ca="1">INDIRECT($BM$2&amp;CI$7&amp;$CE30,1)</f>
        <v>0</v>
      </c>
      <c r="CJ30" s="539" cm="1">
        <f t="array" aca="1" ref="CJ30" ca="1">INDIRECT($BM$2&amp;CJ$7&amp;$CE30,1)</f>
        <v>0</v>
      </c>
      <c r="CK30" s="539" t="str">
        <f t="shared" ca="1" si="23"/>
        <v>-</v>
      </c>
      <c r="CN30" s="571">
        <f t="shared" ref="CN30:CN32" si="28">MATCH(CO30&amp;"-",$BS$1:$BS$325,0)</f>
        <v>74</v>
      </c>
      <c r="CO30" s="537" t="s">
        <v>92</v>
      </c>
      <c r="CP30" s="577" t="str" cm="1">
        <f t="array" aca="1" ref="CP30" ca="1">IF(INDIRECT($CP$26&amp;CN30)=0,"---","Preenchido")</f>
        <v>---</v>
      </c>
      <c r="CQ30" s="537" t="s">
        <v>97</v>
      </c>
      <c r="CR30" s="577" t="str" cm="1">
        <f t="array" aca="1" ref="CR30" ca="1">IF(INDIRECT($CP$26&amp;CS30)=0,"---","Preenchido")</f>
        <v>---</v>
      </c>
      <c r="CS30" s="571">
        <f t="shared" si="27"/>
        <v>234</v>
      </c>
      <c r="CU30" s="469" t="s">
        <v>5510</v>
      </c>
      <c r="CV30" s="584" t="s">
        <v>10</v>
      </c>
      <c r="CW30" s="558" t="s">
        <v>10</v>
      </c>
      <c r="CX30" s="492" t="s">
        <v>36</v>
      </c>
      <c r="CY30" s="492" t="s">
        <v>37</v>
      </c>
      <c r="CZ30" s="492" t="s">
        <v>36</v>
      </c>
      <c r="DA30" s="492" t="s">
        <v>37</v>
      </c>
      <c r="DB30" s="492" t="s">
        <v>36</v>
      </c>
      <c r="DC30" s="492" t="s">
        <v>37</v>
      </c>
      <c r="DD30" s="492" t="s">
        <v>36</v>
      </c>
      <c r="DE30" s="492" t="s">
        <v>37</v>
      </c>
      <c r="DF30" s="372"/>
      <c r="DG30" s="1652" t="s">
        <v>5772</v>
      </c>
      <c r="DH30" s="1652"/>
      <c r="DI30" s="372"/>
      <c r="DJ30" s="372"/>
      <c r="DK30" s="479" t="s">
        <v>5784</v>
      </c>
      <c r="DL30" s="25" t="str">
        <f ca="1">IF(OR($CX$3=$CW$4,$CX$3=$CW$6),$CW$4,"-")</f>
        <v>-</v>
      </c>
      <c r="DM30" s="25" t="str">
        <f ca="1">IF(OR($CX$3=$CW$5,$CX$3=$CW$6),$CW$5,"-")</f>
        <v>-</v>
      </c>
      <c r="DN30" s="372"/>
      <c r="EQ30" s="469" t="s">
        <v>5510</v>
      </c>
      <c r="ET30" s="1668" t="s">
        <v>5996</v>
      </c>
      <c r="EU30" s="1668"/>
      <c r="EV30" s="1668"/>
      <c r="EW30" s="1668"/>
      <c r="EX30" s="1668"/>
      <c r="EY30" s="1668"/>
      <c r="EZ30" s="1668"/>
      <c r="FA30" s="1668"/>
      <c r="FM30" s="597">
        <f t="shared" si="20"/>
        <v>163</v>
      </c>
      <c r="FN30" s="597">
        <f t="shared" si="20"/>
        <v>174</v>
      </c>
      <c r="FO30" s="597">
        <f t="shared" si="20"/>
        <v>340</v>
      </c>
      <c r="FP30" s="597">
        <f t="shared" si="20"/>
        <v>351</v>
      </c>
      <c r="FQ30" s="597">
        <f t="shared" si="20"/>
        <v>515</v>
      </c>
      <c r="FR30" s="597">
        <f t="shared" si="20"/>
        <v>526</v>
      </c>
    </row>
    <row r="31" spans="48:175" s="20" customFormat="1" x14ac:dyDescent="0.25">
      <c r="AV31" s="469" t="s">
        <v>5510</v>
      </c>
      <c r="AW31" s="469"/>
      <c r="BB31" s="469" t="s">
        <v>5510</v>
      </c>
      <c r="BF31" s="469" t="s">
        <v>5510</v>
      </c>
      <c r="BG31" s="469"/>
      <c r="BH31" s="539" t="s">
        <v>8038</v>
      </c>
      <c r="BI31" s="539">
        <f t="shared" si="24"/>
        <v>35</v>
      </c>
      <c r="BJ31" s="539" cm="1">
        <f t="array" aca="1" ref="BJ31" ca="1">INDIRECT($BM$2&amp;BJ$7&amp;$BI31,1)</f>
        <v>0</v>
      </c>
      <c r="BK31" s="539" cm="1">
        <f t="array" aca="1" ref="BK31" ca="1">INDIRECT($BM$2&amp;BK$7&amp;$BI31,1)</f>
        <v>0</v>
      </c>
      <c r="BL31" s="539" cm="1">
        <f t="array" aca="1" ref="BL31" ca="1">INDIRECT($BM$2&amp;BL$7&amp;$BI31,1)</f>
        <v>0</v>
      </c>
      <c r="BM31" s="539" cm="1">
        <f t="array" aca="1" ref="BM31" ca="1">INDIRECT($BM$2&amp;BM$7&amp;$BI31,1)</f>
        <v>0</v>
      </c>
      <c r="BN31" s="539" cm="1">
        <f t="array" aca="1" ref="BN31" ca="1">INDIRECT($BM$2&amp;BN$7&amp;$BI31,1)</f>
        <v>0</v>
      </c>
      <c r="BO31" s="539" t="str">
        <f t="shared" ca="1" si="21"/>
        <v>-</v>
      </c>
      <c r="BP31" s="372"/>
      <c r="BR31" s="469">
        <v>6</v>
      </c>
      <c r="BS31" s="539" t="s">
        <v>8038</v>
      </c>
      <c r="BT31" s="539">
        <f t="shared" si="25"/>
        <v>381</v>
      </c>
      <c r="BU31" s="539" cm="1">
        <f t="array" aca="1" ref="BU31" ca="1">INDIRECT($BM$2&amp;BU$7&amp;$BT31,1)</f>
        <v>0</v>
      </c>
      <c r="BV31" s="539" cm="1">
        <f t="array" aca="1" ref="BV31" ca="1">INDIRECT($BM$2&amp;BV$7&amp;$BT31,1)</f>
        <v>0</v>
      </c>
      <c r="BW31" s="539" cm="1">
        <f t="array" aca="1" ref="BW31" ca="1">INDIRECT($BM$2&amp;BW$7&amp;$BT31,1)</f>
        <v>0</v>
      </c>
      <c r="BX31" s="539" cm="1">
        <f t="array" aca="1" ref="BX31" ca="1">INDIRECT($BM$2&amp;BX$7&amp;$BT31,1)</f>
        <v>0</v>
      </c>
      <c r="BY31" s="539" cm="1">
        <f t="array" aca="1" ref="BY31" ca="1">INDIRECT($BM$2&amp;BY$7&amp;$BT31,1)</f>
        <v>0</v>
      </c>
      <c r="BZ31" s="539" t="str">
        <f t="shared" ca="1" si="22"/>
        <v>-</v>
      </c>
      <c r="CC31" s="469">
        <v>6</v>
      </c>
      <c r="CD31" s="539" t="s">
        <v>8038</v>
      </c>
      <c r="CE31" s="539">
        <f t="shared" si="26"/>
        <v>727</v>
      </c>
      <c r="CF31" s="539" cm="1">
        <f t="array" aca="1" ref="CF31" ca="1">INDIRECT($BM$2&amp;CF$7&amp;$CE31,1)</f>
        <v>0</v>
      </c>
      <c r="CG31" s="539" cm="1">
        <f t="array" aca="1" ref="CG31" ca="1">INDIRECT($BM$2&amp;CG$7&amp;$CE31,1)</f>
        <v>0</v>
      </c>
      <c r="CH31" s="539" cm="1">
        <f t="array" aca="1" ref="CH31" ca="1">INDIRECT($BM$2&amp;CH$7&amp;$CE31,1)</f>
        <v>0</v>
      </c>
      <c r="CI31" s="539" cm="1">
        <f t="array" aca="1" ref="CI31" ca="1">INDIRECT($BM$2&amp;CI$7&amp;$CE31,1)</f>
        <v>0</v>
      </c>
      <c r="CJ31" s="539" cm="1">
        <f t="array" aca="1" ref="CJ31" ca="1">INDIRECT($BM$2&amp;CJ$7&amp;$CE31,1)</f>
        <v>0</v>
      </c>
      <c r="CK31" s="539" t="str">
        <f t="shared" ca="1" si="23"/>
        <v>-</v>
      </c>
      <c r="CN31" s="571">
        <f t="shared" si="28"/>
        <v>106</v>
      </c>
      <c r="CO31" s="537" t="s">
        <v>93</v>
      </c>
      <c r="CP31" s="577" t="str" cm="1">
        <f t="array" aca="1" ref="CP31" ca="1">IF(INDIRECT($CP$26&amp;CN31)=0,"---","Preenchido")</f>
        <v>---</v>
      </c>
      <c r="CQ31" s="537" t="s">
        <v>98</v>
      </c>
      <c r="CR31" s="577" t="str" cm="1">
        <f t="array" aca="1" ref="CR31" ca="1">IF(INDIRECT($CP$26&amp;CS31)=0,"---","Preenchido")</f>
        <v>---</v>
      </c>
      <c r="CS31" s="571">
        <f t="shared" si="27"/>
        <v>266</v>
      </c>
      <c r="CU31" s="469" t="s">
        <v>5510</v>
      </c>
      <c r="CV31" s="584" t="s">
        <v>5774</v>
      </c>
      <c r="CW31" s="558">
        <f>DD3</f>
        <v>16</v>
      </c>
      <c r="CX31" s="492" cm="1">
        <f t="array" aca="1" ref="CX31" ca="1">INDIRECT($DD$2&amp;CX$28&amp;$CW31)</f>
        <v>0</v>
      </c>
      <c r="CY31" s="492" cm="1">
        <f t="array" aca="1" ref="CY31" ca="1">INDIRECT($DD$2&amp;CY$28&amp;$CW31)</f>
        <v>0</v>
      </c>
      <c r="CZ31" s="492" cm="1">
        <f t="array" aca="1" ref="CZ31" ca="1">INDIRECT($DD$2&amp;CZ$28&amp;$CW31)</f>
        <v>0</v>
      </c>
      <c r="DA31" s="492" cm="1">
        <f t="array" aca="1" ref="DA31" ca="1">INDIRECT($DD$2&amp;DA$28&amp;$CW31)</f>
        <v>0</v>
      </c>
      <c r="DB31" s="492" cm="1">
        <f t="array" aca="1" ref="DB31" ca="1">INDIRECT($DD$2&amp;DB$28&amp;$CW31)</f>
        <v>0</v>
      </c>
      <c r="DC31" s="492" cm="1">
        <f t="array" aca="1" ref="DC31" ca="1">INDIRECT($DD$2&amp;DC$28&amp;$CW31)</f>
        <v>0</v>
      </c>
      <c r="DD31" s="492" t="str">
        <f t="shared" ref="DD31:DD62" ca="1" si="29">IFERROR(DB31/CZ31,"")</f>
        <v/>
      </c>
      <c r="DE31" s="492" t="str">
        <f t="shared" ref="DE31:DE62" ca="1" si="30">IFERROR(DC31/DA31,"")</f>
        <v/>
      </c>
      <c r="DF31" s="372"/>
      <c r="DG31" s="25" t="s">
        <v>79</v>
      </c>
      <c r="DH31" s="492" t="str">
        <f ca="1">IF(SUM(CX31:DC40)&gt;0,"Preenchido","Pendente")</f>
        <v>Pendente</v>
      </c>
      <c r="DI31" s="372"/>
      <c r="DJ31" s="372"/>
      <c r="DK31" s="479" t="s">
        <v>8123</v>
      </c>
      <c r="DL31" s="25">
        <f ca="1">COUNTIF(DA19:DA24,"&lt;&gt;"&amp;"-")</f>
        <v>0</v>
      </c>
      <c r="DM31" s="25">
        <f ca="1">COUNTIF(DB19:DB24,"&lt;&gt;"&amp;"-")</f>
        <v>0</v>
      </c>
      <c r="DN31" s="25">
        <f ca="1">LARGE(DL31:DM31,1)</f>
        <v>0</v>
      </c>
      <c r="EQ31" s="469" t="s">
        <v>5510</v>
      </c>
      <c r="ET31" s="1669" t="s">
        <v>5713</v>
      </c>
      <c r="EU31" s="1669"/>
      <c r="EV31" s="1669"/>
      <c r="EW31" s="1669"/>
      <c r="EX31" s="1669" t="s">
        <v>5714</v>
      </c>
      <c r="EY31" s="1669"/>
      <c r="EZ31" s="1669"/>
      <c r="FA31" s="1669"/>
      <c r="FB31" s="1670" t="s">
        <v>88</v>
      </c>
      <c r="FC31" s="1671"/>
      <c r="FD31" s="1670" t="s">
        <v>101</v>
      </c>
      <c r="FE31" s="1671"/>
      <c r="FF31" s="1670" t="s">
        <v>120</v>
      </c>
      <c r="FG31" s="1671"/>
    </row>
    <row r="32" spans="48:175" s="20" customFormat="1" x14ac:dyDescent="0.25">
      <c r="AV32" s="469" t="s">
        <v>5510</v>
      </c>
      <c r="AX32" s="469" t="s">
        <v>5744</v>
      </c>
      <c r="AY32" s="469" t="s">
        <v>6001</v>
      </c>
      <c r="BB32" s="469" t="s">
        <v>5510</v>
      </c>
      <c r="BF32" s="469" t="s">
        <v>5510</v>
      </c>
      <c r="BG32" s="469"/>
      <c r="BH32" s="539" t="s">
        <v>8038</v>
      </c>
      <c r="BI32" s="539">
        <f t="shared" si="24"/>
        <v>36</v>
      </c>
      <c r="BJ32" s="539" cm="1">
        <f t="array" aca="1" ref="BJ32" ca="1">INDIRECT($BM$2&amp;BJ$7&amp;$BI32,1)</f>
        <v>0</v>
      </c>
      <c r="BK32" s="539" cm="1">
        <f t="array" aca="1" ref="BK32" ca="1">INDIRECT($BM$2&amp;BK$7&amp;$BI32,1)</f>
        <v>0</v>
      </c>
      <c r="BL32" s="539" cm="1">
        <f t="array" aca="1" ref="BL32" ca="1">INDIRECT($BM$2&amp;BL$7&amp;$BI32,1)</f>
        <v>0</v>
      </c>
      <c r="BM32" s="539" cm="1">
        <f t="array" aca="1" ref="BM32" ca="1">INDIRECT($BM$2&amp;BM$7&amp;$BI32,1)</f>
        <v>0</v>
      </c>
      <c r="BN32" s="539" cm="1">
        <f t="array" aca="1" ref="BN32" ca="1">INDIRECT($BM$2&amp;BN$7&amp;$BI32,1)</f>
        <v>0</v>
      </c>
      <c r="BO32" s="539" t="str">
        <f t="shared" ca="1" si="21"/>
        <v>-</v>
      </c>
      <c r="BP32" s="372"/>
      <c r="BR32" s="469">
        <v>7</v>
      </c>
      <c r="BS32" s="539" t="s">
        <v>8038</v>
      </c>
      <c r="BT32" s="539">
        <f t="shared" si="25"/>
        <v>382</v>
      </c>
      <c r="BU32" s="539" cm="1">
        <f t="array" aca="1" ref="BU32" ca="1">INDIRECT($BM$2&amp;BU$7&amp;$BT32,1)</f>
        <v>0</v>
      </c>
      <c r="BV32" s="539" cm="1">
        <f t="array" aca="1" ref="BV32" ca="1">INDIRECT($BM$2&amp;BV$7&amp;$BT32,1)</f>
        <v>0</v>
      </c>
      <c r="BW32" s="539" cm="1">
        <f t="array" aca="1" ref="BW32" ca="1">INDIRECT($BM$2&amp;BW$7&amp;$BT32,1)</f>
        <v>0</v>
      </c>
      <c r="BX32" s="539" cm="1">
        <f t="array" aca="1" ref="BX32" ca="1">INDIRECT($BM$2&amp;BX$7&amp;$BT32,1)</f>
        <v>0</v>
      </c>
      <c r="BY32" s="539" cm="1">
        <f t="array" aca="1" ref="BY32" ca="1">INDIRECT($BM$2&amp;BY$7&amp;$BT32,1)</f>
        <v>0</v>
      </c>
      <c r="BZ32" s="539" t="str">
        <f t="shared" ca="1" si="22"/>
        <v>-</v>
      </c>
      <c r="CC32" s="469">
        <v>7</v>
      </c>
      <c r="CD32" s="539" t="s">
        <v>8038</v>
      </c>
      <c r="CE32" s="539">
        <f t="shared" si="26"/>
        <v>728</v>
      </c>
      <c r="CF32" s="539" cm="1">
        <f t="array" aca="1" ref="CF32" ca="1">INDIRECT($BM$2&amp;CF$7&amp;$CE32,1)</f>
        <v>0</v>
      </c>
      <c r="CG32" s="539" cm="1">
        <f t="array" aca="1" ref="CG32" ca="1">INDIRECT($BM$2&amp;CG$7&amp;$CE32,1)</f>
        <v>0</v>
      </c>
      <c r="CH32" s="539" cm="1">
        <f t="array" aca="1" ref="CH32" ca="1">INDIRECT($BM$2&amp;CH$7&amp;$CE32,1)</f>
        <v>0</v>
      </c>
      <c r="CI32" s="539" cm="1">
        <f t="array" aca="1" ref="CI32" ca="1">INDIRECT($BM$2&amp;CI$7&amp;$CE32,1)</f>
        <v>0</v>
      </c>
      <c r="CJ32" s="539" cm="1">
        <f t="array" aca="1" ref="CJ32" ca="1">INDIRECT($BM$2&amp;CJ$7&amp;$CE32,1)</f>
        <v>0</v>
      </c>
      <c r="CK32" s="539" t="str">
        <f t="shared" ca="1" si="23"/>
        <v>-</v>
      </c>
      <c r="CN32" s="571">
        <f t="shared" si="28"/>
        <v>138</v>
      </c>
      <c r="CO32" s="537" t="s">
        <v>94</v>
      </c>
      <c r="CP32" s="577" t="str" cm="1">
        <f t="array" aca="1" ref="CP32" ca="1">IF(INDIRECT($CP$26&amp;CN32)=0,"---","Preenchido")</f>
        <v>---</v>
      </c>
      <c r="CQ32" s="537" t="s">
        <v>8224</v>
      </c>
      <c r="CR32" s="577" t="str" cm="1">
        <f t="array" aca="1" ref="CR32" ca="1">IF(INDIRECT($CP$26&amp;CS32)=0,"---","Preenchido")</f>
        <v>---</v>
      </c>
      <c r="CS32" s="571">
        <f>MATCH(CQ32&amp;"-",$BS$1:$BS$325,0)</f>
        <v>298</v>
      </c>
      <c r="CU32" s="469" t="s">
        <v>5510</v>
      </c>
      <c r="CV32" s="584" t="s">
        <v>5774</v>
      </c>
      <c r="CW32" s="558">
        <f t="shared" ref="CW32:CW63" si="31">IF(CV32=CV31,CW31+1,CW31+$DD$4)</f>
        <v>17</v>
      </c>
      <c r="CX32" s="492" cm="1">
        <f t="array" aca="1" ref="CX32" ca="1">INDIRECT($DD$2&amp;CX$28&amp;$CW32)</f>
        <v>0</v>
      </c>
      <c r="CY32" s="492" cm="1">
        <f t="array" aca="1" ref="CY32" ca="1">INDIRECT($DD$2&amp;CY$28&amp;$CW32)</f>
        <v>0</v>
      </c>
      <c r="CZ32" s="492" cm="1">
        <f t="array" aca="1" ref="CZ32" ca="1">INDIRECT($DD$2&amp;CZ$28&amp;$CW32)</f>
        <v>0</v>
      </c>
      <c r="DA32" s="492" cm="1">
        <f t="array" aca="1" ref="DA32" ca="1">INDIRECT($DD$2&amp;DA$28&amp;$CW32)</f>
        <v>0</v>
      </c>
      <c r="DB32" s="492" cm="1">
        <f t="array" aca="1" ref="DB32" ca="1">INDIRECT($DD$2&amp;DB$28&amp;$CW32)</f>
        <v>0</v>
      </c>
      <c r="DC32" s="492" cm="1">
        <f t="array" aca="1" ref="DC32" ca="1">INDIRECT($DD$2&amp;DC$28&amp;$CW32)</f>
        <v>0</v>
      </c>
      <c r="DD32" s="492" t="str">
        <f t="shared" ca="1" si="29"/>
        <v/>
      </c>
      <c r="DE32" s="492" t="str">
        <f t="shared" ca="1" si="30"/>
        <v/>
      </c>
      <c r="DF32" s="372"/>
      <c r="DG32" s="25" t="s">
        <v>80</v>
      </c>
      <c r="DH32" s="492" t="str">
        <f ca="1">IF(SUM(CX41:DC50)&gt;0,"Preenchido","Pendente")</f>
        <v>Pendente</v>
      </c>
      <c r="DI32" s="372"/>
      <c r="DJ32" s="372"/>
      <c r="DK32" s="372"/>
      <c r="DL32" s="372"/>
      <c r="DM32" s="372"/>
      <c r="DN32" s="372"/>
      <c r="EQ32" s="469" t="s">
        <v>5510</v>
      </c>
      <c r="ES32" s="20" t="s">
        <v>347</v>
      </c>
      <c r="ET32" s="1670" t="s">
        <v>10</v>
      </c>
      <c r="EU32" s="1671"/>
      <c r="EV32" s="1670" t="s">
        <v>237</v>
      </c>
      <c r="EW32" s="1671"/>
      <c r="EX32" s="1670" t="s">
        <v>10</v>
      </c>
      <c r="EY32" s="1671"/>
      <c r="EZ32" s="1670" t="s">
        <v>237</v>
      </c>
      <c r="FA32" s="1671"/>
      <c r="FB32" s="539" t="s">
        <v>10</v>
      </c>
      <c r="FC32" s="539" t="s">
        <v>237</v>
      </c>
      <c r="FD32" s="539" t="s">
        <v>10</v>
      </c>
      <c r="FE32" s="539" t="s">
        <v>237</v>
      </c>
      <c r="FF32" s="539" t="s">
        <v>10</v>
      </c>
      <c r="FG32" s="539" t="s">
        <v>237</v>
      </c>
    </row>
    <row r="33" spans="1:222" x14ac:dyDescent="0.25">
      <c r="N33" s="20"/>
      <c r="Y33" s="20"/>
      <c r="AV33" s="469" t="s">
        <v>5510</v>
      </c>
      <c r="AW33" s="20" t="s">
        <v>6002</v>
      </c>
      <c r="AX33" s="587" cm="1">
        <f t="array" aca="1" ref="AX33" ca="1">INDIRECT("'Ames(2)'!AD17",1)</f>
        <v>0</v>
      </c>
      <c r="BB33" s="469" t="s">
        <v>5510</v>
      </c>
      <c r="BF33" s="469" t="s">
        <v>5510</v>
      </c>
      <c r="BG33" s="469"/>
      <c r="BH33" s="539" t="s">
        <v>8038</v>
      </c>
      <c r="BI33" s="539">
        <f t="shared" si="24"/>
        <v>37</v>
      </c>
      <c r="BJ33" s="539" cm="1">
        <f t="array" aca="1" ref="BJ33" ca="1">INDIRECT($BM$2&amp;BJ$7&amp;$BI33,1)</f>
        <v>0</v>
      </c>
      <c r="BK33" s="539" cm="1">
        <f t="array" aca="1" ref="BK33" ca="1">INDIRECT($BM$2&amp;BK$7&amp;$BI33,1)</f>
        <v>0</v>
      </c>
      <c r="BL33" s="539" cm="1">
        <f t="array" aca="1" ref="BL33" ca="1">INDIRECT($BM$2&amp;BL$7&amp;$BI33,1)</f>
        <v>0</v>
      </c>
      <c r="BM33" s="539" cm="1">
        <f t="array" aca="1" ref="BM33" ca="1">INDIRECT($BM$2&amp;BM$7&amp;$BI33,1)</f>
        <v>0</v>
      </c>
      <c r="BN33" s="539" cm="1">
        <f t="array" aca="1" ref="BN33" ca="1">INDIRECT($BM$2&amp;BN$7&amp;$BI33,1)</f>
        <v>0</v>
      </c>
      <c r="BO33" s="539" t="str">
        <f t="shared" ca="1" si="21"/>
        <v>-</v>
      </c>
      <c r="BQ33" s="20"/>
      <c r="BR33" s="469">
        <v>8</v>
      </c>
      <c r="BS33" s="539" t="s">
        <v>8038</v>
      </c>
      <c r="BT33" s="539">
        <f t="shared" si="25"/>
        <v>383</v>
      </c>
      <c r="BU33" s="539" cm="1">
        <f t="array" aca="1" ref="BU33" ca="1">INDIRECT($BM$2&amp;BU$7&amp;$BT33,1)</f>
        <v>0</v>
      </c>
      <c r="BV33" s="539" cm="1">
        <f t="array" aca="1" ref="BV33" ca="1">INDIRECT($BM$2&amp;BV$7&amp;$BT33,1)</f>
        <v>0</v>
      </c>
      <c r="BW33" s="539" cm="1">
        <f t="array" aca="1" ref="BW33" ca="1">INDIRECT($BM$2&amp;BW$7&amp;$BT33,1)</f>
        <v>0</v>
      </c>
      <c r="BX33" s="539" cm="1">
        <f t="array" aca="1" ref="BX33" ca="1">INDIRECT($BM$2&amp;BX$7&amp;$BT33,1)</f>
        <v>0</v>
      </c>
      <c r="BY33" s="539" cm="1">
        <f t="array" aca="1" ref="BY33" ca="1">INDIRECT($BM$2&amp;BY$7&amp;$BT33,1)</f>
        <v>0</v>
      </c>
      <c r="BZ33" s="539" t="str">
        <f t="shared" ca="1" si="22"/>
        <v>-</v>
      </c>
      <c r="CC33" s="469">
        <v>8</v>
      </c>
      <c r="CD33" s="539" t="s">
        <v>8038</v>
      </c>
      <c r="CE33" s="539">
        <f t="shared" si="26"/>
        <v>729</v>
      </c>
      <c r="CF33" s="539" cm="1">
        <f t="array" aca="1" ref="CF33" ca="1">INDIRECT($BM$2&amp;CF$7&amp;$CE33,1)</f>
        <v>0</v>
      </c>
      <c r="CG33" s="539" cm="1">
        <f t="array" aca="1" ref="CG33" ca="1">INDIRECT($BM$2&amp;CG$7&amp;$CE33,1)</f>
        <v>0</v>
      </c>
      <c r="CH33" s="539" cm="1">
        <f t="array" aca="1" ref="CH33" ca="1">INDIRECT($BM$2&amp;CH$7&amp;$CE33,1)</f>
        <v>0</v>
      </c>
      <c r="CI33" s="539" cm="1">
        <f t="array" aca="1" ref="CI33" ca="1">INDIRECT($BM$2&amp;CI$7&amp;$CE33,1)</f>
        <v>0</v>
      </c>
      <c r="CJ33" s="539" cm="1">
        <f t="array" aca="1" ref="CJ33" ca="1">INDIRECT($BM$2&amp;CJ$7&amp;$CE33,1)</f>
        <v>0</v>
      </c>
      <c r="CK33" s="539" t="str">
        <f t="shared" ca="1" si="23"/>
        <v>-</v>
      </c>
      <c r="CU33" s="469" t="s">
        <v>5510</v>
      </c>
      <c r="CV33" s="584" t="s">
        <v>5774</v>
      </c>
      <c r="CW33" s="558">
        <f t="shared" si="31"/>
        <v>18</v>
      </c>
      <c r="CX33" s="492" cm="1">
        <f t="array" aca="1" ref="CX33" ca="1">INDIRECT($DD$2&amp;CX$28&amp;$CW33)</f>
        <v>0</v>
      </c>
      <c r="CY33" s="492" cm="1">
        <f t="array" aca="1" ref="CY33" ca="1">INDIRECT($DD$2&amp;CY$28&amp;$CW33)</f>
        <v>0</v>
      </c>
      <c r="CZ33" s="492" cm="1">
        <f t="array" aca="1" ref="CZ33" ca="1">INDIRECT($DD$2&amp;CZ$28&amp;$CW33)</f>
        <v>0</v>
      </c>
      <c r="DA33" s="492" cm="1">
        <f t="array" aca="1" ref="DA33" ca="1">INDIRECT($DD$2&amp;DA$28&amp;$CW33)</f>
        <v>0</v>
      </c>
      <c r="DB33" s="492" cm="1">
        <f t="array" aca="1" ref="DB33" ca="1">INDIRECT($DD$2&amp;DB$28&amp;$CW33)</f>
        <v>0</v>
      </c>
      <c r="DC33" s="492" cm="1">
        <f t="array" aca="1" ref="DC33" ca="1">INDIRECT($DD$2&amp;DC$28&amp;$CW33)</f>
        <v>0</v>
      </c>
      <c r="DD33" s="492" t="str">
        <f t="shared" ca="1" si="29"/>
        <v/>
      </c>
      <c r="DE33" s="492" t="str">
        <f t="shared" ca="1" si="30"/>
        <v/>
      </c>
      <c r="DF33" s="372"/>
      <c r="DG33" s="25" t="s">
        <v>162</v>
      </c>
      <c r="DH33" s="492" t="str">
        <f ca="1">IF(SUM(CX51:DC60)&gt;0,"Preenchido","Pendente")</f>
        <v>Pendente</v>
      </c>
      <c r="DI33" s="372"/>
      <c r="DJ33" s="372"/>
      <c r="DK33" s="477" t="s">
        <v>255</v>
      </c>
      <c r="DL33" s="480" t="s">
        <v>7538</v>
      </c>
      <c r="DM33" s="25" cm="1">
        <f t="array" aca="1" ref="DM33" ca="1">INDIRECT(CW2&amp;DL33)</f>
        <v>0</v>
      </c>
      <c r="DN33" s="372"/>
      <c r="EQ33" s="469" t="s">
        <v>5510</v>
      </c>
      <c r="ET33" s="722" t="s">
        <v>109</v>
      </c>
      <c r="EU33" s="722" t="s">
        <v>110</v>
      </c>
      <c r="EV33" s="722" t="s">
        <v>109</v>
      </c>
      <c r="EW33" s="722" t="s">
        <v>110</v>
      </c>
      <c r="EX33" s="722" t="s">
        <v>109</v>
      </c>
      <c r="EY33" s="722" t="s">
        <v>110</v>
      </c>
      <c r="EZ33" s="722" t="s">
        <v>109</v>
      </c>
      <c r="FA33" s="722" t="s">
        <v>110</v>
      </c>
      <c r="FB33" s="722" t="s">
        <v>5995</v>
      </c>
      <c r="FC33" s="722" t="s">
        <v>5995</v>
      </c>
      <c r="FD33" s="722" t="s">
        <v>5995</v>
      </c>
      <c r="FE33" s="722" t="s">
        <v>5995</v>
      </c>
      <c r="FF33" s="722" t="s">
        <v>5995</v>
      </c>
      <c r="FG33" s="722" t="s">
        <v>5995</v>
      </c>
      <c r="HN33" s="20"/>
    </row>
    <row r="34" spans="1:222" x14ac:dyDescent="0.25">
      <c r="N34" s="20"/>
      <c r="Y34" s="20"/>
      <c r="AV34" s="469" t="s">
        <v>5510</v>
      </c>
      <c r="AW34" s="20" t="s">
        <v>6000</v>
      </c>
      <c r="AX34" s="501" t="str">
        <f ca="1">IF(AX33&lt;&gt;"",IF(AX33&lt;=AY34,"sim","não"),"")</f>
        <v>sim</v>
      </c>
      <c r="AY34" s="588">
        <v>40178</v>
      </c>
      <c r="BB34" s="469" t="s">
        <v>5510</v>
      </c>
      <c r="BF34" s="469" t="s">
        <v>5510</v>
      </c>
      <c r="BG34" s="469"/>
      <c r="BH34" s="539" t="s">
        <v>8038</v>
      </c>
      <c r="BI34" s="539">
        <f t="shared" si="24"/>
        <v>38</v>
      </c>
      <c r="BJ34" s="539" cm="1">
        <f t="array" aca="1" ref="BJ34" ca="1">INDIRECT($BM$2&amp;BJ$7&amp;$BI34,1)</f>
        <v>0</v>
      </c>
      <c r="BK34" s="539" cm="1">
        <f t="array" aca="1" ref="BK34" ca="1">INDIRECT($BM$2&amp;BK$7&amp;$BI34,1)</f>
        <v>0</v>
      </c>
      <c r="BL34" s="539" cm="1">
        <f t="array" aca="1" ref="BL34" ca="1">INDIRECT($BM$2&amp;BL$7&amp;$BI34,1)</f>
        <v>0</v>
      </c>
      <c r="BM34" s="539" cm="1">
        <f t="array" aca="1" ref="BM34" ca="1">INDIRECT($BM$2&amp;BM$7&amp;$BI34,1)</f>
        <v>0</v>
      </c>
      <c r="BN34" s="539" cm="1">
        <f t="array" aca="1" ref="BN34" ca="1">INDIRECT($BM$2&amp;BN$7&amp;$BI34,1)</f>
        <v>0</v>
      </c>
      <c r="BO34" s="539" t="str">
        <f t="shared" ca="1" si="21"/>
        <v>-</v>
      </c>
      <c r="BQ34" s="20"/>
      <c r="BR34" s="469">
        <v>9</v>
      </c>
      <c r="BS34" s="539" t="s">
        <v>8038</v>
      </c>
      <c r="BT34" s="539">
        <f t="shared" si="25"/>
        <v>384</v>
      </c>
      <c r="BU34" s="539" cm="1">
        <f t="array" aca="1" ref="BU34" ca="1">INDIRECT($BM$2&amp;BU$7&amp;$BT34,1)</f>
        <v>0</v>
      </c>
      <c r="BV34" s="539" cm="1">
        <f t="array" aca="1" ref="BV34" ca="1">INDIRECT($BM$2&amp;BV$7&amp;$BT34,1)</f>
        <v>0</v>
      </c>
      <c r="BW34" s="539" cm="1">
        <f t="array" aca="1" ref="BW34" ca="1">INDIRECT($BM$2&amp;BW$7&amp;$BT34,1)</f>
        <v>0</v>
      </c>
      <c r="BX34" s="539" cm="1">
        <f t="array" aca="1" ref="BX34" ca="1">INDIRECT($BM$2&amp;BX$7&amp;$BT34,1)</f>
        <v>0</v>
      </c>
      <c r="BY34" s="539" cm="1">
        <f t="array" aca="1" ref="BY34" ca="1">INDIRECT($BM$2&amp;BY$7&amp;$BT34,1)</f>
        <v>0</v>
      </c>
      <c r="BZ34" s="539" t="str">
        <f t="shared" ca="1" si="22"/>
        <v>-</v>
      </c>
      <c r="CC34" s="469">
        <v>9</v>
      </c>
      <c r="CD34" s="539" t="s">
        <v>8038</v>
      </c>
      <c r="CE34" s="539">
        <f t="shared" si="26"/>
        <v>730</v>
      </c>
      <c r="CF34" s="539" cm="1">
        <f t="array" aca="1" ref="CF34" ca="1">INDIRECT($BM$2&amp;CF$7&amp;$CE34,1)</f>
        <v>0</v>
      </c>
      <c r="CG34" s="539" cm="1">
        <f t="array" aca="1" ref="CG34" ca="1">INDIRECT($BM$2&amp;CG$7&amp;$CE34,1)</f>
        <v>0</v>
      </c>
      <c r="CH34" s="539" cm="1">
        <f t="array" aca="1" ref="CH34" ca="1">INDIRECT($BM$2&amp;CH$7&amp;$CE34,1)</f>
        <v>0</v>
      </c>
      <c r="CI34" s="539" cm="1">
        <f t="array" aca="1" ref="CI34" ca="1">INDIRECT($BM$2&amp;CI$7&amp;$CE34,1)</f>
        <v>0</v>
      </c>
      <c r="CJ34" s="539" cm="1">
        <f t="array" aca="1" ref="CJ34" ca="1">INDIRECT($BM$2&amp;CJ$7&amp;$CE34,1)</f>
        <v>0</v>
      </c>
      <c r="CK34" s="539" t="str">
        <f t="shared" ca="1" si="23"/>
        <v>-</v>
      </c>
      <c r="CP34" s="571" t="s">
        <v>8073</v>
      </c>
      <c r="CU34" s="469" t="s">
        <v>5510</v>
      </c>
      <c r="CV34" s="584" t="s">
        <v>5774</v>
      </c>
      <c r="CW34" s="558">
        <f t="shared" si="31"/>
        <v>19</v>
      </c>
      <c r="CX34" s="492" cm="1">
        <f t="array" aca="1" ref="CX34" ca="1">INDIRECT($DD$2&amp;CX$28&amp;$CW34)</f>
        <v>0</v>
      </c>
      <c r="CY34" s="492" cm="1">
        <f t="array" aca="1" ref="CY34" ca="1">INDIRECT($DD$2&amp;CY$28&amp;$CW34)</f>
        <v>0</v>
      </c>
      <c r="CZ34" s="492" cm="1">
        <f t="array" aca="1" ref="CZ34" ca="1">INDIRECT($DD$2&amp;CZ$28&amp;$CW34)</f>
        <v>0</v>
      </c>
      <c r="DA34" s="492" cm="1">
        <f t="array" aca="1" ref="DA34" ca="1">INDIRECT($DD$2&amp;DA$28&amp;$CW34)</f>
        <v>0</v>
      </c>
      <c r="DB34" s="492" cm="1">
        <f t="array" aca="1" ref="DB34" ca="1">INDIRECT($DD$2&amp;DB$28&amp;$CW34)</f>
        <v>0</v>
      </c>
      <c r="DC34" s="492" cm="1">
        <f t="array" aca="1" ref="DC34" ca="1">INDIRECT($DD$2&amp;DC$28&amp;$CW34)</f>
        <v>0</v>
      </c>
      <c r="DD34" s="492" t="str">
        <f t="shared" ca="1" si="29"/>
        <v/>
      </c>
      <c r="DE34" s="492" t="str">
        <f t="shared" ca="1" si="30"/>
        <v/>
      </c>
      <c r="DF34" s="372"/>
      <c r="DG34" s="25" t="s">
        <v>163</v>
      </c>
      <c r="DH34" s="492" t="str">
        <f ca="1">IF(SUM(CX61:DC70)&gt;0,"Preenchido","Pendente")</f>
        <v>Pendente</v>
      </c>
      <c r="DI34" s="372"/>
      <c r="DJ34" s="372"/>
      <c r="DK34" s="372"/>
      <c r="DL34" s="372"/>
      <c r="DM34" s="372"/>
      <c r="DN34" s="372"/>
      <c r="EQ34" s="469" t="s">
        <v>5510</v>
      </c>
      <c r="ES34" s="535" t="s">
        <v>90</v>
      </c>
      <c r="ET34" s="597" t="str">
        <f t="shared" ref="ET34:EW43" ca="1" si="32">ES8</f>
        <v/>
      </c>
      <c r="EU34" s="597" t="str">
        <f t="shared" ca="1" si="32"/>
        <v/>
      </c>
      <c r="EV34" s="597" t="str">
        <f t="shared" ca="1" si="32"/>
        <v/>
      </c>
      <c r="EW34" s="597" t="str">
        <f t="shared" ca="1" si="32"/>
        <v/>
      </c>
      <c r="EX34" s="643" t="str">
        <f t="shared" ref="EX34:FA43" ca="1" si="33">FA8</f>
        <v/>
      </c>
      <c r="EY34" s="643" t="str">
        <f t="shared" ca="1" si="33"/>
        <v/>
      </c>
      <c r="EZ34" s="643" t="str">
        <f t="shared" ca="1" si="33"/>
        <v/>
      </c>
      <c r="FA34" s="643" t="str">
        <f t="shared" ca="1" si="33"/>
        <v/>
      </c>
      <c r="FB34" s="714">
        <f t="shared" ref="FB34:FG43" si="34">FM6</f>
        <v>1</v>
      </c>
      <c r="FC34" s="714">
        <f t="shared" ca="1" si="34"/>
        <v>0</v>
      </c>
      <c r="FD34" s="714">
        <f t="shared" si="34"/>
        <v>2</v>
      </c>
      <c r="FE34" s="714">
        <f t="shared" ca="1" si="34"/>
        <v>0</v>
      </c>
      <c r="FF34" s="714">
        <f t="shared" si="34"/>
        <v>0</v>
      </c>
      <c r="FG34" s="714">
        <f t="shared" si="34"/>
        <v>0</v>
      </c>
      <c r="HN34" s="20"/>
    </row>
    <row r="35" spans="1:222" x14ac:dyDescent="0.25">
      <c r="N35" s="20"/>
      <c r="Y35" s="20"/>
      <c r="AV35" s="469" t="s">
        <v>5510</v>
      </c>
      <c r="BB35" s="469" t="s">
        <v>5510</v>
      </c>
      <c r="BF35" s="469" t="s">
        <v>5510</v>
      </c>
      <c r="BG35" s="469"/>
      <c r="BH35" s="539" t="s">
        <v>8038</v>
      </c>
      <c r="BI35" s="539">
        <f t="shared" si="24"/>
        <v>39</v>
      </c>
      <c r="BJ35" s="539" cm="1">
        <f t="array" aca="1" ref="BJ35" ca="1">INDIRECT($BM$2&amp;BJ$7&amp;$BI35,1)</f>
        <v>0</v>
      </c>
      <c r="BK35" s="539" cm="1">
        <f t="array" aca="1" ref="BK35" ca="1">INDIRECT($BM$2&amp;BK$7&amp;$BI35,1)</f>
        <v>0</v>
      </c>
      <c r="BL35" s="539" cm="1">
        <f t="array" aca="1" ref="BL35" ca="1">INDIRECT($BM$2&amp;BL$7&amp;$BI35,1)</f>
        <v>0</v>
      </c>
      <c r="BM35" s="539" cm="1">
        <f t="array" aca="1" ref="BM35" ca="1">INDIRECT($BM$2&amp;BM$7&amp;$BI35,1)</f>
        <v>0</v>
      </c>
      <c r="BN35" s="539" cm="1">
        <f t="array" aca="1" ref="BN35" ca="1">INDIRECT($BM$2&amp;BN$7&amp;$BI35,1)</f>
        <v>0</v>
      </c>
      <c r="BO35" s="539" t="str">
        <f t="shared" ca="1" si="21"/>
        <v>-</v>
      </c>
      <c r="BQ35" s="20"/>
      <c r="BR35" s="469">
        <v>10</v>
      </c>
      <c r="BS35" s="539" t="s">
        <v>8038</v>
      </c>
      <c r="BT35" s="539">
        <f t="shared" si="25"/>
        <v>385</v>
      </c>
      <c r="BU35" s="539" cm="1">
        <f t="array" aca="1" ref="BU35" ca="1">INDIRECT($BM$2&amp;BU$7&amp;$BT35,1)</f>
        <v>0</v>
      </c>
      <c r="BV35" s="539" cm="1">
        <f t="array" aca="1" ref="BV35" ca="1">INDIRECT($BM$2&amp;BV$7&amp;$BT35,1)</f>
        <v>0</v>
      </c>
      <c r="BW35" s="539" cm="1">
        <f t="array" aca="1" ref="BW35" ca="1">INDIRECT($BM$2&amp;BW$7&amp;$BT35,1)</f>
        <v>0</v>
      </c>
      <c r="BX35" s="539" cm="1">
        <f t="array" aca="1" ref="BX35" ca="1">INDIRECT($BM$2&amp;BX$7&amp;$BT35,1)</f>
        <v>0</v>
      </c>
      <c r="BY35" s="539" cm="1">
        <f t="array" aca="1" ref="BY35" ca="1">INDIRECT($BM$2&amp;BY$7&amp;$BT35,1)</f>
        <v>0</v>
      </c>
      <c r="BZ35" s="539" t="str">
        <f t="shared" ca="1" si="22"/>
        <v>-</v>
      </c>
      <c r="CC35" s="469">
        <v>10</v>
      </c>
      <c r="CD35" s="539" t="s">
        <v>8038</v>
      </c>
      <c r="CE35" s="539">
        <f t="shared" si="26"/>
        <v>731</v>
      </c>
      <c r="CF35" s="539" cm="1">
        <f t="array" aca="1" ref="CF35" ca="1">INDIRECT($BM$2&amp;CF$7&amp;$CE35,1)</f>
        <v>0</v>
      </c>
      <c r="CG35" s="539" cm="1">
        <f t="array" aca="1" ref="CG35" ca="1">INDIRECT($BM$2&amp;CG$7&amp;$CE35,1)</f>
        <v>0</v>
      </c>
      <c r="CH35" s="539" cm="1">
        <f t="array" aca="1" ref="CH35" ca="1">INDIRECT($BM$2&amp;CH$7&amp;$CE35,1)</f>
        <v>0</v>
      </c>
      <c r="CI35" s="539" cm="1">
        <f t="array" aca="1" ref="CI35" ca="1">INDIRECT($BM$2&amp;CI$7&amp;$CE35,1)</f>
        <v>0</v>
      </c>
      <c r="CJ35" s="539" cm="1">
        <f t="array" aca="1" ref="CJ35" ca="1">INDIRECT($BM$2&amp;CJ$7&amp;$CE35,1)</f>
        <v>0</v>
      </c>
      <c r="CK35" s="539" t="str">
        <f t="shared" ca="1" si="23"/>
        <v>-</v>
      </c>
      <c r="CO35" s="573" t="s">
        <v>8063</v>
      </c>
      <c r="CP35" s="574"/>
      <c r="CQ35" s="574"/>
      <c r="CR35" s="575"/>
      <c r="CU35" s="469" t="s">
        <v>5510</v>
      </c>
      <c r="CV35" s="584" t="s">
        <v>5774</v>
      </c>
      <c r="CW35" s="558">
        <f t="shared" si="31"/>
        <v>20</v>
      </c>
      <c r="CX35" s="492" cm="1">
        <f t="array" aca="1" ref="CX35" ca="1">INDIRECT($DD$2&amp;CX$28&amp;$CW35)</f>
        <v>0</v>
      </c>
      <c r="CY35" s="492" cm="1">
        <f t="array" aca="1" ref="CY35" ca="1">INDIRECT($DD$2&amp;CY$28&amp;$CW35)</f>
        <v>0</v>
      </c>
      <c r="CZ35" s="492" cm="1">
        <f t="array" aca="1" ref="CZ35" ca="1">INDIRECT($DD$2&amp;CZ$28&amp;$CW35)</f>
        <v>0</v>
      </c>
      <c r="DA35" s="492" cm="1">
        <f t="array" aca="1" ref="DA35" ca="1">INDIRECT($DD$2&amp;DA$28&amp;$CW35)</f>
        <v>0</v>
      </c>
      <c r="DB35" s="492" cm="1">
        <f t="array" aca="1" ref="DB35" ca="1">INDIRECT($DD$2&amp;DB$28&amp;$CW35)</f>
        <v>0</v>
      </c>
      <c r="DC35" s="492" cm="1">
        <f t="array" aca="1" ref="DC35" ca="1">INDIRECT($DD$2&amp;DC$28&amp;$CW35)</f>
        <v>0</v>
      </c>
      <c r="DD35" s="492" t="str">
        <f t="shared" ca="1" si="29"/>
        <v/>
      </c>
      <c r="DE35" s="492" t="str">
        <f t="shared" ca="1" si="30"/>
        <v/>
      </c>
      <c r="DF35" s="372"/>
      <c r="DG35" s="25" t="s">
        <v>164</v>
      </c>
      <c r="DH35" s="492" t="str">
        <f ca="1">IF(SUM(CX71:DC80)&gt;0,"Preenchido","Pendente")</f>
        <v>Pendente</v>
      </c>
      <c r="DI35" s="372"/>
      <c r="DJ35" s="372"/>
      <c r="DK35" s="372"/>
      <c r="DL35" s="589" t="s">
        <v>255</v>
      </c>
      <c r="DM35" s="589" t="s">
        <v>6515</v>
      </c>
      <c r="DN35" s="372"/>
      <c r="EQ35" s="469" t="s">
        <v>5510</v>
      </c>
      <c r="ES35" s="535" t="s">
        <v>91</v>
      </c>
      <c r="ET35" s="597" t="str">
        <f t="shared" ca="1" si="32"/>
        <v/>
      </c>
      <c r="EU35" s="597" t="str">
        <f t="shared" ca="1" si="32"/>
        <v/>
      </c>
      <c r="EV35" s="597" t="str">
        <f t="shared" ca="1" si="32"/>
        <v/>
      </c>
      <c r="EW35" s="597" t="str">
        <f t="shared" ca="1" si="32"/>
        <v/>
      </c>
      <c r="EX35" s="643" t="str">
        <f t="shared" ca="1" si="33"/>
        <v/>
      </c>
      <c r="EY35" s="643" t="str">
        <f t="shared" ca="1" si="33"/>
        <v/>
      </c>
      <c r="EZ35" s="643" t="str">
        <f t="shared" ca="1" si="33"/>
        <v/>
      </c>
      <c r="FA35" s="643" t="str">
        <f t="shared" ca="1" si="33"/>
        <v/>
      </c>
      <c r="FB35" s="714">
        <f t="shared" si="34"/>
        <v>2</v>
      </c>
      <c r="FC35" s="714">
        <f t="shared" ca="1" si="34"/>
        <v>0</v>
      </c>
      <c r="FD35" s="714">
        <f t="shared" si="34"/>
        <v>3</v>
      </c>
      <c r="FE35" s="714">
        <f t="shared" ca="1" si="34"/>
        <v>0</v>
      </c>
      <c r="FF35" s="714">
        <f t="shared" si="34"/>
        <v>0</v>
      </c>
      <c r="FG35" s="714">
        <f t="shared" si="34"/>
        <v>0</v>
      </c>
      <c r="HN35" s="20"/>
    </row>
    <row r="36" spans="1:222" x14ac:dyDescent="0.25">
      <c r="N36" s="20"/>
      <c r="Y36" s="20"/>
      <c r="AV36" s="469" t="s">
        <v>5510</v>
      </c>
      <c r="BB36" s="469" t="s">
        <v>5510</v>
      </c>
      <c r="BF36" s="469" t="s">
        <v>5510</v>
      </c>
      <c r="BG36" s="469"/>
      <c r="BH36" s="539" t="s">
        <v>8038</v>
      </c>
      <c r="BI36" s="539">
        <f t="shared" si="24"/>
        <v>40</v>
      </c>
      <c r="BJ36" s="539" cm="1">
        <f t="array" aca="1" ref="BJ36" ca="1">INDIRECT($BM$2&amp;BJ$7&amp;$BI36,1)</f>
        <v>0</v>
      </c>
      <c r="BK36" s="539" cm="1">
        <f t="array" aca="1" ref="BK36" ca="1">INDIRECT($BM$2&amp;BK$7&amp;$BI36,1)</f>
        <v>0</v>
      </c>
      <c r="BL36" s="539" cm="1">
        <f t="array" aca="1" ref="BL36" ca="1">INDIRECT($BM$2&amp;BL$7&amp;$BI36,1)</f>
        <v>0</v>
      </c>
      <c r="BM36" s="539" cm="1">
        <f t="array" aca="1" ref="BM36" ca="1">INDIRECT($BM$2&amp;BM$7&amp;$BI36,1)</f>
        <v>0</v>
      </c>
      <c r="BN36" s="539" cm="1">
        <f t="array" aca="1" ref="BN36" ca="1">INDIRECT($BM$2&amp;BN$7&amp;$BI36,1)</f>
        <v>0</v>
      </c>
      <c r="BO36" s="539" t="str">
        <f t="shared" ca="1" si="21"/>
        <v>-</v>
      </c>
      <c r="BQ36" s="20"/>
      <c r="BR36" s="469">
        <v>11</v>
      </c>
      <c r="BS36" s="539" t="s">
        <v>8038</v>
      </c>
      <c r="BT36" s="539">
        <f t="shared" si="25"/>
        <v>386</v>
      </c>
      <c r="BU36" s="539" cm="1">
        <f t="array" aca="1" ref="BU36" ca="1">INDIRECT($BM$2&amp;BU$7&amp;$BT36,1)</f>
        <v>0</v>
      </c>
      <c r="BV36" s="539" cm="1">
        <f t="array" aca="1" ref="BV36" ca="1">INDIRECT($BM$2&amp;BV$7&amp;$BT36,1)</f>
        <v>0</v>
      </c>
      <c r="BW36" s="539" cm="1">
        <f t="array" aca="1" ref="BW36" ca="1">INDIRECT($BM$2&amp;BW$7&amp;$BT36,1)</f>
        <v>0</v>
      </c>
      <c r="BX36" s="539" cm="1">
        <f t="array" aca="1" ref="BX36" ca="1">INDIRECT($BM$2&amp;BX$7&amp;$BT36,1)</f>
        <v>0</v>
      </c>
      <c r="BY36" s="539" cm="1">
        <f t="array" aca="1" ref="BY36" ca="1">INDIRECT($BM$2&amp;BY$7&amp;$BT36,1)</f>
        <v>0</v>
      </c>
      <c r="BZ36" s="539" t="str">
        <f t="shared" ca="1" si="22"/>
        <v>-</v>
      </c>
      <c r="CC36" s="469">
        <v>11</v>
      </c>
      <c r="CD36" s="539" t="s">
        <v>8038</v>
      </c>
      <c r="CE36" s="539">
        <f t="shared" si="26"/>
        <v>732</v>
      </c>
      <c r="CF36" s="539" cm="1">
        <f t="array" aca="1" ref="CF36" ca="1">INDIRECT($BM$2&amp;CF$7&amp;$CE36,1)</f>
        <v>0</v>
      </c>
      <c r="CG36" s="539" cm="1">
        <f t="array" aca="1" ref="CG36" ca="1">INDIRECT($BM$2&amp;CG$7&amp;$CE36,1)</f>
        <v>0</v>
      </c>
      <c r="CH36" s="539" cm="1">
        <f t="array" aca="1" ref="CH36" ca="1">INDIRECT($BM$2&amp;CH$7&amp;$CE36,1)</f>
        <v>0</v>
      </c>
      <c r="CI36" s="539" cm="1">
        <f t="array" aca="1" ref="CI36" ca="1">INDIRECT($BM$2&amp;CI$7&amp;$CE36,1)</f>
        <v>0</v>
      </c>
      <c r="CJ36" s="539" cm="1">
        <f t="array" aca="1" ref="CJ36" ca="1">INDIRECT($BM$2&amp;CJ$7&amp;$CE36,1)</f>
        <v>0</v>
      </c>
      <c r="CK36" s="539" t="str">
        <f t="shared" ca="1" si="23"/>
        <v>-</v>
      </c>
      <c r="CN36" s="571">
        <f>MATCH(CO36&amp;"-",$BS$1:$BS$325,0)</f>
        <v>10</v>
      </c>
      <c r="CO36" s="577" t="s">
        <v>90</v>
      </c>
      <c r="CP36" s="577" t="str" cm="1">
        <f t="array" aca="1" ref="CP36" ca="1">IF(INDIRECT($CP$34&amp;CN36)=0,"---","Preenchido")</f>
        <v>---</v>
      </c>
      <c r="CQ36" s="577" t="s">
        <v>95</v>
      </c>
      <c r="CR36" s="577" t="str" cm="1">
        <f t="array" aca="1" ref="CR36" ca="1">IF(INDIRECT($CP$34&amp;CS36)=0,"---","Preenchido")</f>
        <v>---</v>
      </c>
      <c r="CS36" s="571">
        <f>MATCH(CQ36&amp;"-",$BS$1:$BS$325,0)</f>
        <v>170</v>
      </c>
      <c r="CU36" s="469" t="s">
        <v>5510</v>
      </c>
      <c r="CV36" s="584" t="s">
        <v>5774</v>
      </c>
      <c r="CW36" s="558">
        <f t="shared" si="31"/>
        <v>21</v>
      </c>
      <c r="CX36" s="492" cm="1">
        <f t="array" aca="1" ref="CX36" ca="1">INDIRECT($DD$2&amp;CX$28&amp;$CW36)</f>
        <v>0</v>
      </c>
      <c r="CY36" s="492" cm="1">
        <f t="array" aca="1" ref="CY36" ca="1">INDIRECT($DD$2&amp;CY$28&amp;$CW36)</f>
        <v>0</v>
      </c>
      <c r="CZ36" s="492" cm="1">
        <f t="array" aca="1" ref="CZ36" ca="1">INDIRECT($DD$2&amp;CZ$28&amp;$CW36)</f>
        <v>0</v>
      </c>
      <c r="DA36" s="492" cm="1">
        <f t="array" aca="1" ref="DA36" ca="1">INDIRECT($DD$2&amp;DA$28&amp;$CW36)</f>
        <v>0</v>
      </c>
      <c r="DB36" s="492" cm="1">
        <f t="array" aca="1" ref="DB36" ca="1">INDIRECT($DD$2&amp;DB$28&amp;$CW36)</f>
        <v>0</v>
      </c>
      <c r="DC36" s="492" cm="1">
        <f t="array" aca="1" ref="DC36" ca="1">INDIRECT($DD$2&amp;DC$28&amp;$CW36)</f>
        <v>0</v>
      </c>
      <c r="DD36" s="492" t="str">
        <f t="shared" ca="1" si="29"/>
        <v/>
      </c>
      <c r="DE36" s="492" t="str">
        <f t="shared" ca="1" si="30"/>
        <v/>
      </c>
      <c r="DF36" s="372"/>
      <c r="DG36" s="25" t="s">
        <v>165</v>
      </c>
      <c r="DH36" s="492" t="str">
        <f ca="1">IF(SUM(CX81:DC90)&gt;0,"Preenchido","Pendente")</f>
        <v>Pendente</v>
      </c>
      <c r="DI36" s="372"/>
      <c r="DJ36" s="372"/>
      <c r="DK36" s="479" t="s">
        <v>8136</v>
      </c>
      <c r="DL36" s="480" t="str">
        <f>Tabelas_fonte!AQ30</f>
        <v>Manual (microscópio)</v>
      </c>
      <c r="DM36" s="590">
        <v>0.2</v>
      </c>
      <c r="DN36" s="372"/>
      <c r="EQ36" s="469" t="s">
        <v>5510</v>
      </c>
      <c r="ES36" s="535" t="s">
        <v>92</v>
      </c>
      <c r="ET36" s="597" t="str">
        <f t="shared" ca="1" si="32"/>
        <v/>
      </c>
      <c r="EU36" s="597" t="str">
        <f t="shared" ca="1" si="32"/>
        <v/>
      </c>
      <c r="EV36" s="597" t="str">
        <f t="shared" ca="1" si="32"/>
        <v/>
      </c>
      <c r="EW36" s="597" t="str">
        <f t="shared" ca="1" si="32"/>
        <v/>
      </c>
      <c r="EX36" s="643" t="str">
        <f t="shared" ca="1" si="33"/>
        <v/>
      </c>
      <c r="EY36" s="643" t="str">
        <f t="shared" ca="1" si="33"/>
        <v/>
      </c>
      <c r="EZ36" s="643" t="str">
        <f t="shared" ca="1" si="33"/>
        <v/>
      </c>
      <c r="FA36" s="643" t="str">
        <f t="shared" ca="1" si="33"/>
        <v/>
      </c>
      <c r="FB36" s="714">
        <f t="shared" si="34"/>
        <v>3</v>
      </c>
      <c r="FC36" s="714">
        <f t="shared" ca="1" si="34"/>
        <v>0</v>
      </c>
      <c r="FD36" s="714">
        <f t="shared" si="34"/>
        <v>4</v>
      </c>
      <c r="FE36" s="714">
        <f t="shared" ca="1" si="34"/>
        <v>0</v>
      </c>
      <c r="FF36" s="714">
        <f t="shared" si="34"/>
        <v>0</v>
      </c>
      <c r="FG36" s="714">
        <f t="shared" si="34"/>
        <v>0</v>
      </c>
      <c r="HN36" s="20"/>
    </row>
    <row r="37" spans="1:222" x14ac:dyDescent="0.25">
      <c r="N37" s="20"/>
      <c r="Y37" s="20"/>
      <c r="AV37" s="469" t="s">
        <v>5510</v>
      </c>
      <c r="AW37" s="579" t="s">
        <v>5730</v>
      </c>
      <c r="AX37" s="579" t="s">
        <v>5559</v>
      </c>
      <c r="AY37" s="579" t="s">
        <v>5731</v>
      </c>
      <c r="BB37" s="469" t="s">
        <v>5510</v>
      </c>
      <c r="BF37" s="469" t="s">
        <v>5510</v>
      </c>
      <c r="BG37" s="469"/>
      <c r="BH37" s="539" t="s">
        <v>8038</v>
      </c>
      <c r="BI37" s="539">
        <f t="shared" si="24"/>
        <v>41</v>
      </c>
      <c r="BJ37" s="539" cm="1">
        <f t="array" aca="1" ref="BJ37" ca="1">INDIRECT($BM$2&amp;BJ$7&amp;$BI37,1)</f>
        <v>0</v>
      </c>
      <c r="BK37" s="539" cm="1">
        <f t="array" aca="1" ref="BK37" ca="1">INDIRECT($BM$2&amp;BK$7&amp;$BI37,1)</f>
        <v>0</v>
      </c>
      <c r="BL37" s="539" cm="1">
        <f t="array" aca="1" ref="BL37" ca="1">INDIRECT($BM$2&amp;BL$7&amp;$BI37,1)</f>
        <v>0</v>
      </c>
      <c r="BM37" s="539" cm="1">
        <f t="array" aca="1" ref="BM37" ca="1">INDIRECT($BM$2&amp;BM$7&amp;$BI37,1)</f>
        <v>0</v>
      </c>
      <c r="BN37" s="539" t="str" cm="1">
        <f t="array" aca="1" ref="BN37" ca="1">INDIRECT($BM$2&amp;BN$7&amp;$BI37,1)</f>
        <v>-</v>
      </c>
      <c r="BO37" s="539" t="str">
        <f t="shared" ca="1" si="21"/>
        <v>-</v>
      </c>
      <c r="BQ37" s="20"/>
      <c r="BR37" s="469">
        <v>12</v>
      </c>
      <c r="BS37" s="539" t="s">
        <v>8038</v>
      </c>
      <c r="BT37" s="539">
        <f t="shared" si="25"/>
        <v>387</v>
      </c>
      <c r="BU37" s="539" cm="1">
        <f t="array" aca="1" ref="BU37" ca="1">INDIRECT($BM$2&amp;BU$7&amp;$BT37,1)</f>
        <v>0</v>
      </c>
      <c r="BV37" s="539" cm="1">
        <f t="array" aca="1" ref="BV37" ca="1">INDIRECT($BM$2&amp;BV$7&amp;$BT37,1)</f>
        <v>0</v>
      </c>
      <c r="BW37" s="539" cm="1">
        <f t="array" aca="1" ref="BW37" ca="1">INDIRECT($BM$2&amp;BW$7&amp;$BT37,1)</f>
        <v>0</v>
      </c>
      <c r="BX37" s="539" cm="1">
        <f t="array" aca="1" ref="BX37" ca="1">INDIRECT($BM$2&amp;BX$7&amp;$BT37,1)</f>
        <v>0</v>
      </c>
      <c r="BY37" s="539" t="str" cm="1">
        <f t="array" aca="1" ref="BY37" ca="1">INDIRECT($BM$2&amp;BY$7&amp;$BT37,1)</f>
        <v>-</v>
      </c>
      <c r="BZ37" s="539" t="str">
        <f t="shared" ca="1" si="22"/>
        <v>-</v>
      </c>
      <c r="CC37" s="469">
        <v>12</v>
      </c>
      <c r="CD37" s="539" t="s">
        <v>8038</v>
      </c>
      <c r="CE37" s="539">
        <f t="shared" si="26"/>
        <v>733</v>
      </c>
      <c r="CF37" s="539" cm="1">
        <f t="array" aca="1" ref="CF37" ca="1">INDIRECT($BM$2&amp;CF$7&amp;$CE37,1)</f>
        <v>0</v>
      </c>
      <c r="CG37" s="539" cm="1">
        <f t="array" aca="1" ref="CG37" ca="1">INDIRECT($BM$2&amp;CG$7&amp;$CE37,1)</f>
        <v>0</v>
      </c>
      <c r="CH37" s="539" cm="1">
        <f t="array" aca="1" ref="CH37" ca="1">INDIRECT($BM$2&amp;CH$7&amp;$CE37,1)</f>
        <v>0</v>
      </c>
      <c r="CI37" s="539" cm="1">
        <f t="array" aca="1" ref="CI37" ca="1">INDIRECT($BM$2&amp;CI$7&amp;$CE37,1)</f>
        <v>0</v>
      </c>
      <c r="CJ37" s="539" t="str" cm="1">
        <f t="array" aca="1" ref="CJ37" ca="1">INDIRECT($BM$2&amp;CJ$7&amp;$CE37,1)</f>
        <v>-</v>
      </c>
      <c r="CK37" s="539" t="str">
        <f t="shared" ca="1" si="23"/>
        <v>-</v>
      </c>
      <c r="CN37" s="571">
        <f t="shared" ref="CN37:CN40" si="35">MATCH(CO37&amp;"-",$BS$1:$BS$325,0)</f>
        <v>42</v>
      </c>
      <c r="CO37" s="537" t="s">
        <v>91</v>
      </c>
      <c r="CP37" s="577" t="str" cm="1">
        <f t="array" aca="1" ref="CP37" ca="1">IF(INDIRECT($CP$34&amp;CN37)=0,"---","Preenchido")</f>
        <v>---</v>
      </c>
      <c r="CQ37" s="537" t="s">
        <v>96</v>
      </c>
      <c r="CR37" s="577" t="str" cm="1">
        <f t="array" aca="1" ref="CR37" ca="1">IF(INDIRECT($CP$34&amp;CS37)=0,"---","Preenchido")</f>
        <v>---</v>
      </c>
      <c r="CS37" s="571">
        <f t="shared" ref="CS37:CS39" si="36">MATCH(CQ37&amp;"-",$BS$1:$BS$325,0)</f>
        <v>202</v>
      </c>
      <c r="CU37" s="469" t="s">
        <v>5510</v>
      </c>
      <c r="CV37" s="584" t="s">
        <v>5774</v>
      </c>
      <c r="CW37" s="558">
        <f t="shared" si="31"/>
        <v>22</v>
      </c>
      <c r="CX37" s="492" cm="1">
        <f t="array" aca="1" ref="CX37" ca="1">INDIRECT($DD$2&amp;CX$28&amp;$CW37)</f>
        <v>0</v>
      </c>
      <c r="CY37" s="492" cm="1">
        <f t="array" aca="1" ref="CY37" ca="1">INDIRECT($DD$2&amp;CY$28&amp;$CW37)</f>
        <v>0</v>
      </c>
      <c r="CZ37" s="492" cm="1">
        <f t="array" aca="1" ref="CZ37" ca="1">INDIRECT($DD$2&amp;CZ$28&amp;$CW37)</f>
        <v>0</v>
      </c>
      <c r="DA37" s="492" cm="1">
        <f t="array" aca="1" ref="DA37" ca="1">INDIRECT($DD$2&amp;DA$28&amp;$CW37)</f>
        <v>0</v>
      </c>
      <c r="DB37" s="492" cm="1">
        <f t="array" aca="1" ref="DB37" ca="1">INDIRECT($DD$2&amp;DB$28&amp;$CW37)</f>
        <v>0</v>
      </c>
      <c r="DC37" s="492" cm="1">
        <f t="array" aca="1" ref="DC37" ca="1">INDIRECT($DD$2&amp;DC$28&amp;$CW37)</f>
        <v>0</v>
      </c>
      <c r="DD37" s="492" t="str">
        <f t="shared" ca="1" si="29"/>
        <v/>
      </c>
      <c r="DE37" s="492" t="str">
        <f t="shared" ca="1" si="30"/>
        <v/>
      </c>
      <c r="DF37" s="372"/>
      <c r="DG37" s="25" t="s">
        <v>166</v>
      </c>
      <c r="DH37" s="492" t="str">
        <f ca="1">IF(SUM(CX91:DC100)&gt;0,"Preenchido","Pendente")</f>
        <v>Pendente</v>
      </c>
      <c r="DI37" s="372"/>
      <c r="DJ37" s="372"/>
      <c r="DK37" s="479" t="s">
        <v>8136</v>
      </c>
      <c r="DL37" s="480" t="str">
        <f>Tabelas_fonte!AQ31</f>
        <v>Automatizado</v>
      </c>
      <c r="DM37" s="590">
        <v>0.05</v>
      </c>
      <c r="DN37" s="372"/>
      <c r="EQ37" s="469" t="s">
        <v>5510</v>
      </c>
      <c r="ES37" s="535" t="s">
        <v>93</v>
      </c>
      <c r="ET37" s="597" t="str">
        <f t="shared" ca="1" si="32"/>
        <v/>
      </c>
      <c r="EU37" s="597" t="str">
        <f t="shared" ca="1" si="32"/>
        <v/>
      </c>
      <c r="EV37" s="597" t="str">
        <f t="shared" ca="1" si="32"/>
        <v/>
      </c>
      <c r="EW37" s="597" t="str">
        <f t="shared" ca="1" si="32"/>
        <v/>
      </c>
      <c r="EX37" s="643" t="str">
        <f t="shared" ca="1" si="33"/>
        <v/>
      </c>
      <c r="EY37" s="643" t="str">
        <f t="shared" ca="1" si="33"/>
        <v/>
      </c>
      <c r="EZ37" s="643" t="str">
        <f t="shared" ca="1" si="33"/>
        <v/>
      </c>
      <c r="FA37" s="643" t="str">
        <f t="shared" ca="1" si="33"/>
        <v/>
      </c>
      <c r="FB37" s="714">
        <f t="shared" si="34"/>
        <v>4</v>
      </c>
      <c r="FC37" s="714">
        <f t="shared" ca="1" si="34"/>
        <v>0</v>
      </c>
      <c r="FD37" s="714">
        <f t="shared" si="34"/>
        <v>5</v>
      </c>
      <c r="FE37" s="714">
        <f t="shared" ca="1" si="34"/>
        <v>0</v>
      </c>
      <c r="FF37" s="714">
        <f t="shared" si="34"/>
        <v>0</v>
      </c>
      <c r="FG37" s="714">
        <f t="shared" si="34"/>
        <v>0</v>
      </c>
      <c r="HN37" s="20"/>
    </row>
    <row r="38" spans="1:222" x14ac:dyDescent="0.25">
      <c r="N38" s="20"/>
      <c r="Y38" s="20"/>
      <c r="AV38" s="469" t="s">
        <v>5510</v>
      </c>
      <c r="AW38" s="570" t="s">
        <v>88</v>
      </c>
      <c r="AX38" s="570" cm="1">
        <f t="array" aca="1" ref="AX38" ca="1">INDIRECT("'Ames(2)'!N83",1)</f>
        <v>0</v>
      </c>
      <c r="AY38" s="570" t="str">
        <f ca="1">IF(AX38="sim","Resultado (média)","1ª triplicata")</f>
        <v>1ª triplicata</v>
      </c>
      <c r="BB38" s="469" t="s">
        <v>5510</v>
      </c>
      <c r="BF38" s="469" t="s">
        <v>5510</v>
      </c>
      <c r="BG38" s="469"/>
      <c r="BL38" s="372"/>
      <c r="BO38" s="472"/>
      <c r="BQ38" s="20"/>
      <c r="BT38" s="372"/>
      <c r="BU38" s="472"/>
      <c r="BV38" s="472"/>
      <c r="BW38" s="372"/>
      <c r="BX38" s="472"/>
      <c r="BY38" s="372"/>
      <c r="BZ38" s="472"/>
      <c r="CE38" s="372"/>
      <c r="CF38" s="472"/>
      <c r="CG38" s="472"/>
      <c r="CH38" s="372"/>
      <c r="CI38" s="472"/>
      <c r="CJ38" s="372"/>
      <c r="CK38" s="472"/>
      <c r="CN38" s="571">
        <f t="shared" si="35"/>
        <v>74</v>
      </c>
      <c r="CO38" s="537" t="s">
        <v>92</v>
      </c>
      <c r="CP38" s="577" t="str" cm="1">
        <f t="array" aca="1" ref="CP38" ca="1">IF(INDIRECT($CP$34&amp;CN38)=0,"---","Preenchido")</f>
        <v>---</v>
      </c>
      <c r="CQ38" s="537" t="s">
        <v>97</v>
      </c>
      <c r="CR38" s="577" t="str" cm="1">
        <f t="array" aca="1" ref="CR38" ca="1">IF(INDIRECT($CP$34&amp;CS38)=0,"---","Preenchido")</f>
        <v>---</v>
      </c>
      <c r="CS38" s="571">
        <f t="shared" si="36"/>
        <v>234</v>
      </c>
      <c r="CU38" s="469" t="s">
        <v>5510</v>
      </c>
      <c r="CV38" s="584" t="s">
        <v>5774</v>
      </c>
      <c r="CW38" s="558">
        <f t="shared" si="31"/>
        <v>23</v>
      </c>
      <c r="CX38" s="492" cm="1">
        <f t="array" aca="1" ref="CX38" ca="1">INDIRECT($DD$2&amp;CX$28&amp;$CW38)</f>
        <v>0</v>
      </c>
      <c r="CY38" s="492" cm="1">
        <f t="array" aca="1" ref="CY38" ca="1">INDIRECT($DD$2&amp;CY$28&amp;$CW38)</f>
        <v>0</v>
      </c>
      <c r="CZ38" s="492" cm="1">
        <f t="array" aca="1" ref="CZ38" ca="1">INDIRECT($DD$2&amp;CZ$28&amp;$CW38)</f>
        <v>0</v>
      </c>
      <c r="DA38" s="492" cm="1">
        <f t="array" aca="1" ref="DA38" ca="1">INDIRECT($DD$2&amp;DA$28&amp;$CW38)</f>
        <v>0</v>
      </c>
      <c r="DB38" s="492" cm="1">
        <f t="array" aca="1" ref="DB38" ca="1">INDIRECT($DD$2&amp;DB$28&amp;$CW38)</f>
        <v>0</v>
      </c>
      <c r="DC38" s="492" cm="1">
        <f t="array" aca="1" ref="DC38" ca="1">INDIRECT($DD$2&amp;DC$28&amp;$CW38)</f>
        <v>0</v>
      </c>
      <c r="DD38" s="492" t="str">
        <f t="shared" ca="1" si="29"/>
        <v/>
      </c>
      <c r="DE38" s="492" t="str">
        <f t="shared" ca="1" si="30"/>
        <v/>
      </c>
      <c r="DF38" s="372"/>
      <c r="DG38" s="25" t="s">
        <v>167</v>
      </c>
      <c r="DH38" s="492" t="str">
        <f ca="1">IF(SUM(CX101:DC110)&gt;0,"Preenchido","Pendente")</f>
        <v>Pendente</v>
      </c>
      <c r="DI38" s="372"/>
      <c r="DJ38" s="372"/>
      <c r="DK38" s="372"/>
      <c r="DL38" s="372"/>
      <c r="DM38" s="372"/>
      <c r="DN38" s="372"/>
      <c r="EQ38" s="469" t="s">
        <v>5510</v>
      </c>
      <c r="ES38" s="535" t="s">
        <v>94</v>
      </c>
      <c r="ET38" s="597" t="str">
        <f t="shared" ca="1" si="32"/>
        <v/>
      </c>
      <c r="EU38" s="597" t="str">
        <f t="shared" ca="1" si="32"/>
        <v/>
      </c>
      <c r="EV38" s="597" t="str">
        <f t="shared" ca="1" si="32"/>
        <v/>
      </c>
      <c r="EW38" s="597" t="str">
        <f t="shared" ca="1" si="32"/>
        <v/>
      </c>
      <c r="EX38" s="643" t="str">
        <f t="shared" ca="1" si="33"/>
        <v/>
      </c>
      <c r="EY38" s="643" t="str">
        <f t="shared" ca="1" si="33"/>
        <v/>
      </c>
      <c r="EZ38" s="643" t="str">
        <f t="shared" ca="1" si="33"/>
        <v/>
      </c>
      <c r="FA38" s="643" t="str">
        <f t="shared" ca="1" si="33"/>
        <v/>
      </c>
      <c r="FB38" s="714">
        <f t="shared" si="34"/>
        <v>5</v>
      </c>
      <c r="FC38" s="714">
        <f t="shared" ca="1" si="34"/>
        <v>0</v>
      </c>
      <c r="FD38" s="714">
        <f t="shared" si="34"/>
        <v>6</v>
      </c>
      <c r="FE38" s="714">
        <f t="shared" ca="1" si="34"/>
        <v>0</v>
      </c>
      <c r="FF38" s="714">
        <f t="shared" si="34"/>
        <v>0</v>
      </c>
      <c r="FG38" s="714">
        <f t="shared" si="34"/>
        <v>0</v>
      </c>
      <c r="HN38" s="20"/>
    </row>
    <row r="39" spans="1:222" x14ac:dyDescent="0.25">
      <c r="N39" s="20"/>
      <c r="Y39" s="20"/>
      <c r="AV39" s="469" t="s">
        <v>5510</v>
      </c>
      <c r="AW39" s="570" t="s">
        <v>101</v>
      </c>
      <c r="AX39" s="570" cm="1">
        <f t="array" aca="1" ref="AX39" ca="1">INDIRECT("'Ames(2)'!N122",1)</f>
        <v>0</v>
      </c>
      <c r="AY39" s="570" t="str">
        <f ca="1">IF(AX39="sim","Resultado (média)","1ª triplicata")</f>
        <v>1ª triplicata</v>
      </c>
      <c r="BB39" s="469" t="s">
        <v>5510</v>
      </c>
      <c r="BF39" s="469" t="s">
        <v>5510</v>
      </c>
      <c r="BG39" s="469"/>
      <c r="BL39" s="372"/>
      <c r="BO39" s="472"/>
      <c r="BQ39" s="20"/>
      <c r="BT39" s="372"/>
      <c r="BU39" s="472"/>
      <c r="BV39" s="472"/>
      <c r="BW39" s="372"/>
      <c r="BX39" s="472"/>
      <c r="BY39" s="372"/>
      <c r="BZ39" s="472"/>
      <c r="CE39" s="372"/>
      <c r="CF39" s="472"/>
      <c r="CG39" s="472"/>
      <c r="CH39" s="372"/>
      <c r="CI39" s="472"/>
      <c r="CJ39" s="372"/>
      <c r="CK39" s="472"/>
      <c r="CN39" s="571">
        <f t="shared" si="35"/>
        <v>106</v>
      </c>
      <c r="CO39" s="537" t="s">
        <v>93</v>
      </c>
      <c r="CP39" s="577" t="str" cm="1">
        <f t="array" aca="1" ref="CP39" ca="1">IF(INDIRECT($CP$34&amp;CN39)=0,"---","Preenchido")</f>
        <v>---</v>
      </c>
      <c r="CQ39" s="537" t="s">
        <v>98</v>
      </c>
      <c r="CR39" s="577" t="str" cm="1">
        <f t="array" aca="1" ref="CR39" ca="1">IF(INDIRECT($CP$34&amp;CS39)=0,"---","Preenchido")</f>
        <v>---</v>
      </c>
      <c r="CS39" s="571">
        <f t="shared" si="36"/>
        <v>266</v>
      </c>
      <c r="CU39" s="469" t="s">
        <v>5510</v>
      </c>
      <c r="CV39" s="584" t="s">
        <v>5774</v>
      </c>
      <c r="CW39" s="558">
        <f t="shared" si="31"/>
        <v>24</v>
      </c>
      <c r="CX39" s="492" cm="1">
        <f t="array" aca="1" ref="CX39" ca="1">INDIRECT($DD$2&amp;CX$28&amp;$CW39)</f>
        <v>0</v>
      </c>
      <c r="CY39" s="492" cm="1">
        <f t="array" aca="1" ref="CY39" ca="1">INDIRECT($DD$2&amp;CY$28&amp;$CW39)</f>
        <v>0</v>
      </c>
      <c r="CZ39" s="492" cm="1">
        <f t="array" aca="1" ref="CZ39" ca="1">INDIRECT($DD$2&amp;CZ$28&amp;$CW39)</f>
        <v>0</v>
      </c>
      <c r="DA39" s="492" cm="1">
        <f t="array" aca="1" ref="DA39" ca="1">INDIRECT($DD$2&amp;DA$28&amp;$CW39)</f>
        <v>0</v>
      </c>
      <c r="DB39" s="492" cm="1">
        <f t="array" aca="1" ref="DB39" ca="1">INDIRECT($DD$2&amp;DB$28&amp;$CW39)</f>
        <v>0</v>
      </c>
      <c r="DC39" s="492" cm="1">
        <f t="array" aca="1" ref="DC39" ca="1">INDIRECT($DD$2&amp;DC$28&amp;$CW39)</f>
        <v>0</v>
      </c>
      <c r="DD39" s="492" t="str">
        <f t="shared" ca="1" si="29"/>
        <v/>
      </c>
      <c r="DE39" s="492" t="str">
        <f t="shared" ca="1" si="30"/>
        <v/>
      </c>
      <c r="DF39" s="372"/>
      <c r="DG39" s="372"/>
      <c r="DH39" s="372"/>
      <c r="DI39" s="372"/>
      <c r="DJ39" s="372"/>
      <c r="DK39" s="372"/>
      <c r="DL39" s="479" t="s">
        <v>6518</v>
      </c>
      <c r="DM39" s="597"/>
      <c r="DN39" s="372"/>
      <c r="EQ39" s="469" t="s">
        <v>5510</v>
      </c>
      <c r="ES39" s="535" t="s">
        <v>95</v>
      </c>
      <c r="ET39" s="597" t="str">
        <f t="shared" ca="1" si="32"/>
        <v/>
      </c>
      <c r="EU39" s="597" t="str">
        <f t="shared" ca="1" si="32"/>
        <v/>
      </c>
      <c r="EV39" s="597" t="str">
        <f t="shared" ca="1" si="32"/>
        <v/>
      </c>
      <c r="EW39" s="597" t="str">
        <f t="shared" ca="1" si="32"/>
        <v/>
      </c>
      <c r="EX39" s="643" t="str">
        <f t="shared" ca="1" si="33"/>
        <v/>
      </c>
      <c r="EY39" s="643" t="str">
        <f t="shared" ca="1" si="33"/>
        <v/>
      </c>
      <c r="EZ39" s="643" t="str">
        <f t="shared" ca="1" si="33"/>
        <v/>
      </c>
      <c r="FA39" s="643" t="str">
        <f t="shared" ca="1" si="33"/>
        <v/>
      </c>
      <c r="FB39" s="714">
        <f t="shared" si="34"/>
        <v>6</v>
      </c>
      <c r="FC39" s="714">
        <f t="shared" ca="1" si="34"/>
        <v>0</v>
      </c>
      <c r="FD39" s="714">
        <f t="shared" si="34"/>
        <v>7</v>
      </c>
      <c r="FE39" s="714">
        <f t="shared" ca="1" si="34"/>
        <v>0</v>
      </c>
      <c r="FF39" s="714">
        <f t="shared" si="34"/>
        <v>0</v>
      </c>
      <c r="FG39" s="714">
        <f t="shared" si="34"/>
        <v>0</v>
      </c>
      <c r="HN39" s="20"/>
    </row>
    <row r="40" spans="1:222" x14ac:dyDescent="0.25">
      <c r="N40" s="20"/>
      <c r="Y40" s="20"/>
      <c r="AV40" s="469" t="s">
        <v>5510</v>
      </c>
      <c r="AW40" s="570" t="s">
        <v>120</v>
      </c>
      <c r="AX40" s="570" cm="1">
        <f t="array" aca="1" ref="AX40" ca="1">INDIRECT("'Ames(2)'!N161",1)</f>
        <v>0</v>
      </c>
      <c r="AY40" s="570" t="str">
        <f ca="1">IF(AX40="sim","Resultado (média)","1ª triplicata")</f>
        <v>1ª triplicata</v>
      </c>
      <c r="BB40" s="469" t="s">
        <v>5510</v>
      </c>
      <c r="BF40" s="469" t="s">
        <v>5510</v>
      </c>
      <c r="BG40" s="469"/>
      <c r="BQ40" s="20"/>
      <c r="BT40" s="372"/>
      <c r="BU40" s="472"/>
      <c r="BV40" s="472"/>
      <c r="BW40" s="472"/>
      <c r="BX40" s="472"/>
      <c r="BY40" s="372"/>
      <c r="BZ40" s="372"/>
      <c r="CE40" s="372"/>
      <c r="CF40" s="472"/>
      <c r="CG40" s="472"/>
      <c r="CH40" s="472"/>
      <c r="CI40" s="472"/>
      <c r="CJ40" s="372"/>
      <c r="CK40" s="372"/>
      <c r="CN40" s="571">
        <f t="shared" si="35"/>
        <v>138</v>
      </c>
      <c r="CO40" s="537" t="s">
        <v>94</v>
      </c>
      <c r="CP40" s="577" t="str" cm="1">
        <f t="array" aca="1" ref="CP40" ca="1">IF(INDIRECT($CP$34&amp;CN40)=0,"---","Preenchido")</f>
        <v>---</v>
      </c>
      <c r="CQ40" s="537" t="s">
        <v>8224</v>
      </c>
      <c r="CR40" s="577" t="str" cm="1">
        <f t="array" aca="1" ref="CR40" ca="1">IF(INDIRECT($CP$34&amp;CS40)=0,"---","Preenchido")</f>
        <v>---</v>
      </c>
      <c r="CS40" s="571">
        <f>MATCH(CQ40&amp;"-",$BS$1:$BS$325,0)</f>
        <v>298</v>
      </c>
      <c r="CU40" s="469" t="s">
        <v>5510</v>
      </c>
      <c r="CV40" s="600" t="s">
        <v>5774</v>
      </c>
      <c r="CW40" s="558">
        <f t="shared" si="31"/>
        <v>25</v>
      </c>
      <c r="CX40" s="492" cm="1">
        <f t="array" aca="1" ref="CX40" ca="1">INDIRECT($DD$2&amp;CX$28&amp;$CW40)</f>
        <v>0</v>
      </c>
      <c r="CY40" s="492" cm="1">
        <f t="array" aca="1" ref="CY40" ca="1">INDIRECT($DD$2&amp;CY$28&amp;$CW40)</f>
        <v>0</v>
      </c>
      <c r="CZ40" s="492" cm="1">
        <f t="array" aca="1" ref="CZ40" ca="1">INDIRECT($DD$2&amp;CZ$28&amp;$CW40)</f>
        <v>0</v>
      </c>
      <c r="DA40" s="492" cm="1">
        <f t="array" aca="1" ref="DA40" ca="1">INDIRECT($DD$2&amp;DA$28&amp;$CW40)</f>
        <v>0</v>
      </c>
      <c r="DB40" s="492" cm="1">
        <f t="array" aca="1" ref="DB40" ca="1">INDIRECT($DD$2&amp;DB$28&amp;$CW40)</f>
        <v>0</v>
      </c>
      <c r="DC40" s="492" cm="1">
        <f t="array" aca="1" ref="DC40" ca="1">INDIRECT($DD$2&amp;DC$28&amp;$CW40)</f>
        <v>0</v>
      </c>
      <c r="DD40" s="492" t="str">
        <f t="shared" ca="1" si="29"/>
        <v/>
      </c>
      <c r="DE40" s="492" t="str">
        <f t="shared" ca="1" si="30"/>
        <v/>
      </c>
      <c r="DF40" s="372"/>
      <c r="DG40" s="372"/>
      <c r="DH40" s="372"/>
      <c r="DI40" s="372"/>
      <c r="DJ40" s="372"/>
      <c r="DK40" s="372"/>
      <c r="DL40" s="566" t="s">
        <v>36</v>
      </c>
      <c r="DM40" s="566" t="s">
        <v>37</v>
      </c>
      <c r="DN40" s="372"/>
      <c r="EQ40" s="469" t="s">
        <v>5510</v>
      </c>
      <c r="ES40" s="535" t="s">
        <v>96</v>
      </c>
      <c r="ET40" s="597" t="str">
        <f t="shared" ca="1" si="32"/>
        <v/>
      </c>
      <c r="EU40" s="597" t="str">
        <f t="shared" ca="1" si="32"/>
        <v/>
      </c>
      <c r="EV40" s="597" t="str">
        <f t="shared" ca="1" si="32"/>
        <v/>
      </c>
      <c r="EW40" s="597" t="str">
        <f t="shared" ca="1" si="32"/>
        <v/>
      </c>
      <c r="EX40" s="643" t="str">
        <f t="shared" ca="1" si="33"/>
        <v/>
      </c>
      <c r="EY40" s="643" t="str">
        <f t="shared" ca="1" si="33"/>
        <v/>
      </c>
      <c r="EZ40" s="643" t="str">
        <f t="shared" ca="1" si="33"/>
        <v/>
      </c>
      <c r="FA40" s="643" t="str">
        <f t="shared" ca="1" si="33"/>
        <v/>
      </c>
      <c r="FB40" s="714">
        <f t="shared" si="34"/>
        <v>7</v>
      </c>
      <c r="FC40" s="714">
        <f t="shared" ca="1" si="34"/>
        <v>0</v>
      </c>
      <c r="FD40" s="714">
        <f t="shared" si="34"/>
        <v>8</v>
      </c>
      <c r="FE40" s="714">
        <f t="shared" ca="1" si="34"/>
        <v>0</v>
      </c>
      <c r="FF40" s="714">
        <f t="shared" si="34"/>
        <v>0</v>
      </c>
      <c r="FG40" s="714">
        <f t="shared" si="34"/>
        <v>0</v>
      </c>
      <c r="HN40" s="20"/>
    </row>
    <row r="41" spans="1:222" x14ac:dyDescent="0.25">
      <c r="N41" s="20"/>
      <c r="Y41" s="20"/>
      <c r="AV41" s="469" t="s">
        <v>5510</v>
      </c>
      <c r="AW41" s="469"/>
      <c r="BB41" s="469" t="s">
        <v>5510</v>
      </c>
      <c r="BF41" s="469" t="s">
        <v>5510</v>
      </c>
      <c r="BG41" s="469"/>
      <c r="BQ41" s="20"/>
      <c r="BT41" s="372"/>
      <c r="BU41" s="472"/>
      <c r="BV41" s="472"/>
      <c r="BW41" s="472"/>
      <c r="BX41" s="472"/>
      <c r="BY41" s="372"/>
      <c r="BZ41" s="372"/>
      <c r="CE41" s="372"/>
      <c r="CF41" s="472"/>
      <c r="CG41" s="472"/>
      <c r="CH41" s="472"/>
      <c r="CI41" s="472"/>
      <c r="CJ41" s="372"/>
      <c r="CK41" s="372"/>
      <c r="CU41" s="469" t="s">
        <v>5510</v>
      </c>
      <c r="CV41" s="538" t="s">
        <v>5775</v>
      </c>
      <c r="CW41" s="522">
        <f t="shared" si="31"/>
        <v>33</v>
      </c>
      <c r="CX41" s="22" cm="1">
        <f t="array" aca="1" ref="CX41" ca="1">INDIRECT($DD$2&amp;CX$28&amp;$CW41)</f>
        <v>0</v>
      </c>
      <c r="CY41" s="22" cm="1">
        <f t="array" aca="1" ref="CY41" ca="1">INDIRECT($DD$2&amp;CY$28&amp;$CW41)</f>
        <v>0</v>
      </c>
      <c r="CZ41" s="22" cm="1">
        <f t="array" aca="1" ref="CZ41" ca="1">INDIRECT($DD$2&amp;CZ$28&amp;$CW41)</f>
        <v>0</v>
      </c>
      <c r="DA41" s="22" cm="1">
        <f t="array" aca="1" ref="DA41" ca="1">INDIRECT($DD$2&amp;DA$28&amp;$CW41)</f>
        <v>0</v>
      </c>
      <c r="DB41" s="22" cm="1">
        <f t="array" aca="1" ref="DB41" ca="1">INDIRECT($DD$2&amp;DB$28&amp;$CW41)</f>
        <v>0</v>
      </c>
      <c r="DC41" s="22" cm="1">
        <f t="array" aca="1" ref="DC41" ca="1">INDIRECT($DD$2&amp;DC$28&amp;$CW41)</f>
        <v>0</v>
      </c>
      <c r="DD41" s="22" t="str">
        <f t="shared" ca="1" si="29"/>
        <v/>
      </c>
      <c r="DE41" s="22" t="str">
        <f t="shared" ca="1" si="30"/>
        <v/>
      </c>
      <c r="DF41" s="372"/>
      <c r="DG41" s="372"/>
      <c r="DH41" s="372"/>
      <c r="DI41" s="372"/>
      <c r="DJ41" s="372"/>
      <c r="DK41" s="372"/>
      <c r="DL41" s="492" t="str">
        <f ca="1">IF(DC18="","-",
IF(DM33=DL36,(DC18-(DC18*DM36)),
IF(DM33=DL37,(DC18-(DC18*DM37)),"-")))</f>
        <v>-</v>
      </c>
      <c r="DM41" s="492" t="str">
        <f ca="1">IF(DD18="","-",
IF(DM33=DL36,(DD18-(DD18*DM36)),
IF(DM33=DL37,(DD18-(DD18*DM37)),"-")))</f>
        <v>-</v>
      </c>
      <c r="DN41" s="372"/>
      <c r="EQ41" s="469" t="s">
        <v>5510</v>
      </c>
      <c r="ES41" s="535" t="s">
        <v>97</v>
      </c>
      <c r="ET41" s="597" t="str">
        <f t="shared" ca="1" si="32"/>
        <v/>
      </c>
      <c r="EU41" s="597" t="str">
        <f t="shared" ca="1" si="32"/>
        <v/>
      </c>
      <c r="EV41" s="597" t="str">
        <f t="shared" ca="1" si="32"/>
        <v/>
      </c>
      <c r="EW41" s="597" t="str">
        <f t="shared" ca="1" si="32"/>
        <v/>
      </c>
      <c r="EX41" s="643" t="str">
        <f t="shared" ca="1" si="33"/>
        <v/>
      </c>
      <c r="EY41" s="643" t="str">
        <f t="shared" ca="1" si="33"/>
        <v/>
      </c>
      <c r="EZ41" s="643" t="str">
        <f t="shared" ca="1" si="33"/>
        <v/>
      </c>
      <c r="FA41" s="643" t="str">
        <f t="shared" ca="1" si="33"/>
        <v/>
      </c>
      <c r="FB41" s="714">
        <f t="shared" si="34"/>
        <v>8</v>
      </c>
      <c r="FC41" s="714">
        <f t="shared" ca="1" si="34"/>
        <v>0</v>
      </c>
      <c r="FD41" s="714">
        <f t="shared" si="34"/>
        <v>9</v>
      </c>
      <c r="FE41" s="714">
        <f t="shared" ca="1" si="34"/>
        <v>0</v>
      </c>
      <c r="FF41" s="714">
        <f t="shared" si="34"/>
        <v>0</v>
      </c>
      <c r="FG41" s="714">
        <f t="shared" si="34"/>
        <v>0</v>
      </c>
      <c r="HN41" s="20"/>
    </row>
    <row r="42" spans="1:222" x14ac:dyDescent="0.25">
      <c r="N42" s="20"/>
      <c r="Y42" s="20"/>
      <c r="AV42" s="469" t="s">
        <v>5510</v>
      </c>
      <c r="AW42" s="469"/>
      <c r="BB42" s="469" t="s">
        <v>5510</v>
      </c>
      <c r="BF42" s="469" t="s">
        <v>5510</v>
      </c>
      <c r="BG42" s="469"/>
      <c r="BH42" s="539" t="s">
        <v>8040</v>
      </c>
      <c r="BI42" s="539">
        <f>BI37+$BO$6</f>
        <v>47</v>
      </c>
      <c r="BJ42" s="539" cm="1">
        <f t="array" aca="1" ref="BJ42" ca="1">INDIRECT($BM$2&amp;BJ$7&amp;$BI42,1)</f>
        <v>0</v>
      </c>
      <c r="BK42" s="539" cm="1">
        <f t="array" aca="1" ref="BK42" ca="1">INDIRECT($BM$2&amp;BK$7&amp;$BI42,1)</f>
        <v>0</v>
      </c>
      <c r="BL42" s="539" cm="1">
        <f t="array" aca="1" ref="BL42" ca="1">INDIRECT($BM$2&amp;BL$7&amp;$BI42,1)</f>
        <v>0</v>
      </c>
      <c r="BM42" s="539" cm="1">
        <f t="array" aca="1" ref="BM42" ca="1">INDIRECT($BM$2&amp;BM$7&amp;$BI42,1)</f>
        <v>0</v>
      </c>
      <c r="BN42" s="539" cm="1">
        <f t="array" aca="1" ref="BN42" ca="1">INDIRECT($BM$2&amp;BN$7&amp;$BI42,1)</f>
        <v>0</v>
      </c>
      <c r="BO42" s="539" t="str">
        <f ca="1">IFERROR(BK42/BK$42,"-")</f>
        <v>-</v>
      </c>
      <c r="BQ42" s="20"/>
      <c r="BR42" s="469">
        <v>1</v>
      </c>
      <c r="BS42" s="539" t="s">
        <v>8040</v>
      </c>
      <c r="BT42" s="539">
        <f>BT37+$BO$6</f>
        <v>393</v>
      </c>
      <c r="BU42" s="539" cm="1">
        <f t="array" aca="1" ref="BU42" ca="1">INDIRECT($BM$2&amp;BU$7&amp;$BT42,1)</f>
        <v>0</v>
      </c>
      <c r="BV42" s="539" cm="1">
        <f t="array" aca="1" ref="BV42" ca="1">INDIRECT($BM$2&amp;BV$7&amp;$BT42,1)</f>
        <v>0</v>
      </c>
      <c r="BW42" s="539" cm="1">
        <f t="array" aca="1" ref="BW42" ca="1">INDIRECT($BM$2&amp;BW$7&amp;$BT42,1)</f>
        <v>0</v>
      </c>
      <c r="BX42" s="539" cm="1">
        <f t="array" aca="1" ref="BX42" ca="1">INDIRECT($BM$2&amp;BX$7&amp;$BT42,1)</f>
        <v>0</v>
      </c>
      <c r="BY42" s="539" cm="1">
        <f t="array" aca="1" ref="BY42" ca="1">INDIRECT($BM$2&amp;BY$7&amp;$BT42,1)</f>
        <v>0</v>
      </c>
      <c r="BZ42" s="539" t="str">
        <f ca="1">IFERROR(BV42/BV$42,"-")</f>
        <v>-</v>
      </c>
      <c r="CC42" s="469">
        <v>1</v>
      </c>
      <c r="CD42" s="539" t="s">
        <v>8040</v>
      </c>
      <c r="CE42" s="539">
        <f>CE37+$BO$6</f>
        <v>739</v>
      </c>
      <c r="CF42" s="539" cm="1">
        <f t="array" aca="1" ref="CF42" ca="1">INDIRECT($BM$2&amp;CF$7&amp;$CE42,1)</f>
        <v>0</v>
      </c>
      <c r="CG42" s="539" cm="1">
        <f t="array" aca="1" ref="CG42" ca="1">INDIRECT($BM$2&amp;CG$7&amp;$CE42,1)</f>
        <v>0</v>
      </c>
      <c r="CH42" s="539" cm="1">
        <f t="array" aca="1" ref="CH42" ca="1">INDIRECT($BM$2&amp;CH$7&amp;$CE42,1)</f>
        <v>0</v>
      </c>
      <c r="CI42" s="539" cm="1">
        <f t="array" aca="1" ref="CI42" ca="1">INDIRECT($BM$2&amp;CI$7&amp;$CE42,1)</f>
        <v>0</v>
      </c>
      <c r="CJ42" s="539" cm="1">
        <f t="array" aca="1" ref="CJ42" ca="1">INDIRECT($BM$2&amp;CJ$7&amp;$CE42,1)</f>
        <v>0</v>
      </c>
      <c r="CK42" s="539" t="str">
        <f ca="1">IFERROR(CG42/CG$42,"-")</f>
        <v>-</v>
      </c>
      <c r="CP42" s="571" t="s">
        <v>8074</v>
      </c>
      <c r="CU42" s="469" t="s">
        <v>5510</v>
      </c>
      <c r="CV42" s="22" t="s">
        <v>5775</v>
      </c>
      <c r="CW42" s="522">
        <f t="shared" si="31"/>
        <v>34</v>
      </c>
      <c r="CX42" s="22" cm="1">
        <f t="array" aca="1" ref="CX42" ca="1">INDIRECT($DD$2&amp;CX$28&amp;$CW42)</f>
        <v>0</v>
      </c>
      <c r="CY42" s="22" cm="1">
        <f t="array" aca="1" ref="CY42" ca="1">INDIRECT($DD$2&amp;CY$28&amp;$CW42)</f>
        <v>0</v>
      </c>
      <c r="CZ42" s="22" cm="1">
        <f t="array" aca="1" ref="CZ42" ca="1">INDIRECT($DD$2&amp;CZ$28&amp;$CW42)</f>
        <v>0</v>
      </c>
      <c r="DA42" s="22" cm="1">
        <f t="array" aca="1" ref="DA42" ca="1">INDIRECT($DD$2&amp;DA$28&amp;$CW42)</f>
        <v>0</v>
      </c>
      <c r="DB42" s="22" cm="1">
        <f t="array" aca="1" ref="DB42" ca="1">INDIRECT($DD$2&amp;DB$28&amp;$CW42)</f>
        <v>0</v>
      </c>
      <c r="DC42" s="22" cm="1">
        <f t="array" aca="1" ref="DC42" ca="1">INDIRECT($DD$2&amp;DC$28&amp;$CW42)</f>
        <v>0</v>
      </c>
      <c r="DD42" s="22" t="str">
        <f t="shared" ca="1" si="29"/>
        <v/>
      </c>
      <c r="DE42" s="22" t="str">
        <f t="shared" ca="1" si="30"/>
        <v/>
      </c>
      <c r="DF42" s="372"/>
      <c r="DG42" s="372"/>
      <c r="DH42" s="372"/>
      <c r="DI42" s="372"/>
      <c r="DJ42" s="372"/>
      <c r="DK42" s="372"/>
      <c r="DL42" s="372"/>
      <c r="DM42" s="372"/>
      <c r="DN42" s="372"/>
      <c r="EQ42" s="469" t="s">
        <v>5510</v>
      </c>
      <c r="ES42" s="535" t="s">
        <v>98</v>
      </c>
      <c r="ET42" s="597" t="str">
        <f t="shared" ca="1" si="32"/>
        <v/>
      </c>
      <c r="EU42" s="597" t="str">
        <f t="shared" ca="1" si="32"/>
        <v/>
      </c>
      <c r="EV42" s="597" t="str">
        <f t="shared" ca="1" si="32"/>
        <v/>
      </c>
      <c r="EW42" s="597" t="str">
        <f t="shared" ca="1" si="32"/>
        <v/>
      </c>
      <c r="EX42" s="643" t="str">
        <f t="shared" ca="1" si="33"/>
        <v/>
      </c>
      <c r="EY42" s="643" t="str">
        <f t="shared" ca="1" si="33"/>
        <v/>
      </c>
      <c r="EZ42" s="643" t="str">
        <f t="shared" ca="1" si="33"/>
        <v/>
      </c>
      <c r="FA42" s="643" t="str">
        <f t="shared" ca="1" si="33"/>
        <v/>
      </c>
      <c r="FB42" s="714">
        <f t="shared" si="34"/>
        <v>9</v>
      </c>
      <c r="FC42" s="714">
        <f t="shared" ca="1" si="34"/>
        <v>0</v>
      </c>
      <c r="FD42" s="714">
        <f t="shared" si="34"/>
        <v>10</v>
      </c>
      <c r="FE42" s="714">
        <f t="shared" ca="1" si="34"/>
        <v>0</v>
      </c>
      <c r="FF42" s="714">
        <f t="shared" si="34"/>
        <v>0</v>
      </c>
      <c r="FG42" s="714">
        <f t="shared" si="34"/>
        <v>0</v>
      </c>
      <c r="HN42" s="20"/>
    </row>
    <row r="43" spans="1:222" x14ac:dyDescent="0.25">
      <c r="N43" s="20"/>
      <c r="Y43" s="20"/>
      <c r="AV43" s="469" t="s">
        <v>5510</v>
      </c>
      <c r="AW43" s="469"/>
      <c r="BB43" s="469" t="s">
        <v>5510</v>
      </c>
      <c r="BF43" s="469" t="s">
        <v>5510</v>
      </c>
      <c r="BG43" s="469"/>
      <c r="BH43" s="539" t="s">
        <v>8040</v>
      </c>
      <c r="BI43" s="539">
        <f>BI42+1</f>
        <v>48</v>
      </c>
      <c r="BJ43" s="539" cm="1">
        <f t="array" aca="1" ref="BJ43" ca="1">INDIRECT($BM$2&amp;BJ$7&amp;$BI43,1)</f>
        <v>0</v>
      </c>
      <c r="BK43" s="539" cm="1">
        <f t="array" aca="1" ref="BK43" ca="1">INDIRECT($BM$2&amp;BK$7&amp;$BI43,1)</f>
        <v>0</v>
      </c>
      <c r="BL43" s="539" cm="1">
        <f t="array" aca="1" ref="BL43" ca="1">INDIRECT($BM$2&amp;BL$7&amp;$BI43,1)</f>
        <v>0</v>
      </c>
      <c r="BM43" s="539" cm="1">
        <f t="array" aca="1" ref="BM43" ca="1">INDIRECT($BM$2&amp;BM$7&amp;$BI43,1)</f>
        <v>0</v>
      </c>
      <c r="BN43" s="539" cm="1">
        <f t="array" aca="1" ref="BN43" ca="1">INDIRECT($BM$2&amp;BN$7&amp;$BI43,1)</f>
        <v>0</v>
      </c>
      <c r="BO43" s="539" t="str">
        <f t="shared" ref="BO43:BO53" ca="1" si="37">IF(BK43=0,"-",IFERROR(BK43/BK$42,"-"))</f>
        <v>-</v>
      </c>
      <c r="BQ43" s="20"/>
      <c r="BR43" s="469">
        <v>2</v>
      </c>
      <c r="BS43" s="539" t="s">
        <v>8040</v>
      </c>
      <c r="BT43" s="539">
        <f>BT42+1</f>
        <v>394</v>
      </c>
      <c r="BU43" s="539" cm="1">
        <f t="array" aca="1" ref="BU43" ca="1">INDIRECT($BM$2&amp;BU$7&amp;$BT43,1)</f>
        <v>0</v>
      </c>
      <c r="BV43" s="539" cm="1">
        <f t="array" aca="1" ref="BV43" ca="1">INDIRECT($BM$2&amp;BV$7&amp;$BT43,1)</f>
        <v>0</v>
      </c>
      <c r="BW43" s="539" cm="1">
        <f t="array" aca="1" ref="BW43" ca="1">INDIRECT($BM$2&amp;BW$7&amp;$BT43,1)</f>
        <v>0</v>
      </c>
      <c r="BX43" s="539" cm="1">
        <f t="array" aca="1" ref="BX43" ca="1">INDIRECT($BM$2&amp;BX$7&amp;$BT43,1)</f>
        <v>0</v>
      </c>
      <c r="BY43" s="539" cm="1">
        <f t="array" aca="1" ref="BY43" ca="1">INDIRECT($BM$2&amp;BY$7&amp;$BT43,1)</f>
        <v>0</v>
      </c>
      <c r="BZ43" s="539" t="str">
        <f t="shared" ref="BZ43:BZ53" ca="1" si="38">IF(BV43=0,"-",IFERROR(BV43/BV$42,"-"))</f>
        <v>-</v>
      </c>
      <c r="CC43" s="469">
        <v>2</v>
      </c>
      <c r="CD43" s="539" t="s">
        <v>8040</v>
      </c>
      <c r="CE43" s="539">
        <f>CE42+1</f>
        <v>740</v>
      </c>
      <c r="CF43" s="539" cm="1">
        <f t="array" aca="1" ref="CF43" ca="1">INDIRECT($BM$2&amp;CF$7&amp;$CE43,1)</f>
        <v>0</v>
      </c>
      <c r="CG43" s="539" cm="1">
        <f t="array" aca="1" ref="CG43" ca="1">INDIRECT($BM$2&amp;CG$7&amp;$CE43,1)</f>
        <v>0</v>
      </c>
      <c r="CH43" s="539" cm="1">
        <f t="array" aca="1" ref="CH43" ca="1">INDIRECT($BM$2&amp;CH$7&amp;$CE43,1)</f>
        <v>0</v>
      </c>
      <c r="CI43" s="539" cm="1">
        <f t="array" aca="1" ref="CI43" ca="1">INDIRECT($BM$2&amp;CI$7&amp;$CE43,1)</f>
        <v>0</v>
      </c>
      <c r="CJ43" s="539" cm="1">
        <f t="array" aca="1" ref="CJ43" ca="1">INDIRECT($BM$2&amp;CJ$7&amp;$CE43,1)</f>
        <v>0</v>
      </c>
      <c r="CK43" s="539" t="str">
        <f t="shared" ref="CK43:CK53" ca="1" si="39">IF(CG43=0,"-",IFERROR(CG43/CG$42,"-"))</f>
        <v>-</v>
      </c>
      <c r="CO43" s="573" t="s">
        <v>8064</v>
      </c>
      <c r="CP43" s="574"/>
      <c r="CQ43" s="574"/>
      <c r="CR43" s="575"/>
      <c r="CU43" s="469" t="s">
        <v>5510</v>
      </c>
      <c r="CV43" s="22" t="s">
        <v>5775</v>
      </c>
      <c r="CW43" s="522">
        <f t="shared" si="31"/>
        <v>35</v>
      </c>
      <c r="CX43" s="22" cm="1">
        <f t="array" aca="1" ref="CX43" ca="1">INDIRECT($DD$2&amp;CX$28&amp;$CW43)</f>
        <v>0</v>
      </c>
      <c r="CY43" s="22" cm="1">
        <f t="array" aca="1" ref="CY43" ca="1">INDIRECT($DD$2&amp;CY$28&amp;$CW43)</f>
        <v>0</v>
      </c>
      <c r="CZ43" s="22" cm="1">
        <f t="array" aca="1" ref="CZ43" ca="1">INDIRECT($DD$2&amp;CZ$28&amp;$CW43)</f>
        <v>0</v>
      </c>
      <c r="DA43" s="22" cm="1">
        <f t="array" aca="1" ref="DA43" ca="1">INDIRECT($DD$2&amp;DA$28&amp;$CW43)</f>
        <v>0</v>
      </c>
      <c r="DB43" s="22" cm="1">
        <f t="array" aca="1" ref="DB43" ca="1">INDIRECT($DD$2&amp;DB$28&amp;$CW43)</f>
        <v>0</v>
      </c>
      <c r="DC43" s="22" cm="1">
        <f t="array" aca="1" ref="DC43" ca="1">INDIRECT($DD$2&amp;DC$28&amp;$CW43)</f>
        <v>0</v>
      </c>
      <c r="DD43" s="22" t="str">
        <f t="shared" ca="1" si="29"/>
        <v/>
      </c>
      <c r="DE43" s="22" t="str">
        <f t="shared" ca="1" si="30"/>
        <v/>
      </c>
      <c r="DF43" s="372"/>
      <c r="DG43" s="372"/>
      <c r="DH43" s="372"/>
      <c r="DI43" s="372"/>
      <c r="DJ43" s="372"/>
      <c r="DK43" s="372"/>
      <c r="DL43" s="372"/>
      <c r="DM43" s="372"/>
      <c r="DN43" s="372"/>
      <c r="EQ43" s="469" t="s">
        <v>5510</v>
      </c>
      <c r="ES43" s="535" t="s">
        <v>99</v>
      </c>
      <c r="ET43" s="597" t="str">
        <f t="shared" ca="1" si="32"/>
        <v/>
      </c>
      <c r="EU43" s="597" t="str">
        <f t="shared" ca="1" si="32"/>
        <v/>
      </c>
      <c r="EV43" s="597" t="str">
        <f t="shared" ca="1" si="32"/>
        <v/>
      </c>
      <c r="EW43" s="597" t="str">
        <f t="shared" ca="1" si="32"/>
        <v/>
      </c>
      <c r="EX43" s="643" t="str">
        <f t="shared" ca="1" si="33"/>
        <v/>
      </c>
      <c r="EY43" s="643" t="str">
        <f t="shared" ca="1" si="33"/>
        <v/>
      </c>
      <c r="EZ43" s="643" t="str">
        <f t="shared" ca="1" si="33"/>
        <v/>
      </c>
      <c r="FA43" s="643" t="str">
        <f t="shared" ca="1" si="33"/>
        <v/>
      </c>
      <c r="FB43" s="714">
        <f t="shared" si="34"/>
        <v>10</v>
      </c>
      <c r="FC43" s="714">
        <f t="shared" ca="1" si="34"/>
        <v>0</v>
      </c>
      <c r="FD43" s="714">
        <f t="shared" si="34"/>
        <v>0</v>
      </c>
      <c r="FE43" s="714">
        <f t="shared" si="34"/>
        <v>0</v>
      </c>
      <c r="FF43" s="714">
        <f t="shared" si="34"/>
        <v>0</v>
      </c>
      <c r="FG43" s="714">
        <f t="shared" si="34"/>
        <v>0</v>
      </c>
      <c r="HN43" s="20"/>
    </row>
    <row r="44" spans="1:222" ht="15.75" thickBot="1" x14ac:dyDescent="0.3">
      <c r="A44" s="468" t="s">
        <v>7800</v>
      </c>
      <c r="B44" s="468"/>
      <c r="C44" s="468"/>
      <c r="D44" s="468"/>
      <c r="E44" s="468"/>
      <c r="F44" s="468"/>
      <c r="G44" s="468"/>
      <c r="H44" s="468"/>
      <c r="I44" s="468"/>
      <c r="J44" s="468"/>
      <c r="K44" s="468"/>
      <c r="AV44" s="469" t="s">
        <v>5510</v>
      </c>
      <c r="AW44" s="579" t="s">
        <v>5767</v>
      </c>
      <c r="AY44" s="579" t="s">
        <v>5767</v>
      </c>
      <c r="BF44" s="469" t="s">
        <v>5510</v>
      </c>
      <c r="BH44" s="539" t="s">
        <v>8040</v>
      </c>
      <c r="BI44" s="539">
        <f t="shared" ref="BI44:BI53" si="40">BI43+1</f>
        <v>49</v>
      </c>
      <c r="BJ44" s="539" cm="1">
        <f t="array" aca="1" ref="BJ44" ca="1">INDIRECT($BM$2&amp;BJ$7&amp;$BI44,1)</f>
        <v>0</v>
      </c>
      <c r="BK44" s="539" cm="1">
        <f t="array" aca="1" ref="BK44" ca="1">INDIRECT($BM$2&amp;BK$7&amp;$BI44,1)</f>
        <v>0</v>
      </c>
      <c r="BL44" s="539" cm="1">
        <f t="array" aca="1" ref="BL44" ca="1">INDIRECT($BM$2&amp;BL$7&amp;$BI44,1)</f>
        <v>0</v>
      </c>
      <c r="BM44" s="539" cm="1">
        <f t="array" aca="1" ref="BM44" ca="1">INDIRECT($BM$2&amp;BM$7&amp;$BI44,1)</f>
        <v>0</v>
      </c>
      <c r="BN44" s="539" cm="1">
        <f t="array" aca="1" ref="BN44" ca="1">INDIRECT($BM$2&amp;BN$7&amp;$BI44,1)</f>
        <v>0</v>
      </c>
      <c r="BO44" s="539" t="str">
        <f t="shared" ca="1" si="37"/>
        <v>-</v>
      </c>
      <c r="BQ44" s="20"/>
      <c r="BR44" s="469">
        <v>3</v>
      </c>
      <c r="BS44" s="539" t="s">
        <v>8040</v>
      </c>
      <c r="BT44" s="539">
        <f t="shared" ref="BT44:BT53" si="41">BT43+1</f>
        <v>395</v>
      </c>
      <c r="BU44" s="539" cm="1">
        <f t="array" aca="1" ref="BU44" ca="1">INDIRECT($BM$2&amp;BU$7&amp;$BT44,1)</f>
        <v>0</v>
      </c>
      <c r="BV44" s="539" cm="1">
        <f t="array" aca="1" ref="BV44" ca="1">INDIRECT($BM$2&amp;BV$7&amp;$BT44,1)</f>
        <v>0</v>
      </c>
      <c r="BW44" s="539" cm="1">
        <f t="array" aca="1" ref="BW44" ca="1">INDIRECT($BM$2&amp;BW$7&amp;$BT44,1)</f>
        <v>0</v>
      </c>
      <c r="BX44" s="539" cm="1">
        <f t="array" aca="1" ref="BX44" ca="1">INDIRECT($BM$2&amp;BX$7&amp;$BT44,1)</f>
        <v>0</v>
      </c>
      <c r="BY44" s="539" cm="1">
        <f t="array" aca="1" ref="BY44" ca="1">INDIRECT($BM$2&amp;BY$7&amp;$BT44,1)</f>
        <v>0</v>
      </c>
      <c r="BZ44" s="539" t="str">
        <f t="shared" ca="1" si="38"/>
        <v>-</v>
      </c>
      <c r="CC44" s="469">
        <v>3</v>
      </c>
      <c r="CD44" s="539" t="s">
        <v>8040</v>
      </c>
      <c r="CE44" s="539">
        <f t="shared" ref="CE44:CE53" si="42">CE43+1</f>
        <v>741</v>
      </c>
      <c r="CF44" s="539" cm="1">
        <f t="array" aca="1" ref="CF44" ca="1">INDIRECT($BM$2&amp;CF$7&amp;$CE44,1)</f>
        <v>0</v>
      </c>
      <c r="CG44" s="539" cm="1">
        <f t="array" aca="1" ref="CG44" ca="1">INDIRECT($BM$2&amp;CG$7&amp;$CE44,1)</f>
        <v>0</v>
      </c>
      <c r="CH44" s="539" cm="1">
        <f t="array" aca="1" ref="CH44" ca="1">INDIRECT($BM$2&amp;CH$7&amp;$CE44,1)</f>
        <v>0</v>
      </c>
      <c r="CI44" s="539" cm="1">
        <f t="array" aca="1" ref="CI44" ca="1">INDIRECT($BM$2&amp;CI$7&amp;$CE44,1)</f>
        <v>0</v>
      </c>
      <c r="CJ44" s="539" cm="1">
        <f t="array" aca="1" ref="CJ44" ca="1">INDIRECT($BM$2&amp;CJ$7&amp;$CE44,1)</f>
        <v>0</v>
      </c>
      <c r="CK44" s="539" t="str">
        <f t="shared" ca="1" si="39"/>
        <v>-</v>
      </c>
      <c r="CN44" s="571">
        <f>MATCH(CO44&amp;"-",$BS$1:$BS$325,0)</f>
        <v>10</v>
      </c>
      <c r="CO44" s="577" t="s">
        <v>90</v>
      </c>
      <c r="CP44" s="577" t="str" cm="1">
        <f t="array" aca="1" ref="CP44" ca="1">IF(INDIRECT($CP$42&amp;CN44)=0,"---","Preenchido")</f>
        <v>---</v>
      </c>
      <c r="CQ44" s="577" t="s">
        <v>95</v>
      </c>
      <c r="CR44" s="577" t="str" cm="1">
        <f t="array" aca="1" ref="CR44" ca="1">IF(INDIRECT($CP$42&amp;CS44)=0,"---","Preenchido")</f>
        <v>---</v>
      </c>
      <c r="CS44" s="571">
        <f>MATCH(CQ44&amp;"-",$BS$1:$BS$325,0)</f>
        <v>170</v>
      </c>
      <c r="CU44" s="469" t="s">
        <v>5510</v>
      </c>
      <c r="CV44" s="22" t="s">
        <v>5775</v>
      </c>
      <c r="CW44" s="522">
        <f t="shared" si="31"/>
        <v>36</v>
      </c>
      <c r="CX44" s="22" cm="1">
        <f t="array" aca="1" ref="CX44" ca="1">INDIRECT($DD$2&amp;CX$28&amp;$CW44)</f>
        <v>0</v>
      </c>
      <c r="CY44" s="22" cm="1">
        <f t="array" aca="1" ref="CY44" ca="1">INDIRECT($DD$2&amp;CY$28&amp;$CW44)</f>
        <v>0</v>
      </c>
      <c r="CZ44" s="22" cm="1">
        <f t="array" aca="1" ref="CZ44" ca="1">INDIRECT($DD$2&amp;CZ$28&amp;$CW44)</f>
        <v>0</v>
      </c>
      <c r="DA44" s="22" cm="1">
        <f t="array" aca="1" ref="DA44" ca="1">INDIRECT($DD$2&amp;DA$28&amp;$CW44)</f>
        <v>0</v>
      </c>
      <c r="DB44" s="22" cm="1">
        <f t="array" aca="1" ref="DB44" ca="1">INDIRECT($DD$2&amp;DB$28&amp;$CW44)</f>
        <v>0</v>
      </c>
      <c r="DC44" s="22" cm="1">
        <f t="array" aca="1" ref="DC44" ca="1">INDIRECT($DD$2&amp;DC$28&amp;$CW44)</f>
        <v>0</v>
      </c>
      <c r="DD44" s="22" t="str">
        <f t="shared" ca="1" si="29"/>
        <v/>
      </c>
      <c r="DE44" s="22" t="str">
        <f t="shared" ca="1" si="30"/>
        <v/>
      </c>
      <c r="DF44" s="372"/>
      <c r="DG44" s="372"/>
      <c r="DH44" s="372"/>
      <c r="DI44" s="372"/>
      <c r="DJ44" s="372"/>
      <c r="DK44" s="372"/>
      <c r="DL44" s="372"/>
      <c r="DM44" s="372"/>
      <c r="DN44" s="372"/>
      <c r="EQ44" s="469" t="s">
        <v>5510</v>
      </c>
      <c r="HN44" s="20"/>
    </row>
    <row r="45" spans="1:222" x14ac:dyDescent="0.25">
      <c r="A45" s="605" t="s">
        <v>5799</v>
      </c>
      <c r="N45" s="20"/>
      <c r="Y45" s="20"/>
      <c r="AV45" s="469" t="s">
        <v>5510</v>
      </c>
      <c r="AW45" s="570" t="str" cm="1">
        <f t="array" aca="1" ref="AW45" ca="1">IF(INDIRECT("'Micronucleo(2)'!N76",1)&lt;&gt;"sim",AX45,AX46)</f>
        <v>Dose Máxima Tolerada - DMT (mg/kg pc)</v>
      </c>
      <c r="AX45" s="20" t="s">
        <v>5769</v>
      </c>
      <c r="AY45" s="570" t="str" cm="1">
        <f t="array" aca="1" ref="AY45" ca="1">IF(INDIRECT("'Micronucleo(2)'!N76",1)&lt;&gt;"sim",AZ45,AZ46)</f>
        <v>Qual foi a dose de DL50 encontrada? (mg/kg pc)</v>
      </c>
      <c r="AZ45" s="20" t="s">
        <v>6475</v>
      </c>
      <c r="BF45" s="469" t="s">
        <v>5510</v>
      </c>
      <c r="BH45" s="539" t="s">
        <v>8040</v>
      </c>
      <c r="BI45" s="539">
        <f t="shared" si="40"/>
        <v>50</v>
      </c>
      <c r="BJ45" s="539" cm="1">
        <f t="array" aca="1" ref="BJ45" ca="1">INDIRECT($BM$2&amp;BJ$7&amp;$BI45,1)</f>
        <v>0</v>
      </c>
      <c r="BK45" s="539" cm="1">
        <f t="array" aca="1" ref="BK45" ca="1">INDIRECT($BM$2&amp;BK$7&amp;$BI45,1)</f>
        <v>0</v>
      </c>
      <c r="BL45" s="539" cm="1">
        <f t="array" aca="1" ref="BL45" ca="1">INDIRECT($BM$2&amp;BL$7&amp;$BI45,1)</f>
        <v>0</v>
      </c>
      <c r="BM45" s="539" cm="1">
        <f t="array" aca="1" ref="BM45" ca="1">INDIRECT($BM$2&amp;BM$7&amp;$BI45,1)</f>
        <v>0</v>
      </c>
      <c r="BN45" s="539" cm="1">
        <f t="array" aca="1" ref="BN45" ca="1">INDIRECT($BM$2&amp;BN$7&amp;$BI45,1)</f>
        <v>0</v>
      </c>
      <c r="BO45" s="539" t="str">
        <f t="shared" ca="1" si="37"/>
        <v>-</v>
      </c>
      <c r="BQ45" s="20"/>
      <c r="BR45" s="469">
        <v>4</v>
      </c>
      <c r="BS45" s="539" t="s">
        <v>8040</v>
      </c>
      <c r="BT45" s="539">
        <f t="shared" si="41"/>
        <v>396</v>
      </c>
      <c r="BU45" s="539" cm="1">
        <f t="array" aca="1" ref="BU45" ca="1">INDIRECT($BM$2&amp;BU$7&amp;$BT45,1)</f>
        <v>0</v>
      </c>
      <c r="BV45" s="539" cm="1">
        <f t="array" aca="1" ref="BV45" ca="1">INDIRECT($BM$2&amp;BV$7&amp;$BT45,1)</f>
        <v>0</v>
      </c>
      <c r="BW45" s="539" cm="1">
        <f t="array" aca="1" ref="BW45" ca="1">INDIRECT($BM$2&amp;BW$7&amp;$BT45,1)</f>
        <v>0</v>
      </c>
      <c r="BX45" s="539" cm="1">
        <f t="array" aca="1" ref="BX45" ca="1">INDIRECT($BM$2&amp;BX$7&amp;$BT45,1)</f>
        <v>0</v>
      </c>
      <c r="BY45" s="539" cm="1">
        <f t="array" aca="1" ref="BY45" ca="1">INDIRECT($BM$2&amp;BY$7&amp;$BT45,1)</f>
        <v>0</v>
      </c>
      <c r="BZ45" s="539" t="str">
        <f t="shared" ca="1" si="38"/>
        <v>-</v>
      </c>
      <c r="CC45" s="469">
        <v>4</v>
      </c>
      <c r="CD45" s="539" t="s">
        <v>8040</v>
      </c>
      <c r="CE45" s="539">
        <f t="shared" si="42"/>
        <v>742</v>
      </c>
      <c r="CF45" s="539" cm="1">
        <f t="array" aca="1" ref="CF45" ca="1">INDIRECT($BM$2&amp;CF$7&amp;$CE45,1)</f>
        <v>0</v>
      </c>
      <c r="CG45" s="539" cm="1">
        <f t="array" aca="1" ref="CG45" ca="1">INDIRECT($BM$2&amp;CG$7&amp;$CE45,1)</f>
        <v>0</v>
      </c>
      <c r="CH45" s="539" cm="1">
        <f t="array" aca="1" ref="CH45" ca="1">INDIRECT($BM$2&amp;CH$7&amp;$CE45,1)</f>
        <v>0</v>
      </c>
      <c r="CI45" s="539" cm="1">
        <f t="array" aca="1" ref="CI45" ca="1">INDIRECT($BM$2&amp;CI$7&amp;$CE45,1)</f>
        <v>0</v>
      </c>
      <c r="CJ45" s="539" cm="1">
        <f t="array" aca="1" ref="CJ45" ca="1">INDIRECT($BM$2&amp;CJ$7&amp;$CE45,1)</f>
        <v>0</v>
      </c>
      <c r="CK45" s="539" t="str">
        <f t="shared" ca="1" si="39"/>
        <v>-</v>
      </c>
      <c r="CN45" s="571">
        <f t="shared" ref="CN45:CN48" si="43">MATCH(CO45&amp;"-",$BS$1:$BS$325,0)</f>
        <v>42</v>
      </c>
      <c r="CO45" s="537" t="s">
        <v>91</v>
      </c>
      <c r="CP45" s="577" t="str" cm="1">
        <f t="array" aca="1" ref="CP45" ca="1">IF(INDIRECT($CP$42&amp;CN45)=0,"---","Preenchido")</f>
        <v>---</v>
      </c>
      <c r="CQ45" s="537" t="s">
        <v>96</v>
      </c>
      <c r="CR45" s="577" t="str" cm="1">
        <f t="array" aca="1" ref="CR45" ca="1">IF(INDIRECT($CP$42&amp;CS45)=0,"---","Preenchido")</f>
        <v>---</v>
      </c>
      <c r="CS45" s="571">
        <f t="shared" ref="CS45:CS47" si="44">MATCH(CQ45&amp;"-",$BS$1:$BS$325,0)</f>
        <v>202</v>
      </c>
      <c r="CU45" s="469" t="s">
        <v>5510</v>
      </c>
      <c r="CV45" s="22" t="s">
        <v>5775</v>
      </c>
      <c r="CW45" s="522">
        <f t="shared" si="31"/>
        <v>37</v>
      </c>
      <c r="CX45" s="22" cm="1">
        <f t="array" aca="1" ref="CX45" ca="1">INDIRECT($DD$2&amp;CX$28&amp;$CW45)</f>
        <v>0</v>
      </c>
      <c r="CY45" s="22" cm="1">
        <f t="array" aca="1" ref="CY45" ca="1">INDIRECT($DD$2&amp;CY$28&amp;$CW45)</f>
        <v>0</v>
      </c>
      <c r="CZ45" s="22" cm="1">
        <f t="array" aca="1" ref="CZ45" ca="1">INDIRECT($DD$2&amp;CZ$28&amp;$CW45)</f>
        <v>0</v>
      </c>
      <c r="DA45" s="22" cm="1">
        <f t="array" aca="1" ref="DA45" ca="1">INDIRECT($DD$2&amp;DA$28&amp;$CW45)</f>
        <v>0</v>
      </c>
      <c r="DB45" s="22" cm="1">
        <f t="array" aca="1" ref="DB45" ca="1">INDIRECT($DD$2&amp;DB$28&amp;$CW45)</f>
        <v>0</v>
      </c>
      <c r="DC45" s="22" cm="1">
        <f t="array" aca="1" ref="DC45" ca="1">INDIRECT($DD$2&amp;DC$28&amp;$CW45)</f>
        <v>0</v>
      </c>
      <c r="DD45" s="22" t="str">
        <f t="shared" ca="1" si="29"/>
        <v/>
      </c>
      <c r="DE45" s="22" t="str">
        <f t="shared" ca="1" si="30"/>
        <v/>
      </c>
      <c r="EQ45" s="469" t="s">
        <v>5510</v>
      </c>
      <c r="ET45" s="20" t="s">
        <v>5997</v>
      </c>
      <c r="HN45" s="20"/>
    </row>
    <row r="46" spans="1:222" x14ac:dyDescent="0.25">
      <c r="N46" s="20"/>
      <c r="Y46" s="20"/>
      <c r="AV46" s="469" t="s">
        <v>5510</v>
      </c>
      <c r="AW46" s="570" t="str" cm="1">
        <f t="array" aca="1" ref="AW46" ca="1">IF(INDIRECT("'Micronucleo(2)'!N76",1)&lt;&gt;"sim","",AX47)</f>
        <v/>
      </c>
      <c r="AX46" s="20" t="s">
        <v>5768</v>
      </c>
      <c r="AY46" s="570" t="str" cm="1">
        <f t="array" aca="1" ref="AY46" ca="1">IF(INDIRECT("'Micronucleo(2)'!N76",1)&lt;&gt;"sim","",AZ47)</f>
        <v/>
      </c>
      <c r="AZ46" s="20" t="s">
        <v>5770</v>
      </c>
      <c r="BF46" s="469" t="s">
        <v>5510</v>
      </c>
      <c r="BH46" s="539" t="s">
        <v>8040</v>
      </c>
      <c r="BI46" s="539">
        <f t="shared" si="40"/>
        <v>51</v>
      </c>
      <c r="BJ46" s="539" cm="1">
        <f t="array" aca="1" ref="BJ46" ca="1">INDIRECT($BM$2&amp;BJ$7&amp;$BI46,1)</f>
        <v>0</v>
      </c>
      <c r="BK46" s="539" cm="1">
        <f t="array" aca="1" ref="BK46" ca="1">INDIRECT($BM$2&amp;BK$7&amp;$BI46,1)</f>
        <v>0</v>
      </c>
      <c r="BL46" s="539" cm="1">
        <f t="array" aca="1" ref="BL46" ca="1">INDIRECT($BM$2&amp;BL$7&amp;$BI46,1)</f>
        <v>0</v>
      </c>
      <c r="BM46" s="539" cm="1">
        <f t="array" aca="1" ref="BM46" ca="1">INDIRECT($BM$2&amp;BM$7&amp;$BI46,1)</f>
        <v>0</v>
      </c>
      <c r="BN46" s="539" cm="1">
        <f t="array" aca="1" ref="BN46" ca="1">INDIRECT($BM$2&amp;BN$7&amp;$BI46,1)</f>
        <v>0</v>
      </c>
      <c r="BO46" s="539" t="str">
        <f t="shared" ca="1" si="37"/>
        <v>-</v>
      </c>
      <c r="BQ46" s="20"/>
      <c r="BR46" s="469">
        <v>5</v>
      </c>
      <c r="BS46" s="539" t="s">
        <v>8040</v>
      </c>
      <c r="BT46" s="539">
        <f t="shared" si="41"/>
        <v>397</v>
      </c>
      <c r="BU46" s="539" cm="1">
        <f t="array" aca="1" ref="BU46" ca="1">INDIRECT($BM$2&amp;BU$7&amp;$BT46,1)</f>
        <v>0</v>
      </c>
      <c r="BV46" s="539" cm="1">
        <f t="array" aca="1" ref="BV46" ca="1">INDIRECT($BM$2&amp;BV$7&amp;$BT46,1)</f>
        <v>0</v>
      </c>
      <c r="BW46" s="539" cm="1">
        <f t="array" aca="1" ref="BW46" ca="1">INDIRECT($BM$2&amp;BW$7&amp;$BT46,1)</f>
        <v>0</v>
      </c>
      <c r="BX46" s="539" cm="1">
        <f t="array" aca="1" ref="BX46" ca="1">INDIRECT($BM$2&amp;BX$7&amp;$BT46,1)</f>
        <v>0</v>
      </c>
      <c r="BY46" s="539" cm="1">
        <f t="array" aca="1" ref="BY46" ca="1">INDIRECT($BM$2&amp;BY$7&amp;$BT46,1)</f>
        <v>0</v>
      </c>
      <c r="BZ46" s="539" t="str">
        <f t="shared" ca="1" si="38"/>
        <v>-</v>
      </c>
      <c r="CC46" s="469">
        <v>5</v>
      </c>
      <c r="CD46" s="539" t="s">
        <v>8040</v>
      </c>
      <c r="CE46" s="539">
        <f t="shared" si="42"/>
        <v>743</v>
      </c>
      <c r="CF46" s="539" cm="1">
        <f t="array" aca="1" ref="CF46" ca="1">INDIRECT($BM$2&amp;CF$7&amp;$CE46,1)</f>
        <v>0</v>
      </c>
      <c r="CG46" s="539" cm="1">
        <f t="array" aca="1" ref="CG46" ca="1">INDIRECT($BM$2&amp;CG$7&amp;$CE46,1)</f>
        <v>0</v>
      </c>
      <c r="CH46" s="539" cm="1">
        <f t="array" aca="1" ref="CH46" ca="1">INDIRECT($BM$2&amp;CH$7&amp;$CE46,1)</f>
        <v>0</v>
      </c>
      <c r="CI46" s="539" cm="1">
        <f t="array" aca="1" ref="CI46" ca="1">INDIRECT($BM$2&amp;CI$7&amp;$CE46,1)</f>
        <v>0</v>
      </c>
      <c r="CJ46" s="539" cm="1">
        <f t="array" aca="1" ref="CJ46" ca="1">INDIRECT($BM$2&amp;CJ$7&amp;$CE46,1)</f>
        <v>0</v>
      </c>
      <c r="CK46" s="539" t="str">
        <f t="shared" ca="1" si="39"/>
        <v>-</v>
      </c>
      <c r="CN46" s="571">
        <f t="shared" si="43"/>
        <v>74</v>
      </c>
      <c r="CO46" s="537" t="s">
        <v>92</v>
      </c>
      <c r="CP46" s="577" t="str" cm="1">
        <f t="array" aca="1" ref="CP46" ca="1">IF(INDIRECT($CP$42&amp;CN46)=0,"---","Preenchido")</f>
        <v>---</v>
      </c>
      <c r="CQ46" s="537" t="s">
        <v>97</v>
      </c>
      <c r="CR46" s="577" t="str" cm="1">
        <f t="array" aca="1" ref="CR46" ca="1">IF(INDIRECT($CP$42&amp;CS46)=0,"---","Preenchido")</f>
        <v>---</v>
      </c>
      <c r="CS46" s="571">
        <f t="shared" si="44"/>
        <v>234</v>
      </c>
      <c r="CU46" s="469" t="s">
        <v>5510</v>
      </c>
      <c r="CV46" s="22" t="s">
        <v>5775</v>
      </c>
      <c r="CW46" s="522">
        <f t="shared" si="31"/>
        <v>38</v>
      </c>
      <c r="CX46" s="22" cm="1">
        <f t="array" aca="1" ref="CX46" ca="1">INDIRECT($DD$2&amp;CX$28&amp;$CW46)</f>
        <v>0</v>
      </c>
      <c r="CY46" s="22" cm="1">
        <f t="array" aca="1" ref="CY46" ca="1">INDIRECT($DD$2&amp;CY$28&amp;$CW46)</f>
        <v>0</v>
      </c>
      <c r="CZ46" s="22" cm="1">
        <f t="array" aca="1" ref="CZ46" ca="1">INDIRECT($DD$2&amp;CZ$28&amp;$CW46)</f>
        <v>0</v>
      </c>
      <c r="DA46" s="22" cm="1">
        <f t="array" aca="1" ref="DA46" ca="1">INDIRECT($DD$2&amp;DA$28&amp;$CW46)</f>
        <v>0</v>
      </c>
      <c r="DB46" s="22" cm="1">
        <f t="array" aca="1" ref="DB46" ca="1">INDIRECT($DD$2&amp;DB$28&amp;$CW46)</f>
        <v>0</v>
      </c>
      <c r="DC46" s="22" cm="1">
        <f t="array" aca="1" ref="DC46" ca="1">INDIRECT($DD$2&amp;DC$28&amp;$CW46)</f>
        <v>0</v>
      </c>
      <c r="DD46" s="22" t="str">
        <f t="shared" ca="1" si="29"/>
        <v/>
      </c>
      <c r="DE46" s="22" t="str">
        <f t="shared" ca="1" si="30"/>
        <v/>
      </c>
      <c r="EQ46" s="469" t="s">
        <v>5510</v>
      </c>
      <c r="EU46" s="372" t="s">
        <v>5975</v>
      </c>
      <c r="EV46" s="472"/>
      <c r="EW46" s="472"/>
      <c r="EX46" s="472"/>
      <c r="EY46" s="372"/>
      <c r="EZ46" s="372"/>
      <c r="HN46" s="20"/>
    </row>
    <row r="47" spans="1:222" ht="15.75" thickBot="1" x14ac:dyDescent="0.3">
      <c r="A47" s="552" t="s">
        <v>5801</v>
      </c>
      <c r="B47" s="552" t="s">
        <v>5800</v>
      </c>
      <c r="N47" s="20"/>
      <c r="Y47" s="20"/>
      <c r="AV47" s="469" t="s">
        <v>5510</v>
      </c>
      <c r="AX47" s="20" t="s">
        <v>212</v>
      </c>
      <c r="AZ47" s="20" t="s">
        <v>5771</v>
      </c>
      <c r="BF47" s="469" t="s">
        <v>5510</v>
      </c>
      <c r="BH47" s="539" t="s">
        <v>8040</v>
      </c>
      <c r="BI47" s="539">
        <f t="shared" si="40"/>
        <v>52</v>
      </c>
      <c r="BJ47" s="539" cm="1">
        <f t="array" aca="1" ref="BJ47" ca="1">INDIRECT($BM$2&amp;BJ$7&amp;$BI47,1)</f>
        <v>0</v>
      </c>
      <c r="BK47" s="539" cm="1">
        <f t="array" aca="1" ref="BK47" ca="1">INDIRECT($BM$2&amp;BK$7&amp;$BI47,1)</f>
        <v>0</v>
      </c>
      <c r="BL47" s="539" cm="1">
        <f t="array" aca="1" ref="BL47" ca="1">INDIRECT($BM$2&amp;BL$7&amp;$BI47,1)</f>
        <v>0</v>
      </c>
      <c r="BM47" s="539" cm="1">
        <f t="array" aca="1" ref="BM47" ca="1">INDIRECT($BM$2&amp;BM$7&amp;$BI47,1)</f>
        <v>0</v>
      </c>
      <c r="BN47" s="539" cm="1">
        <f t="array" aca="1" ref="BN47" ca="1">INDIRECT($BM$2&amp;BN$7&amp;$BI47,1)</f>
        <v>0</v>
      </c>
      <c r="BO47" s="539" t="str">
        <f t="shared" ca="1" si="37"/>
        <v>-</v>
      </c>
      <c r="BQ47" s="20"/>
      <c r="BR47" s="469">
        <v>6</v>
      </c>
      <c r="BS47" s="539" t="s">
        <v>8040</v>
      </c>
      <c r="BT47" s="539">
        <f t="shared" si="41"/>
        <v>398</v>
      </c>
      <c r="BU47" s="539" cm="1">
        <f t="array" aca="1" ref="BU47" ca="1">INDIRECT($BM$2&amp;BU$7&amp;$BT47,1)</f>
        <v>0</v>
      </c>
      <c r="BV47" s="539" cm="1">
        <f t="array" aca="1" ref="BV47" ca="1">INDIRECT($BM$2&amp;BV$7&amp;$BT47,1)</f>
        <v>0</v>
      </c>
      <c r="BW47" s="539" cm="1">
        <f t="array" aca="1" ref="BW47" ca="1">INDIRECT($BM$2&amp;BW$7&amp;$BT47,1)</f>
        <v>0</v>
      </c>
      <c r="BX47" s="539" cm="1">
        <f t="array" aca="1" ref="BX47" ca="1">INDIRECT($BM$2&amp;BX$7&amp;$BT47,1)</f>
        <v>0</v>
      </c>
      <c r="BY47" s="539" cm="1">
        <f t="array" aca="1" ref="BY47" ca="1">INDIRECT($BM$2&amp;BY$7&amp;$BT47,1)</f>
        <v>0</v>
      </c>
      <c r="BZ47" s="539" t="str">
        <f t="shared" ca="1" si="38"/>
        <v>-</v>
      </c>
      <c r="CC47" s="469">
        <v>6</v>
      </c>
      <c r="CD47" s="539" t="s">
        <v>8040</v>
      </c>
      <c r="CE47" s="539">
        <f t="shared" si="42"/>
        <v>744</v>
      </c>
      <c r="CF47" s="539" cm="1">
        <f t="array" aca="1" ref="CF47" ca="1">INDIRECT($BM$2&amp;CF$7&amp;$CE47,1)</f>
        <v>0</v>
      </c>
      <c r="CG47" s="539" cm="1">
        <f t="array" aca="1" ref="CG47" ca="1">INDIRECT($BM$2&amp;CG$7&amp;$CE47,1)</f>
        <v>0</v>
      </c>
      <c r="CH47" s="539" cm="1">
        <f t="array" aca="1" ref="CH47" ca="1">INDIRECT($BM$2&amp;CH$7&amp;$CE47,1)</f>
        <v>0</v>
      </c>
      <c r="CI47" s="539" cm="1">
        <f t="array" aca="1" ref="CI47" ca="1">INDIRECT($BM$2&amp;CI$7&amp;$CE47,1)</f>
        <v>0</v>
      </c>
      <c r="CJ47" s="539" cm="1">
        <f t="array" aca="1" ref="CJ47" ca="1">INDIRECT($BM$2&amp;CJ$7&amp;$CE47,1)</f>
        <v>0</v>
      </c>
      <c r="CK47" s="539" t="str">
        <f t="shared" ca="1" si="39"/>
        <v>-</v>
      </c>
      <c r="CN47" s="571">
        <f t="shared" si="43"/>
        <v>106</v>
      </c>
      <c r="CO47" s="537" t="s">
        <v>93</v>
      </c>
      <c r="CP47" s="577" t="str" cm="1">
        <f t="array" aca="1" ref="CP47" ca="1">IF(INDIRECT($CP$42&amp;CN47)=0,"---","Preenchido")</f>
        <v>---</v>
      </c>
      <c r="CQ47" s="537" t="s">
        <v>98</v>
      </c>
      <c r="CR47" s="577" t="str" cm="1">
        <f t="array" aca="1" ref="CR47" ca="1">IF(INDIRECT($CP$42&amp;CS47)=0,"---","Preenchido")</f>
        <v>---</v>
      </c>
      <c r="CS47" s="571">
        <f t="shared" si="44"/>
        <v>266</v>
      </c>
      <c r="CU47" s="469" t="s">
        <v>5510</v>
      </c>
      <c r="CV47" s="22" t="s">
        <v>5775</v>
      </c>
      <c r="CW47" s="522">
        <f t="shared" si="31"/>
        <v>39</v>
      </c>
      <c r="CX47" s="22" cm="1">
        <f t="array" aca="1" ref="CX47" ca="1">INDIRECT($DD$2&amp;CX$28&amp;$CW47)</f>
        <v>0</v>
      </c>
      <c r="CY47" s="22" cm="1">
        <f t="array" aca="1" ref="CY47" ca="1">INDIRECT($DD$2&amp;CY$28&amp;$CW47)</f>
        <v>0</v>
      </c>
      <c r="CZ47" s="22" cm="1">
        <f t="array" aca="1" ref="CZ47" ca="1">INDIRECT($DD$2&amp;CZ$28&amp;$CW47)</f>
        <v>0</v>
      </c>
      <c r="DA47" s="22" cm="1">
        <f t="array" aca="1" ref="DA47" ca="1">INDIRECT($DD$2&amp;DA$28&amp;$CW47)</f>
        <v>0</v>
      </c>
      <c r="DB47" s="22" cm="1">
        <f t="array" aca="1" ref="DB47" ca="1">INDIRECT($DD$2&amp;DB$28&amp;$CW47)</f>
        <v>0</v>
      </c>
      <c r="DC47" s="22" cm="1">
        <f t="array" aca="1" ref="DC47" ca="1">INDIRECT($DD$2&amp;DC$28&amp;$CW47)</f>
        <v>0</v>
      </c>
      <c r="DD47" s="22" t="str">
        <f t="shared" ca="1" si="29"/>
        <v/>
      </c>
      <c r="DE47" s="22" t="str">
        <f t="shared" ca="1" si="30"/>
        <v/>
      </c>
      <c r="DG47" s="468" t="s">
        <v>5810</v>
      </c>
      <c r="DH47" s="468"/>
      <c r="DI47" s="468"/>
      <c r="DJ47" s="468"/>
      <c r="DK47" s="468"/>
      <c r="DL47" s="468"/>
      <c r="DM47" s="468"/>
      <c r="DN47" s="468"/>
      <c r="DO47" s="468"/>
      <c r="EQ47" s="469" t="s">
        <v>5510</v>
      </c>
      <c r="EU47" s="1667" t="s">
        <v>88</v>
      </c>
      <c r="EV47" s="1667"/>
      <c r="EW47" s="1667" t="s">
        <v>101</v>
      </c>
      <c r="EX47" s="1667"/>
      <c r="EY47" s="1667" t="s">
        <v>120</v>
      </c>
      <c r="EZ47" s="1667"/>
      <c r="HN47" s="20"/>
    </row>
    <row r="48" spans="1:222" x14ac:dyDescent="0.25">
      <c r="A48" s="25" t="s">
        <v>5689</v>
      </c>
      <c r="B48" s="25">
        <v>0.15</v>
      </c>
      <c r="N48" s="20"/>
      <c r="Y48" s="20"/>
      <c r="AP48" s="481" t="s">
        <v>5791</v>
      </c>
      <c r="AQ48" s="481" t="s">
        <v>5791</v>
      </c>
      <c r="AR48" s="481" t="s">
        <v>5791</v>
      </c>
      <c r="AS48" s="481" t="s">
        <v>5791</v>
      </c>
      <c r="AT48" s="481" t="s">
        <v>5791</v>
      </c>
      <c r="AU48" s="481" t="s">
        <v>5791</v>
      </c>
      <c r="AV48" s="469" t="s">
        <v>5510</v>
      </c>
      <c r="AW48" s="579" t="s">
        <v>7269</v>
      </c>
      <c r="AX48" s="579" t="s">
        <v>6519</v>
      </c>
      <c r="BF48" s="469" t="s">
        <v>5510</v>
      </c>
      <c r="BH48" s="539" t="s">
        <v>8040</v>
      </c>
      <c r="BI48" s="539">
        <f t="shared" si="40"/>
        <v>53</v>
      </c>
      <c r="BJ48" s="539" cm="1">
        <f t="array" aca="1" ref="BJ48" ca="1">INDIRECT($BM$2&amp;BJ$7&amp;$BI48,1)</f>
        <v>0</v>
      </c>
      <c r="BK48" s="539" cm="1">
        <f t="array" aca="1" ref="BK48" ca="1">INDIRECT($BM$2&amp;BK$7&amp;$BI48,1)</f>
        <v>0</v>
      </c>
      <c r="BL48" s="539" cm="1">
        <f t="array" aca="1" ref="BL48" ca="1">INDIRECT($BM$2&amp;BL$7&amp;$BI48,1)</f>
        <v>0</v>
      </c>
      <c r="BM48" s="539" cm="1">
        <f t="array" aca="1" ref="BM48" ca="1">INDIRECT($BM$2&amp;BM$7&amp;$BI48,1)</f>
        <v>0</v>
      </c>
      <c r="BN48" s="539" cm="1">
        <f t="array" aca="1" ref="BN48" ca="1">INDIRECT($BM$2&amp;BN$7&amp;$BI48,1)</f>
        <v>0</v>
      </c>
      <c r="BO48" s="539" t="str">
        <f t="shared" ca="1" si="37"/>
        <v>-</v>
      </c>
      <c r="BQ48" s="20"/>
      <c r="BR48" s="469">
        <v>7</v>
      </c>
      <c r="BS48" s="539" t="s">
        <v>8040</v>
      </c>
      <c r="BT48" s="539">
        <f t="shared" si="41"/>
        <v>399</v>
      </c>
      <c r="BU48" s="539" cm="1">
        <f t="array" aca="1" ref="BU48" ca="1">INDIRECT($BM$2&amp;BU$7&amp;$BT48,1)</f>
        <v>0</v>
      </c>
      <c r="BV48" s="539" cm="1">
        <f t="array" aca="1" ref="BV48" ca="1">INDIRECT($BM$2&amp;BV$7&amp;$BT48,1)</f>
        <v>0</v>
      </c>
      <c r="BW48" s="539" cm="1">
        <f t="array" aca="1" ref="BW48" ca="1">INDIRECT($BM$2&amp;BW$7&amp;$BT48,1)</f>
        <v>0</v>
      </c>
      <c r="BX48" s="539" cm="1">
        <f t="array" aca="1" ref="BX48" ca="1">INDIRECT($BM$2&amp;BX$7&amp;$BT48,1)</f>
        <v>0</v>
      </c>
      <c r="BY48" s="539" cm="1">
        <f t="array" aca="1" ref="BY48" ca="1">INDIRECT($BM$2&amp;BY$7&amp;$BT48,1)</f>
        <v>0</v>
      </c>
      <c r="BZ48" s="539" t="str">
        <f t="shared" ca="1" si="38"/>
        <v>-</v>
      </c>
      <c r="CC48" s="469">
        <v>7</v>
      </c>
      <c r="CD48" s="539" t="s">
        <v>8040</v>
      </c>
      <c r="CE48" s="539">
        <f t="shared" si="42"/>
        <v>745</v>
      </c>
      <c r="CF48" s="539" cm="1">
        <f t="array" aca="1" ref="CF48" ca="1">INDIRECT($BM$2&amp;CF$7&amp;$CE48,1)</f>
        <v>0</v>
      </c>
      <c r="CG48" s="539" cm="1">
        <f t="array" aca="1" ref="CG48" ca="1">INDIRECT($BM$2&amp;CG$7&amp;$CE48,1)</f>
        <v>0</v>
      </c>
      <c r="CH48" s="539" cm="1">
        <f t="array" aca="1" ref="CH48" ca="1">INDIRECT($BM$2&amp;CH$7&amp;$CE48,1)</f>
        <v>0</v>
      </c>
      <c r="CI48" s="539" cm="1">
        <f t="array" aca="1" ref="CI48" ca="1">INDIRECT($BM$2&amp;CI$7&amp;$CE48,1)</f>
        <v>0</v>
      </c>
      <c r="CJ48" s="539" cm="1">
        <f t="array" aca="1" ref="CJ48" ca="1">INDIRECT($BM$2&amp;CJ$7&amp;$CE48,1)</f>
        <v>0</v>
      </c>
      <c r="CK48" s="539" t="str">
        <f t="shared" ca="1" si="39"/>
        <v>-</v>
      </c>
      <c r="CN48" s="571">
        <f t="shared" si="43"/>
        <v>138</v>
      </c>
      <c r="CO48" s="537" t="s">
        <v>94</v>
      </c>
      <c r="CP48" s="577" t="str" cm="1">
        <f t="array" aca="1" ref="CP48" ca="1">IF(INDIRECT($CP$42&amp;CN48)=0,"---","Preenchido")</f>
        <v>---</v>
      </c>
      <c r="CQ48" s="537" t="s">
        <v>8224</v>
      </c>
      <c r="CR48" s="577" t="str" cm="1">
        <f t="array" aca="1" ref="CR48" ca="1">IF(INDIRECT($CP$42&amp;CS48)=0,"---","Preenchido")</f>
        <v>---</v>
      </c>
      <c r="CS48" s="571">
        <f>MATCH(CQ48&amp;"-",$BS$1:$BS$325,0)</f>
        <v>298</v>
      </c>
      <c r="CU48" s="469" t="s">
        <v>5510</v>
      </c>
      <c r="CV48" s="22" t="s">
        <v>5775</v>
      </c>
      <c r="CW48" s="522">
        <f t="shared" si="31"/>
        <v>40</v>
      </c>
      <c r="CX48" s="22" cm="1">
        <f t="array" aca="1" ref="CX48" ca="1">INDIRECT($DD$2&amp;CX$28&amp;$CW48)</f>
        <v>0</v>
      </c>
      <c r="CY48" s="22" cm="1">
        <f t="array" aca="1" ref="CY48" ca="1">INDIRECT($DD$2&amp;CY$28&amp;$CW48)</f>
        <v>0</v>
      </c>
      <c r="CZ48" s="22" cm="1">
        <f t="array" aca="1" ref="CZ48" ca="1">INDIRECT($DD$2&amp;CZ$28&amp;$CW48)</f>
        <v>0</v>
      </c>
      <c r="DA48" s="22" cm="1">
        <f t="array" aca="1" ref="DA48" ca="1">INDIRECT($DD$2&amp;DA$28&amp;$CW48)</f>
        <v>0</v>
      </c>
      <c r="DB48" s="22" cm="1">
        <f t="array" aca="1" ref="DB48" ca="1">INDIRECT($DD$2&amp;DB$28&amp;$CW48)</f>
        <v>0</v>
      </c>
      <c r="DC48" s="22" cm="1">
        <f t="array" aca="1" ref="DC48" ca="1">INDIRECT($DD$2&amp;DC$28&amp;$CW48)</f>
        <v>0</v>
      </c>
      <c r="DD48" s="22" t="str">
        <f t="shared" ca="1" si="29"/>
        <v/>
      </c>
      <c r="DE48" s="22" t="str">
        <f t="shared" ca="1" si="30"/>
        <v/>
      </c>
      <c r="EQ48" s="469" t="s">
        <v>5510</v>
      </c>
      <c r="ET48" s="20" t="s">
        <v>347</v>
      </c>
      <c r="EU48" s="597" t="s">
        <v>10</v>
      </c>
      <c r="EV48" s="643" t="s">
        <v>237</v>
      </c>
      <c r="EW48" s="597" t="s">
        <v>10</v>
      </c>
      <c r="EX48" s="643" t="s">
        <v>237</v>
      </c>
      <c r="EY48" s="597" t="s">
        <v>10</v>
      </c>
      <c r="EZ48" s="643" t="s">
        <v>237</v>
      </c>
      <c r="HN48" s="20"/>
    </row>
    <row r="49" spans="1:222" x14ac:dyDescent="0.25">
      <c r="A49" s="25" t="s">
        <v>5690</v>
      </c>
      <c r="B49" s="25">
        <v>0.3</v>
      </c>
      <c r="N49" s="20"/>
      <c r="Y49" s="20"/>
      <c r="AV49" s="469" t="s">
        <v>5510</v>
      </c>
      <c r="AW49" s="555">
        <f ca="1">IFERROR(FIND("487",AX49,1),0)</f>
        <v>0</v>
      </c>
      <c r="AX49" s="618" cm="1">
        <f t="array" aca="1" ref="AX49" ca="1">INDIRECT("'Micronucleo(2)'!N13",1)</f>
        <v>0</v>
      </c>
      <c r="BF49" s="469" t="s">
        <v>5510</v>
      </c>
      <c r="BH49" s="539" t="s">
        <v>8040</v>
      </c>
      <c r="BI49" s="539">
        <f t="shared" si="40"/>
        <v>54</v>
      </c>
      <c r="BJ49" s="539" cm="1">
        <f t="array" aca="1" ref="BJ49" ca="1">INDIRECT($BM$2&amp;BJ$7&amp;$BI49,1)</f>
        <v>0</v>
      </c>
      <c r="BK49" s="539" cm="1">
        <f t="array" aca="1" ref="BK49" ca="1">INDIRECT($BM$2&amp;BK$7&amp;$BI49,1)</f>
        <v>0</v>
      </c>
      <c r="BL49" s="539" cm="1">
        <f t="array" aca="1" ref="BL49" ca="1">INDIRECT($BM$2&amp;BL$7&amp;$BI49,1)</f>
        <v>0</v>
      </c>
      <c r="BM49" s="539" cm="1">
        <f t="array" aca="1" ref="BM49" ca="1">INDIRECT($BM$2&amp;BM$7&amp;$BI49,1)</f>
        <v>0</v>
      </c>
      <c r="BN49" s="539" cm="1">
        <f t="array" aca="1" ref="BN49" ca="1">INDIRECT($BM$2&amp;BN$7&amp;$BI49,1)</f>
        <v>0</v>
      </c>
      <c r="BO49" s="539" t="str">
        <f t="shared" ca="1" si="37"/>
        <v>-</v>
      </c>
      <c r="BQ49" s="20"/>
      <c r="BR49" s="469">
        <v>8</v>
      </c>
      <c r="BS49" s="539" t="s">
        <v>8040</v>
      </c>
      <c r="BT49" s="539">
        <f t="shared" si="41"/>
        <v>400</v>
      </c>
      <c r="BU49" s="539" cm="1">
        <f t="array" aca="1" ref="BU49" ca="1">INDIRECT($BM$2&amp;BU$7&amp;$BT49,1)</f>
        <v>0</v>
      </c>
      <c r="BV49" s="539" cm="1">
        <f t="array" aca="1" ref="BV49" ca="1">INDIRECT($BM$2&amp;BV$7&amp;$BT49,1)</f>
        <v>0</v>
      </c>
      <c r="BW49" s="539" cm="1">
        <f t="array" aca="1" ref="BW49" ca="1">INDIRECT($BM$2&amp;BW$7&amp;$BT49,1)</f>
        <v>0</v>
      </c>
      <c r="BX49" s="539" cm="1">
        <f t="array" aca="1" ref="BX49" ca="1">INDIRECT($BM$2&amp;BX$7&amp;$BT49,1)</f>
        <v>0</v>
      </c>
      <c r="BY49" s="539" cm="1">
        <f t="array" aca="1" ref="BY49" ca="1">INDIRECT($BM$2&amp;BY$7&amp;$BT49,1)</f>
        <v>0</v>
      </c>
      <c r="BZ49" s="539" t="str">
        <f t="shared" ca="1" si="38"/>
        <v>-</v>
      </c>
      <c r="CC49" s="469">
        <v>8</v>
      </c>
      <c r="CD49" s="539" t="s">
        <v>8040</v>
      </c>
      <c r="CE49" s="539">
        <f t="shared" si="42"/>
        <v>746</v>
      </c>
      <c r="CF49" s="539" cm="1">
        <f t="array" aca="1" ref="CF49" ca="1">INDIRECT($BM$2&amp;CF$7&amp;$CE49,1)</f>
        <v>0</v>
      </c>
      <c r="CG49" s="539" cm="1">
        <f t="array" aca="1" ref="CG49" ca="1">INDIRECT($BM$2&amp;CG$7&amp;$CE49,1)</f>
        <v>0</v>
      </c>
      <c r="CH49" s="539" cm="1">
        <f t="array" aca="1" ref="CH49" ca="1">INDIRECT($BM$2&amp;CH$7&amp;$CE49,1)</f>
        <v>0</v>
      </c>
      <c r="CI49" s="539" cm="1">
        <f t="array" aca="1" ref="CI49" ca="1">INDIRECT($BM$2&amp;CI$7&amp;$CE49,1)</f>
        <v>0</v>
      </c>
      <c r="CJ49" s="539" cm="1">
        <f t="array" aca="1" ref="CJ49" ca="1">INDIRECT($BM$2&amp;CJ$7&amp;$CE49,1)</f>
        <v>0</v>
      </c>
      <c r="CK49" s="539" t="str">
        <f t="shared" ca="1" si="39"/>
        <v>-</v>
      </c>
      <c r="CU49" s="469" t="s">
        <v>5510</v>
      </c>
      <c r="CV49" s="22" t="s">
        <v>5775</v>
      </c>
      <c r="CW49" s="522">
        <f t="shared" si="31"/>
        <v>41</v>
      </c>
      <c r="CX49" s="22" cm="1">
        <f t="array" aca="1" ref="CX49" ca="1">INDIRECT($DD$2&amp;CX$28&amp;$CW49)</f>
        <v>0</v>
      </c>
      <c r="CY49" s="22" cm="1">
        <f t="array" aca="1" ref="CY49" ca="1">INDIRECT($DD$2&amp;CY$28&amp;$CW49)</f>
        <v>0</v>
      </c>
      <c r="CZ49" s="22" cm="1">
        <f t="array" aca="1" ref="CZ49" ca="1">INDIRECT($DD$2&amp;CZ$28&amp;$CW49)</f>
        <v>0</v>
      </c>
      <c r="DA49" s="22" cm="1">
        <f t="array" aca="1" ref="DA49" ca="1">INDIRECT($DD$2&amp;DA$28&amp;$CW49)</f>
        <v>0</v>
      </c>
      <c r="DB49" s="22" cm="1">
        <f t="array" aca="1" ref="DB49" ca="1">INDIRECT($DD$2&amp;DB$28&amp;$CW49)</f>
        <v>0</v>
      </c>
      <c r="DC49" s="22" cm="1">
        <f t="array" aca="1" ref="DC49" ca="1">INDIRECT($DD$2&amp;DC$28&amp;$CW49)</f>
        <v>0</v>
      </c>
      <c r="DD49" s="22" t="str">
        <f t="shared" ca="1" si="29"/>
        <v/>
      </c>
      <c r="DE49" s="22" t="str">
        <f t="shared" ca="1" si="30"/>
        <v/>
      </c>
      <c r="DG49" s="479" t="s">
        <v>8218</v>
      </c>
      <c r="DH49" s="619" t="str">
        <f>"Aumento estatístico significativo"&amp;CHAR(10)</f>
        <v xml:space="preserve">Aumento estatístico significativo
</v>
      </c>
      <c r="EQ49" s="469" t="s">
        <v>5510</v>
      </c>
      <c r="ET49" s="20" t="s">
        <v>90</v>
      </c>
      <c r="EU49" s="723">
        <f ca="1">IF(FB34&lt;&gt;"-",
IF($ES$24=$ET$31,
IF(ET34="",2,IF(AND(FB34&gt;=ET34,FB34&lt;=EU34),0,1)),
IF(EX34="",2,IF(AND(FB34&gt;=EX34,FB34&lt;=EY34),0,1))),0)</f>
        <v>2</v>
      </c>
      <c r="EV49" s="723">
        <f ca="1">IF(FC34&lt;&gt;"-",
IF($ES$24=$ET$31,
IF(EV34="",2,IF(AND(FC34&gt;=EV34,FC34&lt;=EW34),0,1)),
IF(EZ34="",2,IF(AND(FC34&gt;=EZ34,FC34&lt;=FA34),0,1))),0)</f>
        <v>2</v>
      </c>
      <c r="EW49" s="723">
        <f ca="1">IF(FD34&lt;&gt;"-",
IF($ES$25=$ET$31,
IF(ET34="",2,IF(AND(FD34&gt;=ET34,FD34&lt;=EU34),0,1)),
IF(EX34="",2,IF(AND(FD34&gt;=EX34,FD34&lt;=EY34),0,1))),0)</f>
        <v>2</v>
      </c>
      <c r="EX49" s="724">
        <f ca="1">IF(FE34&lt;&gt;"-",
IF($ES$25=$ET$31,
IF(EV34="",2,IF(AND(FE34&gt;=EV34,FE34&lt;=EW34),0,1)),
IF(EZ34="",2,IF(AND(FE34&gt;=EZ34,FE34&lt;=FA34),0,1))),0)</f>
        <v>2</v>
      </c>
      <c r="EY49" s="723">
        <f ca="1">IF(FF34&lt;&gt;"-",
IF($ES$26=$ET$31,
IF(ET34="",2,IF(AND(FF34&gt;=ET34,FF34&lt;=EU34),0,1)),
IF(EX34="",2,IF(AND(FF34&gt;=EX34,FF34&lt;=EY34),0,1))),0)</f>
        <v>2</v>
      </c>
      <c r="EZ49" s="724">
        <f ca="1">IF(FG34&lt;&gt;"-",
IF($ES$26=$ET$31,
IF(EV34="",2,IF(AND(FG34&gt;=EV34,FG34&lt;=EW34),0,1)),
IF(EZ34="",2,IF(AND(FG34&gt;=EZ34,FG34&lt;=FA34),0,1))),0)</f>
        <v>2</v>
      </c>
      <c r="HN49" s="20"/>
    </row>
    <row r="50" spans="1:222" x14ac:dyDescent="0.25">
      <c r="A50" s="25"/>
      <c r="B50" s="25"/>
      <c r="N50" s="20"/>
      <c r="Y50" s="20"/>
      <c r="AV50" s="469" t="s">
        <v>5510</v>
      </c>
      <c r="BF50" s="469" t="s">
        <v>5510</v>
      </c>
      <c r="BH50" s="539" t="s">
        <v>8040</v>
      </c>
      <c r="BI50" s="539">
        <f t="shared" si="40"/>
        <v>55</v>
      </c>
      <c r="BJ50" s="539" cm="1">
        <f t="array" aca="1" ref="BJ50" ca="1">INDIRECT($BM$2&amp;BJ$7&amp;$BI50,1)</f>
        <v>0</v>
      </c>
      <c r="BK50" s="539" cm="1">
        <f t="array" aca="1" ref="BK50" ca="1">INDIRECT($BM$2&amp;BK$7&amp;$BI50,1)</f>
        <v>0</v>
      </c>
      <c r="BL50" s="539" cm="1">
        <f t="array" aca="1" ref="BL50" ca="1">INDIRECT($BM$2&amp;BL$7&amp;$BI50,1)</f>
        <v>0</v>
      </c>
      <c r="BM50" s="539" cm="1">
        <f t="array" aca="1" ref="BM50" ca="1">INDIRECT($BM$2&amp;BM$7&amp;$BI50,1)</f>
        <v>0</v>
      </c>
      <c r="BN50" s="539" cm="1">
        <f t="array" aca="1" ref="BN50" ca="1">INDIRECT($BM$2&amp;BN$7&amp;$BI50,1)</f>
        <v>0</v>
      </c>
      <c r="BO50" s="539" t="str">
        <f t="shared" ca="1" si="37"/>
        <v>-</v>
      </c>
      <c r="BQ50" s="20"/>
      <c r="BR50" s="469">
        <v>9</v>
      </c>
      <c r="BS50" s="539" t="s">
        <v>8040</v>
      </c>
      <c r="BT50" s="539">
        <f t="shared" si="41"/>
        <v>401</v>
      </c>
      <c r="BU50" s="539" cm="1">
        <f t="array" aca="1" ref="BU50" ca="1">INDIRECT($BM$2&amp;BU$7&amp;$BT50,1)</f>
        <v>0</v>
      </c>
      <c r="BV50" s="539" cm="1">
        <f t="array" aca="1" ref="BV50" ca="1">INDIRECT($BM$2&amp;BV$7&amp;$BT50,1)</f>
        <v>0</v>
      </c>
      <c r="BW50" s="539" cm="1">
        <f t="array" aca="1" ref="BW50" ca="1">INDIRECT($BM$2&amp;BW$7&amp;$BT50,1)</f>
        <v>0</v>
      </c>
      <c r="BX50" s="539" cm="1">
        <f t="array" aca="1" ref="BX50" ca="1">INDIRECT($BM$2&amp;BX$7&amp;$BT50,1)</f>
        <v>0</v>
      </c>
      <c r="BY50" s="539" cm="1">
        <f t="array" aca="1" ref="BY50" ca="1">INDIRECT($BM$2&amp;BY$7&amp;$BT50,1)</f>
        <v>0</v>
      </c>
      <c r="BZ50" s="539" t="str">
        <f t="shared" ca="1" si="38"/>
        <v>-</v>
      </c>
      <c r="CC50" s="469">
        <v>9</v>
      </c>
      <c r="CD50" s="539" t="s">
        <v>8040</v>
      </c>
      <c r="CE50" s="539">
        <f t="shared" si="42"/>
        <v>747</v>
      </c>
      <c r="CF50" s="539" cm="1">
        <f t="array" aca="1" ref="CF50" ca="1">INDIRECT($BM$2&amp;CF$7&amp;$CE50,1)</f>
        <v>0</v>
      </c>
      <c r="CG50" s="539" cm="1">
        <f t="array" aca="1" ref="CG50" ca="1">INDIRECT($BM$2&amp;CG$7&amp;$CE50,1)</f>
        <v>0</v>
      </c>
      <c r="CH50" s="539" cm="1">
        <f t="array" aca="1" ref="CH50" ca="1">INDIRECT($BM$2&amp;CH$7&amp;$CE50,1)</f>
        <v>0</v>
      </c>
      <c r="CI50" s="539" cm="1">
        <f t="array" aca="1" ref="CI50" ca="1">INDIRECT($BM$2&amp;CI$7&amp;$CE50,1)</f>
        <v>0</v>
      </c>
      <c r="CJ50" s="539" cm="1">
        <f t="array" aca="1" ref="CJ50" ca="1">INDIRECT($BM$2&amp;CJ$7&amp;$CE50,1)</f>
        <v>0</v>
      </c>
      <c r="CK50" s="539" t="str">
        <f t="shared" ca="1" si="39"/>
        <v>-</v>
      </c>
      <c r="CU50" s="469" t="s">
        <v>5510</v>
      </c>
      <c r="CV50" s="22" t="s">
        <v>5775</v>
      </c>
      <c r="CW50" s="522">
        <f t="shared" si="31"/>
        <v>42</v>
      </c>
      <c r="CX50" s="22" cm="1">
        <f t="array" aca="1" ref="CX50" ca="1">INDIRECT($DD$2&amp;CX$28&amp;$CW50)</f>
        <v>0</v>
      </c>
      <c r="CY50" s="22" cm="1">
        <f t="array" aca="1" ref="CY50" ca="1">INDIRECT($DD$2&amp;CY$28&amp;$CW50)</f>
        <v>0</v>
      </c>
      <c r="CZ50" s="22" cm="1">
        <f t="array" aca="1" ref="CZ50" ca="1">INDIRECT($DD$2&amp;CZ$28&amp;$CW50)</f>
        <v>0</v>
      </c>
      <c r="DA50" s="22" cm="1">
        <f t="array" aca="1" ref="DA50" ca="1">INDIRECT($DD$2&amp;DA$28&amp;$CW50)</f>
        <v>0</v>
      </c>
      <c r="DB50" s="22" cm="1">
        <f t="array" aca="1" ref="DB50" ca="1">INDIRECT($DD$2&amp;DB$28&amp;$CW50)</f>
        <v>0</v>
      </c>
      <c r="DC50" s="22" cm="1">
        <f t="array" aca="1" ref="DC50" ca="1">INDIRECT($DD$2&amp;DC$28&amp;$CW50)</f>
        <v>0</v>
      </c>
      <c r="DD50" s="22" t="str">
        <f t="shared" ca="1" si="29"/>
        <v/>
      </c>
      <c r="DE50" s="22" t="str">
        <f t="shared" ca="1" si="30"/>
        <v/>
      </c>
      <c r="DG50" s="479" t="s">
        <v>8218</v>
      </c>
      <c r="DH50" s="619" t="str">
        <f>"Significância estatística com relevância biológica"&amp;CHAR(10)</f>
        <v xml:space="preserve">Significância estatística com relevância biológica
</v>
      </c>
      <c r="EQ50" s="469" t="s">
        <v>5510</v>
      </c>
      <c r="ET50" s="20" t="s">
        <v>91</v>
      </c>
      <c r="EU50" s="723">
        <f t="shared" ref="EU50:EU58" ca="1" si="45">IF(FB35&lt;&gt;"-",
IF($ES$24=$ET$31,
IF(ET35="",2,IF(AND(FB35&gt;=ET35,FB35&lt;=EU35),0,1)),
IF(EX35="",2,IF(AND(FB35&gt;=EX35,FB35&lt;=EY35),0,1))),0)</f>
        <v>2</v>
      </c>
      <c r="EV50" s="723">
        <f t="shared" ref="EV50:EV58" ca="1" si="46">IF(FC35&lt;&gt;"-",
IF($ES$24=$ET$31,
IF(EV35="",2,IF(AND(FC35&gt;=EV35,FC35&lt;=EW35),0,1)),
IF(EZ35="",2,IF(AND(FC35&gt;=EZ35,FC35&lt;=FA35),0,1))),0)</f>
        <v>2</v>
      </c>
      <c r="EW50" s="723">
        <f t="shared" ref="EW50:EW58" ca="1" si="47">IF(FD35&lt;&gt;"-",
IF($ES$25=$ET$31,
IF(ET35="",2,IF(AND(FD35&gt;=ET35,FD35&lt;=EU35),0,1)),
IF(EX35="",2,IF(AND(FD35&gt;=EX35,FD35&lt;=EY35),0,1))),0)</f>
        <v>2</v>
      </c>
      <c r="EX50" s="724">
        <f t="shared" ref="EX50:EX58" ca="1" si="48">IF(FE35&lt;&gt;"-",
IF($ES$25=$ET$31,
IF(EV35="",2,IF(AND(FE35&gt;=EV35,FE35&lt;=EW35),0,1)),
IF(EZ35="",2,IF(AND(FE35&gt;=EZ35,FE35&lt;=FA35),0,1))),0)</f>
        <v>2</v>
      </c>
      <c r="EY50" s="723">
        <f t="shared" ref="EY50:EY58" ca="1" si="49">IF(FF35&lt;&gt;"-",
IF($ES$26=$ET$31,
IF(ET35="",2,IF(AND(FF35&gt;=ET35,FF35&lt;=EU35),0,1)),
IF(EX35="",2,IF(AND(FF35&gt;=EX35,FF35&lt;=EY35),0,1))),0)</f>
        <v>2</v>
      </c>
      <c r="EZ50" s="724">
        <f t="shared" ref="EZ50:EZ58" ca="1" si="50">IF(FG35&lt;&gt;"-",
IF($ES$26=$ET$31,
IF(EV35="",2,IF(AND(FG35&gt;=EV35,FG35&lt;=EW35),0,1)),
IF(EZ35="",2,IF(AND(FG35&gt;=EZ35,FG35&lt;=FA35),0,1))),0)</f>
        <v>2</v>
      </c>
      <c r="HN50" s="20"/>
    </row>
    <row r="51" spans="1:222" x14ac:dyDescent="0.25">
      <c r="N51" s="20"/>
      <c r="Y51" s="20"/>
      <c r="AV51" s="469" t="s">
        <v>5510</v>
      </c>
      <c r="AW51" s="1652" t="s">
        <v>5772</v>
      </c>
      <c r="AX51" s="1652"/>
      <c r="BF51" s="469" t="s">
        <v>5510</v>
      </c>
      <c r="BH51" s="539" t="s">
        <v>8040</v>
      </c>
      <c r="BI51" s="539">
        <f t="shared" si="40"/>
        <v>56</v>
      </c>
      <c r="BJ51" s="539" cm="1">
        <f t="array" aca="1" ref="BJ51" ca="1">INDIRECT($BM$2&amp;BJ$7&amp;$BI51,1)</f>
        <v>0</v>
      </c>
      <c r="BK51" s="539" cm="1">
        <f t="array" aca="1" ref="BK51" ca="1">INDIRECT($BM$2&amp;BK$7&amp;$BI51,1)</f>
        <v>0</v>
      </c>
      <c r="BL51" s="539" cm="1">
        <f t="array" aca="1" ref="BL51" ca="1">INDIRECT($BM$2&amp;BL$7&amp;$BI51,1)</f>
        <v>0</v>
      </c>
      <c r="BM51" s="539" cm="1">
        <f t="array" aca="1" ref="BM51" ca="1">INDIRECT($BM$2&amp;BM$7&amp;$BI51,1)</f>
        <v>0</v>
      </c>
      <c r="BN51" s="539" cm="1">
        <f t="array" aca="1" ref="BN51" ca="1">INDIRECT($BM$2&amp;BN$7&amp;$BI51,1)</f>
        <v>0</v>
      </c>
      <c r="BO51" s="539" t="str">
        <f t="shared" ca="1" si="37"/>
        <v>-</v>
      </c>
      <c r="BQ51" s="20"/>
      <c r="BR51" s="469">
        <v>10</v>
      </c>
      <c r="BS51" s="539" t="s">
        <v>8040</v>
      </c>
      <c r="BT51" s="539">
        <f t="shared" si="41"/>
        <v>402</v>
      </c>
      <c r="BU51" s="539" cm="1">
        <f t="array" aca="1" ref="BU51" ca="1">INDIRECT($BM$2&amp;BU$7&amp;$BT51,1)</f>
        <v>0</v>
      </c>
      <c r="BV51" s="539" cm="1">
        <f t="array" aca="1" ref="BV51" ca="1">INDIRECT($BM$2&amp;BV$7&amp;$BT51,1)</f>
        <v>0</v>
      </c>
      <c r="BW51" s="539" cm="1">
        <f t="array" aca="1" ref="BW51" ca="1">INDIRECT($BM$2&amp;BW$7&amp;$BT51,1)</f>
        <v>0</v>
      </c>
      <c r="BX51" s="539" cm="1">
        <f t="array" aca="1" ref="BX51" ca="1">INDIRECT($BM$2&amp;BX$7&amp;$BT51,1)</f>
        <v>0</v>
      </c>
      <c r="BY51" s="539" cm="1">
        <f t="array" aca="1" ref="BY51" ca="1">INDIRECT($BM$2&amp;BY$7&amp;$BT51,1)</f>
        <v>0</v>
      </c>
      <c r="BZ51" s="539" t="str">
        <f t="shared" ca="1" si="38"/>
        <v>-</v>
      </c>
      <c r="CC51" s="469">
        <v>10</v>
      </c>
      <c r="CD51" s="539" t="s">
        <v>8040</v>
      </c>
      <c r="CE51" s="539">
        <f t="shared" si="42"/>
        <v>748</v>
      </c>
      <c r="CF51" s="539" cm="1">
        <f t="array" aca="1" ref="CF51" ca="1">INDIRECT($BM$2&amp;CF$7&amp;$CE51,1)</f>
        <v>0</v>
      </c>
      <c r="CG51" s="539" cm="1">
        <f t="array" aca="1" ref="CG51" ca="1">INDIRECT($BM$2&amp;CG$7&amp;$CE51,1)</f>
        <v>0</v>
      </c>
      <c r="CH51" s="539" cm="1">
        <f t="array" aca="1" ref="CH51" ca="1">INDIRECT($BM$2&amp;CH$7&amp;$CE51,1)</f>
        <v>0</v>
      </c>
      <c r="CI51" s="539" cm="1">
        <f t="array" aca="1" ref="CI51" ca="1">INDIRECT($BM$2&amp;CI$7&amp;$CE51,1)</f>
        <v>0</v>
      </c>
      <c r="CJ51" s="539" cm="1">
        <f t="array" aca="1" ref="CJ51" ca="1">INDIRECT($BM$2&amp;CJ$7&amp;$CE51,1)</f>
        <v>0</v>
      </c>
      <c r="CK51" s="539" t="str">
        <f t="shared" ca="1" si="39"/>
        <v>-</v>
      </c>
      <c r="CU51" s="469" t="s">
        <v>5510</v>
      </c>
      <c r="CV51" s="566">
        <v>1</v>
      </c>
      <c r="CW51" s="558">
        <f t="shared" si="31"/>
        <v>50</v>
      </c>
      <c r="CX51" s="492" cm="1">
        <f t="array" aca="1" ref="CX51" ca="1">INDIRECT($DD$2&amp;CX$28&amp;$CW51)</f>
        <v>0</v>
      </c>
      <c r="CY51" s="492" cm="1">
        <f t="array" aca="1" ref="CY51" ca="1">INDIRECT($DD$2&amp;CY$28&amp;$CW51)</f>
        <v>0</v>
      </c>
      <c r="CZ51" s="492" cm="1">
        <f t="array" aca="1" ref="CZ51" ca="1">INDIRECT($DD$2&amp;CZ$28&amp;$CW51)</f>
        <v>0</v>
      </c>
      <c r="DA51" s="492" cm="1">
        <f t="array" aca="1" ref="DA51" ca="1">INDIRECT($DD$2&amp;DA$28&amp;$CW51)</f>
        <v>0</v>
      </c>
      <c r="DB51" s="492" cm="1">
        <f t="array" aca="1" ref="DB51" ca="1">INDIRECT($DD$2&amp;DB$28&amp;$CW51)</f>
        <v>0</v>
      </c>
      <c r="DC51" s="492" cm="1">
        <f t="array" aca="1" ref="DC51" ca="1">INDIRECT($DD$2&amp;DC$28&amp;$CW51)</f>
        <v>0</v>
      </c>
      <c r="DD51" s="492" t="str">
        <f t="shared" ca="1" si="29"/>
        <v/>
      </c>
      <c r="DE51" s="492" t="str">
        <f t="shared" ca="1" si="30"/>
        <v/>
      </c>
      <c r="DG51" s="479" t="s">
        <v>8218</v>
      </c>
      <c r="DH51" s="619" t="s">
        <v>8639</v>
      </c>
      <c r="EQ51" s="469" t="s">
        <v>5510</v>
      </c>
      <c r="ET51" s="20" t="s">
        <v>92</v>
      </c>
      <c r="EU51" s="723">
        <f t="shared" ca="1" si="45"/>
        <v>2</v>
      </c>
      <c r="EV51" s="723">
        <f t="shared" ca="1" si="46"/>
        <v>2</v>
      </c>
      <c r="EW51" s="723">
        <f t="shared" ca="1" si="47"/>
        <v>2</v>
      </c>
      <c r="EX51" s="724">
        <f t="shared" ca="1" si="48"/>
        <v>2</v>
      </c>
      <c r="EY51" s="723">
        <f t="shared" ca="1" si="49"/>
        <v>2</v>
      </c>
      <c r="EZ51" s="724">
        <f t="shared" ca="1" si="50"/>
        <v>2</v>
      </c>
      <c r="HN51" s="20"/>
    </row>
    <row r="52" spans="1:222" x14ac:dyDescent="0.25">
      <c r="N52" s="20"/>
      <c r="Y52" s="20"/>
      <c r="AV52" s="469" t="s">
        <v>5510</v>
      </c>
      <c r="AW52" s="426" t="s">
        <v>79</v>
      </c>
      <c r="AX52" s="518" t="str">
        <f>IF(COUNTIF(CX12:CY12,0)&lt;&gt;2,"Preenchido","Pendente")</f>
        <v>Preenchido</v>
      </c>
      <c r="BF52" s="469" t="s">
        <v>5510</v>
      </c>
      <c r="BH52" s="539" t="s">
        <v>8040</v>
      </c>
      <c r="BI52" s="539">
        <f t="shared" si="40"/>
        <v>57</v>
      </c>
      <c r="BJ52" s="539" cm="1">
        <f t="array" aca="1" ref="BJ52" ca="1">INDIRECT($BM$2&amp;BJ$7&amp;$BI52,1)</f>
        <v>0</v>
      </c>
      <c r="BK52" s="539" cm="1">
        <f t="array" aca="1" ref="BK52" ca="1">INDIRECT($BM$2&amp;BK$7&amp;$BI52,1)</f>
        <v>0</v>
      </c>
      <c r="BL52" s="539" cm="1">
        <f t="array" aca="1" ref="BL52" ca="1">INDIRECT($BM$2&amp;BL$7&amp;$BI52,1)</f>
        <v>0</v>
      </c>
      <c r="BM52" s="539" cm="1">
        <f t="array" aca="1" ref="BM52" ca="1">INDIRECT($BM$2&amp;BM$7&amp;$BI52,1)</f>
        <v>0</v>
      </c>
      <c r="BN52" s="539" cm="1">
        <f t="array" aca="1" ref="BN52" ca="1">INDIRECT($BM$2&amp;BN$7&amp;$BI52,1)</f>
        <v>0</v>
      </c>
      <c r="BO52" s="539" t="str">
        <f t="shared" ca="1" si="37"/>
        <v>-</v>
      </c>
      <c r="BQ52" s="20"/>
      <c r="BR52" s="469">
        <v>11</v>
      </c>
      <c r="BS52" s="539" t="s">
        <v>8040</v>
      </c>
      <c r="BT52" s="539">
        <f t="shared" si="41"/>
        <v>403</v>
      </c>
      <c r="BU52" s="539" cm="1">
        <f t="array" aca="1" ref="BU52" ca="1">INDIRECT($BM$2&amp;BU$7&amp;$BT52,1)</f>
        <v>0</v>
      </c>
      <c r="BV52" s="539" cm="1">
        <f t="array" aca="1" ref="BV52" ca="1">INDIRECT($BM$2&amp;BV$7&amp;$BT52,1)</f>
        <v>0</v>
      </c>
      <c r="BW52" s="539" cm="1">
        <f t="array" aca="1" ref="BW52" ca="1">INDIRECT($BM$2&amp;BW$7&amp;$BT52,1)</f>
        <v>0</v>
      </c>
      <c r="BX52" s="539" cm="1">
        <f t="array" aca="1" ref="BX52" ca="1">INDIRECT($BM$2&amp;BX$7&amp;$BT52,1)</f>
        <v>0</v>
      </c>
      <c r="BY52" s="539" cm="1">
        <f t="array" aca="1" ref="BY52" ca="1">INDIRECT($BM$2&amp;BY$7&amp;$BT52,1)</f>
        <v>0</v>
      </c>
      <c r="BZ52" s="539" t="str">
        <f t="shared" ca="1" si="38"/>
        <v>-</v>
      </c>
      <c r="CC52" s="469">
        <v>11</v>
      </c>
      <c r="CD52" s="539" t="s">
        <v>8040</v>
      </c>
      <c r="CE52" s="539">
        <f t="shared" si="42"/>
        <v>749</v>
      </c>
      <c r="CF52" s="539" cm="1">
        <f t="array" aca="1" ref="CF52" ca="1">INDIRECT($BM$2&amp;CF$7&amp;$CE52,1)</f>
        <v>0</v>
      </c>
      <c r="CG52" s="539" cm="1">
        <f t="array" aca="1" ref="CG52" ca="1">INDIRECT($BM$2&amp;CG$7&amp;$CE52,1)</f>
        <v>0</v>
      </c>
      <c r="CH52" s="539" cm="1">
        <f t="array" aca="1" ref="CH52" ca="1">INDIRECT($BM$2&amp;CH$7&amp;$CE52,1)</f>
        <v>0</v>
      </c>
      <c r="CI52" s="539" cm="1">
        <f t="array" aca="1" ref="CI52" ca="1">INDIRECT($BM$2&amp;CI$7&amp;$CE52,1)</f>
        <v>0</v>
      </c>
      <c r="CJ52" s="539" cm="1">
        <f t="array" aca="1" ref="CJ52" ca="1">INDIRECT($BM$2&amp;CJ$7&amp;$CE52,1)</f>
        <v>0</v>
      </c>
      <c r="CK52" s="539" t="str">
        <f t="shared" ca="1" si="39"/>
        <v>-</v>
      </c>
      <c r="CU52" s="469" t="s">
        <v>5510</v>
      </c>
      <c r="CV52" s="492">
        <v>1</v>
      </c>
      <c r="CW52" s="558">
        <f t="shared" si="31"/>
        <v>51</v>
      </c>
      <c r="CX52" s="492" cm="1">
        <f t="array" aca="1" ref="CX52" ca="1">INDIRECT($DD$2&amp;CX$28&amp;$CW52)</f>
        <v>0</v>
      </c>
      <c r="CY52" s="492" cm="1">
        <f t="array" aca="1" ref="CY52" ca="1">INDIRECT($DD$2&amp;CY$28&amp;$CW52)</f>
        <v>0</v>
      </c>
      <c r="CZ52" s="492" cm="1">
        <f t="array" aca="1" ref="CZ52" ca="1">INDIRECT($DD$2&amp;CZ$28&amp;$CW52)</f>
        <v>0</v>
      </c>
      <c r="DA52" s="492" cm="1">
        <f t="array" aca="1" ref="DA52" ca="1">INDIRECT($DD$2&amp;DA$28&amp;$CW52)</f>
        <v>0</v>
      </c>
      <c r="DB52" s="492" cm="1">
        <f t="array" aca="1" ref="DB52" ca="1">INDIRECT($DD$2&amp;DB$28&amp;$CW52)</f>
        <v>0</v>
      </c>
      <c r="DC52" s="492" cm="1">
        <f t="array" aca="1" ref="DC52" ca="1">INDIRECT($DD$2&amp;DC$28&amp;$CW52)</f>
        <v>0</v>
      </c>
      <c r="DD52" s="492" t="str">
        <f t="shared" ca="1" si="29"/>
        <v/>
      </c>
      <c r="DE52" s="492" t="str">
        <f t="shared" ca="1" si="30"/>
        <v/>
      </c>
      <c r="EQ52" s="469" t="s">
        <v>5510</v>
      </c>
      <c r="ET52" s="20" t="s">
        <v>93</v>
      </c>
      <c r="EU52" s="723">
        <f t="shared" ca="1" si="45"/>
        <v>2</v>
      </c>
      <c r="EV52" s="723">
        <f t="shared" ca="1" si="46"/>
        <v>2</v>
      </c>
      <c r="EW52" s="723">
        <f t="shared" ca="1" si="47"/>
        <v>2</v>
      </c>
      <c r="EX52" s="724">
        <f t="shared" ca="1" si="48"/>
        <v>2</v>
      </c>
      <c r="EY52" s="723">
        <f t="shared" ca="1" si="49"/>
        <v>2</v>
      </c>
      <c r="EZ52" s="724">
        <f t="shared" ca="1" si="50"/>
        <v>2</v>
      </c>
      <c r="HN52" s="20"/>
    </row>
    <row r="53" spans="1:222" x14ac:dyDescent="0.25">
      <c r="N53" s="20"/>
      <c r="Y53" s="20"/>
      <c r="AV53" s="469" t="s">
        <v>5510</v>
      </c>
      <c r="AW53" s="426" t="s">
        <v>80</v>
      </c>
      <c r="AX53" s="518" t="str">
        <f>IF(COUNTIF(CX22:CY22,0)&lt;&gt;2,"Preenchido","Pendente")</f>
        <v>Preenchido</v>
      </c>
      <c r="BF53" s="469" t="s">
        <v>5510</v>
      </c>
      <c r="BH53" s="539" t="s">
        <v>8040</v>
      </c>
      <c r="BI53" s="539">
        <f t="shared" si="40"/>
        <v>58</v>
      </c>
      <c r="BJ53" s="539" cm="1">
        <f t="array" aca="1" ref="BJ53" ca="1">INDIRECT($BM$2&amp;BJ$7&amp;$BI53,1)</f>
        <v>0</v>
      </c>
      <c r="BK53" s="539" cm="1">
        <f t="array" aca="1" ref="BK53" ca="1">INDIRECT($BM$2&amp;BK$7&amp;$BI53,1)</f>
        <v>0</v>
      </c>
      <c r="BL53" s="539" cm="1">
        <f t="array" aca="1" ref="BL53" ca="1">INDIRECT($BM$2&amp;BL$7&amp;$BI53,1)</f>
        <v>0</v>
      </c>
      <c r="BM53" s="539" cm="1">
        <f t="array" aca="1" ref="BM53" ca="1">INDIRECT($BM$2&amp;BM$7&amp;$BI53,1)</f>
        <v>0</v>
      </c>
      <c r="BN53" s="539" t="str" cm="1">
        <f t="array" aca="1" ref="BN53" ca="1">INDIRECT($BM$2&amp;BN$7&amp;$BI53,1)</f>
        <v>-</v>
      </c>
      <c r="BO53" s="539" t="str">
        <f t="shared" ca="1" si="37"/>
        <v>-</v>
      </c>
      <c r="BQ53" s="20"/>
      <c r="BR53" s="469">
        <v>12</v>
      </c>
      <c r="BS53" s="539" t="s">
        <v>8040</v>
      </c>
      <c r="BT53" s="539">
        <f t="shared" si="41"/>
        <v>404</v>
      </c>
      <c r="BU53" s="539" cm="1">
        <f t="array" aca="1" ref="BU53" ca="1">INDIRECT($BM$2&amp;BU$7&amp;$BT53,1)</f>
        <v>0</v>
      </c>
      <c r="BV53" s="539" cm="1">
        <f t="array" aca="1" ref="BV53" ca="1">INDIRECT($BM$2&amp;BV$7&amp;$BT53,1)</f>
        <v>0</v>
      </c>
      <c r="BW53" s="539" cm="1">
        <f t="array" aca="1" ref="BW53" ca="1">INDIRECT($BM$2&amp;BW$7&amp;$BT53,1)</f>
        <v>0</v>
      </c>
      <c r="BX53" s="539" cm="1">
        <f t="array" aca="1" ref="BX53" ca="1">INDIRECT($BM$2&amp;BX$7&amp;$BT53,1)</f>
        <v>0</v>
      </c>
      <c r="BY53" s="539" t="str" cm="1">
        <f t="array" aca="1" ref="BY53" ca="1">INDIRECT($BM$2&amp;BY$7&amp;$BT53,1)</f>
        <v>-</v>
      </c>
      <c r="BZ53" s="539" t="str">
        <f t="shared" ca="1" si="38"/>
        <v>-</v>
      </c>
      <c r="CC53" s="469">
        <v>12</v>
      </c>
      <c r="CD53" s="539" t="s">
        <v>8040</v>
      </c>
      <c r="CE53" s="539">
        <f t="shared" si="42"/>
        <v>750</v>
      </c>
      <c r="CF53" s="539" cm="1">
        <f t="array" aca="1" ref="CF53" ca="1">INDIRECT($BM$2&amp;CF$7&amp;$CE53,1)</f>
        <v>0</v>
      </c>
      <c r="CG53" s="539" cm="1">
        <f t="array" aca="1" ref="CG53" ca="1">INDIRECT($BM$2&amp;CG$7&amp;$CE53,1)</f>
        <v>0</v>
      </c>
      <c r="CH53" s="539" cm="1">
        <f t="array" aca="1" ref="CH53" ca="1">INDIRECT($BM$2&amp;CH$7&amp;$CE53,1)</f>
        <v>0</v>
      </c>
      <c r="CI53" s="539" cm="1">
        <f t="array" aca="1" ref="CI53" ca="1">INDIRECT($BM$2&amp;CI$7&amp;$CE53,1)</f>
        <v>0</v>
      </c>
      <c r="CJ53" s="539" t="str" cm="1">
        <f t="array" aca="1" ref="CJ53" ca="1">INDIRECT($BM$2&amp;CJ$7&amp;$CE53,1)</f>
        <v>-</v>
      </c>
      <c r="CK53" s="539" t="str">
        <f t="shared" ca="1" si="39"/>
        <v>-</v>
      </c>
      <c r="CU53" s="469" t="s">
        <v>5510</v>
      </c>
      <c r="CV53" s="492">
        <v>1</v>
      </c>
      <c r="CW53" s="558">
        <f t="shared" si="31"/>
        <v>52</v>
      </c>
      <c r="CX53" s="492" cm="1">
        <f t="array" aca="1" ref="CX53" ca="1">INDIRECT($DD$2&amp;CX$28&amp;$CW53)</f>
        <v>0</v>
      </c>
      <c r="CY53" s="492" cm="1">
        <f t="array" aca="1" ref="CY53" ca="1">INDIRECT($DD$2&amp;CY$28&amp;$CW53)</f>
        <v>0</v>
      </c>
      <c r="CZ53" s="492" cm="1">
        <f t="array" aca="1" ref="CZ53" ca="1">INDIRECT($DD$2&amp;CZ$28&amp;$CW53)</f>
        <v>0</v>
      </c>
      <c r="DA53" s="492" cm="1">
        <f t="array" aca="1" ref="DA53" ca="1">INDIRECT($DD$2&amp;DA$28&amp;$CW53)</f>
        <v>0</v>
      </c>
      <c r="DB53" s="492" cm="1">
        <f t="array" aca="1" ref="DB53" ca="1">INDIRECT($DD$2&amp;DB$28&amp;$CW53)</f>
        <v>0</v>
      </c>
      <c r="DC53" s="492" cm="1">
        <f t="array" aca="1" ref="DC53" ca="1">INDIRECT($DD$2&amp;DC$28&amp;$CW53)</f>
        <v>0</v>
      </c>
      <c r="DD53" s="492" t="str">
        <f t="shared" ca="1" si="29"/>
        <v/>
      </c>
      <c r="DE53" s="492" t="str">
        <f t="shared" ca="1" si="30"/>
        <v/>
      </c>
      <c r="EQ53" s="469" t="s">
        <v>5510</v>
      </c>
      <c r="ET53" s="20" t="s">
        <v>94</v>
      </c>
      <c r="EU53" s="723">
        <f t="shared" ca="1" si="45"/>
        <v>2</v>
      </c>
      <c r="EV53" s="723">
        <f t="shared" ca="1" si="46"/>
        <v>2</v>
      </c>
      <c r="EW53" s="723">
        <f t="shared" ca="1" si="47"/>
        <v>2</v>
      </c>
      <c r="EX53" s="724">
        <f t="shared" ca="1" si="48"/>
        <v>2</v>
      </c>
      <c r="EY53" s="723">
        <f t="shared" ca="1" si="49"/>
        <v>2</v>
      </c>
      <c r="EZ53" s="724">
        <f t="shared" ca="1" si="50"/>
        <v>2</v>
      </c>
      <c r="HN53" s="20"/>
    </row>
    <row r="54" spans="1:222" x14ac:dyDescent="0.25">
      <c r="C54" s="626" t="s">
        <v>5581</v>
      </c>
      <c r="D54" s="626" t="s">
        <v>5581</v>
      </c>
      <c r="N54" s="20"/>
      <c r="Y54" s="20"/>
      <c r="AV54" s="469" t="s">
        <v>5510</v>
      </c>
      <c r="AW54" s="426" t="s">
        <v>162</v>
      </c>
      <c r="AX54" s="518" t="str">
        <f ca="1">IF(COUNTIF(CX32:CY32,0)&lt;&gt;2,"Preenchido","Pendente")</f>
        <v>Pendente</v>
      </c>
      <c r="BF54" s="469" t="s">
        <v>5510</v>
      </c>
      <c r="BL54" s="372"/>
      <c r="BO54" s="472"/>
      <c r="BQ54" s="20"/>
      <c r="BT54" s="372"/>
      <c r="BU54" s="472"/>
      <c r="BV54" s="472"/>
      <c r="BW54" s="372"/>
      <c r="BX54" s="472"/>
      <c r="BY54" s="372"/>
      <c r="BZ54" s="472"/>
      <c r="CE54" s="372"/>
      <c r="CF54" s="472"/>
      <c r="CG54" s="472"/>
      <c r="CH54" s="372"/>
      <c r="CI54" s="472"/>
      <c r="CJ54" s="372"/>
      <c r="CK54" s="472"/>
      <c r="CU54" s="469" t="s">
        <v>5510</v>
      </c>
      <c r="CV54" s="492">
        <v>1</v>
      </c>
      <c r="CW54" s="558">
        <f t="shared" si="31"/>
        <v>53</v>
      </c>
      <c r="CX54" s="492" cm="1">
        <f t="array" aca="1" ref="CX54" ca="1">INDIRECT($DD$2&amp;CX$28&amp;$CW54)</f>
        <v>0</v>
      </c>
      <c r="CY54" s="492" cm="1">
        <f t="array" aca="1" ref="CY54" ca="1">INDIRECT($DD$2&amp;CY$28&amp;$CW54)</f>
        <v>0</v>
      </c>
      <c r="CZ54" s="492" cm="1">
        <f t="array" aca="1" ref="CZ54" ca="1">INDIRECT($DD$2&amp;CZ$28&amp;$CW54)</f>
        <v>0</v>
      </c>
      <c r="DA54" s="492" cm="1">
        <f t="array" aca="1" ref="DA54" ca="1">INDIRECT($DD$2&amp;DA$28&amp;$CW54)</f>
        <v>0</v>
      </c>
      <c r="DB54" s="492" cm="1">
        <f t="array" aca="1" ref="DB54" ca="1">INDIRECT($DD$2&amp;DB$28&amp;$CW54)</f>
        <v>0</v>
      </c>
      <c r="DC54" s="492" cm="1">
        <f t="array" aca="1" ref="DC54" ca="1">INDIRECT($DD$2&amp;DC$28&amp;$CW54)</f>
        <v>0</v>
      </c>
      <c r="DD54" s="492" t="str">
        <f t="shared" ca="1" si="29"/>
        <v/>
      </c>
      <c r="DE54" s="492" t="str">
        <f t="shared" ca="1" si="30"/>
        <v/>
      </c>
      <c r="EQ54" s="469" t="s">
        <v>5510</v>
      </c>
      <c r="ET54" s="20" t="s">
        <v>95</v>
      </c>
      <c r="EU54" s="723">
        <f t="shared" ca="1" si="45"/>
        <v>2</v>
      </c>
      <c r="EV54" s="723">
        <f t="shared" ca="1" si="46"/>
        <v>2</v>
      </c>
      <c r="EW54" s="723">
        <f t="shared" ca="1" si="47"/>
        <v>2</v>
      </c>
      <c r="EX54" s="724">
        <f t="shared" ca="1" si="48"/>
        <v>2</v>
      </c>
      <c r="EY54" s="723">
        <f t="shared" ca="1" si="49"/>
        <v>2</v>
      </c>
      <c r="EZ54" s="724">
        <f t="shared" ca="1" si="50"/>
        <v>2</v>
      </c>
      <c r="HN54" s="20"/>
    </row>
    <row r="55" spans="1:222" x14ac:dyDescent="0.25">
      <c r="A55" s="477" t="s">
        <v>78</v>
      </c>
      <c r="B55" s="630" t="s">
        <v>7049</v>
      </c>
      <c r="C55" s="552" t="s">
        <v>10</v>
      </c>
      <c r="D55" s="552" t="s">
        <v>10</v>
      </c>
      <c r="N55" s="20"/>
      <c r="Y55" s="20"/>
      <c r="AV55" s="469" t="s">
        <v>5510</v>
      </c>
      <c r="AW55" s="426" t="s">
        <v>163</v>
      </c>
      <c r="AX55" s="518" t="str">
        <f ca="1">IF(COUNTIF(CX42:CY42,0)&lt;&gt;2,"Preenchido","-")</f>
        <v>-</v>
      </c>
      <c r="BF55" s="469" t="s">
        <v>5510</v>
      </c>
      <c r="BL55" s="372"/>
      <c r="BO55" s="472"/>
      <c r="BQ55" s="20"/>
      <c r="BT55" s="372"/>
      <c r="BU55" s="472"/>
      <c r="BV55" s="472"/>
      <c r="BW55" s="372"/>
      <c r="BX55" s="472"/>
      <c r="BY55" s="372"/>
      <c r="BZ55" s="472"/>
      <c r="CE55" s="372"/>
      <c r="CF55" s="472"/>
      <c r="CG55" s="472"/>
      <c r="CH55" s="372"/>
      <c r="CI55" s="472"/>
      <c r="CJ55" s="372"/>
      <c r="CK55" s="472"/>
      <c r="CU55" s="469" t="s">
        <v>5510</v>
      </c>
      <c r="CV55" s="492">
        <v>1</v>
      </c>
      <c r="CW55" s="558">
        <f t="shared" si="31"/>
        <v>54</v>
      </c>
      <c r="CX55" s="492" cm="1">
        <f t="array" aca="1" ref="CX55" ca="1">INDIRECT($DD$2&amp;CX$28&amp;$CW55)</f>
        <v>0</v>
      </c>
      <c r="CY55" s="492" cm="1">
        <f t="array" aca="1" ref="CY55" ca="1">INDIRECT($DD$2&amp;CY$28&amp;$CW55)</f>
        <v>0</v>
      </c>
      <c r="CZ55" s="492" cm="1">
        <f t="array" aca="1" ref="CZ55" ca="1">INDIRECT($DD$2&amp;CZ$28&amp;$CW55)</f>
        <v>0</v>
      </c>
      <c r="DA55" s="492" cm="1">
        <f t="array" aca="1" ref="DA55" ca="1">INDIRECT($DD$2&amp;DA$28&amp;$CW55)</f>
        <v>0</v>
      </c>
      <c r="DB55" s="492" cm="1">
        <f t="array" aca="1" ref="DB55" ca="1">INDIRECT($DD$2&amp;DB$28&amp;$CW55)</f>
        <v>0</v>
      </c>
      <c r="DC55" s="492" cm="1">
        <f t="array" aca="1" ref="DC55" ca="1">INDIRECT($DD$2&amp;DC$28&amp;$CW55)</f>
        <v>0</v>
      </c>
      <c r="DD55" s="492" t="str">
        <f t="shared" ca="1" si="29"/>
        <v/>
      </c>
      <c r="DE55" s="492" t="str">
        <f t="shared" ca="1" si="30"/>
        <v/>
      </c>
      <c r="DG55" s="631" t="s">
        <v>8232</v>
      </c>
      <c r="DH55" s="480" t="s">
        <v>7646</v>
      </c>
      <c r="DI55" s="426" t="str" cm="1">
        <f t="array" aca="1" ref="DI55" ca="1">IF(INDIRECT($CW$2&amp;$DH55)="sim",DH49,"")</f>
        <v/>
      </c>
      <c r="EQ55" s="469" t="s">
        <v>5510</v>
      </c>
      <c r="ET55" s="20" t="s">
        <v>96</v>
      </c>
      <c r="EU55" s="723">
        <f t="shared" ca="1" si="45"/>
        <v>2</v>
      </c>
      <c r="EV55" s="723">
        <f t="shared" ca="1" si="46"/>
        <v>2</v>
      </c>
      <c r="EW55" s="723">
        <f t="shared" ca="1" si="47"/>
        <v>2</v>
      </c>
      <c r="EX55" s="724">
        <f t="shared" ca="1" si="48"/>
        <v>2</v>
      </c>
      <c r="EY55" s="723">
        <f t="shared" ca="1" si="49"/>
        <v>2</v>
      </c>
      <c r="EZ55" s="724">
        <f t="shared" ca="1" si="50"/>
        <v>2</v>
      </c>
      <c r="HN55" s="20"/>
    </row>
    <row r="56" spans="1:222" x14ac:dyDescent="0.25">
      <c r="A56" s="426">
        <v>1</v>
      </c>
      <c r="B56" s="632" t="s">
        <v>7050</v>
      </c>
      <c r="C56" s="525" cm="1">
        <f t="array" aca="1" ref="C56" ca="1">INDIRECT(C$54&amp;$B56,1)</f>
        <v>0</v>
      </c>
      <c r="D56" s="525" cm="1">
        <f t="array" aca="1" ref="D56" ca="1">INDIRECT(D$54&amp;$B56,1)</f>
        <v>0</v>
      </c>
      <c r="N56" s="20"/>
      <c r="Y56" s="20"/>
      <c r="AV56" s="469" t="s">
        <v>5510</v>
      </c>
      <c r="AW56" s="426" t="s">
        <v>164</v>
      </c>
      <c r="AX56" s="518" t="str">
        <f ca="1">IF(COUNTIF(CX52:CY52,0)&lt;&gt;2,"Preenchido","-")</f>
        <v>-</v>
      </c>
      <c r="BF56" s="469" t="s">
        <v>5510</v>
      </c>
      <c r="BQ56" s="20"/>
      <c r="BT56" s="372"/>
      <c r="BU56" s="472"/>
      <c r="BV56" s="472"/>
      <c r="BW56" s="472"/>
      <c r="BX56" s="472"/>
      <c r="BY56" s="372"/>
      <c r="BZ56" s="372"/>
      <c r="CE56" s="372"/>
      <c r="CF56" s="472"/>
      <c r="CG56" s="472"/>
      <c r="CH56" s="472"/>
      <c r="CI56" s="472"/>
      <c r="CJ56" s="372"/>
      <c r="CK56" s="372"/>
      <c r="CU56" s="469" t="s">
        <v>5510</v>
      </c>
      <c r="CV56" s="492">
        <v>1</v>
      </c>
      <c r="CW56" s="558">
        <f t="shared" si="31"/>
        <v>55</v>
      </c>
      <c r="CX56" s="492" cm="1">
        <f t="array" aca="1" ref="CX56" ca="1">INDIRECT($DD$2&amp;CX$28&amp;$CW56)</f>
        <v>0</v>
      </c>
      <c r="CY56" s="492" cm="1">
        <f t="array" aca="1" ref="CY56" ca="1">INDIRECT($DD$2&amp;CY$28&amp;$CW56)</f>
        <v>0</v>
      </c>
      <c r="CZ56" s="492" cm="1">
        <f t="array" aca="1" ref="CZ56" ca="1">INDIRECT($DD$2&amp;CZ$28&amp;$CW56)</f>
        <v>0</v>
      </c>
      <c r="DA56" s="492" cm="1">
        <f t="array" aca="1" ref="DA56" ca="1">INDIRECT($DD$2&amp;DA$28&amp;$CW56)</f>
        <v>0</v>
      </c>
      <c r="DB56" s="492" cm="1">
        <f t="array" aca="1" ref="DB56" ca="1">INDIRECT($DD$2&amp;DB$28&amp;$CW56)</f>
        <v>0</v>
      </c>
      <c r="DC56" s="492" cm="1">
        <f t="array" aca="1" ref="DC56" ca="1">INDIRECT($DD$2&amp;DC$28&amp;$CW56)</f>
        <v>0</v>
      </c>
      <c r="DD56" s="492" t="str">
        <f t="shared" ca="1" si="29"/>
        <v/>
      </c>
      <c r="DE56" s="492" t="str">
        <f t="shared" ca="1" si="30"/>
        <v/>
      </c>
      <c r="DG56" s="633" t="s">
        <v>5812</v>
      </c>
      <c r="DH56" s="480" t="s">
        <v>8233</v>
      </c>
      <c r="DI56" s="426" t="str" cm="1">
        <f t="array" aca="1" ref="DI56" ca="1">IF(INDIRECT($CW$2&amp;$DH56)="sim",DH50,"")</f>
        <v/>
      </c>
      <c r="EQ56" s="469" t="s">
        <v>5510</v>
      </c>
      <c r="ES56" s="472"/>
      <c r="ET56" s="20" t="s">
        <v>97</v>
      </c>
      <c r="EU56" s="723">
        <f t="shared" ca="1" si="45"/>
        <v>2</v>
      </c>
      <c r="EV56" s="723">
        <f t="shared" ca="1" si="46"/>
        <v>2</v>
      </c>
      <c r="EW56" s="723">
        <f t="shared" ca="1" si="47"/>
        <v>2</v>
      </c>
      <c r="EX56" s="724">
        <f t="shared" ca="1" si="48"/>
        <v>2</v>
      </c>
      <c r="EY56" s="723">
        <f t="shared" ca="1" si="49"/>
        <v>2</v>
      </c>
      <c r="EZ56" s="724">
        <f t="shared" ca="1" si="50"/>
        <v>2</v>
      </c>
      <c r="HN56" s="20"/>
    </row>
    <row r="57" spans="1:222" x14ac:dyDescent="0.25">
      <c r="A57" s="426">
        <v>2</v>
      </c>
      <c r="B57" s="632" t="s">
        <v>7051</v>
      </c>
      <c r="C57" s="525" cm="1">
        <f t="array" aca="1" ref="C57" ca="1">INDIRECT(C$54&amp;$B57,1)</f>
        <v>0</v>
      </c>
      <c r="D57" s="525" cm="1">
        <f t="array" aca="1" ref="D57" ca="1">INDIRECT(D$54&amp;$B57,1)</f>
        <v>0</v>
      </c>
      <c r="N57" s="20"/>
      <c r="Y57" s="20"/>
      <c r="AV57" s="469" t="s">
        <v>5510</v>
      </c>
      <c r="AW57" s="426" t="s">
        <v>165</v>
      </c>
      <c r="AX57" s="518" t="str">
        <f ca="1">IF(COUNTIF(CX62:CY62,0)&lt;&gt;2,"Preenchido","-")</f>
        <v>-</v>
      </c>
      <c r="BF57" s="469" t="s">
        <v>5510</v>
      </c>
      <c r="BQ57" s="20"/>
      <c r="BT57" s="372"/>
      <c r="BU57" s="472"/>
      <c r="BV57" s="472"/>
      <c r="BW57" s="472"/>
      <c r="BX57" s="472"/>
      <c r="BY57" s="372"/>
      <c r="BZ57" s="372"/>
      <c r="CE57" s="372"/>
      <c r="CF57" s="472"/>
      <c r="CG57" s="472"/>
      <c r="CH57" s="472"/>
      <c r="CI57" s="472"/>
      <c r="CJ57" s="372"/>
      <c r="CK57" s="372"/>
      <c r="CU57" s="469" t="s">
        <v>5510</v>
      </c>
      <c r="CV57" s="492">
        <v>1</v>
      </c>
      <c r="CW57" s="558">
        <f t="shared" si="31"/>
        <v>56</v>
      </c>
      <c r="CX57" s="492" cm="1">
        <f t="array" aca="1" ref="CX57" ca="1">INDIRECT($DD$2&amp;CX$28&amp;$CW57)</f>
        <v>0</v>
      </c>
      <c r="CY57" s="492" cm="1">
        <f t="array" aca="1" ref="CY57" ca="1">INDIRECT($DD$2&amp;CY$28&amp;$CW57)</f>
        <v>0</v>
      </c>
      <c r="CZ57" s="492" cm="1">
        <f t="array" aca="1" ref="CZ57" ca="1">INDIRECT($DD$2&amp;CZ$28&amp;$CW57)</f>
        <v>0</v>
      </c>
      <c r="DA57" s="492" cm="1">
        <f t="array" aca="1" ref="DA57" ca="1">INDIRECT($DD$2&amp;DA$28&amp;$CW57)</f>
        <v>0</v>
      </c>
      <c r="DB57" s="492" cm="1">
        <f t="array" aca="1" ref="DB57" ca="1">INDIRECT($DD$2&amp;DB$28&amp;$CW57)</f>
        <v>0</v>
      </c>
      <c r="DC57" s="492" cm="1">
        <f t="array" aca="1" ref="DC57" ca="1">INDIRECT($DD$2&amp;DC$28&amp;$CW57)</f>
        <v>0</v>
      </c>
      <c r="DD57" s="492" t="str">
        <f t="shared" ca="1" si="29"/>
        <v/>
      </c>
      <c r="DE57" s="492" t="str">
        <f t="shared" ca="1" si="30"/>
        <v/>
      </c>
      <c r="DG57" s="633" t="s">
        <v>8234</v>
      </c>
      <c r="DH57" s="480" t="s">
        <v>10</v>
      </c>
      <c r="DI57" s="426" t="str">
        <f ca="1">IF(COUNTIF(DM19:DN24,1),DH51,"")</f>
        <v/>
      </c>
      <c r="EQ57" s="469" t="s">
        <v>5510</v>
      </c>
      <c r="ES57" s="472"/>
      <c r="ET57" s="20" t="s">
        <v>98</v>
      </c>
      <c r="EU57" s="723">
        <f t="shared" ca="1" si="45"/>
        <v>2</v>
      </c>
      <c r="EV57" s="723">
        <f t="shared" ca="1" si="46"/>
        <v>2</v>
      </c>
      <c r="EW57" s="723">
        <f t="shared" ca="1" si="47"/>
        <v>2</v>
      </c>
      <c r="EX57" s="724">
        <f t="shared" ca="1" si="48"/>
        <v>2</v>
      </c>
      <c r="EY57" s="723">
        <f t="shared" ca="1" si="49"/>
        <v>2</v>
      </c>
      <c r="EZ57" s="724">
        <f t="shared" ca="1" si="50"/>
        <v>2</v>
      </c>
      <c r="HN57" s="20"/>
    </row>
    <row r="58" spans="1:222" x14ac:dyDescent="0.25">
      <c r="A58" s="426">
        <v>3</v>
      </c>
      <c r="B58" s="632" t="s">
        <v>7052</v>
      </c>
      <c r="C58" s="525" cm="1">
        <f t="array" aca="1" ref="C58" ca="1">INDIRECT(C$54&amp;$B58,1)</f>
        <v>0</v>
      </c>
      <c r="D58" s="525" cm="1">
        <f t="array" aca="1" ref="D58" ca="1">INDIRECT(D$54&amp;$B58,1)</f>
        <v>0</v>
      </c>
      <c r="N58" s="20"/>
      <c r="Y58" s="20"/>
      <c r="AV58" s="469" t="s">
        <v>5510</v>
      </c>
      <c r="AW58" s="426" t="s">
        <v>166</v>
      </c>
      <c r="AX58" s="518" t="str">
        <f ca="1">IF(COUNTIF(CX72:CY72,0)&lt;&gt;2,"Preenchido","-")</f>
        <v>-</v>
      </c>
      <c r="BF58" s="469" t="s">
        <v>5510</v>
      </c>
      <c r="BH58" s="539" t="s">
        <v>8039</v>
      </c>
      <c r="BI58" s="539">
        <f>BI53+$BO$5</f>
        <v>64</v>
      </c>
      <c r="BJ58" s="539" cm="1">
        <f t="array" aca="1" ref="BJ58" ca="1">INDIRECT($BM$2&amp;BJ$7&amp;$BI58,1)</f>
        <v>0</v>
      </c>
      <c r="BK58" s="539" cm="1">
        <f t="array" aca="1" ref="BK58" ca="1">INDIRECT($BM$2&amp;BK$7&amp;$BI58,1)</f>
        <v>0</v>
      </c>
      <c r="BL58" s="539" cm="1">
        <f t="array" aca="1" ref="BL58" ca="1">INDIRECT($BM$2&amp;BL$7&amp;$BI58,1)</f>
        <v>0</v>
      </c>
      <c r="BM58" s="539" cm="1">
        <f t="array" aca="1" ref="BM58" ca="1">INDIRECT($BM$2&amp;BM$7&amp;$BI58,1)</f>
        <v>0</v>
      </c>
      <c r="BN58" s="539" cm="1">
        <f t="array" aca="1" ref="BN58" ca="1">INDIRECT($BM$2&amp;BN$7&amp;$BI58,1)</f>
        <v>0</v>
      </c>
      <c r="BO58" s="539" t="str">
        <f ca="1">IFERROR(BK58/BK$58,"-")</f>
        <v>-</v>
      </c>
      <c r="BQ58" s="20"/>
      <c r="BR58" s="469">
        <v>1</v>
      </c>
      <c r="BS58" s="539" t="s">
        <v>8039</v>
      </c>
      <c r="BT58" s="539">
        <f>BT53+$BO$5</f>
        <v>410</v>
      </c>
      <c r="BU58" s="539" cm="1">
        <f t="array" aca="1" ref="BU58" ca="1">INDIRECT($BM$2&amp;BU$7&amp;$BT58,1)</f>
        <v>0</v>
      </c>
      <c r="BV58" s="539" cm="1">
        <f t="array" aca="1" ref="BV58" ca="1">INDIRECT($BM$2&amp;BV$7&amp;$BT58,1)</f>
        <v>0</v>
      </c>
      <c r="BW58" s="539" cm="1">
        <f t="array" aca="1" ref="BW58" ca="1">INDIRECT($BM$2&amp;BW$7&amp;$BT58,1)</f>
        <v>0</v>
      </c>
      <c r="BX58" s="539" cm="1">
        <f t="array" aca="1" ref="BX58" ca="1">INDIRECT($BM$2&amp;BX$7&amp;$BT58,1)</f>
        <v>0</v>
      </c>
      <c r="BY58" s="539" cm="1">
        <f t="array" aca="1" ref="BY58" ca="1">INDIRECT($BM$2&amp;BY$7&amp;$BT58,1)</f>
        <v>0</v>
      </c>
      <c r="BZ58" s="539" t="str">
        <f ca="1">IFERROR(BV58/BV$58,"-")</f>
        <v>-</v>
      </c>
      <c r="CC58" s="469">
        <v>1</v>
      </c>
      <c r="CD58" s="539" t="s">
        <v>8039</v>
      </c>
      <c r="CE58" s="539">
        <f>CE53+$BO$5</f>
        <v>756</v>
      </c>
      <c r="CF58" s="539" cm="1">
        <f t="array" aca="1" ref="CF58" ca="1">INDIRECT($BM$2&amp;CF$7&amp;$CE58,1)</f>
        <v>0</v>
      </c>
      <c r="CG58" s="539" cm="1">
        <f t="array" aca="1" ref="CG58" ca="1">INDIRECT($BM$2&amp;CG$7&amp;$CE58,1)</f>
        <v>0</v>
      </c>
      <c r="CH58" s="539" cm="1">
        <f t="array" aca="1" ref="CH58" ca="1">INDIRECT($BM$2&amp;CH$7&amp;$CE58,1)</f>
        <v>0</v>
      </c>
      <c r="CI58" s="539" cm="1">
        <f t="array" aca="1" ref="CI58" ca="1">INDIRECT($BM$2&amp;CI$7&amp;$CE58,1)</f>
        <v>0</v>
      </c>
      <c r="CJ58" s="539" cm="1">
        <f t="array" aca="1" ref="CJ58" ca="1">INDIRECT($BM$2&amp;CJ$7&amp;$CE58,1)</f>
        <v>0</v>
      </c>
      <c r="CK58" s="539" t="str">
        <f ca="1">IFERROR(CG58/CG$58,"-")</f>
        <v>-</v>
      </c>
      <c r="CU58" s="469" t="s">
        <v>5510</v>
      </c>
      <c r="CV58" s="492">
        <v>1</v>
      </c>
      <c r="CW58" s="558">
        <f t="shared" si="31"/>
        <v>57</v>
      </c>
      <c r="CX58" s="492" cm="1">
        <f t="array" aca="1" ref="CX58" ca="1">INDIRECT($DD$2&amp;CX$28&amp;$CW58)</f>
        <v>0</v>
      </c>
      <c r="CY58" s="492" cm="1">
        <f t="array" aca="1" ref="CY58" ca="1">INDIRECT($DD$2&amp;CY$28&amp;$CW58)</f>
        <v>0</v>
      </c>
      <c r="CZ58" s="492" cm="1">
        <f t="array" aca="1" ref="CZ58" ca="1">INDIRECT($DD$2&amp;CZ$28&amp;$CW58)</f>
        <v>0</v>
      </c>
      <c r="DA58" s="492" cm="1">
        <f t="array" aca="1" ref="DA58" ca="1">INDIRECT($DD$2&amp;DA$28&amp;$CW58)</f>
        <v>0</v>
      </c>
      <c r="DB58" s="492" cm="1">
        <f t="array" aca="1" ref="DB58" ca="1">INDIRECT($DD$2&amp;DB$28&amp;$CW58)</f>
        <v>0</v>
      </c>
      <c r="DC58" s="492" cm="1">
        <f t="array" aca="1" ref="DC58" ca="1">INDIRECT($DD$2&amp;DC$28&amp;$CW58)</f>
        <v>0</v>
      </c>
      <c r="DD58" s="492" t="str">
        <f t="shared" ca="1" si="29"/>
        <v/>
      </c>
      <c r="DE58" s="492" t="str">
        <f t="shared" ca="1" si="30"/>
        <v/>
      </c>
      <c r="EQ58" s="469" t="s">
        <v>5510</v>
      </c>
      <c r="ES58" s="472"/>
      <c r="ET58" s="20" t="s">
        <v>99</v>
      </c>
      <c r="EU58" s="723">
        <f t="shared" ca="1" si="45"/>
        <v>2</v>
      </c>
      <c r="EV58" s="723">
        <f t="shared" ca="1" si="46"/>
        <v>2</v>
      </c>
      <c r="EW58" s="723">
        <f t="shared" ca="1" si="47"/>
        <v>2</v>
      </c>
      <c r="EX58" s="724">
        <f t="shared" ca="1" si="48"/>
        <v>2</v>
      </c>
      <c r="EY58" s="723">
        <f t="shared" ca="1" si="49"/>
        <v>2</v>
      </c>
      <c r="EZ58" s="724">
        <f t="shared" ca="1" si="50"/>
        <v>2</v>
      </c>
      <c r="FA58" s="472"/>
      <c r="FB58" s="372"/>
      <c r="FC58" s="372"/>
      <c r="HN58" s="20"/>
    </row>
    <row r="59" spans="1:222" x14ac:dyDescent="0.25">
      <c r="A59" s="426">
        <v>4</v>
      </c>
      <c r="B59" s="632" t="s">
        <v>7037</v>
      </c>
      <c r="C59" s="525" cm="1">
        <f t="array" aca="1" ref="C59" ca="1">INDIRECT(C$54&amp;$B59,1)</f>
        <v>0</v>
      </c>
      <c r="D59" s="525" cm="1">
        <f t="array" aca="1" ref="D59" ca="1">INDIRECT(D$54&amp;$B59,1)</f>
        <v>0</v>
      </c>
      <c r="N59" s="20"/>
      <c r="Y59" s="20"/>
      <c r="AV59" s="469" t="s">
        <v>5510</v>
      </c>
      <c r="AW59" s="426" t="s">
        <v>167</v>
      </c>
      <c r="AX59" s="518" t="str">
        <f ca="1">IF(COUNTIF(CX82:CY82,0)&lt;&gt;2,"Preenchido","-")</f>
        <v>-</v>
      </c>
      <c r="BF59" s="469" t="s">
        <v>5510</v>
      </c>
      <c r="BH59" s="539" t="s">
        <v>8039</v>
      </c>
      <c r="BI59" s="539">
        <f>BI58+1</f>
        <v>65</v>
      </c>
      <c r="BJ59" s="539" cm="1">
        <f t="array" aca="1" ref="BJ59" ca="1">INDIRECT($BM$2&amp;BJ$7&amp;$BI59,1)</f>
        <v>0</v>
      </c>
      <c r="BK59" s="539" cm="1">
        <f t="array" aca="1" ref="BK59" ca="1">INDIRECT($BM$2&amp;BK$7&amp;$BI59,1)</f>
        <v>0</v>
      </c>
      <c r="BL59" s="539" cm="1">
        <f t="array" aca="1" ref="BL59" ca="1">INDIRECT($BM$2&amp;BL$7&amp;$BI59,1)</f>
        <v>0</v>
      </c>
      <c r="BM59" s="539" cm="1">
        <f t="array" aca="1" ref="BM59" ca="1">INDIRECT($BM$2&amp;BM$7&amp;$BI59,1)</f>
        <v>0</v>
      </c>
      <c r="BN59" s="539" cm="1">
        <f t="array" aca="1" ref="BN59" ca="1">INDIRECT($BM$2&amp;BN$7&amp;$BI59,1)</f>
        <v>0</v>
      </c>
      <c r="BO59" s="539" t="str">
        <f t="shared" ref="BO59:BO69" ca="1" si="51">IF(BK59=0,"-",IFERROR(BK59/BK$58,"-"))</f>
        <v>-</v>
      </c>
      <c r="BQ59" s="20"/>
      <c r="BR59" s="469">
        <v>2</v>
      </c>
      <c r="BS59" s="539" t="s">
        <v>8039</v>
      </c>
      <c r="BT59" s="539">
        <f>BT58+1</f>
        <v>411</v>
      </c>
      <c r="BU59" s="539" cm="1">
        <f t="array" aca="1" ref="BU59" ca="1">INDIRECT($BM$2&amp;BU$7&amp;$BT59,1)</f>
        <v>0</v>
      </c>
      <c r="BV59" s="539" cm="1">
        <f t="array" aca="1" ref="BV59" ca="1">INDIRECT($BM$2&amp;BV$7&amp;$BT59,1)</f>
        <v>0</v>
      </c>
      <c r="BW59" s="539" cm="1">
        <f t="array" aca="1" ref="BW59" ca="1">INDIRECT($BM$2&amp;BW$7&amp;$BT59,1)</f>
        <v>0</v>
      </c>
      <c r="BX59" s="539" cm="1">
        <f t="array" aca="1" ref="BX59" ca="1">INDIRECT($BM$2&amp;BX$7&amp;$BT59,1)</f>
        <v>0</v>
      </c>
      <c r="BY59" s="539" cm="1">
        <f t="array" aca="1" ref="BY59" ca="1">INDIRECT($BM$2&amp;BY$7&amp;$BT59,1)</f>
        <v>0</v>
      </c>
      <c r="BZ59" s="539" t="str">
        <f t="shared" ref="BZ59:BZ69" ca="1" si="52">IF(BV59=0,"-",IFERROR(BV59/BV$58,"-"))</f>
        <v>-</v>
      </c>
      <c r="CC59" s="469">
        <v>2</v>
      </c>
      <c r="CD59" s="539" t="s">
        <v>8039</v>
      </c>
      <c r="CE59" s="539">
        <f>CE58+1</f>
        <v>757</v>
      </c>
      <c r="CF59" s="539" cm="1">
        <f t="array" aca="1" ref="CF59" ca="1">INDIRECT($BM$2&amp;CF$7&amp;$CE59,1)</f>
        <v>0</v>
      </c>
      <c r="CG59" s="539" cm="1">
        <f t="array" aca="1" ref="CG59" ca="1">INDIRECT($BM$2&amp;CG$7&amp;$CE59,1)</f>
        <v>0</v>
      </c>
      <c r="CH59" s="539" cm="1">
        <f t="array" aca="1" ref="CH59" ca="1">INDIRECT($BM$2&amp;CH$7&amp;$CE59,1)</f>
        <v>0</v>
      </c>
      <c r="CI59" s="539" cm="1">
        <f t="array" aca="1" ref="CI59" ca="1">INDIRECT($BM$2&amp;CI$7&amp;$CE59,1)</f>
        <v>0</v>
      </c>
      <c r="CJ59" s="539" cm="1">
        <f t="array" aca="1" ref="CJ59" ca="1">INDIRECT($BM$2&amp;CJ$7&amp;$CE59,1)</f>
        <v>0</v>
      </c>
      <c r="CK59" s="539" t="str">
        <f t="shared" ref="CK59:CK69" ca="1" si="53">IF(CG59=0,"-",IFERROR(CG59/CG$58,"-"))</f>
        <v>-</v>
      </c>
      <c r="CU59" s="469" t="s">
        <v>5510</v>
      </c>
      <c r="CV59" s="492">
        <v>1</v>
      </c>
      <c r="CW59" s="558">
        <f t="shared" si="31"/>
        <v>58</v>
      </c>
      <c r="CX59" s="492" cm="1">
        <f t="array" aca="1" ref="CX59" ca="1">INDIRECT($DD$2&amp;CX$28&amp;$CW59)</f>
        <v>0</v>
      </c>
      <c r="CY59" s="492" cm="1">
        <f t="array" aca="1" ref="CY59" ca="1">INDIRECT($DD$2&amp;CY$28&amp;$CW59)</f>
        <v>0</v>
      </c>
      <c r="CZ59" s="492" cm="1">
        <f t="array" aca="1" ref="CZ59" ca="1">INDIRECT($DD$2&amp;CZ$28&amp;$CW59)</f>
        <v>0</v>
      </c>
      <c r="DA59" s="492" cm="1">
        <f t="array" aca="1" ref="DA59" ca="1">INDIRECT($DD$2&amp;DA$28&amp;$CW59)</f>
        <v>0</v>
      </c>
      <c r="DB59" s="492" cm="1">
        <f t="array" aca="1" ref="DB59" ca="1">INDIRECT($DD$2&amp;DB$28&amp;$CW59)</f>
        <v>0</v>
      </c>
      <c r="DC59" s="492" cm="1">
        <f t="array" aca="1" ref="DC59" ca="1">INDIRECT($DD$2&amp;DC$28&amp;$CW59)</f>
        <v>0</v>
      </c>
      <c r="DD59" s="492" t="str">
        <f t="shared" ca="1" si="29"/>
        <v/>
      </c>
      <c r="DE59" s="492" t="str">
        <f t="shared" ca="1" si="30"/>
        <v/>
      </c>
      <c r="EQ59" s="469" t="s">
        <v>5510</v>
      </c>
      <c r="EY59" s="372"/>
      <c r="HN59" s="20"/>
    </row>
    <row r="60" spans="1:222" x14ac:dyDescent="0.25">
      <c r="A60" s="426" t="s">
        <v>5802</v>
      </c>
      <c r="B60" s="632" t="s">
        <v>5797</v>
      </c>
      <c r="C60" s="525" cm="1">
        <f t="array" aca="1" ref="C60" ca="1">INDIRECT(C$54&amp;$B60,1)</f>
        <v>0</v>
      </c>
      <c r="D60" s="525" cm="1">
        <f t="array" aca="1" ref="D60" ca="1">INDIRECT(D$54&amp;$B60,1)</f>
        <v>0</v>
      </c>
      <c r="N60" s="20"/>
      <c r="Y60" s="20"/>
      <c r="AV60" s="469" t="s">
        <v>5510</v>
      </c>
      <c r="BF60" s="469" t="s">
        <v>5510</v>
      </c>
      <c r="BH60" s="539" t="s">
        <v>8039</v>
      </c>
      <c r="BI60" s="539">
        <f t="shared" ref="BI60:BI69" si="54">BI59+1</f>
        <v>66</v>
      </c>
      <c r="BJ60" s="539" cm="1">
        <f t="array" aca="1" ref="BJ60" ca="1">INDIRECT($BM$2&amp;BJ$7&amp;$BI60,1)</f>
        <v>0</v>
      </c>
      <c r="BK60" s="539" cm="1">
        <f t="array" aca="1" ref="BK60" ca="1">INDIRECT($BM$2&amp;BK$7&amp;$BI60,1)</f>
        <v>0</v>
      </c>
      <c r="BL60" s="539" cm="1">
        <f t="array" aca="1" ref="BL60" ca="1">INDIRECT($BM$2&amp;BL$7&amp;$BI60,1)</f>
        <v>0</v>
      </c>
      <c r="BM60" s="539" cm="1">
        <f t="array" aca="1" ref="BM60" ca="1">INDIRECT($BM$2&amp;BM$7&amp;$BI60,1)</f>
        <v>0</v>
      </c>
      <c r="BN60" s="539" cm="1">
        <f t="array" aca="1" ref="BN60" ca="1">INDIRECT($BM$2&amp;BN$7&amp;$BI60,1)</f>
        <v>0</v>
      </c>
      <c r="BO60" s="539" t="str">
        <f t="shared" ca="1" si="51"/>
        <v>-</v>
      </c>
      <c r="BQ60" s="20"/>
      <c r="BR60" s="469">
        <v>3</v>
      </c>
      <c r="BS60" s="539" t="s">
        <v>8039</v>
      </c>
      <c r="BT60" s="539">
        <f t="shared" ref="BT60:BT69" si="55">BT59+1</f>
        <v>412</v>
      </c>
      <c r="BU60" s="539" cm="1">
        <f t="array" aca="1" ref="BU60" ca="1">INDIRECT($BM$2&amp;BU$7&amp;$BT60,1)</f>
        <v>0</v>
      </c>
      <c r="BV60" s="539" cm="1">
        <f t="array" aca="1" ref="BV60" ca="1">INDIRECT($BM$2&amp;BV$7&amp;$BT60,1)</f>
        <v>0</v>
      </c>
      <c r="BW60" s="539" cm="1">
        <f t="array" aca="1" ref="BW60" ca="1">INDIRECT($BM$2&amp;BW$7&amp;$BT60,1)</f>
        <v>0</v>
      </c>
      <c r="BX60" s="539" cm="1">
        <f t="array" aca="1" ref="BX60" ca="1">INDIRECT($BM$2&amp;BX$7&amp;$BT60,1)</f>
        <v>0</v>
      </c>
      <c r="BY60" s="539" cm="1">
        <f t="array" aca="1" ref="BY60" ca="1">INDIRECT($BM$2&amp;BY$7&amp;$BT60,1)</f>
        <v>0</v>
      </c>
      <c r="BZ60" s="539" t="str">
        <f t="shared" ca="1" si="52"/>
        <v>-</v>
      </c>
      <c r="CC60" s="469">
        <v>3</v>
      </c>
      <c r="CD60" s="539" t="s">
        <v>8039</v>
      </c>
      <c r="CE60" s="539">
        <f t="shared" ref="CE60:CE69" si="56">CE59+1</f>
        <v>758</v>
      </c>
      <c r="CF60" s="539" cm="1">
        <f t="array" aca="1" ref="CF60" ca="1">INDIRECT($BM$2&amp;CF$7&amp;$CE60,1)</f>
        <v>0</v>
      </c>
      <c r="CG60" s="539" cm="1">
        <f t="array" aca="1" ref="CG60" ca="1">INDIRECT($BM$2&amp;CG$7&amp;$CE60,1)</f>
        <v>0</v>
      </c>
      <c r="CH60" s="539" cm="1">
        <f t="array" aca="1" ref="CH60" ca="1">INDIRECT($BM$2&amp;CH$7&amp;$CE60,1)</f>
        <v>0</v>
      </c>
      <c r="CI60" s="539" cm="1">
        <f t="array" aca="1" ref="CI60" ca="1">INDIRECT($BM$2&amp;CI$7&amp;$CE60,1)</f>
        <v>0</v>
      </c>
      <c r="CJ60" s="539" cm="1">
        <f t="array" aca="1" ref="CJ60" ca="1">INDIRECT($BM$2&amp;CJ$7&amp;$CE60,1)</f>
        <v>0</v>
      </c>
      <c r="CK60" s="539" t="str">
        <f t="shared" ca="1" si="53"/>
        <v>-</v>
      </c>
      <c r="CU60" s="469" t="s">
        <v>5510</v>
      </c>
      <c r="CV60" s="636">
        <v>1</v>
      </c>
      <c r="CW60" s="558">
        <f t="shared" si="31"/>
        <v>59</v>
      </c>
      <c r="CX60" s="492" cm="1">
        <f t="array" aca="1" ref="CX60" ca="1">INDIRECT($DD$2&amp;CX$28&amp;$CW60)</f>
        <v>0</v>
      </c>
      <c r="CY60" s="492" cm="1">
        <f t="array" aca="1" ref="CY60" ca="1">INDIRECT($DD$2&amp;CY$28&amp;$CW60)</f>
        <v>0</v>
      </c>
      <c r="CZ60" s="492" cm="1">
        <f t="array" aca="1" ref="CZ60" ca="1">INDIRECT($DD$2&amp;CZ$28&amp;$CW60)</f>
        <v>0</v>
      </c>
      <c r="DA60" s="492" cm="1">
        <f t="array" aca="1" ref="DA60" ca="1">INDIRECT($DD$2&amp;DA$28&amp;$CW60)</f>
        <v>0</v>
      </c>
      <c r="DB60" s="492" cm="1">
        <f t="array" aca="1" ref="DB60" ca="1">INDIRECT($DD$2&amp;DB$28&amp;$CW60)</f>
        <v>0</v>
      </c>
      <c r="DC60" s="492" cm="1">
        <f t="array" aca="1" ref="DC60" ca="1">INDIRECT($DD$2&amp;DC$28&amp;$CW60)</f>
        <v>0</v>
      </c>
      <c r="DD60" s="492" t="str">
        <f t="shared" ca="1" si="29"/>
        <v/>
      </c>
      <c r="DE60" s="492" t="str">
        <f t="shared" ca="1" si="30"/>
        <v/>
      </c>
      <c r="EQ60" s="469" t="s">
        <v>5510</v>
      </c>
      <c r="EY60" s="372"/>
      <c r="HN60" s="20"/>
    </row>
    <row r="61" spans="1:222" x14ac:dyDescent="0.25">
      <c r="B61" s="637" t="s">
        <v>7053</v>
      </c>
      <c r="C61" s="638">
        <f ca="1">LARGE(C56:C60,1)</f>
        <v>0</v>
      </c>
      <c r="D61" s="638">
        <f ca="1">LARGE(D56:D60,1)</f>
        <v>0</v>
      </c>
      <c r="N61" s="20"/>
      <c r="Y61" s="20"/>
      <c r="AV61" s="469" t="s">
        <v>5510</v>
      </c>
      <c r="BF61" s="469" t="s">
        <v>5510</v>
      </c>
      <c r="BH61" s="539" t="s">
        <v>8039</v>
      </c>
      <c r="BI61" s="539">
        <f t="shared" si="54"/>
        <v>67</v>
      </c>
      <c r="BJ61" s="539" cm="1">
        <f t="array" aca="1" ref="BJ61" ca="1">INDIRECT($BM$2&amp;BJ$7&amp;$BI61,1)</f>
        <v>0</v>
      </c>
      <c r="BK61" s="539" cm="1">
        <f t="array" aca="1" ref="BK61" ca="1">INDIRECT($BM$2&amp;BK$7&amp;$BI61,1)</f>
        <v>0</v>
      </c>
      <c r="BL61" s="539" cm="1">
        <f t="array" aca="1" ref="BL61" ca="1">INDIRECT($BM$2&amp;BL$7&amp;$BI61,1)</f>
        <v>0</v>
      </c>
      <c r="BM61" s="539" cm="1">
        <f t="array" aca="1" ref="BM61" ca="1">INDIRECT($BM$2&amp;BM$7&amp;$BI61,1)</f>
        <v>0</v>
      </c>
      <c r="BN61" s="539" cm="1">
        <f t="array" aca="1" ref="BN61" ca="1">INDIRECT($BM$2&amp;BN$7&amp;$BI61,1)</f>
        <v>0</v>
      </c>
      <c r="BO61" s="539" t="str">
        <f t="shared" ca="1" si="51"/>
        <v>-</v>
      </c>
      <c r="BQ61" s="20"/>
      <c r="BR61" s="469">
        <v>4</v>
      </c>
      <c r="BS61" s="539" t="s">
        <v>8039</v>
      </c>
      <c r="BT61" s="539">
        <f t="shared" si="55"/>
        <v>413</v>
      </c>
      <c r="BU61" s="539" cm="1">
        <f t="array" aca="1" ref="BU61" ca="1">INDIRECT($BM$2&amp;BU$7&amp;$BT61,1)</f>
        <v>0</v>
      </c>
      <c r="BV61" s="539" cm="1">
        <f t="array" aca="1" ref="BV61" ca="1">INDIRECT($BM$2&amp;BV$7&amp;$BT61,1)</f>
        <v>0</v>
      </c>
      <c r="BW61" s="539" cm="1">
        <f t="array" aca="1" ref="BW61" ca="1">INDIRECT($BM$2&amp;BW$7&amp;$BT61,1)</f>
        <v>0</v>
      </c>
      <c r="BX61" s="539" cm="1">
        <f t="array" aca="1" ref="BX61" ca="1">INDIRECT($BM$2&amp;BX$7&amp;$BT61,1)</f>
        <v>0</v>
      </c>
      <c r="BY61" s="539" cm="1">
        <f t="array" aca="1" ref="BY61" ca="1">INDIRECT($BM$2&amp;BY$7&amp;$BT61,1)</f>
        <v>0</v>
      </c>
      <c r="BZ61" s="539" t="str">
        <f t="shared" ca="1" si="52"/>
        <v>-</v>
      </c>
      <c r="CC61" s="469">
        <v>4</v>
      </c>
      <c r="CD61" s="539" t="s">
        <v>8039</v>
      </c>
      <c r="CE61" s="539">
        <f t="shared" si="56"/>
        <v>759</v>
      </c>
      <c r="CF61" s="539" cm="1">
        <f t="array" aca="1" ref="CF61" ca="1">INDIRECT($BM$2&amp;CF$7&amp;$CE61,1)</f>
        <v>0</v>
      </c>
      <c r="CG61" s="539" cm="1">
        <f t="array" aca="1" ref="CG61" ca="1">INDIRECT($BM$2&amp;CG$7&amp;$CE61,1)</f>
        <v>0</v>
      </c>
      <c r="CH61" s="539" cm="1">
        <f t="array" aca="1" ref="CH61" ca="1">INDIRECT($BM$2&amp;CH$7&amp;$CE61,1)</f>
        <v>0</v>
      </c>
      <c r="CI61" s="539" cm="1">
        <f t="array" aca="1" ref="CI61" ca="1">INDIRECT($BM$2&amp;CI$7&amp;$CE61,1)</f>
        <v>0</v>
      </c>
      <c r="CJ61" s="539" cm="1">
        <f t="array" aca="1" ref="CJ61" ca="1">INDIRECT($BM$2&amp;CJ$7&amp;$CE61,1)</f>
        <v>0</v>
      </c>
      <c r="CK61" s="539" t="str">
        <f t="shared" ca="1" si="53"/>
        <v>-</v>
      </c>
      <c r="CU61" s="469" t="s">
        <v>5510</v>
      </c>
      <c r="CV61" s="22">
        <v>2</v>
      </c>
      <c r="CW61" s="522">
        <f t="shared" si="31"/>
        <v>67</v>
      </c>
      <c r="CX61" s="22" cm="1">
        <f t="array" aca="1" ref="CX61" ca="1">INDIRECT($DD$2&amp;CX$28&amp;$CW61)</f>
        <v>0</v>
      </c>
      <c r="CY61" s="22" cm="1">
        <f t="array" aca="1" ref="CY61" ca="1">INDIRECT($DD$2&amp;CY$28&amp;$CW61)</f>
        <v>0</v>
      </c>
      <c r="CZ61" s="22" cm="1">
        <f t="array" aca="1" ref="CZ61" ca="1">INDIRECT($DD$2&amp;CZ$28&amp;$CW61)</f>
        <v>0</v>
      </c>
      <c r="DA61" s="22" cm="1">
        <f t="array" aca="1" ref="DA61" ca="1">INDIRECT($DD$2&amp;DA$28&amp;$CW61)</f>
        <v>0</v>
      </c>
      <c r="DB61" s="22" cm="1">
        <f t="array" aca="1" ref="DB61" ca="1">INDIRECT($DD$2&amp;DB$28&amp;$CW61)</f>
        <v>0</v>
      </c>
      <c r="DC61" s="22" cm="1">
        <f t="array" aca="1" ref="DC61" ca="1">INDIRECT($DD$2&amp;DC$28&amp;$CW61)</f>
        <v>0</v>
      </c>
      <c r="DD61" s="22" t="str">
        <f t="shared" ca="1" si="29"/>
        <v/>
      </c>
      <c r="DE61" s="22" t="str">
        <f t="shared" ca="1" si="30"/>
        <v/>
      </c>
      <c r="EQ61" s="469" t="s">
        <v>5510</v>
      </c>
      <c r="EY61" s="372"/>
      <c r="HN61" s="20"/>
    </row>
    <row r="62" spans="1:222" x14ac:dyDescent="0.25">
      <c r="B62" s="632" t="s">
        <v>18</v>
      </c>
      <c r="C62" s="525" t="str">
        <f ca="1">IFERROR(IF(C60=$A$48,
       IF(C61&gt;=$B$48,"Positivo","Negativo"),
       IF(C61&gt;=$B$49,"Positivo","Negativo")),
"-")</f>
        <v>Negativo</v>
      </c>
      <c r="D62" s="525" t="str">
        <f ca="1">IFERROR(IF(D60=$A$48,
       IF(D61&gt;=$B$48,"Positivo","Negativo"),
       IF(D61&gt;=$B$49,"Positivo","Negativo")),
"-")</f>
        <v>Negativo</v>
      </c>
      <c r="N62" s="20"/>
      <c r="Y62" s="20"/>
      <c r="AV62" s="469" t="s">
        <v>5510</v>
      </c>
      <c r="BF62" s="469" t="s">
        <v>5510</v>
      </c>
      <c r="BH62" s="539" t="s">
        <v>8039</v>
      </c>
      <c r="BI62" s="539">
        <f t="shared" si="54"/>
        <v>68</v>
      </c>
      <c r="BJ62" s="539" cm="1">
        <f t="array" aca="1" ref="BJ62" ca="1">INDIRECT($BM$2&amp;BJ$7&amp;$BI62,1)</f>
        <v>0</v>
      </c>
      <c r="BK62" s="539" cm="1">
        <f t="array" aca="1" ref="BK62" ca="1">INDIRECT($BM$2&amp;BK$7&amp;$BI62,1)</f>
        <v>0</v>
      </c>
      <c r="BL62" s="539" cm="1">
        <f t="array" aca="1" ref="BL62" ca="1">INDIRECT($BM$2&amp;BL$7&amp;$BI62,1)</f>
        <v>0</v>
      </c>
      <c r="BM62" s="539" cm="1">
        <f t="array" aca="1" ref="BM62" ca="1">INDIRECT($BM$2&amp;BM$7&amp;$BI62,1)</f>
        <v>0</v>
      </c>
      <c r="BN62" s="539" cm="1">
        <f t="array" aca="1" ref="BN62" ca="1">INDIRECT($BM$2&amp;BN$7&amp;$BI62,1)</f>
        <v>0</v>
      </c>
      <c r="BO62" s="539" t="str">
        <f t="shared" ca="1" si="51"/>
        <v>-</v>
      </c>
      <c r="BQ62" s="20"/>
      <c r="BR62" s="469">
        <v>5</v>
      </c>
      <c r="BS62" s="539" t="s">
        <v>8039</v>
      </c>
      <c r="BT62" s="539">
        <f t="shared" si="55"/>
        <v>414</v>
      </c>
      <c r="BU62" s="539" cm="1">
        <f t="array" aca="1" ref="BU62" ca="1">INDIRECT($BM$2&amp;BU$7&amp;$BT62,1)</f>
        <v>0</v>
      </c>
      <c r="BV62" s="539" cm="1">
        <f t="array" aca="1" ref="BV62" ca="1">INDIRECT($BM$2&amp;BV$7&amp;$BT62,1)</f>
        <v>0</v>
      </c>
      <c r="BW62" s="539" cm="1">
        <f t="array" aca="1" ref="BW62" ca="1">INDIRECT($BM$2&amp;BW$7&amp;$BT62,1)</f>
        <v>0</v>
      </c>
      <c r="BX62" s="539" cm="1">
        <f t="array" aca="1" ref="BX62" ca="1">INDIRECT($BM$2&amp;BX$7&amp;$BT62,1)</f>
        <v>0</v>
      </c>
      <c r="BY62" s="539" cm="1">
        <f t="array" aca="1" ref="BY62" ca="1">INDIRECT($BM$2&amp;BY$7&amp;$BT62,1)</f>
        <v>0</v>
      </c>
      <c r="BZ62" s="539" t="str">
        <f t="shared" ca="1" si="52"/>
        <v>-</v>
      </c>
      <c r="CC62" s="469">
        <v>5</v>
      </c>
      <c r="CD62" s="539" t="s">
        <v>8039</v>
      </c>
      <c r="CE62" s="539">
        <f t="shared" si="56"/>
        <v>760</v>
      </c>
      <c r="CF62" s="539" cm="1">
        <f t="array" aca="1" ref="CF62" ca="1">INDIRECT($BM$2&amp;CF$7&amp;$CE62,1)</f>
        <v>0</v>
      </c>
      <c r="CG62" s="539" cm="1">
        <f t="array" aca="1" ref="CG62" ca="1">INDIRECT($BM$2&amp;CG$7&amp;$CE62,1)</f>
        <v>0</v>
      </c>
      <c r="CH62" s="539" cm="1">
        <f t="array" aca="1" ref="CH62" ca="1">INDIRECT($BM$2&amp;CH$7&amp;$CE62,1)</f>
        <v>0</v>
      </c>
      <c r="CI62" s="539" cm="1">
        <f t="array" aca="1" ref="CI62" ca="1">INDIRECT($BM$2&amp;CI$7&amp;$CE62,1)</f>
        <v>0</v>
      </c>
      <c r="CJ62" s="539" cm="1">
        <f t="array" aca="1" ref="CJ62" ca="1">INDIRECT($BM$2&amp;CJ$7&amp;$CE62,1)</f>
        <v>0</v>
      </c>
      <c r="CK62" s="539" t="str">
        <f t="shared" ca="1" si="53"/>
        <v>-</v>
      </c>
      <c r="CU62" s="469" t="s">
        <v>5510</v>
      </c>
      <c r="CV62" s="22">
        <v>2</v>
      </c>
      <c r="CW62" s="522">
        <f t="shared" si="31"/>
        <v>68</v>
      </c>
      <c r="CX62" s="22" cm="1">
        <f t="array" aca="1" ref="CX62" ca="1">INDIRECT($DD$2&amp;CX$28&amp;$CW62)</f>
        <v>0</v>
      </c>
      <c r="CY62" s="22" cm="1">
        <f t="array" aca="1" ref="CY62" ca="1">INDIRECT($DD$2&amp;CY$28&amp;$CW62)</f>
        <v>0</v>
      </c>
      <c r="CZ62" s="22" cm="1">
        <f t="array" aca="1" ref="CZ62" ca="1">INDIRECT($DD$2&amp;CZ$28&amp;$CW62)</f>
        <v>0</v>
      </c>
      <c r="DA62" s="22" cm="1">
        <f t="array" aca="1" ref="DA62" ca="1">INDIRECT($DD$2&amp;DA$28&amp;$CW62)</f>
        <v>0</v>
      </c>
      <c r="DB62" s="22" cm="1">
        <f t="array" aca="1" ref="DB62" ca="1">INDIRECT($DD$2&amp;DB$28&amp;$CW62)</f>
        <v>0</v>
      </c>
      <c r="DC62" s="22" cm="1">
        <f t="array" aca="1" ref="DC62" ca="1">INDIRECT($DD$2&amp;DC$28&amp;$CW62)</f>
        <v>0</v>
      </c>
      <c r="DD62" s="22" t="str">
        <f t="shared" ca="1" si="29"/>
        <v/>
      </c>
      <c r="DE62" s="22" t="str">
        <f t="shared" ca="1" si="30"/>
        <v/>
      </c>
      <c r="EQ62" s="469" t="s">
        <v>5510</v>
      </c>
      <c r="EY62" s="372"/>
      <c r="HN62" s="20"/>
    </row>
    <row r="63" spans="1:222" x14ac:dyDescent="0.25">
      <c r="N63" s="20"/>
      <c r="Y63" s="20"/>
      <c r="AV63" s="469" t="s">
        <v>5510</v>
      </c>
      <c r="BF63" s="469" t="s">
        <v>5510</v>
      </c>
      <c r="BH63" s="539" t="s">
        <v>8039</v>
      </c>
      <c r="BI63" s="539">
        <f t="shared" si="54"/>
        <v>69</v>
      </c>
      <c r="BJ63" s="539" cm="1">
        <f t="array" aca="1" ref="BJ63" ca="1">INDIRECT($BM$2&amp;BJ$7&amp;$BI63,1)</f>
        <v>0</v>
      </c>
      <c r="BK63" s="539" cm="1">
        <f t="array" aca="1" ref="BK63" ca="1">INDIRECT($BM$2&amp;BK$7&amp;$BI63,1)</f>
        <v>0</v>
      </c>
      <c r="BL63" s="539" cm="1">
        <f t="array" aca="1" ref="BL63" ca="1">INDIRECT($BM$2&amp;BL$7&amp;$BI63,1)</f>
        <v>0</v>
      </c>
      <c r="BM63" s="539" cm="1">
        <f t="array" aca="1" ref="BM63" ca="1">INDIRECT($BM$2&amp;BM$7&amp;$BI63,1)</f>
        <v>0</v>
      </c>
      <c r="BN63" s="539" cm="1">
        <f t="array" aca="1" ref="BN63" ca="1">INDIRECT($BM$2&amp;BN$7&amp;$BI63,1)</f>
        <v>0</v>
      </c>
      <c r="BO63" s="539" t="str">
        <f t="shared" ca="1" si="51"/>
        <v>-</v>
      </c>
      <c r="BQ63" s="20"/>
      <c r="BR63" s="469">
        <v>6</v>
      </c>
      <c r="BS63" s="539" t="s">
        <v>8039</v>
      </c>
      <c r="BT63" s="539">
        <f t="shared" si="55"/>
        <v>415</v>
      </c>
      <c r="BU63" s="539" cm="1">
        <f t="array" aca="1" ref="BU63" ca="1">INDIRECT($BM$2&amp;BU$7&amp;$BT63,1)</f>
        <v>0</v>
      </c>
      <c r="BV63" s="539" cm="1">
        <f t="array" aca="1" ref="BV63" ca="1">INDIRECT($BM$2&amp;BV$7&amp;$BT63,1)</f>
        <v>0</v>
      </c>
      <c r="BW63" s="539" cm="1">
        <f t="array" aca="1" ref="BW63" ca="1">INDIRECT($BM$2&amp;BW$7&amp;$BT63,1)</f>
        <v>0</v>
      </c>
      <c r="BX63" s="539" cm="1">
        <f t="array" aca="1" ref="BX63" ca="1">INDIRECT($BM$2&amp;BX$7&amp;$BT63,1)</f>
        <v>0</v>
      </c>
      <c r="BY63" s="539" cm="1">
        <f t="array" aca="1" ref="BY63" ca="1">INDIRECT($BM$2&amp;BY$7&amp;$BT63,1)</f>
        <v>0</v>
      </c>
      <c r="BZ63" s="539" t="str">
        <f t="shared" ca="1" si="52"/>
        <v>-</v>
      </c>
      <c r="CC63" s="469">
        <v>6</v>
      </c>
      <c r="CD63" s="539" t="s">
        <v>8039</v>
      </c>
      <c r="CE63" s="539">
        <f t="shared" si="56"/>
        <v>761</v>
      </c>
      <c r="CF63" s="539" cm="1">
        <f t="array" aca="1" ref="CF63" ca="1">INDIRECT($BM$2&amp;CF$7&amp;$CE63,1)</f>
        <v>0</v>
      </c>
      <c r="CG63" s="539" cm="1">
        <f t="array" aca="1" ref="CG63" ca="1">INDIRECT($BM$2&amp;CG$7&amp;$CE63,1)</f>
        <v>0</v>
      </c>
      <c r="CH63" s="539" cm="1">
        <f t="array" aca="1" ref="CH63" ca="1">INDIRECT($BM$2&amp;CH$7&amp;$CE63,1)</f>
        <v>0</v>
      </c>
      <c r="CI63" s="539" cm="1">
        <f t="array" aca="1" ref="CI63" ca="1">INDIRECT($BM$2&amp;CI$7&amp;$CE63,1)</f>
        <v>0</v>
      </c>
      <c r="CJ63" s="539" cm="1">
        <f t="array" aca="1" ref="CJ63" ca="1">INDIRECT($BM$2&amp;CJ$7&amp;$CE63,1)</f>
        <v>0</v>
      </c>
      <c r="CK63" s="539" t="str">
        <f t="shared" ca="1" si="53"/>
        <v>-</v>
      </c>
      <c r="CU63" s="469" t="s">
        <v>5510</v>
      </c>
      <c r="CV63" s="22">
        <v>2</v>
      </c>
      <c r="CW63" s="522">
        <f t="shared" si="31"/>
        <v>69</v>
      </c>
      <c r="CX63" s="22" cm="1">
        <f t="array" aca="1" ref="CX63" ca="1">INDIRECT($DD$2&amp;CX$28&amp;$CW63)</f>
        <v>0</v>
      </c>
      <c r="CY63" s="22" cm="1">
        <f t="array" aca="1" ref="CY63" ca="1">INDIRECT($DD$2&amp;CY$28&amp;$CW63)</f>
        <v>0</v>
      </c>
      <c r="CZ63" s="22" cm="1">
        <f t="array" aca="1" ref="CZ63" ca="1">INDIRECT($DD$2&amp;CZ$28&amp;$CW63)</f>
        <v>0</v>
      </c>
      <c r="DA63" s="22" cm="1">
        <f t="array" aca="1" ref="DA63" ca="1">INDIRECT($DD$2&amp;DA$28&amp;$CW63)</f>
        <v>0</v>
      </c>
      <c r="DB63" s="22" cm="1">
        <f t="array" aca="1" ref="DB63" ca="1">INDIRECT($DD$2&amp;DB$28&amp;$CW63)</f>
        <v>0</v>
      </c>
      <c r="DC63" s="22" cm="1">
        <f t="array" aca="1" ref="DC63" ca="1">INDIRECT($DD$2&amp;DC$28&amp;$CW63)</f>
        <v>0</v>
      </c>
      <c r="DD63" s="22" t="str">
        <f t="shared" ref="DD63:DD94" ca="1" si="57">IFERROR(DB63/CZ63,"")</f>
        <v/>
      </c>
      <c r="DE63" s="22" t="str">
        <f t="shared" ref="DE63:DE94" ca="1" si="58">IFERROR(DC63/DA63,"")</f>
        <v/>
      </c>
      <c r="EQ63" s="469" t="s">
        <v>5510</v>
      </c>
      <c r="EY63" s="372"/>
      <c r="HN63" s="20"/>
    </row>
    <row r="64" spans="1:222" x14ac:dyDescent="0.25">
      <c r="N64" s="20"/>
      <c r="Y64" s="20"/>
      <c r="AV64" s="469" t="s">
        <v>5510</v>
      </c>
      <c r="BF64" s="469" t="s">
        <v>5510</v>
      </c>
      <c r="BH64" s="539" t="s">
        <v>8039</v>
      </c>
      <c r="BI64" s="539">
        <f t="shared" si="54"/>
        <v>70</v>
      </c>
      <c r="BJ64" s="539" cm="1">
        <f t="array" aca="1" ref="BJ64" ca="1">INDIRECT($BM$2&amp;BJ$7&amp;$BI64,1)</f>
        <v>0</v>
      </c>
      <c r="BK64" s="539" cm="1">
        <f t="array" aca="1" ref="BK64" ca="1">INDIRECT($BM$2&amp;BK$7&amp;$BI64,1)</f>
        <v>0</v>
      </c>
      <c r="BL64" s="539" cm="1">
        <f t="array" aca="1" ref="BL64" ca="1">INDIRECT($BM$2&amp;BL$7&amp;$BI64,1)</f>
        <v>0</v>
      </c>
      <c r="BM64" s="539" cm="1">
        <f t="array" aca="1" ref="BM64" ca="1">INDIRECT($BM$2&amp;BM$7&amp;$BI64,1)</f>
        <v>0</v>
      </c>
      <c r="BN64" s="539" cm="1">
        <f t="array" aca="1" ref="BN64" ca="1">INDIRECT($BM$2&amp;BN$7&amp;$BI64,1)</f>
        <v>0</v>
      </c>
      <c r="BO64" s="539" t="str">
        <f t="shared" ca="1" si="51"/>
        <v>-</v>
      </c>
      <c r="BQ64" s="20"/>
      <c r="BR64" s="469">
        <v>7</v>
      </c>
      <c r="BS64" s="539" t="s">
        <v>8039</v>
      </c>
      <c r="BT64" s="539">
        <f t="shared" si="55"/>
        <v>416</v>
      </c>
      <c r="BU64" s="539" cm="1">
        <f t="array" aca="1" ref="BU64" ca="1">INDIRECT($BM$2&amp;BU$7&amp;$BT64,1)</f>
        <v>0</v>
      </c>
      <c r="BV64" s="539" cm="1">
        <f t="array" aca="1" ref="BV64" ca="1">INDIRECT($BM$2&amp;BV$7&amp;$BT64,1)</f>
        <v>0</v>
      </c>
      <c r="BW64" s="539" cm="1">
        <f t="array" aca="1" ref="BW64" ca="1">INDIRECT($BM$2&amp;BW$7&amp;$BT64,1)</f>
        <v>0</v>
      </c>
      <c r="BX64" s="539" cm="1">
        <f t="array" aca="1" ref="BX64" ca="1">INDIRECT($BM$2&amp;BX$7&amp;$BT64,1)</f>
        <v>0</v>
      </c>
      <c r="BY64" s="539" cm="1">
        <f t="array" aca="1" ref="BY64" ca="1">INDIRECT($BM$2&amp;BY$7&amp;$BT64,1)</f>
        <v>0</v>
      </c>
      <c r="BZ64" s="539" t="str">
        <f t="shared" ca="1" si="52"/>
        <v>-</v>
      </c>
      <c r="CC64" s="469">
        <v>7</v>
      </c>
      <c r="CD64" s="539" t="s">
        <v>8039</v>
      </c>
      <c r="CE64" s="539">
        <f t="shared" si="56"/>
        <v>762</v>
      </c>
      <c r="CF64" s="539" cm="1">
        <f t="array" aca="1" ref="CF64" ca="1">INDIRECT($BM$2&amp;CF$7&amp;$CE64,1)</f>
        <v>0</v>
      </c>
      <c r="CG64" s="539" cm="1">
        <f t="array" aca="1" ref="CG64" ca="1">INDIRECT($BM$2&amp;CG$7&amp;$CE64,1)</f>
        <v>0</v>
      </c>
      <c r="CH64" s="539" cm="1">
        <f t="array" aca="1" ref="CH64" ca="1">INDIRECT($BM$2&amp;CH$7&amp;$CE64,1)</f>
        <v>0</v>
      </c>
      <c r="CI64" s="539" cm="1">
        <f t="array" aca="1" ref="CI64" ca="1">INDIRECT($BM$2&amp;CI$7&amp;$CE64,1)</f>
        <v>0</v>
      </c>
      <c r="CJ64" s="539" cm="1">
        <f t="array" aca="1" ref="CJ64" ca="1">INDIRECT($BM$2&amp;CJ$7&amp;$CE64,1)</f>
        <v>0</v>
      </c>
      <c r="CK64" s="539" t="str">
        <f t="shared" ca="1" si="53"/>
        <v>-</v>
      </c>
      <c r="CU64" s="469" t="s">
        <v>5510</v>
      </c>
      <c r="CV64" s="22">
        <v>2</v>
      </c>
      <c r="CW64" s="522">
        <f t="shared" ref="CW64:CW95" si="59">IF(CV64=CV63,CW63+1,CW63+$DD$4)</f>
        <v>70</v>
      </c>
      <c r="CX64" s="22" cm="1">
        <f t="array" aca="1" ref="CX64" ca="1">INDIRECT($DD$2&amp;CX$28&amp;$CW64)</f>
        <v>0</v>
      </c>
      <c r="CY64" s="22" cm="1">
        <f t="array" aca="1" ref="CY64" ca="1">INDIRECT($DD$2&amp;CY$28&amp;$CW64)</f>
        <v>0</v>
      </c>
      <c r="CZ64" s="22" cm="1">
        <f t="array" aca="1" ref="CZ64" ca="1">INDIRECT($DD$2&amp;CZ$28&amp;$CW64)</f>
        <v>0</v>
      </c>
      <c r="DA64" s="22" cm="1">
        <f t="array" aca="1" ref="DA64" ca="1">INDIRECT($DD$2&amp;DA$28&amp;$CW64)</f>
        <v>0</v>
      </c>
      <c r="DB64" s="22" cm="1">
        <f t="array" aca="1" ref="DB64" ca="1">INDIRECT($DD$2&amp;DB$28&amp;$CW64)</f>
        <v>0</v>
      </c>
      <c r="DC64" s="22" cm="1">
        <f t="array" aca="1" ref="DC64" ca="1">INDIRECT($DD$2&amp;DC$28&amp;$CW64)</f>
        <v>0</v>
      </c>
      <c r="DD64" s="22" t="str">
        <f t="shared" ca="1" si="57"/>
        <v/>
      </c>
      <c r="DE64" s="22" t="str">
        <f t="shared" ca="1" si="58"/>
        <v/>
      </c>
      <c r="EQ64" s="469" t="s">
        <v>5510</v>
      </c>
      <c r="ET64" s="1668" t="s">
        <v>5980</v>
      </c>
      <c r="EU64" s="1668"/>
      <c r="EV64" s="1668"/>
      <c r="EW64" s="1668"/>
      <c r="EX64" s="1668"/>
      <c r="EY64" s="1668"/>
      <c r="EZ64" s="1668"/>
      <c r="FA64" s="1668"/>
      <c r="HN64" s="20"/>
    </row>
    <row r="65" spans="14:224" x14ac:dyDescent="0.25">
      <c r="N65" s="20"/>
      <c r="Y65" s="20"/>
      <c r="AV65" s="469" t="s">
        <v>5510</v>
      </c>
      <c r="BF65" s="469" t="s">
        <v>5510</v>
      </c>
      <c r="BH65" s="539" t="s">
        <v>8039</v>
      </c>
      <c r="BI65" s="539">
        <f t="shared" si="54"/>
        <v>71</v>
      </c>
      <c r="BJ65" s="539" cm="1">
        <f t="array" aca="1" ref="BJ65" ca="1">INDIRECT($BM$2&amp;BJ$7&amp;$BI65,1)</f>
        <v>0</v>
      </c>
      <c r="BK65" s="539" cm="1">
        <f t="array" aca="1" ref="BK65" ca="1">INDIRECT($BM$2&amp;BK$7&amp;$BI65,1)</f>
        <v>0</v>
      </c>
      <c r="BL65" s="539" cm="1">
        <f t="array" aca="1" ref="BL65" ca="1">INDIRECT($BM$2&amp;BL$7&amp;$BI65,1)</f>
        <v>0</v>
      </c>
      <c r="BM65" s="539" cm="1">
        <f t="array" aca="1" ref="BM65" ca="1">INDIRECT($BM$2&amp;BM$7&amp;$BI65,1)</f>
        <v>0</v>
      </c>
      <c r="BN65" s="539" cm="1">
        <f t="array" aca="1" ref="BN65" ca="1">INDIRECT($BM$2&amp;BN$7&amp;$BI65,1)</f>
        <v>0</v>
      </c>
      <c r="BO65" s="539" t="str">
        <f t="shared" ca="1" si="51"/>
        <v>-</v>
      </c>
      <c r="BQ65" s="20"/>
      <c r="BR65" s="469">
        <v>8</v>
      </c>
      <c r="BS65" s="539" t="s">
        <v>8039</v>
      </c>
      <c r="BT65" s="539">
        <f t="shared" si="55"/>
        <v>417</v>
      </c>
      <c r="BU65" s="539" cm="1">
        <f t="array" aca="1" ref="BU65" ca="1">INDIRECT($BM$2&amp;BU$7&amp;$BT65,1)</f>
        <v>0</v>
      </c>
      <c r="BV65" s="539" cm="1">
        <f t="array" aca="1" ref="BV65" ca="1">INDIRECT($BM$2&amp;BV$7&amp;$BT65,1)</f>
        <v>0</v>
      </c>
      <c r="BW65" s="539" cm="1">
        <f t="array" aca="1" ref="BW65" ca="1">INDIRECT($BM$2&amp;BW$7&amp;$BT65,1)</f>
        <v>0</v>
      </c>
      <c r="BX65" s="539" cm="1">
        <f t="array" aca="1" ref="BX65" ca="1">INDIRECT($BM$2&amp;BX$7&amp;$BT65,1)</f>
        <v>0</v>
      </c>
      <c r="BY65" s="539" cm="1">
        <f t="array" aca="1" ref="BY65" ca="1">INDIRECT($BM$2&amp;BY$7&amp;$BT65,1)</f>
        <v>0</v>
      </c>
      <c r="BZ65" s="539" t="str">
        <f t="shared" ca="1" si="52"/>
        <v>-</v>
      </c>
      <c r="CC65" s="469">
        <v>8</v>
      </c>
      <c r="CD65" s="539" t="s">
        <v>8039</v>
      </c>
      <c r="CE65" s="539">
        <f t="shared" si="56"/>
        <v>763</v>
      </c>
      <c r="CF65" s="539" cm="1">
        <f t="array" aca="1" ref="CF65" ca="1">INDIRECT($BM$2&amp;CF$7&amp;$CE65,1)</f>
        <v>0</v>
      </c>
      <c r="CG65" s="539" cm="1">
        <f t="array" aca="1" ref="CG65" ca="1">INDIRECT($BM$2&amp;CG$7&amp;$CE65,1)</f>
        <v>0</v>
      </c>
      <c r="CH65" s="539" cm="1">
        <f t="array" aca="1" ref="CH65" ca="1">INDIRECT($BM$2&amp;CH$7&amp;$CE65,1)</f>
        <v>0</v>
      </c>
      <c r="CI65" s="539" cm="1">
        <f t="array" aca="1" ref="CI65" ca="1">INDIRECT($BM$2&amp;CI$7&amp;$CE65,1)</f>
        <v>0</v>
      </c>
      <c r="CJ65" s="539" cm="1">
        <f t="array" aca="1" ref="CJ65" ca="1">INDIRECT($BM$2&amp;CJ$7&amp;$CE65,1)</f>
        <v>0</v>
      </c>
      <c r="CK65" s="539" t="str">
        <f t="shared" ca="1" si="53"/>
        <v>-</v>
      </c>
      <c r="CU65" s="469" t="s">
        <v>5510</v>
      </c>
      <c r="CV65" s="22">
        <v>2</v>
      </c>
      <c r="CW65" s="522">
        <f t="shared" si="59"/>
        <v>71</v>
      </c>
      <c r="CX65" s="22" cm="1">
        <f t="array" aca="1" ref="CX65" ca="1">INDIRECT($DD$2&amp;CX$28&amp;$CW65)</f>
        <v>0</v>
      </c>
      <c r="CY65" s="22" cm="1">
        <f t="array" aca="1" ref="CY65" ca="1">INDIRECT($DD$2&amp;CY$28&amp;$CW65)</f>
        <v>0</v>
      </c>
      <c r="CZ65" s="22" cm="1">
        <f t="array" aca="1" ref="CZ65" ca="1">INDIRECT($DD$2&amp;CZ$28&amp;$CW65)</f>
        <v>0</v>
      </c>
      <c r="DA65" s="22" cm="1">
        <f t="array" aca="1" ref="DA65" ca="1">INDIRECT($DD$2&amp;DA$28&amp;$CW65)</f>
        <v>0</v>
      </c>
      <c r="DB65" s="22" cm="1">
        <f t="array" aca="1" ref="DB65" ca="1">INDIRECT($DD$2&amp;DB$28&amp;$CW65)</f>
        <v>0</v>
      </c>
      <c r="DC65" s="22" cm="1">
        <f t="array" aca="1" ref="DC65" ca="1">INDIRECT($DD$2&amp;DC$28&amp;$CW65)</f>
        <v>0</v>
      </c>
      <c r="DD65" s="22" t="str">
        <f t="shared" ca="1" si="57"/>
        <v/>
      </c>
      <c r="DE65" s="22" t="str">
        <f t="shared" ca="1" si="58"/>
        <v/>
      </c>
      <c r="EQ65" s="469" t="s">
        <v>5510</v>
      </c>
      <c r="ET65" s="1669" t="s">
        <v>5713</v>
      </c>
      <c r="EU65" s="1669"/>
      <c r="EV65" s="1669"/>
      <c r="EW65" s="1669"/>
      <c r="EX65" s="1669" t="s">
        <v>5714</v>
      </c>
      <c r="EY65" s="1669"/>
      <c r="EZ65" s="1669"/>
      <c r="FA65" s="1669"/>
      <c r="FB65" s="1670" t="s">
        <v>88</v>
      </c>
      <c r="FC65" s="1671"/>
      <c r="FD65" s="1670" t="s">
        <v>101</v>
      </c>
      <c r="FE65" s="1671"/>
      <c r="FF65" s="1670" t="s">
        <v>120</v>
      </c>
      <c r="FG65" s="1671"/>
      <c r="HN65" s="20"/>
    </row>
    <row r="66" spans="14:224" x14ac:dyDescent="0.25">
      <c r="N66" s="20"/>
      <c r="Y66" s="20"/>
      <c r="AV66" s="469" t="s">
        <v>5510</v>
      </c>
      <c r="BF66" s="469" t="s">
        <v>5510</v>
      </c>
      <c r="BH66" s="539" t="s">
        <v>8039</v>
      </c>
      <c r="BI66" s="539">
        <f t="shared" si="54"/>
        <v>72</v>
      </c>
      <c r="BJ66" s="539" cm="1">
        <f t="array" aca="1" ref="BJ66" ca="1">INDIRECT($BM$2&amp;BJ$7&amp;$BI66,1)</f>
        <v>0</v>
      </c>
      <c r="BK66" s="539" cm="1">
        <f t="array" aca="1" ref="BK66" ca="1">INDIRECT($BM$2&amp;BK$7&amp;$BI66,1)</f>
        <v>0</v>
      </c>
      <c r="BL66" s="539" cm="1">
        <f t="array" aca="1" ref="BL66" ca="1">INDIRECT($BM$2&amp;BL$7&amp;$BI66,1)</f>
        <v>0</v>
      </c>
      <c r="BM66" s="539" cm="1">
        <f t="array" aca="1" ref="BM66" ca="1">INDIRECT($BM$2&amp;BM$7&amp;$BI66,1)</f>
        <v>0</v>
      </c>
      <c r="BN66" s="539" cm="1">
        <f t="array" aca="1" ref="BN66" ca="1">INDIRECT($BM$2&amp;BN$7&amp;$BI66,1)</f>
        <v>0</v>
      </c>
      <c r="BO66" s="539" t="str">
        <f t="shared" ca="1" si="51"/>
        <v>-</v>
      </c>
      <c r="BQ66" s="20"/>
      <c r="BR66" s="469">
        <v>9</v>
      </c>
      <c r="BS66" s="539" t="s">
        <v>8039</v>
      </c>
      <c r="BT66" s="539">
        <f t="shared" si="55"/>
        <v>418</v>
      </c>
      <c r="BU66" s="539" cm="1">
        <f t="array" aca="1" ref="BU66" ca="1">INDIRECT($BM$2&amp;BU$7&amp;$BT66,1)</f>
        <v>0</v>
      </c>
      <c r="BV66" s="539" cm="1">
        <f t="array" aca="1" ref="BV66" ca="1">INDIRECT($BM$2&amp;BV$7&amp;$BT66,1)</f>
        <v>0</v>
      </c>
      <c r="BW66" s="539" cm="1">
        <f t="array" aca="1" ref="BW66" ca="1">INDIRECT($BM$2&amp;BW$7&amp;$BT66,1)</f>
        <v>0</v>
      </c>
      <c r="BX66" s="539" cm="1">
        <f t="array" aca="1" ref="BX66" ca="1">INDIRECT($BM$2&amp;BX$7&amp;$BT66,1)</f>
        <v>0</v>
      </c>
      <c r="BY66" s="539" cm="1">
        <f t="array" aca="1" ref="BY66" ca="1">INDIRECT($BM$2&amp;BY$7&amp;$BT66,1)</f>
        <v>0</v>
      </c>
      <c r="BZ66" s="539" t="str">
        <f t="shared" ca="1" si="52"/>
        <v>-</v>
      </c>
      <c r="CC66" s="469">
        <v>9</v>
      </c>
      <c r="CD66" s="539" t="s">
        <v>8039</v>
      </c>
      <c r="CE66" s="539">
        <f t="shared" si="56"/>
        <v>764</v>
      </c>
      <c r="CF66" s="539" cm="1">
        <f t="array" aca="1" ref="CF66" ca="1">INDIRECT($BM$2&amp;CF$7&amp;$CE66,1)</f>
        <v>0</v>
      </c>
      <c r="CG66" s="539" cm="1">
        <f t="array" aca="1" ref="CG66" ca="1">INDIRECT($BM$2&amp;CG$7&amp;$CE66,1)</f>
        <v>0</v>
      </c>
      <c r="CH66" s="539" cm="1">
        <f t="array" aca="1" ref="CH66" ca="1">INDIRECT($BM$2&amp;CH$7&amp;$CE66,1)</f>
        <v>0</v>
      </c>
      <c r="CI66" s="539" cm="1">
        <f t="array" aca="1" ref="CI66" ca="1">INDIRECT($BM$2&amp;CI$7&amp;$CE66,1)</f>
        <v>0</v>
      </c>
      <c r="CJ66" s="539" cm="1">
        <f t="array" aca="1" ref="CJ66" ca="1">INDIRECT($BM$2&amp;CJ$7&amp;$CE66,1)</f>
        <v>0</v>
      </c>
      <c r="CK66" s="539" t="str">
        <f t="shared" ca="1" si="53"/>
        <v>-</v>
      </c>
      <c r="CU66" s="469" t="s">
        <v>5510</v>
      </c>
      <c r="CV66" s="22">
        <v>2</v>
      </c>
      <c r="CW66" s="522">
        <f t="shared" si="59"/>
        <v>72</v>
      </c>
      <c r="CX66" s="22" cm="1">
        <f t="array" aca="1" ref="CX66" ca="1">INDIRECT($DD$2&amp;CX$28&amp;$CW66)</f>
        <v>0</v>
      </c>
      <c r="CY66" s="22" cm="1">
        <f t="array" aca="1" ref="CY66" ca="1">INDIRECT($DD$2&amp;CY$28&amp;$CW66)</f>
        <v>0</v>
      </c>
      <c r="CZ66" s="22" cm="1">
        <f t="array" aca="1" ref="CZ66" ca="1">INDIRECT($DD$2&amp;CZ$28&amp;$CW66)</f>
        <v>0</v>
      </c>
      <c r="DA66" s="22" cm="1">
        <f t="array" aca="1" ref="DA66" ca="1">INDIRECT($DD$2&amp;DA$28&amp;$CW66)</f>
        <v>0</v>
      </c>
      <c r="DB66" s="22" cm="1">
        <f t="array" aca="1" ref="DB66" ca="1">INDIRECT($DD$2&amp;DB$28&amp;$CW66)</f>
        <v>0</v>
      </c>
      <c r="DC66" s="22" cm="1">
        <f t="array" aca="1" ref="DC66" ca="1">INDIRECT($DD$2&amp;DC$28&amp;$CW66)</f>
        <v>0</v>
      </c>
      <c r="DD66" s="22" t="str">
        <f t="shared" ca="1" si="57"/>
        <v/>
      </c>
      <c r="DE66" s="22" t="str">
        <f t="shared" ca="1" si="58"/>
        <v/>
      </c>
      <c r="EQ66" s="469" t="s">
        <v>5510</v>
      </c>
      <c r="ES66" s="20" t="s">
        <v>347</v>
      </c>
      <c r="ET66" s="1670" t="s">
        <v>10</v>
      </c>
      <c r="EU66" s="1671"/>
      <c r="EV66" s="1670" t="s">
        <v>237</v>
      </c>
      <c r="EW66" s="1671"/>
      <c r="EX66" s="1670" t="s">
        <v>10</v>
      </c>
      <c r="EY66" s="1671"/>
      <c r="EZ66" s="1670" t="s">
        <v>237</v>
      </c>
      <c r="FA66" s="1671"/>
      <c r="FB66" s="539" t="s">
        <v>10</v>
      </c>
      <c r="FC66" s="539" t="s">
        <v>237</v>
      </c>
      <c r="FD66" s="539" t="s">
        <v>10</v>
      </c>
      <c r="FE66" s="539" t="s">
        <v>237</v>
      </c>
      <c r="FF66" s="539" t="s">
        <v>10</v>
      </c>
      <c r="FG66" s="539" t="s">
        <v>237</v>
      </c>
      <c r="HN66" s="20"/>
    </row>
    <row r="67" spans="14:224" x14ac:dyDescent="0.25">
      <c r="N67" s="20"/>
      <c r="Y67" s="20"/>
      <c r="AV67" s="469" t="s">
        <v>5510</v>
      </c>
      <c r="BF67" s="469" t="s">
        <v>5510</v>
      </c>
      <c r="BH67" s="539" t="s">
        <v>8039</v>
      </c>
      <c r="BI67" s="539">
        <f t="shared" si="54"/>
        <v>73</v>
      </c>
      <c r="BJ67" s="539" cm="1">
        <f t="array" aca="1" ref="BJ67" ca="1">INDIRECT($BM$2&amp;BJ$7&amp;$BI67,1)</f>
        <v>0</v>
      </c>
      <c r="BK67" s="539" cm="1">
        <f t="array" aca="1" ref="BK67" ca="1">INDIRECT($BM$2&amp;BK$7&amp;$BI67,1)</f>
        <v>0</v>
      </c>
      <c r="BL67" s="539" cm="1">
        <f t="array" aca="1" ref="BL67" ca="1">INDIRECT($BM$2&amp;BL$7&amp;$BI67,1)</f>
        <v>0</v>
      </c>
      <c r="BM67" s="539" cm="1">
        <f t="array" aca="1" ref="BM67" ca="1">INDIRECT($BM$2&amp;BM$7&amp;$BI67,1)</f>
        <v>0</v>
      </c>
      <c r="BN67" s="539" cm="1">
        <f t="array" aca="1" ref="BN67" ca="1">INDIRECT($BM$2&amp;BN$7&amp;$BI67,1)</f>
        <v>0</v>
      </c>
      <c r="BO67" s="539" t="str">
        <f t="shared" ca="1" si="51"/>
        <v>-</v>
      </c>
      <c r="BQ67" s="20"/>
      <c r="BR67" s="469">
        <v>10</v>
      </c>
      <c r="BS67" s="539" t="s">
        <v>8039</v>
      </c>
      <c r="BT67" s="539">
        <f t="shared" si="55"/>
        <v>419</v>
      </c>
      <c r="BU67" s="539" cm="1">
        <f t="array" aca="1" ref="BU67" ca="1">INDIRECT($BM$2&amp;BU$7&amp;$BT67,1)</f>
        <v>0</v>
      </c>
      <c r="BV67" s="539" cm="1">
        <f t="array" aca="1" ref="BV67" ca="1">INDIRECT($BM$2&amp;BV$7&amp;$BT67,1)</f>
        <v>0</v>
      </c>
      <c r="BW67" s="539" cm="1">
        <f t="array" aca="1" ref="BW67" ca="1">INDIRECT($BM$2&amp;BW$7&amp;$BT67,1)</f>
        <v>0</v>
      </c>
      <c r="BX67" s="539" cm="1">
        <f t="array" aca="1" ref="BX67" ca="1">INDIRECT($BM$2&amp;BX$7&amp;$BT67,1)</f>
        <v>0</v>
      </c>
      <c r="BY67" s="539" cm="1">
        <f t="array" aca="1" ref="BY67" ca="1">INDIRECT($BM$2&amp;BY$7&amp;$BT67,1)</f>
        <v>0</v>
      </c>
      <c r="BZ67" s="539" t="str">
        <f t="shared" ca="1" si="52"/>
        <v>-</v>
      </c>
      <c r="CC67" s="469">
        <v>10</v>
      </c>
      <c r="CD67" s="539" t="s">
        <v>8039</v>
      </c>
      <c r="CE67" s="539">
        <f t="shared" si="56"/>
        <v>765</v>
      </c>
      <c r="CF67" s="539" cm="1">
        <f t="array" aca="1" ref="CF67" ca="1">INDIRECT($BM$2&amp;CF$7&amp;$CE67,1)</f>
        <v>0</v>
      </c>
      <c r="CG67" s="539" cm="1">
        <f t="array" aca="1" ref="CG67" ca="1">INDIRECT($BM$2&amp;CG$7&amp;$CE67,1)</f>
        <v>0</v>
      </c>
      <c r="CH67" s="539" cm="1">
        <f t="array" aca="1" ref="CH67" ca="1">INDIRECT($BM$2&amp;CH$7&amp;$CE67,1)</f>
        <v>0</v>
      </c>
      <c r="CI67" s="539" cm="1">
        <f t="array" aca="1" ref="CI67" ca="1">INDIRECT($BM$2&amp;CI$7&amp;$CE67,1)</f>
        <v>0</v>
      </c>
      <c r="CJ67" s="539" cm="1">
        <f t="array" aca="1" ref="CJ67" ca="1">INDIRECT($BM$2&amp;CJ$7&amp;$CE67,1)</f>
        <v>0</v>
      </c>
      <c r="CK67" s="539" t="str">
        <f t="shared" ca="1" si="53"/>
        <v>-</v>
      </c>
      <c r="CU67" s="469" t="s">
        <v>5510</v>
      </c>
      <c r="CV67" s="22">
        <v>2</v>
      </c>
      <c r="CW67" s="522">
        <f t="shared" si="59"/>
        <v>73</v>
      </c>
      <c r="CX67" s="22" cm="1">
        <f t="array" aca="1" ref="CX67" ca="1">INDIRECT($DD$2&amp;CX$28&amp;$CW67)</f>
        <v>0</v>
      </c>
      <c r="CY67" s="22" cm="1">
        <f t="array" aca="1" ref="CY67" ca="1">INDIRECT($DD$2&amp;CY$28&amp;$CW67)</f>
        <v>0</v>
      </c>
      <c r="CZ67" s="22" cm="1">
        <f t="array" aca="1" ref="CZ67" ca="1">INDIRECT($DD$2&amp;CZ$28&amp;$CW67)</f>
        <v>0</v>
      </c>
      <c r="DA67" s="22" cm="1">
        <f t="array" aca="1" ref="DA67" ca="1">INDIRECT($DD$2&amp;DA$28&amp;$CW67)</f>
        <v>0</v>
      </c>
      <c r="DB67" s="22" cm="1">
        <f t="array" aca="1" ref="DB67" ca="1">INDIRECT($DD$2&amp;DB$28&amp;$CW67)</f>
        <v>0</v>
      </c>
      <c r="DC67" s="22" cm="1">
        <f t="array" aca="1" ref="DC67" ca="1">INDIRECT($DD$2&amp;DC$28&amp;$CW67)</f>
        <v>0</v>
      </c>
      <c r="DD67" s="22" t="str">
        <f t="shared" ca="1" si="57"/>
        <v/>
      </c>
      <c r="DE67" s="22" t="str">
        <f t="shared" ca="1" si="58"/>
        <v/>
      </c>
      <c r="EQ67" s="469" t="s">
        <v>5510</v>
      </c>
      <c r="ET67" s="722" t="s">
        <v>109</v>
      </c>
      <c r="EU67" s="722" t="s">
        <v>110</v>
      </c>
      <c r="EV67" s="722" t="s">
        <v>109</v>
      </c>
      <c r="EW67" s="722" t="s">
        <v>110</v>
      </c>
      <c r="EX67" s="722" t="s">
        <v>109</v>
      </c>
      <c r="EY67" s="722" t="s">
        <v>110</v>
      </c>
      <c r="EZ67" s="722" t="s">
        <v>109</v>
      </c>
      <c r="FA67" s="722" t="s">
        <v>110</v>
      </c>
      <c r="FB67" s="722" t="s">
        <v>5995</v>
      </c>
      <c r="FC67" s="722" t="s">
        <v>5995</v>
      </c>
      <c r="FD67" s="722" t="s">
        <v>5995</v>
      </c>
      <c r="FE67" s="722" t="s">
        <v>5995</v>
      </c>
      <c r="FF67" s="722" t="s">
        <v>5995</v>
      </c>
      <c r="FG67" s="722" t="s">
        <v>5995</v>
      </c>
      <c r="HN67" s="20"/>
    </row>
    <row r="68" spans="14:224" x14ac:dyDescent="0.25">
      <c r="N68" s="20"/>
      <c r="Y68" s="20"/>
      <c r="AV68" s="469" t="s">
        <v>5510</v>
      </c>
      <c r="BF68" s="469" t="s">
        <v>5510</v>
      </c>
      <c r="BH68" s="539" t="s">
        <v>8039</v>
      </c>
      <c r="BI68" s="539">
        <f t="shared" si="54"/>
        <v>74</v>
      </c>
      <c r="BJ68" s="539" cm="1">
        <f t="array" aca="1" ref="BJ68" ca="1">INDIRECT($BM$2&amp;BJ$7&amp;$BI68,1)</f>
        <v>0</v>
      </c>
      <c r="BK68" s="539" cm="1">
        <f t="array" aca="1" ref="BK68" ca="1">INDIRECT($BM$2&amp;BK$7&amp;$BI68,1)</f>
        <v>0</v>
      </c>
      <c r="BL68" s="539" cm="1">
        <f t="array" aca="1" ref="BL68" ca="1">INDIRECT($BM$2&amp;BL$7&amp;$BI68,1)</f>
        <v>0</v>
      </c>
      <c r="BM68" s="539" cm="1">
        <f t="array" aca="1" ref="BM68" ca="1">INDIRECT($BM$2&amp;BM$7&amp;$BI68,1)</f>
        <v>0</v>
      </c>
      <c r="BN68" s="539" cm="1">
        <f t="array" aca="1" ref="BN68" ca="1">INDIRECT($BM$2&amp;BN$7&amp;$BI68,1)</f>
        <v>0</v>
      </c>
      <c r="BO68" s="539" t="str">
        <f t="shared" ca="1" si="51"/>
        <v>-</v>
      </c>
      <c r="BQ68" s="20"/>
      <c r="BR68" s="469">
        <v>11</v>
      </c>
      <c r="BS68" s="539" t="s">
        <v>8039</v>
      </c>
      <c r="BT68" s="539">
        <f t="shared" si="55"/>
        <v>420</v>
      </c>
      <c r="BU68" s="539" cm="1">
        <f t="array" aca="1" ref="BU68" ca="1">INDIRECT($BM$2&amp;BU$7&amp;$BT68,1)</f>
        <v>0</v>
      </c>
      <c r="BV68" s="539" cm="1">
        <f t="array" aca="1" ref="BV68" ca="1">INDIRECT($BM$2&amp;BV$7&amp;$BT68,1)</f>
        <v>0</v>
      </c>
      <c r="BW68" s="539" cm="1">
        <f t="array" aca="1" ref="BW68" ca="1">INDIRECT($BM$2&amp;BW$7&amp;$BT68,1)</f>
        <v>0</v>
      </c>
      <c r="BX68" s="539" cm="1">
        <f t="array" aca="1" ref="BX68" ca="1">INDIRECT($BM$2&amp;BX$7&amp;$BT68,1)</f>
        <v>0</v>
      </c>
      <c r="BY68" s="539" cm="1">
        <f t="array" aca="1" ref="BY68" ca="1">INDIRECT($BM$2&amp;BY$7&amp;$BT68,1)</f>
        <v>0</v>
      </c>
      <c r="BZ68" s="539" t="str">
        <f t="shared" ca="1" si="52"/>
        <v>-</v>
      </c>
      <c r="CC68" s="469">
        <v>11</v>
      </c>
      <c r="CD68" s="539" t="s">
        <v>8039</v>
      </c>
      <c r="CE68" s="539">
        <f t="shared" si="56"/>
        <v>766</v>
      </c>
      <c r="CF68" s="539" cm="1">
        <f t="array" aca="1" ref="CF68" ca="1">INDIRECT($BM$2&amp;CF$7&amp;$CE68,1)</f>
        <v>0</v>
      </c>
      <c r="CG68" s="539" cm="1">
        <f t="array" aca="1" ref="CG68" ca="1">INDIRECT($BM$2&amp;CG$7&amp;$CE68,1)</f>
        <v>0</v>
      </c>
      <c r="CH68" s="539" cm="1">
        <f t="array" aca="1" ref="CH68" ca="1">INDIRECT($BM$2&amp;CH$7&amp;$CE68,1)</f>
        <v>0</v>
      </c>
      <c r="CI68" s="539" cm="1">
        <f t="array" aca="1" ref="CI68" ca="1">INDIRECT($BM$2&amp;CI$7&amp;$CE68,1)</f>
        <v>0</v>
      </c>
      <c r="CJ68" s="539" cm="1">
        <f t="array" aca="1" ref="CJ68" ca="1">INDIRECT($BM$2&amp;CJ$7&amp;$CE68,1)</f>
        <v>0</v>
      </c>
      <c r="CK68" s="539" t="str">
        <f t="shared" ca="1" si="53"/>
        <v>-</v>
      </c>
      <c r="CU68" s="469" t="s">
        <v>5510</v>
      </c>
      <c r="CV68" s="22">
        <v>2</v>
      </c>
      <c r="CW68" s="522">
        <f t="shared" si="59"/>
        <v>74</v>
      </c>
      <c r="CX68" s="22" cm="1">
        <f t="array" aca="1" ref="CX68" ca="1">INDIRECT($DD$2&amp;CX$28&amp;$CW68)</f>
        <v>0</v>
      </c>
      <c r="CY68" s="22" cm="1">
        <f t="array" aca="1" ref="CY68" ca="1">INDIRECT($DD$2&amp;CY$28&amp;$CW68)</f>
        <v>0</v>
      </c>
      <c r="CZ68" s="22" cm="1">
        <f t="array" aca="1" ref="CZ68" ca="1">INDIRECT($DD$2&amp;CZ$28&amp;$CW68)</f>
        <v>0</v>
      </c>
      <c r="DA68" s="22" cm="1">
        <f t="array" aca="1" ref="DA68" ca="1">INDIRECT($DD$2&amp;DA$28&amp;$CW68)</f>
        <v>0</v>
      </c>
      <c r="DB68" s="22" cm="1">
        <f t="array" aca="1" ref="DB68" ca="1">INDIRECT($DD$2&amp;DB$28&amp;$CW68)</f>
        <v>0</v>
      </c>
      <c r="DC68" s="22" cm="1">
        <f t="array" aca="1" ref="DC68" ca="1">INDIRECT($DD$2&amp;DC$28&amp;$CW68)</f>
        <v>0</v>
      </c>
      <c r="DD68" s="22" t="str">
        <f t="shared" ca="1" si="57"/>
        <v/>
      </c>
      <c r="DE68" s="22" t="str">
        <f t="shared" ca="1" si="58"/>
        <v/>
      </c>
      <c r="EQ68" s="469" t="s">
        <v>5510</v>
      </c>
      <c r="ES68" s="535" t="s">
        <v>90</v>
      </c>
      <c r="ET68" s="597" t="str">
        <f ca="1">EW8</f>
        <v/>
      </c>
      <c r="EU68" s="597" t="str">
        <f ca="1">EX8</f>
        <v/>
      </c>
      <c r="EV68" s="597" t="str">
        <f ca="1">EY8</f>
        <v/>
      </c>
      <c r="EW68" s="597" t="str">
        <f ca="1">EZ8</f>
        <v/>
      </c>
      <c r="EX68" s="643" t="str">
        <f ca="1">FE8</f>
        <v/>
      </c>
      <c r="EY68" s="643" t="str">
        <f ca="1">FF8</f>
        <v/>
      </c>
      <c r="EZ68" s="643" t="str">
        <f ca="1">FG8</f>
        <v/>
      </c>
      <c r="FA68" s="643" t="str">
        <f ca="1">FH8</f>
        <v/>
      </c>
      <c r="FB68" s="714">
        <f t="shared" ref="FB68:FG77" si="60">FT6</f>
        <v>12</v>
      </c>
      <c r="FC68" s="714">
        <f t="shared" ca="1" si="60"/>
        <v>0</v>
      </c>
      <c r="FD68" s="714">
        <f t="shared" si="60"/>
        <v>0</v>
      </c>
      <c r="FE68" s="714">
        <f t="shared" si="60"/>
        <v>0</v>
      </c>
      <c r="FF68" s="714" t="str">
        <f t="shared" ca="1" si="60"/>
        <v>-</v>
      </c>
      <c r="FG68" s="714">
        <f t="shared" si="60"/>
        <v>0</v>
      </c>
      <c r="HN68" s="20"/>
    </row>
    <row r="69" spans="14:224" x14ac:dyDescent="0.25">
      <c r="N69" s="20"/>
      <c r="Y69" s="20"/>
      <c r="AV69" s="469" t="s">
        <v>5510</v>
      </c>
      <c r="BF69" s="469" t="s">
        <v>5510</v>
      </c>
      <c r="BH69" s="539" t="s">
        <v>8039</v>
      </c>
      <c r="BI69" s="539">
        <f t="shared" si="54"/>
        <v>75</v>
      </c>
      <c r="BJ69" s="539" cm="1">
        <f t="array" aca="1" ref="BJ69" ca="1">INDIRECT($BM$2&amp;BJ$7&amp;$BI69,1)</f>
        <v>0</v>
      </c>
      <c r="BK69" s="539" cm="1">
        <f t="array" aca="1" ref="BK69" ca="1">INDIRECT($BM$2&amp;BK$7&amp;$BI69,1)</f>
        <v>0</v>
      </c>
      <c r="BL69" s="539" cm="1">
        <f t="array" aca="1" ref="BL69" ca="1">INDIRECT($BM$2&amp;BL$7&amp;$BI69,1)</f>
        <v>0</v>
      </c>
      <c r="BM69" s="539" cm="1">
        <f t="array" aca="1" ref="BM69" ca="1">INDIRECT($BM$2&amp;BM$7&amp;$BI69,1)</f>
        <v>0</v>
      </c>
      <c r="BN69" s="539" t="str" cm="1">
        <f t="array" aca="1" ref="BN69" ca="1">INDIRECT($BM$2&amp;BN$7&amp;$BI69,1)</f>
        <v>-</v>
      </c>
      <c r="BO69" s="539" t="str">
        <f t="shared" ca="1" si="51"/>
        <v>-</v>
      </c>
      <c r="BQ69" s="20"/>
      <c r="BR69" s="469">
        <v>12</v>
      </c>
      <c r="BS69" s="539" t="s">
        <v>8039</v>
      </c>
      <c r="BT69" s="539">
        <f t="shared" si="55"/>
        <v>421</v>
      </c>
      <c r="BU69" s="539" cm="1">
        <f t="array" aca="1" ref="BU69" ca="1">INDIRECT($BM$2&amp;BU$7&amp;$BT69,1)</f>
        <v>0</v>
      </c>
      <c r="BV69" s="539" cm="1">
        <f t="array" aca="1" ref="BV69" ca="1">INDIRECT($BM$2&amp;BV$7&amp;$BT69,1)</f>
        <v>0</v>
      </c>
      <c r="BW69" s="539" cm="1">
        <f t="array" aca="1" ref="BW69" ca="1">INDIRECT($BM$2&amp;BW$7&amp;$BT69,1)</f>
        <v>0</v>
      </c>
      <c r="BX69" s="539" cm="1">
        <f t="array" aca="1" ref="BX69" ca="1">INDIRECT($BM$2&amp;BX$7&amp;$BT69,1)</f>
        <v>0</v>
      </c>
      <c r="BY69" s="539" t="str" cm="1">
        <f t="array" aca="1" ref="BY69" ca="1">INDIRECT($BM$2&amp;BY$7&amp;$BT69,1)</f>
        <v>-</v>
      </c>
      <c r="BZ69" s="539" t="str">
        <f t="shared" ca="1" si="52"/>
        <v>-</v>
      </c>
      <c r="CC69" s="469">
        <v>12</v>
      </c>
      <c r="CD69" s="539" t="s">
        <v>8039</v>
      </c>
      <c r="CE69" s="539">
        <f t="shared" si="56"/>
        <v>767</v>
      </c>
      <c r="CF69" s="539" cm="1">
        <f t="array" aca="1" ref="CF69" ca="1">INDIRECT($BM$2&amp;CF$7&amp;$CE69,1)</f>
        <v>0</v>
      </c>
      <c r="CG69" s="539" cm="1">
        <f t="array" aca="1" ref="CG69" ca="1">INDIRECT($BM$2&amp;CG$7&amp;$CE69,1)</f>
        <v>0</v>
      </c>
      <c r="CH69" s="539" cm="1">
        <f t="array" aca="1" ref="CH69" ca="1">INDIRECT($BM$2&amp;CH$7&amp;$CE69,1)</f>
        <v>0</v>
      </c>
      <c r="CI69" s="539" cm="1">
        <f t="array" aca="1" ref="CI69" ca="1">INDIRECT($BM$2&amp;CI$7&amp;$CE69,1)</f>
        <v>0</v>
      </c>
      <c r="CJ69" s="539" t="str" cm="1">
        <f t="array" aca="1" ref="CJ69" ca="1">INDIRECT($BM$2&amp;CJ$7&amp;$CE69,1)</f>
        <v>-</v>
      </c>
      <c r="CK69" s="539" t="str">
        <f t="shared" ca="1" si="53"/>
        <v>-</v>
      </c>
      <c r="CU69" s="469" t="s">
        <v>5510</v>
      </c>
      <c r="CV69" s="22">
        <v>2</v>
      </c>
      <c r="CW69" s="522">
        <f t="shared" si="59"/>
        <v>75</v>
      </c>
      <c r="CX69" s="22" cm="1">
        <f t="array" aca="1" ref="CX69" ca="1">INDIRECT($DD$2&amp;CX$28&amp;$CW69)</f>
        <v>0</v>
      </c>
      <c r="CY69" s="22" cm="1">
        <f t="array" aca="1" ref="CY69" ca="1">INDIRECT($DD$2&amp;CY$28&amp;$CW69)</f>
        <v>0</v>
      </c>
      <c r="CZ69" s="22" cm="1">
        <f t="array" aca="1" ref="CZ69" ca="1">INDIRECT($DD$2&amp;CZ$28&amp;$CW69)</f>
        <v>0</v>
      </c>
      <c r="DA69" s="22" cm="1">
        <f t="array" aca="1" ref="DA69" ca="1">INDIRECT($DD$2&amp;DA$28&amp;$CW69)</f>
        <v>0</v>
      </c>
      <c r="DB69" s="22" cm="1">
        <f t="array" aca="1" ref="DB69" ca="1">INDIRECT($DD$2&amp;DB$28&amp;$CW69)</f>
        <v>0</v>
      </c>
      <c r="DC69" s="22" cm="1">
        <f t="array" aca="1" ref="DC69" ca="1">INDIRECT($DD$2&amp;DC$28&amp;$CW69)</f>
        <v>0</v>
      </c>
      <c r="DD69" s="22" t="str">
        <f t="shared" ca="1" si="57"/>
        <v/>
      </c>
      <c r="DE69" s="22" t="str">
        <f t="shared" ca="1" si="58"/>
        <v/>
      </c>
      <c r="EQ69" s="469" t="s">
        <v>5510</v>
      </c>
      <c r="ES69" s="535" t="s">
        <v>91</v>
      </c>
      <c r="ET69" s="597" t="str">
        <f t="shared" ref="ET69:EW77" ca="1" si="61">EW9</f>
        <v/>
      </c>
      <c r="EU69" s="597" t="str">
        <f t="shared" ca="1" si="61"/>
        <v/>
      </c>
      <c r="EV69" s="597" t="str">
        <f t="shared" ca="1" si="61"/>
        <v/>
      </c>
      <c r="EW69" s="597" t="str">
        <f t="shared" ca="1" si="61"/>
        <v/>
      </c>
      <c r="EX69" s="643" t="str">
        <f t="shared" ref="EX69:FA77" ca="1" si="62">FE9</f>
        <v/>
      </c>
      <c r="EY69" s="643" t="str">
        <f t="shared" ca="1" si="62"/>
        <v/>
      </c>
      <c r="EZ69" s="643" t="str">
        <f t="shared" ca="1" si="62"/>
        <v/>
      </c>
      <c r="FA69" s="643" t="str">
        <f t="shared" ca="1" si="62"/>
        <v/>
      </c>
      <c r="FB69" s="714">
        <f t="shared" si="60"/>
        <v>0</v>
      </c>
      <c r="FC69" s="714">
        <f t="shared" si="60"/>
        <v>0</v>
      </c>
      <c r="FD69" s="714">
        <f t="shared" si="60"/>
        <v>0</v>
      </c>
      <c r="FE69" s="714">
        <f t="shared" si="60"/>
        <v>0</v>
      </c>
      <c r="FF69" s="714">
        <f t="shared" si="60"/>
        <v>0</v>
      </c>
      <c r="FG69" s="714">
        <f t="shared" si="60"/>
        <v>0</v>
      </c>
      <c r="GC69" s="472" t="s">
        <v>5510</v>
      </c>
      <c r="HN69" s="20"/>
      <c r="HP69" s="472"/>
    </row>
    <row r="70" spans="14:224" x14ac:dyDescent="0.25">
      <c r="N70" s="20"/>
      <c r="Y70" s="20"/>
      <c r="AV70" s="469" t="s">
        <v>5510</v>
      </c>
      <c r="BF70" s="469" t="s">
        <v>5510</v>
      </c>
      <c r="BL70" s="372"/>
      <c r="BO70" s="472"/>
      <c r="BQ70" s="20"/>
      <c r="BT70" s="372"/>
      <c r="BU70" s="472"/>
      <c r="BV70" s="472"/>
      <c r="BW70" s="372"/>
      <c r="BX70" s="472"/>
      <c r="BY70" s="372"/>
      <c r="BZ70" s="472"/>
      <c r="CE70" s="372"/>
      <c r="CF70" s="472"/>
      <c r="CG70" s="472"/>
      <c r="CH70" s="372"/>
      <c r="CI70" s="472"/>
      <c r="CJ70" s="372"/>
      <c r="CK70" s="472"/>
      <c r="CU70" s="469" t="s">
        <v>5510</v>
      </c>
      <c r="CV70" s="22">
        <v>2</v>
      </c>
      <c r="CW70" s="522">
        <f t="shared" si="59"/>
        <v>76</v>
      </c>
      <c r="CX70" s="22" cm="1">
        <f t="array" aca="1" ref="CX70" ca="1">INDIRECT($DD$2&amp;CX$28&amp;$CW70)</f>
        <v>0</v>
      </c>
      <c r="CY70" s="22" cm="1">
        <f t="array" aca="1" ref="CY70" ca="1">INDIRECT($DD$2&amp;CY$28&amp;$CW70)</f>
        <v>0</v>
      </c>
      <c r="CZ70" s="22" cm="1">
        <f t="array" aca="1" ref="CZ70" ca="1">INDIRECT($DD$2&amp;CZ$28&amp;$CW70)</f>
        <v>0</v>
      </c>
      <c r="DA70" s="22" cm="1">
        <f t="array" aca="1" ref="DA70" ca="1">INDIRECT($DD$2&amp;DA$28&amp;$CW70)</f>
        <v>0</v>
      </c>
      <c r="DB70" s="22" cm="1">
        <f t="array" aca="1" ref="DB70" ca="1">INDIRECT($DD$2&amp;DB$28&amp;$CW70)</f>
        <v>0</v>
      </c>
      <c r="DC70" s="22" cm="1">
        <f t="array" aca="1" ref="DC70" ca="1">INDIRECT($DD$2&amp;DC$28&amp;$CW70)</f>
        <v>0</v>
      </c>
      <c r="DD70" s="22" t="str">
        <f t="shared" ca="1" si="57"/>
        <v/>
      </c>
      <c r="DE70" s="22" t="str">
        <f t="shared" ca="1" si="58"/>
        <v/>
      </c>
      <c r="EQ70" s="469" t="s">
        <v>5510</v>
      </c>
      <c r="ES70" s="535" t="s">
        <v>92</v>
      </c>
      <c r="ET70" s="597" t="str">
        <f t="shared" ca="1" si="61"/>
        <v/>
      </c>
      <c r="EU70" s="597" t="str">
        <f t="shared" ca="1" si="61"/>
        <v/>
      </c>
      <c r="EV70" s="597" t="str">
        <f t="shared" ca="1" si="61"/>
        <v/>
      </c>
      <c r="EW70" s="597" t="str">
        <f t="shared" ca="1" si="61"/>
        <v/>
      </c>
      <c r="EX70" s="643" t="str">
        <f t="shared" ca="1" si="62"/>
        <v/>
      </c>
      <c r="EY70" s="643" t="str">
        <f t="shared" ca="1" si="62"/>
        <v/>
      </c>
      <c r="EZ70" s="643" t="str">
        <f t="shared" ca="1" si="62"/>
        <v/>
      </c>
      <c r="FA70" s="643" t="str">
        <f t="shared" ca="1" si="62"/>
        <v/>
      </c>
      <c r="FB70" s="714">
        <f t="shared" si="60"/>
        <v>0</v>
      </c>
      <c r="FC70" s="714">
        <f t="shared" si="60"/>
        <v>0</v>
      </c>
      <c r="FD70" s="714">
        <f t="shared" si="60"/>
        <v>0</v>
      </c>
      <c r="FE70" s="714">
        <f t="shared" si="60"/>
        <v>0</v>
      </c>
      <c r="FF70" s="714">
        <f t="shared" si="60"/>
        <v>0</v>
      </c>
      <c r="FG70" s="714">
        <f t="shared" si="60"/>
        <v>0</v>
      </c>
      <c r="GC70" s="472" t="s">
        <v>5510</v>
      </c>
      <c r="HN70" s="20"/>
      <c r="HP70" s="472"/>
    </row>
    <row r="71" spans="14:224" x14ac:dyDescent="0.25">
      <c r="N71" s="20"/>
      <c r="Y71" s="20"/>
      <c r="AV71" s="469" t="s">
        <v>5510</v>
      </c>
      <c r="BF71" s="469" t="s">
        <v>5510</v>
      </c>
      <c r="BL71" s="372"/>
      <c r="BO71" s="472"/>
      <c r="BQ71" s="20"/>
      <c r="BT71" s="372"/>
      <c r="BU71" s="472"/>
      <c r="BV71" s="472"/>
      <c r="BW71" s="372"/>
      <c r="BX71" s="472"/>
      <c r="BY71" s="372"/>
      <c r="BZ71" s="472"/>
      <c r="CE71" s="372"/>
      <c r="CF71" s="472"/>
      <c r="CG71" s="472"/>
      <c r="CH71" s="372"/>
      <c r="CI71" s="472"/>
      <c r="CJ71" s="372"/>
      <c r="CK71" s="472"/>
      <c r="CU71" s="469" t="s">
        <v>5510</v>
      </c>
      <c r="CV71" s="566">
        <v>3</v>
      </c>
      <c r="CW71" s="558">
        <f t="shared" si="59"/>
        <v>84</v>
      </c>
      <c r="CX71" s="492" cm="1">
        <f t="array" aca="1" ref="CX71" ca="1">INDIRECT($DD$2&amp;CX$28&amp;$CW71)</f>
        <v>0</v>
      </c>
      <c r="CY71" s="492" cm="1">
        <f t="array" aca="1" ref="CY71" ca="1">INDIRECT($DD$2&amp;CY$28&amp;$CW71)</f>
        <v>0</v>
      </c>
      <c r="CZ71" s="492" cm="1">
        <f t="array" aca="1" ref="CZ71" ca="1">INDIRECT($DD$2&amp;CZ$28&amp;$CW71)</f>
        <v>0</v>
      </c>
      <c r="DA71" s="492" cm="1">
        <f t="array" aca="1" ref="DA71" ca="1">INDIRECT($DD$2&amp;DA$28&amp;$CW71)</f>
        <v>0</v>
      </c>
      <c r="DB71" s="492" cm="1">
        <f t="array" aca="1" ref="DB71" ca="1">INDIRECT($DD$2&amp;DB$28&amp;$CW71)</f>
        <v>0</v>
      </c>
      <c r="DC71" s="492" cm="1">
        <f t="array" aca="1" ref="DC71" ca="1">INDIRECT($DD$2&amp;DC$28&amp;$CW71)</f>
        <v>0</v>
      </c>
      <c r="DD71" s="492" t="str">
        <f t="shared" ca="1" si="57"/>
        <v/>
      </c>
      <c r="DE71" s="492" t="str">
        <f t="shared" ca="1" si="58"/>
        <v/>
      </c>
      <c r="EQ71" s="469" t="s">
        <v>5510</v>
      </c>
      <c r="ES71" s="535" t="s">
        <v>93</v>
      </c>
      <c r="ET71" s="597" t="str">
        <f t="shared" ca="1" si="61"/>
        <v/>
      </c>
      <c r="EU71" s="597" t="str">
        <f t="shared" ca="1" si="61"/>
        <v/>
      </c>
      <c r="EV71" s="597" t="str">
        <f t="shared" ca="1" si="61"/>
        <v/>
      </c>
      <c r="EW71" s="597" t="str">
        <f t="shared" ca="1" si="61"/>
        <v/>
      </c>
      <c r="EX71" s="643" t="str">
        <f t="shared" ca="1" si="62"/>
        <v/>
      </c>
      <c r="EY71" s="643" t="str">
        <f t="shared" ca="1" si="62"/>
        <v/>
      </c>
      <c r="EZ71" s="643" t="str">
        <f t="shared" ca="1" si="62"/>
        <v/>
      </c>
      <c r="FA71" s="643" t="str">
        <f t="shared" ca="1" si="62"/>
        <v/>
      </c>
      <c r="FB71" s="714">
        <f t="shared" si="60"/>
        <v>0</v>
      </c>
      <c r="FC71" s="714">
        <f t="shared" si="60"/>
        <v>0</v>
      </c>
      <c r="FD71" s="714">
        <f t="shared" si="60"/>
        <v>0</v>
      </c>
      <c r="FE71" s="714">
        <f t="shared" si="60"/>
        <v>0</v>
      </c>
      <c r="FF71" s="714">
        <f t="shared" si="60"/>
        <v>0</v>
      </c>
      <c r="FG71" s="714">
        <f t="shared" si="60"/>
        <v>0</v>
      </c>
      <c r="GC71" s="472" t="s">
        <v>5510</v>
      </c>
      <c r="HN71" s="20"/>
      <c r="HP71" s="472"/>
    </row>
    <row r="72" spans="14:224" x14ac:dyDescent="0.25">
      <c r="N72" s="20"/>
      <c r="Y72" s="20"/>
      <c r="AV72" s="469" t="s">
        <v>5510</v>
      </c>
      <c r="BF72" s="469" t="s">
        <v>5510</v>
      </c>
      <c r="BQ72" s="20"/>
      <c r="BT72" s="372"/>
      <c r="BU72" s="472"/>
      <c r="BV72" s="472"/>
      <c r="BW72" s="472"/>
      <c r="BX72" s="472"/>
      <c r="BY72" s="372"/>
      <c r="BZ72" s="372"/>
      <c r="CE72" s="372"/>
      <c r="CF72" s="472"/>
      <c r="CG72" s="472"/>
      <c r="CH72" s="472"/>
      <c r="CI72" s="472"/>
      <c r="CJ72" s="372"/>
      <c r="CK72" s="372"/>
      <c r="CU72" s="469" t="s">
        <v>5510</v>
      </c>
      <c r="CV72" s="492">
        <v>3</v>
      </c>
      <c r="CW72" s="558">
        <f t="shared" si="59"/>
        <v>85</v>
      </c>
      <c r="CX72" s="492" cm="1">
        <f t="array" aca="1" ref="CX72" ca="1">INDIRECT($DD$2&amp;CX$28&amp;$CW72)</f>
        <v>0</v>
      </c>
      <c r="CY72" s="492" cm="1">
        <f t="array" aca="1" ref="CY72" ca="1">INDIRECT($DD$2&amp;CY$28&amp;$CW72)</f>
        <v>0</v>
      </c>
      <c r="CZ72" s="492" cm="1">
        <f t="array" aca="1" ref="CZ72" ca="1">INDIRECT($DD$2&amp;CZ$28&amp;$CW72)</f>
        <v>0</v>
      </c>
      <c r="DA72" s="492" cm="1">
        <f t="array" aca="1" ref="DA72" ca="1">INDIRECT($DD$2&amp;DA$28&amp;$CW72)</f>
        <v>0</v>
      </c>
      <c r="DB72" s="492" cm="1">
        <f t="array" aca="1" ref="DB72" ca="1">INDIRECT($DD$2&amp;DB$28&amp;$CW72)</f>
        <v>0</v>
      </c>
      <c r="DC72" s="492" cm="1">
        <f t="array" aca="1" ref="DC72" ca="1">INDIRECT($DD$2&amp;DC$28&amp;$CW72)</f>
        <v>0</v>
      </c>
      <c r="DD72" s="492" t="str">
        <f t="shared" ca="1" si="57"/>
        <v/>
      </c>
      <c r="DE72" s="492" t="str">
        <f t="shared" ca="1" si="58"/>
        <v/>
      </c>
      <c r="EQ72" s="469" t="s">
        <v>5510</v>
      </c>
      <c r="ES72" s="535" t="s">
        <v>94</v>
      </c>
      <c r="ET72" s="597" t="str">
        <f t="shared" ca="1" si="61"/>
        <v/>
      </c>
      <c r="EU72" s="597" t="str">
        <f t="shared" ca="1" si="61"/>
        <v/>
      </c>
      <c r="EV72" s="597" t="str">
        <f t="shared" ca="1" si="61"/>
        <v/>
      </c>
      <c r="EW72" s="597" t="str">
        <f t="shared" ca="1" si="61"/>
        <v/>
      </c>
      <c r="EX72" s="643" t="str">
        <f t="shared" ca="1" si="62"/>
        <v/>
      </c>
      <c r="EY72" s="643" t="str">
        <f t="shared" ca="1" si="62"/>
        <v/>
      </c>
      <c r="EZ72" s="643" t="str">
        <f t="shared" ca="1" si="62"/>
        <v/>
      </c>
      <c r="FA72" s="643" t="str">
        <f t="shared" ca="1" si="62"/>
        <v/>
      </c>
      <c r="FB72" s="714">
        <f t="shared" si="60"/>
        <v>0</v>
      </c>
      <c r="FC72" s="714">
        <f t="shared" si="60"/>
        <v>0</v>
      </c>
      <c r="FD72" s="714">
        <f t="shared" si="60"/>
        <v>1</v>
      </c>
      <c r="FE72" s="714">
        <f t="shared" ca="1" si="60"/>
        <v>0</v>
      </c>
      <c r="FF72" s="714">
        <f t="shared" si="60"/>
        <v>0</v>
      </c>
      <c r="FG72" s="714">
        <f t="shared" si="60"/>
        <v>0</v>
      </c>
      <c r="GC72" s="472" t="s">
        <v>5510</v>
      </c>
      <c r="HN72" s="20"/>
      <c r="HP72" s="472"/>
    </row>
    <row r="73" spans="14:224" x14ac:dyDescent="0.25">
      <c r="N73" s="20"/>
      <c r="Y73" s="20"/>
      <c r="AV73" s="469" t="s">
        <v>5510</v>
      </c>
      <c r="BF73" s="469" t="s">
        <v>5510</v>
      </c>
      <c r="BQ73" s="20"/>
      <c r="BT73" s="372"/>
      <c r="BU73" s="472"/>
      <c r="BV73" s="472"/>
      <c r="BW73" s="472"/>
      <c r="BX73" s="472"/>
      <c r="BY73" s="372"/>
      <c r="BZ73" s="372"/>
      <c r="CE73" s="372"/>
      <c r="CF73" s="472"/>
      <c r="CG73" s="472"/>
      <c r="CH73" s="472"/>
      <c r="CI73" s="472"/>
      <c r="CJ73" s="372"/>
      <c r="CK73" s="372"/>
      <c r="CU73" s="469" t="s">
        <v>5510</v>
      </c>
      <c r="CV73" s="492">
        <v>3</v>
      </c>
      <c r="CW73" s="558">
        <f t="shared" si="59"/>
        <v>86</v>
      </c>
      <c r="CX73" s="492" cm="1">
        <f t="array" aca="1" ref="CX73" ca="1">INDIRECT($DD$2&amp;CX$28&amp;$CW73)</f>
        <v>0</v>
      </c>
      <c r="CY73" s="492" cm="1">
        <f t="array" aca="1" ref="CY73" ca="1">INDIRECT($DD$2&amp;CY$28&amp;$CW73)</f>
        <v>0</v>
      </c>
      <c r="CZ73" s="492" cm="1">
        <f t="array" aca="1" ref="CZ73" ca="1">INDIRECT($DD$2&amp;CZ$28&amp;$CW73)</f>
        <v>0</v>
      </c>
      <c r="DA73" s="492" cm="1">
        <f t="array" aca="1" ref="DA73" ca="1">INDIRECT($DD$2&amp;DA$28&amp;$CW73)</f>
        <v>0</v>
      </c>
      <c r="DB73" s="492" cm="1">
        <f t="array" aca="1" ref="DB73" ca="1">INDIRECT($DD$2&amp;DB$28&amp;$CW73)</f>
        <v>0</v>
      </c>
      <c r="DC73" s="492" cm="1">
        <f t="array" aca="1" ref="DC73" ca="1">INDIRECT($DD$2&amp;DC$28&amp;$CW73)</f>
        <v>0</v>
      </c>
      <c r="DD73" s="492" t="str">
        <f t="shared" ca="1" si="57"/>
        <v/>
      </c>
      <c r="DE73" s="492" t="str">
        <f t="shared" ca="1" si="58"/>
        <v/>
      </c>
      <c r="EQ73" s="469" t="s">
        <v>5510</v>
      </c>
      <c r="ES73" s="535" t="s">
        <v>95</v>
      </c>
      <c r="ET73" s="597" t="str">
        <f t="shared" ca="1" si="61"/>
        <v/>
      </c>
      <c r="EU73" s="597" t="str">
        <f t="shared" ca="1" si="61"/>
        <v/>
      </c>
      <c r="EV73" s="597" t="str">
        <f t="shared" ca="1" si="61"/>
        <v/>
      </c>
      <c r="EW73" s="597" t="str">
        <f t="shared" ca="1" si="61"/>
        <v/>
      </c>
      <c r="EX73" s="643" t="str">
        <f t="shared" ca="1" si="62"/>
        <v/>
      </c>
      <c r="EY73" s="643" t="str">
        <f t="shared" ca="1" si="62"/>
        <v/>
      </c>
      <c r="EZ73" s="643" t="str">
        <f t="shared" ca="1" si="62"/>
        <v/>
      </c>
      <c r="FA73" s="643" t="str">
        <f t="shared" ca="1" si="62"/>
        <v/>
      </c>
      <c r="FB73" s="714">
        <f t="shared" si="60"/>
        <v>1</v>
      </c>
      <c r="FC73" s="714">
        <f t="shared" ca="1" si="60"/>
        <v>0</v>
      </c>
      <c r="FD73" s="714">
        <f t="shared" si="60"/>
        <v>2</v>
      </c>
      <c r="FE73" s="714">
        <f t="shared" ca="1" si="60"/>
        <v>0</v>
      </c>
      <c r="FF73" s="714">
        <f t="shared" si="60"/>
        <v>0</v>
      </c>
      <c r="FG73" s="714">
        <f t="shared" si="60"/>
        <v>0</v>
      </c>
      <c r="GC73" s="472" t="s">
        <v>5510</v>
      </c>
      <c r="HN73" s="20"/>
      <c r="HP73" s="472"/>
    </row>
    <row r="74" spans="14:224" x14ac:dyDescent="0.25">
      <c r="N74" s="20"/>
      <c r="Y74" s="20"/>
      <c r="AV74" s="469" t="s">
        <v>5510</v>
      </c>
      <c r="BF74" s="469" t="s">
        <v>5510</v>
      </c>
      <c r="BH74" s="539" t="s">
        <v>8041</v>
      </c>
      <c r="BI74" s="539">
        <f>BI69+$BO$6</f>
        <v>81</v>
      </c>
      <c r="BJ74" s="539" cm="1">
        <f t="array" aca="1" ref="BJ74" ca="1">INDIRECT($BM$2&amp;BJ$7&amp;$BI74,1)</f>
        <v>0</v>
      </c>
      <c r="BK74" s="539" cm="1">
        <f t="array" aca="1" ref="BK74" ca="1">INDIRECT($BM$2&amp;BK$7&amp;$BI74,1)</f>
        <v>0</v>
      </c>
      <c r="BL74" s="539" cm="1">
        <f t="array" aca="1" ref="BL74" ca="1">INDIRECT($BM$2&amp;BL$7&amp;$BI74,1)</f>
        <v>0</v>
      </c>
      <c r="BM74" s="539" cm="1">
        <f t="array" aca="1" ref="BM74" ca="1">INDIRECT($BM$2&amp;BM$7&amp;$BI74,1)</f>
        <v>0</v>
      </c>
      <c r="BN74" s="539" cm="1">
        <f t="array" aca="1" ref="BN74" ca="1">INDIRECT($BM$2&amp;BN$7&amp;$BI74,1)</f>
        <v>0</v>
      </c>
      <c r="BO74" s="539" t="str">
        <f ca="1">IFERROR(BK74/BK$74,"-")</f>
        <v>-</v>
      </c>
      <c r="BQ74" s="20"/>
      <c r="BR74" s="469">
        <v>1</v>
      </c>
      <c r="BS74" s="539" t="s">
        <v>8041</v>
      </c>
      <c r="BT74" s="539">
        <f>BT69+$BO$6</f>
        <v>427</v>
      </c>
      <c r="BU74" s="539" cm="1">
        <f t="array" aca="1" ref="BU74" ca="1">INDIRECT($BM$2&amp;BU$7&amp;$BT74,1)</f>
        <v>0</v>
      </c>
      <c r="BV74" s="539" cm="1">
        <f t="array" aca="1" ref="BV74" ca="1">INDIRECT($BM$2&amp;BV$7&amp;$BT74,1)</f>
        <v>0</v>
      </c>
      <c r="BW74" s="539" cm="1">
        <f t="array" aca="1" ref="BW74" ca="1">INDIRECT($BM$2&amp;BW$7&amp;$BT74,1)</f>
        <v>0</v>
      </c>
      <c r="BX74" s="539" cm="1">
        <f t="array" aca="1" ref="BX74" ca="1">INDIRECT($BM$2&amp;BX$7&amp;$BT74,1)</f>
        <v>0</v>
      </c>
      <c r="BY74" s="539" cm="1">
        <f t="array" aca="1" ref="BY74" ca="1">INDIRECT($BM$2&amp;BY$7&amp;$BT74,1)</f>
        <v>0</v>
      </c>
      <c r="BZ74" s="539" t="str">
        <f ca="1">IFERROR(BV74/BV$74,"-")</f>
        <v>-</v>
      </c>
      <c r="CC74" s="469">
        <v>1</v>
      </c>
      <c r="CD74" s="539" t="s">
        <v>8041</v>
      </c>
      <c r="CE74" s="539">
        <f>CE69+$BO$6</f>
        <v>773</v>
      </c>
      <c r="CF74" s="539" cm="1">
        <f t="array" aca="1" ref="CF74" ca="1">INDIRECT($BM$2&amp;CF$7&amp;$CE74,1)</f>
        <v>0</v>
      </c>
      <c r="CG74" s="539" cm="1">
        <f t="array" aca="1" ref="CG74" ca="1">INDIRECT($BM$2&amp;CG$7&amp;$CE74,1)</f>
        <v>0</v>
      </c>
      <c r="CH74" s="539" cm="1">
        <f t="array" aca="1" ref="CH74" ca="1">INDIRECT($BM$2&amp;CH$7&amp;$CE74,1)</f>
        <v>0</v>
      </c>
      <c r="CI74" s="539" cm="1">
        <f t="array" aca="1" ref="CI74" ca="1">INDIRECT($BM$2&amp;CI$7&amp;$CE74,1)</f>
        <v>0</v>
      </c>
      <c r="CJ74" s="539" cm="1">
        <f t="array" aca="1" ref="CJ74" ca="1">INDIRECT($BM$2&amp;CJ$7&amp;$CE74,1)</f>
        <v>0</v>
      </c>
      <c r="CK74" s="539" t="str">
        <f ca="1">IFERROR(CG74/CG$74,"-")</f>
        <v>-</v>
      </c>
      <c r="CU74" s="469" t="s">
        <v>5510</v>
      </c>
      <c r="CV74" s="492">
        <v>3</v>
      </c>
      <c r="CW74" s="558">
        <f t="shared" si="59"/>
        <v>87</v>
      </c>
      <c r="CX74" s="492" cm="1">
        <f t="array" aca="1" ref="CX74" ca="1">INDIRECT($DD$2&amp;CX$28&amp;$CW74)</f>
        <v>0</v>
      </c>
      <c r="CY74" s="492" cm="1">
        <f t="array" aca="1" ref="CY74" ca="1">INDIRECT($DD$2&amp;CY$28&amp;$CW74)</f>
        <v>0</v>
      </c>
      <c r="CZ74" s="492" cm="1">
        <f t="array" aca="1" ref="CZ74" ca="1">INDIRECT($DD$2&amp;CZ$28&amp;$CW74)</f>
        <v>0</v>
      </c>
      <c r="DA74" s="492" cm="1">
        <f t="array" aca="1" ref="DA74" ca="1">INDIRECT($DD$2&amp;DA$28&amp;$CW74)</f>
        <v>0</v>
      </c>
      <c r="DB74" s="492" cm="1">
        <f t="array" aca="1" ref="DB74" ca="1">INDIRECT($DD$2&amp;DB$28&amp;$CW74)</f>
        <v>0</v>
      </c>
      <c r="DC74" s="492" cm="1">
        <f t="array" aca="1" ref="DC74" ca="1">INDIRECT($DD$2&amp;DC$28&amp;$CW74)</f>
        <v>0</v>
      </c>
      <c r="DD74" s="492" t="str">
        <f t="shared" ca="1" si="57"/>
        <v/>
      </c>
      <c r="DE74" s="492" t="str">
        <f t="shared" ca="1" si="58"/>
        <v/>
      </c>
      <c r="EQ74" s="469" t="s">
        <v>5510</v>
      </c>
      <c r="ES74" s="535" t="s">
        <v>96</v>
      </c>
      <c r="ET74" s="597" t="str">
        <f t="shared" ca="1" si="61"/>
        <v/>
      </c>
      <c r="EU74" s="597" t="str">
        <f t="shared" ca="1" si="61"/>
        <v/>
      </c>
      <c r="EV74" s="597" t="str">
        <f t="shared" ca="1" si="61"/>
        <v/>
      </c>
      <c r="EW74" s="597" t="str">
        <f t="shared" ca="1" si="61"/>
        <v/>
      </c>
      <c r="EX74" s="643" t="str">
        <f t="shared" ca="1" si="62"/>
        <v/>
      </c>
      <c r="EY74" s="643" t="str">
        <f t="shared" ca="1" si="62"/>
        <v/>
      </c>
      <c r="EZ74" s="643" t="str">
        <f t="shared" ca="1" si="62"/>
        <v/>
      </c>
      <c r="FA74" s="643" t="str">
        <f t="shared" ca="1" si="62"/>
        <v/>
      </c>
      <c r="FB74" s="714">
        <f t="shared" si="60"/>
        <v>2</v>
      </c>
      <c r="FC74" s="714">
        <f t="shared" ca="1" si="60"/>
        <v>0</v>
      </c>
      <c r="FD74" s="714">
        <f t="shared" si="60"/>
        <v>3</v>
      </c>
      <c r="FE74" s="714">
        <f t="shared" ca="1" si="60"/>
        <v>0</v>
      </c>
      <c r="FF74" s="714" t="str">
        <f t="shared" ca="1" si="60"/>
        <v/>
      </c>
      <c r="FG74" s="714">
        <f t="shared" si="60"/>
        <v>0</v>
      </c>
      <c r="GC74" s="472" t="s">
        <v>5510</v>
      </c>
      <c r="HN74" s="20"/>
      <c r="HP74" s="472"/>
    </row>
    <row r="75" spans="14:224" x14ac:dyDescent="0.25">
      <c r="N75" s="20"/>
      <c r="Y75" s="20"/>
      <c r="AV75" s="469" t="s">
        <v>5510</v>
      </c>
      <c r="BF75" s="469" t="s">
        <v>5510</v>
      </c>
      <c r="BH75" s="539" t="s">
        <v>8041</v>
      </c>
      <c r="BI75" s="539">
        <f>BI74+1</f>
        <v>82</v>
      </c>
      <c r="BJ75" s="539" cm="1">
        <f t="array" aca="1" ref="BJ75" ca="1">INDIRECT($BM$2&amp;BJ$7&amp;$BI75,1)</f>
        <v>0</v>
      </c>
      <c r="BK75" s="539" cm="1">
        <f t="array" aca="1" ref="BK75" ca="1">INDIRECT($BM$2&amp;BK$7&amp;$BI75,1)</f>
        <v>0</v>
      </c>
      <c r="BL75" s="539" cm="1">
        <f t="array" aca="1" ref="BL75" ca="1">INDIRECT($BM$2&amp;BL$7&amp;$BI75,1)</f>
        <v>0</v>
      </c>
      <c r="BM75" s="539" cm="1">
        <f t="array" aca="1" ref="BM75" ca="1">INDIRECT($BM$2&amp;BM$7&amp;$BI75,1)</f>
        <v>0</v>
      </c>
      <c r="BN75" s="539" cm="1">
        <f t="array" aca="1" ref="BN75" ca="1">INDIRECT($BM$2&amp;BN$7&amp;$BI75,1)</f>
        <v>0</v>
      </c>
      <c r="BO75" s="539" t="str">
        <f t="shared" ref="BO75:BO85" ca="1" si="63">IF(BK75=0,"-",IFERROR(BK75/BK$74,"-"))</f>
        <v>-</v>
      </c>
      <c r="BQ75" s="20"/>
      <c r="BR75" s="469">
        <v>2</v>
      </c>
      <c r="BS75" s="539" t="s">
        <v>8041</v>
      </c>
      <c r="BT75" s="539">
        <f>BT74+1</f>
        <v>428</v>
      </c>
      <c r="BU75" s="539" cm="1">
        <f t="array" aca="1" ref="BU75" ca="1">INDIRECT($BM$2&amp;BU$7&amp;$BT75,1)</f>
        <v>0</v>
      </c>
      <c r="BV75" s="539" cm="1">
        <f t="array" aca="1" ref="BV75" ca="1">INDIRECT($BM$2&amp;BV$7&amp;$BT75,1)</f>
        <v>0</v>
      </c>
      <c r="BW75" s="539" cm="1">
        <f t="array" aca="1" ref="BW75" ca="1">INDIRECT($BM$2&amp;BW$7&amp;$BT75,1)</f>
        <v>0</v>
      </c>
      <c r="BX75" s="539" cm="1">
        <f t="array" aca="1" ref="BX75" ca="1">INDIRECT($BM$2&amp;BX$7&amp;$BT75,1)</f>
        <v>0</v>
      </c>
      <c r="BY75" s="539" cm="1">
        <f t="array" aca="1" ref="BY75" ca="1">INDIRECT($BM$2&amp;BY$7&amp;$BT75,1)</f>
        <v>0</v>
      </c>
      <c r="BZ75" s="539" t="str">
        <f t="shared" ref="BZ75:BZ85" ca="1" si="64">IF(BV75=0,"-",IFERROR(BV75/BV$74,"-"))</f>
        <v>-</v>
      </c>
      <c r="CC75" s="469">
        <v>2</v>
      </c>
      <c r="CD75" s="539" t="s">
        <v>8041</v>
      </c>
      <c r="CE75" s="539">
        <f>CE74+1</f>
        <v>774</v>
      </c>
      <c r="CF75" s="539" cm="1">
        <f t="array" aca="1" ref="CF75" ca="1">INDIRECT($BM$2&amp;CF$7&amp;$CE75,1)</f>
        <v>0</v>
      </c>
      <c r="CG75" s="539" cm="1">
        <f t="array" aca="1" ref="CG75" ca="1">INDIRECT($BM$2&amp;CG$7&amp;$CE75,1)</f>
        <v>0</v>
      </c>
      <c r="CH75" s="539" cm="1">
        <f t="array" aca="1" ref="CH75" ca="1">INDIRECT($BM$2&amp;CH$7&amp;$CE75,1)</f>
        <v>0</v>
      </c>
      <c r="CI75" s="539" cm="1">
        <f t="array" aca="1" ref="CI75" ca="1">INDIRECT($BM$2&amp;CI$7&amp;$CE75,1)</f>
        <v>0</v>
      </c>
      <c r="CJ75" s="539" cm="1">
        <f t="array" aca="1" ref="CJ75" ca="1">INDIRECT($BM$2&amp;CJ$7&amp;$CE75,1)</f>
        <v>0</v>
      </c>
      <c r="CK75" s="539" t="str">
        <f t="shared" ref="CK75:CK85" ca="1" si="65">IF(CG75=0,"-",IFERROR(CG75/CG$74,"-"))</f>
        <v>-</v>
      </c>
      <c r="CU75" s="469" t="s">
        <v>5510</v>
      </c>
      <c r="CV75" s="492">
        <v>3</v>
      </c>
      <c r="CW75" s="558">
        <f t="shared" si="59"/>
        <v>88</v>
      </c>
      <c r="CX75" s="492" cm="1">
        <f t="array" aca="1" ref="CX75" ca="1">INDIRECT($DD$2&amp;CX$28&amp;$CW75)</f>
        <v>0</v>
      </c>
      <c r="CY75" s="492" cm="1">
        <f t="array" aca="1" ref="CY75" ca="1">INDIRECT($DD$2&amp;CY$28&amp;$CW75)</f>
        <v>0</v>
      </c>
      <c r="CZ75" s="492" cm="1">
        <f t="array" aca="1" ref="CZ75" ca="1">INDIRECT($DD$2&amp;CZ$28&amp;$CW75)</f>
        <v>0</v>
      </c>
      <c r="DA75" s="492" cm="1">
        <f t="array" aca="1" ref="DA75" ca="1">INDIRECT($DD$2&amp;DA$28&amp;$CW75)</f>
        <v>0</v>
      </c>
      <c r="DB75" s="492" cm="1">
        <f t="array" aca="1" ref="DB75" ca="1">INDIRECT($DD$2&amp;DB$28&amp;$CW75)</f>
        <v>0</v>
      </c>
      <c r="DC75" s="492" cm="1">
        <f t="array" aca="1" ref="DC75" ca="1">INDIRECT($DD$2&amp;DC$28&amp;$CW75)</f>
        <v>0</v>
      </c>
      <c r="DD75" s="492" t="str">
        <f t="shared" ca="1" si="57"/>
        <v/>
      </c>
      <c r="DE75" s="492" t="str">
        <f t="shared" ca="1" si="58"/>
        <v/>
      </c>
      <c r="EQ75" s="469" t="s">
        <v>5510</v>
      </c>
      <c r="ES75" s="535" t="s">
        <v>97</v>
      </c>
      <c r="ET75" s="597" t="str">
        <f t="shared" ca="1" si="61"/>
        <v/>
      </c>
      <c r="EU75" s="597" t="str">
        <f t="shared" ca="1" si="61"/>
        <v/>
      </c>
      <c r="EV75" s="597" t="str">
        <f t="shared" ca="1" si="61"/>
        <v/>
      </c>
      <c r="EW75" s="597" t="str">
        <f t="shared" ca="1" si="61"/>
        <v/>
      </c>
      <c r="EX75" s="643" t="str">
        <f t="shared" ca="1" si="62"/>
        <v/>
      </c>
      <c r="EY75" s="643" t="str">
        <f t="shared" ca="1" si="62"/>
        <v/>
      </c>
      <c r="EZ75" s="643" t="str">
        <f t="shared" ca="1" si="62"/>
        <v/>
      </c>
      <c r="FA75" s="643" t="str">
        <f t="shared" ca="1" si="62"/>
        <v/>
      </c>
      <c r="FB75" s="714">
        <f t="shared" si="60"/>
        <v>3</v>
      </c>
      <c r="FC75" s="714">
        <f t="shared" ca="1" si="60"/>
        <v>0</v>
      </c>
      <c r="FD75" s="714">
        <f t="shared" si="60"/>
        <v>4</v>
      </c>
      <c r="FE75" s="714">
        <f t="shared" ca="1" si="60"/>
        <v>0</v>
      </c>
      <c r="FF75" s="714">
        <f t="shared" si="60"/>
        <v>0</v>
      </c>
      <c r="FG75" s="714">
        <f t="shared" si="60"/>
        <v>0</v>
      </c>
      <c r="GC75" s="472" t="s">
        <v>5510</v>
      </c>
      <c r="HN75" s="20"/>
      <c r="HP75" s="472"/>
    </row>
    <row r="76" spans="14:224" x14ac:dyDescent="0.25">
      <c r="N76" s="20"/>
      <c r="Y76" s="20"/>
      <c r="AV76" s="469" t="s">
        <v>5510</v>
      </c>
      <c r="AW76" s="469"/>
      <c r="AY76" s="645" t="s">
        <v>5699</v>
      </c>
      <c r="AZ76" s="20" cm="1">
        <f t="array" aca="1" ref="AZ76" ca="1">INDIRECT("'Sensibilizacao(2)'!N18",1)</f>
        <v>0</v>
      </c>
      <c r="BF76" s="469" t="s">
        <v>5510</v>
      </c>
      <c r="BH76" s="539" t="s">
        <v>8041</v>
      </c>
      <c r="BI76" s="539">
        <f t="shared" ref="BI76:BI85" si="66">BI75+1</f>
        <v>83</v>
      </c>
      <c r="BJ76" s="539" cm="1">
        <f t="array" aca="1" ref="BJ76" ca="1">INDIRECT($BM$2&amp;BJ$7&amp;$BI76,1)</f>
        <v>0</v>
      </c>
      <c r="BK76" s="539" cm="1">
        <f t="array" aca="1" ref="BK76" ca="1">INDIRECT($BM$2&amp;BK$7&amp;$BI76,1)</f>
        <v>0</v>
      </c>
      <c r="BL76" s="539" cm="1">
        <f t="array" aca="1" ref="BL76" ca="1">INDIRECT($BM$2&amp;BL$7&amp;$BI76,1)</f>
        <v>0</v>
      </c>
      <c r="BM76" s="539" cm="1">
        <f t="array" aca="1" ref="BM76" ca="1">INDIRECT($BM$2&amp;BM$7&amp;$BI76,1)</f>
        <v>0</v>
      </c>
      <c r="BN76" s="539" cm="1">
        <f t="array" aca="1" ref="BN76" ca="1">INDIRECT($BM$2&amp;BN$7&amp;$BI76,1)</f>
        <v>0</v>
      </c>
      <c r="BO76" s="539" t="str">
        <f t="shared" ca="1" si="63"/>
        <v>-</v>
      </c>
      <c r="BQ76" s="20"/>
      <c r="BR76" s="469">
        <v>3</v>
      </c>
      <c r="BS76" s="539" t="s">
        <v>8041</v>
      </c>
      <c r="BT76" s="539">
        <f t="shared" ref="BT76:BT85" si="67">BT75+1</f>
        <v>429</v>
      </c>
      <c r="BU76" s="539" cm="1">
        <f t="array" aca="1" ref="BU76" ca="1">INDIRECT($BM$2&amp;BU$7&amp;$BT76,1)</f>
        <v>0</v>
      </c>
      <c r="BV76" s="539" cm="1">
        <f t="array" aca="1" ref="BV76" ca="1">INDIRECT($BM$2&amp;BV$7&amp;$BT76,1)</f>
        <v>0</v>
      </c>
      <c r="BW76" s="539" cm="1">
        <f t="array" aca="1" ref="BW76" ca="1">INDIRECT($BM$2&amp;BW$7&amp;$BT76,1)</f>
        <v>0</v>
      </c>
      <c r="BX76" s="539" cm="1">
        <f t="array" aca="1" ref="BX76" ca="1">INDIRECT($BM$2&amp;BX$7&amp;$BT76,1)</f>
        <v>0</v>
      </c>
      <c r="BY76" s="539" cm="1">
        <f t="array" aca="1" ref="BY76" ca="1">INDIRECT($BM$2&amp;BY$7&amp;$BT76,1)</f>
        <v>0</v>
      </c>
      <c r="BZ76" s="539" t="str">
        <f t="shared" ca="1" si="64"/>
        <v>-</v>
      </c>
      <c r="CC76" s="469">
        <v>3</v>
      </c>
      <c r="CD76" s="539" t="s">
        <v>8041</v>
      </c>
      <c r="CE76" s="539">
        <f t="shared" ref="CE76:CE85" si="68">CE75+1</f>
        <v>775</v>
      </c>
      <c r="CF76" s="539" cm="1">
        <f t="array" aca="1" ref="CF76" ca="1">INDIRECT($BM$2&amp;CF$7&amp;$CE76,1)</f>
        <v>0</v>
      </c>
      <c r="CG76" s="539" cm="1">
        <f t="array" aca="1" ref="CG76" ca="1">INDIRECT($BM$2&amp;CG$7&amp;$CE76,1)</f>
        <v>0</v>
      </c>
      <c r="CH76" s="539" cm="1">
        <f t="array" aca="1" ref="CH76" ca="1">INDIRECT($BM$2&amp;CH$7&amp;$CE76,1)</f>
        <v>0</v>
      </c>
      <c r="CI76" s="539" cm="1">
        <f t="array" aca="1" ref="CI76" ca="1">INDIRECT($BM$2&amp;CI$7&amp;$CE76,1)</f>
        <v>0</v>
      </c>
      <c r="CJ76" s="539" cm="1">
        <f t="array" aca="1" ref="CJ76" ca="1">INDIRECT($BM$2&amp;CJ$7&amp;$CE76,1)</f>
        <v>0</v>
      </c>
      <c r="CK76" s="539" t="str">
        <f t="shared" ca="1" si="65"/>
        <v>-</v>
      </c>
      <c r="CU76" s="469" t="s">
        <v>5510</v>
      </c>
      <c r="CV76" s="492">
        <v>3</v>
      </c>
      <c r="CW76" s="558">
        <f t="shared" si="59"/>
        <v>89</v>
      </c>
      <c r="CX76" s="492" cm="1">
        <f t="array" aca="1" ref="CX76" ca="1">INDIRECT($DD$2&amp;CX$28&amp;$CW76)</f>
        <v>0</v>
      </c>
      <c r="CY76" s="492" cm="1">
        <f t="array" aca="1" ref="CY76" ca="1">INDIRECT($DD$2&amp;CY$28&amp;$CW76)</f>
        <v>0</v>
      </c>
      <c r="CZ76" s="492" cm="1">
        <f t="array" aca="1" ref="CZ76" ca="1">INDIRECT($DD$2&amp;CZ$28&amp;$CW76)</f>
        <v>0</v>
      </c>
      <c r="DA76" s="492" cm="1">
        <f t="array" aca="1" ref="DA76" ca="1">INDIRECT($DD$2&amp;DA$28&amp;$CW76)</f>
        <v>0</v>
      </c>
      <c r="DB76" s="492" cm="1">
        <f t="array" aca="1" ref="DB76" ca="1">INDIRECT($DD$2&amp;DB$28&amp;$CW76)</f>
        <v>0</v>
      </c>
      <c r="DC76" s="492" cm="1">
        <f t="array" aca="1" ref="DC76" ca="1">INDIRECT($DD$2&amp;DC$28&amp;$CW76)</f>
        <v>0</v>
      </c>
      <c r="DD76" s="492" t="str">
        <f t="shared" ca="1" si="57"/>
        <v/>
      </c>
      <c r="DE76" s="492" t="str">
        <f t="shared" ca="1" si="58"/>
        <v/>
      </c>
      <c r="EQ76" s="469" t="s">
        <v>5510</v>
      </c>
      <c r="ES76" s="535" t="s">
        <v>98</v>
      </c>
      <c r="ET76" s="597" t="str">
        <f t="shared" ca="1" si="61"/>
        <v/>
      </c>
      <c r="EU76" s="597" t="str">
        <f t="shared" ca="1" si="61"/>
        <v/>
      </c>
      <c r="EV76" s="597" t="str">
        <f t="shared" ca="1" si="61"/>
        <v/>
      </c>
      <c r="EW76" s="597" t="str">
        <f t="shared" ca="1" si="61"/>
        <v/>
      </c>
      <c r="EX76" s="643" t="str">
        <f t="shared" ca="1" si="62"/>
        <v/>
      </c>
      <c r="EY76" s="643" t="str">
        <f t="shared" ca="1" si="62"/>
        <v/>
      </c>
      <c r="EZ76" s="643" t="str">
        <f t="shared" ca="1" si="62"/>
        <v/>
      </c>
      <c r="FA76" s="643" t="str">
        <f t="shared" ca="1" si="62"/>
        <v/>
      </c>
      <c r="FB76" s="714">
        <f t="shared" si="60"/>
        <v>4</v>
      </c>
      <c r="FC76" s="714">
        <f t="shared" ca="1" si="60"/>
        <v>0</v>
      </c>
      <c r="FD76" s="714" t="str">
        <f t="shared" si="60"/>
        <v>TA100</v>
      </c>
      <c r="FE76" s="714">
        <f t="shared" si="60"/>
        <v>0</v>
      </c>
      <c r="FF76" s="714">
        <f t="shared" si="60"/>
        <v>0</v>
      </c>
      <c r="FG76" s="714">
        <f t="shared" si="60"/>
        <v>0</v>
      </c>
      <c r="GC76" s="472" t="s">
        <v>5510</v>
      </c>
      <c r="HN76" s="20"/>
      <c r="HP76" s="472"/>
    </row>
    <row r="77" spans="14:224" x14ac:dyDescent="0.25">
      <c r="N77" s="20"/>
      <c r="Y77" s="20"/>
      <c r="AV77" s="469" t="s">
        <v>5510</v>
      </c>
      <c r="AW77" s="579" t="s">
        <v>5695</v>
      </c>
      <c r="AX77" s="579" t="s">
        <v>5696</v>
      </c>
      <c r="AZ77" s="506" t="s">
        <v>5697</v>
      </c>
      <c r="BA77" s="20" t="s">
        <v>5689</v>
      </c>
      <c r="BF77" s="469" t="s">
        <v>5510</v>
      </c>
      <c r="BH77" s="539" t="s">
        <v>8041</v>
      </c>
      <c r="BI77" s="539">
        <f t="shared" si="66"/>
        <v>84</v>
      </c>
      <c r="BJ77" s="539" cm="1">
        <f t="array" aca="1" ref="BJ77" ca="1">INDIRECT($BM$2&amp;BJ$7&amp;$BI77,1)</f>
        <v>0</v>
      </c>
      <c r="BK77" s="539" cm="1">
        <f t="array" aca="1" ref="BK77" ca="1">INDIRECT($BM$2&amp;BK$7&amp;$BI77,1)</f>
        <v>0</v>
      </c>
      <c r="BL77" s="539" cm="1">
        <f t="array" aca="1" ref="BL77" ca="1">INDIRECT($BM$2&amp;BL$7&amp;$BI77,1)</f>
        <v>0</v>
      </c>
      <c r="BM77" s="539" cm="1">
        <f t="array" aca="1" ref="BM77" ca="1">INDIRECT($BM$2&amp;BM$7&amp;$BI77,1)</f>
        <v>0</v>
      </c>
      <c r="BN77" s="539" cm="1">
        <f t="array" aca="1" ref="BN77" ca="1">INDIRECT($BM$2&amp;BN$7&amp;$BI77,1)</f>
        <v>0</v>
      </c>
      <c r="BO77" s="539" t="str">
        <f t="shared" ca="1" si="63"/>
        <v>-</v>
      </c>
      <c r="BQ77" s="20"/>
      <c r="BR77" s="469">
        <v>4</v>
      </c>
      <c r="BS77" s="539" t="s">
        <v>8041</v>
      </c>
      <c r="BT77" s="539">
        <f t="shared" si="67"/>
        <v>430</v>
      </c>
      <c r="BU77" s="539" cm="1">
        <f t="array" aca="1" ref="BU77" ca="1">INDIRECT($BM$2&amp;BU$7&amp;$BT77,1)</f>
        <v>0</v>
      </c>
      <c r="BV77" s="539" cm="1">
        <f t="array" aca="1" ref="BV77" ca="1">INDIRECT($BM$2&amp;BV$7&amp;$BT77,1)</f>
        <v>0</v>
      </c>
      <c r="BW77" s="539" cm="1">
        <f t="array" aca="1" ref="BW77" ca="1">INDIRECT($BM$2&amp;BW$7&amp;$BT77,1)</f>
        <v>0</v>
      </c>
      <c r="BX77" s="539" cm="1">
        <f t="array" aca="1" ref="BX77" ca="1">INDIRECT($BM$2&amp;BX$7&amp;$BT77,1)</f>
        <v>0</v>
      </c>
      <c r="BY77" s="539" cm="1">
        <f t="array" aca="1" ref="BY77" ca="1">INDIRECT($BM$2&amp;BY$7&amp;$BT77,1)</f>
        <v>0</v>
      </c>
      <c r="BZ77" s="539" t="str">
        <f t="shared" ca="1" si="64"/>
        <v>-</v>
      </c>
      <c r="CC77" s="469">
        <v>4</v>
      </c>
      <c r="CD77" s="539" t="s">
        <v>8041</v>
      </c>
      <c r="CE77" s="539">
        <f t="shared" si="68"/>
        <v>776</v>
      </c>
      <c r="CF77" s="539" cm="1">
        <f t="array" aca="1" ref="CF77" ca="1">INDIRECT($BM$2&amp;CF$7&amp;$CE77,1)</f>
        <v>0</v>
      </c>
      <c r="CG77" s="539" cm="1">
        <f t="array" aca="1" ref="CG77" ca="1">INDIRECT($BM$2&amp;CG$7&amp;$CE77,1)</f>
        <v>0</v>
      </c>
      <c r="CH77" s="539" cm="1">
        <f t="array" aca="1" ref="CH77" ca="1">INDIRECT($BM$2&amp;CH$7&amp;$CE77,1)</f>
        <v>0</v>
      </c>
      <c r="CI77" s="539" cm="1">
        <f t="array" aca="1" ref="CI77" ca="1">INDIRECT($BM$2&amp;CI$7&amp;$CE77,1)</f>
        <v>0</v>
      </c>
      <c r="CJ77" s="539" cm="1">
        <f t="array" aca="1" ref="CJ77" ca="1">INDIRECT($BM$2&amp;CJ$7&amp;$CE77,1)</f>
        <v>0</v>
      </c>
      <c r="CK77" s="539" t="str">
        <f t="shared" ca="1" si="65"/>
        <v>-</v>
      </c>
      <c r="CU77" s="469" t="s">
        <v>5510</v>
      </c>
      <c r="CV77" s="492">
        <v>3</v>
      </c>
      <c r="CW77" s="558">
        <f t="shared" si="59"/>
        <v>90</v>
      </c>
      <c r="CX77" s="492" cm="1">
        <f t="array" aca="1" ref="CX77" ca="1">INDIRECT($DD$2&amp;CX$28&amp;$CW77)</f>
        <v>0</v>
      </c>
      <c r="CY77" s="492" cm="1">
        <f t="array" aca="1" ref="CY77" ca="1">INDIRECT($DD$2&amp;CY$28&amp;$CW77)</f>
        <v>0</v>
      </c>
      <c r="CZ77" s="492" cm="1">
        <f t="array" aca="1" ref="CZ77" ca="1">INDIRECT($DD$2&amp;CZ$28&amp;$CW77)</f>
        <v>0</v>
      </c>
      <c r="DA77" s="492" cm="1">
        <f t="array" aca="1" ref="DA77" ca="1">INDIRECT($DD$2&amp;DA$28&amp;$CW77)</f>
        <v>0</v>
      </c>
      <c r="DB77" s="492" cm="1">
        <f t="array" aca="1" ref="DB77" ca="1">INDIRECT($DD$2&amp;DB$28&amp;$CW77)</f>
        <v>0</v>
      </c>
      <c r="DC77" s="492" cm="1">
        <f t="array" aca="1" ref="DC77" ca="1">INDIRECT($DD$2&amp;DC$28&amp;$CW77)</f>
        <v>0</v>
      </c>
      <c r="DD77" s="492" t="str">
        <f t="shared" ca="1" si="57"/>
        <v/>
      </c>
      <c r="DE77" s="492" t="str">
        <f t="shared" ca="1" si="58"/>
        <v/>
      </c>
      <c r="EQ77" s="469" t="s">
        <v>5510</v>
      </c>
      <c r="ES77" s="535" t="s">
        <v>99</v>
      </c>
      <c r="ET77" s="597" t="str">
        <f t="shared" ca="1" si="61"/>
        <v/>
      </c>
      <c r="EU77" s="597" t="str">
        <f t="shared" ca="1" si="61"/>
        <v/>
      </c>
      <c r="EV77" s="597" t="str">
        <f t="shared" ca="1" si="61"/>
        <v/>
      </c>
      <c r="EW77" s="597" t="str">
        <f t="shared" ca="1" si="61"/>
        <v/>
      </c>
      <c r="EX77" s="643" t="str">
        <f t="shared" ca="1" si="62"/>
        <v/>
      </c>
      <c r="EY77" s="643" t="str">
        <f t="shared" ca="1" si="62"/>
        <v/>
      </c>
      <c r="EZ77" s="643" t="str">
        <f t="shared" ca="1" si="62"/>
        <v/>
      </c>
      <c r="FA77" s="643" t="str">
        <f t="shared" ca="1" si="62"/>
        <v/>
      </c>
      <c r="FB77" s="714">
        <f t="shared" si="60"/>
        <v>5</v>
      </c>
      <c r="FC77" s="714">
        <f t="shared" ca="1" si="60"/>
        <v>0</v>
      </c>
      <c r="FD77" s="714" t="str">
        <f t="shared" si="60"/>
        <v>TA100</v>
      </c>
      <c r="FE77" s="714">
        <f t="shared" si="60"/>
        <v>0</v>
      </c>
      <c r="FF77" s="714">
        <f t="shared" si="60"/>
        <v>0</v>
      </c>
      <c r="FG77" s="714">
        <f t="shared" si="60"/>
        <v>0</v>
      </c>
      <c r="GC77" s="472" t="s">
        <v>5510</v>
      </c>
      <c r="HN77" s="20"/>
      <c r="HP77" s="472"/>
    </row>
    <row r="78" spans="14:224" x14ac:dyDescent="0.25">
      <c r="N78" s="20"/>
      <c r="Y78" s="20"/>
      <c r="AV78" s="469" t="s">
        <v>5510</v>
      </c>
      <c r="AW78" s="570" t="str">
        <f ca="1">IF(AZ76=Tabelas_fonte!$AM$11,"Dose (%)"&amp;CHAR(10)&amp;"Injeção intradérmica (?)","Dose (%)")</f>
        <v>Dose (%)</v>
      </c>
      <c r="AX78" s="570" t="str">
        <f ca="1">IF($AZ$76=Tabelas_fonte!$AM$11,"Dose (%)"&amp;CHAR(10)&amp;"Aplicação tópica (?)","")</f>
        <v/>
      </c>
      <c r="AZ78" s="506" t="s">
        <v>5698</v>
      </c>
      <c r="BA78" s="20" t="s">
        <v>5690</v>
      </c>
      <c r="BF78" s="469" t="s">
        <v>5510</v>
      </c>
      <c r="BH78" s="539" t="s">
        <v>8041</v>
      </c>
      <c r="BI78" s="539">
        <f t="shared" si="66"/>
        <v>85</v>
      </c>
      <c r="BJ78" s="539" cm="1">
        <f t="array" aca="1" ref="BJ78" ca="1">INDIRECT($BM$2&amp;BJ$7&amp;$BI78,1)</f>
        <v>0</v>
      </c>
      <c r="BK78" s="539" cm="1">
        <f t="array" aca="1" ref="BK78" ca="1">INDIRECT($BM$2&amp;BK$7&amp;$BI78,1)</f>
        <v>0</v>
      </c>
      <c r="BL78" s="539" cm="1">
        <f t="array" aca="1" ref="BL78" ca="1">INDIRECT($BM$2&amp;BL$7&amp;$BI78,1)</f>
        <v>0</v>
      </c>
      <c r="BM78" s="539" cm="1">
        <f t="array" aca="1" ref="BM78" ca="1">INDIRECT($BM$2&amp;BM$7&amp;$BI78,1)</f>
        <v>0</v>
      </c>
      <c r="BN78" s="539" cm="1">
        <f t="array" aca="1" ref="BN78" ca="1">INDIRECT($BM$2&amp;BN$7&amp;$BI78,1)</f>
        <v>0</v>
      </c>
      <c r="BO78" s="539" t="str">
        <f t="shared" ca="1" si="63"/>
        <v>-</v>
      </c>
      <c r="BQ78" s="20"/>
      <c r="BR78" s="469">
        <v>5</v>
      </c>
      <c r="BS78" s="539" t="s">
        <v>8041</v>
      </c>
      <c r="BT78" s="539">
        <f t="shared" si="67"/>
        <v>431</v>
      </c>
      <c r="BU78" s="539" cm="1">
        <f t="array" aca="1" ref="BU78" ca="1">INDIRECT($BM$2&amp;BU$7&amp;$BT78,1)</f>
        <v>0</v>
      </c>
      <c r="BV78" s="539" cm="1">
        <f t="array" aca="1" ref="BV78" ca="1">INDIRECT($BM$2&amp;BV$7&amp;$BT78,1)</f>
        <v>0</v>
      </c>
      <c r="BW78" s="539" cm="1">
        <f t="array" aca="1" ref="BW78" ca="1">INDIRECT($BM$2&amp;BW$7&amp;$BT78,1)</f>
        <v>0</v>
      </c>
      <c r="BX78" s="539" cm="1">
        <f t="array" aca="1" ref="BX78" ca="1">INDIRECT($BM$2&amp;BX$7&amp;$BT78,1)</f>
        <v>0</v>
      </c>
      <c r="BY78" s="539" cm="1">
        <f t="array" aca="1" ref="BY78" ca="1">INDIRECT($BM$2&amp;BY$7&amp;$BT78,1)</f>
        <v>0</v>
      </c>
      <c r="BZ78" s="539" t="str">
        <f t="shared" ca="1" si="64"/>
        <v>-</v>
      </c>
      <c r="CC78" s="469">
        <v>5</v>
      </c>
      <c r="CD78" s="539" t="s">
        <v>8041</v>
      </c>
      <c r="CE78" s="539">
        <f t="shared" si="68"/>
        <v>777</v>
      </c>
      <c r="CF78" s="539" cm="1">
        <f t="array" aca="1" ref="CF78" ca="1">INDIRECT($BM$2&amp;CF$7&amp;$CE78,1)</f>
        <v>0</v>
      </c>
      <c r="CG78" s="539" cm="1">
        <f t="array" aca="1" ref="CG78" ca="1">INDIRECT($BM$2&amp;CG$7&amp;$CE78,1)</f>
        <v>0</v>
      </c>
      <c r="CH78" s="539" cm="1">
        <f t="array" aca="1" ref="CH78" ca="1">INDIRECT($BM$2&amp;CH$7&amp;$CE78,1)</f>
        <v>0</v>
      </c>
      <c r="CI78" s="539" cm="1">
        <f t="array" aca="1" ref="CI78" ca="1">INDIRECT($BM$2&amp;CI$7&amp;$CE78,1)</f>
        <v>0</v>
      </c>
      <c r="CJ78" s="539" cm="1">
        <f t="array" aca="1" ref="CJ78" ca="1">INDIRECT($BM$2&amp;CJ$7&amp;$CE78,1)</f>
        <v>0</v>
      </c>
      <c r="CK78" s="539" t="str">
        <f t="shared" ca="1" si="65"/>
        <v>-</v>
      </c>
      <c r="CU78" s="469" t="s">
        <v>5510</v>
      </c>
      <c r="CV78" s="492">
        <v>3</v>
      </c>
      <c r="CW78" s="558">
        <f t="shared" si="59"/>
        <v>91</v>
      </c>
      <c r="CX78" s="492" cm="1">
        <f t="array" aca="1" ref="CX78" ca="1">INDIRECT($DD$2&amp;CX$28&amp;$CW78)</f>
        <v>0</v>
      </c>
      <c r="CY78" s="492" cm="1">
        <f t="array" aca="1" ref="CY78" ca="1">INDIRECT($DD$2&amp;CY$28&amp;$CW78)</f>
        <v>0</v>
      </c>
      <c r="CZ78" s="492" cm="1">
        <f t="array" aca="1" ref="CZ78" ca="1">INDIRECT($DD$2&amp;CZ$28&amp;$CW78)</f>
        <v>0</v>
      </c>
      <c r="DA78" s="492" cm="1">
        <f t="array" aca="1" ref="DA78" ca="1">INDIRECT($DD$2&amp;DA$28&amp;$CW78)</f>
        <v>0</v>
      </c>
      <c r="DB78" s="492" cm="1">
        <f t="array" aca="1" ref="DB78" ca="1">INDIRECT($DD$2&amp;DB$28&amp;$CW78)</f>
        <v>0</v>
      </c>
      <c r="DC78" s="492" cm="1">
        <f t="array" aca="1" ref="DC78" ca="1">INDIRECT($DD$2&amp;DC$28&amp;$CW78)</f>
        <v>0</v>
      </c>
      <c r="DD78" s="492" t="str">
        <f t="shared" ca="1" si="57"/>
        <v/>
      </c>
      <c r="DE78" s="492" t="str">
        <f t="shared" ca="1" si="58"/>
        <v/>
      </c>
      <c r="EQ78" s="469" t="s">
        <v>5510</v>
      </c>
      <c r="GC78" s="472" t="s">
        <v>5510</v>
      </c>
      <c r="HN78" s="20"/>
      <c r="HP78" s="472"/>
    </row>
    <row r="79" spans="14:224" x14ac:dyDescent="0.25">
      <c r="N79" s="20"/>
      <c r="Y79" s="20"/>
      <c r="AV79" s="469" t="s">
        <v>5510</v>
      </c>
      <c r="AW79" s="570" t="str">
        <f ca="1">IF(AZ76=Tabelas_fonte!$AM$11,"Injeção intradérmica","Aplicação tópica")</f>
        <v>Aplicação tópica</v>
      </c>
      <c r="AX79" s="570" t="str">
        <f ca="1">IF(AZ76=Tabelas_fonte!$AM$11,"Aplicação tópica","")</f>
        <v/>
      </c>
      <c r="BF79" s="469" t="s">
        <v>5510</v>
      </c>
      <c r="BH79" s="539" t="s">
        <v>8041</v>
      </c>
      <c r="BI79" s="539">
        <f t="shared" si="66"/>
        <v>86</v>
      </c>
      <c r="BJ79" s="539" cm="1">
        <f t="array" aca="1" ref="BJ79" ca="1">INDIRECT($BM$2&amp;BJ$7&amp;$BI79,1)</f>
        <v>0</v>
      </c>
      <c r="BK79" s="539" cm="1">
        <f t="array" aca="1" ref="BK79" ca="1">INDIRECT($BM$2&amp;BK$7&amp;$BI79,1)</f>
        <v>0</v>
      </c>
      <c r="BL79" s="539" cm="1">
        <f t="array" aca="1" ref="BL79" ca="1">INDIRECT($BM$2&amp;BL$7&amp;$BI79,1)</f>
        <v>0</v>
      </c>
      <c r="BM79" s="539" cm="1">
        <f t="array" aca="1" ref="BM79" ca="1">INDIRECT($BM$2&amp;BM$7&amp;$BI79,1)</f>
        <v>0</v>
      </c>
      <c r="BN79" s="539" cm="1">
        <f t="array" aca="1" ref="BN79" ca="1">INDIRECT($BM$2&amp;BN$7&amp;$BI79,1)</f>
        <v>0</v>
      </c>
      <c r="BO79" s="539" t="str">
        <f t="shared" ca="1" si="63"/>
        <v>-</v>
      </c>
      <c r="BQ79" s="20"/>
      <c r="BR79" s="469">
        <v>6</v>
      </c>
      <c r="BS79" s="539" t="s">
        <v>8041</v>
      </c>
      <c r="BT79" s="539">
        <f t="shared" si="67"/>
        <v>432</v>
      </c>
      <c r="BU79" s="539" cm="1">
        <f t="array" aca="1" ref="BU79" ca="1">INDIRECT($BM$2&amp;BU$7&amp;$BT79,1)</f>
        <v>0</v>
      </c>
      <c r="BV79" s="539" cm="1">
        <f t="array" aca="1" ref="BV79" ca="1">INDIRECT($BM$2&amp;BV$7&amp;$BT79,1)</f>
        <v>0</v>
      </c>
      <c r="BW79" s="539" cm="1">
        <f t="array" aca="1" ref="BW79" ca="1">INDIRECT($BM$2&amp;BW$7&amp;$BT79,1)</f>
        <v>0</v>
      </c>
      <c r="BX79" s="539" cm="1">
        <f t="array" aca="1" ref="BX79" ca="1">INDIRECT($BM$2&amp;BX$7&amp;$BT79,1)</f>
        <v>0</v>
      </c>
      <c r="BY79" s="539" cm="1">
        <f t="array" aca="1" ref="BY79" ca="1">INDIRECT($BM$2&amp;BY$7&amp;$BT79,1)</f>
        <v>0</v>
      </c>
      <c r="BZ79" s="539" t="str">
        <f t="shared" ca="1" si="64"/>
        <v>-</v>
      </c>
      <c r="CC79" s="469">
        <v>6</v>
      </c>
      <c r="CD79" s="539" t="s">
        <v>8041</v>
      </c>
      <c r="CE79" s="539">
        <f t="shared" si="68"/>
        <v>778</v>
      </c>
      <c r="CF79" s="539" cm="1">
        <f t="array" aca="1" ref="CF79" ca="1">INDIRECT($BM$2&amp;CF$7&amp;$CE79,1)</f>
        <v>0</v>
      </c>
      <c r="CG79" s="539" cm="1">
        <f t="array" aca="1" ref="CG79" ca="1">INDIRECT($BM$2&amp;CG$7&amp;$CE79,1)</f>
        <v>0</v>
      </c>
      <c r="CH79" s="539" cm="1">
        <f t="array" aca="1" ref="CH79" ca="1">INDIRECT($BM$2&amp;CH$7&amp;$CE79,1)</f>
        <v>0</v>
      </c>
      <c r="CI79" s="539" cm="1">
        <f t="array" aca="1" ref="CI79" ca="1">INDIRECT($BM$2&amp;CI$7&amp;$CE79,1)</f>
        <v>0</v>
      </c>
      <c r="CJ79" s="539" cm="1">
        <f t="array" aca="1" ref="CJ79" ca="1">INDIRECT($BM$2&amp;CJ$7&amp;$CE79,1)</f>
        <v>0</v>
      </c>
      <c r="CK79" s="539" t="str">
        <f t="shared" ca="1" si="65"/>
        <v>-</v>
      </c>
      <c r="CU79" s="469" t="s">
        <v>5510</v>
      </c>
      <c r="CV79" s="492">
        <v>3</v>
      </c>
      <c r="CW79" s="558">
        <f t="shared" si="59"/>
        <v>92</v>
      </c>
      <c r="CX79" s="492" cm="1">
        <f t="array" aca="1" ref="CX79" ca="1">INDIRECT($DD$2&amp;CX$28&amp;$CW79)</f>
        <v>0</v>
      </c>
      <c r="CY79" s="492" cm="1">
        <f t="array" aca="1" ref="CY79" ca="1">INDIRECT($DD$2&amp;CY$28&amp;$CW79)</f>
        <v>0</v>
      </c>
      <c r="CZ79" s="492" cm="1">
        <f t="array" aca="1" ref="CZ79" ca="1">INDIRECT($DD$2&amp;CZ$28&amp;$CW79)</f>
        <v>0</v>
      </c>
      <c r="DA79" s="492" cm="1">
        <f t="array" aca="1" ref="DA79" ca="1">INDIRECT($DD$2&amp;DA$28&amp;$CW79)</f>
        <v>0</v>
      </c>
      <c r="DB79" s="492" cm="1">
        <f t="array" aca="1" ref="DB79" ca="1">INDIRECT($DD$2&amp;DB$28&amp;$CW79)</f>
        <v>0</v>
      </c>
      <c r="DC79" s="492" cm="1">
        <f t="array" aca="1" ref="DC79" ca="1">INDIRECT($DD$2&amp;DC$28&amp;$CW79)</f>
        <v>0</v>
      </c>
      <c r="DD79" s="492" t="str">
        <f t="shared" ca="1" si="57"/>
        <v/>
      </c>
      <c r="DE79" s="492" t="str">
        <f t="shared" ca="1" si="58"/>
        <v/>
      </c>
      <c r="EQ79" s="469" t="s">
        <v>5510</v>
      </c>
      <c r="ET79" s="20" t="s">
        <v>5997</v>
      </c>
      <c r="GC79" s="472" t="s">
        <v>5510</v>
      </c>
      <c r="HN79" s="20"/>
      <c r="HP79" s="472"/>
    </row>
    <row r="80" spans="14:224" x14ac:dyDescent="0.25">
      <c r="N80" s="20"/>
      <c r="Y80" s="20"/>
      <c r="AV80" s="469" t="s">
        <v>5510</v>
      </c>
      <c r="AW80" s="469"/>
      <c r="BF80" s="469" t="s">
        <v>5510</v>
      </c>
      <c r="BH80" s="539" t="s">
        <v>8041</v>
      </c>
      <c r="BI80" s="539">
        <f t="shared" si="66"/>
        <v>87</v>
      </c>
      <c r="BJ80" s="539" cm="1">
        <f t="array" aca="1" ref="BJ80" ca="1">INDIRECT($BM$2&amp;BJ$7&amp;$BI80,1)</f>
        <v>0</v>
      </c>
      <c r="BK80" s="539" cm="1">
        <f t="array" aca="1" ref="BK80" ca="1">INDIRECT($BM$2&amp;BK$7&amp;$BI80,1)</f>
        <v>0</v>
      </c>
      <c r="BL80" s="539" cm="1">
        <f t="array" aca="1" ref="BL80" ca="1">INDIRECT($BM$2&amp;BL$7&amp;$BI80,1)</f>
        <v>0</v>
      </c>
      <c r="BM80" s="539" cm="1">
        <f t="array" aca="1" ref="BM80" ca="1">INDIRECT($BM$2&amp;BM$7&amp;$BI80,1)</f>
        <v>0</v>
      </c>
      <c r="BN80" s="539" cm="1">
        <f t="array" aca="1" ref="BN80" ca="1">INDIRECT($BM$2&amp;BN$7&amp;$BI80,1)</f>
        <v>0</v>
      </c>
      <c r="BO80" s="539" t="str">
        <f t="shared" ca="1" si="63"/>
        <v>-</v>
      </c>
      <c r="BQ80" s="20"/>
      <c r="BR80" s="469">
        <v>7</v>
      </c>
      <c r="BS80" s="539" t="s">
        <v>8041</v>
      </c>
      <c r="BT80" s="539">
        <f t="shared" si="67"/>
        <v>433</v>
      </c>
      <c r="BU80" s="539" cm="1">
        <f t="array" aca="1" ref="BU80" ca="1">INDIRECT($BM$2&amp;BU$7&amp;$BT80,1)</f>
        <v>0</v>
      </c>
      <c r="BV80" s="539" cm="1">
        <f t="array" aca="1" ref="BV80" ca="1">INDIRECT($BM$2&amp;BV$7&amp;$BT80,1)</f>
        <v>0</v>
      </c>
      <c r="BW80" s="539" cm="1">
        <f t="array" aca="1" ref="BW80" ca="1">INDIRECT($BM$2&amp;BW$7&amp;$BT80,1)</f>
        <v>0</v>
      </c>
      <c r="BX80" s="539" cm="1">
        <f t="array" aca="1" ref="BX80" ca="1">INDIRECT($BM$2&amp;BX$7&amp;$BT80,1)</f>
        <v>0</v>
      </c>
      <c r="BY80" s="539" cm="1">
        <f t="array" aca="1" ref="BY80" ca="1">INDIRECT($BM$2&amp;BY$7&amp;$BT80,1)</f>
        <v>0</v>
      </c>
      <c r="BZ80" s="539" t="str">
        <f t="shared" ca="1" si="64"/>
        <v>-</v>
      </c>
      <c r="CC80" s="469">
        <v>7</v>
      </c>
      <c r="CD80" s="539" t="s">
        <v>8041</v>
      </c>
      <c r="CE80" s="539">
        <f t="shared" si="68"/>
        <v>779</v>
      </c>
      <c r="CF80" s="539" cm="1">
        <f t="array" aca="1" ref="CF80" ca="1">INDIRECT($BM$2&amp;CF$7&amp;$CE80,1)</f>
        <v>0</v>
      </c>
      <c r="CG80" s="539" cm="1">
        <f t="array" aca="1" ref="CG80" ca="1">INDIRECT($BM$2&amp;CG$7&amp;$CE80,1)</f>
        <v>0</v>
      </c>
      <c r="CH80" s="539" cm="1">
        <f t="array" aca="1" ref="CH80" ca="1">INDIRECT($BM$2&amp;CH$7&amp;$CE80,1)</f>
        <v>0</v>
      </c>
      <c r="CI80" s="539" cm="1">
        <f t="array" aca="1" ref="CI80" ca="1">INDIRECT($BM$2&amp;CI$7&amp;$CE80,1)</f>
        <v>0</v>
      </c>
      <c r="CJ80" s="539" cm="1">
        <f t="array" aca="1" ref="CJ80" ca="1">INDIRECT($BM$2&amp;CJ$7&amp;$CE80,1)</f>
        <v>0</v>
      </c>
      <c r="CK80" s="539" t="str">
        <f t="shared" ca="1" si="65"/>
        <v>-</v>
      </c>
      <c r="CU80" s="469" t="s">
        <v>5510</v>
      </c>
      <c r="CV80" s="636">
        <v>3</v>
      </c>
      <c r="CW80" s="558">
        <f t="shared" si="59"/>
        <v>93</v>
      </c>
      <c r="CX80" s="492" cm="1">
        <f t="array" aca="1" ref="CX80" ca="1">INDIRECT($DD$2&amp;CX$28&amp;$CW80)</f>
        <v>0</v>
      </c>
      <c r="CY80" s="492" cm="1">
        <f t="array" aca="1" ref="CY80" ca="1">INDIRECT($DD$2&amp;CY$28&amp;$CW80)</f>
        <v>0</v>
      </c>
      <c r="CZ80" s="492" cm="1">
        <f t="array" aca="1" ref="CZ80" ca="1">INDIRECT($DD$2&amp;CZ$28&amp;$CW80)</f>
        <v>0</v>
      </c>
      <c r="DA80" s="492" cm="1">
        <f t="array" aca="1" ref="DA80" ca="1">INDIRECT($DD$2&amp;DA$28&amp;$CW80)</f>
        <v>0</v>
      </c>
      <c r="DB80" s="492" cm="1">
        <f t="array" aca="1" ref="DB80" ca="1">INDIRECT($DD$2&amp;DB$28&amp;$CW80)</f>
        <v>0</v>
      </c>
      <c r="DC80" s="492" cm="1">
        <f t="array" aca="1" ref="DC80" ca="1">INDIRECT($DD$2&amp;DC$28&amp;$CW80)</f>
        <v>0</v>
      </c>
      <c r="DD80" s="492" t="str">
        <f t="shared" ca="1" si="57"/>
        <v/>
      </c>
      <c r="DE80" s="492" t="str">
        <f t="shared" ca="1" si="58"/>
        <v/>
      </c>
      <c r="EQ80" s="469" t="s">
        <v>5510</v>
      </c>
      <c r="EU80" s="372" t="s">
        <v>5975</v>
      </c>
      <c r="EV80" s="472"/>
      <c r="EW80" s="472"/>
      <c r="EX80" s="472"/>
      <c r="EY80" s="372"/>
      <c r="EZ80" s="372"/>
      <c r="GC80" s="472" t="s">
        <v>5510</v>
      </c>
      <c r="HN80" s="20"/>
      <c r="HP80" s="472"/>
    </row>
    <row r="81" spans="1:224" x14ac:dyDescent="0.25">
      <c r="AV81" s="469" t="s">
        <v>5510</v>
      </c>
      <c r="BF81" s="469" t="s">
        <v>5510</v>
      </c>
      <c r="BH81" s="539" t="s">
        <v>8041</v>
      </c>
      <c r="BI81" s="539">
        <f t="shared" si="66"/>
        <v>88</v>
      </c>
      <c r="BJ81" s="539" cm="1">
        <f t="array" aca="1" ref="BJ81" ca="1">INDIRECT($BM$2&amp;BJ$7&amp;$BI81,1)</f>
        <v>0</v>
      </c>
      <c r="BK81" s="539" cm="1">
        <f t="array" aca="1" ref="BK81" ca="1">INDIRECT($BM$2&amp;BK$7&amp;$BI81,1)</f>
        <v>0</v>
      </c>
      <c r="BL81" s="539" cm="1">
        <f t="array" aca="1" ref="BL81" ca="1">INDIRECT($BM$2&amp;BL$7&amp;$BI81,1)</f>
        <v>0</v>
      </c>
      <c r="BM81" s="539" cm="1">
        <f t="array" aca="1" ref="BM81" ca="1">INDIRECT($BM$2&amp;BM$7&amp;$BI81,1)</f>
        <v>0</v>
      </c>
      <c r="BN81" s="539" cm="1">
        <f t="array" aca="1" ref="BN81" ca="1">INDIRECT($BM$2&amp;BN$7&amp;$BI81,1)</f>
        <v>0</v>
      </c>
      <c r="BO81" s="539" t="str">
        <f t="shared" ca="1" si="63"/>
        <v>-</v>
      </c>
      <c r="BQ81" s="20"/>
      <c r="BR81" s="469">
        <v>8</v>
      </c>
      <c r="BS81" s="539" t="s">
        <v>8041</v>
      </c>
      <c r="BT81" s="539">
        <f t="shared" si="67"/>
        <v>434</v>
      </c>
      <c r="BU81" s="539" cm="1">
        <f t="array" aca="1" ref="BU81" ca="1">INDIRECT($BM$2&amp;BU$7&amp;$BT81,1)</f>
        <v>0</v>
      </c>
      <c r="BV81" s="539" cm="1">
        <f t="array" aca="1" ref="BV81" ca="1">INDIRECT($BM$2&amp;BV$7&amp;$BT81,1)</f>
        <v>0</v>
      </c>
      <c r="BW81" s="539" cm="1">
        <f t="array" aca="1" ref="BW81" ca="1">INDIRECT($BM$2&amp;BW$7&amp;$BT81,1)</f>
        <v>0</v>
      </c>
      <c r="BX81" s="539" cm="1">
        <f t="array" aca="1" ref="BX81" ca="1">INDIRECT($BM$2&amp;BX$7&amp;$BT81,1)</f>
        <v>0</v>
      </c>
      <c r="BY81" s="539" cm="1">
        <f t="array" aca="1" ref="BY81" ca="1">INDIRECT($BM$2&amp;BY$7&amp;$BT81,1)</f>
        <v>0</v>
      </c>
      <c r="BZ81" s="539" t="str">
        <f t="shared" ca="1" si="64"/>
        <v>-</v>
      </c>
      <c r="CC81" s="469">
        <v>8</v>
      </c>
      <c r="CD81" s="539" t="s">
        <v>8041</v>
      </c>
      <c r="CE81" s="539">
        <f t="shared" si="68"/>
        <v>780</v>
      </c>
      <c r="CF81" s="539" cm="1">
        <f t="array" aca="1" ref="CF81" ca="1">INDIRECT($BM$2&amp;CF$7&amp;$CE81,1)</f>
        <v>0</v>
      </c>
      <c r="CG81" s="539" cm="1">
        <f t="array" aca="1" ref="CG81" ca="1">INDIRECT($BM$2&amp;CG$7&amp;$CE81,1)</f>
        <v>0</v>
      </c>
      <c r="CH81" s="539" cm="1">
        <f t="array" aca="1" ref="CH81" ca="1">INDIRECT($BM$2&amp;CH$7&amp;$CE81,1)</f>
        <v>0</v>
      </c>
      <c r="CI81" s="539" cm="1">
        <f t="array" aca="1" ref="CI81" ca="1">INDIRECT($BM$2&amp;CI$7&amp;$CE81,1)</f>
        <v>0</v>
      </c>
      <c r="CJ81" s="539" cm="1">
        <f t="array" aca="1" ref="CJ81" ca="1">INDIRECT($BM$2&amp;CJ$7&amp;$CE81,1)</f>
        <v>0</v>
      </c>
      <c r="CK81" s="539" t="str">
        <f t="shared" ca="1" si="65"/>
        <v>-</v>
      </c>
      <c r="CU81" s="469" t="s">
        <v>5510</v>
      </c>
      <c r="CV81" s="22">
        <v>4</v>
      </c>
      <c r="CW81" s="522">
        <f t="shared" si="59"/>
        <v>101</v>
      </c>
      <c r="CX81" s="22" cm="1">
        <f t="array" aca="1" ref="CX81" ca="1">INDIRECT($DD$2&amp;CX$28&amp;$CW81)</f>
        <v>0</v>
      </c>
      <c r="CY81" s="22" cm="1">
        <f t="array" aca="1" ref="CY81" ca="1">INDIRECT($DD$2&amp;CY$28&amp;$CW81)</f>
        <v>0</v>
      </c>
      <c r="CZ81" s="22" cm="1">
        <f t="array" aca="1" ref="CZ81" ca="1">INDIRECT($DD$2&amp;CZ$28&amp;$CW81)</f>
        <v>0</v>
      </c>
      <c r="DA81" s="22" cm="1">
        <f t="array" aca="1" ref="DA81" ca="1">INDIRECT($DD$2&amp;DA$28&amp;$CW81)</f>
        <v>0</v>
      </c>
      <c r="DB81" s="22" cm="1">
        <f t="array" aca="1" ref="DB81" ca="1">INDIRECT($DD$2&amp;DB$28&amp;$CW81)</f>
        <v>0</v>
      </c>
      <c r="DC81" s="22" cm="1">
        <f t="array" aca="1" ref="DC81" ca="1">INDIRECT($DD$2&amp;DC$28&amp;$CW81)</f>
        <v>0</v>
      </c>
      <c r="DD81" s="22" t="str">
        <f t="shared" ca="1" si="57"/>
        <v/>
      </c>
      <c r="DE81" s="22" t="str">
        <f t="shared" ca="1" si="58"/>
        <v/>
      </c>
      <c r="EQ81" s="469" t="s">
        <v>5510</v>
      </c>
      <c r="EU81" s="1667" t="s">
        <v>88</v>
      </c>
      <c r="EV81" s="1667"/>
      <c r="EW81" s="1667" t="s">
        <v>101</v>
      </c>
      <c r="EX81" s="1667"/>
      <c r="EY81" s="1667" t="s">
        <v>120</v>
      </c>
      <c r="EZ81" s="1667"/>
      <c r="GC81" s="472" t="s">
        <v>5510</v>
      </c>
      <c r="HN81" s="20"/>
      <c r="HP81" s="472"/>
    </row>
    <row r="82" spans="1:224" x14ac:dyDescent="0.25">
      <c r="AV82" s="469" t="s">
        <v>5510</v>
      </c>
      <c r="AW82" s="20" t="s">
        <v>5957</v>
      </c>
      <c r="AX82" s="472"/>
      <c r="AY82" s="472" t="s">
        <v>5969</v>
      </c>
      <c r="AZ82" s="472" t="s">
        <v>5970</v>
      </c>
      <c r="BA82" s="475"/>
      <c r="BB82" s="472"/>
      <c r="BF82" s="469" t="s">
        <v>5510</v>
      </c>
      <c r="BH82" s="539" t="s">
        <v>8041</v>
      </c>
      <c r="BI82" s="539">
        <f t="shared" si="66"/>
        <v>89</v>
      </c>
      <c r="BJ82" s="539" cm="1">
        <f t="array" aca="1" ref="BJ82" ca="1">INDIRECT($BM$2&amp;BJ$7&amp;$BI82,1)</f>
        <v>0</v>
      </c>
      <c r="BK82" s="539" cm="1">
        <f t="array" aca="1" ref="BK82" ca="1">INDIRECT($BM$2&amp;BK$7&amp;$BI82,1)</f>
        <v>0</v>
      </c>
      <c r="BL82" s="539" cm="1">
        <f t="array" aca="1" ref="BL82" ca="1">INDIRECT($BM$2&amp;BL$7&amp;$BI82,1)</f>
        <v>0</v>
      </c>
      <c r="BM82" s="539" cm="1">
        <f t="array" aca="1" ref="BM82" ca="1">INDIRECT($BM$2&amp;BM$7&amp;$BI82,1)</f>
        <v>0</v>
      </c>
      <c r="BN82" s="539" cm="1">
        <f t="array" aca="1" ref="BN82" ca="1">INDIRECT($BM$2&amp;BN$7&amp;$BI82,1)</f>
        <v>0</v>
      </c>
      <c r="BO82" s="539" t="str">
        <f t="shared" ca="1" si="63"/>
        <v>-</v>
      </c>
      <c r="BQ82" s="20"/>
      <c r="BR82" s="469">
        <v>9</v>
      </c>
      <c r="BS82" s="539" t="s">
        <v>8041</v>
      </c>
      <c r="BT82" s="539">
        <f t="shared" si="67"/>
        <v>435</v>
      </c>
      <c r="BU82" s="539" cm="1">
        <f t="array" aca="1" ref="BU82" ca="1">INDIRECT($BM$2&amp;BU$7&amp;$BT82,1)</f>
        <v>0</v>
      </c>
      <c r="BV82" s="539" cm="1">
        <f t="array" aca="1" ref="BV82" ca="1">INDIRECT($BM$2&amp;BV$7&amp;$BT82,1)</f>
        <v>0</v>
      </c>
      <c r="BW82" s="539" cm="1">
        <f t="array" aca="1" ref="BW82" ca="1">INDIRECT($BM$2&amp;BW$7&amp;$BT82,1)</f>
        <v>0</v>
      </c>
      <c r="BX82" s="539" cm="1">
        <f t="array" aca="1" ref="BX82" ca="1">INDIRECT($BM$2&amp;BX$7&amp;$BT82,1)</f>
        <v>0</v>
      </c>
      <c r="BY82" s="539" cm="1">
        <f t="array" aca="1" ref="BY82" ca="1">INDIRECT($BM$2&amp;BY$7&amp;$BT82,1)</f>
        <v>0</v>
      </c>
      <c r="BZ82" s="539" t="str">
        <f t="shared" ca="1" si="64"/>
        <v>-</v>
      </c>
      <c r="CC82" s="469">
        <v>9</v>
      </c>
      <c r="CD82" s="539" t="s">
        <v>8041</v>
      </c>
      <c r="CE82" s="539">
        <f t="shared" si="68"/>
        <v>781</v>
      </c>
      <c r="CF82" s="539" cm="1">
        <f t="array" aca="1" ref="CF82" ca="1">INDIRECT($BM$2&amp;CF$7&amp;$CE82,1)</f>
        <v>0</v>
      </c>
      <c r="CG82" s="539" cm="1">
        <f t="array" aca="1" ref="CG82" ca="1">INDIRECT($BM$2&amp;CG$7&amp;$CE82,1)</f>
        <v>0</v>
      </c>
      <c r="CH82" s="539" cm="1">
        <f t="array" aca="1" ref="CH82" ca="1">INDIRECT($BM$2&amp;CH$7&amp;$CE82,1)</f>
        <v>0</v>
      </c>
      <c r="CI82" s="539" cm="1">
        <f t="array" aca="1" ref="CI82" ca="1">INDIRECT($BM$2&amp;CI$7&amp;$CE82,1)</f>
        <v>0</v>
      </c>
      <c r="CJ82" s="539" cm="1">
        <f t="array" aca="1" ref="CJ82" ca="1">INDIRECT($BM$2&amp;CJ$7&amp;$CE82,1)</f>
        <v>0</v>
      </c>
      <c r="CK82" s="539" t="str">
        <f t="shared" ca="1" si="65"/>
        <v>-</v>
      </c>
      <c r="CU82" s="469" t="s">
        <v>5510</v>
      </c>
      <c r="CV82" s="22">
        <v>4</v>
      </c>
      <c r="CW82" s="522">
        <f t="shared" si="59"/>
        <v>102</v>
      </c>
      <c r="CX82" s="22" cm="1">
        <f t="array" aca="1" ref="CX82" ca="1">INDIRECT($DD$2&amp;CX$28&amp;$CW82)</f>
        <v>0</v>
      </c>
      <c r="CY82" s="22" cm="1">
        <f t="array" aca="1" ref="CY82" ca="1">INDIRECT($DD$2&amp;CY$28&amp;$CW82)</f>
        <v>0</v>
      </c>
      <c r="CZ82" s="22" cm="1">
        <f t="array" aca="1" ref="CZ82" ca="1">INDIRECT($DD$2&amp;CZ$28&amp;$CW82)</f>
        <v>0</v>
      </c>
      <c r="DA82" s="22" cm="1">
        <f t="array" aca="1" ref="DA82" ca="1">INDIRECT($DD$2&amp;DA$28&amp;$CW82)</f>
        <v>0</v>
      </c>
      <c r="DB82" s="22" cm="1">
        <f t="array" aca="1" ref="DB82" ca="1">INDIRECT($DD$2&amp;DB$28&amp;$CW82)</f>
        <v>0</v>
      </c>
      <c r="DC82" s="22" cm="1">
        <f t="array" aca="1" ref="DC82" ca="1">INDIRECT($DD$2&amp;DC$28&amp;$CW82)</f>
        <v>0</v>
      </c>
      <c r="DD82" s="22" t="str">
        <f t="shared" ca="1" si="57"/>
        <v/>
      </c>
      <c r="DE82" s="22" t="str">
        <f t="shared" ca="1" si="58"/>
        <v/>
      </c>
      <c r="EQ82" s="469" t="s">
        <v>5510</v>
      </c>
      <c r="ET82" s="20" t="s">
        <v>347</v>
      </c>
      <c r="EU82" s="597" t="s">
        <v>10</v>
      </c>
      <c r="EV82" s="643" t="s">
        <v>237</v>
      </c>
      <c r="EW82" s="597" t="s">
        <v>10</v>
      </c>
      <c r="EX82" s="643" t="s">
        <v>237</v>
      </c>
      <c r="EY82" s="597" t="s">
        <v>10</v>
      </c>
      <c r="EZ82" s="643" t="s">
        <v>237</v>
      </c>
      <c r="GC82" s="472" t="s">
        <v>5510</v>
      </c>
      <c r="HN82" s="20"/>
      <c r="HP82" s="472"/>
    </row>
    <row r="83" spans="1:224" x14ac:dyDescent="0.25">
      <c r="A83" s="481" t="s">
        <v>5791</v>
      </c>
      <c r="B83" s="481" t="s">
        <v>5791</v>
      </c>
      <c r="C83" s="481" t="s">
        <v>5791</v>
      </c>
      <c r="D83" s="481" t="s">
        <v>5791</v>
      </c>
      <c r="E83" s="481" t="s">
        <v>5791</v>
      </c>
      <c r="F83" s="481" t="s">
        <v>5791</v>
      </c>
      <c r="G83" s="481" t="s">
        <v>5791</v>
      </c>
      <c r="H83" s="481" t="s">
        <v>5791</v>
      </c>
      <c r="I83" s="481" t="s">
        <v>5791</v>
      </c>
      <c r="J83" s="481" t="s">
        <v>5791</v>
      </c>
      <c r="K83" s="481" t="s">
        <v>5791</v>
      </c>
      <c r="L83" s="481" t="s">
        <v>5791</v>
      </c>
      <c r="AV83" s="469" t="s">
        <v>5510</v>
      </c>
      <c r="AW83" s="646" t="s">
        <v>5581</v>
      </c>
      <c r="AX83" s="643" t="s">
        <v>5958</v>
      </c>
      <c r="AY83" s="624" cm="1">
        <f t="array" aca="1" ref="AY83" ca="1">INDIRECT($AW$83&amp;"N48",1)</f>
        <v>0</v>
      </c>
      <c r="AZ83" s="624" cm="1">
        <f t="array" aca="1" ref="AZ83" ca="1">INDIRECT($AW$83&amp;"S48",1)</f>
        <v>0</v>
      </c>
      <c r="BA83" s="475" t="s">
        <v>5964</v>
      </c>
      <c r="BB83" s="472"/>
      <c r="BF83" s="469" t="s">
        <v>5510</v>
      </c>
      <c r="BH83" s="539" t="s">
        <v>8041</v>
      </c>
      <c r="BI83" s="539">
        <f t="shared" si="66"/>
        <v>90</v>
      </c>
      <c r="BJ83" s="539" cm="1">
        <f t="array" aca="1" ref="BJ83" ca="1">INDIRECT($BM$2&amp;BJ$7&amp;$BI83,1)</f>
        <v>0</v>
      </c>
      <c r="BK83" s="539" cm="1">
        <f t="array" aca="1" ref="BK83" ca="1">INDIRECT($BM$2&amp;BK$7&amp;$BI83,1)</f>
        <v>0</v>
      </c>
      <c r="BL83" s="539" cm="1">
        <f t="array" aca="1" ref="BL83" ca="1">INDIRECT($BM$2&amp;BL$7&amp;$BI83,1)</f>
        <v>0</v>
      </c>
      <c r="BM83" s="539" cm="1">
        <f t="array" aca="1" ref="BM83" ca="1">INDIRECT($BM$2&amp;BM$7&amp;$BI83,1)</f>
        <v>0</v>
      </c>
      <c r="BN83" s="539" cm="1">
        <f t="array" aca="1" ref="BN83" ca="1">INDIRECT($BM$2&amp;BN$7&amp;$BI83,1)</f>
        <v>0</v>
      </c>
      <c r="BO83" s="539" t="str">
        <f t="shared" ca="1" si="63"/>
        <v>-</v>
      </c>
      <c r="BQ83" s="20"/>
      <c r="BR83" s="469">
        <v>10</v>
      </c>
      <c r="BS83" s="539" t="s">
        <v>8041</v>
      </c>
      <c r="BT83" s="539">
        <f t="shared" si="67"/>
        <v>436</v>
      </c>
      <c r="BU83" s="539" cm="1">
        <f t="array" aca="1" ref="BU83" ca="1">INDIRECT($BM$2&amp;BU$7&amp;$BT83,1)</f>
        <v>0</v>
      </c>
      <c r="BV83" s="539" cm="1">
        <f t="array" aca="1" ref="BV83" ca="1">INDIRECT($BM$2&amp;BV$7&amp;$BT83,1)</f>
        <v>0</v>
      </c>
      <c r="BW83" s="539" cm="1">
        <f t="array" aca="1" ref="BW83" ca="1">INDIRECT($BM$2&amp;BW$7&amp;$BT83,1)</f>
        <v>0</v>
      </c>
      <c r="BX83" s="539" cm="1">
        <f t="array" aca="1" ref="BX83" ca="1">INDIRECT($BM$2&amp;BX$7&amp;$BT83,1)</f>
        <v>0</v>
      </c>
      <c r="BY83" s="539" cm="1">
        <f t="array" aca="1" ref="BY83" ca="1">INDIRECT($BM$2&amp;BY$7&amp;$BT83,1)</f>
        <v>0</v>
      </c>
      <c r="BZ83" s="539" t="str">
        <f t="shared" ca="1" si="64"/>
        <v>-</v>
      </c>
      <c r="CC83" s="469">
        <v>10</v>
      </c>
      <c r="CD83" s="539" t="s">
        <v>8041</v>
      </c>
      <c r="CE83" s="539">
        <f t="shared" si="68"/>
        <v>782</v>
      </c>
      <c r="CF83" s="539" cm="1">
        <f t="array" aca="1" ref="CF83" ca="1">INDIRECT($BM$2&amp;CF$7&amp;$CE83,1)</f>
        <v>0</v>
      </c>
      <c r="CG83" s="539" cm="1">
        <f t="array" aca="1" ref="CG83" ca="1">INDIRECT($BM$2&amp;CG$7&amp;$CE83,1)</f>
        <v>0</v>
      </c>
      <c r="CH83" s="539" cm="1">
        <f t="array" aca="1" ref="CH83" ca="1">INDIRECT($BM$2&amp;CH$7&amp;$CE83,1)</f>
        <v>0</v>
      </c>
      <c r="CI83" s="539" cm="1">
        <f t="array" aca="1" ref="CI83" ca="1">INDIRECT($BM$2&amp;CI$7&amp;$CE83,1)</f>
        <v>0</v>
      </c>
      <c r="CJ83" s="539" cm="1">
        <f t="array" aca="1" ref="CJ83" ca="1">INDIRECT($BM$2&amp;CJ$7&amp;$CE83,1)</f>
        <v>0</v>
      </c>
      <c r="CK83" s="539" t="str">
        <f t="shared" ca="1" si="65"/>
        <v>-</v>
      </c>
      <c r="CU83" s="469" t="s">
        <v>5510</v>
      </c>
      <c r="CV83" s="22">
        <v>4</v>
      </c>
      <c r="CW83" s="522">
        <f t="shared" si="59"/>
        <v>103</v>
      </c>
      <c r="CX83" s="22" cm="1">
        <f t="array" aca="1" ref="CX83" ca="1">INDIRECT($DD$2&amp;CX$28&amp;$CW83)</f>
        <v>0</v>
      </c>
      <c r="CY83" s="22" cm="1">
        <f t="array" aca="1" ref="CY83" ca="1">INDIRECT($DD$2&amp;CY$28&amp;$CW83)</f>
        <v>0</v>
      </c>
      <c r="CZ83" s="22" cm="1">
        <f t="array" aca="1" ref="CZ83" ca="1">INDIRECT($DD$2&amp;CZ$28&amp;$CW83)</f>
        <v>0</v>
      </c>
      <c r="DA83" s="22" cm="1">
        <f t="array" aca="1" ref="DA83" ca="1">INDIRECT($DD$2&amp;DA$28&amp;$CW83)</f>
        <v>0</v>
      </c>
      <c r="DB83" s="22" cm="1">
        <f t="array" aca="1" ref="DB83" ca="1">INDIRECT($DD$2&amp;DB$28&amp;$CW83)</f>
        <v>0</v>
      </c>
      <c r="DC83" s="22" cm="1">
        <f t="array" aca="1" ref="DC83" ca="1">INDIRECT($DD$2&amp;DC$28&amp;$CW83)</f>
        <v>0</v>
      </c>
      <c r="DD83" s="22" t="str">
        <f t="shared" ca="1" si="57"/>
        <v/>
      </c>
      <c r="DE83" s="22" t="str">
        <f t="shared" ca="1" si="58"/>
        <v/>
      </c>
      <c r="EQ83" s="469" t="s">
        <v>5510</v>
      </c>
      <c r="ET83" s="20" t="s">
        <v>90</v>
      </c>
      <c r="EU83" s="725">
        <f ca="1">IF(FB68&lt;&gt;"-",
IF($ES$24=$ET$65,
IF(ET68="",2,IF(AND(FB68&gt;=ET68,FB68&lt;=EU68),0,1)),
IF(EX68="",2,IF(AND(FB68&gt;=EX68,FB68&lt;=EY68),0,1))),0)</f>
        <v>2</v>
      </c>
      <c r="EV83" s="725">
        <f ca="1">IF(FC68&lt;&gt;"-",
IF($ES$24=$ET$65,
IF(EV68="",2,IF(AND(FC68&gt;=EV68,FC68&lt;=EW68),0,1)),
IF(EZ68="",2,IF(AND(FC68&gt;=EZ68,FC68&lt;=FA68),0,1))),0)</f>
        <v>2</v>
      </c>
      <c r="EW83" s="725">
        <f ca="1">IF(FD68&lt;&gt;"-",
IF($ES$25=$ET$65,
IF(ET68="",2,IF(AND(FD68&gt;=ET68,FD68&lt;=EU68),0,1)),
IF(EX68="",2,IF(AND(FD68&gt;=EX68,FD68&lt;=EY68),0,1))),0)</f>
        <v>2</v>
      </c>
      <c r="EX83" s="726">
        <f ca="1">IF(FE68&lt;&gt;"-",
IF($ES$25=$ET$65,
IF(EV68="",2,IF(AND(FE68&gt;=EV68,FE68&lt;=EW68),0,1)),
IF(EZ68="",2,IF(AND(FE68&gt;=EZ68,FE68&lt;=FA68),0,1))),0)</f>
        <v>2</v>
      </c>
      <c r="EY83" s="725">
        <f ca="1">IF(FF68&lt;&gt;"-",
IF($ES$26=$ET$65,
IF(ET68="",2,IF(AND(FF68&gt;=ET68,FF68&lt;=EU68),0,1)),
IF(EX68="",2,IF(AND(FF68&gt;=EX68,FF68&lt;=EY68),0,1))),0)</f>
        <v>0</v>
      </c>
      <c r="EZ83" s="726">
        <f ca="1">IF(FG68&lt;&gt;"-",
IF($ES$26=$ET$65,
IF(EV68="",2,IF(AND(FG68&gt;=EV68,FG68&lt;=EW68),0,1)),
IF(EZ68="",2,IF(AND(FG68&gt;=EZ68,FG68&lt;=FA68),0,1))),0)</f>
        <v>2</v>
      </c>
      <c r="GC83" s="472" t="s">
        <v>5510</v>
      </c>
      <c r="HN83" s="20"/>
      <c r="HP83" s="472"/>
    </row>
    <row r="84" spans="1:224" x14ac:dyDescent="0.25">
      <c r="AV84" s="469" t="s">
        <v>5510</v>
      </c>
      <c r="AW84" s="535"/>
      <c r="AX84" s="643" t="s">
        <v>5961</v>
      </c>
      <c r="AY84" s="624" cm="1">
        <f t="array" aca="1" ref="AY84" ca="1">IF(INDIRECT($AW$83&amp;"R64",1)&lt;&gt;"",
INDIRECT($AW$83&amp;"R64",1),
INDIRECT($AW$83&amp;"R63",1))</f>
        <v>0</v>
      </c>
      <c r="AZ84" s="624" cm="1">
        <f t="array" aca="1" ref="AZ84" ca="1">IF(INDIRECT($AW$83&amp;"V64",1)&lt;&gt;"",
INDIRECT($AW$83&amp;"V64",1),
INDIRECT($AW$83&amp;"V63",1))</f>
        <v>0</v>
      </c>
      <c r="BA84" s="475" t="s">
        <v>5960</v>
      </c>
      <c r="BB84" s="472"/>
      <c r="BF84" s="469" t="s">
        <v>5510</v>
      </c>
      <c r="BH84" s="539" t="s">
        <v>8041</v>
      </c>
      <c r="BI84" s="539">
        <f t="shared" si="66"/>
        <v>91</v>
      </c>
      <c r="BJ84" s="539" cm="1">
        <f t="array" aca="1" ref="BJ84" ca="1">INDIRECT($BM$2&amp;BJ$7&amp;$BI84,1)</f>
        <v>0</v>
      </c>
      <c r="BK84" s="539" cm="1">
        <f t="array" aca="1" ref="BK84" ca="1">INDIRECT($BM$2&amp;BK$7&amp;$BI84,1)</f>
        <v>0</v>
      </c>
      <c r="BL84" s="539" cm="1">
        <f t="array" aca="1" ref="BL84" ca="1">INDIRECT($BM$2&amp;BL$7&amp;$BI84,1)</f>
        <v>0</v>
      </c>
      <c r="BM84" s="539" cm="1">
        <f t="array" aca="1" ref="BM84" ca="1">INDIRECT($BM$2&amp;BM$7&amp;$BI84,1)</f>
        <v>0</v>
      </c>
      <c r="BN84" s="539" cm="1">
        <f t="array" aca="1" ref="BN84" ca="1">INDIRECT($BM$2&amp;BN$7&amp;$BI84,1)</f>
        <v>0</v>
      </c>
      <c r="BO84" s="539" t="str">
        <f t="shared" ca="1" si="63"/>
        <v>-</v>
      </c>
      <c r="BQ84" s="20"/>
      <c r="BR84" s="469">
        <v>11</v>
      </c>
      <c r="BS84" s="539" t="s">
        <v>8041</v>
      </c>
      <c r="BT84" s="539">
        <f t="shared" si="67"/>
        <v>437</v>
      </c>
      <c r="BU84" s="539" cm="1">
        <f t="array" aca="1" ref="BU84" ca="1">INDIRECT($BM$2&amp;BU$7&amp;$BT84,1)</f>
        <v>0</v>
      </c>
      <c r="BV84" s="539" cm="1">
        <f t="array" aca="1" ref="BV84" ca="1">INDIRECT($BM$2&amp;BV$7&amp;$BT84,1)</f>
        <v>0</v>
      </c>
      <c r="BW84" s="539" cm="1">
        <f t="array" aca="1" ref="BW84" ca="1">INDIRECT($BM$2&amp;BW$7&amp;$BT84,1)</f>
        <v>0</v>
      </c>
      <c r="BX84" s="539" cm="1">
        <f t="array" aca="1" ref="BX84" ca="1">INDIRECT($BM$2&amp;BX$7&amp;$BT84,1)</f>
        <v>0</v>
      </c>
      <c r="BY84" s="539" cm="1">
        <f t="array" aca="1" ref="BY84" ca="1">INDIRECT($BM$2&amp;BY$7&amp;$BT84,1)</f>
        <v>0</v>
      </c>
      <c r="BZ84" s="539" t="str">
        <f t="shared" ca="1" si="64"/>
        <v>-</v>
      </c>
      <c r="CC84" s="469">
        <v>11</v>
      </c>
      <c r="CD84" s="539" t="s">
        <v>8041</v>
      </c>
      <c r="CE84" s="539">
        <f t="shared" si="68"/>
        <v>783</v>
      </c>
      <c r="CF84" s="539" cm="1">
        <f t="array" aca="1" ref="CF84" ca="1">INDIRECT($BM$2&amp;CF$7&amp;$CE84,1)</f>
        <v>0</v>
      </c>
      <c r="CG84" s="539" cm="1">
        <f t="array" aca="1" ref="CG84" ca="1">INDIRECT($BM$2&amp;CG$7&amp;$CE84,1)</f>
        <v>0</v>
      </c>
      <c r="CH84" s="539" cm="1">
        <f t="array" aca="1" ref="CH84" ca="1">INDIRECT($BM$2&amp;CH$7&amp;$CE84,1)</f>
        <v>0</v>
      </c>
      <c r="CI84" s="539" cm="1">
        <f t="array" aca="1" ref="CI84" ca="1">INDIRECT($BM$2&amp;CI$7&amp;$CE84,1)</f>
        <v>0</v>
      </c>
      <c r="CJ84" s="539" cm="1">
        <f t="array" aca="1" ref="CJ84" ca="1">INDIRECT($BM$2&amp;CJ$7&amp;$CE84,1)</f>
        <v>0</v>
      </c>
      <c r="CK84" s="539" t="str">
        <f t="shared" ca="1" si="65"/>
        <v>-</v>
      </c>
      <c r="CU84" s="469" t="s">
        <v>5510</v>
      </c>
      <c r="CV84" s="22">
        <v>4</v>
      </c>
      <c r="CW84" s="522">
        <f t="shared" si="59"/>
        <v>104</v>
      </c>
      <c r="CX84" s="22" cm="1">
        <f t="array" aca="1" ref="CX84" ca="1">INDIRECT($DD$2&amp;CX$28&amp;$CW84)</f>
        <v>0</v>
      </c>
      <c r="CY84" s="22" cm="1">
        <f t="array" aca="1" ref="CY84" ca="1">INDIRECT($DD$2&amp;CY$28&amp;$CW84)</f>
        <v>0</v>
      </c>
      <c r="CZ84" s="22" cm="1">
        <f t="array" aca="1" ref="CZ84" ca="1">INDIRECT($DD$2&amp;CZ$28&amp;$CW84)</f>
        <v>0</v>
      </c>
      <c r="DA84" s="22" cm="1">
        <f t="array" aca="1" ref="DA84" ca="1">INDIRECT($DD$2&amp;DA$28&amp;$CW84)</f>
        <v>0</v>
      </c>
      <c r="DB84" s="22" cm="1">
        <f t="array" aca="1" ref="DB84" ca="1">INDIRECT($DD$2&amp;DB$28&amp;$CW84)</f>
        <v>0</v>
      </c>
      <c r="DC84" s="22" cm="1">
        <f t="array" aca="1" ref="DC84" ca="1">INDIRECT($DD$2&amp;DC$28&amp;$CW84)</f>
        <v>0</v>
      </c>
      <c r="DD84" s="22" t="str">
        <f t="shared" ca="1" si="57"/>
        <v/>
      </c>
      <c r="DE84" s="22" t="str">
        <f t="shared" ca="1" si="58"/>
        <v/>
      </c>
      <c r="EQ84" s="469" t="s">
        <v>5510</v>
      </c>
      <c r="ET84" s="20" t="s">
        <v>91</v>
      </c>
      <c r="EU84" s="725">
        <f t="shared" ref="EU84:EU92" ca="1" si="69">IF(FB69&lt;&gt;"-",
IF($ES$24=$ET$65,
IF(ET69="",2,IF(AND(FB69&gt;=ET69,FB69&lt;=EU69),0,1)),
IF(EX69="",2,IF(AND(FB69&gt;=EX69,FB69&lt;=EY69),0,1))),0)</f>
        <v>2</v>
      </c>
      <c r="EV84" s="725">
        <f t="shared" ref="EV84:EV92" ca="1" si="70">IF(FC69&lt;&gt;"-",
IF($ES$24=$ET$65,
IF(EV69="",2,IF(AND(FC69&gt;=EV69,FC69&lt;=EW69),0,1)),
IF(EZ69="",2,IF(AND(FC69&gt;=EZ69,FC69&lt;=FA69),0,1))),0)</f>
        <v>2</v>
      </c>
      <c r="EW84" s="725">
        <f t="shared" ref="EW84:EW92" ca="1" si="71">IF(FD69&lt;&gt;"-",
IF($ES$25=$ET$65,
IF(ET69="",2,IF(AND(FD69&gt;=ET69,FD69&lt;=EU69),0,1)),
IF(EX69="",2,IF(AND(FD69&gt;=EX69,FD69&lt;=EY69),0,1))),0)</f>
        <v>2</v>
      </c>
      <c r="EX84" s="726">
        <f t="shared" ref="EX84:EX92" ca="1" si="72">IF(FE69&lt;&gt;"-",
IF($ES$25=$ET$65,
IF(EV69="",2,IF(AND(FE69&gt;=EV69,FE69&lt;=EW69),0,1)),
IF(EZ69="",2,IF(AND(FE69&gt;=EZ69,FE69&lt;=FA69),0,1))),0)</f>
        <v>2</v>
      </c>
      <c r="EY84" s="725">
        <f t="shared" ref="EY84:EY92" ca="1" si="73">IF(FF69&lt;&gt;"-",
IF($ES$26=$ET$65,
IF(ET69="",2,IF(AND(FF69&gt;=ET69,FF69&lt;=EU69),0,1)),
IF(EX69="",2,IF(AND(FF69&gt;=EX69,FF69&lt;=EY69),0,1))),0)</f>
        <v>2</v>
      </c>
      <c r="EZ84" s="726">
        <f t="shared" ref="EZ84:EZ92" ca="1" si="74">IF(FG69&lt;&gt;"-",
IF($ES$26=$ET$65,
IF(EV69="",2,IF(AND(FG69&gt;=EV69,FG69&lt;=EW69),0,1)),
IF(EZ69="",2,IF(AND(FG69&gt;=EZ69,FG69&lt;=FA69),0,1))),0)</f>
        <v>2</v>
      </c>
      <c r="GC84" s="472" t="s">
        <v>5510</v>
      </c>
      <c r="HN84" s="20"/>
      <c r="HP84" s="472"/>
    </row>
    <row r="85" spans="1:224" x14ac:dyDescent="0.25">
      <c r="N85" s="20"/>
      <c r="AV85" s="469" t="s">
        <v>5510</v>
      </c>
      <c r="AX85" s="643" t="s">
        <v>5972</v>
      </c>
      <c r="AY85" s="624" t="b">
        <f ca="1">AY83=AY84</f>
        <v>1</v>
      </c>
      <c r="AZ85" s="624" t="b">
        <f ca="1">AZ83=AZ84</f>
        <v>1</v>
      </c>
      <c r="BA85" s="20" t="s">
        <v>5971</v>
      </c>
      <c r="BB85" s="472"/>
      <c r="BF85" s="469" t="s">
        <v>5510</v>
      </c>
      <c r="BH85" s="539" t="s">
        <v>8041</v>
      </c>
      <c r="BI85" s="539">
        <f t="shared" si="66"/>
        <v>92</v>
      </c>
      <c r="BJ85" s="539" cm="1">
        <f t="array" aca="1" ref="BJ85" ca="1">INDIRECT($BM$2&amp;BJ$7&amp;$BI85,1)</f>
        <v>0</v>
      </c>
      <c r="BK85" s="539" cm="1">
        <f t="array" aca="1" ref="BK85" ca="1">INDIRECT($BM$2&amp;BK$7&amp;$BI85,1)</f>
        <v>0</v>
      </c>
      <c r="BL85" s="539" cm="1">
        <f t="array" aca="1" ref="BL85" ca="1">INDIRECT($BM$2&amp;BL$7&amp;$BI85,1)</f>
        <v>0</v>
      </c>
      <c r="BM85" s="539" cm="1">
        <f t="array" aca="1" ref="BM85" ca="1">INDIRECT($BM$2&amp;BM$7&amp;$BI85,1)</f>
        <v>0</v>
      </c>
      <c r="BN85" s="539" t="str" cm="1">
        <f t="array" aca="1" ref="BN85" ca="1">INDIRECT($BM$2&amp;BN$7&amp;$BI85,1)</f>
        <v>-</v>
      </c>
      <c r="BO85" s="539" t="str">
        <f t="shared" ca="1" si="63"/>
        <v>-</v>
      </c>
      <c r="BQ85" s="20"/>
      <c r="BR85" s="469">
        <v>12</v>
      </c>
      <c r="BS85" s="539" t="s">
        <v>8041</v>
      </c>
      <c r="BT85" s="539">
        <f t="shared" si="67"/>
        <v>438</v>
      </c>
      <c r="BU85" s="539" cm="1">
        <f t="array" aca="1" ref="BU85" ca="1">INDIRECT($BM$2&amp;BU$7&amp;$BT85,1)</f>
        <v>0</v>
      </c>
      <c r="BV85" s="539" cm="1">
        <f t="array" aca="1" ref="BV85" ca="1">INDIRECT($BM$2&amp;BV$7&amp;$BT85,1)</f>
        <v>0</v>
      </c>
      <c r="BW85" s="539" cm="1">
        <f t="array" aca="1" ref="BW85" ca="1">INDIRECT($BM$2&amp;BW$7&amp;$BT85,1)</f>
        <v>0</v>
      </c>
      <c r="BX85" s="539" cm="1">
        <f t="array" aca="1" ref="BX85" ca="1">INDIRECT($BM$2&amp;BX$7&amp;$BT85,1)</f>
        <v>0</v>
      </c>
      <c r="BY85" s="539" t="str" cm="1">
        <f t="array" aca="1" ref="BY85" ca="1">INDIRECT($BM$2&amp;BY$7&amp;$BT85,1)</f>
        <v>-</v>
      </c>
      <c r="BZ85" s="539" t="str">
        <f t="shared" ca="1" si="64"/>
        <v>-</v>
      </c>
      <c r="CC85" s="469">
        <v>12</v>
      </c>
      <c r="CD85" s="539" t="s">
        <v>8041</v>
      </c>
      <c r="CE85" s="539">
        <f t="shared" si="68"/>
        <v>784</v>
      </c>
      <c r="CF85" s="539" cm="1">
        <f t="array" aca="1" ref="CF85" ca="1">INDIRECT($BM$2&amp;CF$7&amp;$CE85,1)</f>
        <v>0</v>
      </c>
      <c r="CG85" s="539" cm="1">
        <f t="array" aca="1" ref="CG85" ca="1">INDIRECT($BM$2&amp;CG$7&amp;$CE85,1)</f>
        <v>0</v>
      </c>
      <c r="CH85" s="539" cm="1">
        <f t="array" aca="1" ref="CH85" ca="1">INDIRECT($BM$2&amp;CH$7&amp;$CE85,1)</f>
        <v>0</v>
      </c>
      <c r="CI85" s="539" cm="1">
        <f t="array" aca="1" ref="CI85" ca="1">INDIRECT($BM$2&amp;CI$7&amp;$CE85,1)</f>
        <v>0</v>
      </c>
      <c r="CJ85" s="539" t="str" cm="1">
        <f t="array" aca="1" ref="CJ85" ca="1">INDIRECT($BM$2&amp;CJ$7&amp;$CE85,1)</f>
        <v>-</v>
      </c>
      <c r="CK85" s="539" t="str">
        <f t="shared" ca="1" si="65"/>
        <v>-</v>
      </c>
      <c r="CU85" s="469" t="s">
        <v>5510</v>
      </c>
      <c r="CV85" s="22">
        <v>4</v>
      </c>
      <c r="CW85" s="522">
        <f t="shared" si="59"/>
        <v>105</v>
      </c>
      <c r="CX85" s="22" cm="1">
        <f t="array" aca="1" ref="CX85" ca="1">INDIRECT($DD$2&amp;CX$28&amp;$CW85)</f>
        <v>0</v>
      </c>
      <c r="CY85" s="22" cm="1">
        <f t="array" aca="1" ref="CY85" ca="1">INDIRECT($DD$2&amp;CY$28&amp;$CW85)</f>
        <v>0</v>
      </c>
      <c r="CZ85" s="22" cm="1">
        <f t="array" aca="1" ref="CZ85" ca="1">INDIRECT($DD$2&amp;CZ$28&amp;$CW85)</f>
        <v>0</v>
      </c>
      <c r="DA85" s="22" cm="1">
        <f t="array" aca="1" ref="DA85" ca="1">INDIRECT($DD$2&amp;DA$28&amp;$CW85)</f>
        <v>0</v>
      </c>
      <c r="DB85" s="22" cm="1">
        <f t="array" aca="1" ref="DB85" ca="1">INDIRECT($DD$2&amp;DB$28&amp;$CW85)</f>
        <v>0</v>
      </c>
      <c r="DC85" s="22" cm="1">
        <f t="array" aca="1" ref="DC85" ca="1">INDIRECT($DD$2&amp;DC$28&amp;$CW85)</f>
        <v>0</v>
      </c>
      <c r="DD85" s="22" t="str">
        <f t="shared" ca="1" si="57"/>
        <v/>
      </c>
      <c r="DE85" s="22" t="str">
        <f t="shared" ca="1" si="58"/>
        <v/>
      </c>
      <c r="EQ85" s="469" t="s">
        <v>5510</v>
      </c>
      <c r="ET85" s="20" t="s">
        <v>92</v>
      </c>
      <c r="EU85" s="725">
        <f t="shared" ca="1" si="69"/>
        <v>2</v>
      </c>
      <c r="EV85" s="725">
        <f t="shared" ca="1" si="70"/>
        <v>2</v>
      </c>
      <c r="EW85" s="725">
        <f t="shared" ca="1" si="71"/>
        <v>2</v>
      </c>
      <c r="EX85" s="726">
        <f t="shared" ca="1" si="72"/>
        <v>2</v>
      </c>
      <c r="EY85" s="725">
        <f t="shared" ca="1" si="73"/>
        <v>2</v>
      </c>
      <c r="EZ85" s="726">
        <f t="shared" ca="1" si="74"/>
        <v>2</v>
      </c>
      <c r="GC85" s="472" t="s">
        <v>5510</v>
      </c>
      <c r="HN85" s="20"/>
      <c r="HP85" s="472"/>
    </row>
    <row r="86" spans="1:224" x14ac:dyDescent="0.25">
      <c r="N86" s="20"/>
      <c r="AV86" s="469" t="s">
        <v>5510</v>
      </c>
      <c r="BB86" s="472"/>
      <c r="BF86" s="469" t="s">
        <v>5510</v>
      </c>
      <c r="BL86" s="372"/>
      <c r="BO86" s="472"/>
      <c r="BQ86" s="20"/>
      <c r="BT86" s="372"/>
      <c r="BU86" s="472"/>
      <c r="BV86" s="472"/>
      <c r="BW86" s="372"/>
      <c r="BX86" s="472"/>
      <c r="BY86" s="372"/>
      <c r="BZ86" s="472"/>
      <c r="CE86" s="372"/>
      <c r="CF86" s="472"/>
      <c r="CG86" s="472"/>
      <c r="CH86" s="372"/>
      <c r="CI86" s="472"/>
      <c r="CJ86" s="372"/>
      <c r="CK86" s="472"/>
      <c r="CU86" s="469" t="s">
        <v>5510</v>
      </c>
      <c r="CV86" s="22">
        <v>4</v>
      </c>
      <c r="CW86" s="522">
        <f t="shared" si="59"/>
        <v>106</v>
      </c>
      <c r="CX86" s="22" cm="1">
        <f t="array" aca="1" ref="CX86" ca="1">INDIRECT($DD$2&amp;CX$28&amp;$CW86)</f>
        <v>0</v>
      </c>
      <c r="CY86" s="22" cm="1">
        <f t="array" aca="1" ref="CY86" ca="1">INDIRECT($DD$2&amp;CY$28&amp;$CW86)</f>
        <v>0</v>
      </c>
      <c r="CZ86" s="22" cm="1">
        <f t="array" aca="1" ref="CZ86" ca="1">INDIRECT($DD$2&amp;CZ$28&amp;$CW86)</f>
        <v>0</v>
      </c>
      <c r="DA86" s="22" cm="1">
        <f t="array" aca="1" ref="DA86" ca="1">INDIRECT($DD$2&amp;DA$28&amp;$CW86)</f>
        <v>0</v>
      </c>
      <c r="DB86" s="22" cm="1">
        <f t="array" aca="1" ref="DB86" ca="1">INDIRECT($DD$2&amp;DB$28&amp;$CW86)</f>
        <v>0</v>
      </c>
      <c r="DC86" s="22" cm="1">
        <f t="array" aca="1" ref="DC86" ca="1">INDIRECT($DD$2&amp;DC$28&amp;$CW86)</f>
        <v>0</v>
      </c>
      <c r="DD86" s="22" t="str">
        <f t="shared" ca="1" si="57"/>
        <v/>
      </c>
      <c r="DE86" s="22" t="str">
        <f t="shared" ca="1" si="58"/>
        <v/>
      </c>
      <c r="EQ86" s="469" t="s">
        <v>5510</v>
      </c>
      <c r="ET86" s="20" t="s">
        <v>93</v>
      </c>
      <c r="EU86" s="725">
        <f t="shared" ca="1" si="69"/>
        <v>2</v>
      </c>
      <c r="EV86" s="725">
        <f t="shared" ca="1" si="70"/>
        <v>2</v>
      </c>
      <c r="EW86" s="725">
        <f t="shared" ca="1" si="71"/>
        <v>2</v>
      </c>
      <c r="EX86" s="726">
        <f t="shared" ca="1" si="72"/>
        <v>2</v>
      </c>
      <c r="EY86" s="725">
        <f t="shared" ca="1" si="73"/>
        <v>2</v>
      </c>
      <c r="EZ86" s="726">
        <f t="shared" ca="1" si="74"/>
        <v>2</v>
      </c>
      <c r="GC86" s="472" t="s">
        <v>5510</v>
      </c>
      <c r="HN86" s="20"/>
      <c r="HP86" s="472"/>
    </row>
    <row r="87" spans="1:224" x14ac:dyDescent="0.25">
      <c r="N87" s="20"/>
      <c r="AV87" s="469" t="s">
        <v>5510</v>
      </c>
      <c r="BB87" s="472"/>
      <c r="BF87" s="469" t="s">
        <v>5510</v>
      </c>
      <c r="BL87" s="372"/>
      <c r="BO87" s="472"/>
      <c r="BQ87" s="20"/>
      <c r="BT87" s="372"/>
      <c r="BU87" s="472"/>
      <c r="BV87" s="472"/>
      <c r="BW87" s="372"/>
      <c r="BX87" s="472"/>
      <c r="BY87" s="372"/>
      <c r="BZ87" s="472"/>
      <c r="CE87" s="372"/>
      <c r="CF87" s="472"/>
      <c r="CG87" s="472"/>
      <c r="CH87" s="372"/>
      <c r="CI87" s="472"/>
      <c r="CJ87" s="372"/>
      <c r="CK87" s="472"/>
      <c r="CU87" s="469" t="s">
        <v>5510</v>
      </c>
      <c r="CV87" s="22">
        <v>4</v>
      </c>
      <c r="CW87" s="522">
        <f t="shared" si="59"/>
        <v>107</v>
      </c>
      <c r="CX87" s="22" cm="1">
        <f t="array" aca="1" ref="CX87" ca="1">INDIRECT($DD$2&amp;CX$28&amp;$CW87)</f>
        <v>0</v>
      </c>
      <c r="CY87" s="22" cm="1">
        <f t="array" aca="1" ref="CY87" ca="1">INDIRECT($DD$2&amp;CY$28&amp;$CW87)</f>
        <v>0</v>
      </c>
      <c r="CZ87" s="22" cm="1">
        <f t="array" aca="1" ref="CZ87" ca="1">INDIRECT($DD$2&amp;CZ$28&amp;$CW87)</f>
        <v>0</v>
      </c>
      <c r="DA87" s="22" cm="1">
        <f t="array" aca="1" ref="DA87" ca="1">INDIRECT($DD$2&amp;DA$28&amp;$CW87)</f>
        <v>0</v>
      </c>
      <c r="DB87" s="22" cm="1">
        <f t="array" aca="1" ref="DB87" ca="1">INDIRECT($DD$2&amp;DB$28&amp;$CW87)</f>
        <v>0</v>
      </c>
      <c r="DC87" s="22" cm="1">
        <f t="array" aca="1" ref="DC87" ca="1">INDIRECT($DD$2&amp;DC$28&amp;$CW87)</f>
        <v>0</v>
      </c>
      <c r="DD87" s="22" t="str">
        <f t="shared" ca="1" si="57"/>
        <v/>
      </c>
      <c r="DE87" s="22" t="str">
        <f t="shared" ca="1" si="58"/>
        <v/>
      </c>
      <c r="EQ87" s="469" t="s">
        <v>5510</v>
      </c>
      <c r="ET87" s="20" t="s">
        <v>94</v>
      </c>
      <c r="EU87" s="725">
        <f t="shared" ca="1" si="69"/>
        <v>2</v>
      </c>
      <c r="EV87" s="725">
        <f t="shared" ca="1" si="70"/>
        <v>2</v>
      </c>
      <c r="EW87" s="725">
        <f t="shared" ca="1" si="71"/>
        <v>2</v>
      </c>
      <c r="EX87" s="726">
        <f t="shared" ca="1" si="72"/>
        <v>2</v>
      </c>
      <c r="EY87" s="725">
        <f t="shared" ca="1" si="73"/>
        <v>2</v>
      </c>
      <c r="EZ87" s="726">
        <f t="shared" ca="1" si="74"/>
        <v>2</v>
      </c>
      <c r="GC87" s="472" t="s">
        <v>5510</v>
      </c>
      <c r="HN87" s="20"/>
      <c r="HP87" s="472"/>
    </row>
    <row r="88" spans="1:224" x14ac:dyDescent="0.25">
      <c r="N88" s="20"/>
      <c r="AV88" s="469" t="s">
        <v>5510</v>
      </c>
      <c r="BB88" s="472"/>
      <c r="BF88" s="469" t="s">
        <v>5510</v>
      </c>
      <c r="BQ88" s="20"/>
      <c r="BT88" s="372"/>
      <c r="BU88" s="472"/>
      <c r="BV88" s="472"/>
      <c r="BW88" s="472"/>
      <c r="BX88" s="472"/>
      <c r="BY88" s="372"/>
      <c r="BZ88" s="372"/>
      <c r="CE88" s="372"/>
      <c r="CF88" s="472"/>
      <c r="CG88" s="472"/>
      <c r="CH88" s="472"/>
      <c r="CI88" s="472"/>
      <c r="CJ88" s="372"/>
      <c r="CK88" s="372"/>
      <c r="CU88" s="469" t="s">
        <v>5510</v>
      </c>
      <c r="CV88" s="22">
        <v>4</v>
      </c>
      <c r="CW88" s="522">
        <f t="shared" si="59"/>
        <v>108</v>
      </c>
      <c r="CX88" s="22" cm="1">
        <f t="array" aca="1" ref="CX88" ca="1">INDIRECT($DD$2&amp;CX$28&amp;$CW88)</f>
        <v>0</v>
      </c>
      <c r="CY88" s="22" cm="1">
        <f t="array" aca="1" ref="CY88" ca="1">INDIRECT($DD$2&amp;CY$28&amp;$CW88)</f>
        <v>0</v>
      </c>
      <c r="CZ88" s="22" cm="1">
        <f t="array" aca="1" ref="CZ88" ca="1">INDIRECT($DD$2&amp;CZ$28&amp;$CW88)</f>
        <v>0</v>
      </c>
      <c r="DA88" s="22" cm="1">
        <f t="array" aca="1" ref="DA88" ca="1">INDIRECT($DD$2&amp;DA$28&amp;$CW88)</f>
        <v>0</v>
      </c>
      <c r="DB88" s="22" cm="1">
        <f t="array" aca="1" ref="DB88" ca="1">INDIRECT($DD$2&amp;DB$28&amp;$CW88)</f>
        <v>0</v>
      </c>
      <c r="DC88" s="22" cm="1">
        <f t="array" aca="1" ref="DC88" ca="1">INDIRECT($DD$2&amp;DC$28&amp;$CW88)</f>
        <v>0</v>
      </c>
      <c r="DD88" s="22" t="str">
        <f t="shared" ca="1" si="57"/>
        <v/>
      </c>
      <c r="DE88" s="22" t="str">
        <f t="shared" ca="1" si="58"/>
        <v/>
      </c>
      <c r="EQ88" s="469" t="s">
        <v>5510</v>
      </c>
      <c r="ET88" s="20" t="s">
        <v>95</v>
      </c>
      <c r="EU88" s="725">
        <f t="shared" ca="1" si="69"/>
        <v>2</v>
      </c>
      <c r="EV88" s="725">
        <f t="shared" ca="1" si="70"/>
        <v>2</v>
      </c>
      <c r="EW88" s="725">
        <f t="shared" ca="1" si="71"/>
        <v>2</v>
      </c>
      <c r="EX88" s="726">
        <f t="shared" ca="1" si="72"/>
        <v>2</v>
      </c>
      <c r="EY88" s="725">
        <f t="shared" ca="1" si="73"/>
        <v>2</v>
      </c>
      <c r="EZ88" s="726">
        <f t="shared" ca="1" si="74"/>
        <v>2</v>
      </c>
      <c r="GC88" s="472" t="s">
        <v>5510</v>
      </c>
      <c r="HN88" s="20"/>
      <c r="HP88" s="472"/>
    </row>
    <row r="89" spans="1:224" x14ac:dyDescent="0.25">
      <c r="N89" s="20"/>
      <c r="AV89" s="469" t="s">
        <v>5510</v>
      </c>
      <c r="AX89" s="643" t="s">
        <v>5959</v>
      </c>
      <c r="AZ89" s="624" cm="1">
        <f t="array" aca="1" ref="AZ89" ca="1">INDIRECT($AW$83&amp;"S49",1)</f>
        <v>0</v>
      </c>
      <c r="BA89" s="475" t="s">
        <v>5965</v>
      </c>
      <c r="BF89" s="469" t="s">
        <v>5510</v>
      </c>
      <c r="BQ89" s="20"/>
      <c r="BT89" s="372"/>
      <c r="BU89" s="472"/>
      <c r="BV89" s="472"/>
      <c r="BW89" s="472"/>
      <c r="BX89" s="472"/>
      <c r="BY89" s="372"/>
      <c r="BZ89" s="372"/>
      <c r="CE89" s="372"/>
      <c r="CF89" s="472"/>
      <c r="CG89" s="472"/>
      <c r="CH89" s="472"/>
      <c r="CI89" s="472"/>
      <c r="CJ89" s="372"/>
      <c r="CK89" s="372"/>
      <c r="CU89" s="469" t="s">
        <v>5510</v>
      </c>
      <c r="CV89" s="22">
        <v>4</v>
      </c>
      <c r="CW89" s="522">
        <f t="shared" si="59"/>
        <v>109</v>
      </c>
      <c r="CX89" s="22" cm="1">
        <f t="array" aca="1" ref="CX89" ca="1">INDIRECT($DD$2&amp;CX$28&amp;$CW89)</f>
        <v>0</v>
      </c>
      <c r="CY89" s="22" cm="1">
        <f t="array" aca="1" ref="CY89" ca="1">INDIRECT($DD$2&amp;CY$28&amp;$CW89)</f>
        <v>0</v>
      </c>
      <c r="CZ89" s="22" cm="1">
        <f t="array" aca="1" ref="CZ89" ca="1">INDIRECT($DD$2&amp;CZ$28&amp;$CW89)</f>
        <v>0</v>
      </c>
      <c r="DA89" s="22" cm="1">
        <f t="array" aca="1" ref="DA89" ca="1">INDIRECT($DD$2&amp;DA$28&amp;$CW89)</f>
        <v>0</v>
      </c>
      <c r="DB89" s="22" cm="1">
        <f t="array" aca="1" ref="DB89" ca="1">INDIRECT($DD$2&amp;DB$28&amp;$CW89)</f>
        <v>0</v>
      </c>
      <c r="DC89" s="22" cm="1">
        <f t="array" aca="1" ref="DC89" ca="1">INDIRECT($DD$2&amp;DC$28&amp;$CW89)</f>
        <v>0</v>
      </c>
      <c r="DD89" s="22" t="str">
        <f t="shared" ca="1" si="57"/>
        <v/>
      </c>
      <c r="DE89" s="22" t="str">
        <f t="shared" ca="1" si="58"/>
        <v/>
      </c>
      <c r="EQ89" s="469" t="s">
        <v>5510</v>
      </c>
      <c r="ET89" s="20" t="s">
        <v>96</v>
      </c>
      <c r="EU89" s="725">
        <f t="shared" ca="1" si="69"/>
        <v>2</v>
      </c>
      <c r="EV89" s="725">
        <f t="shared" ca="1" si="70"/>
        <v>2</v>
      </c>
      <c r="EW89" s="725">
        <f t="shared" ca="1" si="71"/>
        <v>2</v>
      </c>
      <c r="EX89" s="726">
        <f t="shared" ca="1" si="72"/>
        <v>2</v>
      </c>
      <c r="EY89" s="725">
        <f t="shared" ca="1" si="73"/>
        <v>2</v>
      </c>
      <c r="EZ89" s="726">
        <f t="shared" ca="1" si="74"/>
        <v>2</v>
      </c>
      <c r="GC89" s="472" t="s">
        <v>5510</v>
      </c>
      <c r="HN89" s="20"/>
      <c r="HP89" s="472"/>
    </row>
    <row r="90" spans="1:224" x14ac:dyDescent="0.25">
      <c r="N90" s="20"/>
      <c r="AV90" s="469" t="s">
        <v>5510</v>
      </c>
      <c r="AX90" s="643" t="s">
        <v>5962</v>
      </c>
      <c r="AZ90" s="624" cm="1">
        <f t="array" aca="1" ref="AZ90" ca="1">INDIRECT($AW$83&amp;"N73",1)</f>
        <v>0</v>
      </c>
      <c r="BA90" s="475" t="s">
        <v>5963</v>
      </c>
      <c r="BF90" s="469" t="s">
        <v>5510</v>
      </c>
      <c r="BH90" s="539" t="s">
        <v>8042</v>
      </c>
      <c r="BI90" s="539">
        <f>BI85+$BO$5</f>
        <v>98</v>
      </c>
      <c r="BJ90" s="539" cm="1">
        <f t="array" aca="1" ref="BJ90" ca="1">INDIRECT($BM$2&amp;BJ$7&amp;$BI90,1)</f>
        <v>0</v>
      </c>
      <c r="BK90" s="539" cm="1">
        <f t="array" aca="1" ref="BK90" ca="1">INDIRECT($BM$2&amp;BK$7&amp;$BI90,1)</f>
        <v>0</v>
      </c>
      <c r="BL90" s="539" cm="1">
        <f t="array" aca="1" ref="BL90" ca="1">INDIRECT($BM$2&amp;BL$7&amp;$BI90,1)</f>
        <v>0</v>
      </c>
      <c r="BM90" s="539" cm="1">
        <f t="array" aca="1" ref="BM90" ca="1">INDIRECT($BM$2&amp;BM$7&amp;$BI90,1)</f>
        <v>0</v>
      </c>
      <c r="BN90" s="539" cm="1">
        <f t="array" aca="1" ref="BN90" ca="1">INDIRECT($BM$2&amp;BN$7&amp;$BI90,1)</f>
        <v>0</v>
      </c>
      <c r="BO90" s="539" t="str">
        <f ca="1">IFERROR(BK90/BK$90,"-")</f>
        <v>-</v>
      </c>
      <c r="BQ90" s="20"/>
      <c r="BR90" s="469">
        <v>1</v>
      </c>
      <c r="BS90" s="539" t="s">
        <v>8042</v>
      </c>
      <c r="BT90" s="539">
        <f>BT85+$BO$5</f>
        <v>444</v>
      </c>
      <c r="BU90" s="539" cm="1">
        <f t="array" aca="1" ref="BU90" ca="1">INDIRECT($BM$2&amp;BU$7&amp;$BT90,1)</f>
        <v>0</v>
      </c>
      <c r="BV90" s="539" cm="1">
        <f t="array" aca="1" ref="BV90" ca="1">INDIRECT($BM$2&amp;BV$7&amp;$BT90,1)</f>
        <v>0</v>
      </c>
      <c r="BW90" s="539" cm="1">
        <f t="array" aca="1" ref="BW90" ca="1">INDIRECT($BM$2&amp;BW$7&amp;$BT90,1)</f>
        <v>0</v>
      </c>
      <c r="BX90" s="539" cm="1">
        <f t="array" aca="1" ref="BX90" ca="1">INDIRECT($BM$2&amp;BX$7&amp;$BT90,1)</f>
        <v>0</v>
      </c>
      <c r="BY90" s="539" cm="1">
        <f t="array" aca="1" ref="BY90" ca="1">INDIRECT($BM$2&amp;BY$7&amp;$BT90,1)</f>
        <v>0</v>
      </c>
      <c r="BZ90" s="539" t="str">
        <f ca="1">IFERROR(BV90/BV$90,"-")</f>
        <v>-</v>
      </c>
      <c r="CC90" s="469">
        <v>1</v>
      </c>
      <c r="CD90" s="539" t="s">
        <v>8042</v>
      </c>
      <c r="CE90" s="539">
        <f>CE85+$BO$5</f>
        <v>790</v>
      </c>
      <c r="CF90" s="539" cm="1">
        <f t="array" aca="1" ref="CF90" ca="1">INDIRECT($BM$2&amp;CF$7&amp;$CE90,1)</f>
        <v>0</v>
      </c>
      <c r="CG90" s="539" cm="1">
        <f t="array" aca="1" ref="CG90" ca="1">INDIRECT($BM$2&amp;CG$7&amp;$CE90,1)</f>
        <v>0</v>
      </c>
      <c r="CH90" s="539" cm="1">
        <f t="array" aca="1" ref="CH90" ca="1">INDIRECT($BM$2&amp;CH$7&amp;$CE90,1)</f>
        <v>0</v>
      </c>
      <c r="CI90" s="539" cm="1">
        <f t="array" aca="1" ref="CI90" ca="1">INDIRECT($BM$2&amp;CI$7&amp;$CE90,1)</f>
        <v>0</v>
      </c>
      <c r="CJ90" s="539" cm="1">
        <f t="array" aca="1" ref="CJ90" ca="1">INDIRECT($BM$2&amp;CJ$7&amp;$CE90,1)</f>
        <v>0</v>
      </c>
      <c r="CK90" s="539" t="str">
        <f ca="1">IFERROR(CG90/CG$90,"-")</f>
        <v>-</v>
      </c>
      <c r="CU90" s="469" t="s">
        <v>5510</v>
      </c>
      <c r="CV90" s="22">
        <v>4</v>
      </c>
      <c r="CW90" s="522">
        <f t="shared" si="59"/>
        <v>110</v>
      </c>
      <c r="CX90" s="22" cm="1">
        <f t="array" aca="1" ref="CX90" ca="1">INDIRECT($DD$2&amp;CX$28&amp;$CW90)</f>
        <v>0</v>
      </c>
      <c r="CY90" s="22" cm="1">
        <f t="array" aca="1" ref="CY90" ca="1">INDIRECT($DD$2&amp;CY$28&amp;$CW90)</f>
        <v>0</v>
      </c>
      <c r="CZ90" s="22" cm="1">
        <f t="array" aca="1" ref="CZ90" ca="1">INDIRECT($DD$2&amp;CZ$28&amp;$CW90)</f>
        <v>0</v>
      </c>
      <c r="DA90" s="22" cm="1">
        <f t="array" aca="1" ref="DA90" ca="1">INDIRECT($DD$2&amp;DA$28&amp;$CW90)</f>
        <v>0</v>
      </c>
      <c r="DB90" s="22" cm="1">
        <f t="array" aca="1" ref="DB90" ca="1">INDIRECT($DD$2&amp;DB$28&amp;$CW90)</f>
        <v>0</v>
      </c>
      <c r="DC90" s="22" cm="1">
        <f t="array" aca="1" ref="DC90" ca="1">INDIRECT($DD$2&amp;DC$28&amp;$CW90)</f>
        <v>0</v>
      </c>
      <c r="DD90" s="22" t="str">
        <f t="shared" ca="1" si="57"/>
        <v/>
      </c>
      <c r="DE90" s="22" t="str">
        <f t="shared" ca="1" si="58"/>
        <v/>
      </c>
      <c r="EQ90" s="469" t="s">
        <v>5510</v>
      </c>
      <c r="ER90" s="20" t="s">
        <v>5994</v>
      </c>
      <c r="ES90" s="472"/>
      <c r="ET90" s="20" t="s">
        <v>97</v>
      </c>
      <c r="EU90" s="725">
        <f t="shared" ca="1" si="69"/>
        <v>2</v>
      </c>
      <c r="EV90" s="725">
        <f t="shared" ca="1" si="70"/>
        <v>2</v>
      </c>
      <c r="EW90" s="725">
        <f t="shared" ca="1" si="71"/>
        <v>2</v>
      </c>
      <c r="EX90" s="726">
        <f t="shared" ca="1" si="72"/>
        <v>2</v>
      </c>
      <c r="EY90" s="725">
        <f t="shared" ca="1" si="73"/>
        <v>2</v>
      </c>
      <c r="EZ90" s="726">
        <f t="shared" ca="1" si="74"/>
        <v>2</v>
      </c>
      <c r="GC90" s="472" t="s">
        <v>5510</v>
      </c>
      <c r="HN90" s="20"/>
      <c r="HP90" s="472"/>
    </row>
    <row r="91" spans="1:224" x14ac:dyDescent="0.25">
      <c r="N91" s="20"/>
      <c r="AV91" s="469" t="s">
        <v>5510</v>
      </c>
      <c r="AX91" s="643" t="s">
        <v>5972</v>
      </c>
      <c r="AZ91" s="624" t="b">
        <f ca="1">AZ89=AZ90</f>
        <v>1</v>
      </c>
      <c r="BA91" s="20" t="s">
        <v>5971</v>
      </c>
      <c r="BF91" s="469" t="s">
        <v>5510</v>
      </c>
      <c r="BH91" s="539" t="s">
        <v>8042</v>
      </c>
      <c r="BI91" s="539">
        <f>BI90+1</f>
        <v>99</v>
      </c>
      <c r="BJ91" s="539" cm="1">
        <f t="array" aca="1" ref="BJ91" ca="1">INDIRECT($BM$2&amp;BJ$7&amp;$BI91,1)</f>
        <v>0</v>
      </c>
      <c r="BK91" s="539" cm="1">
        <f t="array" aca="1" ref="BK91" ca="1">INDIRECT($BM$2&amp;BK$7&amp;$BI91,1)</f>
        <v>0</v>
      </c>
      <c r="BL91" s="539" cm="1">
        <f t="array" aca="1" ref="BL91" ca="1">INDIRECT($BM$2&amp;BL$7&amp;$BI91,1)</f>
        <v>0</v>
      </c>
      <c r="BM91" s="539" cm="1">
        <f t="array" aca="1" ref="BM91" ca="1">INDIRECT($BM$2&amp;BM$7&amp;$BI91,1)</f>
        <v>0</v>
      </c>
      <c r="BN91" s="539" cm="1">
        <f t="array" aca="1" ref="BN91" ca="1">INDIRECT($BM$2&amp;BN$7&amp;$BI91,1)</f>
        <v>0</v>
      </c>
      <c r="BO91" s="539" t="str">
        <f t="shared" ref="BO91:BO101" ca="1" si="75">IF(BK91=0,"-",IFERROR(BK91/BK$90,"-"))</f>
        <v>-</v>
      </c>
      <c r="BQ91" s="20"/>
      <c r="BR91" s="469">
        <v>2</v>
      </c>
      <c r="BS91" s="539" t="s">
        <v>8042</v>
      </c>
      <c r="BT91" s="539">
        <f>BT90+1</f>
        <v>445</v>
      </c>
      <c r="BU91" s="539" cm="1">
        <f t="array" aca="1" ref="BU91" ca="1">INDIRECT($BM$2&amp;BU$7&amp;$BT91,1)</f>
        <v>0</v>
      </c>
      <c r="BV91" s="539" cm="1">
        <f t="array" aca="1" ref="BV91" ca="1">INDIRECT($BM$2&amp;BV$7&amp;$BT91,1)</f>
        <v>0</v>
      </c>
      <c r="BW91" s="539" cm="1">
        <f t="array" aca="1" ref="BW91" ca="1">INDIRECT($BM$2&amp;BW$7&amp;$BT91,1)</f>
        <v>0</v>
      </c>
      <c r="BX91" s="539" cm="1">
        <f t="array" aca="1" ref="BX91" ca="1">INDIRECT($BM$2&amp;BX$7&amp;$BT91,1)</f>
        <v>0</v>
      </c>
      <c r="BY91" s="539" cm="1">
        <f t="array" aca="1" ref="BY91" ca="1">INDIRECT($BM$2&amp;BY$7&amp;$BT91,1)</f>
        <v>0</v>
      </c>
      <c r="BZ91" s="539" t="str">
        <f t="shared" ref="BZ91:BZ101" ca="1" si="76">IF(BV91=0,"-",IFERROR(BV91/BV$90,"-"))</f>
        <v>-</v>
      </c>
      <c r="CC91" s="469">
        <v>2</v>
      </c>
      <c r="CD91" s="539" t="s">
        <v>8042</v>
      </c>
      <c r="CE91" s="539">
        <f>CE90+1</f>
        <v>791</v>
      </c>
      <c r="CF91" s="539" cm="1">
        <f t="array" aca="1" ref="CF91" ca="1">INDIRECT($BM$2&amp;CF$7&amp;$CE91,1)</f>
        <v>0</v>
      </c>
      <c r="CG91" s="539" cm="1">
        <f t="array" aca="1" ref="CG91" ca="1">INDIRECT($BM$2&amp;CG$7&amp;$CE91,1)</f>
        <v>0</v>
      </c>
      <c r="CH91" s="539" cm="1">
        <f t="array" aca="1" ref="CH91" ca="1">INDIRECT($BM$2&amp;CH$7&amp;$CE91,1)</f>
        <v>0</v>
      </c>
      <c r="CI91" s="539" cm="1">
        <f t="array" aca="1" ref="CI91" ca="1">INDIRECT($BM$2&amp;CI$7&amp;$CE91,1)</f>
        <v>0</v>
      </c>
      <c r="CJ91" s="539" cm="1">
        <f t="array" aca="1" ref="CJ91" ca="1">INDIRECT($BM$2&amp;CJ$7&amp;$CE91,1)</f>
        <v>0</v>
      </c>
      <c r="CK91" s="539" t="str">
        <f t="shared" ref="CK91:CK101" ca="1" si="77">IF(CG91=0,"-",IFERROR(CG91/CG$90,"-"))</f>
        <v>-</v>
      </c>
      <c r="CU91" s="469" t="s">
        <v>5510</v>
      </c>
      <c r="CV91" s="566">
        <v>5</v>
      </c>
      <c r="CW91" s="558">
        <f t="shared" si="59"/>
        <v>118</v>
      </c>
      <c r="CX91" s="492" cm="1">
        <f t="array" aca="1" ref="CX91" ca="1">INDIRECT($DD$2&amp;CX$28&amp;$CW91)</f>
        <v>0</v>
      </c>
      <c r="CY91" s="492" cm="1">
        <f t="array" aca="1" ref="CY91" ca="1">INDIRECT($DD$2&amp;CY$28&amp;$CW91)</f>
        <v>0</v>
      </c>
      <c r="CZ91" s="492" cm="1">
        <f t="array" aca="1" ref="CZ91" ca="1">INDIRECT($DD$2&amp;CZ$28&amp;$CW91)</f>
        <v>0</v>
      </c>
      <c r="DA91" s="492" cm="1">
        <f t="array" aca="1" ref="DA91" ca="1">INDIRECT($DD$2&amp;DA$28&amp;$CW91)</f>
        <v>0</v>
      </c>
      <c r="DB91" s="492" cm="1">
        <f t="array" aca="1" ref="DB91" ca="1">INDIRECT($DD$2&amp;DB$28&amp;$CW91)</f>
        <v>0</v>
      </c>
      <c r="DC91" s="492" cm="1">
        <f t="array" aca="1" ref="DC91" ca="1">INDIRECT($DD$2&amp;DC$28&amp;$CW91)</f>
        <v>0</v>
      </c>
      <c r="DD91" s="492" t="str">
        <f t="shared" ca="1" si="57"/>
        <v/>
      </c>
      <c r="DE91" s="492" t="str">
        <f t="shared" ca="1" si="58"/>
        <v/>
      </c>
      <c r="EQ91" s="469" t="s">
        <v>5510</v>
      </c>
      <c r="ES91" s="472"/>
      <c r="ET91" s="20" t="s">
        <v>98</v>
      </c>
      <c r="EU91" s="725">
        <f t="shared" ca="1" si="69"/>
        <v>2</v>
      </c>
      <c r="EV91" s="725">
        <f t="shared" ca="1" si="70"/>
        <v>2</v>
      </c>
      <c r="EW91" s="725">
        <f t="shared" ca="1" si="71"/>
        <v>2</v>
      </c>
      <c r="EX91" s="726">
        <f t="shared" ca="1" si="72"/>
        <v>2</v>
      </c>
      <c r="EY91" s="725">
        <f t="shared" ca="1" si="73"/>
        <v>2</v>
      </c>
      <c r="EZ91" s="726">
        <f t="shared" ca="1" si="74"/>
        <v>2</v>
      </c>
      <c r="GC91" s="472" t="s">
        <v>5510</v>
      </c>
      <c r="HN91" s="20"/>
      <c r="HP91" s="472"/>
    </row>
    <row r="92" spans="1:224" x14ac:dyDescent="0.25">
      <c r="N92" s="20"/>
      <c r="AV92" s="469" t="s">
        <v>5510</v>
      </c>
      <c r="BF92" s="469" t="s">
        <v>5510</v>
      </c>
      <c r="BH92" s="539" t="s">
        <v>8042</v>
      </c>
      <c r="BI92" s="539">
        <f t="shared" ref="BI92:BI101" si="78">BI91+1</f>
        <v>100</v>
      </c>
      <c r="BJ92" s="539" cm="1">
        <f t="array" aca="1" ref="BJ92" ca="1">INDIRECT($BM$2&amp;BJ$7&amp;$BI92,1)</f>
        <v>0</v>
      </c>
      <c r="BK92" s="539" cm="1">
        <f t="array" aca="1" ref="BK92" ca="1">INDIRECT($BM$2&amp;BK$7&amp;$BI92,1)</f>
        <v>0</v>
      </c>
      <c r="BL92" s="539" cm="1">
        <f t="array" aca="1" ref="BL92" ca="1">INDIRECT($BM$2&amp;BL$7&amp;$BI92,1)</f>
        <v>0</v>
      </c>
      <c r="BM92" s="539" cm="1">
        <f t="array" aca="1" ref="BM92" ca="1">INDIRECT($BM$2&amp;BM$7&amp;$BI92,1)</f>
        <v>0</v>
      </c>
      <c r="BN92" s="539" cm="1">
        <f t="array" aca="1" ref="BN92" ca="1">INDIRECT($BM$2&amp;BN$7&amp;$BI92,1)</f>
        <v>0</v>
      </c>
      <c r="BO92" s="539" t="str">
        <f t="shared" ca="1" si="75"/>
        <v>-</v>
      </c>
      <c r="BQ92" s="20"/>
      <c r="BR92" s="469">
        <v>3</v>
      </c>
      <c r="BS92" s="539" t="s">
        <v>8042</v>
      </c>
      <c r="BT92" s="539">
        <f t="shared" ref="BT92:BT101" si="79">BT91+1</f>
        <v>446</v>
      </c>
      <c r="BU92" s="539" cm="1">
        <f t="array" aca="1" ref="BU92" ca="1">INDIRECT($BM$2&amp;BU$7&amp;$BT92,1)</f>
        <v>0</v>
      </c>
      <c r="BV92" s="539" cm="1">
        <f t="array" aca="1" ref="BV92" ca="1">INDIRECT($BM$2&amp;BV$7&amp;$BT92,1)</f>
        <v>0</v>
      </c>
      <c r="BW92" s="539" cm="1">
        <f t="array" aca="1" ref="BW92" ca="1">INDIRECT($BM$2&amp;BW$7&amp;$BT92,1)</f>
        <v>0</v>
      </c>
      <c r="BX92" s="539" cm="1">
        <f t="array" aca="1" ref="BX92" ca="1">INDIRECT($BM$2&amp;BX$7&amp;$BT92,1)</f>
        <v>0</v>
      </c>
      <c r="BY92" s="539" cm="1">
        <f t="array" aca="1" ref="BY92" ca="1">INDIRECT($BM$2&amp;BY$7&amp;$BT92,1)</f>
        <v>0</v>
      </c>
      <c r="BZ92" s="539" t="str">
        <f t="shared" ca="1" si="76"/>
        <v>-</v>
      </c>
      <c r="CC92" s="469">
        <v>3</v>
      </c>
      <c r="CD92" s="539" t="s">
        <v>8042</v>
      </c>
      <c r="CE92" s="539">
        <f t="shared" ref="CE92:CE101" si="80">CE91+1</f>
        <v>792</v>
      </c>
      <c r="CF92" s="539" cm="1">
        <f t="array" aca="1" ref="CF92" ca="1">INDIRECT($BM$2&amp;CF$7&amp;$CE92,1)</f>
        <v>0</v>
      </c>
      <c r="CG92" s="539" cm="1">
        <f t="array" aca="1" ref="CG92" ca="1">INDIRECT($BM$2&amp;CG$7&amp;$CE92,1)</f>
        <v>0</v>
      </c>
      <c r="CH92" s="539" cm="1">
        <f t="array" aca="1" ref="CH92" ca="1">INDIRECT($BM$2&amp;CH$7&amp;$CE92,1)</f>
        <v>0</v>
      </c>
      <c r="CI92" s="539" cm="1">
        <f t="array" aca="1" ref="CI92" ca="1">INDIRECT($BM$2&amp;CI$7&amp;$CE92,1)</f>
        <v>0</v>
      </c>
      <c r="CJ92" s="539" cm="1">
        <f t="array" aca="1" ref="CJ92" ca="1">INDIRECT($BM$2&amp;CJ$7&amp;$CE92,1)</f>
        <v>0</v>
      </c>
      <c r="CK92" s="539" t="str">
        <f t="shared" ca="1" si="77"/>
        <v>-</v>
      </c>
      <c r="CU92" s="469" t="s">
        <v>5510</v>
      </c>
      <c r="CV92" s="492">
        <v>5</v>
      </c>
      <c r="CW92" s="558">
        <f t="shared" si="59"/>
        <v>119</v>
      </c>
      <c r="CX92" s="492" cm="1">
        <f t="array" aca="1" ref="CX92" ca="1">INDIRECT($DD$2&amp;CX$28&amp;$CW92)</f>
        <v>0</v>
      </c>
      <c r="CY92" s="492" cm="1">
        <f t="array" aca="1" ref="CY92" ca="1">INDIRECT($DD$2&amp;CY$28&amp;$CW92)</f>
        <v>0</v>
      </c>
      <c r="CZ92" s="492" cm="1">
        <f t="array" aca="1" ref="CZ92" ca="1">INDIRECT($DD$2&amp;CZ$28&amp;$CW92)</f>
        <v>0</v>
      </c>
      <c r="DA92" s="492" cm="1">
        <f t="array" aca="1" ref="DA92" ca="1">INDIRECT($DD$2&amp;DA$28&amp;$CW92)</f>
        <v>0</v>
      </c>
      <c r="DB92" s="492" cm="1">
        <f t="array" aca="1" ref="DB92" ca="1">INDIRECT($DD$2&amp;DB$28&amp;$CW92)</f>
        <v>0</v>
      </c>
      <c r="DC92" s="492" cm="1">
        <f t="array" aca="1" ref="DC92" ca="1">INDIRECT($DD$2&amp;DC$28&amp;$CW92)</f>
        <v>0</v>
      </c>
      <c r="DD92" s="492" t="str">
        <f t="shared" ca="1" si="57"/>
        <v/>
      </c>
      <c r="DE92" s="492" t="str">
        <f t="shared" ca="1" si="58"/>
        <v/>
      </c>
      <c r="EQ92" s="469" t="s">
        <v>5510</v>
      </c>
      <c r="ES92" s="472"/>
      <c r="ET92" s="20" t="s">
        <v>99</v>
      </c>
      <c r="EU92" s="725">
        <f t="shared" ca="1" si="69"/>
        <v>2</v>
      </c>
      <c r="EV92" s="725">
        <f t="shared" ca="1" si="70"/>
        <v>2</v>
      </c>
      <c r="EW92" s="725">
        <f t="shared" ca="1" si="71"/>
        <v>2</v>
      </c>
      <c r="EX92" s="726">
        <f t="shared" ca="1" si="72"/>
        <v>2</v>
      </c>
      <c r="EY92" s="725">
        <f t="shared" ca="1" si="73"/>
        <v>2</v>
      </c>
      <c r="EZ92" s="726">
        <f t="shared" ca="1" si="74"/>
        <v>2</v>
      </c>
      <c r="FA92" s="472"/>
      <c r="FB92" s="372"/>
      <c r="FC92" s="372"/>
      <c r="GC92" s="472" t="s">
        <v>5510</v>
      </c>
      <c r="HN92" s="20"/>
      <c r="HP92" s="472"/>
    </row>
    <row r="93" spans="1:224" x14ac:dyDescent="0.25">
      <c r="N93" s="20"/>
      <c r="AV93" s="469" t="s">
        <v>5510</v>
      </c>
      <c r="BF93" s="469" t="s">
        <v>5510</v>
      </c>
      <c r="BH93" s="539" t="s">
        <v>8042</v>
      </c>
      <c r="BI93" s="539">
        <f t="shared" si="78"/>
        <v>101</v>
      </c>
      <c r="BJ93" s="539" cm="1">
        <f t="array" aca="1" ref="BJ93" ca="1">INDIRECT($BM$2&amp;BJ$7&amp;$BI93,1)</f>
        <v>0</v>
      </c>
      <c r="BK93" s="539" cm="1">
        <f t="array" aca="1" ref="BK93" ca="1">INDIRECT($BM$2&amp;BK$7&amp;$BI93,1)</f>
        <v>0</v>
      </c>
      <c r="BL93" s="539" cm="1">
        <f t="array" aca="1" ref="BL93" ca="1">INDIRECT($BM$2&amp;BL$7&amp;$BI93,1)</f>
        <v>0</v>
      </c>
      <c r="BM93" s="539" cm="1">
        <f t="array" aca="1" ref="BM93" ca="1">INDIRECT($BM$2&amp;BM$7&amp;$BI93,1)</f>
        <v>0</v>
      </c>
      <c r="BN93" s="539" cm="1">
        <f t="array" aca="1" ref="BN93" ca="1">INDIRECT($BM$2&amp;BN$7&amp;$BI93,1)</f>
        <v>0</v>
      </c>
      <c r="BO93" s="539" t="str">
        <f t="shared" ca="1" si="75"/>
        <v>-</v>
      </c>
      <c r="BQ93" s="20"/>
      <c r="BR93" s="469">
        <v>4</v>
      </c>
      <c r="BS93" s="539" t="s">
        <v>8042</v>
      </c>
      <c r="BT93" s="539">
        <f t="shared" si="79"/>
        <v>447</v>
      </c>
      <c r="BU93" s="539" cm="1">
        <f t="array" aca="1" ref="BU93" ca="1">INDIRECT($BM$2&amp;BU$7&amp;$BT93,1)</f>
        <v>0</v>
      </c>
      <c r="BV93" s="539" cm="1">
        <f t="array" aca="1" ref="BV93" ca="1">INDIRECT($BM$2&amp;BV$7&amp;$BT93,1)</f>
        <v>0</v>
      </c>
      <c r="BW93" s="539" cm="1">
        <f t="array" aca="1" ref="BW93" ca="1">INDIRECT($BM$2&amp;BW$7&amp;$BT93,1)</f>
        <v>0</v>
      </c>
      <c r="BX93" s="539" cm="1">
        <f t="array" aca="1" ref="BX93" ca="1">INDIRECT($BM$2&amp;BX$7&amp;$BT93,1)</f>
        <v>0</v>
      </c>
      <c r="BY93" s="539" cm="1">
        <f t="array" aca="1" ref="BY93" ca="1">INDIRECT($BM$2&amp;BY$7&amp;$BT93,1)</f>
        <v>0</v>
      </c>
      <c r="BZ93" s="539" t="str">
        <f t="shared" ca="1" si="76"/>
        <v>-</v>
      </c>
      <c r="CC93" s="469">
        <v>4</v>
      </c>
      <c r="CD93" s="539" t="s">
        <v>8042</v>
      </c>
      <c r="CE93" s="539">
        <f t="shared" si="80"/>
        <v>793</v>
      </c>
      <c r="CF93" s="539" cm="1">
        <f t="array" aca="1" ref="CF93" ca="1">INDIRECT($BM$2&amp;CF$7&amp;$CE93,1)</f>
        <v>0</v>
      </c>
      <c r="CG93" s="539" cm="1">
        <f t="array" aca="1" ref="CG93" ca="1">INDIRECT($BM$2&amp;CG$7&amp;$CE93,1)</f>
        <v>0</v>
      </c>
      <c r="CH93" s="539" cm="1">
        <f t="array" aca="1" ref="CH93" ca="1">INDIRECT($BM$2&amp;CH$7&amp;$CE93,1)</f>
        <v>0</v>
      </c>
      <c r="CI93" s="539" cm="1">
        <f t="array" aca="1" ref="CI93" ca="1">INDIRECT($BM$2&amp;CI$7&amp;$CE93,1)</f>
        <v>0</v>
      </c>
      <c r="CJ93" s="539" cm="1">
        <f t="array" aca="1" ref="CJ93" ca="1">INDIRECT($BM$2&amp;CJ$7&amp;$CE93,1)</f>
        <v>0</v>
      </c>
      <c r="CK93" s="539" t="str">
        <f t="shared" ca="1" si="77"/>
        <v>-</v>
      </c>
      <c r="CU93" s="469" t="s">
        <v>5510</v>
      </c>
      <c r="CV93" s="492">
        <v>5</v>
      </c>
      <c r="CW93" s="558">
        <f t="shared" si="59"/>
        <v>120</v>
      </c>
      <c r="CX93" s="492" cm="1">
        <f t="array" aca="1" ref="CX93" ca="1">INDIRECT($DD$2&amp;CX$28&amp;$CW93)</f>
        <v>0</v>
      </c>
      <c r="CY93" s="492" cm="1">
        <f t="array" aca="1" ref="CY93" ca="1">INDIRECT($DD$2&amp;CY$28&amp;$CW93)</f>
        <v>0</v>
      </c>
      <c r="CZ93" s="492" cm="1">
        <f t="array" aca="1" ref="CZ93" ca="1">INDIRECT($DD$2&amp;CZ$28&amp;$CW93)</f>
        <v>0</v>
      </c>
      <c r="DA93" s="492" cm="1">
        <f t="array" aca="1" ref="DA93" ca="1">INDIRECT($DD$2&amp;DA$28&amp;$CW93)</f>
        <v>0</v>
      </c>
      <c r="DB93" s="492" cm="1">
        <f t="array" aca="1" ref="DB93" ca="1">INDIRECT($DD$2&amp;DB$28&amp;$CW93)</f>
        <v>0</v>
      </c>
      <c r="DC93" s="492" cm="1">
        <f t="array" aca="1" ref="DC93" ca="1">INDIRECT($DD$2&amp;DC$28&amp;$CW93)</f>
        <v>0</v>
      </c>
      <c r="DD93" s="492" t="str">
        <f t="shared" ca="1" si="57"/>
        <v/>
      </c>
      <c r="DE93" s="492" t="str">
        <f t="shared" ca="1" si="58"/>
        <v/>
      </c>
      <c r="EQ93" s="469" t="s">
        <v>5510</v>
      </c>
      <c r="GC93" s="472" t="s">
        <v>5510</v>
      </c>
      <c r="HN93" s="20"/>
      <c r="HP93" s="472"/>
    </row>
    <row r="94" spans="1:224" x14ac:dyDescent="0.25">
      <c r="N94" s="20"/>
      <c r="AV94" s="469" t="s">
        <v>5510</v>
      </c>
      <c r="AW94" s="605" t="s">
        <v>7069</v>
      </c>
      <c r="BF94" s="469" t="s">
        <v>5510</v>
      </c>
      <c r="BH94" s="539" t="s">
        <v>8042</v>
      </c>
      <c r="BI94" s="539">
        <f t="shared" si="78"/>
        <v>102</v>
      </c>
      <c r="BJ94" s="539" cm="1">
        <f t="array" aca="1" ref="BJ94" ca="1">INDIRECT($BM$2&amp;BJ$7&amp;$BI94,1)</f>
        <v>0</v>
      </c>
      <c r="BK94" s="539" cm="1">
        <f t="array" aca="1" ref="BK94" ca="1">INDIRECT($BM$2&amp;BK$7&amp;$BI94,1)</f>
        <v>0</v>
      </c>
      <c r="BL94" s="539" cm="1">
        <f t="array" aca="1" ref="BL94" ca="1">INDIRECT($BM$2&amp;BL$7&amp;$BI94,1)</f>
        <v>0</v>
      </c>
      <c r="BM94" s="539" cm="1">
        <f t="array" aca="1" ref="BM94" ca="1">INDIRECT($BM$2&amp;BM$7&amp;$BI94,1)</f>
        <v>0</v>
      </c>
      <c r="BN94" s="539" cm="1">
        <f t="array" aca="1" ref="BN94" ca="1">INDIRECT($BM$2&amp;BN$7&amp;$BI94,1)</f>
        <v>0</v>
      </c>
      <c r="BO94" s="539" t="str">
        <f t="shared" ca="1" si="75"/>
        <v>-</v>
      </c>
      <c r="BQ94" s="20"/>
      <c r="BR94" s="469">
        <v>5</v>
      </c>
      <c r="BS94" s="539" t="s">
        <v>8042</v>
      </c>
      <c r="BT94" s="539">
        <f t="shared" si="79"/>
        <v>448</v>
      </c>
      <c r="BU94" s="539" cm="1">
        <f t="array" aca="1" ref="BU94" ca="1">INDIRECT($BM$2&amp;BU$7&amp;$BT94,1)</f>
        <v>0</v>
      </c>
      <c r="BV94" s="539" cm="1">
        <f t="array" aca="1" ref="BV94" ca="1">INDIRECT($BM$2&amp;BV$7&amp;$BT94,1)</f>
        <v>0</v>
      </c>
      <c r="BW94" s="539" cm="1">
        <f t="array" aca="1" ref="BW94" ca="1">INDIRECT($BM$2&amp;BW$7&amp;$BT94,1)</f>
        <v>0</v>
      </c>
      <c r="BX94" s="539" cm="1">
        <f t="array" aca="1" ref="BX94" ca="1">INDIRECT($BM$2&amp;BX$7&amp;$BT94,1)</f>
        <v>0</v>
      </c>
      <c r="BY94" s="539" cm="1">
        <f t="array" aca="1" ref="BY94" ca="1">INDIRECT($BM$2&amp;BY$7&amp;$BT94,1)</f>
        <v>0</v>
      </c>
      <c r="BZ94" s="539" t="str">
        <f t="shared" ca="1" si="76"/>
        <v>-</v>
      </c>
      <c r="CC94" s="469">
        <v>5</v>
      </c>
      <c r="CD94" s="539" t="s">
        <v>8042</v>
      </c>
      <c r="CE94" s="539">
        <f t="shared" si="80"/>
        <v>794</v>
      </c>
      <c r="CF94" s="539" cm="1">
        <f t="array" aca="1" ref="CF94" ca="1">INDIRECT($BM$2&amp;CF$7&amp;$CE94,1)</f>
        <v>0</v>
      </c>
      <c r="CG94" s="539" cm="1">
        <f t="array" aca="1" ref="CG94" ca="1">INDIRECT($BM$2&amp;CG$7&amp;$CE94,1)</f>
        <v>0</v>
      </c>
      <c r="CH94" s="539" cm="1">
        <f t="array" aca="1" ref="CH94" ca="1">INDIRECT($BM$2&amp;CH$7&amp;$CE94,1)</f>
        <v>0</v>
      </c>
      <c r="CI94" s="539" cm="1">
        <f t="array" aca="1" ref="CI94" ca="1">INDIRECT($BM$2&amp;CI$7&amp;$CE94,1)</f>
        <v>0</v>
      </c>
      <c r="CJ94" s="539" cm="1">
        <f t="array" aca="1" ref="CJ94" ca="1">INDIRECT($BM$2&amp;CJ$7&amp;$CE94,1)</f>
        <v>0</v>
      </c>
      <c r="CK94" s="539" t="str">
        <f t="shared" ca="1" si="77"/>
        <v>-</v>
      </c>
      <c r="CU94" s="469" t="s">
        <v>5510</v>
      </c>
      <c r="CV94" s="492">
        <v>5</v>
      </c>
      <c r="CW94" s="558">
        <f t="shared" si="59"/>
        <v>121</v>
      </c>
      <c r="CX94" s="492" cm="1">
        <f t="array" aca="1" ref="CX94" ca="1">INDIRECT($DD$2&amp;CX$28&amp;$CW94)</f>
        <v>0</v>
      </c>
      <c r="CY94" s="492" cm="1">
        <f t="array" aca="1" ref="CY94" ca="1">INDIRECT($DD$2&amp;CY$28&amp;$CW94)</f>
        <v>0</v>
      </c>
      <c r="CZ94" s="492" cm="1">
        <f t="array" aca="1" ref="CZ94" ca="1">INDIRECT($DD$2&amp;CZ$28&amp;$CW94)</f>
        <v>0</v>
      </c>
      <c r="DA94" s="492" cm="1">
        <f t="array" aca="1" ref="DA94" ca="1">INDIRECT($DD$2&amp;DA$28&amp;$CW94)</f>
        <v>0</v>
      </c>
      <c r="DB94" s="492" cm="1">
        <f t="array" aca="1" ref="DB94" ca="1">INDIRECT($DD$2&amp;DB$28&amp;$CW94)</f>
        <v>0</v>
      </c>
      <c r="DC94" s="492" cm="1">
        <f t="array" aca="1" ref="DC94" ca="1">INDIRECT($DD$2&amp;DC$28&amp;$CW94)</f>
        <v>0</v>
      </c>
      <c r="DD94" s="492" t="str">
        <f t="shared" ca="1" si="57"/>
        <v/>
      </c>
      <c r="DE94" s="492" t="str">
        <f t="shared" ca="1" si="58"/>
        <v/>
      </c>
      <c r="EQ94" s="469" t="s">
        <v>5510</v>
      </c>
      <c r="GC94" s="472" t="s">
        <v>5510</v>
      </c>
      <c r="HN94" s="20"/>
      <c r="HP94" s="472"/>
    </row>
    <row r="95" spans="1:224" x14ac:dyDescent="0.25">
      <c r="N95" s="20"/>
      <c r="AV95" s="469" t="s">
        <v>5510</v>
      </c>
      <c r="AW95" s="572" t="s">
        <v>7071</v>
      </c>
      <c r="AX95" s="20" t="s">
        <v>5829</v>
      </c>
      <c r="BF95" s="469" t="s">
        <v>5510</v>
      </c>
      <c r="BH95" s="539" t="s">
        <v>8042</v>
      </c>
      <c r="BI95" s="539">
        <f t="shared" si="78"/>
        <v>103</v>
      </c>
      <c r="BJ95" s="539" cm="1">
        <f t="array" aca="1" ref="BJ95" ca="1">INDIRECT($BM$2&amp;BJ$7&amp;$BI95,1)</f>
        <v>0</v>
      </c>
      <c r="BK95" s="539" cm="1">
        <f t="array" aca="1" ref="BK95" ca="1">INDIRECT($BM$2&amp;BK$7&amp;$BI95,1)</f>
        <v>0</v>
      </c>
      <c r="BL95" s="539" cm="1">
        <f t="array" aca="1" ref="BL95" ca="1">INDIRECT($BM$2&amp;BL$7&amp;$BI95,1)</f>
        <v>0</v>
      </c>
      <c r="BM95" s="539" cm="1">
        <f t="array" aca="1" ref="BM95" ca="1">INDIRECT($BM$2&amp;BM$7&amp;$BI95,1)</f>
        <v>0</v>
      </c>
      <c r="BN95" s="539" cm="1">
        <f t="array" aca="1" ref="BN95" ca="1">INDIRECT($BM$2&amp;BN$7&amp;$BI95,1)</f>
        <v>0</v>
      </c>
      <c r="BO95" s="539" t="str">
        <f t="shared" ca="1" si="75"/>
        <v>-</v>
      </c>
      <c r="BQ95" s="20"/>
      <c r="BR95" s="469">
        <v>6</v>
      </c>
      <c r="BS95" s="539" t="s">
        <v>8042</v>
      </c>
      <c r="BT95" s="539">
        <f t="shared" si="79"/>
        <v>449</v>
      </c>
      <c r="BU95" s="539" cm="1">
        <f t="array" aca="1" ref="BU95" ca="1">INDIRECT($BM$2&amp;BU$7&amp;$BT95,1)</f>
        <v>0</v>
      </c>
      <c r="BV95" s="539" cm="1">
        <f t="array" aca="1" ref="BV95" ca="1">INDIRECT($BM$2&amp;BV$7&amp;$BT95,1)</f>
        <v>0</v>
      </c>
      <c r="BW95" s="539" cm="1">
        <f t="array" aca="1" ref="BW95" ca="1">INDIRECT($BM$2&amp;BW$7&amp;$BT95,1)</f>
        <v>0</v>
      </c>
      <c r="BX95" s="539" cm="1">
        <f t="array" aca="1" ref="BX95" ca="1">INDIRECT($BM$2&amp;BX$7&amp;$BT95,1)</f>
        <v>0</v>
      </c>
      <c r="BY95" s="539" cm="1">
        <f t="array" aca="1" ref="BY95" ca="1">INDIRECT($BM$2&amp;BY$7&amp;$BT95,1)</f>
        <v>0</v>
      </c>
      <c r="BZ95" s="539" t="str">
        <f t="shared" ca="1" si="76"/>
        <v>-</v>
      </c>
      <c r="CC95" s="469">
        <v>6</v>
      </c>
      <c r="CD95" s="539" t="s">
        <v>8042</v>
      </c>
      <c r="CE95" s="539">
        <f t="shared" si="80"/>
        <v>795</v>
      </c>
      <c r="CF95" s="539" cm="1">
        <f t="array" aca="1" ref="CF95" ca="1">INDIRECT($BM$2&amp;CF$7&amp;$CE95,1)</f>
        <v>0</v>
      </c>
      <c r="CG95" s="539" cm="1">
        <f t="array" aca="1" ref="CG95" ca="1">INDIRECT($BM$2&amp;CG$7&amp;$CE95,1)</f>
        <v>0</v>
      </c>
      <c r="CH95" s="539" cm="1">
        <f t="array" aca="1" ref="CH95" ca="1">INDIRECT($BM$2&amp;CH$7&amp;$CE95,1)</f>
        <v>0</v>
      </c>
      <c r="CI95" s="539" cm="1">
        <f t="array" aca="1" ref="CI95" ca="1">INDIRECT($BM$2&amp;CI$7&amp;$CE95,1)</f>
        <v>0</v>
      </c>
      <c r="CJ95" s="539" cm="1">
        <f t="array" aca="1" ref="CJ95" ca="1">INDIRECT($BM$2&amp;CJ$7&amp;$CE95,1)</f>
        <v>0</v>
      </c>
      <c r="CK95" s="539" t="str">
        <f t="shared" ca="1" si="77"/>
        <v>-</v>
      </c>
      <c r="CU95" s="469" t="s">
        <v>5510</v>
      </c>
      <c r="CV95" s="492">
        <v>5</v>
      </c>
      <c r="CW95" s="558">
        <f t="shared" si="59"/>
        <v>122</v>
      </c>
      <c r="CX95" s="492" cm="1">
        <f t="array" aca="1" ref="CX95" ca="1">INDIRECT($DD$2&amp;CX$28&amp;$CW95)</f>
        <v>0</v>
      </c>
      <c r="CY95" s="492" cm="1">
        <f t="array" aca="1" ref="CY95" ca="1">INDIRECT($DD$2&amp;CY$28&amp;$CW95)</f>
        <v>0</v>
      </c>
      <c r="CZ95" s="492" cm="1">
        <f t="array" aca="1" ref="CZ95" ca="1">INDIRECT($DD$2&amp;CZ$28&amp;$CW95)</f>
        <v>0</v>
      </c>
      <c r="DA95" s="492" cm="1">
        <f t="array" aca="1" ref="DA95" ca="1">INDIRECT($DD$2&amp;DA$28&amp;$CW95)</f>
        <v>0</v>
      </c>
      <c r="DB95" s="492" cm="1">
        <f t="array" aca="1" ref="DB95" ca="1">INDIRECT($DD$2&amp;DB$28&amp;$CW95)</f>
        <v>0</v>
      </c>
      <c r="DC95" s="492" cm="1">
        <f t="array" aca="1" ref="DC95" ca="1">INDIRECT($DD$2&amp;DC$28&amp;$CW95)</f>
        <v>0</v>
      </c>
      <c r="DD95" s="492" t="str">
        <f t="shared" ref="DD95:DD110" ca="1" si="81">IFERROR(DB95/CZ95,"")</f>
        <v/>
      </c>
      <c r="DE95" s="492" t="str">
        <f t="shared" ref="DE95:DE110" ca="1" si="82">IFERROR(DC95/DA95,"")</f>
        <v/>
      </c>
      <c r="EQ95" s="469" t="s">
        <v>5510</v>
      </c>
      <c r="GC95" s="472" t="s">
        <v>5510</v>
      </c>
      <c r="HN95" s="20"/>
      <c r="HP95" s="472"/>
    </row>
    <row r="96" spans="1:224" x14ac:dyDescent="0.25">
      <c r="N96" s="20"/>
      <c r="AV96" s="469" t="s">
        <v>5510</v>
      </c>
      <c r="AW96" s="20" t="s">
        <v>7063</v>
      </c>
      <c r="AX96" s="20" t="s">
        <v>7077</v>
      </c>
      <c r="AZ96" s="20" t="s">
        <v>7961</v>
      </c>
      <c r="BF96" s="469" t="s">
        <v>5510</v>
      </c>
      <c r="BH96" s="539" t="s">
        <v>8042</v>
      </c>
      <c r="BI96" s="539">
        <f t="shared" si="78"/>
        <v>104</v>
      </c>
      <c r="BJ96" s="539" cm="1">
        <f t="array" aca="1" ref="BJ96" ca="1">INDIRECT($BM$2&amp;BJ$7&amp;$BI96,1)</f>
        <v>0</v>
      </c>
      <c r="BK96" s="539" cm="1">
        <f t="array" aca="1" ref="BK96" ca="1">INDIRECT($BM$2&amp;BK$7&amp;$BI96,1)</f>
        <v>0</v>
      </c>
      <c r="BL96" s="539" cm="1">
        <f t="array" aca="1" ref="BL96" ca="1">INDIRECT($BM$2&amp;BL$7&amp;$BI96,1)</f>
        <v>0</v>
      </c>
      <c r="BM96" s="539" cm="1">
        <f t="array" aca="1" ref="BM96" ca="1">INDIRECT($BM$2&amp;BM$7&amp;$BI96,1)</f>
        <v>0</v>
      </c>
      <c r="BN96" s="539" cm="1">
        <f t="array" aca="1" ref="BN96" ca="1">INDIRECT($BM$2&amp;BN$7&amp;$BI96,1)</f>
        <v>0</v>
      </c>
      <c r="BO96" s="539" t="str">
        <f t="shared" ca="1" si="75"/>
        <v>-</v>
      </c>
      <c r="BQ96" s="20"/>
      <c r="BR96" s="469">
        <v>7</v>
      </c>
      <c r="BS96" s="539" t="s">
        <v>8042</v>
      </c>
      <c r="BT96" s="539">
        <f t="shared" si="79"/>
        <v>450</v>
      </c>
      <c r="BU96" s="539" cm="1">
        <f t="array" aca="1" ref="BU96" ca="1">INDIRECT($BM$2&amp;BU$7&amp;$BT96,1)</f>
        <v>0</v>
      </c>
      <c r="BV96" s="539" cm="1">
        <f t="array" aca="1" ref="BV96" ca="1">INDIRECT($BM$2&amp;BV$7&amp;$BT96,1)</f>
        <v>0</v>
      </c>
      <c r="BW96" s="539" cm="1">
        <f t="array" aca="1" ref="BW96" ca="1">INDIRECT($BM$2&amp;BW$7&amp;$BT96,1)</f>
        <v>0</v>
      </c>
      <c r="BX96" s="539" cm="1">
        <f t="array" aca="1" ref="BX96" ca="1">INDIRECT($BM$2&amp;BX$7&amp;$BT96,1)</f>
        <v>0</v>
      </c>
      <c r="BY96" s="539" cm="1">
        <f t="array" aca="1" ref="BY96" ca="1">INDIRECT($BM$2&amp;BY$7&amp;$BT96,1)</f>
        <v>0</v>
      </c>
      <c r="BZ96" s="539" t="str">
        <f t="shared" ca="1" si="76"/>
        <v>-</v>
      </c>
      <c r="CC96" s="469">
        <v>7</v>
      </c>
      <c r="CD96" s="539" t="s">
        <v>8042</v>
      </c>
      <c r="CE96" s="539">
        <f t="shared" si="80"/>
        <v>796</v>
      </c>
      <c r="CF96" s="539" cm="1">
        <f t="array" aca="1" ref="CF96" ca="1">INDIRECT($BM$2&amp;CF$7&amp;$CE96,1)</f>
        <v>0</v>
      </c>
      <c r="CG96" s="539" cm="1">
        <f t="array" aca="1" ref="CG96" ca="1">INDIRECT($BM$2&amp;CG$7&amp;$CE96,1)</f>
        <v>0</v>
      </c>
      <c r="CH96" s="539" cm="1">
        <f t="array" aca="1" ref="CH96" ca="1">INDIRECT($BM$2&amp;CH$7&amp;$CE96,1)</f>
        <v>0</v>
      </c>
      <c r="CI96" s="539" cm="1">
        <f t="array" aca="1" ref="CI96" ca="1">INDIRECT($BM$2&amp;CI$7&amp;$CE96,1)</f>
        <v>0</v>
      </c>
      <c r="CJ96" s="539" cm="1">
        <f t="array" aca="1" ref="CJ96" ca="1">INDIRECT($BM$2&amp;CJ$7&amp;$CE96,1)</f>
        <v>0</v>
      </c>
      <c r="CK96" s="539" t="str">
        <f t="shared" ca="1" si="77"/>
        <v>-</v>
      </c>
      <c r="CU96" s="469" t="s">
        <v>5510</v>
      </c>
      <c r="CV96" s="492">
        <v>5</v>
      </c>
      <c r="CW96" s="558">
        <f t="shared" ref="CW96:CW110" si="83">IF(CV96=CV95,CW95+1,CW95+$DD$4)</f>
        <v>123</v>
      </c>
      <c r="CX96" s="492" cm="1">
        <f t="array" aca="1" ref="CX96" ca="1">INDIRECT($DD$2&amp;CX$28&amp;$CW96)</f>
        <v>0</v>
      </c>
      <c r="CY96" s="492" cm="1">
        <f t="array" aca="1" ref="CY96" ca="1">INDIRECT($DD$2&amp;CY$28&amp;$CW96)</f>
        <v>0</v>
      </c>
      <c r="CZ96" s="492" cm="1">
        <f t="array" aca="1" ref="CZ96" ca="1">INDIRECT($DD$2&amp;CZ$28&amp;$CW96)</f>
        <v>0</v>
      </c>
      <c r="DA96" s="492" cm="1">
        <f t="array" aca="1" ref="DA96" ca="1">INDIRECT($DD$2&amp;DA$28&amp;$CW96)</f>
        <v>0</v>
      </c>
      <c r="DB96" s="492" cm="1">
        <f t="array" aca="1" ref="DB96" ca="1">INDIRECT($DD$2&amp;DB$28&amp;$CW96)</f>
        <v>0</v>
      </c>
      <c r="DC96" s="492" cm="1">
        <f t="array" aca="1" ref="DC96" ca="1">INDIRECT($DD$2&amp;DC$28&amp;$CW96)</f>
        <v>0</v>
      </c>
      <c r="DD96" s="492" t="str">
        <f t="shared" ca="1" si="81"/>
        <v/>
      </c>
      <c r="DE96" s="492" t="str">
        <f t="shared" ca="1" si="82"/>
        <v/>
      </c>
      <c r="EQ96" s="469" t="s">
        <v>5510</v>
      </c>
      <c r="GC96" s="472" t="s">
        <v>5510</v>
      </c>
      <c r="HN96" s="20"/>
      <c r="HP96" s="472"/>
    </row>
    <row r="97" spans="14:224" x14ac:dyDescent="0.25">
      <c r="N97" s="20"/>
      <c r="AV97" s="469" t="s">
        <v>5510</v>
      </c>
      <c r="AW97" s="20" t="s">
        <v>7075</v>
      </c>
      <c r="AX97" s="20" t="s">
        <v>7078</v>
      </c>
      <c r="AZ97" s="20" t="s">
        <v>7962</v>
      </c>
      <c r="BF97" s="469" t="s">
        <v>5510</v>
      </c>
      <c r="BH97" s="539" t="s">
        <v>8042</v>
      </c>
      <c r="BI97" s="539">
        <f t="shared" si="78"/>
        <v>105</v>
      </c>
      <c r="BJ97" s="539" cm="1">
        <f t="array" aca="1" ref="BJ97" ca="1">INDIRECT($BM$2&amp;BJ$7&amp;$BI97,1)</f>
        <v>0</v>
      </c>
      <c r="BK97" s="539" cm="1">
        <f t="array" aca="1" ref="BK97" ca="1">INDIRECT($BM$2&amp;BK$7&amp;$BI97,1)</f>
        <v>0</v>
      </c>
      <c r="BL97" s="539" cm="1">
        <f t="array" aca="1" ref="BL97" ca="1">INDIRECT($BM$2&amp;BL$7&amp;$BI97,1)</f>
        <v>0</v>
      </c>
      <c r="BM97" s="539" cm="1">
        <f t="array" aca="1" ref="BM97" ca="1">INDIRECT($BM$2&amp;BM$7&amp;$BI97,1)</f>
        <v>0</v>
      </c>
      <c r="BN97" s="539" cm="1">
        <f t="array" aca="1" ref="BN97" ca="1">INDIRECT($BM$2&amp;BN$7&amp;$BI97,1)</f>
        <v>0</v>
      </c>
      <c r="BO97" s="539" t="str">
        <f t="shared" ca="1" si="75"/>
        <v>-</v>
      </c>
      <c r="BQ97" s="20"/>
      <c r="BR97" s="469">
        <v>8</v>
      </c>
      <c r="BS97" s="539" t="s">
        <v>8042</v>
      </c>
      <c r="BT97" s="539">
        <f t="shared" si="79"/>
        <v>451</v>
      </c>
      <c r="BU97" s="539" cm="1">
        <f t="array" aca="1" ref="BU97" ca="1">INDIRECT($BM$2&amp;BU$7&amp;$BT97,1)</f>
        <v>0</v>
      </c>
      <c r="BV97" s="539" cm="1">
        <f t="array" aca="1" ref="BV97" ca="1">INDIRECT($BM$2&amp;BV$7&amp;$BT97,1)</f>
        <v>0</v>
      </c>
      <c r="BW97" s="539" cm="1">
        <f t="array" aca="1" ref="BW97" ca="1">INDIRECT($BM$2&amp;BW$7&amp;$BT97,1)</f>
        <v>0</v>
      </c>
      <c r="BX97" s="539" cm="1">
        <f t="array" aca="1" ref="BX97" ca="1">INDIRECT($BM$2&amp;BX$7&amp;$BT97,1)</f>
        <v>0</v>
      </c>
      <c r="BY97" s="539" cm="1">
        <f t="array" aca="1" ref="BY97" ca="1">INDIRECT($BM$2&amp;BY$7&amp;$BT97,1)</f>
        <v>0</v>
      </c>
      <c r="BZ97" s="539" t="str">
        <f t="shared" ca="1" si="76"/>
        <v>-</v>
      </c>
      <c r="CC97" s="469">
        <v>8</v>
      </c>
      <c r="CD97" s="539" t="s">
        <v>8042</v>
      </c>
      <c r="CE97" s="539">
        <f t="shared" si="80"/>
        <v>797</v>
      </c>
      <c r="CF97" s="539" cm="1">
        <f t="array" aca="1" ref="CF97" ca="1">INDIRECT($BM$2&amp;CF$7&amp;$CE97,1)</f>
        <v>0</v>
      </c>
      <c r="CG97" s="539" cm="1">
        <f t="array" aca="1" ref="CG97" ca="1">INDIRECT($BM$2&amp;CG$7&amp;$CE97,1)</f>
        <v>0</v>
      </c>
      <c r="CH97" s="539" cm="1">
        <f t="array" aca="1" ref="CH97" ca="1">INDIRECT($BM$2&amp;CH$7&amp;$CE97,1)</f>
        <v>0</v>
      </c>
      <c r="CI97" s="539" cm="1">
        <f t="array" aca="1" ref="CI97" ca="1">INDIRECT($BM$2&amp;CI$7&amp;$CE97,1)</f>
        <v>0</v>
      </c>
      <c r="CJ97" s="539" cm="1">
        <f t="array" aca="1" ref="CJ97" ca="1">INDIRECT($BM$2&amp;CJ$7&amp;$CE97,1)</f>
        <v>0</v>
      </c>
      <c r="CK97" s="539" t="str">
        <f t="shared" ca="1" si="77"/>
        <v>-</v>
      </c>
      <c r="CU97" s="469" t="s">
        <v>5510</v>
      </c>
      <c r="CV97" s="492">
        <v>5</v>
      </c>
      <c r="CW97" s="558">
        <f t="shared" si="83"/>
        <v>124</v>
      </c>
      <c r="CX97" s="492" cm="1">
        <f t="array" aca="1" ref="CX97" ca="1">INDIRECT($DD$2&amp;CX$28&amp;$CW97)</f>
        <v>0</v>
      </c>
      <c r="CY97" s="492" cm="1">
        <f t="array" aca="1" ref="CY97" ca="1">INDIRECT($DD$2&amp;CY$28&amp;$CW97)</f>
        <v>0</v>
      </c>
      <c r="CZ97" s="492" cm="1">
        <f t="array" aca="1" ref="CZ97" ca="1">INDIRECT($DD$2&amp;CZ$28&amp;$CW97)</f>
        <v>0</v>
      </c>
      <c r="DA97" s="492" cm="1">
        <f t="array" aca="1" ref="DA97" ca="1">INDIRECT($DD$2&amp;DA$28&amp;$CW97)</f>
        <v>0</v>
      </c>
      <c r="DB97" s="492" cm="1">
        <f t="array" aca="1" ref="DB97" ca="1">INDIRECT($DD$2&amp;DB$28&amp;$CW97)</f>
        <v>0</v>
      </c>
      <c r="DC97" s="492" cm="1">
        <f t="array" aca="1" ref="DC97" ca="1">INDIRECT($DD$2&amp;DC$28&amp;$CW97)</f>
        <v>0</v>
      </c>
      <c r="DD97" s="492" t="str">
        <f t="shared" ca="1" si="81"/>
        <v/>
      </c>
      <c r="DE97" s="492" t="str">
        <f t="shared" ca="1" si="82"/>
        <v/>
      </c>
      <c r="EQ97" s="469" t="s">
        <v>5510</v>
      </c>
      <c r="GC97" s="472" t="s">
        <v>5510</v>
      </c>
      <c r="HN97" s="20"/>
      <c r="HP97" s="472"/>
    </row>
    <row r="98" spans="14:224" x14ac:dyDescent="0.25">
      <c r="N98" s="20"/>
      <c r="AV98" s="469" t="s">
        <v>5510</v>
      </c>
      <c r="AW98" s="20" t="s">
        <v>7076</v>
      </c>
      <c r="BF98" s="469" t="s">
        <v>5510</v>
      </c>
      <c r="BH98" s="539" t="s">
        <v>8042</v>
      </c>
      <c r="BI98" s="539">
        <f t="shared" si="78"/>
        <v>106</v>
      </c>
      <c r="BJ98" s="539" cm="1">
        <f t="array" aca="1" ref="BJ98" ca="1">INDIRECT($BM$2&amp;BJ$7&amp;$BI98,1)</f>
        <v>0</v>
      </c>
      <c r="BK98" s="539" cm="1">
        <f t="array" aca="1" ref="BK98" ca="1">INDIRECT($BM$2&amp;BK$7&amp;$BI98,1)</f>
        <v>0</v>
      </c>
      <c r="BL98" s="539" cm="1">
        <f t="array" aca="1" ref="BL98" ca="1">INDIRECT($BM$2&amp;BL$7&amp;$BI98,1)</f>
        <v>0</v>
      </c>
      <c r="BM98" s="539" cm="1">
        <f t="array" aca="1" ref="BM98" ca="1">INDIRECT($BM$2&amp;BM$7&amp;$BI98,1)</f>
        <v>0</v>
      </c>
      <c r="BN98" s="539" cm="1">
        <f t="array" aca="1" ref="BN98" ca="1">INDIRECT($BM$2&amp;BN$7&amp;$BI98,1)</f>
        <v>0</v>
      </c>
      <c r="BO98" s="539" t="str">
        <f t="shared" ca="1" si="75"/>
        <v>-</v>
      </c>
      <c r="BQ98" s="20"/>
      <c r="BR98" s="469">
        <v>9</v>
      </c>
      <c r="BS98" s="539" t="s">
        <v>8042</v>
      </c>
      <c r="BT98" s="539">
        <f t="shared" si="79"/>
        <v>452</v>
      </c>
      <c r="BU98" s="539" cm="1">
        <f t="array" aca="1" ref="BU98" ca="1">INDIRECT($BM$2&amp;BU$7&amp;$BT98,1)</f>
        <v>0</v>
      </c>
      <c r="BV98" s="539" cm="1">
        <f t="array" aca="1" ref="BV98" ca="1">INDIRECT($BM$2&amp;BV$7&amp;$BT98,1)</f>
        <v>0</v>
      </c>
      <c r="BW98" s="539" cm="1">
        <f t="array" aca="1" ref="BW98" ca="1">INDIRECT($BM$2&amp;BW$7&amp;$BT98,1)</f>
        <v>0</v>
      </c>
      <c r="BX98" s="539" cm="1">
        <f t="array" aca="1" ref="BX98" ca="1">INDIRECT($BM$2&amp;BX$7&amp;$BT98,1)</f>
        <v>0</v>
      </c>
      <c r="BY98" s="539" cm="1">
        <f t="array" aca="1" ref="BY98" ca="1">INDIRECT($BM$2&amp;BY$7&amp;$BT98,1)</f>
        <v>0</v>
      </c>
      <c r="BZ98" s="539" t="str">
        <f t="shared" ca="1" si="76"/>
        <v>-</v>
      </c>
      <c r="CC98" s="469">
        <v>9</v>
      </c>
      <c r="CD98" s="539" t="s">
        <v>8042</v>
      </c>
      <c r="CE98" s="539">
        <f t="shared" si="80"/>
        <v>798</v>
      </c>
      <c r="CF98" s="539" cm="1">
        <f t="array" aca="1" ref="CF98" ca="1">INDIRECT($BM$2&amp;CF$7&amp;$CE98,1)</f>
        <v>0</v>
      </c>
      <c r="CG98" s="539" cm="1">
        <f t="array" aca="1" ref="CG98" ca="1">INDIRECT($BM$2&amp;CG$7&amp;$CE98,1)</f>
        <v>0</v>
      </c>
      <c r="CH98" s="539" cm="1">
        <f t="array" aca="1" ref="CH98" ca="1">INDIRECT($BM$2&amp;CH$7&amp;$CE98,1)</f>
        <v>0</v>
      </c>
      <c r="CI98" s="539" cm="1">
        <f t="array" aca="1" ref="CI98" ca="1">INDIRECT($BM$2&amp;CI$7&amp;$CE98,1)</f>
        <v>0</v>
      </c>
      <c r="CJ98" s="539" cm="1">
        <f t="array" aca="1" ref="CJ98" ca="1">INDIRECT($BM$2&amp;CJ$7&amp;$CE98,1)</f>
        <v>0</v>
      </c>
      <c r="CK98" s="539" t="str">
        <f t="shared" ca="1" si="77"/>
        <v>-</v>
      </c>
      <c r="CU98" s="469" t="s">
        <v>5510</v>
      </c>
      <c r="CV98" s="492">
        <v>5</v>
      </c>
      <c r="CW98" s="558">
        <f t="shared" si="83"/>
        <v>125</v>
      </c>
      <c r="CX98" s="492" cm="1">
        <f t="array" aca="1" ref="CX98" ca="1">INDIRECT($DD$2&amp;CX$28&amp;$CW98)</f>
        <v>0</v>
      </c>
      <c r="CY98" s="492" cm="1">
        <f t="array" aca="1" ref="CY98" ca="1">INDIRECT($DD$2&amp;CY$28&amp;$CW98)</f>
        <v>0</v>
      </c>
      <c r="CZ98" s="492" cm="1">
        <f t="array" aca="1" ref="CZ98" ca="1">INDIRECT($DD$2&amp;CZ$28&amp;$CW98)</f>
        <v>0</v>
      </c>
      <c r="DA98" s="492" cm="1">
        <f t="array" aca="1" ref="DA98" ca="1">INDIRECT($DD$2&amp;DA$28&amp;$CW98)</f>
        <v>0</v>
      </c>
      <c r="DB98" s="492" cm="1">
        <f t="array" aca="1" ref="DB98" ca="1">INDIRECT($DD$2&amp;DB$28&amp;$CW98)</f>
        <v>0</v>
      </c>
      <c r="DC98" s="492" cm="1">
        <f t="array" aca="1" ref="DC98" ca="1">INDIRECT($DD$2&amp;DC$28&amp;$CW98)</f>
        <v>0</v>
      </c>
      <c r="DD98" s="492" t="str">
        <f t="shared" ca="1" si="81"/>
        <v/>
      </c>
      <c r="DE98" s="492" t="str">
        <f t="shared" ca="1" si="82"/>
        <v/>
      </c>
      <c r="EQ98" s="469" t="s">
        <v>5510</v>
      </c>
      <c r="GC98" s="472" t="s">
        <v>5510</v>
      </c>
      <c r="HN98" s="20"/>
      <c r="HP98" s="472"/>
    </row>
    <row r="99" spans="14:224" x14ac:dyDescent="0.25">
      <c r="N99" s="20"/>
      <c r="AV99" s="469" t="s">
        <v>5510</v>
      </c>
      <c r="BF99" s="469" t="s">
        <v>5510</v>
      </c>
      <c r="BH99" s="539" t="s">
        <v>8042</v>
      </c>
      <c r="BI99" s="539">
        <f t="shared" si="78"/>
        <v>107</v>
      </c>
      <c r="BJ99" s="539" cm="1">
        <f t="array" aca="1" ref="BJ99" ca="1">INDIRECT($BM$2&amp;BJ$7&amp;$BI99,1)</f>
        <v>0</v>
      </c>
      <c r="BK99" s="539" cm="1">
        <f t="array" aca="1" ref="BK99" ca="1">INDIRECT($BM$2&amp;BK$7&amp;$BI99,1)</f>
        <v>0</v>
      </c>
      <c r="BL99" s="539" cm="1">
        <f t="array" aca="1" ref="BL99" ca="1">INDIRECT($BM$2&amp;BL$7&amp;$BI99,1)</f>
        <v>0</v>
      </c>
      <c r="BM99" s="539" cm="1">
        <f t="array" aca="1" ref="BM99" ca="1">INDIRECT($BM$2&amp;BM$7&amp;$BI99,1)</f>
        <v>0</v>
      </c>
      <c r="BN99" s="539" cm="1">
        <f t="array" aca="1" ref="BN99" ca="1">INDIRECT($BM$2&amp;BN$7&amp;$BI99,1)</f>
        <v>0</v>
      </c>
      <c r="BO99" s="539" t="str">
        <f t="shared" ca="1" si="75"/>
        <v>-</v>
      </c>
      <c r="BQ99" s="20"/>
      <c r="BR99" s="469">
        <v>10</v>
      </c>
      <c r="BS99" s="539" t="s">
        <v>8042</v>
      </c>
      <c r="BT99" s="539">
        <f t="shared" si="79"/>
        <v>453</v>
      </c>
      <c r="BU99" s="539" cm="1">
        <f t="array" aca="1" ref="BU99" ca="1">INDIRECT($BM$2&amp;BU$7&amp;$BT99,1)</f>
        <v>0</v>
      </c>
      <c r="BV99" s="539" cm="1">
        <f t="array" aca="1" ref="BV99" ca="1">INDIRECT($BM$2&amp;BV$7&amp;$BT99,1)</f>
        <v>0</v>
      </c>
      <c r="BW99" s="539" cm="1">
        <f t="array" aca="1" ref="BW99" ca="1">INDIRECT($BM$2&amp;BW$7&amp;$BT99,1)</f>
        <v>0</v>
      </c>
      <c r="BX99" s="539" cm="1">
        <f t="array" aca="1" ref="BX99" ca="1">INDIRECT($BM$2&amp;BX$7&amp;$BT99,1)</f>
        <v>0</v>
      </c>
      <c r="BY99" s="539" cm="1">
        <f t="array" aca="1" ref="BY99" ca="1">INDIRECT($BM$2&amp;BY$7&amp;$BT99,1)</f>
        <v>0</v>
      </c>
      <c r="BZ99" s="539" t="str">
        <f t="shared" ca="1" si="76"/>
        <v>-</v>
      </c>
      <c r="CC99" s="469">
        <v>10</v>
      </c>
      <c r="CD99" s="539" t="s">
        <v>8042</v>
      </c>
      <c r="CE99" s="539">
        <f t="shared" si="80"/>
        <v>799</v>
      </c>
      <c r="CF99" s="539" cm="1">
        <f t="array" aca="1" ref="CF99" ca="1">INDIRECT($BM$2&amp;CF$7&amp;$CE99,1)</f>
        <v>0</v>
      </c>
      <c r="CG99" s="539" cm="1">
        <f t="array" aca="1" ref="CG99" ca="1">INDIRECT($BM$2&amp;CG$7&amp;$CE99,1)</f>
        <v>0</v>
      </c>
      <c r="CH99" s="539" cm="1">
        <f t="array" aca="1" ref="CH99" ca="1">INDIRECT($BM$2&amp;CH$7&amp;$CE99,1)</f>
        <v>0</v>
      </c>
      <c r="CI99" s="539" cm="1">
        <f t="array" aca="1" ref="CI99" ca="1">INDIRECT($BM$2&amp;CI$7&amp;$CE99,1)</f>
        <v>0</v>
      </c>
      <c r="CJ99" s="539" cm="1">
        <f t="array" aca="1" ref="CJ99" ca="1">INDIRECT($BM$2&amp;CJ$7&amp;$CE99,1)</f>
        <v>0</v>
      </c>
      <c r="CK99" s="539" t="str">
        <f t="shared" ca="1" si="77"/>
        <v>-</v>
      </c>
      <c r="CU99" s="469" t="s">
        <v>5510</v>
      </c>
      <c r="CV99" s="492">
        <v>5</v>
      </c>
      <c r="CW99" s="558">
        <f t="shared" si="83"/>
        <v>126</v>
      </c>
      <c r="CX99" s="492" cm="1">
        <f t="array" aca="1" ref="CX99" ca="1">INDIRECT($DD$2&amp;CX$28&amp;$CW99)</f>
        <v>0</v>
      </c>
      <c r="CY99" s="492" cm="1">
        <f t="array" aca="1" ref="CY99" ca="1">INDIRECT($DD$2&amp;CY$28&amp;$CW99)</f>
        <v>0</v>
      </c>
      <c r="CZ99" s="492" cm="1">
        <f t="array" aca="1" ref="CZ99" ca="1">INDIRECT($DD$2&amp;CZ$28&amp;$CW99)</f>
        <v>0</v>
      </c>
      <c r="DA99" s="492" cm="1">
        <f t="array" aca="1" ref="DA99" ca="1">INDIRECT($DD$2&amp;DA$28&amp;$CW99)</f>
        <v>0</v>
      </c>
      <c r="DB99" s="492" cm="1">
        <f t="array" aca="1" ref="DB99" ca="1">INDIRECT($DD$2&amp;DB$28&amp;$CW99)</f>
        <v>0</v>
      </c>
      <c r="DC99" s="492" cm="1">
        <f t="array" aca="1" ref="DC99" ca="1">INDIRECT($DD$2&amp;DC$28&amp;$CW99)</f>
        <v>0</v>
      </c>
      <c r="DD99" s="492" t="str">
        <f t="shared" ca="1" si="81"/>
        <v/>
      </c>
      <c r="DE99" s="492" t="str">
        <f t="shared" ca="1" si="82"/>
        <v/>
      </c>
      <c r="EQ99" s="469" t="s">
        <v>5510</v>
      </c>
      <c r="GC99" s="472" t="s">
        <v>5510</v>
      </c>
      <c r="HN99" s="20"/>
      <c r="HP99" s="472"/>
    </row>
    <row r="100" spans="14:224" x14ac:dyDescent="0.25">
      <c r="N100" s="20"/>
      <c r="AV100" s="469" t="s">
        <v>5510</v>
      </c>
      <c r="AW100" s="469" t="s">
        <v>116</v>
      </c>
      <c r="AX100" s="469" t="s">
        <v>5597</v>
      </c>
      <c r="AY100" s="469" t="s">
        <v>5829</v>
      </c>
      <c r="AZ100" s="469" t="s">
        <v>7070</v>
      </c>
      <c r="BF100" s="469" t="s">
        <v>5510</v>
      </c>
      <c r="BH100" s="539" t="s">
        <v>8042</v>
      </c>
      <c r="BI100" s="539">
        <f t="shared" si="78"/>
        <v>108</v>
      </c>
      <c r="BJ100" s="539" cm="1">
        <f t="array" aca="1" ref="BJ100" ca="1">INDIRECT($BM$2&amp;BJ$7&amp;$BI100,1)</f>
        <v>0</v>
      </c>
      <c r="BK100" s="539" cm="1">
        <f t="array" aca="1" ref="BK100" ca="1">INDIRECT($BM$2&amp;BK$7&amp;$BI100,1)</f>
        <v>0</v>
      </c>
      <c r="BL100" s="539" cm="1">
        <f t="array" aca="1" ref="BL100" ca="1">INDIRECT($BM$2&amp;BL$7&amp;$BI100,1)</f>
        <v>0</v>
      </c>
      <c r="BM100" s="539" cm="1">
        <f t="array" aca="1" ref="BM100" ca="1">INDIRECT($BM$2&amp;BM$7&amp;$BI100,1)</f>
        <v>0</v>
      </c>
      <c r="BN100" s="539" cm="1">
        <f t="array" aca="1" ref="BN100" ca="1">INDIRECT($BM$2&amp;BN$7&amp;$BI100,1)</f>
        <v>0</v>
      </c>
      <c r="BO100" s="539" t="str">
        <f t="shared" ca="1" si="75"/>
        <v>-</v>
      </c>
      <c r="BQ100" s="20"/>
      <c r="BR100" s="469">
        <v>11</v>
      </c>
      <c r="BS100" s="539" t="s">
        <v>8042</v>
      </c>
      <c r="BT100" s="539">
        <f t="shared" si="79"/>
        <v>454</v>
      </c>
      <c r="BU100" s="539" cm="1">
        <f t="array" aca="1" ref="BU100" ca="1">INDIRECT($BM$2&amp;BU$7&amp;$BT100,1)</f>
        <v>0</v>
      </c>
      <c r="BV100" s="539" cm="1">
        <f t="array" aca="1" ref="BV100" ca="1">INDIRECT($BM$2&amp;BV$7&amp;$BT100,1)</f>
        <v>0</v>
      </c>
      <c r="BW100" s="539" cm="1">
        <f t="array" aca="1" ref="BW100" ca="1">INDIRECT($BM$2&amp;BW$7&amp;$BT100,1)</f>
        <v>0</v>
      </c>
      <c r="BX100" s="539" cm="1">
        <f t="array" aca="1" ref="BX100" ca="1">INDIRECT($BM$2&amp;BX$7&amp;$BT100,1)</f>
        <v>0</v>
      </c>
      <c r="BY100" s="539" cm="1">
        <f t="array" aca="1" ref="BY100" ca="1">INDIRECT($BM$2&amp;BY$7&amp;$BT100,1)</f>
        <v>0</v>
      </c>
      <c r="BZ100" s="539" t="str">
        <f t="shared" ca="1" si="76"/>
        <v>-</v>
      </c>
      <c r="CC100" s="469">
        <v>11</v>
      </c>
      <c r="CD100" s="539" t="s">
        <v>8042</v>
      </c>
      <c r="CE100" s="539">
        <f t="shared" si="80"/>
        <v>800</v>
      </c>
      <c r="CF100" s="539" cm="1">
        <f t="array" aca="1" ref="CF100" ca="1">INDIRECT($BM$2&amp;CF$7&amp;$CE100,1)</f>
        <v>0</v>
      </c>
      <c r="CG100" s="539" cm="1">
        <f t="array" aca="1" ref="CG100" ca="1">INDIRECT($BM$2&amp;CG$7&amp;$CE100,1)</f>
        <v>0</v>
      </c>
      <c r="CH100" s="539" cm="1">
        <f t="array" aca="1" ref="CH100" ca="1">INDIRECT($BM$2&amp;CH$7&amp;$CE100,1)</f>
        <v>0</v>
      </c>
      <c r="CI100" s="539" cm="1">
        <f t="array" aca="1" ref="CI100" ca="1">INDIRECT($BM$2&amp;CI$7&amp;$CE100,1)</f>
        <v>0</v>
      </c>
      <c r="CJ100" s="539" cm="1">
        <f t="array" aca="1" ref="CJ100" ca="1">INDIRECT($BM$2&amp;CJ$7&amp;$CE100,1)</f>
        <v>0</v>
      </c>
      <c r="CK100" s="539" t="str">
        <f t="shared" ca="1" si="77"/>
        <v>-</v>
      </c>
      <c r="CU100" s="469" t="s">
        <v>5510</v>
      </c>
      <c r="CV100" s="636">
        <v>5</v>
      </c>
      <c r="CW100" s="558">
        <f t="shared" si="83"/>
        <v>127</v>
      </c>
      <c r="CX100" s="492" cm="1">
        <f t="array" aca="1" ref="CX100" ca="1">INDIRECT($DD$2&amp;CX$28&amp;$CW100)</f>
        <v>0</v>
      </c>
      <c r="CY100" s="492" cm="1">
        <f t="array" aca="1" ref="CY100" ca="1">INDIRECT($DD$2&amp;CY$28&amp;$CW100)</f>
        <v>0</v>
      </c>
      <c r="CZ100" s="492" cm="1">
        <f t="array" aca="1" ref="CZ100" ca="1">INDIRECT($DD$2&amp;CZ$28&amp;$CW100)</f>
        <v>0</v>
      </c>
      <c r="DA100" s="492" cm="1">
        <f t="array" aca="1" ref="DA100" ca="1">INDIRECT($DD$2&amp;DA$28&amp;$CW100)</f>
        <v>0</v>
      </c>
      <c r="DB100" s="492" cm="1">
        <f t="array" aca="1" ref="DB100" ca="1">INDIRECT($DD$2&amp;DB$28&amp;$CW100)</f>
        <v>0</v>
      </c>
      <c r="DC100" s="492" cm="1">
        <f t="array" aca="1" ref="DC100" ca="1">INDIRECT($DD$2&amp;DC$28&amp;$CW100)</f>
        <v>0</v>
      </c>
      <c r="DD100" s="492" t="str">
        <f t="shared" ca="1" si="81"/>
        <v/>
      </c>
      <c r="DE100" s="492" t="str">
        <f t="shared" ca="1" si="82"/>
        <v/>
      </c>
      <c r="EQ100" s="469" t="s">
        <v>5510</v>
      </c>
      <c r="GC100" s="472" t="s">
        <v>5510</v>
      </c>
      <c r="HN100" s="20"/>
      <c r="HP100" s="472"/>
    </row>
    <row r="101" spans="14:224" x14ac:dyDescent="0.25">
      <c r="N101" s="20"/>
      <c r="AV101" s="469" t="s">
        <v>5510</v>
      </c>
      <c r="AW101" s="426" t="str">
        <f>Respostas_usuario!J3</f>
        <v>'Up&amp;Down(2)'!</v>
      </c>
      <c r="AX101" s="525">
        <f>Respostas_usuario!O3</f>
        <v>0</v>
      </c>
      <c r="AY101" s="525" t="str">
        <f>"&lt;= "&amp;INDEX(Calculos!HM3:HM8,MATCH(Calculos!$AX$95,Calculos!HN3:HN8,0),1)</f>
        <v>&lt;= 2000</v>
      </c>
      <c r="AZ101" s="20" t="str">
        <f>IF(AX101=0,$AW$95&amp;$AW$96,
IF(AX101=TRUE,$AW$95&amp;$AW$97&amp;AY101&amp;$AX$96,
IF(AX101=FALSE,$AW$95&amp;$AW$98&amp;AY101&amp;$AX$96,"")))</f>
        <v xml:space="preserve"> &lt;&lt;&lt;&lt;&lt;&lt;&lt;  Aguardando preenchimento</v>
      </c>
      <c r="BF101" s="469" t="s">
        <v>5510</v>
      </c>
      <c r="BH101" s="539" t="s">
        <v>8042</v>
      </c>
      <c r="BI101" s="539">
        <f t="shared" si="78"/>
        <v>109</v>
      </c>
      <c r="BJ101" s="539" cm="1">
        <f t="array" aca="1" ref="BJ101" ca="1">INDIRECT($BM$2&amp;BJ$7&amp;$BI101,1)</f>
        <v>0</v>
      </c>
      <c r="BK101" s="539" cm="1">
        <f t="array" aca="1" ref="BK101" ca="1">INDIRECT($BM$2&amp;BK$7&amp;$BI101,1)</f>
        <v>0</v>
      </c>
      <c r="BL101" s="539" cm="1">
        <f t="array" aca="1" ref="BL101" ca="1">INDIRECT($BM$2&amp;BL$7&amp;$BI101,1)</f>
        <v>0</v>
      </c>
      <c r="BM101" s="539" cm="1">
        <f t="array" aca="1" ref="BM101" ca="1">INDIRECT($BM$2&amp;BM$7&amp;$BI101,1)</f>
        <v>0</v>
      </c>
      <c r="BN101" s="539" t="str" cm="1">
        <f t="array" aca="1" ref="BN101" ca="1">INDIRECT($BM$2&amp;BN$7&amp;$BI101,1)</f>
        <v>-</v>
      </c>
      <c r="BO101" s="539" t="str">
        <f t="shared" ca="1" si="75"/>
        <v>-</v>
      </c>
      <c r="BQ101" s="20"/>
      <c r="BR101" s="469">
        <v>12</v>
      </c>
      <c r="BS101" s="539" t="s">
        <v>8042</v>
      </c>
      <c r="BT101" s="539">
        <f t="shared" si="79"/>
        <v>455</v>
      </c>
      <c r="BU101" s="539" cm="1">
        <f t="array" aca="1" ref="BU101" ca="1">INDIRECT($BM$2&amp;BU$7&amp;$BT101,1)</f>
        <v>0</v>
      </c>
      <c r="BV101" s="539" cm="1">
        <f t="array" aca="1" ref="BV101" ca="1">INDIRECT($BM$2&amp;BV$7&amp;$BT101,1)</f>
        <v>0</v>
      </c>
      <c r="BW101" s="539" cm="1">
        <f t="array" aca="1" ref="BW101" ca="1">INDIRECT($BM$2&amp;BW$7&amp;$BT101,1)</f>
        <v>0</v>
      </c>
      <c r="BX101" s="539" cm="1">
        <f t="array" aca="1" ref="BX101" ca="1">INDIRECT($BM$2&amp;BX$7&amp;$BT101,1)</f>
        <v>0</v>
      </c>
      <c r="BY101" s="539" t="str" cm="1">
        <f t="array" aca="1" ref="BY101" ca="1">INDIRECT($BM$2&amp;BY$7&amp;$BT101,1)</f>
        <v>-</v>
      </c>
      <c r="BZ101" s="539" t="str">
        <f t="shared" ca="1" si="76"/>
        <v>-</v>
      </c>
      <c r="CC101" s="469">
        <v>12</v>
      </c>
      <c r="CD101" s="539" t="s">
        <v>8042</v>
      </c>
      <c r="CE101" s="539">
        <f t="shared" si="80"/>
        <v>801</v>
      </c>
      <c r="CF101" s="539" cm="1">
        <f t="array" aca="1" ref="CF101" ca="1">INDIRECT($BM$2&amp;CF$7&amp;$CE101,1)</f>
        <v>0</v>
      </c>
      <c r="CG101" s="539" cm="1">
        <f t="array" aca="1" ref="CG101" ca="1">INDIRECT($BM$2&amp;CG$7&amp;$CE101,1)</f>
        <v>0</v>
      </c>
      <c r="CH101" s="539" cm="1">
        <f t="array" aca="1" ref="CH101" ca="1">INDIRECT($BM$2&amp;CH$7&amp;$CE101,1)</f>
        <v>0</v>
      </c>
      <c r="CI101" s="539" cm="1">
        <f t="array" aca="1" ref="CI101" ca="1">INDIRECT($BM$2&amp;CI$7&amp;$CE101,1)</f>
        <v>0</v>
      </c>
      <c r="CJ101" s="539" t="str" cm="1">
        <f t="array" aca="1" ref="CJ101" ca="1">INDIRECT($BM$2&amp;CJ$7&amp;$CE101,1)</f>
        <v>-</v>
      </c>
      <c r="CK101" s="539" t="str">
        <f t="shared" ca="1" si="77"/>
        <v>-</v>
      </c>
      <c r="CU101" s="469" t="s">
        <v>5510</v>
      </c>
      <c r="CV101" s="22">
        <v>6</v>
      </c>
      <c r="CW101" s="522">
        <f t="shared" si="83"/>
        <v>135</v>
      </c>
      <c r="CX101" s="22" cm="1">
        <f t="array" aca="1" ref="CX101" ca="1">INDIRECT($DD$2&amp;CX$28&amp;$CW101)</f>
        <v>0</v>
      </c>
      <c r="CY101" s="22" cm="1">
        <f t="array" aca="1" ref="CY101" ca="1">INDIRECT($DD$2&amp;CY$28&amp;$CW101)</f>
        <v>0</v>
      </c>
      <c r="CZ101" s="22" cm="1">
        <f t="array" aca="1" ref="CZ101" ca="1">INDIRECT($DD$2&amp;CZ$28&amp;$CW101)</f>
        <v>0</v>
      </c>
      <c r="DA101" s="22" cm="1">
        <f t="array" aca="1" ref="DA101" ca="1">INDIRECT($DD$2&amp;DA$28&amp;$CW101)</f>
        <v>0</v>
      </c>
      <c r="DB101" s="22" cm="1">
        <f t="array" aca="1" ref="DB101" ca="1">INDIRECT($DD$2&amp;DB$28&amp;$CW101)</f>
        <v>0</v>
      </c>
      <c r="DC101" s="22" cm="1">
        <f t="array" aca="1" ref="DC101" ca="1">INDIRECT($DD$2&amp;DC$28&amp;$CW101)</f>
        <v>0</v>
      </c>
      <c r="DD101" s="22" t="str">
        <f t="shared" ca="1" si="81"/>
        <v/>
      </c>
      <c r="DE101" s="22" t="str">
        <f t="shared" ca="1" si="82"/>
        <v/>
      </c>
      <c r="EQ101" s="469" t="s">
        <v>5510</v>
      </c>
      <c r="GC101" s="472" t="s">
        <v>5510</v>
      </c>
      <c r="HN101" s="20"/>
      <c r="HP101" s="472"/>
    </row>
    <row r="102" spans="14:224" x14ac:dyDescent="0.25">
      <c r="N102" s="20"/>
      <c r="AV102" s="469" t="s">
        <v>5510</v>
      </c>
      <c r="AW102" s="426" t="str">
        <f>Respostas_usuario!J5</f>
        <v>'Dl50_Oral(2)'!</v>
      </c>
      <c r="AX102" s="525">
        <f>Respostas_usuario!O5</f>
        <v>0</v>
      </c>
      <c r="AY102" s="525" t="str">
        <f>"&lt;= "&amp;INDEX(Calculos!HM3:HM8,MATCH(Calculos!$AX$95,Calculos!HN3:HN8,0),1)</f>
        <v>&lt;= 2000</v>
      </c>
      <c r="AZ102" s="20" t="str">
        <f>IF(AX102=0,$AW$95&amp;$AW$96,
IF(AX102=TRUE,$AW$95&amp;$AW$97&amp;AY102&amp;$AX$96,
IF(AX102=FALSE,$AW$95&amp;$AW$98&amp;AY102&amp;$AX$96,"")))</f>
        <v xml:space="preserve"> &lt;&lt;&lt;&lt;&lt;&lt;&lt;  Aguardando preenchimento</v>
      </c>
      <c r="BF102" s="469" t="s">
        <v>5510</v>
      </c>
      <c r="BL102" s="372"/>
      <c r="BO102" s="472"/>
      <c r="BQ102" s="20"/>
      <c r="BT102" s="372"/>
      <c r="BU102" s="472"/>
      <c r="BV102" s="472"/>
      <c r="BW102" s="372"/>
      <c r="BX102" s="472"/>
      <c r="BY102" s="372"/>
      <c r="BZ102" s="472"/>
      <c r="CE102" s="372"/>
      <c r="CF102" s="472"/>
      <c r="CG102" s="472"/>
      <c r="CH102" s="372"/>
      <c r="CI102" s="472"/>
      <c r="CJ102" s="372"/>
      <c r="CK102" s="472"/>
      <c r="CU102" s="469" t="s">
        <v>5510</v>
      </c>
      <c r="CV102" s="22">
        <v>6</v>
      </c>
      <c r="CW102" s="522">
        <f t="shared" si="83"/>
        <v>136</v>
      </c>
      <c r="CX102" s="22" cm="1">
        <f t="array" aca="1" ref="CX102" ca="1">INDIRECT($DD$2&amp;CX$28&amp;$CW102)</f>
        <v>0</v>
      </c>
      <c r="CY102" s="22" cm="1">
        <f t="array" aca="1" ref="CY102" ca="1">INDIRECT($DD$2&amp;CY$28&amp;$CW102)</f>
        <v>0</v>
      </c>
      <c r="CZ102" s="22" cm="1">
        <f t="array" aca="1" ref="CZ102" ca="1">INDIRECT($DD$2&amp;CZ$28&amp;$CW102)</f>
        <v>0</v>
      </c>
      <c r="DA102" s="22" cm="1">
        <f t="array" aca="1" ref="DA102" ca="1">INDIRECT($DD$2&amp;DA$28&amp;$CW102)</f>
        <v>0</v>
      </c>
      <c r="DB102" s="22" cm="1">
        <f t="array" aca="1" ref="DB102" ca="1">INDIRECT($DD$2&amp;DB$28&amp;$CW102)</f>
        <v>0</v>
      </c>
      <c r="DC102" s="22" cm="1">
        <f t="array" aca="1" ref="DC102" ca="1">INDIRECT($DD$2&amp;DC$28&amp;$CW102)</f>
        <v>0</v>
      </c>
      <c r="DD102" s="22" t="str">
        <f t="shared" ca="1" si="81"/>
        <v/>
      </c>
      <c r="DE102" s="22" t="str">
        <f t="shared" ca="1" si="82"/>
        <v/>
      </c>
      <c r="EQ102" s="469" t="s">
        <v>5510</v>
      </c>
      <c r="GC102" s="472" t="s">
        <v>5510</v>
      </c>
      <c r="HN102" s="20"/>
      <c r="HP102" s="472"/>
    </row>
    <row r="103" spans="14:224" x14ac:dyDescent="0.25">
      <c r="N103" s="20"/>
      <c r="AV103" s="469" t="s">
        <v>5510</v>
      </c>
      <c r="AW103" s="426" t="str">
        <f>Respostas_usuario!J7</f>
        <v>'DL50_Cutanea(2)'!</v>
      </c>
      <c r="AX103" s="525">
        <f>Respostas_usuario!O7</f>
        <v>0</v>
      </c>
      <c r="AY103" s="525" t="str">
        <f>"&lt;= "&amp;INDEX(Calculos!HM9:HM14,MATCH(Calculos!$AX$95,Calculos!HN9:HN14,0),1)</f>
        <v>&lt;= 2000</v>
      </c>
      <c r="AZ103" s="20" t="str">
        <f>IF(AX103=0,$AW$95&amp;$AW$96,
IF(AX103=TRUE,$AW$95&amp;$AW$97&amp;AY103&amp;$AX$96,
IF(AX103=FALSE,$AW$95&amp;$AW$98&amp;AY103&amp;$AX$96,"")))</f>
        <v xml:space="preserve"> &lt;&lt;&lt;&lt;&lt;&lt;&lt;  Aguardando preenchimento</v>
      </c>
      <c r="BF103" s="469" t="s">
        <v>5510</v>
      </c>
      <c r="BL103" s="372"/>
      <c r="BO103" s="472"/>
      <c r="BQ103" s="20"/>
      <c r="BT103" s="372"/>
      <c r="BU103" s="472"/>
      <c r="BV103" s="472"/>
      <c r="BW103" s="372"/>
      <c r="BX103" s="472"/>
      <c r="BY103" s="372"/>
      <c r="BZ103" s="472"/>
      <c r="CE103" s="372"/>
      <c r="CF103" s="472"/>
      <c r="CG103" s="472"/>
      <c r="CH103" s="372"/>
      <c r="CI103" s="472"/>
      <c r="CJ103" s="372"/>
      <c r="CK103" s="472"/>
      <c r="CU103" s="469" t="s">
        <v>5510</v>
      </c>
      <c r="CV103" s="22">
        <v>6</v>
      </c>
      <c r="CW103" s="522">
        <f t="shared" si="83"/>
        <v>137</v>
      </c>
      <c r="CX103" s="22" cm="1">
        <f t="array" aca="1" ref="CX103" ca="1">INDIRECT($DD$2&amp;CX$28&amp;$CW103)</f>
        <v>0</v>
      </c>
      <c r="CY103" s="22" cm="1">
        <f t="array" aca="1" ref="CY103" ca="1">INDIRECT($DD$2&amp;CY$28&amp;$CW103)</f>
        <v>0</v>
      </c>
      <c r="CZ103" s="22" cm="1">
        <f t="array" aca="1" ref="CZ103" ca="1">INDIRECT($DD$2&amp;CZ$28&amp;$CW103)</f>
        <v>0</v>
      </c>
      <c r="DA103" s="22" cm="1">
        <f t="array" aca="1" ref="DA103" ca="1">INDIRECT($DD$2&amp;DA$28&amp;$CW103)</f>
        <v>0</v>
      </c>
      <c r="DB103" s="22" cm="1">
        <f t="array" aca="1" ref="DB103" ca="1">INDIRECT($DD$2&amp;DB$28&amp;$CW103)</f>
        <v>0</v>
      </c>
      <c r="DC103" s="22" cm="1">
        <f t="array" aca="1" ref="DC103" ca="1">INDIRECT($DD$2&amp;DC$28&amp;$CW103)</f>
        <v>0</v>
      </c>
      <c r="DD103" s="22" t="str">
        <f t="shared" ca="1" si="81"/>
        <v/>
      </c>
      <c r="DE103" s="22" t="str">
        <f t="shared" ca="1" si="82"/>
        <v/>
      </c>
      <c r="EQ103" s="469" t="s">
        <v>5510</v>
      </c>
      <c r="GC103" s="472" t="s">
        <v>5510</v>
      </c>
      <c r="HN103" s="20"/>
      <c r="HP103" s="472"/>
    </row>
    <row r="104" spans="14:224" x14ac:dyDescent="0.25">
      <c r="N104" s="20"/>
      <c r="AV104" s="469" t="s">
        <v>5510</v>
      </c>
      <c r="AW104" s="426" t="str">
        <f>Respostas_usuario!J9</f>
        <v>'CL50(2)'!</v>
      </c>
      <c r="AX104" s="525">
        <f>Respostas_usuario!O9</f>
        <v>0</v>
      </c>
      <c r="AY104" s="525" t="str">
        <f>"&lt;= "&amp;INDEX(Calculos!HM15:HM20,MATCH(Calculos!$AX$95,Calculos!HN15:HN20,0),1)</f>
        <v>&lt;= 5</v>
      </c>
      <c r="AZ104" s="20" t="str">
        <f>IF(AX104=0,$AW$95&amp;$AW$96,
IF(AX104=TRUE,AZ97,
IF(AX104=FALSE,AZ98,"")))</f>
        <v xml:space="preserve"> &lt;&lt;&lt;&lt;&lt;&lt;&lt;  Aguardando preenchimento</v>
      </c>
      <c r="BF104" s="469" t="s">
        <v>5510</v>
      </c>
      <c r="BQ104" s="20"/>
      <c r="BT104" s="372"/>
      <c r="BU104" s="472"/>
      <c r="BV104" s="472"/>
      <c r="BW104" s="472"/>
      <c r="BX104" s="472"/>
      <c r="BY104" s="372"/>
      <c r="BZ104" s="372"/>
      <c r="CE104" s="372"/>
      <c r="CF104" s="472"/>
      <c r="CG104" s="472"/>
      <c r="CH104" s="472"/>
      <c r="CI104" s="472"/>
      <c r="CJ104" s="372"/>
      <c r="CK104" s="372"/>
      <c r="CU104" s="469" t="s">
        <v>5510</v>
      </c>
      <c r="CV104" s="22">
        <v>6</v>
      </c>
      <c r="CW104" s="522">
        <f t="shared" si="83"/>
        <v>138</v>
      </c>
      <c r="CX104" s="22" cm="1">
        <f t="array" aca="1" ref="CX104" ca="1">INDIRECT($DD$2&amp;CX$28&amp;$CW104)</f>
        <v>0</v>
      </c>
      <c r="CY104" s="22" cm="1">
        <f t="array" aca="1" ref="CY104" ca="1">INDIRECT($DD$2&amp;CY$28&amp;$CW104)</f>
        <v>0</v>
      </c>
      <c r="CZ104" s="22" cm="1">
        <f t="array" aca="1" ref="CZ104" ca="1">INDIRECT($DD$2&amp;CZ$28&amp;$CW104)</f>
        <v>0</v>
      </c>
      <c r="DA104" s="22" cm="1">
        <f t="array" aca="1" ref="DA104" ca="1">INDIRECT($DD$2&amp;DA$28&amp;$CW104)</f>
        <v>0</v>
      </c>
      <c r="DB104" s="22" cm="1">
        <f t="array" aca="1" ref="DB104" ca="1">INDIRECT($DD$2&amp;DB$28&amp;$CW104)</f>
        <v>0</v>
      </c>
      <c r="DC104" s="22" cm="1">
        <f t="array" aca="1" ref="DC104" ca="1">INDIRECT($DD$2&amp;DC$28&amp;$CW104)</f>
        <v>0</v>
      </c>
      <c r="DD104" s="22" t="str">
        <f t="shared" ca="1" si="81"/>
        <v/>
      </c>
      <c r="DE104" s="22" t="str">
        <f t="shared" ca="1" si="82"/>
        <v/>
      </c>
      <c r="EQ104" s="469" t="s">
        <v>5510</v>
      </c>
      <c r="GC104" s="472" t="s">
        <v>5510</v>
      </c>
      <c r="HN104" s="20"/>
      <c r="HP104" s="472"/>
    </row>
    <row r="105" spans="14:224" x14ac:dyDescent="0.25">
      <c r="N105" s="20"/>
      <c r="Y105" s="20"/>
      <c r="AV105" s="469" t="s">
        <v>5510</v>
      </c>
      <c r="BF105" s="469" t="s">
        <v>5510</v>
      </c>
      <c r="BQ105" s="20"/>
      <c r="BT105" s="372"/>
      <c r="BU105" s="472"/>
      <c r="BV105" s="472"/>
      <c r="BW105" s="472"/>
      <c r="BX105" s="472"/>
      <c r="BY105" s="372"/>
      <c r="BZ105" s="372"/>
      <c r="CE105" s="372"/>
      <c r="CF105" s="472"/>
      <c r="CG105" s="472"/>
      <c r="CH105" s="472"/>
      <c r="CI105" s="472"/>
      <c r="CJ105" s="372"/>
      <c r="CK105" s="372"/>
      <c r="CU105" s="469" t="s">
        <v>5510</v>
      </c>
      <c r="CV105" s="22">
        <v>6</v>
      </c>
      <c r="CW105" s="522">
        <f t="shared" si="83"/>
        <v>139</v>
      </c>
      <c r="CX105" s="22" cm="1">
        <f t="array" aca="1" ref="CX105" ca="1">INDIRECT($DD$2&amp;CX$28&amp;$CW105)</f>
        <v>0</v>
      </c>
      <c r="CY105" s="22" cm="1">
        <f t="array" aca="1" ref="CY105" ca="1">INDIRECT($DD$2&amp;CY$28&amp;$CW105)</f>
        <v>0</v>
      </c>
      <c r="CZ105" s="22" cm="1">
        <f t="array" aca="1" ref="CZ105" ca="1">INDIRECT($DD$2&amp;CZ$28&amp;$CW105)</f>
        <v>0</v>
      </c>
      <c r="DA105" s="22" cm="1">
        <f t="array" aca="1" ref="DA105" ca="1">INDIRECT($DD$2&amp;DA$28&amp;$CW105)</f>
        <v>0</v>
      </c>
      <c r="DB105" s="22" cm="1">
        <f t="array" aca="1" ref="DB105" ca="1">INDIRECT($DD$2&amp;DB$28&amp;$CW105)</f>
        <v>0</v>
      </c>
      <c r="DC105" s="22" cm="1">
        <f t="array" aca="1" ref="DC105" ca="1">INDIRECT($DD$2&amp;DC$28&amp;$CW105)</f>
        <v>0</v>
      </c>
      <c r="DD105" s="22" t="str">
        <f t="shared" ca="1" si="81"/>
        <v/>
      </c>
      <c r="DE105" s="22" t="str">
        <f t="shared" ca="1" si="82"/>
        <v/>
      </c>
      <c r="EQ105" s="469" t="s">
        <v>5510</v>
      </c>
      <c r="GC105" s="472" t="s">
        <v>5510</v>
      </c>
      <c r="HN105" s="20"/>
      <c r="HP105" s="472"/>
    </row>
    <row r="106" spans="14:224" x14ac:dyDescent="0.25">
      <c r="N106" s="20"/>
      <c r="Y106" s="20"/>
      <c r="AV106" s="469" t="s">
        <v>5510</v>
      </c>
      <c r="BF106" s="469" t="s">
        <v>5510</v>
      </c>
      <c r="BH106" s="539" t="s">
        <v>8043</v>
      </c>
      <c r="BI106" s="539">
        <f>BI101+$BO$6</f>
        <v>115</v>
      </c>
      <c r="BJ106" s="539" cm="1">
        <f t="array" aca="1" ref="BJ106" ca="1">INDIRECT($BM$2&amp;BJ$7&amp;$BI106,1)</f>
        <v>0</v>
      </c>
      <c r="BK106" s="539" cm="1">
        <f t="array" aca="1" ref="BK106" ca="1">INDIRECT($BM$2&amp;BK$7&amp;$BI106,1)</f>
        <v>0</v>
      </c>
      <c r="BL106" s="539" cm="1">
        <f t="array" aca="1" ref="BL106" ca="1">INDIRECT($BM$2&amp;BL$7&amp;$BI106,1)</f>
        <v>0</v>
      </c>
      <c r="BM106" s="539" cm="1">
        <f t="array" aca="1" ref="BM106" ca="1">INDIRECT($BM$2&amp;BM$7&amp;$BI106,1)</f>
        <v>0</v>
      </c>
      <c r="BN106" s="539" cm="1">
        <f t="array" aca="1" ref="BN106" ca="1">INDIRECT($BM$2&amp;BN$7&amp;$BI106,1)</f>
        <v>0</v>
      </c>
      <c r="BO106" s="539" t="str">
        <f ca="1">IFERROR(BK106/BK$106,"-")</f>
        <v>-</v>
      </c>
      <c r="BQ106" s="20"/>
      <c r="BR106" s="469">
        <v>1</v>
      </c>
      <c r="BS106" s="539" t="s">
        <v>8043</v>
      </c>
      <c r="BT106" s="539">
        <f>BT101+$BO$6</f>
        <v>461</v>
      </c>
      <c r="BU106" s="539" cm="1">
        <f t="array" aca="1" ref="BU106" ca="1">INDIRECT($BM$2&amp;BU$7&amp;$BT106,1)</f>
        <v>0</v>
      </c>
      <c r="BV106" s="539" cm="1">
        <f t="array" aca="1" ref="BV106" ca="1">INDIRECT($BM$2&amp;BV$7&amp;$BT106,1)</f>
        <v>0</v>
      </c>
      <c r="BW106" s="539" cm="1">
        <f t="array" aca="1" ref="BW106" ca="1">INDIRECT($BM$2&amp;BW$7&amp;$BT106,1)</f>
        <v>0</v>
      </c>
      <c r="BX106" s="539" cm="1">
        <f t="array" aca="1" ref="BX106" ca="1">INDIRECT($BM$2&amp;BX$7&amp;$BT106,1)</f>
        <v>0</v>
      </c>
      <c r="BY106" s="539" cm="1">
        <f t="array" aca="1" ref="BY106" ca="1">INDIRECT($BM$2&amp;BY$7&amp;$BT106,1)</f>
        <v>0</v>
      </c>
      <c r="BZ106" s="539" t="str">
        <f ca="1">IFERROR(BV106/BV$106,"-")</f>
        <v>-</v>
      </c>
      <c r="CC106" s="469">
        <v>1</v>
      </c>
      <c r="CD106" s="539" t="s">
        <v>8043</v>
      </c>
      <c r="CE106" s="539">
        <f>CE101+$BO$6</f>
        <v>807</v>
      </c>
      <c r="CF106" s="539" cm="1">
        <f t="array" aca="1" ref="CF106" ca="1">INDIRECT($BM$2&amp;CF$7&amp;$CE106,1)</f>
        <v>0</v>
      </c>
      <c r="CG106" s="539" cm="1">
        <f t="array" aca="1" ref="CG106" ca="1">INDIRECT($BM$2&amp;CG$7&amp;$CE106,1)</f>
        <v>0</v>
      </c>
      <c r="CH106" s="539" cm="1">
        <f t="array" aca="1" ref="CH106" ca="1">INDIRECT($BM$2&amp;CH$7&amp;$CE106,1)</f>
        <v>0</v>
      </c>
      <c r="CI106" s="539" cm="1">
        <f t="array" aca="1" ref="CI106" ca="1">INDIRECT($BM$2&amp;CI$7&amp;$CE106,1)</f>
        <v>0</v>
      </c>
      <c r="CJ106" s="539" cm="1">
        <f t="array" aca="1" ref="CJ106" ca="1">INDIRECT($BM$2&amp;CJ$7&amp;$CE106,1)</f>
        <v>0</v>
      </c>
      <c r="CK106" s="539" t="str">
        <f ca="1">IFERROR(CG106/CG$106,"-")</f>
        <v>-</v>
      </c>
      <c r="CU106" s="469" t="s">
        <v>5510</v>
      </c>
      <c r="CV106" s="22">
        <v>6</v>
      </c>
      <c r="CW106" s="522">
        <f t="shared" si="83"/>
        <v>140</v>
      </c>
      <c r="CX106" s="22" cm="1">
        <f t="array" aca="1" ref="CX106" ca="1">INDIRECT($DD$2&amp;CX$28&amp;$CW106)</f>
        <v>0</v>
      </c>
      <c r="CY106" s="22" cm="1">
        <f t="array" aca="1" ref="CY106" ca="1">INDIRECT($DD$2&amp;CY$28&amp;$CW106)</f>
        <v>0</v>
      </c>
      <c r="CZ106" s="22" cm="1">
        <f t="array" aca="1" ref="CZ106" ca="1">INDIRECT($DD$2&amp;CZ$28&amp;$CW106)</f>
        <v>0</v>
      </c>
      <c r="DA106" s="22" cm="1">
        <f t="array" aca="1" ref="DA106" ca="1">INDIRECT($DD$2&amp;DA$28&amp;$CW106)</f>
        <v>0</v>
      </c>
      <c r="DB106" s="22" cm="1">
        <f t="array" aca="1" ref="DB106" ca="1">INDIRECT($DD$2&amp;DB$28&amp;$CW106)</f>
        <v>0</v>
      </c>
      <c r="DC106" s="22" cm="1">
        <f t="array" aca="1" ref="DC106" ca="1">INDIRECT($DD$2&amp;DC$28&amp;$CW106)</f>
        <v>0</v>
      </c>
      <c r="DD106" s="22" t="str">
        <f t="shared" ca="1" si="81"/>
        <v/>
      </c>
      <c r="DE106" s="22" t="str">
        <f t="shared" ca="1" si="82"/>
        <v/>
      </c>
      <c r="EQ106" s="469" t="s">
        <v>5510</v>
      </c>
      <c r="GC106" s="472" t="s">
        <v>5510</v>
      </c>
      <c r="HN106" s="20"/>
      <c r="HP106" s="472"/>
    </row>
    <row r="107" spans="14:224" x14ac:dyDescent="0.25">
      <c r="N107" s="20"/>
      <c r="Y107" s="20"/>
      <c r="AV107" s="469" t="s">
        <v>5510</v>
      </c>
      <c r="BF107" s="469" t="s">
        <v>5510</v>
      </c>
      <c r="BH107" s="539" t="s">
        <v>8043</v>
      </c>
      <c r="BI107" s="539">
        <f>BI106+1</f>
        <v>116</v>
      </c>
      <c r="BJ107" s="539" cm="1">
        <f t="array" aca="1" ref="BJ107" ca="1">INDIRECT($BM$2&amp;BJ$7&amp;$BI107,1)</f>
        <v>0</v>
      </c>
      <c r="BK107" s="539" cm="1">
        <f t="array" aca="1" ref="BK107" ca="1">INDIRECT($BM$2&amp;BK$7&amp;$BI107,1)</f>
        <v>0</v>
      </c>
      <c r="BL107" s="539" cm="1">
        <f t="array" aca="1" ref="BL107" ca="1">INDIRECT($BM$2&amp;BL$7&amp;$BI107,1)</f>
        <v>0</v>
      </c>
      <c r="BM107" s="539" cm="1">
        <f t="array" aca="1" ref="BM107" ca="1">INDIRECT($BM$2&amp;BM$7&amp;$BI107,1)</f>
        <v>0</v>
      </c>
      <c r="BN107" s="539" cm="1">
        <f t="array" aca="1" ref="BN107" ca="1">INDIRECT($BM$2&amp;BN$7&amp;$BI107,1)</f>
        <v>0</v>
      </c>
      <c r="BO107" s="539" t="str">
        <f t="shared" ref="BO107:BO117" ca="1" si="84">IF(BK107=0,"-",IFERROR(BK107/BK$106,"-"))</f>
        <v>-</v>
      </c>
      <c r="BQ107" s="20"/>
      <c r="BR107" s="469">
        <v>2</v>
      </c>
      <c r="BS107" s="539" t="s">
        <v>8043</v>
      </c>
      <c r="BT107" s="539">
        <f>BT106+1</f>
        <v>462</v>
      </c>
      <c r="BU107" s="539" cm="1">
        <f t="array" aca="1" ref="BU107" ca="1">INDIRECT($BM$2&amp;BU$7&amp;$BT107,1)</f>
        <v>0</v>
      </c>
      <c r="BV107" s="539" cm="1">
        <f t="array" aca="1" ref="BV107" ca="1">INDIRECT($BM$2&amp;BV$7&amp;$BT107,1)</f>
        <v>0</v>
      </c>
      <c r="BW107" s="539" cm="1">
        <f t="array" aca="1" ref="BW107" ca="1">INDIRECT($BM$2&amp;BW$7&amp;$BT107,1)</f>
        <v>0</v>
      </c>
      <c r="BX107" s="539" cm="1">
        <f t="array" aca="1" ref="BX107" ca="1">INDIRECT($BM$2&amp;BX$7&amp;$BT107,1)</f>
        <v>0</v>
      </c>
      <c r="BY107" s="539" cm="1">
        <f t="array" aca="1" ref="BY107" ca="1">INDIRECT($BM$2&amp;BY$7&amp;$BT107,1)</f>
        <v>0</v>
      </c>
      <c r="BZ107" s="539" t="str">
        <f t="shared" ref="BZ107:BZ117" ca="1" si="85">IF(BV107=0,"-",IFERROR(BV107/BV$106,"-"))</f>
        <v>-</v>
      </c>
      <c r="CC107" s="469">
        <v>2</v>
      </c>
      <c r="CD107" s="539" t="s">
        <v>8043</v>
      </c>
      <c r="CE107" s="539">
        <f>CE106+1</f>
        <v>808</v>
      </c>
      <c r="CF107" s="539" cm="1">
        <f t="array" aca="1" ref="CF107" ca="1">INDIRECT($BM$2&amp;CF$7&amp;$CE107,1)</f>
        <v>0</v>
      </c>
      <c r="CG107" s="539" cm="1">
        <f t="array" aca="1" ref="CG107" ca="1">INDIRECT($BM$2&amp;CG$7&amp;$CE107,1)</f>
        <v>0</v>
      </c>
      <c r="CH107" s="539" cm="1">
        <f t="array" aca="1" ref="CH107" ca="1">INDIRECT($BM$2&amp;CH$7&amp;$CE107,1)</f>
        <v>0</v>
      </c>
      <c r="CI107" s="539" cm="1">
        <f t="array" aca="1" ref="CI107" ca="1">INDIRECT($BM$2&amp;CI$7&amp;$CE107,1)</f>
        <v>0</v>
      </c>
      <c r="CJ107" s="539" cm="1">
        <f t="array" aca="1" ref="CJ107" ca="1">INDIRECT($BM$2&amp;CJ$7&amp;$CE107,1)</f>
        <v>0</v>
      </c>
      <c r="CK107" s="539" t="str">
        <f t="shared" ref="CK107:CK117" ca="1" si="86">IF(CG107=0,"-",IFERROR(CG107/CG$106,"-"))</f>
        <v>-</v>
      </c>
      <c r="CU107" s="469" t="s">
        <v>5510</v>
      </c>
      <c r="CV107" s="22">
        <v>6</v>
      </c>
      <c r="CW107" s="522">
        <f t="shared" si="83"/>
        <v>141</v>
      </c>
      <c r="CX107" s="22" cm="1">
        <f t="array" aca="1" ref="CX107" ca="1">INDIRECT($DD$2&amp;CX$28&amp;$CW107)</f>
        <v>0</v>
      </c>
      <c r="CY107" s="22" cm="1">
        <f t="array" aca="1" ref="CY107" ca="1">INDIRECT($DD$2&amp;CY$28&amp;$CW107)</f>
        <v>0</v>
      </c>
      <c r="CZ107" s="22" cm="1">
        <f t="array" aca="1" ref="CZ107" ca="1">INDIRECT($DD$2&amp;CZ$28&amp;$CW107)</f>
        <v>0</v>
      </c>
      <c r="DA107" s="22" cm="1">
        <f t="array" aca="1" ref="DA107" ca="1">INDIRECT($DD$2&amp;DA$28&amp;$CW107)</f>
        <v>0</v>
      </c>
      <c r="DB107" s="22" cm="1">
        <f t="array" aca="1" ref="DB107" ca="1">INDIRECT($DD$2&amp;DB$28&amp;$CW107)</f>
        <v>0</v>
      </c>
      <c r="DC107" s="22" cm="1">
        <f t="array" aca="1" ref="DC107" ca="1">INDIRECT($DD$2&amp;DC$28&amp;$CW107)</f>
        <v>0</v>
      </c>
      <c r="DD107" s="22" t="str">
        <f t="shared" ca="1" si="81"/>
        <v/>
      </c>
      <c r="DE107" s="22" t="str">
        <f t="shared" ca="1" si="82"/>
        <v/>
      </c>
      <c r="EQ107" s="469" t="s">
        <v>5510</v>
      </c>
      <c r="GC107" s="472" t="s">
        <v>5510</v>
      </c>
      <c r="HN107" s="20"/>
      <c r="HP107" s="472"/>
    </row>
    <row r="108" spans="14:224" x14ac:dyDescent="0.25">
      <c r="N108" s="20"/>
      <c r="Y108" s="20"/>
      <c r="AV108" s="469" t="s">
        <v>5510</v>
      </c>
      <c r="BF108" s="469" t="s">
        <v>5510</v>
      </c>
      <c r="BH108" s="539" t="s">
        <v>8043</v>
      </c>
      <c r="BI108" s="539">
        <f t="shared" ref="BI108:BI117" si="87">BI107+1</f>
        <v>117</v>
      </c>
      <c r="BJ108" s="539" cm="1">
        <f t="array" aca="1" ref="BJ108" ca="1">INDIRECT($BM$2&amp;BJ$7&amp;$BI108,1)</f>
        <v>0</v>
      </c>
      <c r="BK108" s="539" cm="1">
        <f t="array" aca="1" ref="BK108" ca="1">INDIRECT($BM$2&amp;BK$7&amp;$BI108,1)</f>
        <v>0</v>
      </c>
      <c r="BL108" s="539" cm="1">
        <f t="array" aca="1" ref="BL108" ca="1">INDIRECT($BM$2&amp;BL$7&amp;$BI108,1)</f>
        <v>0</v>
      </c>
      <c r="BM108" s="539" cm="1">
        <f t="array" aca="1" ref="BM108" ca="1">INDIRECT($BM$2&amp;BM$7&amp;$BI108,1)</f>
        <v>0</v>
      </c>
      <c r="BN108" s="539" cm="1">
        <f t="array" aca="1" ref="BN108" ca="1">INDIRECT($BM$2&amp;BN$7&amp;$BI108,1)</f>
        <v>0</v>
      </c>
      <c r="BO108" s="539" t="str">
        <f t="shared" ca="1" si="84"/>
        <v>-</v>
      </c>
      <c r="BQ108" s="20"/>
      <c r="BR108" s="469">
        <v>3</v>
      </c>
      <c r="BS108" s="539" t="s">
        <v>8043</v>
      </c>
      <c r="BT108" s="539">
        <f t="shared" ref="BT108:BT117" si="88">BT107+1</f>
        <v>463</v>
      </c>
      <c r="BU108" s="539" cm="1">
        <f t="array" aca="1" ref="BU108" ca="1">INDIRECT($BM$2&amp;BU$7&amp;$BT108,1)</f>
        <v>0</v>
      </c>
      <c r="BV108" s="539" cm="1">
        <f t="array" aca="1" ref="BV108" ca="1">INDIRECT($BM$2&amp;BV$7&amp;$BT108,1)</f>
        <v>0</v>
      </c>
      <c r="BW108" s="539" cm="1">
        <f t="array" aca="1" ref="BW108" ca="1">INDIRECT($BM$2&amp;BW$7&amp;$BT108,1)</f>
        <v>0</v>
      </c>
      <c r="BX108" s="539" cm="1">
        <f t="array" aca="1" ref="BX108" ca="1">INDIRECT($BM$2&amp;BX$7&amp;$BT108,1)</f>
        <v>0</v>
      </c>
      <c r="BY108" s="539" cm="1">
        <f t="array" aca="1" ref="BY108" ca="1">INDIRECT($BM$2&amp;BY$7&amp;$BT108,1)</f>
        <v>0</v>
      </c>
      <c r="BZ108" s="539" t="str">
        <f t="shared" ca="1" si="85"/>
        <v>-</v>
      </c>
      <c r="CC108" s="469">
        <v>3</v>
      </c>
      <c r="CD108" s="539" t="s">
        <v>8043</v>
      </c>
      <c r="CE108" s="539">
        <f t="shared" ref="CE108:CE117" si="89">CE107+1</f>
        <v>809</v>
      </c>
      <c r="CF108" s="539" cm="1">
        <f t="array" aca="1" ref="CF108" ca="1">INDIRECT($BM$2&amp;CF$7&amp;$CE108,1)</f>
        <v>0</v>
      </c>
      <c r="CG108" s="539" cm="1">
        <f t="array" aca="1" ref="CG108" ca="1">INDIRECT($BM$2&amp;CG$7&amp;$CE108,1)</f>
        <v>0</v>
      </c>
      <c r="CH108" s="539" cm="1">
        <f t="array" aca="1" ref="CH108" ca="1">INDIRECT($BM$2&amp;CH$7&amp;$CE108,1)</f>
        <v>0</v>
      </c>
      <c r="CI108" s="539" cm="1">
        <f t="array" aca="1" ref="CI108" ca="1">INDIRECT($BM$2&amp;CI$7&amp;$CE108,1)</f>
        <v>0</v>
      </c>
      <c r="CJ108" s="539" cm="1">
        <f t="array" aca="1" ref="CJ108" ca="1">INDIRECT($BM$2&amp;CJ$7&amp;$CE108,1)</f>
        <v>0</v>
      </c>
      <c r="CK108" s="539" t="str">
        <f t="shared" ca="1" si="86"/>
        <v>-</v>
      </c>
      <c r="CU108" s="469" t="s">
        <v>5510</v>
      </c>
      <c r="CV108" s="22">
        <v>6</v>
      </c>
      <c r="CW108" s="522">
        <f t="shared" si="83"/>
        <v>142</v>
      </c>
      <c r="CX108" s="22" cm="1">
        <f t="array" aca="1" ref="CX108" ca="1">INDIRECT($DD$2&amp;CX$28&amp;$CW108)</f>
        <v>0</v>
      </c>
      <c r="CY108" s="22" cm="1">
        <f t="array" aca="1" ref="CY108" ca="1">INDIRECT($DD$2&amp;CY$28&amp;$CW108)</f>
        <v>0</v>
      </c>
      <c r="CZ108" s="22" cm="1">
        <f t="array" aca="1" ref="CZ108" ca="1">INDIRECT($DD$2&amp;CZ$28&amp;$CW108)</f>
        <v>0</v>
      </c>
      <c r="DA108" s="22" cm="1">
        <f t="array" aca="1" ref="DA108" ca="1">INDIRECT($DD$2&amp;DA$28&amp;$CW108)</f>
        <v>0</v>
      </c>
      <c r="DB108" s="22" cm="1">
        <f t="array" aca="1" ref="DB108" ca="1">INDIRECT($DD$2&amp;DB$28&amp;$CW108)</f>
        <v>0</v>
      </c>
      <c r="DC108" s="22" cm="1">
        <f t="array" aca="1" ref="DC108" ca="1">INDIRECT($DD$2&amp;DC$28&amp;$CW108)</f>
        <v>0</v>
      </c>
      <c r="DD108" s="22" t="str">
        <f t="shared" ca="1" si="81"/>
        <v/>
      </c>
      <c r="DE108" s="22" t="str">
        <f t="shared" ca="1" si="82"/>
        <v/>
      </c>
      <c r="EQ108" s="469" t="s">
        <v>5510</v>
      </c>
      <c r="GC108" s="472" t="s">
        <v>5510</v>
      </c>
      <c r="HN108" s="20"/>
      <c r="HP108" s="472"/>
    </row>
    <row r="109" spans="14:224" x14ac:dyDescent="0.25">
      <c r="N109" s="20"/>
      <c r="Y109" s="20"/>
      <c r="AV109" s="469" t="s">
        <v>5510</v>
      </c>
      <c r="BF109" s="469" t="s">
        <v>5510</v>
      </c>
      <c r="BH109" s="539" t="s">
        <v>8043</v>
      </c>
      <c r="BI109" s="539">
        <f t="shared" si="87"/>
        <v>118</v>
      </c>
      <c r="BJ109" s="539" cm="1">
        <f t="array" aca="1" ref="BJ109" ca="1">INDIRECT($BM$2&amp;BJ$7&amp;$BI109,1)</f>
        <v>0</v>
      </c>
      <c r="BK109" s="539" cm="1">
        <f t="array" aca="1" ref="BK109" ca="1">INDIRECT($BM$2&amp;BK$7&amp;$BI109,1)</f>
        <v>0</v>
      </c>
      <c r="BL109" s="539" cm="1">
        <f t="array" aca="1" ref="BL109" ca="1">INDIRECT($BM$2&amp;BL$7&amp;$BI109,1)</f>
        <v>0</v>
      </c>
      <c r="BM109" s="539" cm="1">
        <f t="array" aca="1" ref="BM109" ca="1">INDIRECT($BM$2&amp;BM$7&amp;$BI109,1)</f>
        <v>0</v>
      </c>
      <c r="BN109" s="539" cm="1">
        <f t="array" aca="1" ref="BN109" ca="1">INDIRECT($BM$2&amp;BN$7&amp;$BI109,1)</f>
        <v>0</v>
      </c>
      <c r="BO109" s="539" t="str">
        <f t="shared" ca="1" si="84"/>
        <v>-</v>
      </c>
      <c r="BQ109" s="20"/>
      <c r="BR109" s="469">
        <v>4</v>
      </c>
      <c r="BS109" s="539" t="s">
        <v>8043</v>
      </c>
      <c r="BT109" s="539">
        <f t="shared" si="88"/>
        <v>464</v>
      </c>
      <c r="BU109" s="539" cm="1">
        <f t="array" aca="1" ref="BU109" ca="1">INDIRECT($BM$2&amp;BU$7&amp;$BT109,1)</f>
        <v>0</v>
      </c>
      <c r="BV109" s="539" cm="1">
        <f t="array" aca="1" ref="BV109" ca="1">INDIRECT($BM$2&amp;BV$7&amp;$BT109,1)</f>
        <v>0</v>
      </c>
      <c r="BW109" s="539" cm="1">
        <f t="array" aca="1" ref="BW109" ca="1">INDIRECT($BM$2&amp;BW$7&amp;$BT109,1)</f>
        <v>0</v>
      </c>
      <c r="BX109" s="539" cm="1">
        <f t="array" aca="1" ref="BX109" ca="1">INDIRECT($BM$2&amp;BX$7&amp;$BT109,1)</f>
        <v>0</v>
      </c>
      <c r="BY109" s="539" cm="1">
        <f t="array" aca="1" ref="BY109" ca="1">INDIRECT($BM$2&amp;BY$7&amp;$BT109,1)</f>
        <v>0</v>
      </c>
      <c r="BZ109" s="539" t="str">
        <f t="shared" ca="1" si="85"/>
        <v>-</v>
      </c>
      <c r="CC109" s="469">
        <v>4</v>
      </c>
      <c r="CD109" s="539" t="s">
        <v>8043</v>
      </c>
      <c r="CE109" s="539">
        <f t="shared" si="89"/>
        <v>810</v>
      </c>
      <c r="CF109" s="539" cm="1">
        <f t="array" aca="1" ref="CF109" ca="1">INDIRECT($BM$2&amp;CF$7&amp;$CE109,1)</f>
        <v>0</v>
      </c>
      <c r="CG109" s="539" cm="1">
        <f t="array" aca="1" ref="CG109" ca="1">INDIRECT($BM$2&amp;CG$7&amp;$CE109,1)</f>
        <v>0</v>
      </c>
      <c r="CH109" s="539" cm="1">
        <f t="array" aca="1" ref="CH109" ca="1">INDIRECT($BM$2&amp;CH$7&amp;$CE109,1)</f>
        <v>0</v>
      </c>
      <c r="CI109" s="539" cm="1">
        <f t="array" aca="1" ref="CI109" ca="1">INDIRECT($BM$2&amp;CI$7&amp;$CE109,1)</f>
        <v>0</v>
      </c>
      <c r="CJ109" s="539" cm="1">
        <f t="array" aca="1" ref="CJ109" ca="1">INDIRECT($BM$2&amp;CJ$7&amp;$CE109,1)</f>
        <v>0</v>
      </c>
      <c r="CK109" s="539" t="str">
        <f t="shared" ca="1" si="86"/>
        <v>-</v>
      </c>
      <c r="CU109" s="469" t="s">
        <v>5510</v>
      </c>
      <c r="CV109" s="22">
        <v>6</v>
      </c>
      <c r="CW109" s="522">
        <f t="shared" si="83"/>
        <v>143</v>
      </c>
      <c r="CX109" s="22" cm="1">
        <f t="array" aca="1" ref="CX109" ca="1">INDIRECT($DD$2&amp;CX$28&amp;$CW109)</f>
        <v>0</v>
      </c>
      <c r="CY109" s="22" cm="1">
        <f t="array" aca="1" ref="CY109" ca="1">INDIRECT($DD$2&amp;CY$28&amp;$CW109)</f>
        <v>0</v>
      </c>
      <c r="CZ109" s="22" cm="1">
        <f t="array" aca="1" ref="CZ109" ca="1">INDIRECT($DD$2&amp;CZ$28&amp;$CW109)</f>
        <v>0</v>
      </c>
      <c r="DA109" s="22" cm="1">
        <f t="array" aca="1" ref="DA109" ca="1">INDIRECT($DD$2&amp;DA$28&amp;$CW109)</f>
        <v>0</v>
      </c>
      <c r="DB109" s="22" cm="1">
        <f t="array" aca="1" ref="DB109" ca="1">INDIRECT($DD$2&amp;DB$28&amp;$CW109)</f>
        <v>0</v>
      </c>
      <c r="DC109" s="22" cm="1">
        <f t="array" aca="1" ref="DC109" ca="1">INDIRECT($DD$2&amp;DC$28&amp;$CW109)</f>
        <v>0</v>
      </c>
      <c r="DD109" s="22" t="str">
        <f t="shared" ca="1" si="81"/>
        <v/>
      </c>
      <c r="DE109" s="22" t="str">
        <f t="shared" ca="1" si="82"/>
        <v/>
      </c>
      <c r="EQ109" s="469" t="s">
        <v>5510</v>
      </c>
      <c r="GC109" s="472" t="s">
        <v>5510</v>
      </c>
      <c r="HN109" s="20"/>
      <c r="HP109" s="472"/>
    </row>
    <row r="110" spans="14:224" x14ac:dyDescent="0.25">
      <c r="N110" s="20"/>
      <c r="AV110" s="469" t="s">
        <v>5510</v>
      </c>
      <c r="BF110" s="469" t="s">
        <v>5510</v>
      </c>
      <c r="BH110" s="539" t="s">
        <v>8043</v>
      </c>
      <c r="BI110" s="539">
        <f t="shared" si="87"/>
        <v>119</v>
      </c>
      <c r="BJ110" s="539" cm="1">
        <f t="array" aca="1" ref="BJ110" ca="1">INDIRECT($BM$2&amp;BJ$7&amp;$BI110,1)</f>
        <v>0</v>
      </c>
      <c r="BK110" s="539" cm="1">
        <f t="array" aca="1" ref="BK110" ca="1">INDIRECT($BM$2&amp;BK$7&amp;$BI110,1)</f>
        <v>0</v>
      </c>
      <c r="BL110" s="539" cm="1">
        <f t="array" aca="1" ref="BL110" ca="1">INDIRECT($BM$2&amp;BL$7&amp;$BI110,1)</f>
        <v>0</v>
      </c>
      <c r="BM110" s="539" cm="1">
        <f t="array" aca="1" ref="BM110" ca="1">INDIRECT($BM$2&amp;BM$7&amp;$BI110,1)</f>
        <v>0</v>
      </c>
      <c r="BN110" s="539" cm="1">
        <f t="array" aca="1" ref="BN110" ca="1">INDIRECT($BM$2&amp;BN$7&amp;$BI110,1)</f>
        <v>0</v>
      </c>
      <c r="BO110" s="539" t="str">
        <f t="shared" ca="1" si="84"/>
        <v>-</v>
      </c>
      <c r="BQ110" s="20"/>
      <c r="BR110" s="469">
        <v>5</v>
      </c>
      <c r="BS110" s="539" t="s">
        <v>8043</v>
      </c>
      <c r="BT110" s="539">
        <f t="shared" si="88"/>
        <v>465</v>
      </c>
      <c r="BU110" s="539" cm="1">
        <f t="array" aca="1" ref="BU110" ca="1">INDIRECT($BM$2&amp;BU$7&amp;$BT110,1)</f>
        <v>0</v>
      </c>
      <c r="BV110" s="539" cm="1">
        <f t="array" aca="1" ref="BV110" ca="1">INDIRECT($BM$2&amp;BV$7&amp;$BT110,1)</f>
        <v>0</v>
      </c>
      <c r="BW110" s="539" cm="1">
        <f t="array" aca="1" ref="BW110" ca="1">INDIRECT($BM$2&amp;BW$7&amp;$BT110,1)</f>
        <v>0</v>
      </c>
      <c r="BX110" s="539" cm="1">
        <f t="array" aca="1" ref="BX110" ca="1">INDIRECT($BM$2&amp;BX$7&amp;$BT110,1)</f>
        <v>0</v>
      </c>
      <c r="BY110" s="539" cm="1">
        <f t="array" aca="1" ref="BY110" ca="1">INDIRECT($BM$2&amp;BY$7&amp;$BT110,1)</f>
        <v>0</v>
      </c>
      <c r="BZ110" s="539" t="str">
        <f t="shared" ca="1" si="85"/>
        <v>-</v>
      </c>
      <c r="CC110" s="469">
        <v>5</v>
      </c>
      <c r="CD110" s="539" t="s">
        <v>8043</v>
      </c>
      <c r="CE110" s="539">
        <f t="shared" si="89"/>
        <v>811</v>
      </c>
      <c r="CF110" s="539" cm="1">
        <f t="array" aca="1" ref="CF110" ca="1">INDIRECT($BM$2&amp;CF$7&amp;$CE110,1)</f>
        <v>0</v>
      </c>
      <c r="CG110" s="539" cm="1">
        <f t="array" aca="1" ref="CG110" ca="1">INDIRECT($BM$2&amp;CG$7&amp;$CE110,1)</f>
        <v>0</v>
      </c>
      <c r="CH110" s="539" cm="1">
        <f t="array" aca="1" ref="CH110" ca="1">INDIRECT($BM$2&amp;CH$7&amp;$CE110,1)</f>
        <v>0</v>
      </c>
      <c r="CI110" s="539" cm="1">
        <f t="array" aca="1" ref="CI110" ca="1">INDIRECT($BM$2&amp;CI$7&amp;$CE110,1)</f>
        <v>0</v>
      </c>
      <c r="CJ110" s="539" cm="1">
        <f t="array" aca="1" ref="CJ110" ca="1">INDIRECT($BM$2&amp;CJ$7&amp;$CE110,1)</f>
        <v>0</v>
      </c>
      <c r="CK110" s="539" t="str">
        <f t="shared" ca="1" si="86"/>
        <v>-</v>
      </c>
      <c r="CU110" s="469" t="s">
        <v>5510</v>
      </c>
      <c r="CV110" s="22">
        <v>6</v>
      </c>
      <c r="CW110" s="522">
        <f t="shared" si="83"/>
        <v>144</v>
      </c>
      <c r="CX110" s="22" cm="1">
        <f t="array" aca="1" ref="CX110" ca="1">INDIRECT($DD$2&amp;CX$28&amp;$CW110)</f>
        <v>0</v>
      </c>
      <c r="CY110" s="22" cm="1">
        <f t="array" aca="1" ref="CY110" ca="1">INDIRECT($DD$2&amp;CY$28&amp;$CW110)</f>
        <v>0</v>
      </c>
      <c r="CZ110" s="22" cm="1">
        <f t="array" aca="1" ref="CZ110" ca="1">INDIRECT($DD$2&amp;CZ$28&amp;$CW110)</f>
        <v>0</v>
      </c>
      <c r="DA110" s="22" cm="1">
        <f t="array" aca="1" ref="DA110" ca="1">INDIRECT($DD$2&amp;DA$28&amp;$CW110)</f>
        <v>0</v>
      </c>
      <c r="DB110" s="22" cm="1">
        <f t="array" aca="1" ref="DB110" ca="1">INDIRECT($DD$2&amp;DB$28&amp;$CW110)</f>
        <v>0</v>
      </c>
      <c r="DC110" s="22" cm="1">
        <f t="array" aca="1" ref="DC110" ca="1">INDIRECT($DD$2&amp;DC$28&amp;$CW110)</f>
        <v>0</v>
      </c>
      <c r="DD110" s="22" t="str">
        <f t="shared" ca="1" si="81"/>
        <v/>
      </c>
      <c r="DE110" s="22" t="str">
        <f t="shared" ca="1" si="82"/>
        <v/>
      </c>
      <c r="EQ110" s="469" t="s">
        <v>5510</v>
      </c>
      <c r="GC110" s="472" t="s">
        <v>5510</v>
      </c>
      <c r="HN110" s="20"/>
      <c r="HP110" s="472"/>
    </row>
    <row r="111" spans="14:224" x14ac:dyDescent="0.25">
      <c r="N111" s="20"/>
      <c r="AV111" s="469" t="s">
        <v>5510</v>
      </c>
      <c r="BF111" s="469" t="s">
        <v>5510</v>
      </c>
      <c r="BH111" s="539" t="s">
        <v>8043</v>
      </c>
      <c r="BI111" s="539">
        <f t="shared" si="87"/>
        <v>120</v>
      </c>
      <c r="BJ111" s="539" cm="1">
        <f t="array" aca="1" ref="BJ111" ca="1">INDIRECT($BM$2&amp;BJ$7&amp;$BI111,1)</f>
        <v>0</v>
      </c>
      <c r="BK111" s="539" cm="1">
        <f t="array" aca="1" ref="BK111" ca="1">INDIRECT($BM$2&amp;BK$7&amp;$BI111,1)</f>
        <v>0</v>
      </c>
      <c r="BL111" s="539" cm="1">
        <f t="array" aca="1" ref="BL111" ca="1">INDIRECT($BM$2&amp;BL$7&amp;$BI111,1)</f>
        <v>0</v>
      </c>
      <c r="BM111" s="539" cm="1">
        <f t="array" aca="1" ref="BM111" ca="1">INDIRECT($BM$2&amp;BM$7&amp;$BI111,1)</f>
        <v>0</v>
      </c>
      <c r="BN111" s="539" cm="1">
        <f t="array" aca="1" ref="BN111" ca="1">INDIRECT($BM$2&amp;BN$7&amp;$BI111,1)</f>
        <v>0</v>
      </c>
      <c r="BO111" s="539" t="str">
        <f t="shared" ca="1" si="84"/>
        <v>-</v>
      </c>
      <c r="BQ111" s="20"/>
      <c r="BR111" s="469">
        <v>6</v>
      </c>
      <c r="BS111" s="539" t="s">
        <v>8043</v>
      </c>
      <c r="BT111" s="539">
        <f t="shared" si="88"/>
        <v>466</v>
      </c>
      <c r="BU111" s="539" cm="1">
        <f t="array" aca="1" ref="BU111" ca="1">INDIRECT($BM$2&amp;BU$7&amp;$BT111,1)</f>
        <v>0</v>
      </c>
      <c r="BV111" s="539" cm="1">
        <f t="array" aca="1" ref="BV111" ca="1">INDIRECT($BM$2&amp;BV$7&amp;$BT111,1)</f>
        <v>0</v>
      </c>
      <c r="BW111" s="539" cm="1">
        <f t="array" aca="1" ref="BW111" ca="1">INDIRECT($BM$2&amp;BW$7&amp;$BT111,1)</f>
        <v>0</v>
      </c>
      <c r="BX111" s="539" cm="1">
        <f t="array" aca="1" ref="BX111" ca="1">INDIRECT($BM$2&amp;BX$7&amp;$BT111,1)</f>
        <v>0</v>
      </c>
      <c r="BY111" s="539" cm="1">
        <f t="array" aca="1" ref="BY111" ca="1">INDIRECT($BM$2&amp;BY$7&amp;$BT111,1)</f>
        <v>0</v>
      </c>
      <c r="BZ111" s="539" t="str">
        <f t="shared" ca="1" si="85"/>
        <v>-</v>
      </c>
      <c r="CC111" s="469">
        <v>6</v>
      </c>
      <c r="CD111" s="539" t="s">
        <v>8043</v>
      </c>
      <c r="CE111" s="539">
        <f t="shared" si="89"/>
        <v>812</v>
      </c>
      <c r="CF111" s="539" cm="1">
        <f t="array" aca="1" ref="CF111" ca="1">INDIRECT($BM$2&amp;CF$7&amp;$CE111,1)</f>
        <v>0</v>
      </c>
      <c r="CG111" s="539" cm="1">
        <f t="array" aca="1" ref="CG111" ca="1">INDIRECT($BM$2&amp;CG$7&amp;$CE111,1)</f>
        <v>0</v>
      </c>
      <c r="CH111" s="539" cm="1">
        <f t="array" aca="1" ref="CH111" ca="1">INDIRECT($BM$2&amp;CH$7&amp;$CE111,1)</f>
        <v>0</v>
      </c>
      <c r="CI111" s="539" cm="1">
        <f t="array" aca="1" ref="CI111" ca="1">INDIRECT($BM$2&amp;CI$7&amp;$CE111,1)</f>
        <v>0</v>
      </c>
      <c r="CJ111" s="539" cm="1">
        <f t="array" aca="1" ref="CJ111" ca="1">INDIRECT($BM$2&amp;CJ$7&amp;$CE111,1)</f>
        <v>0</v>
      </c>
      <c r="CK111" s="539" t="str">
        <f t="shared" ca="1" si="86"/>
        <v>-</v>
      </c>
      <c r="CU111" s="469" t="s">
        <v>5510</v>
      </c>
      <c r="EQ111" s="469" t="s">
        <v>5510</v>
      </c>
      <c r="GC111" s="472" t="s">
        <v>5510</v>
      </c>
      <c r="HN111" s="20"/>
      <c r="HP111" s="472"/>
    </row>
    <row r="112" spans="14:224" x14ac:dyDescent="0.25">
      <c r="N112" s="20"/>
      <c r="AV112" s="469" t="s">
        <v>5510</v>
      </c>
      <c r="BF112" s="469" t="s">
        <v>5510</v>
      </c>
      <c r="BH112" s="539" t="s">
        <v>8043</v>
      </c>
      <c r="BI112" s="539">
        <f t="shared" si="87"/>
        <v>121</v>
      </c>
      <c r="BJ112" s="539" cm="1">
        <f t="array" aca="1" ref="BJ112" ca="1">INDIRECT($BM$2&amp;BJ$7&amp;$BI112,1)</f>
        <v>0</v>
      </c>
      <c r="BK112" s="539" cm="1">
        <f t="array" aca="1" ref="BK112" ca="1">INDIRECT($BM$2&amp;BK$7&amp;$BI112,1)</f>
        <v>0</v>
      </c>
      <c r="BL112" s="539" cm="1">
        <f t="array" aca="1" ref="BL112" ca="1">INDIRECT($BM$2&amp;BL$7&amp;$BI112,1)</f>
        <v>0</v>
      </c>
      <c r="BM112" s="539" cm="1">
        <f t="array" aca="1" ref="BM112" ca="1">INDIRECT($BM$2&amp;BM$7&amp;$BI112,1)</f>
        <v>0</v>
      </c>
      <c r="BN112" s="539" cm="1">
        <f t="array" aca="1" ref="BN112" ca="1">INDIRECT($BM$2&amp;BN$7&amp;$BI112,1)</f>
        <v>0</v>
      </c>
      <c r="BO112" s="539" t="str">
        <f t="shared" ca="1" si="84"/>
        <v>-</v>
      </c>
      <c r="BQ112" s="20"/>
      <c r="BR112" s="469">
        <v>7</v>
      </c>
      <c r="BS112" s="539" t="s">
        <v>8043</v>
      </c>
      <c r="BT112" s="539">
        <f t="shared" si="88"/>
        <v>467</v>
      </c>
      <c r="BU112" s="539" cm="1">
        <f t="array" aca="1" ref="BU112" ca="1">INDIRECT($BM$2&amp;BU$7&amp;$BT112,1)</f>
        <v>0</v>
      </c>
      <c r="BV112" s="539" cm="1">
        <f t="array" aca="1" ref="BV112" ca="1">INDIRECT($BM$2&amp;BV$7&amp;$BT112,1)</f>
        <v>0</v>
      </c>
      <c r="BW112" s="539" cm="1">
        <f t="array" aca="1" ref="BW112" ca="1">INDIRECT($BM$2&amp;BW$7&amp;$BT112,1)</f>
        <v>0</v>
      </c>
      <c r="BX112" s="539" cm="1">
        <f t="array" aca="1" ref="BX112" ca="1">INDIRECT($BM$2&amp;BX$7&amp;$BT112,1)</f>
        <v>0</v>
      </c>
      <c r="BY112" s="539" cm="1">
        <f t="array" aca="1" ref="BY112" ca="1">INDIRECT($BM$2&amp;BY$7&amp;$BT112,1)</f>
        <v>0</v>
      </c>
      <c r="BZ112" s="539" t="str">
        <f t="shared" ca="1" si="85"/>
        <v>-</v>
      </c>
      <c r="CC112" s="469">
        <v>7</v>
      </c>
      <c r="CD112" s="539" t="s">
        <v>8043</v>
      </c>
      <c r="CE112" s="539">
        <f t="shared" si="89"/>
        <v>813</v>
      </c>
      <c r="CF112" s="539" cm="1">
        <f t="array" aca="1" ref="CF112" ca="1">INDIRECT($BM$2&amp;CF$7&amp;$CE112,1)</f>
        <v>0</v>
      </c>
      <c r="CG112" s="539" cm="1">
        <f t="array" aca="1" ref="CG112" ca="1">INDIRECT($BM$2&amp;CG$7&amp;$CE112,1)</f>
        <v>0</v>
      </c>
      <c r="CH112" s="539" cm="1">
        <f t="array" aca="1" ref="CH112" ca="1">INDIRECT($BM$2&amp;CH$7&amp;$CE112,1)</f>
        <v>0</v>
      </c>
      <c r="CI112" s="539" cm="1">
        <f t="array" aca="1" ref="CI112" ca="1">INDIRECT($BM$2&amp;CI$7&amp;$CE112,1)</f>
        <v>0</v>
      </c>
      <c r="CJ112" s="539" cm="1">
        <f t="array" aca="1" ref="CJ112" ca="1">INDIRECT($BM$2&amp;CJ$7&amp;$CE112,1)</f>
        <v>0</v>
      </c>
      <c r="CK112" s="539" t="str">
        <f t="shared" ca="1" si="86"/>
        <v>-</v>
      </c>
      <c r="CU112" s="469" t="s">
        <v>5510</v>
      </c>
      <c r="EQ112" s="469" t="s">
        <v>5510</v>
      </c>
      <c r="GC112" s="472" t="s">
        <v>5510</v>
      </c>
      <c r="HN112" s="20"/>
      <c r="HP112" s="472"/>
    </row>
    <row r="113" spans="1:224" x14ac:dyDescent="0.25">
      <c r="N113" s="20"/>
      <c r="AV113" s="469" t="s">
        <v>5510</v>
      </c>
      <c r="BF113" s="469" t="s">
        <v>5510</v>
      </c>
      <c r="BH113" s="539" t="s">
        <v>8043</v>
      </c>
      <c r="BI113" s="539">
        <f t="shared" si="87"/>
        <v>122</v>
      </c>
      <c r="BJ113" s="539" cm="1">
        <f t="array" aca="1" ref="BJ113" ca="1">INDIRECT($BM$2&amp;BJ$7&amp;$BI113,1)</f>
        <v>0</v>
      </c>
      <c r="BK113" s="539" cm="1">
        <f t="array" aca="1" ref="BK113" ca="1">INDIRECT($BM$2&amp;BK$7&amp;$BI113,1)</f>
        <v>0</v>
      </c>
      <c r="BL113" s="539" cm="1">
        <f t="array" aca="1" ref="BL113" ca="1">INDIRECT($BM$2&amp;BL$7&amp;$BI113,1)</f>
        <v>0</v>
      </c>
      <c r="BM113" s="539" cm="1">
        <f t="array" aca="1" ref="BM113" ca="1">INDIRECT($BM$2&amp;BM$7&amp;$BI113,1)</f>
        <v>0</v>
      </c>
      <c r="BN113" s="539" cm="1">
        <f t="array" aca="1" ref="BN113" ca="1">INDIRECT($BM$2&amp;BN$7&amp;$BI113,1)</f>
        <v>0</v>
      </c>
      <c r="BO113" s="539" t="str">
        <f t="shared" ca="1" si="84"/>
        <v>-</v>
      </c>
      <c r="BQ113" s="20"/>
      <c r="BR113" s="469">
        <v>8</v>
      </c>
      <c r="BS113" s="539" t="s">
        <v>8043</v>
      </c>
      <c r="BT113" s="539">
        <f t="shared" si="88"/>
        <v>468</v>
      </c>
      <c r="BU113" s="539" cm="1">
        <f t="array" aca="1" ref="BU113" ca="1">INDIRECT($BM$2&amp;BU$7&amp;$BT113,1)</f>
        <v>0</v>
      </c>
      <c r="BV113" s="539" cm="1">
        <f t="array" aca="1" ref="BV113" ca="1">INDIRECT($BM$2&amp;BV$7&amp;$BT113,1)</f>
        <v>0</v>
      </c>
      <c r="BW113" s="539" cm="1">
        <f t="array" aca="1" ref="BW113" ca="1">INDIRECT($BM$2&amp;BW$7&amp;$BT113,1)</f>
        <v>0</v>
      </c>
      <c r="BX113" s="539" cm="1">
        <f t="array" aca="1" ref="BX113" ca="1">INDIRECT($BM$2&amp;BX$7&amp;$BT113,1)</f>
        <v>0</v>
      </c>
      <c r="BY113" s="539" cm="1">
        <f t="array" aca="1" ref="BY113" ca="1">INDIRECT($BM$2&amp;BY$7&amp;$BT113,1)</f>
        <v>0</v>
      </c>
      <c r="BZ113" s="539" t="str">
        <f t="shared" ca="1" si="85"/>
        <v>-</v>
      </c>
      <c r="CC113" s="469">
        <v>8</v>
      </c>
      <c r="CD113" s="539" t="s">
        <v>8043</v>
      </c>
      <c r="CE113" s="539">
        <f t="shared" si="89"/>
        <v>814</v>
      </c>
      <c r="CF113" s="539" cm="1">
        <f t="array" aca="1" ref="CF113" ca="1">INDIRECT($BM$2&amp;CF$7&amp;$CE113,1)</f>
        <v>0</v>
      </c>
      <c r="CG113" s="539" cm="1">
        <f t="array" aca="1" ref="CG113" ca="1">INDIRECT($BM$2&amp;CG$7&amp;$CE113,1)</f>
        <v>0</v>
      </c>
      <c r="CH113" s="539" cm="1">
        <f t="array" aca="1" ref="CH113" ca="1">INDIRECT($BM$2&amp;CH$7&amp;$CE113,1)</f>
        <v>0</v>
      </c>
      <c r="CI113" s="539" cm="1">
        <f t="array" aca="1" ref="CI113" ca="1">INDIRECT($BM$2&amp;CI$7&amp;$CE113,1)</f>
        <v>0</v>
      </c>
      <c r="CJ113" s="539" cm="1">
        <f t="array" aca="1" ref="CJ113" ca="1">INDIRECT($BM$2&amp;CJ$7&amp;$CE113,1)</f>
        <v>0</v>
      </c>
      <c r="CK113" s="539" t="str">
        <f t="shared" ca="1" si="86"/>
        <v>-</v>
      </c>
      <c r="CU113" s="469" t="s">
        <v>5510</v>
      </c>
      <c r="EQ113" s="469" t="s">
        <v>5510</v>
      </c>
      <c r="GC113" s="472" t="s">
        <v>5510</v>
      </c>
      <c r="HN113" s="20"/>
      <c r="HP113" s="472"/>
    </row>
    <row r="114" spans="1:224" x14ac:dyDescent="0.25">
      <c r="N114" s="20"/>
      <c r="AV114" s="469" t="s">
        <v>5510</v>
      </c>
      <c r="BF114" s="469" t="s">
        <v>5510</v>
      </c>
      <c r="BH114" s="539" t="s">
        <v>8043</v>
      </c>
      <c r="BI114" s="539">
        <f t="shared" si="87"/>
        <v>123</v>
      </c>
      <c r="BJ114" s="539" cm="1">
        <f t="array" aca="1" ref="BJ114" ca="1">INDIRECT($BM$2&amp;BJ$7&amp;$BI114,1)</f>
        <v>0</v>
      </c>
      <c r="BK114" s="539" cm="1">
        <f t="array" aca="1" ref="BK114" ca="1">INDIRECT($BM$2&amp;BK$7&amp;$BI114,1)</f>
        <v>0</v>
      </c>
      <c r="BL114" s="539" cm="1">
        <f t="array" aca="1" ref="BL114" ca="1">INDIRECT($BM$2&amp;BL$7&amp;$BI114,1)</f>
        <v>0</v>
      </c>
      <c r="BM114" s="539" cm="1">
        <f t="array" aca="1" ref="BM114" ca="1">INDIRECT($BM$2&amp;BM$7&amp;$BI114,1)</f>
        <v>0</v>
      </c>
      <c r="BN114" s="539" cm="1">
        <f t="array" aca="1" ref="BN114" ca="1">INDIRECT($BM$2&amp;BN$7&amp;$BI114,1)</f>
        <v>0</v>
      </c>
      <c r="BO114" s="539" t="str">
        <f t="shared" ca="1" si="84"/>
        <v>-</v>
      </c>
      <c r="BQ114" s="20"/>
      <c r="BR114" s="469">
        <v>9</v>
      </c>
      <c r="BS114" s="539" t="s">
        <v>8043</v>
      </c>
      <c r="BT114" s="539">
        <f t="shared" si="88"/>
        <v>469</v>
      </c>
      <c r="BU114" s="539" cm="1">
        <f t="array" aca="1" ref="BU114" ca="1">INDIRECT($BM$2&amp;BU$7&amp;$BT114,1)</f>
        <v>0</v>
      </c>
      <c r="BV114" s="539" cm="1">
        <f t="array" aca="1" ref="BV114" ca="1">INDIRECT($BM$2&amp;BV$7&amp;$BT114,1)</f>
        <v>0</v>
      </c>
      <c r="BW114" s="539" cm="1">
        <f t="array" aca="1" ref="BW114" ca="1">INDIRECT($BM$2&amp;BW$7&amp;$BT114,1)</f>
        <v>0</v>
      </c>
      <c r="BX114" s="539" cm="1">
        <f t="array" aca="1" ref="BX114" ca="1">INDIRECT($BM$2&amp;BX$7&amp;$BT114,1)</f>
        <v>0</v>
      </c>
      <c r="BY114" s="539" cm="1">
        <f t="array" aca="1" ref="BY114" ca="1">INDIRECT($BM$2&amp;BY$7&amp;$BT114,1)</f>
        <v>0</v>
      </c>
      <c r="BZ114" s="539" t="str">
        <f t="shared" ca="1" si="85"/>
        <v>-</v>
      </c>
      <c r="CC114" s="469">
        <v>9</v>
      </c>
      <c r="CD114" s="539" t="s">
        <v>8043</v>
      </c>
      <c r="CE114" s="539">
        <f t="shared" si="89"/>
        <v>815</v>
      </c>
      <c r="CF114" s="539" cm="1">
        <f t="array" aca="1" ref="CF114" ca="1">INDIRECT($BM$2&amp;CF$7&amp;$CE114,1)</f>
        <v>0</v>
      </c>
      <c r="CG114" s="539" cm="1">
        <f t="array" aca="1" ref="CG114" ca="1">INDIRECT($BM$2&amp;CG$7&amp;$CE114,1)</f>
        <v>0</v>
      </c>
      <c r="CH114" s="539" cm="1">
        <f t="array" aca="1" ref="CH114" ca="1">INDIRECT($BM$2&amp;CH$7&amp;$CE114,1)</f>
        <v>0</v>
      </c>
      <c r="CI114" s="539" cm="1">
        <f t="array" aca="1" ref="CI114" ca="1">INDIRECT($BM$2&amp;CI$7&amp;$CE114,1)</f>
        <v>0</v>
      </c>
      <c r="CJ114" s="539" cm="1">
        <f t="array" aca="1" ref="CJ114" ca="1">INDIRECT($BM$2&amp;CJ$7&amp;$CE114,1)</f>
        <v>0</v>
      </c>
      <c r="CK114" s="539" t="str">
        <f t="shared" ca="1" si="86"/>
        <v>-</v>
      </c>
      <c r="CU114" s="469" t="s">
        <v>5510</v>
      </c>
      <c r="EQ114" s="469" t="s">
        <v>5510</v>
      </c>
      <c r="GC114" s="472" t="s">
        <v>5510</v>
      </c>
      <c r="HN114" s="20"/>
      <c r="HP114" s="472"/>
    </row>
    <row r="115" spans="1:224" x14ac:dyDescent="0.25">
      <c r="N115" s="20"/>
      <c r="AV115" s="469" t="s">
        <v>5510</v>
      </c>
      <c r="BF115" s="469" t="s">
        <v>5510</v>
      </c>
      <c r="BH115" s="539" t="s">
        <v>8043</v>
      </c>
      <c r="BI115" s="539">
        <f t="shared" si="87"/>
        <v>124</v>
      </c>
      <c r="BJ115" s="539" cm="1">
        <f t="array" aca="1" ref="BJ115" ca="1">INDIRECT($BM$2&amp;BJ$7&amp;$BI115,1)</f>
        <v>0</v>
      </c>
      <c r="BK115" s="539" cm="1">
        <f t="array" aca="1" ref="BK115" ca="1">INDIRECT($BM$2&amp;BK$7&amp;$BI115,1)</f>
        <v>0</v>
      </c>
      <c r="BL115" s="539" cm="1">
        <f t="array" aca="1" ref="BL115" ca="1">INDIRECT($BM$2&amp;BL$7&amp;$BI115,1)</f>
        <v>0</v>
      </c>
      <c r="BM115" s="539" cm="1">
        <f t="array" aca="1" ref="BM115" ca="1">INDIRECT($BM$2&amp;BM$7&amp;$BI115,1)</f>
        <v>0</v>
      </c>
      <c r="BN115" s="539" cm="1">
        <f t="array" aca="1" ref="BN115" ca="1">INDIRECT($BM$2&amp;BN$7&amp;$BI115,1)</f>
        <v>0</v>
      </c>
      <c r="BO115" s="539" t="str">
        <f t="shared" ca="1" si="84"/>
        <v>-</v>
      </c>
      <c r="BQ115" s="20"/>
      <c r="BR115" s="469">
        <v>10</v>
      </c>
      <c r="BS115" s="539" t="s">
        <v>8043</v>
      </c>
      <c r="BT115" s="539">
        <f t="shared" si="88"/>
        <v>470</v>
      </c>
      <c r="BU115" s="539" cm="1">
        <f t="array" aca="1" ref="BU115" ca="1">INDIRECT($BM$2&amp;BU$7&amp;$BT115,1)</f>
        <v>0</v>
      </c>
      <c r="BV115" s="539" cm="1">
        <f t="array" aca="1" ref="BV115" ca="1">INDIRECT($BM$2&amp;BV$7&amp;$BT115,1)</f>
        <v>0</v>
      </c>
      <c r="BW115" s="539" cm="1">
        <f t="array" aca="1" ref="BW115" ca="1">INDIRECT($BM$2&amp;BW$7&amp;$BT115,1)</f>
        <v>0</v>
      </c>
      <c r="BX115" s="539" cm="1">
        <f t="array" aca="1" ref="BX115" ca="1">INDIRECT($BM$2&amp;BX$7&amp;$BT115,1)</f>
        <v>0</v>
      </c>
      <c r="BY115" s="539" cm="1">
        <f t="array" aca="1" ref="BY115" ca="1">INDIRECT($BM$2&amp;BY$7&amp;$BT115,1)</f>
        <v>0</v>
      </c>
      <c r="BZ115" s="539" t="str">
        <f t="shared" ca="1" si="85"/>
        <v>-</v>
      </c>
      <c r="CC115" s="469">
        <v>10</v>
      </c>
      <c r="CD115" s="539" t="s">
        <v>8043</v>
      </c>
      <c r="CE115" s="539">
        <f t="shared" si="89"/>
        <v>816</v>
      </c>
      <c r="CF115" s="539" cm="1">
        <f t="array" aca="1" ref="CF115" ca="1">INDIRECT($BM$2&amp;CF$7&amp;$CE115,1)</f>
        <v>0</v>
      </c>
      <c r="CG115" s="539" cm="1">
        <f t="array" aca="1" ref="CG115" ca="1">INDIRECT($BM$2&amp;CG$7&amp;$CE115,1)</f>
        <v>0</v>
      </c>
      <c r="CH115" s="539" cm="1">
        <f t="array" aca="1" ref="CH115" ca="1">INDIRECT($BM$2&amp;CH$7&amp;$CE115,1)</f>
        <v>0</v>
      </c>
      <c r="CI115" s="539" cm="1">
        <f t="array" aca="1" ref="CI115" ca="1">INDIRECT($BM$2&amp;CI$7&amp;$CE115,1)</f>
        <v>0</v>
      </c>
      <c r="CJ115" s="539" cm="1">
        <f t="array" aca="1" ref="CJ115" ca="1">INDIRECT($BM$2&amp;CJ$7&amp;$CE115,1)</f>
        <v>0</v>
      </c>
      <c r="CK115" s="539" t="str">
        <f t="shared" ca="1" si="86"/>
        <v>-</v>
      </c>
      <c r="CU115" s="469" t="s">
        <v>5510</v>
      </c>
      <c r="EQ115" s="469" t="s">
        <v>5510</v>
      </c>
      <c r="GC115" s="472" t="s">
        <v>5510</v>
      </c>
      <c r="HN115" s="20"/>
      <c r="HP115" s="472"/>
    </row>
    <row r="116" spans="1:224" x14ac:dyDescent="0.25">
      <c r="N116" s="20"/>
      <c r="AV116" s="469" t="s">
        <v>5510</v>
      </c>
      <c r="BF116" s="469" t="s">
        <v>5510</v>
      </c>
      <c r="BH116" s="539" t="s">
        <v>8043</v>
      </c>
      <c r="BI116" s="539">
        <f t="shared" si="87"/>
        <v>125</v>
      </c>
      <c r="BJ116" s="539" cm="1">
        <f t="array" aca="1" ref="BJ116" ca="1">INDIRECT($BM$2&amp;BJ$7&amp;$BI116,1)</f>
        <v>0</v>
      </c>
      <c r="BK116" s="539" cm="1">
        <f t="array" aca="1" ref="BK116" ca="1">INDIRECT($BM$2&amp;BK$7&amp;$BI116,1)</f>
        <v>0</v>
      </c>
      <c r="BL116" s="539" cm="1">
        <f t="array" aca="1" ref="BL116" ca="1">INDIRECT($BM$2&amp;BL$7&amp;$BI116,1)</f>
        <v>0</v>
      </c>
      <c r="BM116" s="539" cm="1">
        <f t="array" aca="1" ref="BM116" ca="1">INDIRECT($BM$2&amp;BM$7&amp;$BI116,1)</f>
        <v>0</v>
      </c>
      <c r="BN116" s="539" cm="1">
        <f t="array" aca="1" ref="BN116" ca="1">INDIRECT($BM$2&amp;BN$7&amp;$BI116,1)</f>
        <v>0</v>
      </c>
      <c r="BO116" s="539" t="str">
        <f t="shared" ca="1" si="84"/>
        <v>-</v>
      </c>
      <c r="BQ116" s="20"/>
      <c r="BR116" s="469">
        <v>11</v>
      </c>
      <c r="BS116" s="539" t="s">
        <v>8043</v>
      </c>
      <c r="BT116" s="539">
        <f t="shared" si="88"/>
        <v>471</v>
      </c>
      <c r="BU116" s="539" cm="1">
        <f t="array" aca="1" ref="BU116" ca="1">INDIRECT($BM$2&amp;BU$7&amp;$BT116,1)</f>
        <v>0</v>
      </c>
      <c r="BV116" s="539" cm="1">
        <f t="array" aca="1" ref="BV116" ca="1">INDIRECT($BM$2&amp;BV$7&amp;$BT116,1)</f>
        <v>0</v>
      </c>
      <c r="BW116" s="539" cm="1">
        <f t="array" aca="1" ref="BW116" ca="1">INDIRECT($BM$2&amp;BW$7&amp;$BT116,1)</f>
        <v>0</v>
      </c>
      <c r="BX116" s="539" cm="1">
        <f t="array" aca="1" ref="BX116" ca="1">INDIRECT($BM$2&amp;BX$7&amp;$BT116,1)</f>
        <v>0</v>
      </c>
      <c r="BY116" s="539" cm="1">
        <f t="array" aca="1" ref="BY116" ca="1">INDIRECT($BM$2&amp;BY$7&amp;$BT116,1)</f>
        <v>0</v>
      </c>
      <c r="BZ116" s="539" t="str">
        <f t="shared" ca="1" si="85"/>
        <v>-</v>
      </c>
      <c r="CC116" s="469">
        <v>11</v>
      </c>
      <c r="CD116" s="539" t="s">
        <v>8043</v>
      </c>
      <c r="CE116" s="539">
        <f t="shared" si="89"/>
        <v>817</v>
      </c>
      <c r="CF116" s="539" cm="1">
        <f t="array" aca="1" ref="CF116" ca="1">INDIRECT($BM$2&amp;CF$7&amp;$CE116,1)</f>
        <v>0</v>
      </c>
      <c r="CG116" s="539" cm="1">
        <f t="array" aca="1" ref="CG116" ca="1">INDIRECT($BM$2&amp;CG$7&amp;$CE116,1)</f>
        <v>0</v>
      </c>
      <c r="CH116" s="539" cm="1">
        <f t="array" aca="1" ref="CH116" ca="1">INDIRECT($BM$2&amp;CH$7&amp;$CE116,1)</f>
        <v>0</v>
      </c>
      <c r="CI116" s="539" cm="1">
        <f t="array" aca="1" ref="CI116" ca="1">INDIRECT($BM$2&amp;CI$7&amp;$CE116,1)</f>
        <v>0</v>
      </c>
      <c r="CJ116" s="539" cm="1">
        <f t="array" aca="1" ref="CJ116" ca="1">INDIRECT($BM$2&amp;CJ$7&amp;$CE116,1)</f>
        <v>0</v>
      </c>
      <c r="CK116" s="539" t="str">
        <f t="shared" ca="1" si="86"/>
        <v>-</v>
      </c>
      <c r="CU116" s="469" t="s">
        <v>5510</v>
      </c>
      <c r="EQ116" s="469" t="s">
        <v>5510</v>
      </c>
      <c r="GC116" s="472" t="s">
        <v>5510</v>
      </c>
      <c r="HN116" s="20"/>
      <c r="HP116" s="472"/>
    </row>
    <row r="117" spans="1:224" x14ac:dyDescent="0.25">
      <c r="N117" s="20"/>
      <c r="AV117" s="469" t="s">
        <v>5510</v>
      </c>
      <c r="BF117" s="469" t="s">
        <v>5510</v>
      </c>
      <c r="BH117" s="539" t="s">
        <v>8043</v>
      </c>
      <c r="BI117" s="539">
        <f t="shared" si="87"/>
        <v>126</v>
      </c>
      <c r="BJ117" s="539" cm="1">
        <f t="array" aca="1" ref="BJ117" ca="1">INDIRECT($BM$2&amp;BJ$7&amp;$BI117,1)</f>
        <v>0</v>
      </c>
      <c r="BK117" s="539" cm="1">
        <f t="array" aca="1" ref="BK117" ca="1">INDIRECT($BM$2&amp;BK$7&amp;$BI117,1)</f>
        <v>0</v>
      </c>
      <c r="BL117" s="539" cm="1">
        <f t="array" aca="1" ref="BL117" ca="1">INDIRECT($BM$2&amp;BL$7&amp;$BI117,1)</f>
        <v>0</v>
      </c>
      <c r="BM117" s="539" cm="1">
        <f t="array" aca="1" ref="BM117" ca="1">INDIRECT($BM$2&amp;BM$7&amp;$BI117,1)</f>
        <v>0</v>
      </c>
      <c r="BN117" s="539" t="str" cm="1">
        <f t="array" aca="1" ref="BN117" ca="1">INDIRECT($BM$2&amp;BN$7&amp;$BI117,1)</f>
        <v>-</v>
      </c>
      <c r="BO117" s="539" t="str">
        <f t="shared" ca="1" si="84"/>
        <v>-</v>
      </c>
      <c r="BQ117" s="20"/>
      <c r="BR117" s="469">
        <v>12</v>
      </c>
      <c r="BS117" s="539" t="s">
        <v>8043</v>
      </c>
      <c r="BT117" s="539">
        <f t="shared" si="88"/>
        <v>472</v>
      </c>
      <c r="BU117" s="539" cm="1">
        <f t="array" aca="1" ref="BU117" ca="1">INDIRECT($BM$2&amp;BU$7&amp;$BT117,1)</f>
        <v>0</v>
      </c>
      <c r="BV117" s="539" cm="1">
        <f t="array" aca="1" ref="BV117" ca="1">INDIRECT($BM$2&amp;BV$7&amp;$BT117,1)</f>
        <v>0</v>
      </c>
      <c r="BW117" s="539" cm="1">
        <f t="array" aca="1" ref="BW117" ca="1">INDIRECT($BM$2&amp;BW$7&amp;$BT117,1)</f>
        <v>0</v>
      </c>
      <c r="BX117" s="539" cm="1">
        <f t="array" aca="1" ref="BX117" ca="1">INDIRECT($BM$2&amp;BX$7&amp;$BT117,1)</f>
        <v>0</v>
      </c>
      <c r="BY117" s="539" t="str" cm="1">
        <f t="array" aca="1" ref="BY117" ca="1">INDIRECT($BM$2&amp;BY$7&amp;$BT117,1)</f>
        <v>-</v>
      </c>
      <c r="BZ117" s="539" t="str">
        <f t="shared" ca="1" si="85"/>
        <v>-</v>
      </c>
      <c r="CC117" s="469">
        <v>12</v>
      </c>
      <c r="CD117" s="539" t="s">
        <v>8043</v>
      </c>
      <c r="CE117" s="539">
        <f t="shared" si="89"/>
        <v>818</v>
      </c>
      <c r="CF117" s="539" cm="1">
        <f t="array" aca="1" ref="CF117" ca="1">INDIRECT($BM$2&amp;CF$7&amp;$CE117,1)</f>
        <v>0</v>
      </c>
      <c r="CG117" s="539" cm="1">
        <f t="array" aca="1" ref="CG117" ca="1">INDIRECT($BM$2&amp;CG$7&amp;$CE117,1)</f>
        <v>0</v>
      </c>
      <c r="CH117" s="539" cm="1">
        <f t="array" aca="1" ref="CH117" ca="1">INDIRECT($BM$2&amp;CH$7&amp;$CE117,1)</f>
        <v>0</v>
      </c>
      <c r="CI117" s="539" cm="1">
        <f t="array" aca="1" ref="CI117" ca="1">INDIRECT($BM$2&amp;CI$7&amp;$CE117,1)</f>
        <v>0</v>
      </c>
      <c r="CJ117" s="539" t="str" cm="1">
        <f t="array" aca="1" ref="CJ117" ca="1">INDIRECT($BM$2&amp;CJ$7&amp;$CE117,1)</f>
        <v>-</v>
      </c>
      <c r="CK117" s="539" t="str">
        <f t="shared" ca="1" si="86"/>
        <v>-</v>
      </c>
      <c r="CU117" s="469" t="s">
        <v>5510</v>
      </c>
      <c r="EQ117" s="469" t="s">
        <v>5510</v>
      </c>
      <c r="GC117" s="472" t="s">
        <v>5510</v>
      </c>
      <c r="HN117" s="20"/>
      <c r="HP117" s="472"/>
    </row>
    <row r="118" spans="1:224" x14ac:dyDescent="0.25">
      <c r="N118" s="20"/>
      <c r="AV118" s="469" t="s">
        <v>5510</v>
      </c>
      <c r="BF118" s="469" t="s">
        <v>5510</v>
      </c>
      <c r="BL118" s="372"/>
      <c r="BO118" s="472"/>
      <c r="BQ118" s="20"/>
      <c r="BT118" s="372"/>
      <c r="BU118" s="472"/>
      <c r="BV118" s="472"/>
      <c r="BW118" s="372"/>
      <c r="BX118" s="472"/>
      <c r="BY118" s="372"/>
      <c r="BZ118" s="472"/>
      <c r="CE118" s="372"/>
      <c r="CF118" s="472"/>
      <c r="CG118" s="472"/>
      <c r="CH118" s="372"/>
      <c r="CI118" s="472"/>
      <c r="CJ118" s="372"/>
      <c r="CK118" s="472"/>
      <c r="CU118" s="469" t="s">
        <v>5510</v>
      </c>
      <c r="EQ118" s="469" t="s">
        <v>5510</v>
      </c>
      <c r="GC118" s="472" t="s">
        <v>5510</v>
      </c>
      <c r="HN118" s="20"/>
      <c r="HP118" s="472"/>
    </row>
    <row r="119" spans="1:224" x14ac:dyDescent="0.25">
      <c r="N119" s="20"/>
      <c r="AV119" s="469" t="s">
        <v>5510</v>
      </c>
      <c r="BF119" s="469" t="s">
        <v>5510</v>
      </c>
      <c r="BL119" s="372"/>
      <c r="BO119" s="472"/>
      <c r="BQ119" s="20"/>
      <c r="BT119" s="372"/>
      <c r="BU119" s="472"/>
      <c r="BV119" s="472"/>
      <c r="BW119" s="372"/>
      <c r="BX119" s="472"/>
      <c r="BY119" s="372"/>
      <c r="BZ119" s="472"/>
      <c r="CE119" s="372"/>
      <c r="CF119" s="472"/>
      <c r="CG119" s="472"/>
      <c r="CH119" s="372"/>
      <c r="CI119" s="472"/>
      <c r="CJ119" s="372"/>
      <c r="CK119" s="472"/>
      <c r="CU119" s="469" t="s">
        <v>5510</v>
      </c>
      <c r="EQ119" s="469" t="s">
        <v>5510</v>
      </c>
      <c r="GC119" s="472" t="s">
        <v>5510</v>
      </c>
      <c r="HN119" s="20"/>
      <c r="HP119" s="472"/>
    </row>
    <row r="120" spans="1:224" x14ac:dyDescent="0.25">
      <c r="N120" s="20"/>
      <c r="AV120" s="469" t="s">
        <v>5510</v>
      </c>
      <c r="BF120" s="469" t="s">
        <v>5510</v>
      </c>
      <c r="BQ120" s="20"/>
      <c r="BT120" s="372"/>
      <c r="BU120" s="472"/>
      <c r="BV120" s="472"/>
      <c r="BW120" s="472"/>
      <c r="BX120" s="472"/>
      <c r="BY120" s="372"/>
      <c r="BZ120" s="372"/>
      <c r="CE120" s="372"/>
      <c r="CF120" s="472"/>
      <c r="CG120" s="472"/>
      <c r="CH120" s="472"/>
      <c r="CI120" s="472"/>
      <c r="CJ120" s="372"/>
      <c r="CK120" s="372"/>
      <c r="CU120" s="469" t="s">
        <v>5510</v>
      </c>
      <c r="EQ120" s="469" t="s">
        <v>5510</v>
      </c>
      <c r="GC120" s="472" t="s">
        <v>5510</v>
      </c>
      <c r="HN120" s="20"/>
      <c r="HP120" s="472"/>
    </row>
    <row r="121" spans="1:224" x14ac:dyDescent="0.25">
      <c r="N121" s="20"/>
      <c r="AV121" s="469" t="s">
        <v>5510</v>
      </c>
      <c r="BF121" s="469" t="s">
        <v>5510</v>
      </c>
      <c r="BQ121" s="20"/>
      <c r="BT121" s="372"/>
      <c r="BU121" s="472"/>
      <c r="BV121" s="472"/>
      <c r="BW121" s="472"/>
      <c r="BX121" s="472"/>
      <c r="BY121" s="372"/>
      <c r="BZ121" s="372"/>
      <c r="CE121" s="372"/>
      <c r="CF121" s="472"/>
      <c r="CG121" s="472"/>
      <c r="CH121" s="472"/>
      <c r="CI121" s="472"/>
      <c r="CJ121" s="372"/>
      <c r="CK121" s="372"/>
      <c r="CU121" s="469" t="s">
        <v>5510</v>
      </c>
      <c r="EQ121" s="469" t="s">
        <v>5510</v>
      </c>
      <c r="GC121" s="472" t="s">
        <v>5510</v>
      </c>
      <c r="HN121" s="20"/>
      <c r="HP121" s="472"/>
    </row>
    <row r="122" spans="1:224" x14ac:dyDescent="0.25">
      <c r="N122" s="20"/>
      <c r="AV122" s="469" t="s">
        <v>5510</v>
      </c>
      <c r="BF122" s="469" t="s">
        <v>5510</v>
      </c>
      <c r="BH122" s="539" t="s">
        <v>8044</v>
      </c>
      <c r="BI122" s="539">
        <f>BI117+$BO$5</f>
        <v>132</v>
      </c>
      <c r="BJ122" s="539" cm="1">
        <f t="array" aca="1" ref="BJ122" ca="1">INDIRECT($BM$2&amp;BJ$7&amp;$BI122,1)</f>
        <v>0</v>
      </c>
      <c r="BK122" s="539" cm="1">
        <f t="array" aca="1" ref="BK122" ca="1">INDIRECT($BM$2&amp;BK$7&amp;$BI122,1)</f>
        <v>0</v>
      </c>
      <c r="BL122" s="539" cm="1">
        <f t="array" aca="1" ref="BL122" ca="1">INDIRECT($BM$2&amp;BL$7&amp;$BI122,1)</f>
        <v>0</v>
      </c>
      <c r="BM122" s="539" cm="1">
        <f t="array" aca="1" ref="BM122" ca="1">INDIRECT($BM$2&amp;BM$7&amp;$BI122,1)</f>
        <v>0</v>
      </c>
      <c r="BN122" s="539" cm="1">
        <f t="array" aca="1" ref="BN122" ca="1">INDIRECT($BM$2&amp;BN$7&amp;$BI122,1)</f>
        <v>0</v>
      </c>
      <c r="BO122" s="539" t="str">
        <f ca="1">IFERROR(BK122/BK$122,"-")</f>
        <v>-</v>
      </c>
      <c r="BQ122" s="20"/>
      <c r="BR122" s="469">
        <v>1</v>
      </c>
      <c r="BS122" s="539" t="s">
        <v>8044</v>
      </c>
      <c r="BT122" s="539">
        <f>BT117+$BO$5</f>
        <v>478</v>
      </c>
      <c r="BU122" s="539" cm="1">
        <f t="array" aca="1" ref="BU122" ca="1">INDIRECT($BM$2&amp;BU$7&amp;$BT122,1)</f>
        <v>0</v>
      </c>
      <c r="BV122" s="539" cm="1">
        <f t="array" aca="1" ref="BV122" ca="1">INDIRECT($BM$2&amp;BV$7&amp;$BT122,1)</f>
        <v>0</v>
      </c>
      <c r="BW122" s="539" cm="1">
        <f t="array" aca="1" ref="BW122" ca="1">INDIRECT($BM$2&amp;BW$7&amp;$BT122,1)</f>
        <v>0</v>
      </c>
      <c r="BX122" s="539" cm="1">
        <f t="array" aca="1" ref="BX122" ca="1">INDIRECT($BM$2&amp;BX$7&amp;$BT122,1)</f>
        <v>0</v>
      </c>
      <c r="BY122" s="539" cm="1">
        <f t="array" aca="1" ref="BY122" ca="1">INDIRECT($BM$2&amp;BY$7&amp;$BT122,1)</f>
        <v>0</v>
      </c>
      <c r="BZ122" s="539" t="str">
        <f ca="1">IFERROR(BV122/BV$122,"-")</f>
        <v>-</v>
      </c>
      <c r="CC122" s="469">
        <v>1</v>
      </c>
      <c r="CD122" s="539" t="s">
        <v>8044</v>
      </c>
      <c r="CE122" s="539">
        <f>CE117+$BO$5</f>
        <v>824</v>
      </c>
      <c r="CF122" s="539" cm="1">
        <f t="array" aca="1" ref="CF122" ca="1">INDIRECT($BM$2&amp;CF$7&amp;$CE122,1)</f>
        <v>0</v>
      </c>
      <c r="CG122" s="539" cm="1">
        <f t="array" aca="1" ref="CG122" ca="1">INDIRECT($BM$2&amp;CG$7&amp;$CE122,1)</f>
        <v>0</v>
      </c>
      <c r="CH122" s="539" cm="1">
        <f t="array" aca="1" ref="CH122" ca="1">INDIRECT($BM$2&amp;CH$7&amp;$CE122,1)</f>
        <v>0</v>
      </c>
      <c r="CI122" s="539" cm="1">
        <f t="array" aca="1" ref="CI122" ca="1">INDIRECT($BM$2&amp;CI$7&amp;$CE122,1)</f>
        <v>0</v>
      </c>
      <c r="CJ122" s="539" cm="1">
        <f t="array" aca="1" ref="CJ122" ca="1">INDIRECT($BM$2&amp;CJ$7&amp;$CE122,1)</f>
        <v>0</v>
      </c>
      <c r="CK122" s="539" t="str">
        <f ca="1">IFERROR(CG122/CG$122,"-")</f>
        <v>-</v>
      </c>
      <c r="CU122" s="469" t="s">
        <v>5510</v>
      </c>
      <c r="EQ122" s="469" t="s">
        <v>5510</v>
      </c>
      <c r="GC122" s="472" t="s">
        <v>5510</v>
      </c>
      <c r="HN122" s="20"/>
      <c r="HP122" s="472"/>
    </row>
    <row r="123" spans="1:224" x14ac:dyDescent="0.25">
      <c r="A123" s="481" t="s">
        <v>5791</v>
      </c>
      <c r="B123" s="481" t="s">
        <v>5791</v>
      </c>
      <c r="C123" s="481" t="s">
        <v>5791</v>
      </c>
      <c r="D123" s="481" t="s">
        <v>5791</v>
      </c>
      <c r="E123" s="481" t="s">
        <v>5791</v>
      </c>
      <c r="F123" s="481" t="s">
        <v>5791</v>
      </c>
      <c r="G123" s="481" t="s">
        <v>5791</v>
      </c>
      <c r="H123" s="481" t="s">
        <v>5791</v>
      </c>
      <c r="I123" s="481" t="s">
        <v>5791</v>
      </c>
      <c r="J123" s="481" t="s">
        <v>5791</v>
      </c>
      <c r="K123" s="481" t="s">
        <v>5791</v>
      </c>
      <c r="L123" s="481" t="s">
        <v>5791</v>
      </c>
      <c r="AV123" s="469" t="s">
        <v>5510</v>
      </c>
      <c r="BF123" s="469" t="s">
        <v>5510</v>
      </c>
      <c r="BH123" s="539" t="s">
        <v>8044</v>
      </c>
      <c r="BI123" s="539">
        <f>BI122+1</f>
        <v>133</v>
      </c>
      <c r="BJ123" s="539" cm="1">
        <f t="array" aca="1" ref="BJ123" ca="1">INDIRECT($BM$2&amp;BJ$7&amp;$BI123,1)</f>
        <v>0</v>
      </c>
      <c r="BK123" s="539" cm="1">
        <f t="array" aca="1" ref="BK123" ca="1">INDIRECT($BM$2&amp;BK$7&amp;$BI123,1)</f>
        <v>0</v>
      </c>
      <c r="BL123" s="539" cm="1">
        <f t="array" aca="1" ref="BL123" ca="1">INDIRECT($BM$2&amp;BL$7&amp;$BI123,1)</f>
        <v>0</v>
      </c>
      <c r="BM123" s="539" cm="1">
        <f t="array" aca="1" ref="BM123" ca="1">INDIRECT($BM$2&amp;BM$7&amp;$BI123,1)</f>
        <v>0</v>
      </c>
      <c r="BN123" s="539" cm="1">
        <f t="array" aca="1" ref="BN123" ca="1">INDIRECT($BM$2&amp;BN$7&amp;$BI123,1)</f>
        <v>0</v>
      </c>
      <c r="BO123" s="539" t="str">
        <f t="shared" ref="BO123:BO133" ca="1" si="90">IF(BK123=0,"-",IFERROR(BK123/BK$122,"-"))</f>
        <v>-</v>
      </c>
      <c r="BQ123" s="20"/>
      <c r="BR123" s="469">
        <v>2</v>
      </c>
      <c r="BS123" s="539" t="s">
        <v>8044</v>
      </c>
      <c r="BT123" s="539">
        <f>BT122+1</f>
        <v>479</v>
      </c>
      <c r="BU123" s="539" cm="1">
        <f t="array" aca="1" ref="BU123" ca="1">INDIRECT($BM$2&amp;BU$7&amp;$BT123,1)</f>
        <v>0</v>
      </c>
      <c r="BV123" s="539" cm="1">
        <f t="array" aca="1" ref="BV123" ca="1">INDIRECT($BM$2&amp;BV$7&amp;$BT123,1)</f>
        <v>0</v>
      </c>
      <c r="BW123" s="539" cm="1">
        <f t="array" aca="1" ref="BW123" ca="1">INDIRECT($BM$2&amp;BW$7&amp;$BT123,1)</f>
        <v>0</v>
      </c>
      <c r="BX123" s="539" cm="1">
        <f t="array" aca="1" ref="BX123" ca="1">INDIRECT($BM$2&amp;BX$7&amp;$BT123,1)</f>
        <v>0</v>
      </c>
      <c r="BY123" s="539" cm="1">
        <f t="array" aca="1" ref="BY123" ca="1">INDIRECT($BM$2&amp;BY$7&amp;$BT123,1)</f>
        <v>0</v>
      </c>
      <c r="BZ123" s="539" t="str">
        <f t="shared" ref="BZ123:BZ133" ca="1" si="91">IF(BV123=0,"-",IFERROR(BV123/BV$122,"-"))</f>
        <v>-</v>
      </c>
      <c r="CC123" s="469">
        <v>2</v>
      </c>
      <c r="CD123" s="539" t="s">
        <v>8044</v>
      </c>
      <c r="CE123" s="539">
        <f>CE122+1</f>
        <v>825</v>
      </c>
      <c r="CF123" s="539" cm="1">
        <f t="array" aca="1" ref="CF123" ca="1">INDIRECT($BM$2&amp;CF$7&amp;$CE123,1)</f>
        <v>0</v>
      </c>
      <c r="CG123" s="539" cm="1">
        <f t="array" aca="1" ref="CG123" ca="1">INDIRECT($BM$2&amp;CG$7&amp;$CE123,1)</f>
        <v>0</v>
      </c>
      <c r="CH123" s="539" cm="1">
        <f t="array" aca="1" ref="CH123" ca="1">INDIRECT($BM$2&amp;CH$7&amp;$CE123,1)</f>
        <v>0</v>
      </c>
      <c r="CI123" s="539" cm="1">
        <f t="array" aca="1" ref="CI123" ca="1">INDIRECT($BM$2&amp;CI$7&amp;$CE123,1)</f>
        <v>0</v>
      </c>
      <c r="CJ123" s="539" cm="1">
        <f t="array" aca="1" ref="CJ123" ca="1">INDIRECT($BM$2&amp;CJ$7&amp;$CE123,1)</f>
        <v>0</v>
      </c>
      <c r="CK123" s="539" t="str">
        <f t="shared" ref="CK123:CK133" ca="1" si="92">IF(CG123=0,"-",IFERROR(CG123/CG$122,"-"))</f>
        <v>-</v>
      </c>
      <c r="CU123" s="469" t="s">
        <v>5510</v>
      </c>
      <c r="EQ123" s="469" t="s">
        <v>5510</v>
      </c>
      <c r="GC123" s="472" t="s">
        <v>5510</v>
      </c>
      <c r="HN123" s="20"/>
      <c r="HP123" s="472"/>
    </row>
    <row r="124" spans="1:224" x14ac:dyDescent="0.25">
      <c r="AV124" s="469" t="s">
        <v>5510</v>
      </c>
      <c r="BF124" s="469" t="s">
        <v>5510</v>
      </c>
      <c r="BH124" s="539" t="s">
        <v>8044</v>
      </c>
      <c r="BI124" s="539">
        <f t="shared" ref="BI124:BI133" si="93">BI123+1</f>
        <v>134</v>
      </c>
      <c r="BJ124" s="539" cm="1">
        <f t="array" aca="1" ref="BJ124" ca="1">INDIRECT($BM$2&amp;BJ$7&amp;$BI124,1)</f>
        <v>0</v>
      </c>
      <c r="BK124" s="539" cm="1">
        <f t="array" aca="1" ref="BK124" ca="1">INDIRECT($BM$2&amp;BK$7&amp;$BI124,1)</f>
        <v>0</v>
      </c>
      <c r="BL124" s="539" cm="1">
        <f t="array" aca="1" ref="BL124" ca="1">INDIRECT($BM$2&amp;BL$7&amp;$BI124,1)</f>
        <v>0</v>
      </c>
      <c r="BM124" s="539" cm="1">
        <f t="array" aca="1" ref="BM124" ca="1">INDIRECT($BM$2&amp;BM$7&amp;$BI124,1)</f>
        <v>0</v>
      </c>
      <c r="BN124" s="539" cm="1">
        <f t="array" aca="1" ref="BN124" ca="1">INDIRECT($BM$2&amp;BN$7&amp;$BI124,1)</f>
        <v>0</v>
      </c>
      <c r="BO124" s="539" t="str">
        <f t="shared" ca="1" si="90"/>
        <v>-</v>
      </c>
      <c r="BQ124" s="20"/>
      <c r="BR124" s="469">
        <v>3</v>
      </c>
      <c r="BS124" s="539" t="s">
        <v>8044</v>
      </c>
      <c r="BT124" s="539">
        <f t="shared" ref="BT124:BT133" si="94">BT123+1</f>
        <v>480</v>
      </c>
      <c r="BU124" s="539" cm="1">
        <f t="array" aca="1" ref="BU124" ca="1">INDIRECT($BM$2&amp;BU$7&amp;$BT124,1)</f>
        <v>0</v>
      </c>
      <c r="BV124" s="539" cm="1">
        <f t="array" aca="1" ref="BV124" ca="1">INDIRECT($BM$2&amp;BV$7&amp;$BT124,1)</f>
        <v>0</v>
      </c>
      <c r="BW124" s="539" cm="1">
        <f t="array" aca="1" ref="BW124" ca="1">INDIRECT($BM$2&amp;BW$7&amp;$BT124,1)</f>
        <v>0</v>
      </c>
      <c r="BX124" s="539" cm="1">
        <f t="array" aca="1" ref="BX124" ca="1">INDIRECT($BM$2&amp;BX$7&amp;$BT124,1)</f>
        <v>0</v>
      </c>
      <c r="BY124" s="539" cm="1">
        <f t="array" aca="1" ref="BY124" ca="1">INDIRECT($BM$2&amp;BY$7&amp;$BT124,1)</f>
        <v>0</v>
      </c>
      <c r="BZ124" s="539" t="str">
        <f t="shared" ca="1" si="91"/>
        <v>-</v>
      </c>
      <c r="CC124" s="469">
        <v>3</v>
      </c>
      <c r="CD124" s="539" t="s">
        <v>8044</v>
      </c>
      <c r="CE124" s="539">
        <f t="shared" ref="CE124:CE133" si="95">CE123+1</f>
        <v>826</v>
      </c>
      <c r="CF124" s="539" cm="1">
        <f t="array" aca="1" ref="CF124" ca="1">INDIRECT($BM$2&amp;CF$7&amp;$CE124,1)</f>
        <v>0</v>
      </c>
      <c r="CG124" s="539" cm="1">
        <f t="array" aca="1" ref="CG124" ca="1">INDIRECT($BM$2&amp;CG$7&amp;$CE124,1)</f>
        <v>0</v>
      </c>
      <c r="CH124" s="539" cm="1">
        <f t="array" aca="1" ref="CH124" ca="1">INDIRECT($BM$2&amp;CH$7&amp;$CE124,1)</f>
        <v>0</v>
      </c>
      <c r="CI124" s="539" cm="1">
        <f t="array" aca="1" ref="CI124" ca="1">INDIRECT($BM$2&amp;CI$7&amp;$CE124,1)</f>
        <v>0</v>
      </c>
      <c r="CJ124" s="539" cm="1">
        <f t="array" aca="1" ref="CJ124" ca="1">INDIRECT($BM$2&amp;CJ$7&amp;$CE124,1)</f>
        <v>0</v>
      </c>
      <c r="CK124" s="539" t="str">
        <f t="shared" ca="1" si="92"/>
        <v>-</v>
      </c>
      <c r="CU124" s="469" t="s">
        <v>5510</v>
      </c>
      <c r="EQ124" s="469" t="s">
        <v>5510</v>
      </c>
      <c r="GC124" s="472" t="s">
        <v>5510</v>
      </c>
      <c r="HN124" s="20"/>
      <c r="HP124" s="472"/>
    </row>
    <row r="125" spans="1:224" ht="15.75" thickBot="1" x14ac:dyDescent="0.3">
      <c r="A125" s="468" t="s">
        <v>5810</v>
      </c>
      <c r="B125" s="468"/>
      <c r="C125" s="468"/>
      <c r="D125" s="468"/>
      <c r="E125" s="468"/>
      <c r="F125" s="468"/>
      <c r="G125" s="468"/>
      <c r="H125" s="468"/>
      <c r="I125" s="468"/>
      <c r="AV125" s="469" t="s">
        <v>5510</v>
      </c>
      <c r="BF125" s="469" t="s">
        <v>5510</v>
      </c>
      <c r="BH125" s="539" t="s">
        <v>8044</v>
      </c>
      <c r="BI125" s="539">
        <f t="shared" si="93"/>
        <v>135</v>
      </c>
      <c r="BJ125" s="539" cm="1">
        <f t="array" aca="1" ref="BJ125" ca="1">INDIRECT($BM$2&amp;BJ$7&amp;$BI125,1)</f>
        <v>0</v>
      </c>
      <c r="BK125" s="539" cm="1">
        <f t="array" aca="1" ref="BK125" ca="1">INDIRECT($BM$2&amp;BK$7&amp;$BI125,1)</f>
        <v>0</v>
      </c>
      <c r="BL125" s="539" cm="1">
        <f t="array" aca="1" ref="BL125" ca="1">INDIRECT($BM$2&amp;BL$7&amp;$BI125,1)</f>
        <v>0</v>
      </c>
      <c r="BM125" s="539" cm="1">
        <f t="array" aca="1" ref="BM125" ca="1">INDIRECT($BM$2&amp;BM$7&amp;$BI125,1)</f>
        <v>0</v>
      </c>
      <c r="BN125" s="539" cm="1">
        <f t="array" aca="1" ref="BN125" ca="1">INDIRECT($BM$2&amp;BN$7&amp;$BI125,1)</f>
        <v>0</v>
      </c>
      <c r="BO125" s="539" t="str">
        <f t="shared" ca="1" si="90"/>
        <v>-</v>
      </c>
      <c r="BQ125" s="20"/>
      <c r="BR125" s="469">
        <v>4</v>
      </c>
      <c r="BS125" s="539" t="s">
        <v>8044</v>
      </c>
      <c r="BT125" s="539">
        <f t="shared" si="94"/>
        <v>481</v>
      </c>
      <c r="BU125" s="539" cm="1">
        <f t="array" aca="1" ref="BU125" ca="1">INDIRECT($BM$2&amp;BU$7&amp;$BT125,1)</f>
        <v>0</v>
      </c>
      <c r="BV125" s="539" cm="1">
        <f t="array" aca="1" ref="BV125" ca="1">INDIRECT($BM$2&amp;BV$7&amp;$BT125,1)</f>
        <v>0</v>
      </c>
      <c r="BW125" s="539" cm="1">
        <f t="array" aca="1" ref="BW125" ca="1">INDIRECT($BM$2&amp;BW$7&amp;$BT125,1)</f>
        <v>0</v>
      </c>
      <c r="BX125" s="539" cm="1">
        <f t="array" aca="1" ref="BX125" ca="1">INDIRECT($BM$2&amp;BX$7&amp;$BT125,1)</f>
        <v>0</v>
      </c>
      <c r="BY125" s="539" cm="1">
        <f t="array" aca="1" ref="BY125" ca="1">INDIRECT($BM$2&amp;BY$7&amp;$BT125,1)</f>
        <v>0</v>
      </c>
      <c r="BZ125" s="539" t="str">
        <f t="shared" ca="1" si="91"/>
        <v>-</v>
      </c>
      <c r="CC125" s="469">
        <v>4</v>
      </c>
      <c r="CD125" s="539" t="s">
        <v>8044</v>
      </c>
      <c r="CE125" s="539">
        <f t="shared" si="95"/>
        <v>827</v>
      </c>
      <c r="CF125" s="539" cm="1">
        <f t="array" aca="1" ref="CF125" ca="1">INDIRECT($BM$2&amp;CF$7&amp;$CE125,1)</f>
        <v>0</v>
      </c>
      <c r="CG125" s="539" cm="1">
        <f t="array" aca="1" ref="CG125" ca="1">INDIRECT($BM$2&amp;CG$7&amp;$CE125,1)</f>
        <v>0</v>
      </c>
      <c r="CH125" s="539" cm="1">
        <f t="array" aca="1" ref="CH125" ca="1">INDIRECT($BM$2&amp;CH$7&amp;$CE125,1)</f>
        <v>0</v>
      </c>
      <c r="CI125" s="539" cm="1">
        <f t="array" aca="1" ref="CI125" ca="1">INDIRECT($BM$2&amp;CI$7&amp;$CE125,1)</f>
        <v>0</v>
      </c>
      <c r="CJ125" s="539" cm="1">
        <f t="array" aca="1" ref="CJ125" ca="1">INDIRECT($BM$2&amp;CJ$7&amp;$CE125,1)</f>
        <v>0</v>
      </c>
      <c r="CK125" s="539" t="str">
        <f t="shared" ca="1" si="92"/>
        <v>-</v>
      </c>
      <c r="CU125" s="469" t="s">
        <v>5510</v>
      </c>
      <c r="EQ125" s="469" t="s">
        <v>5510</v>
      </c>
      <c r="GC125" s="472" t="s">
        <v>5510</v>
      </c>
      <c r="HN125" s="20"/>
      <c r="HP125" s="472"/>
    </row>
    <row r="126" spans="1:224" x14ac:dyDescent="0.25">
      <c r="AV126" s="469" t="s">
        <v>5510</v>
      </c>
      <c r="BF126" s="469" t="s">
        <v>5510</v>
      </c>
      <c r="BH126" s="539" t="s">
        <v>8044</v>
      </c>
      <c r="BI126" s="539">
        <f t="shared" si="93"/>
        <v>136</v>
      </c>
      <c r="BJ126" s="539" cm="1">
        <f t="array" aca="1" ref="BJ126" ca="1">INDIRECT($BM$2&amp;BJ$7&amp;$BI126,1)</f>
        <v>0</v>
      </c>
      <c r="BK126" s="539" cm="1">
        <f t="array" aca="1" ref="BK126" ca="1">INDIRECT($BM$2&amp;BK$7&amp;$BI126,1)</f>
        <v>0</v>
      </c>
      <c r="BL126" s="539" cm="1">
        <f t="array" aca="1" ref="BL126" ca="1">INDIRECT($BM$2&amp;BL$7&amp;$BI126,1)</f>
        <v>0</v>
      </c>
      <c r="BM126" s="539" cm="1">
        <f t="array" aca="1" ref="BM126" ca="1">INDIRECT($BM$2&amp;BM$7&amp;$BI126,1)</f>
        <v>0</v>
      </c>
      <c r="BN126" s="539" cm="1">
        <f t="array" aca="1" ref="BN126" ca="1">INDIRECT($BM$2&amp;BN$7&amp;$BI126,1)</f>
        <v>0</v>
      </c>
      <c r="BO126" s="539" t="str">
        <f t="shared" ca="1" si="90"/>
        <v>-</v>
      </c>
      <c r="BQ126" s="20"/>
      <c r="BR126" s="469">
        <v>5</v>
      </c>
      <c r="BS126" s="539" t="s">
        <v>8044</v>
      </c>
      <c r="BT126" s="539">
        <f t="shared" si="94"/>
        <v>482</v>
      </c>
      <c r="BU126" s="539" cm="1">
        <f t="array" aca="1" ref="BU126" ca="1">INDIRECT($BM$2&amp;BU$7&amp;$BT126,1)</f>
        <v>0</v>
      </c>
      <c r="BV126" s="539" cm="1">
        <f t="array" aca="1" ref="BV126" ca="1">INDIRECT($BM$2&amp;BV$7&amp;$BT126,1)</f>
        <v>0</v>
      </c>
      <c r="BW126" s="539" cm="1">
        <f t="array" aca="1" ref="BW126" ca="1">INDIRECT($BM$2&amp;BW$7&amp;$BT126,1)</f>
        <v>0</v>
      </c>
      <c r="BX126" s="539" cm="1">
        <f t="array" aca="1" ref="BX126" ca="1">INDIRECT($BM$2&amp;BX$7&amp;$BT126,1)</f>
        <v>0</v>
      </c>
      <c r="BY126" s="539" cm="1">
        <f t="array" aca="1" ref="BY126" ca="1">INDIRECT($BM$2&amp;BY$7&amp;$BT126,1)</f>
        <v>0</v>
      </c>
      <c r="BZ126" s="539" t="str">
        <f t="shared" ca="1" si="91"/>
        <v>-</v>
      </c>
      <c r="CC126" s="469">
        <v>5</v>
      </c>
      <c r="CD126" s="539" t="s">
        <v>8044</v>
      </c>
      <c r="CE126" s="539">
        <f t="shared" si="95"/>
        <v>828</v>
      </c>
      <c r="CF126" s="539" cm="1">
        <f t="array" aca="1" ref="CF126" ca="1">INDIRECT($BM$2&amp;CF$7&amp;$CE126,1)</f>
        <v>0</v>
      </c>
      <c r="CG126" s="539" cm="1">
        <f t="array" aca="1" ref="CG126" ca="1">INDIRECT($BM$2&amp;CG$7&amp;$CE126,1)</f>
        <v>0</v>
      </c>
      <c r="CH126" s="539" cm="1">
        <f t="array" aca="1" ref="CH126" ca="1">INDIRECT($BM$2&amp;CH$7&amp;$CE126,1)</f>
        <v>0</v>
      </c>
      <c r="CI126" s="539" cm="1">
        <f t="array" aca="1" ref="CI126" ca="1">INDIRECT($BM$2&amp;CI$7&amp;$CE126,1)</f>
        <v>0</v>
      </c>
      <c r="CJ126" s="539" cm="1">
        <f t="array" aca="1" ref="CJ126" ca="1">INDIRECT($BM$2&amp;CJ$7&amp;$CE126,1)</f>
        <v>0</v>
      </c>
      <c r="CK126" s="539" t="str">
        <f t="shared" ca="1" si="92"/>
        <v>-</v>
      </c>
      <c r="CU126" s="469" t="s">
        <v>5510</v>
      </c>
      <c r="EQ126" s="469" t="s">
        <v>5510</v>
      </c>
      <c r="GC126" s="472" t="s">
        <v>5510</v>
      </c>
      <c r="HN126" s="20"/>
      <c r="HP126" s="472"/>
    </row>
    <row r="127" spans="1:224" x14ac:dyDescent="0.25">
      <c r="B127" s="572"/>
      <c r="AV127" s="469" t="s">
        <v>5510</v>
      </c>
      <c r="BF127" s="469" t="s">
        <v>5510</v>
      </c>
      <c r="BH127" s="539" t="s">
        <v>8044</v>
      </c>
      <c r="BI127" s="539">
        <f t="shared" si="93"/>
        <v>137</v>
      </c>
      <c r="BJ127" s="539" cm="1">
        <f t="array" aca="1" ref="BJ127" ca="1">INDIRECT($BM$2&amp;BJ$7&amp;$BI127,1)</f>
        <v>0</v>
      </c>
      <c r="BK127" s="539" cm="1">
        <f t="array" aca="1" ref="BK127" ca="1">INDIRECT($BM$2&amp;BK$7&amp;$BI127,1)</f>
        <v>0</v>
      </c>
      <c r="BL127" s="539" cm="1">
        <f t="array" aca="1" ref="BL127" ca="1">INDIRECT($BM$2&amp;BL$7&amp;$BI127,1)</f>
        <v>0</v>
      </c>
      <c r="BM127" s="539" cm="1">
        <f t="array" aca="1" ref="BM127" ca="1">INDIRECT($BM$2&amp;BM$7&amp;$BI127,1)</f>
        <v>0</v>
      </c>
      <c r="BN127" s="539" cm="1">
        <f t="array" aca="1" ref="BN127" ca="1">INDIRECT($BM$2&amp;BN$7&amp;$BI127,1)</f>
        <v>0</v>
      </c>
      <c r="BO127" s="539" t="str">
        <f t="shared" ca="1" si="90"/>
        <v>-</v>
      </c>
      <c r="BQ127" s="20"/>
      <c r="BR127" s="469">
        <v>6</v>
      </c>
      <c r="BS127" s="539" t="s">
        <v>8044</v>
      </c>
      <c r="BT127" s="539">
        <f t="shared" si="94"/>
        <v>483</v>
      </c>
      <c r="BU127" s="539" cm="1">
        <f t="array" aca="1" ref="BU127" ca="1">INDIRECT($BM$2&amp;BU$7&amp;$BT127,1)</f>
        <v>0</v>
      </c>
      <c r="BV127" s="539" cm="1">
        <f t="array" aca="1" ref="BV127" ca="1">INDIRECT($BM$2&amp;BV$7&amp;$BT127,1)</f>
        <v>0</v>
      </c>
      <c r="BW127" s="539" cm="1">
        <f t="array" aca="1" ref="BW127" ca="1">INDIRECT($BM$2&amp;BW$7&amp;$BT127,1)</f>
        <v>0</v>
      </c>
      <c r="BX127" s="539" cm="1">
        <f t="array" aca="1" ref="BX127" ca="1">INDIRECT($BM$2&amp;BX$7&amp;$BT127,1)</f>
        <v>0</v>
      </c>
      <c r="BY127" s="539" cm="1">
        <f t="array" aca="1" ref="BY127" ca="1">INDIRECT($BM$2&amp;BY$7&amp;$BT127,1)</f>
        <v>0</v>
      </c>
      <c r="BZ127" s="539" t="str">
        <f t="shared" ca="1" si="91"/>
        <v>-</v>
      </c>
      <c r="CC127" s="469">
        <v>6</v>
      </c>
      <c r="CD127" s="539" t="s">
        <v>8044</v>
      </c>
      <c r="CE127" s="539">
        <f t="shared" si="95"/>
        <v>829</v>
      </c>
      <c r="CF127" s="539" cm="1">
        <f t="array" aca="1" ref="CF127" ca="1">INDIRECT($BM$2&amp;CF$7&amp;$CE127,1)</f>
        <v>0</v>
      </c>
      <c r="CG127" s="539" cm="1">
        <f t="array" aca="1" ref="CG127" ca="1">INDIRECT($BM$2&amp;CG$7&amp;$CE127,1)</f>
        <v>0</v>
      </c>
      <c r="CH127" s="539" cm="1">
        <f t="array" aca="1" ref="CH127" ca="1">INDIRECT($BM$2&amp;CH$7&amp;$CE127,1)</f>
        <v>0</v>
      </c>
      <c r="CI127" s="539" cm="1">
        <f t="array" aca="1" ref="CI127" ca="1">INDIRECT($BM$2&amp;CI$7&amp;$CE127,1)</f>
        <v>0</v>
      </c>
      <c r="CJ127" s="539" cm="1">
        <f t="array" aca="1" ref="CJ127" ca="1">INDIRECT($BM$2&amp;CJ$7&amp;$CE127,1)</f>
        <v>0</v>
      </c>
      <c r="CK127" s="539" t="str">
        <f t="shared" ca="1" si="92"/>
        <v>-</v>
      </c>
      <c r="CU127" s="469" t="s">
        <v>5510</v>
      </c>
      <c r="EQ127" s="469" t="s">
        <v>5510</v>
      </c>
      <c r="GC127" s="472" t="s">
        <v>5510</v>
      </c>
      <c r="HN127" s="20"/>
      <c r="HP127" s="472"/>
    </row>
    <row r="128" spans="1:224" x14ac:dyDescent="0.25">
      <c r="B128" s="616" t="s">
        <v>5585</v>
      </c>
      <c r="AV128" s="469" t="s">
        <v>5510</v>
      </c>
      <c r="BF128" s="469" t="s">
        <v>5510</v>
      </c>
      <c r="BH128" s="539" t="s">
        <v>8044</v>
      </c>
      <c r="BI128" s="539">
        <f t="shared" si="93"/>
        <v>138</v>
      </c>
      <c r="BJ128" s="539" cm="1">
        <f t="array" aca="1" ref="BJ128" ca="1">INDIRECT($BM$2&amp;BJ$7&amp;$BI128,1)</f>
        <v>0</v>
      </c>
      <c r="BK128" s="539" cm="1">
        <f t="array" aca="1" ref="BK128" ca="1">INDIRECT($BM$2&amp;BK$7&amp;$BI128,1)</f>
        <v>0</v>
      </c>
      <c r="BL128" s="539" cm="1">
        <f t="array" aca="1" ref="BL128" ca="1">INDIRECT($BM$2&amp;BL$7&amp;$BI128,1)</f>
        <v>0</v>
      </c>
      <c r="BM128" s="539" cm="1">
        <f t="array" aca="1" ref="BM128" ca="1">INDIRECT($BM$2&amp;BM$7&amp;$BI128,1)</f>
        <v>0</v>
      </c>
      <c r="BN128" s="539" cm="1">
        <f t="array" aca="1" ref="BN128" ca="1">INDIRECT($BM$2&amp;BN$7&amp;$BI128,1)</f>
        <v>0</v>
      </c>
      <c r="BO128" s="539" t="str">
        <f t="shared" ca="1" si="90"/>
        <v>-</v>
      </c>
      <c r="BQ128" s="20"/>
      <c r="BR128" s="469">
        <v>7</v>
      </c>
      <c r="BS128" s="539" t="s">
        <v>8044</v>
      </c>
      <c r="BT128" s="539">
        <f t="shared" si="94"/>
        <v>484</v>
      </c>
      <c r="BU128" s="539" cm="1">
        <f t="array" aca="1" ref="BU128" ca="1">INDIRECT($BM$2&amp;BU$7&amp;$BT128,1)</f>
        <v>0</v>
      </c>
      <c r="BV128" s="539" cm="1">
        <f t="array" aca="1" ref="BV128" ca="1">INDIRECT($BM$2&amp;BV$7&amp;$BT128,1)</f>
        <v>0</v>
      </c>
      <c r="BW128" s="539" cm="1">
        <f t="array" aca="1" ref="BW128" ca="1">INDIRECT($BM$2&amp;BW$7&amp;$BT128,1)</f>
        <v>0</v>
      </c>
      <c r="BX128" s="539" cm="1">
        <f t="array" aca="1" ref="BX128" ca="1">INDIRECT($BM$2&amp;BX$7&amp;$BT128,1)</f>
        <v>0</v>
      </c>
      <c r="BY128" s="539" cm="1">
        <f t="array" aca="1" ref="BY128" ca="1">INDIRECT($BM$2&amp;BY$7&amp;$BT128,1)</f>
        <v>0</v>
      </c>
      <c r="BZ128" s="539" t="str">
        <f t="shared" ca="1" si="91"/>
        <v>-</v>
      </c>
      <c r="CC128" s="469">
        <v>7</v>
      </c>
      <c r="CD128" s="539" t="s">
        <v>8044</v>
      </c>
      <c r="CE128" s="539">
        <f t="shared" si="95"/>
        <v>830</v>
      </c>
      <c r="CF128" s="539" cm="1">
        <f t="array" aca="1" ref="CF128" ca="1">INDIRECT($BM$2&amp;CF$7&amp;$CE128,1)</f>
        <v>0</v>
      </c>
      <c r="CG128" s="539" cm="1">
        <f t="array" aca="1" ref="CG128" ca="1">INDIRECT($BM$2&amp;CG$7&amp;$CE128,1)</f>
        <v>0</v>
      </c>
      <c r="CH128" s="539" cm="1">
        <f t="array" aca="1" ref="CH128" ca="1">INDIRECT($BM$2&amp;CH$7&amp;$CE128,1)</f>
        <v>0</v>
      </c>
      <c r="CI128" s="539" cm="1">
        <f t="array" aca="1" ref="CI128" ca="1">INDIRECT($BM$2&amp;CI$7&amp;$CE128,1)</f>
        <v>0</v>
      </c>
      <c r="CJ128" s="539" cm="1">
        <f t="array" aca="1" ref="CJ128" ca="1">INDIRECT($BM$2&amp;CJ$7&amp;$CE128,1)</f>
        <v>0</v>
      </c>
      <c r="CK128" s="539" t="str">
        <f t="shared" ca="1" si="92"/>
        <v>-</v>
      </c>
      <c r="CU128" s="469" t="s">
        <v>5510</v>
      </c>
      <c r="EQ128" s="469" t="s">
        <v>5510</v>
      </c>
      <c r="GC128" s="472" t="s">
        <v>5510</v>
      </c>
      <c r="HN128" s="20"/>
      <c r="HP128" s="472"/>
    </row>
    <row r="129" spans="1:224" x14ac:dyDescent="0.25">
      <c r="A129" s="631" t="s">
        <v>5811</v>
      </c>
      <c r="B129" s="426" t="str" cm="1">
        <f t="array" aca="1" ref="B129" ca="1">IF(INDIRECT(B128&amp;"N120",1)="sim","Aumento estatístico significativo"&amp;CHAR(10),"")</f>
        <v/>
      </c>
      <c r="AV129" s="469" t="s">
        <v>5510</v>
      </c>
      <c r="BF129" s="469" t="s">
        <v>5510</v>
      </c>
      <c r="BH129" s="539" t="s">
        <v>8044</v>
      </c>
      <c r="BI129" s="539">
        <f t="shared" si="93"/>
        <v>139</v>
      </c>
      <c r="BJ129" s="539" cm="1">
        <f t="array" aca="1" ref="BJ129" ca="1">INDIRECT($BM$2&amp;BJ$7&amp;$BI129,1)</f>
        <v>0</v>
      </c>
      <c r="BK129" s="539" cm="1">
        <f t="array" aca="1" ref="BK129" ca="1">INDIRECT($BM$2&amp;BK$7&amp;$BI129,1)</f>
        <v>0</v>
      </c>
      <c r="BL129" s="539" cm="1">
        <f t="array" aca="1" ref="BL129" ca="1">INDIRECT($BM$2&amp;BL$7&amp;$BI129,1)</f>
        <v>0</v>
      </c>
      <c r="BM129" s="539" cm="1">
        <f t="array" aca="1" ref="BM129" ca="1">INDIRECT($BM$2&amp;BM$7&amp;$BI129,1)</f>
        <v>0</v>
      </c>
      <c r="BN129" s="539" cm="1">
        <f t="array" aca="1" ref="BN129" ca="1">INDIRECT($BM$2&amp;BN$7&amp;$BI129,1)</f>
        <v>0</v>
      </c>
      <c r="BO129" s="539" t="str">
        <f t="shared" ca="1" si="90"/>
        <v>-</v>
      </c>
      <c r="BQ129" s="20"/>
      <c r="BR129" s="469">
        <v>8</v>
      </c>
      <c r="BS129" s="539" t="s">
        <v>8044</v>
      </c>
      <c r="BT129" s="539">
        <f t="shared" si="94"/>
        <v>485</v>
      </c>
      <c r="BU129" s="539" cm="1">
        <f t="array" aca="1" ref="BU129" ca="1">INDIRECT($BM$2&amp;BU$7&amp;$BT129,1)</f>
        <v>0</v>
      </c>
      <c r="BV129" s="539" cm="1">
        <f t="array" aca="1" ref="BV129" ca="1">INDIRECT($BM$2&amp;BV$7&amp;$BT129,1)</f>
        <v>0</v>
      </c>
      <c r="BW129" s="539" cm="1">
        <f t="array" aca="1" ref="BW129" ca="1">INDIRECT($BM$2&amp;BW$7&amp;$BT129,1)</f>
        <v>0</v>
      </c>
      <c r="BX129" s="539" cm="1">
        <f t="array" aca="1" ref="BX129" ca="1">INDIRECT($BM$2&amp;BX$7&amp;$BT129,1)</f>
        <v>0</v>
      </c>
      <c r="BY129" s="539" cm="1">
        <f t="array" aca="1" ref="BY129" ca="1">INDIRECT($BM$2&amp;BY$7&amp;$BT129,1)</f>
        <v>0</v>
      </c>
      <c r="BZ129" s="539" t="str">
        <f t="shared" ca="1" si="91"/>
        <v>-</v>
      </c>
      <c r="CC129" s="469">
        <v>8</v>
      </c>
      <c r="CD129" s="539" t="s">
        <v>8044</v>
      </c>
      <c r="CE129" s="539">
        <f t="shared" si="95"/>
        <v>831</v>
      </c>
      <c r="CF129" s="539" cm="1">
        <f t="array" aca="1" ref="CF129" ca="1">INDIRECT($BM$2&amp;CF$7&amp;$CE129,1)</f>
        <v>0</v>
      </c>
      <c r="CG129" s="539" cm="1">
        <f t="array" aca="1" ref="CG129" ca="1">INDIRECT($BM$2&amp;CG$7&amp;$CE129,1)</f>
        <v>0</v>
      </c>
      <c r="CH129" s="539" cm="1">
        <f t="array" aca="1" ref="CH129" ca="1">INDIRECT($BM$2&amp;CH$7&amp;$CE129,1)</f>
        <v>0</v>
      </c>
      <c r="CI129" s="539" cm="1">
        <f t="array" aca="1" ref="CI129" ca="1">INDIRECT($BM$2&amp;CI$7&amp;$CE129,1)</f>
        <v>0</v>
      </c>
      <c r="CJ129" s="539" cm="1">
        <f t="array" aca="1" ref="CJ129" ca="1">INDIRECT($BM$2&amp;CJ$7&amp;$CE129,1)</f>
        <v>0</v>
      </c>
      <c r="CK129" s="539" t="str">
        <f t="shared" ca="1" si="92"/>
        <v>-</v>
      </c>
      <c r="CU129" s="469" t="s">
        <v>5510</v>
      </c>
      <c r="EQ129" s="469" t="s">
        <v>5510</v>
      </c>
      <c r="GC129" s="472" t="s">
        <v>5510</v>
      </c>
      <c r="HN129" s="20"/>
      <c r="HP129" s="472"/>
    </row>
    <row r="130" spans="1:224" x14ac:dyDescent="0.25">
      <c r="A130" s="633" t="s">
        <v>5812</v>
      </c>
      <c r="B130" s="727" t="str" cm="1">
        <f t="array" aca="1" ref="B130" ca="1">IF(INDIRECT(B128&amp;"N121",1)="sim","Efeito dose-resposta"&amp;CHAR(10),"")</f>
        <v/>
      </c>
      <c r="AV130" s="469" t="s">
        <v>5510</v>
      </c>
      <c r="BF130" s="469" t="s">
        <v>5510</v>
      </c>
      <c r="BH130" s="539" t="s">
        <v>8044</v>
      </c>
      <c r="BI130" s="539">
        <f t="shared" si="93"/>
        <v>140</v>
      </c>
      <c r="BJ130" s="539" cm="1">
        <f t="array" aca="1" ref="BJ130" ca="1">INDIRECT($BM$2&amp;BJ$7&amp;$BI130,1)</f>
        <v>0</v>
      </c>
      <c r="BK130" s="539" cm="1">
        <f t="array" aca="1" ref="BK130" ca="1">INDIRECT($BM$2&amp;BK$7&amp;$BI130,1)</f>
        <v>0</v>
      </c>
      <c r="BL130" s="539" cm="1">
        <f t="array" aca="1" ref="BL130" ca="1">INDIRECT($BM$2&amp;BL$7&amp;$BI130,1)</f>
        <v>0</v>
      </c>
      <c r="BM130" s="539" cm="1">
        <f t="array" aca="1" ref="BM130" ca="1">INDIRECT($BM$2&amp;BM$7&amp;$BI130,1)</f>
        <v>0</v>
      </c>
      <c r="BN130" s="539" cm="1">
        <f t="array" aca="1" ref="BN130" ca="1">INDIRECT($BM$2&amp;BN$7&amp;$BI130,1)</f>
        <v>0</v>
      </c>
      <c r="BO130" s="539" t="str">
        <f t="shared" ca="1" si="90"/>
        <v>-</v>
      </c>
      <c r="BQ130" s="20"/>
      <c r="BR130" s="469">
        <v>9</v>
      </c>
      <c r="BS130" s="539" t="s">
        <v>8044</v>
      </c>
      <c r="BT130" s="539">
        <f t="shared" si="94"/>
        <v>486</v>
      </c>
      <c r="BU130" s="539" cm="1">
        <f t="array" aca="1" ref="BU130" ca="1">INDIRECT($BM$2&amp;BU$7&amp;$BT130,1)</f>
        <v>0</v>
      </c>
      <c r="BV130" s="539" cm="1">
        <f t="array" aca="1" ref="BV130" ca="1">INDIRECT($BM$2&amp;BV$7&amp;$BT130,1)</f>
        <v>0</v>
      </c>
      <c r="BW130" s="539" cm="1">
        <f t="array" aca="1" ref="BW130" ca="1">INDIRECT($BM$2&amp;BW$7&amp;$BT130,1)</f>
        <v>0</v>
      </c>
      <c r="BX130" s="539" cm="1">
        <f t="array" aca="1" ref="BX130" ca="1">INDIRECT($BM$2&amp;BX$7&amp;$BT130,1)</f>
        <v>0</v>
      </c>
      <c r="BY130" s="539" cm="1">
        <f t="array" aca="1" ref="BY130" ca="1">INDIRECT($BM$2&amp;BY$7&amp;$BT130,1)</f>
        <v>0</v>
      </c>
      <c r="BZ130" s="539" t="str">
        <f t="shared" ca="1" si="91"/>
        <v>-</v>
      </c>
      <c r="CC130" s="469">
        <v>9</v>
      </c>
      <c r="CD130" s="539" t="s">
        <v>8044</v>
      </c>
      <c r="CE130" s="539">
        <f t="shared" si="95"/>
        <v>832</v>
      </c>
      <c r="CF130" s="539" cm="1">
        <f t="array" aca="1" ref="CF130" ca="1">INDIRECT($BM$2&amp;CF$7&amp;$CE130,1)</f>
        <v>0</v>
      </c>
      <c r="CG130" s="539" cm="1">
        <f t="array" aca="1" ref="CG130" ca="1">INDIRECT($BM$2&amp;CG$7&amp;$CE130,1)</f>
        <v>0</v>
      </c>
      <c r="CH130" s="539" cm="1">
        <f t="array" aca="1" ref="CH130" ca="1">INDIRECT($BM$2&amp;CH$7&amp;$CE130,1)</f>
        <v>0</v>
      </c>
      <c r="CI130" s="539" cm="1">
        <f t="array" aca="1" ref="CI130" ca="1">INDIRECT($BM$2&amp;CI$7&amp;$CE130,1)</f>
        <v>0</v>
      </c>
      <c r="CJ130" s="539" cm="1">
        <f t="array" aca="1" ref="CJ130" ca="1">INDIRECT($BM$2&amp;CJ$7&amp;$CE130,1)</f>
        <v>0</v>
      </c>
      <c r="CK130" s="539" t="str">
        <f t="shared" ca="1" si="92"/>
        <v>-</v>
      </c>
      <c r="CU130" s="469" t="s">
        <v>5510</v>
      </c>
      <c r="EQ130" s="469" t="s">
        <v>5510</v>
      </c>
      <c r="GC130" s="472" t="s">
        <v>5510</v>
      </c>
      <c r="HN130" s="20"/>
      <c r="HP130" s="472"/>
    </row>
    <row r="131" spans="1:224" x14ac:dyDescent="0.25">
      <c r="A131" s="728" t="s">
        <v>5813</v>
      </c>
      <c r="B131" s="728"/>
      <c r="C131" s="20" t="s">
        <v>7054</v>
      </c>
      <c r="AV131" s="469" t="s">
        <v>5510</v>
      </c>
      <c r="BF131" s="469" t="s">
        <v>5510</v>
      </c>
      <c r="BH131" s="539" t="s">
        <v>8044</v>
      </c>
      <c r="BI131" s="539">
        <f t="shared" si="93"/>
        <v>141</v>
      </c>
      <c r="BJ131" s="539" cm="1">
        <f t="array" aca="1" ref="BJ131" ca="1">INDIRECT($BM$2&amp;BJ$7&amp;$BI131,1)</f>
        <v>0</v>
      </c>
      <c r="BK131" s="539" cm="1">
        <f t="array" aca="1" ref="BK131" ca="1">INDIRECT($BM$2&amp;BK$7&amp;$BI131,1)</f>
        <v>0</v>
      </c>
      <c r="BL131" s="539" cm="1">
        <f t="array" aca="1" ref="BL131" ca="1">INDIRECT($BM$2&amp;BL$7&amp;$BI131,1)</f>
        <v>0</v>
      </c>
      <c r="BM131" s="539" cm="1">
        <f t="array" aca="1" ref="BM131" ca="1">INDIRECT($BM$2&amp;BM$7&amp;$BI131,1)</f>
        <v>0</v>
      </c>
      <c r="BN131" s="539" cm="1">
        <f t="array" aca="1" ref="BN131" ca="1">INDIRECT($BM$2&amp;BN$7&amp;$BI131,1)</f>
        <v>0</v>
      </c>
      <c r="BO131" s="539" t="str">
        <f t="shared" ca="1" si="90"/>
        <v>-</v>
      </c>
      <c r="BQ131" s="20"/>
      <c r="BR131" s="469">
        <v>10</v>
      </c>
      <c r="BS131" s="539" t="s">
        <v>8044</v>
      </c>
      <c r="BT131" s="539">
        <f t="shared" si="94"/>
        <v>487</v>
      </c>
      <c r="BU131" s="539" cm="1">
        <f t="array" aca="1" ref="BU131" ca="1">INDIRECT($BM$2&amp;BU$7&amp;$BT131,1)</f>
        <v>0</v>
      </c>
      <c r="BV131" s="539" cm="1">
        <f t="array" aca="1" ref="BV131" ca="1">INDIRECT($BM$2&amp;BV$7&amp;$BT131,1)</f>
        <v>0</v>
      </c>
      <c r="BW131" s="539" cm="1">
        <f t="array" aca="1" ref="BW131" ca="1">INDIRECT($BM$2&amp;BW$7&amp;$BT131,1)</f>
        <v>0</v>
      </c>
      <c r="BX131" s="539" cm="1">
        <f t="array" aca="1" ref="BX131" ca="1">INDIRECT($BM$2&amp;BX$7&amp;$BT131,1)</f>
        <v>0</v>
      </c>
      <c r="BY131" s="539" cm="1">
        <f t="array" aca="1" ref="BY131" ca="1">INDIRECT($BM$2&amp;BY$7&amp;$BT131,1)</f>
        <v>0</v>
      </c>
      <c r="BZ131" s="539" t="str">
        <f t="shared" ca="1" si="91"/>
        <v>-</v>
      </c>
      <c r="CC131" s="469">
        <v>10</v>
      </c>
      <c r="CD131" s="539" t="s">
        <v>8044</v>
      </c>
      <c r="CE131" s="539">
        <f t="shared" si="95"/>
        <v>833</v>
      </c>
      <c r="CF131" s="539" cm="1">
        <f t="array" aca="1" ref="CF131" ca="1">INDIRECT($BM$2&amp;CF$7&amp;$CE131,1)</f>
        <v>0</v>
      </c>
      <c r="CG131" s="539" cm="1">
        <f t="array" aca="1" ref="CG131" ca="1">INDIRECT($BM$2&amp;CG$7&amp;$CE131,1)</f>
        <v>0</v>
      </c>
      <c r="CH131" s="539" cm="1">
        <f t="array" aca="1" ref="CH131" ca="1">INDIRECT($BM$2&amp;CH$7&amp;$CE131,1)</f>
        <v>0</v>
      </c>
      <c r="CI131" s="539" cm="1">
        <f t="array" aca="1" ref="CI131" ca="1">INDIRECT($BM$2&amp;CI$7&amp;$CE131,1)</f>
        <v>0</v>
      </c>
      <c r="CJ131" s="539" cm="1">
        <f t="array" aca="1" ref="CJ131" ca="1">INDIRECT($BM$2&amp;CJ$7&amp;$CE131,1)</f>
        <v>0</v>
      </c>
      <c r="CK131" s="539" t="str">
        <f t="shared" ca="1" si="92"/>
        <v>-</v>
      </c>
      <c r="CU131" s="469" t="s">
        <v>5510</v>
      </c>
      <c r="EQ131" s="469" t="s">
        <v>5510</v>
      </c>
      <c r="GC131" s="472" t="s">
        <v>5510</v>
      </c>
      <c r="HN131" s="20"/>
      <c r="HP131" s="472"/>
    </row>
    <row r="132" spans="1:224" x14ac:dyDescent="0.25">
      <c r="A132" s="426" t="s">
        <v>5814</v>
      </c>
      <c r="B132" s="426" t="str">
        <f>IF(COUNTIF(EL13:EM18,1),"Positivo:Existe grupo com %EPMN superior ao CP.","")</f>
        <v/>
      </c>
      <c r="AV132" s="469" t="s">
        <v>5510</v>
      </c>
      <c r="BF132" s="469" t="s">
        <v>5510</v>
      </c>
      <c r="BH132" s="539" t="s">
        <v>8044</v>
      </c>
      <c r="BI132" s="539">
        <f t="shared" si="93"/>
        <v>142</v>
      </c>
      <c r="BJ132" s="539" cm="1">
        <f t="array" aca="1" ref="BJ132" ca="1">INDIRECT($BM$2&amp;BJ$7&amp;$BI132,1)</f>
        <v>0</v>
      </c>
      <c r="BK132" s="539" cm="1">
        <f t="array" aca="1" ref="BK132" ca="1">INDIRECT($BM$2&amp;BK$7&amp;$BI132,1)</f>
        <v>0</v>
      </c>
      <c r="BL132" s="539" cm="1">
        <f t="array" aca="1" ref="BL132" ca="1">INDIRECT($BM$2&amp;BL$7&amp;$BI132,1)</f>
        <v>0</v>
      </c>
      <c r="BM132" s="539" cm="1">
        <f t="array" aca="1" ref="BM132" ca="1">INDIRECT($BM$2&amp;BM$7&amp;$BI132,1)</f>
        <v>0</v>
      </c>
      <c r="BN132" s="539" cm="1">
        <f t="array" aca="1" ref="BN132" ca="1">INDIRECT($BM$2&amp;BN$7&amp;$BI132,1)</f>
        <v>0</v>
      </c>
      <c r="BO132" s="539" t="str">
        <f t="shared" ca="1" si="90"/>
        <v>-</v>
      </c>
      <c r="BQ132" s="20"/>
      <c r="BR132" s="469">
        <v>11</v>
      </c>
      <c r="BS132" s="539" t="s">
        <v>8044</v>
      </c>
      <c r="BT132" s="539">
        <f t="shared" si="94"/>
        <v>488</v>
      </c>
      <c r="BU132" s="539" cm="1">
        <f t="array" aca="1" ref="BU132" ca="1">INDIRECT($BM$2&amp;BU$7&amp;$BT132,1)</f>
        <v>0</v>
      </c>
      <c r="BV132" s="539" cm="1">
        <f t="array" aca="1" ref="BV132" ca="1">INDIRECT($BM$2&amp;BV$7&amp;$BT132,1)</f>
        <v>0</v>
      </c>
      <c r="BW132" s="539" cm="1">
        <f t="array" aca="1" ref="BW132" ca="1">INDIRECT($BM$2&amp;BW$7&amp;$BT132,1)</f>
        <v>0</v>
      </c>
      <c r="BX132" s="539" cm="1">
        <f t="array" aca="1" ref="BX132" ca="1">INDIRECT($BM$2&amp;BX$7&amp;$BT132,1)</f>
        <v>0</v>
      </c>
      <c r="BY132" s="539" cm="1">
        <f t="array" aca="1" ref="BY132" ca="1">INDIRECT($BM$2&amp;BY$7&amp;$BT132,1)</f>
        <v>0</v>
      </c>
      <c r="BZ132" s="539" t="str">
        <f t="shared" ca="1" si="91"/>
        <v>-</v>
      </c>
      <c r="CC132" s="469">
        <v>11</v>
      </c>
      <c r="CD132" s="539" t="s">
        <v>8044</v>
      </c>
      <c r="CE132" s="539">
        <f t="shared" si="95"/>
        <v>834</v>
      </c>
      <c r="CF132" s="539" cm="1">
        <f t="array" aca="1" ref="CF132" ca="1">INDIRECT($BM$2&amp;CF$7&amp;$CE132,1)</f>
        <v>0</v>
      </c>
      <c r="CG132" s="539" cm="1">
        <f t="array" aca="1" ref="CG132" ca="1">INDIRECT($BM$2&amp;CG$7&amp;$CE132,1)</f>
        <v>0</v>
      </c>
      <c r="CH132" s="539" cm="1">
        <f t="array" aca="1" ref="CH132" ca="1">INDIRECT($BM$2&amp;CH$7&amp;$CE132,1)</f>
        <v>0</v>
      </c>
      <c r="CI132" s="539" cm="1">
        <f t="array" aca="1" ref="CI132" ca="1">INDIRECT($BM$2&amp;CI$7&amp;$CE132,1)</f>
        <v>0</v>
      </c>
      <c r="CJ132" s="539" cm="1">
        <f t="array" aca="1" ref="CJ132" ca="1">INDIRECT($BM$2&amp;CJ$7&amp;$CE132,1)</f>
        <v>0</v>
      </c>
      <c r="CK132" s="539" t="str">
        <f t="shared" ca="1" si="92"/>
        <v>-</v>
      </c>
      <c r="CU132" s="469" t="s">
        <v>5510</v>
      </c>
      <c r="EQ132" s="469" t="s">
        <v>5510</v>
      </c>
      <c r="GC132" s="472" t="s">
        <v>5510</v>
      </c>
      <c r="HN132" s="20"/>
      <c r="HP132" s="472"/>
    </row>
    <row r="133" spans="1:224" x14ac:dyDescent="0.25">
      <c r="AV133" s="469" t="s">
        <v>5510</v>
      </c>
      <c r="BF133" s="469" t="s">
        <v>5510</v>
      </c>
      <c r="BH133" s="539" t="s">
        <v>8044</v>
      </c>
      <c r="BI133" s="539">
        <f t="shared" si="93"/>
        <v>143</v>
      </c>
      <c r="BJ133" s="539" cm="1">
        <f t="array" aca="1" ref="BJ133" ca="1">INDIRECT($BM$2&amp;BJ$7&amp;$BI133,1)</f>
        <v>0</v>
      </c>
      <c r="BK133" s="539" cm="1">
        <f t="array" aca="1" ref="BK133" ca="1">INDIRECT($BM$2&amp;BK$7&amp;$BI133,1)</f>
        <v>0</v>
      </c>
      <c r="BL133" s="539" cm="1">
        <f t="array" aca="1" ref="BL133" ca="1">INDIRECT($BM$2&amp;BL$7&amp;$BI133,1)</f>
        <v>0</v>
      </c>
      <c r="BM133" s="539" cm="1">
        <f t="array" aca="1" ref="BM133" ca="1">INDIRECT($BM$2&amp;BM$7&amp;$BI133,1)</f>
        <v>0</v>
      </c>
      <c r="BN133" s="539" t="str" cm="1">
        <f t="array" aca="1" ref="BN133" ca="1">INDIRECT($BM$2&amp;BN$7&amp;$BI133,1)</f>
        <v>-</v>
      </c>
      <c r="BO133" s="539" t="str">
        <f t="shared" ca="1" si="90"/>
        <v>-</v>
      </c>
      <c r="BQ133" s="20"/>
      <c r="BR133" s="469">
        <v>12</v>
      </c>
      <c r="BS133" s="539" t="s">
        <v>8044</v>
      </c>
      <c r="BT133" s="539">
        <f t="shared" si="94"/>
        <v>489</v>
      </c>
      <c r="BU133" s="539" cm="1">
        <f t="array" aca="1" ref="BU133" ca="1">INDIRECT($BM$2&amp;BU$7&amp;$BT133,1)</f>
        <v>0</v>
      </c>
      <c r="BV133" s="539" cm="1">
        <f t="array" aca="1" ref="BV133" ca="1">INDIRECT($BM$2&amp;BV$7&amp;$BT133,1)</f>
        <v>0</v>
      </c>
      <c r="BW133" s="539" cm="1">
        <f t="array" aca="1" ref="BW133" ca="1">INDIRECT($BM$2&amp;BW$7&amp;$BT133,1)</f>
        <v>0</v>
      </c>
      <c r="BX133" s="539" cm="1">
        <f t="array" aca="1" ref="BX133" ca="1">INDIRECT($BM$2&amp;BX$7&amp;$BT133,1)</f>
        <v>0</v>
      </c>
      <c r="BY133" s="539" t="str" cm="1">
        <f t="array" aca="1" ref="BY133" ca="1">INDIRECT($BM$2&amp;BY$7&amp;$BT133,1)</f>
        <v>-</v>
      </c>
      <c r="BZ133" s="539" t="str">
        <f t="shared" ca="1" si="91"/>
        <v>-</v>
      </c>
      <c r="CC133" s="469">
        <v>12</v>
      </c>
      <c r="CD133" s="539" t="s">
        <v>8044</v>
      </c>
      <c r="CE133" s="539">
        <f t="shared" si="95"/>
        <v>835</v>
      </c>
      <c r="CF133" s="539" cm="1">
        <f t="array" aca="1" ref="CF133" ca="1">INDIRECT($BM$2&amp;CF$7&amp;$CE133,1)</f>
        <v>0</v>
      </c>
      <c r="CG133" s="539" cm="1">
        <f t="array" aca="1" ref="CG133" ca="1">INDIRECT($BM$2&amp;CG$7&amp;$CE133,1)</f>
        <v>0</v>
      </c>
      <c r="CH133" s="539" cm="1">
        <f t="array" aca="1" ref="CH133" ca="1">INDIRECT($BM$2&amp;CH$7&amp;$CE133,1)</f>
        <v>0</v>
      </c>
      <c r="CI133" s="539" cm="1">
        <f t="array" aca="1" ref="CI133" ca="1">INDIRECT($BM$2&amp;CI$7&amp;$CE133,1)</f>
        <v>0</v>
      </c>
      <c r="CJ133" s="539" t="str" cm="1">
        <f t="array" aca="1" ref="CJ133" ca="1">INDIRECT($BM$2&amp;CJ$7&amp;$CE133,1)</f>
        <v>-</v>
      </c>
      <c r="CK133" s="539" t="str">
        <f t="shared" ca="1" si="92"/>
        <v>-</v>
      </c>
      <c r="CU133" s="469" t="s">
        <v>5510</v>
      </c>
      <c r="EQ133" s="469" t="s">
        <v>5510</v>
      </c>
      <c r="GC133" s="472" t="s">
        <v>5510</v>
      </c>
      <c r="HN133" s="20"/>
      <c r="HP133" s="472"/>
    </row>
    <row r="134" spans="1:224" x14ac:dyDescent="0.25">
      <c r="AV134" s="469" t="s">
        <v>5510</v>
      </c>
      <c r="BF134" s="469" t="s">
        <v>5510</v>
      </c>
      <c r="BL134" s="372"/>
      <c r="BO134" s="472"/>
      <c r="BQ134" s="20"/>
      <c r="BT134" s="372"/>
      <c r="BU134" s="472"/>
      <c r="BV134" s="472"/>
      <c r="BW134" s="372"/>
      <c r="BX134" s="472"/>
      <c r="BY134" s="372"/>
      <c r="BZ134" s="472"/>
      <c r="CE134" s="372"/>
      <c r="CF134" s="472"/>
      <c r="CG134" s="472"/>
      <c r="CH134" s="372"/>
      <c r="CI134" s="472"/>
      <c r="CJ134" s="372"/>
      <c r="CK134" s="472"/>
      <c r="CU134" s="469" t="s">
        <v>5510</v>
      </c>
      <c r="EQ134" s="469" t="s">
        <v>5510</v>
      </c>
      <c r="GC134" s="472" t="s">
        <v>5510</v>
      </c>
      <c r="HN134" s="20"/>
      <c r="HP134" s="472"/>
    </row>
    <row r="135" spans="1:224" x14ac:dyDescent="0.25">
      <c r="AV135" s="469" t="s">
        <v>5510</v>
      </c>
      <c r="BF135" s="469" t="s">
        <v>5510</v>
      </c>
      <c r="BL135" s="372"/>
      <c r="BO135" s="472"/>
      <c r="BQ135" s="20"/>
      <c r="BT135" s="372"/>
      <c r="BU135" s="472"/>
      <c r="BV135" s="472"/>
      <c r="BW135" s="372"/>
      <c r="BX135" s="472"/>
      <c r="BY135" s="372"/>
      <c r="BZ135" s="472"/>
      <c r="CE135" s="372"/>
      <c r="CF135" s="472"/>
      <c r="CG135" s="472"/>
      <c r="CH135" s="372"/>
      <c r="CI135" s="472"/>
      <c r="CJ135" s="372"/>
      <c r="CK135" s="472"/>
      <c r="CU135" s="469" t="s">
        <v>5510</v>
      </c>
      <c r="EQ135" s="469" t="s">
        <v>5510</v>
      </c>
      <c r="GC135" s="472" t="s">
        <v>5510</v>
      </c>
      <c r="HN135" s="20"/>
      <c r="HP135" s="472"/>
    </row>
    <row r="136" spans="1:224" x14ac:dyDescent="0.25">
      <c r="A136" s="472"/>
      <c r="B136" s="472"/>
      <c r="C136" s="472"/>
      <c r="D136" s="472"/>
      <c r="E136" s="472"/>
      <c r="F136" s="472"/>
      <c r="G136" s="472"/>
      <c r="H136" s="472"/>
      <c r="AV136" s="469" t="s">
        <v>5510</v>
      </c>
      <c r="BF136" s="469" t="s">
        <v>5510</v>
      </c>
      <c r="BQ136" s="20"/>
      <c r="BT136" s="372"/>
      <c r="BU136" s="472"/>
      <c r="BV136" s="472"/>
      <c r="BW136" s="472"/>
      <c r="BX136" s="472"/>
      <c r="BY136" s="372"/>
      <c r="BZ136" s="372"/>
      <c r="CE136" s="372"/>
      <c r="CF136" s="472"/>
      <c r="CG136" s="472"/>
      <c r="CH136" s="472"/>
      <c r="CI136" s="472"/>
      <c r="CJ136" s="372"/>
      <c r="CK136" s="372"/>
      <c r="CU136" s="469" t="s">
        <v>5510</v>
      </c>
      <c r="EQ136" s="469" t="s">
        <v>5510</v>
      </c>
      <c r="GC136" s="472" t="s">
        <v>5510</v>
      </c>
      <c r="HN136" s="20"/>
      <c r="HP136" s="472"/>
    </row>
    <row r="137" spans="1:224" x14ac:dyDescent="0.25">
      <c r="A137" s="481" t="s">
        <v>5791</v>
      </c>
      <c r="B137" s="481" t="s">
        <v>5791</v>
      </c>
      <c r="C137" s="481" t="s">
        <v>5791</v>
      </c>
      <c r="D137" s="481" t="s">
        <v>5791</v>
      </c>
      <c r="E137" s="481" t="s">
        <v>5791</v>
      </c>
      <c r="F137" s="481" t="s">
        <v>5791</v>
      </c>
      <c r="G137" s="481" t="s">
        <v>5791</v>
      </c>
      <c r="H137" s="481" t="s">
        <v>5791</v>
      </c>
      <c r="I137" s="481" t="s">
        <v>5791</v>
      </c>
      <c r="J137" s="481" t="s">
        <v>5791</v>
      </c>
      <c r="K137" s="481" t="s">
        <v>5791</v>
      </c>
      <c r="L137" s="481" t="s">
        <v>5791</v>
      </c>
      <c r="AV137" s="469" t="s">
        <v>5510</v>
      </c>
      <c r="BF137" s="469" t="s">
        <v>5510</v>
      </c>
      <c r="BQ137" s="20"/>
      <c r="BT137" s="372"/>
      <c r="BU137" s="472"/>
      <c r="BV137" s="472"/>
      <c r="BW137" s="472"/>
      <c r="BX137" s="472"/>
      <c r="BY137" s="372"/>
      <c r="BZ137" s="372"/>
      <c r="CE137" s="372"/>
      <c r="CF137" s="472"/>
      <c r="CG137" s="472"/>
      <c r="CH137" s="472"/>
      <c r="CI137" s="472"/>
      <c r="CJ137" s="372"/>
      <c r="CK137" s="372"/>
      <c r="CU137" s="469" t="s">
        <v>5510</v>
      </c>
      <c r="EQ137" s="469" t="s">
        <v>5510</v>
      </c>
      <c r="GC137" s="472" t="s">
        <v>5510</v>
      </c>
      <c r="HN137" s="20"/>
      <c r="HP137" s="472"/>
    </row>
    <row r="138" spans="1:224" x14ac:dyDescent="0.25">
      <c r="AV138" s="469" t="s">
        <v>5510</v>
      </c>
      <c r="BF138" s="469" t="s">
        <v>5510</v>
      </c>
      <c r="BH138" s="539" t="s">
        <v>8045</v>
      </c>
      <c r="BI138" s="539">
        <f>BI133+$BO$6</f>
        <v>149</v>
      </c>
      <c r="BJ138" s="539" cm="1">
        <f t="array" aca="1" ref="BJ138" ca="1">INDIRECT($BM$2&amp;BJ$7&amp;$BI138,1)</f>
        <v>0</v>
      </c>
      <c r="BK138" s="539" cm="1">
        <f t="array" aca="1" ref="BK138" ca="1">INDIRECT($BM$2&amp;BK$7&amp;$BI138,1)</f>
        <v>0</v>
      </c>
      <c r="BL138" s="539" cm="1">
        <f t="array" aca="1" ref="BL138" ca="1">INDIRECT($BM$2&amp;BL$7&amp;$BI138,1)</f>
        <v>0</v>
      </c>
      <c r="BM138" s="539" cm="1">
        <f t="array" aca="1" ref="BM138" ca="1">INDIRECT($BM$2&amp;BM$7&amp;$BI138,1)</f>
        <v>0</v>
      </c>
      <c r="BN138" s="539" cm="1">
        <f t="array" aca="1" ref="BN138" ca="1">INDIRECT($BM$2&amp;BN$7&amp;$BI138,1)</f>
        <v>0</v>
      </c>
      <c r="BO138" s="539" t="str">
        <f ca="1">IFERROR(BK138/BK$138,"-")</f>
        <v>-</v>
      </c>
      <c r="BQ138" s="20"/>
      <c r="BR138" s="469">
        <v>1</v>
      </c>
      <c r="BS138" s="539" t="s">
        <v>8045</v>
      </c>
      <c r="BT138" s="539">
        <f>BT133+$BO$6</f>
        <v>495</v>
      </c>
      <c r="BU138" s="539" cm="1">
        <f t="array" aca="1" ref="BU138" ca="1">INDIRECT($BM$2&amp;BU$7&amp;$BT138,1)</f>
        <v>0</v>
      </c>
      <c r="BV138" s="539" cm="1">
        <f t="array" aca="1" ref="BV138" ca="1">INDIRECT($BM$2&amp;BV$7&amp;$BT138,1)</f>
        <v>0</v>
      </c>
      <c r="BW138" s="539" cm="1">
        <f t="array" aca="1" ref="BW138" ca="1">INDIRECT($BM$2&amp;BW$7&amp;$BT138,1)</f>
        <v>0</v>
      </c>
      <c r="BX138" s="539" cm="1">
        <f t="array" aca="1" ref="BX138" ca="1">INDIRECT($BM$2&amp;BX$7&amp;$BT138,1)</f>
        <v>0</v>
      </c>
      <c r="BY138" s="539" cm="1">
        <f t="array" aca="1" ref="BY138" ca="1">INDIRECT($BM$2&amp;BY$7&amp;$BT138,1)</f>
        <v>0</v>
      </c>
      <c r="BZ138" s="539" t="str">
        <f ca="1">IFERROR(BV138/BV$138,"-")</f>
        <v>-</v>
      </c>
      <c r="CC138" s="469">
        <v>1</v>
      </c>
      <c r="CD138" s="539" t="s">
        <v>8045</v>
      </c>
      <c r="CE138" s="539">
        <f>CE133+$BO$6</f>
        <v>841</v>
      </c>
      <c r="CF138" s="539" cm="1">
        <f t="array" aca="1" ref="CF138" ca="1">INDIRECT($BM$2&amp;CF$7&amp;$CE138,1)</f>
        <v>0</v>
      </c>
      <c r="CG138" s="539" cm="1">
        <f t="array" aca="1" ref="CG138" ca="1">INDIRECT($BM$2&amp;CG$7&amp;$CE138,1)</f>
        <v>0</v>
      </c>
      <c r="CH138" s="539" cm="1">
        <f t="array" aca="1" ref="CH138" ca="1">INDIRECT($BM$2&amp;CH$7&amp;$CE138,1)</f>
        <v>0</v>
      </c>
      <c r="CI138" s="539" cm="1">
        <f t="array" aca="1" ref="CI138" ca="1">INDIRECT($BM$2&amp;CI$7&amp;$CE138,1)</f>
        <v>0</v>
      </c>
      <c r="CJ138" s="539" cm="1">
        <f t="array" aca="1" ref="CJ138" ca="1">INDIRECT($BM$2&amp;CJ$7&amp;$CE138,1)</f>
        <v>0</v>
      </c>
      <c r="CK138" s="539" t="str">
        <f ca="1">IFERROR(CG138/CG$138,"-")</f>
        <v>-</v>
      </c>
      <c r="CU138" s="469" t="s">
        <v>5510</v>
      </c>
      <c r="EQ138" s="469" t="s">
        <v>5510</v>
      </c>
      <c r="GC138" s="472" t="s">
        <v>5510</v>
      </c>
      <c r="HN138" s="20"/>
      <c r="HP138" s="472"/>
    </row>
    <row r="139" spans="1:224" ht="15.75" thickBot="1" x14ac:dyDescent="0.3">
      <c r="A139" s="468" t="s">
        <v>5926</v>
      </c>
      <c r="B139" s="468"/>
      <c r="C139" s="468"/>
      <c r="D139" s="468"/>
      <c r="E139" s="468"/>
      <c r="F139" s="468"/>
      <c r="G139" s="468"/>
      <c r="H139" s="468"/>
      <c r="I139" s="468"/>
      <c r="J139" s="468"/>
      <c r="K139" s="468"/>
      <c r="L139" s="468"/>
      <c r="M139" s="468"/>
      <c r="N139" s="468"/>
      <c r="O139" s="468"/>
      <c r="P139" s="468"/>
      <c r="Q139" s="468"/>
      <c r="R139" s="468"/>
      <c r="S139" s="468"/>
      <c r="T139" s="468"/>
      <c r="U139" s="468"/>
      <c r="V139" s="468"/>
      <c r="AV139" s="469" t="s">
        <v>5510</v>
      </c>
      <c r="BF139" s="469" t="s">
        <v>5510</v>
      </c>
      <c r="BH139" s="539" t="s">
        <v>8045</v>
      </c>
      <c r="BI139" s="539">
        <f>BI138+1</f>
        <v>150</v>
      </c>
      <c r="BJ139" s="539" cm="1">
        <f t="array" aca="1" ref="BJ139" ca="1">INDIRECT($BM$2&amp;BJ$7&amp;$BI139,1)</f>
        <v>0</v>
      </c>
      <c r="BK139" s="539" cm="1">
        <f t="array" aca="1" ref="BK139" ca="1">INDIRECT($BM$2&amp;BK$7&amp;$BI139,1)</f>
        <v>0</v>
      </c>
      <c r="BL139" s="539" cm="1">
        <f t="array" aca="1" ref="BL139" ca="1">INDIRECT($BM$2&amp;BL$7&amp;$BI139,1)</f>
        <v>0</v>
      </c>
      <c r="BM139" s="539" cm="1">
        <f t="array" aca="1" ref="BM139" ca="1">INDIRECT($BM$2&amp;BM$7&amp;$BI139,1)</f>
        <v>0</v>
      </c>
      <c r="BN139" s="539" cm="1">
        <f t="array" aca="1" ref="BN139" ca="1">INDIRECT($BM$2&amp;BN$7&amp;$BI139,1)</f>
        <v>0</v>
      </c>
      <c r="BO139" s="539" t="str">
        <f t="shared" ref="BO139:BO149" ca="1" si="96">IF(BK139=0,"-",IFERROR(BK139/BK$138,"-"))</f>
        <v>-</v>
      </c>
      <c r="BQ139" s="20"/>
      <c r="BR139" s="469">
        <v>2</v>
      </c>
      <c r="BS139" s="539" t="s">
        <v>8045</v>
      </c>
      <c r="BT139" s="539">
        <f>BT138+1</f>
        <v>496</v>
      </c>
      <c r="BU139" s="539" cm="1">
        <f t="array" aca="1" ref="BU139" ca="1">INDIRECT($BM$2&amp;BU$7&amp;$BT139,1)</f>
        <v>0</v>
      </c>
      <c r="BV139" s="539" cm="1">
        <f t="array" aca="1" ref="BV139" ca="1">INDIRECT($BM$2&amp;BV$7&amp;$BT139,1)</f>
        <v>0</v>
      </c>
      <c r="BW139" s="539" cm="1">
        <f t="array" aca="1" ref="BW139" ca="1">INDIRECT($BM$2&amp;BW$7&amp;$BT139,1)</f>
        <v>0</v>
      </c>
      <c r="BX139" s="539" cm="1">
        <f t="array" aca="1" ref="BX139" ca="1">INDIRECT($BM$2&amp;BX$7&amp;$BT139,1)</f>
        <v>0</v>
      </c>
      <c r="BY139" s="539" cm="1">
        <f t="array" aca="1" ref="BY139" ca="1">INDIRECT($BM$2&amp;BY$7&amp;$BT139,1)</f>
        <v>0</v>
      </c>
      <c r="BZ139" s="539" t="str">
        <f t="shared" ref="BZ139:BZ149" ca="1" si="97">IF(BV139=0,"-",IFERROR(BV139/BV$138,"-"))</f>
        <v>-</v>
      </c>
      <c r="CC139" s="469">
        <v>2</v>
      </c>
      <c r="CD139" s="539" t="s">
        <v>8045</v>
      </c>
      <c r="CE139" s="539">
        <f>CE138+1</f>
        <v>842</v>
      </c>
      <c r="CF139" s="539" cm="1">
        <f t="array" aca="1" ref="CF139" ca="1">INDIRECT($BM$2&amp;CF$7&amp;$CE139,1)</f>
        <v>0</v>
      </c>
      <c r="CG139" s="539" cm="1">
        <f t="array" aca="1" ref="CG139" ca="1">INDIRECT($BM$2&amp;CG$7&amp;$CE139,1)</f>
        <v>0</v>
      </c>
      <c r="CH139" s="539" cm="1">
        <f t="array" aca="1" ref="CH139" ca="1">INDIRECT($BM$2&amp;CH$7&amp;$CE139,1)</f>
        <v>0</v>
      </c>
      <c r="CI139" s="539" cm="1">
        <f t="array" aca="1" ref="CI139" ca="1">INDIRECT($BM$2&amp;CI$7&amp;$CE139,1)</f>
        <v>0</v>
      </c>
      <c r="CJ139" s="539" cm="1">
        <f t="array" aca="1" ref="CJ139" ca="1">INDIRECT($BM$2&amp;CJ$7&amp;$CE139,1)</f>
        <v>0</v>
      </c>
      <c r="CK139" s="539" t="str">
        <f t="shared" ref="CK139:CK149" ca="1" si="98">IF(CG139=0,"-",IFERROR(CG139/CG$138,"-"))</f>
        <v>-</v>
      </c>
      <c r="CU139" s="469" t="s">
        <v>5510</v>
      </c>
      <c r="EQ139" s="469" t="s">
        <v>5510</v>
      </c>
      <c r="GC139" s="472" t="s">
        <v>5510</v>
      </c>
      <c r="HN139" s="20"/>
      <c r="HP139" s="472"/>
    </row>
    <row r="140" spans="1:224" x14ac:dyDescent="0.25">
      <c r="B140" s="20" t="s">
        <v>5936</v>
      </c>
      <c r="AV140" s="469" t="s">
        <v>5510</v>
      </c>
      <c r="BF140" s="469" t="s">
        <v>5510</v>
      </c>
      <c r="BH140" s="539" t="s">
        <v>8045</v>
      </c>
      <c r="BI140" s="539">
        <f t="shared" ref="BI140:BI149" si="99">BI139+1</f>
        <v>151</v>
      </c>
      <c r="BJ140" s="539" cm="1">
        <f t="array" aca="1" ref="BJ140" ca="1">INDIRECT($BM$2&amp;BJ$7&amp;$BI140,1)</f>
        <v>0</v>
      </c>
      <c r="BK140" s="539" cm="1">
        <f t="array" aca="1" ref="BK140" ca="1">INDIRECT($BM$2&amp;BK$7&amp;$BI140,1)</f>
        <v>0</v>
      </c>
      <c r="BL140" s="539" cm="1">
        <f t="array" aca="1" ref="BL140" ca="1">INDIRECT($BM$2&amp;BL$7&amp;$BI140,1)</f>
        <v>0</v>
      </c>
      <c r="BM140" s="539" cm="1">
        <f t="array" aca="1" ref="BM140" ca="1">INDIRECT($BM$2&amp;BM$7&amp;$BI140,1)</f>
        <v>0</v>
      </c>
      <c r="BN140" s="539" cm="1">
        <f t="array" aca="1" ref="BN140" ca="1">INDIRECT($BM$2&amp;BN$7&amp;$BI140,1)</f>
        <v>0</v>
      </c>
      <c r="BO140" s="539" t="str">
        <f t="shared" ca="1" si="96"/>
        <v>-</v>
      </c>
      <c r="BQ140" s="20"/>
      <c r="BR140" s="469">
        <v>3</v>
      </c>
      <c r="BS140" s="539" t="s">
        <v>8045</v>
      </c>
      <c r="BT140" s="539">
        <f t="shared" ref="BT140:BT149" si="100">BT139+1</f>
        <v>497</v>
      </c>
      <c r="BU140" s="539" cm="1">
        <f t="array" aca="1" ref="BU140" ca="1">INDIRECT($BM$2&amp;BU$7&amp;$BT140,1)</f>
        <v>0</v>
      </c>
      <c r="BV140" s="539" cm="1">
        <f t="array" aca="1" ref="BV140" ca="1">INDIRECT($BM$2&amp;BV$7&amp;$BT140,1)</f>
        <v>0</v>
      </c>
      <c r="BW140" s="539" cm="1">
        <f t="array" aca="1" ref="BW140" ca="1">INDIRECT($BM$2&amp;BW$7&amp;$BT140,1)</f>
        <v>0</v>
      </c>
      <c r="BX140" s="539" cm="1">
        <f t="array" aca="1" ref="BX140" ca="1">INDIRECT($BM$2&amp;BX$7&amp;$BT140,1)</f>
        <v>0</v>
      </c>
      <c r="BY140" s="539" cm="1">
        <f t="array" aca="1" ref="BY140" ca="1">INDIRECT($BM$2&amp;BY$7&amp;$BT140,1)</f>
        <v>0</v>
      </c>
      <c r="BZ140" s="539" t="str">
        <f t="shared" ca="1" si="97"/>
        <v>-</v>
      </c>
      <c r="CC140" s="469">
        <v>3</v>
      </c>
      <c r="CD140" s="539" t="s">
        <v>8045</v>
      </c>
      <c r="CE140" s="539">
        <f t="shared" ref="CE140:CE149" si="101">CE139+1</f>
        <v>843</v>
      </c>
      <c r="CF140" s="539" cm="1">
        <f t="array" aca="1" ref="CF140" ca="1">INDIRECT($BM$2&amp;CF$7&amp;$CE140,1)</f>
        <v>0</v>
      </c>
      <c r="CG140" s="539" cm="1">
        <f t="array" aca="1" ref="CG140" ca="1">INDIRECT($BM$2&amp;CG$7&amp;$CE140,1)</f>
        <v>0</v>
      </c>
      <c r="CH140" s="539" cm="1">
        <f t="array" aca="1" ref="CH140" ca="1">INDIRECT($BM$2&amp;CH$7&amp;$CE140,1)</f>
        <v>0</v>
      </c>
      <c r="CI140" s="539" cm="1">
        <f t="array" aca="1" ref="CI140" ca="1">INDIRECT($BM$2&amp;CI$7&amp;$CE140,1)</f>
        <v>0</v>
      </c>
      <c r="CJ140" s="539" cm="1">
        <f t="array" aca="1" ref="CJ140" ca="1">INDIRECT($BM$2&amp;CJ$7&amp;$CE140,1)</f>
        <v>0</v>
      </c>
      <c r="CK140" s="539" t="str">
        <f t="shared" ca="1" si="98"/>
        <v>-</v>
      </c>
      <c r="CU140" s="469" t="s">
        <v>5510</v>
      </c>
      <c r="EQ140" s="469" t="s">
        <v>5510</v>
      </c>
      <c r="GC140" s="472" t="s">
        <v>5510</v>
      </c>
      <c r="HN140" s="20"/>
      <c r="HP140" s="472"/>
    </row>
    <row r="141" spans="1:224" x14ac:dyDescent="0.25">
      <c r="AV141" s="469" t="s">
        <v>5510</v>
      </c>
      <c r="BF141" s="469" t="s">
        <v>5510</v>
      </c>
      <c r="BH141" s="539" t="s">
        <v>8045</v>
      </c>
      <c r="BI141" s="539">
        <f t="shared" si="99"/>
        <v>152</v>
      </c>
      <c r="BJ141" s="539" cm="1">
        <f t="array" aca="1" ref="BJ141" ca="1">INDIRECT($BM$2&amp;BJ$7&amp;$BI141,1)</f>
        <v>0</v>
      </c>
      <c r="BK141" s="539" cm="1">
        <f t="array" aca="1" ref="BK141" ca="1">INDIRECT($BM$2&amp;BK$7&amp;$BI141,1)</f>
        <v>0</v>
      </c>
      <c r="BL141" s="539" cm="1">
        <f t="array" aca="1" ref="BL141" ca="1">INDIRECT($BM$2&amp;BL$7&amp;$BI141,1)</f>
        <v>0</v>
      </c>
      <c r="BM141" s="539" cm="1">
        <f t="array" aca="1" ref="BM141" ca="1">INDIRECT($BM$2&amp;BM$7&amp;$BI141,1)</f>
        <v>0</v>
      </c>
      <c r="BN141" s="539" cm="1">
        <f t="array" aca="1" ref="BN141" ca="1">INDIRECT($BM$2&amp;BN$7&amp;$BI141,1)</f>
        <v>0</v>
      </c>
      <c r="BO141" s="539" t="str">
        <f t="shared" ca="1" si="96"/>
        <v>-</v>
      </c>
      <c r="BQ141" s="20"/>
      <c r="BR141" s="469">
        <v>4</v>
      </c>
      <c r="BS141" s="539" t="s">
        <v>8045</v>
      </c>
      <c r="BT141" s="539">
        <f t="shared" si="100"/>
        <v>498</v>
      </c>
      <c r="BU141" s="539" cm="1">
        <f t="array" aca="1" ref="BU141" ca="1">INDIRECT($BM$2&amp;BU$7&amp;$BT141,1)</f>
        <v>0</v>
      </c>
      <c r="BV141" s="539" cm="1">
        <f t="array" aca="1" ref="BV141" ca="1">INDIRECT($BM$2&amp;BV$7&amp;$BT141,1)</f>
        <v>0</v>
      </c>
      <c r="BW141" s="539" cm="1">
        <f t="array" aca="1" ref="BW141" ca="1">INDIRECT($BM$2&amp;BW$7&amp;$BT141,1)</f>
        <v>0</v>
      </c>
      <c r="BX141" s="539" cm="1">
        <f t="array" aca="1" ref="BX141" ca="1">INDIRECT($BM$2&amp;BX$7&amp;$BT141,1)</f>
        <v>0</v>
      </c>
      <c r="BY141" s="539" cm="1">
        <f t="array" aca="1" ref="BY141" ca="1">INDIRECT($BM$2&amp;BY$7&amp;$BT141,1)</f>
        <v>0</v>
      </c>
      <c r="BZ141" s="539" t="str">
        <f t="shared" ca="1" si="97"/>
        <v>-</v>
      </c>
      <c r="CC141" s="469">
        <v>4</v>
      </c>
      <c r="CD141" s="539" t="s">
        <v>8045</v>
      </c>
      <c r="CE141" s="539">
        <f t="shared" si="101"/>
        <v>844</v>
      </c>
      <c r="CF141" s="539" cm="1">
        <f t="array" aca="1" ref="CF141" ca="1">INDIRECT($BM$2&amp;CF$7&amp;$CE141,1)</f>
        <v>0</v>
      </c>
      <c r="CG141" s="539" cm="1">
        <f t="array" aca="1" ref="CG141" ca="1">INDIRECT($BM$2&amp;CG$7&amp;$CE141,1)</f>
        <v>0</v>
      </c>
      <c r="CH141" s="539" cm="1">
        <f t="array" aca="1" ref="CH141" ca="1">INDIRECT($BM$2&amp;CH$7&amp;$CE141,1)</f>
        <v>0</v>
      </c>
      <c r="CI141" s="539" cm="1">
        <f t="array" aca="1" ref="CI141" ca="1">INDIRECT($BM$2&amp;CI$7&amp;$CE141,1)</f>
        <v>0</v>
      </c>
      <c r="CJ141" s="539" cm="1">
        <f t="array" aca="1" ref="CJ141" ca="1">INDIRECT($BM$2&amp;CJ$7&amp;$CE141,1)</f>
        <v>0</v>
      </c>
      <c r="CK141" s="539" t="str">
        <f t="shared" ca="1" si="98"/>
        <v>-</v>
      </c>
      <c r="CU141" s="469" t="s">
        <v>5510</v>
      </c>
      <c r="EQ141" s="469" t="s">
        <v>5510</v>
      </c>
      <c r="GC141" s="472" t="s">
        <v>5510</v>
      </c>
      <c r="HN141" s="20"/>
      <c r="HP141" s="472"/>
    </row>
    <row r="142" spans="1:224" x14ac:dyDescent="0.25">
      <c r="C142" s="20" t="s">
        <v>5927</v>
      </c>
      <c r="I142" s="651" t="s">
        <v>5547</v>
      </c>
      <c r="AV142" s="469" t="s">
        <v>5510</v>
      </c>
      <c r="BF142" s="469" t="s">
        <v>5510</v>
      </c>
      <c r="BH142" s="539" t="s">
        <v>8045</v>
      </c>
      <c r="BI142" s="539">
        <f t="shared" si="99"/>
        <v>153</v>
      </c>
      <c r="BJ142" s="539" cm="1">
        <f t="array" aca="1" ref="BJ142" ca="1">INDIRECT($BM$2&amp;BJ$7&amp;$BI142,1)</f>
        <v>0</v>
      </c>
      <c r="BK142" s="539" cm="1">
        <f t="array" aca="1" ref="BK142" ca="1">INDIRECT($BM$2&amp;BK$7&amp;$BI142,1)</f>
        <v>0</v>
      </c>
      <c r="BL142" s="539" cm="1">
        <f t="array" aca="1" ref="BL142" ca="1">INDIRECT($BM$2&amp;BL$7&amp;$BI142,1)</f>
        <v>0</v>
      </c>
      <c r="BM142" s="539" cm="1">
        <f t="array" aca="1" ref="BM142" ca="1">INDIRECT($BM$2&amp;BM$7&amp;$BI142,1)</f>
        <v>0</v>
      </c>
      <c r="BN142" s="539" cm="1">
        <f t="array" aca="1" ref="BN142" ca="1">INDIRECT($BM$2&amp;BN$7&amp;$BI142,1)</f>
        <v>0</v>
      </c>
      <c r="BO142" s="539" t="str">
        <f t="shared" ca="1" si="96"/>
        <v>-</v>
      </c>
      <c r="BQ142" s="20"/>
      <c r="BR142" s="469">
        <v>5</v>
      </c>
      <c r="BS142" s="539" t="s">
        <v>8045</v>
      </c>
      <c r="BT142" s="539">
        <f t="shared" si="100"/>
        <v>499</v>
      </c>
      <c r="BU142" s="539" cm="1">
        <f t="array" aca="1" ref="BU142" ca="1">INDIRECT($BM$2&amp;BU$7&amp;$BT142,1)</f>
        <v>0</v>
      </c>
      <c r="BV142" s="539" cm="1">
        <f t="array" aca="1" ref="BV142" ca="1">INDIRECT($BM$2&amp;BV$7&amp;$BT142,1)</f>
        <v>0</v>
      </c>
      <c r="BW142" s="539" cm="1">
        <f t="array" aca="1" ref="BW142" ca="1">INDIRECT($BM$2&amp;BW$7&amp;$BT142,1)</f>
        <v>0</v>
      </c>
      <c r="BX142" s="539" cm="1">
        <f t="array" aca="1" ref="BX142" ca="1">INDIRECT($BM$2&amp;BX$7&amp;$BT142,1)</f>
        <v>0</v>
      </c>
      <c r="BY142" s="539" cm="1">
        <f t="array" aca="1" ref="BY142" ca="1">INDIRECT($BM$2&amp;BY$7&amp;$BT142,1)</f>
        <v>0</v>
      </c>
      <c r="BZ142" s="539" t="str">
        <f t="shared" ca="1" si="97"/>
        <v>-</v>
      </c>
      <c r="CC142" s="469">
        <v>5</v>
      </c>
      <c r="CD142" s="539" t="s">
        <v>8045</v>
      </c>
      <c r="CE142" s="539">
        <f t="shared" si="101"/>
        <v>845</v>
      </c>
      <c r="CF142" s="539" cm="1">
        <f t="array" aca="1" ref="CF142" ca="1">INDIRECT($BM$2&amp;CF$7&amp;$CE142,1)</f>
        <v>0</v>
      </c>
      <c r="CG142" s="539" cm="1">
        <f t="array" aca="1" ref="CG142" ca="1">INDIRECT($BM$2&amp;CG$7&amp;$CE142,1)</f>
        <v>0</v>
      </c>
      <c r="CH142" s="539" cm="1">
        <f t="array" aca="1" ref="CH142" ca="1">INDIRECT($BM$2&amp;CH$7&amp;$CE142,1)</f>
        <v>0</v>
      </c>
      <c r="CI142" s="539" cm="1">
        <f t="array" aca="1" ref="CI142" ca="1">INDIRECT($BM$2&amp;CI$7&amp;$CE142,1)</f>
        <v>0</v>
      </c>
      <c r="CJ142" s="539" cm="1">
        <f t="array" aca="1" ref="CJ142" ca="1">INDIRECT($BM$2&amp;CJ$7&amp;$CE142,1)</f>
        <v>0</v>
      </c>
      <c r="CK142" s="539" t="str">
        <f t="shared" ca="1" si="98"/>
        <v>-</v>
      </c>
      <c r="CU142" s="469" t="s">
        <v>5510</v>
      </c>
      <c r="EQ142" s="469" t="s">
        <v>5510</v>
      </c>
      <c r="GC142" s="472" t="s">
        <v>5510</v>
      </c>
      <c r="HN142" s="20"/>
      <c r="HP142" s="472"/>
    </row>
    <row r="143" spans="1:224" x14ac:dyDescent="0.25">
      <c r="B143" s="506" t="s">
        <v>5928</v>
      </c>
      <c r="C143" s="632">
        <v>1</v>
      </c>
      <c r="D143" s="632">
        <v>2</v>
      </c>
      <c r="E143" s="525">
        <v>3</v>
      </c>
      <c r="H143" s="518" t="s">
        <v>5901</v>
      </c>
      <c r="I143" s="492" cm="1">
        <f t="array" aca="1" ref="I143" ca="1">INDIRECT(B159&amp;"N52",1)</f>
        <v>0</v>
      </c>
      <c r="J143" s="20" t="s">
        <v>5933</v>
      </c>
      <c r="AV143" s="469" t="s">
        <v>5510</v>
      </c>
      <c r="BF143" s="469" t="s">
        <v>5510</v>
      </c>
      <c r="BH143" s="539" t="s">
        <v>8045</v>
      </c>
      <c r="BI143" s="539">
        <f t="shared" si="99"/>
        <v>154</v>
      </c>
      <c r="BJ143" s="539" cm="1">
        <f t="array" aca="1" ref="BJ143" ca="1">INDIRECT($BM$2&amp;BJ$7&amp;$BI143,1)</f>
        <v>0</v>
      </c>
      <c r="BK143" s="539" cm="1">
        <f t="array" aca="1" ref="BK143" ca="1">INDIRECT($BM$2&amp;BK$7&amp;$BI143,1)</f>
        <v>0</v>
      </c>
      <c r="BL143" s="539" cm="1">
        <f t="array" aca="1" ref="BL143" ca="1">INDIRECT($BM$2&amp;BL$7&amp;$BI143,1)</f>
        <v>0</v>
      </c>
      <c r="BM143" s="539" cm="1">
        <f t="array" aca="1" ref="BM143" ca="1">INDIRECT($BM$2&amp;BM$7&amp;$BI143,1)</f>
        <v>0</v>
      </c>
      <c r="BN143" s="539" cm="1">
        <f t="array" aca="1" ref="BN143" ca="1">INDIRECT($BM$2&amp;BN$7&amp;$BI143,1)</f>
        <v>0</v>
      </c>
      <c r="BO143" s="539" t="str">
        <f t="shared" ca="1" si="96"/>
        <v>-</v>
      </c>
      <c r="BQ143" s="20"/>
      <c r="BR143" s="469">
        <v>6</v>
      </c>
      <c r="BS143" s="539" t="s">
        <v>8045</v>
      </c>
      <c r="BT143" s="539">
        <f t="shared" si="100"/>
        <v>500</v>
      </c>
      <c r="BU143" s="539" cm="1">
        <f t="array" aca="1" ref="BU143" ca="1">INDIRECT($BM$2&amp;BU$7&amp;$BT143,1)</f>
        <v>0</v>
      </c>
      <c r="BV143" s="539" cm="1">
        <f t="array" aca="1" ref="BV143" ca="1">INDIRECT($BM$2&amp;BV$7&amp;$BT143,1)</f>
        <v>0</v>
      </c>
      <c r="BW143" s="539" cm="1">
        <f t="array" aca="1" ref="BW143" ca="1">INDIRECT($BM$2&amp;BW$7&amp;$BT143,1)</f>
        <v>0</v>
      </c>
      <c r="BX143" s="539" cm="1">
        <f t="array" aca="1" ref="BX143" ca="1">INDIRECT($BM$2&amp;BX$7&amp;$BT143,1)</f>
        <v>0</v>
      </c>
      <c r="BY143" s="539" cm="1">
        <f t="array" aca="1" ref="BY143" ca="1">INDIRECT($BM$2&amp;BY$7&amp;$BT143,1)</f>
        <v>0</v>
      </c>
      <c r="BZ143" s="539" t="str">
        <f t="shared" ca="1" si="97"/>
        <v>-</v>
      </c>
      <c r="CC143" s="469">
        <v>6</v>
      </c>
      <c r="CD143" s="539" t="s">
        <v>8045</v>
      </c>
      <c r="CE143" s="539">
        <f t="shared" si="101"/>
        <v>846</v>
      </c>
      <c r="CF143" s="539" cm="1">
        <f t="array" aca="1" ref="CF143" ca="1">INDIRECT($BM$2&amp;CF$7&amp;$CE143,1)</f>
        <v>0</v>
      </c>
      <c r="CG143" s="539" cm="1">
        <f t="array" aca="1" ref="CG143" ca="1">INDIRECT($BM$2&amp;CG$7&amp;$CE143,1)</f>
        <v>0</v>
      </c>
      <c r="CH143" s="539" cm="1">
        <f t="array" aca="1" ref="CH143" ca="1">INDIRECT($BM$2&amp;CH$7&amp;$CE143,1)</f>
        <v>0</v>
      </c>
      <c r="CI143" s="539" cm="1">
        <f t="array" aca="1" ref="CI143" ca="1">INDIRECT($BM$2&amp;CI$7&amp;$CE143,1)</f>
        <v>0</v>
      </c>
      <c r="CJ143" s="539" cm="1">
        <f t="array" aca="1" ref="CJ143" ca="1">INDIRECT($BM$2&amp;CJ$7&amp;$CE143,1)</f>
        <v>0</v>
      </c>
      <c r="CK143" s="539" t="str">
        <f t="shared" ca="1" si="98"/>
        <v>-</v>
      </c>
      <c r="CU143" s="469" t="s">
        <v>5510</v>
      </c>
      <c r="EQ143" s="469" t="s">
        <v>5510</v>
      </c>
      <c r="GC143" s="472" t="s">
        <v>5510</v>
      </c>
      <c r="HN143" s="20"/>
      <c r="HP143" s="472"/>
    </row>
    <row r="144" spans="1:224" x14ac:dyDescent="0.25">
      <c r="B144" s="506" t="s">
        <v>5916</v>
      </c>
      <c r="C144" s="632" t="s">
        <v>5900</v>
      </c>
      <c r="D144" s="632" t="s">
        <v>5807</v>
      </c>
      <c r="E144" s="525" t="s">
        <v>5807</v>
      </c>
      <c r="H144" s="518" t="s">
        <v>5932</v>
      </c>
      <c r="I144" s="492" t="str">
        <f ca="1">IF(COUNTIF(T159:V159,1)&gt;0,"sim","não")</f>
        <v>não</v>
      </c>
      <c r="J144" s="20" t="s">
        <v>5934</v>
      </c>
      <c r="AV144" s="469" t="s">
        <v>5510</v>
      </c>
      <c r="BF144" s="469" t="s">
        <v>5510</v>
      </c>
      <c r="BH144" s="539" t="s">
        <v>8045</v>
      </c>
      <c r="BI144" s="539">
        <f t="shared" si="99"/>
        <v>155</v>
      </c>
      <c r="BJ144" s="539" cm="1">
        <f t="array" aca="1" ref="BJ144" ca="1">INDIRECT($BM$2&amp;BJ$7&amp;$BI144,1)</f>
        <v>0</v>
      </c>
      <c r="BK144" s="539" cm="1">
        <f t="array" aca="1" ref="BK144" ca="1">INDIRECT($BM$2&amp;BK$7&amp;$BI144,1)</f>
        <v>0</v>
      </c>
      <c r="BL144" s="539" cm="1">
        <f t="array" aca="1" ref="BL144" ca="1">INDIRECT($BM$2&amp;BL$7&amp;$BI144,1)</f>
        <v>0</v>
      </c>
      <c r="BM144" s="539" cm="1">
        <f t="array" aca="1" ref="BM144" ca="1">INDIRECT($BM$2&amp;BM$7&amp;$BI144,1)</f>
        <v>0</v>
      </c>
      <c r="BN144" s="539" cm="1">
        <f t="array" aca="1" ref="BN144" ca="1">INDIRECT($BM$2&amp;BN$7&amp;$BI144,1)</f>
        <v>0</v>
      </c>
      <c r="BO144" s="539" t="str">
        <f t="shared" ca="1" si="96"/>
        <v>-</v>
      </c>
      <c r="BQ144" s="20"/>
      <c r="BR144" s="469">
        <v>7</v>
      </c>
      <c r="BS144" s="539" t="s">
        <v>8045</v>
      </c>
      <c r="BT144" s="539">
        <f t="shared" si="100"/>
        <v>501</v>
      </c>
      <c r="BU144" s="539" cm="1">
        <f t="array" aca="1" ref="BU144" ca="1">INDIRECT($BM$2&amp;BU$7&amp;$BT144,1)</f>
        <v>0</v>
      </c>
      <c r="BV144" s="539" cm="1">
        <f t="array" aca="1" ref="BV144" ca="1">INDIRECT($BM$2&amp;BV$7&amp;$BT144,1)</f>
        <v>0</v>
      </c>
      <c r="BW144" s="539" cm="1">
        <f t="array" aca="1" ref="BW144" ca="1">INDIRECT($BM$2&amp;BW$7&amp;$BT144,1)</f>
        <v>0</v>
      </c>
      <c r="BX144" s="539" cm="1">
        <f t="array" aca="1" ref="BX144" ca="1">INDIRECT($BM$2&amp;BX$7&amp;$BT144,1)</f>
        <v>0</v>
      </c>
      <c r="BY144" s="539" cm="1">
        <f t="array" aca="1" ref="BY144" ca="1">INDIRECT($BM$2&amp;BY$7&amp;$BT144,1)</f>
        <v>0</v>
      </c>
      <c r="BZ144" s="539" t="str">
        <f t="shared" ca="1" si="97"/>
        <v>-</v>
      </c>
      <c r="CC144" s="469">
        <v>7</v>
      </c>
      <c r="CD144" s="539" t="s">
        <v>8045</v>
      </c>
      <c r="CE144" s="539">
        <f t="shared" si="101"/>
        <v>847</v>
      </c>
      <c r="CF144" s="539" cm="1">
        <f t="array" aca="1" ref="CF144" ca="1">INDIRECT($BM$2&amp;CF$7&amp;$CE144,1)</f>
        <v>0</v>
      </c>
      <c r="CG144" s="539" cm="1">
        <f t="array" aca="1" ref="CG144" ca="1">INDIRECT($BM$2&amp;CG$7&amp;$CE144,1)</f>
        <v>0</v>
      </c>
      <c r="CH144" s="539" cm="1">
        <f t="array" aca="1" ref="CH144" ca="1">INDIRECT($BM$2&amp;CH$7&amp;$CE144,1)</f>
        <v>0</v>
      </c>
      <c r="CI144" s="539" cm="1">
        <f t="array" aca="1" ref="CI144" ca="1">INDIRECT($BM$2&amp;CI$7&amp;$CE144,1)</f>
        <v>0</v>
      </c>
      <c r="CJ144" s="539" cm="1">
        <f t="array" aca="1" ref="CJ144" ca="1">INDIRECT($BM$2&amp;CJ$7&amp;$CE144,1)</f>
        <v>0</v>
      </c>
      <c r="CK144" s="539" t="str">
        <f t="shared" ca="1" si="98"/>
        <v>-</v>
      </c>
      <c r="CU144" s="469" t="s">
        <v>5510</v>
      </c>
      <c r="EQ144" s="469" t="s">
        <v>5510</v>
      </c>
      <c r="GC144" s="472" t="s">
        <v>5510</v>
      </c>
      <c r="HN144" s="20"/>
      <c r="HP144" s="472"/>
    </row>
    <row r="145" spans="1:224" x14ac:dyDescent="0.25">
      <c r="B145" s="506"/>
      <c r="C145" s="552" t="s">
        <v>5915</v>
      </c>
      <c r="D145" s="552" t="s">
        <v>5915</v>
      </c>
      <c r="E145" s="552" t="s">
        <v>5915</v>
      </c>
      <c r="H145" s="518">
        <f>GL5</f>
        <v>0</v>
      </c>
      <c r="I145" s="492" t="str">
        <f ca="1">IF(OR(I143="sim",I144="Sim"),"sim","não")</f>
        <v>não</v>
      </c>
      <c r="J145" s="20" t="s">
        <v>5935</v>
      </c>
      <c r="AV145" s="469" t="s">
        <v>5510</v>
      </c>
      <c r="BF145" s="469" t="s">
        <v>5510</v>
      </c>
      <c r="BH145" s="539" t="s">
        <v>8045</v>
      </c>
      <c r="BI145" s="539">
        <f t="shared" si="99"/>
        <v>156</v>
      </c>
      <c r="BJ145" s="539" cm="1">
        <f t="array" aca="1" ref="BJ145" ca="1">INDIRECT($BM$2&amp;BJ$7&amp;$BI145,1)</f>
        <v>0</v>
      </c>
      <c r="BK145" s="539" cm="1">
        <f t="array" aca="1" ref="BK145" ca="1">INDIRECT($BM$2&amp;BK$7&amp;$BI145,1)</f>
        <v>0</v>
      </c>
      <c r="BL145" s="539" cm="1">
        <f t="array" aca="1" ref="BL145" ca="1">INDIRECT($BM$2&amp;BL$7&amp;$BI145,1)</f>
        <v>0</v>
      </c>
      <c r="BM145" s="539" cm="1">
        <f t="array" aca="1" ref="BM145" ca="1">INDIRECT($BM$2&amp;BM$7&amp;$BI145,1)</f>
        <v>0</v>
      </c>
      <c r="BN145" s="539" cm="1">
        <f t="array" aca="1" ref="BN145" ca="1">INDIRECT($BM$2&amp;BN$7&amp;$BI145,1)</f>
        <v>0</v>
      </c>
      <c r="BO145" s="539" t="str">
        <f t="shared" ca="1" si="96"/>
        <v>-</v>
      </c>
      <c r="BQ145" s="20"/>
      <c r="BR145" s="469">
        <v>8</v>
      </c>
      <c r="BS145" s="539" t="s">
        <v>8045</v>
      </c>
      <c r="BT145" s="539">
        <f t="shared" si="100"/>
        <v>502</v>
      </c>
      <c r="BU145" s="539" cm="1">
        <f t="array" aca="1" ref="BU145" ca="1">INDIRECT($BM$2&amp;BU$7&amp;$BT145,1)</f>
        <v>0</v>
      </c>
      <c r="BV145" s="539" cm="1">
        <f t="array" aca="1" ref="BV145" ca="1">INDIRECT($BM$2&amp;BV$7&amp;$BT145,1)</f>
        <v>0</v>
      </c>
      <c r="BW145" s="539" cm="1">
        <f t="array" aca="1" ref="BW145" ca="1">INDIRECT($BM$2&amp;BW$7&amp;$BT145,1)</f>
        <v>0</v>
      </c>
      <c r="BX145" s="539" cm="1">
        <f t="array" aca="1" ref="BX145" ca="1">INDIRECT($BM$2&amp;BX$7&amp;$BT145,1)</f>
        <v>0</v>
      </c>
      <c r="BY145" s="539" cm="1">
        <f t="array" aca="1" ref="BY145" ca="1">INDIRECT($BM$2&amp;BY$7&amp;$BT145,1)</f>
        <v>0</v>
      </c>
      <c r="BZ145" s="539" t="str">
        <f t="shared" ca="1" si="97"/>
        <v>-</v>
      </c>
      <c r="CC145" s="469">
        <v>8</v>
      </c>
      <c r="CD145" s="539" t="s">
        <v>8045</v>
      </c>
      <c r="CE145" s="539">
        <f t="shared" si="101"/>
        <v>848</v>
      </c>
      <c r="CF145" s="539" cm="1">
        <f t="array" aca="1" ref="CF145" ca="1">INDIRECT($BM$2&amp;CF$7&amp;$CE145,1)</f>
        <v>0</v>
      </c>
      <c r="CG145" s="539" cm="1">
        <f t="array" aca="1" ref="CG145" ca="1">INDIRECT($BM$2&amp;CG$7&amp;$CE145,1)</f>
        <v>0</v>
      </c>
      <c r="CH145" s="539" cm="1">
        <f t="array" aca="1" ref="CH145" ca="1">INDIRECT($BM$2&amp;CH$7&amp;$CE145,1)</f>
        <v>0</v>
      </c>
      <c r="CI145" s="539" cm="1">
        <f t="array" aca="1" ref="CI145" ca="1">INDIRECT($BM$2&amp;CI$7&amp;$CE145,1)</f>
        <v>0</v>
      </c>
      <c r="CJ145" s="539" cm="1">
        <f t="array" aca="1" ref="CJ145" ca="1">INDIRECT($BM$2&amp;CJ$7&amp;$CE145,1)</f>
        <v>0</v>
      </c>
      <c r="CK145" s="539" t="str">
        <f t="shared" ca="1" si="98"/>
        <v>-</v>
      </c>
      <c r="CU145" s="469" t="s">
        <v>5510</v>
      </c>
      <c r="EQ145" s="469" t="s">
        <v>5510</v>
      </c>
      <c r="GC145" s="472" t="s">
        <v>5510</v>
      </c>
      <c r="HN145" s="20"/>
      <c r="HP145" s="472"/>
    </row>
    <row r="146" spans="1:224" x14ac:dyDescent="0.25">
      <c r="A146" s="572"/>
      <c r="B146" s="506" t="s">
        <v>63</v>
      </c>
      <c r="C146" s="525" t="s">
        <v>10</v>
      </c>
      <c r="D146" s="525" t="s">
        <v>5808</v>
      </c>
      <c r="E146" s="525" t="s">
        <v>5900</v>
      </c>
      <c r="AV146" s="469" t="s">
        <v>5510</v>
      </c>
      <c r="BF146" s="469" t="s">
        <v>5510</v>
      </c>
      <c r="BH146" s="539" t="s">
        <v>8045</v>
      </c>
      <c r="BI146" s="539">
        <f t="shared" si="99"/>
        <v>157</v>
      </c>
      <c r="BJ146" s="539" cm="1">
        <f t="array" aca="1" ref="BJ146" ca="1">INDIRECT($BM$2&amp;BJ$7&amp;$BI146,1)</f>
        <v>0</v>
      </c>
      <c r="BK146" s="539" cm="1">
        <f t="array" aca="1" ref="BK146" ca="1">INDIRECT($BM$2&amp;BK$7&amp;$BI146,1)</f>
        <v>0</v>
      </c>
      <c r="BL146" s="539" cm="1">
        <f t="array" aca="1" ref="BL146" ca="1">INDIRECT($BM$2&amp;BL$7&amp;$BI146,1)</f>
        <v>0</v>
      </c>
      <c r="BM146" s="539" cm="1">
        <f t="array" aca="1" ref="BM146" ca="1">INDIRECT($BM$2&amp;BM$7&amp;$BI146,1)</f>
        <v>0</v>
      </c>
      <c r="BN146" s="539" cm="1">
        <f t="array" aca="1" ref="BN146" ca="1">INDIRECT($BM$2&amp;BN$7&amp;$BI146,1)</f>
        <v>0</v>
      </c>
      <c r="BO146" s="539" t="str">
        <f t="shared" ca="1" si="96"/>
        <v>-</v>
      </c>
      <c r="BQ146" s="20"/>
      <c r="BR146" s="469">
        <v>9</v>
      </c>
      <c r="BS146" s="539" t="s">
        <v>8045</v>
      </c>
      <c r="BT146" s="539">
        <f t="shared" si="100"/>
        <v>503</v>
      </c>
      <c r="BU146" s="539" cm="1">
        <f t="array" aca="1" ref="BU146" ca="1">INDIRECT($BM$2&amp;BU$7&amp;$BT146,1)</f>
        <v>0</v>
      </c>
      <c r="BV146" s="539" cm="1">
        <f t="array" aca="1" ref="BV146" ca="1">INDIRECT($BM$2&amp;BV$7&amp;$BT146,1)</f>
        <v>0</v>
      </c>
      <c r="BW146" s="539" cm="1">
        <f t="array" aca="1" ref="BW146" ca="1">INDIRECT($BM$2&amp;BW$7&amp;$BT146,1)</f>
        <v>0</v>
      </c>
      <c r="BX146" s="539" cm="1">
        <f t="array" aca="1" ref="BX146" ca="1">INDIRECT($BM$2&amp;BX$7&amp;$BT146,1)</f>
        <v>0</v>
      </c>
      <c r="BY146" s="539" cm="1">
        <f t="array" aca="1" ref="BY146" ca="1">INDIRECT($BM$2&amp;BY$7&amp;$BT146,1)</f>
        <v>0</v>
      </c>
      <c r="BZ146" s="539" t="str">
        <f t="shared" ca="1" si="97"/>
        <v>-</v>
      </c>
      <c r="CC146" s="469">
        <v>9</v>
      </c>
      <c r="CD146" s="539" t="s">
        <v>8045</v>
      </c>
      <c r="CE146" s="539">
        <f t="shared" si="101"/>
        <v>849</v>
      </c>
      <c r="CF146" s="539" cm="1">
        <f t="array" aca="1" ref="CF146" ca="1">INDIRECT($BM$2&amp;CF$7&amp;$CE146,1)</f>
        <v>0</v>
      </c>
      <c r="CG146" s="539" cm="1">
        <f t="array" aca="1" ref="CG146" ca="1">INDIRECT($BM$2&amp;CG$7&amp;$CE146,1)</f>
        <v>0</v>
      </c>
      <c r="CH146" s="539" cm="1">
        <f t="array" aca="1" ref="CH146" ca="1">INDIRECT($BM$2&amp;CH$7&amp;$CE146,1)</f>
        <v>0</v>
      </c>
      <c r="CI146" s="539" cm="1">
        <f t="array" aca="1" ref="CI146" ca="1">INDIRECT($BM$2&amp;CI$7&amp;$CE146,1)</f>
        <v>0</v>
      </c>
      <c r="CJ146" s="539" cm="1">
        <f t="array" aca="1" ref="CJ146" ca="1">INDIRECT($BM$2&amp;CJ$7&amp;$CE146,1)</f>
        <v>0</v>
      </c>
      <c r="CK146" s="539" t="str">
        <f t="shared" ca="1" si="98"/>
        <v>-</v>
      </c>
      <c r="CU146" s="469" t="s">
        <v>5510</v>
      </c>
      <c r="EQ146" s="469" t="s">
        <v>5510</v>
      </c>
      <c r="GC146" s="472" t="s">
        <v>5510</v>
      </c>
      <c r="HN146" s="20"/>
      <c r="HP146" s="472"/>
    </row>
    <row r="147" spans="1:224" x14ac:dyDescent="0.25">
      <c r="B147" s="506" t="s">
        <v>64</v>
      </c>
      <c r="C147" s="525" t="s">
        <v>10</v>
      </c>
      <c r="D147" s="525" t="s">
        <v>10</v>
      </c>
      <c r="E147" s="525" t="s">
        <v>10</v>
      </c>
      <c r="AV147" s="469" t="s">
        <v>5510</v>
      </c>
      <c r="BF147" s="469" t="s">
        <v>5510</v>
      </c>
      <c r="BH147" s="539" t="s">
        <v>8045</v>
      </c>
      <c r="BI147" s="539">
        <f t="shared" si="99"/>
        <v>158</v>
      </c>
      <c r="BJ147" s="539" cm="1">
        <f t="array" aca="1" ref="BJ147" ca="1">INDIRECT($BM$2&amp;BJ$7&amp;$BI147,1)</f>
        <v>0</v>
      </c>
      <c r="BK147" s="539" cm="1">
        <f t="array" aca="1" ref="BK147" ca="1">INDIRECT($BM$2&amp;BK$7&amp;$BI147,1)</f>
        <v>0</v>
      </c>
      <c r="BL147" s="539" cm="1">
        <f t="array" aca="1" ref="BL147" ca="1">INDIRECT($BM$2&amp;BL$7&amp;$BI147,1)</f>
        <v>0</v>
      </c>
      <c r="BM147" s="539" cm="1">
        <f t="array" aca="1" ref="BM147" ca="1">INDIRECT($BM$2&amp;BM$7&amp;$BI147,1)</f>
        <v>0</v>
      </c>
      <c r="BN147" s="539" cm="1">
        <f t="array" aca="1" ref="BN147" ca="1">INDIRECT($BM$2&amp;BN$7&amp;$BI147,1)</f>
        <v>0</v>
      </c>
      <c r="BO147" s="539" t="str">
        <f t="shared" ca="1" si="96"/>
        <v>-</v>
      </c>
      <c r="BQ147" s="20"/>
      <c r="BR147" s="469">
        <v>10</v>
      </c>
      <c r="BS147" s="539" t="s">
        <v>8045</v>
      </c>
      <c r="BT147" s="539">
        <f t="shared" si="100"/>
        <v>504</v>
      </c>
      <c r="BU147" s="539" cm="1">
        <f t="array" aca="1" ref="BU147" ca="1">INDIRECT($BM$2&amp;BU$7&amp;$BT147,1)</f>
        <v>0</v>
      </c>
      <c r="BV147" s="539" cm="1">
        <f t="array" aca="1" ref="BV147" ca="1">INDIRECT($BM$2&amp;BV$7&amp;$BT147,1)</f>
        <v>0</v>
      </c>
      <c r="BW147" s="539" cm="1">
        <f t="array" aca="1" ref="BW147" ca="1">INDIRECT($BM$2&amp;BW$7&amp;$BT147,1)</f>
        <v>0</v>
      </c>
      <c r="BX147" s="539" cm="1">
        <f t="array" aca="1" ref="BX147" ca="1">INDIRECT($BM$2&amp;BX$7&amp;$BT147,1)</f>
        <v>0</v>
      </c>
      <c r="BY147" s="539" cm="1">
        <f t="array" aca="1" ref="BY147" ca="1">INDIRECT($BM$2&amp;BY$7&amp;$BT147,1)</f>
        <v>0</v>
      </c>
      <c r="BZ147" s="539" t="str">
        <f t="shared" ca="1" si="97"/>
        <v>-</v>
      </c>
      <c r="CC147" s="469">
        <v>10</v>
      </c>
      <c r="CD147" s="539" t="s">
        <v>8045</v>
      </c>
      <c r="CE147" s="539">
        <f t="shared" si="101"/>
        <v>850</v>
      </c>
      <c r="CF147" s="539" cm="1">
        <f t="array" aca="1" ref="CF147" ca="1">INDIRECT($BM$2&amp;CF$7&amp;$CE147,1)</f>
        <v>0</v>
      </c>
      <c r="CG147" s="539" cm="1">
        <f t="array" aca="1" ref="CG147" ca="1">INDIRECT($BM$2&amp;CG$7&amp;$CE147,1)</f>
        <v>0</v>
      </c>
      <c r="CH147" s="539" cm="1">
        <f t="array" aca="1" ref="CH147" ca="1">INDIRECT($BM$2&amp;CH$7&amp;$CE147,1)</f>
        <v>0</v>
      </c>
      <c r="CI147" s="539" cm="1">
        <f t="array" aca="1" ref="CI147" ca="1">INDIRECT($BM$2&amp;CI$7&amp;$CE147,1)</f>
        <v>0</v>
      </c>
      <c r="CJ147" s="539" cm="1">
        <f t="array" aca="1" ref="CJ147" ca="1">INDIRECT($BM$2&amp;CJ$7&amp;$CE147,1)</f>
        <v>0</v>
      </c>
      <c r="CK147" s="539" t="str">
        <f t="shared" ca="1" si="98"/>
        <v>-</v>
      </c>
      <c r="CU147" s="469" t="s">
        <v>5510</v>
      </c>
      <c r="EQ147" s="469" t="s">
        <v>5510</v>
      </c>
      <c r="GC147" s="472" t="s">
        <v>5510</v>
      </c>
      <c r="HN147" s="20"/>
      <c r="HP147" s="472"/>
    </row>
    <row r="148" spans="1:224" x14ac:dyDescent="0.25">
      <c r="B148" s="506" t="s">
        <v>65</v>
      </c>
      <c r="C148" s="525" t="s">
        <v>10</v>
      </c>
      <c r="D148" s="525" t="s">
        <v>5902</v>
      </c>
      <c r="E148" s="525" t="s">
        <v>5900</v>
      </c>
      <c r="H148" s="518" t="s">
        <v>5922</v>
      </c>
      <c r="I148" s="492" cm="1">
        <f t="array" aca="1" ref="I148" ca="1">IF(INDIRECT(B159&amp;"N59",1)&lt;&gt;"",1,0)</f>
        <v>0</v>
      </c>
      <c r="J148" s="20" t="s">
        <v>5941</v>
      </c>
      <c r="AV148" s="469" t="s">
        <v>5510</v>
      </c>
      <c r="BF148" s="469" t="s">
        <v>5510</v>
      </c>
      <c r="BH148" s="539" t="s">
        <v>8045</v>
      </c>
      <c r="BI148" s="539">
        <f t="shared" si="99"/>
        <v>159</v>
      </c>
      <c r="BJ148" s="539" cm="1">
        <f t="array" aca="1" ref="BJ148" ca="1">INDIRECT($BM$2&amp;BJ$7&amp;$BI148,1)</f>
        <v>0</v>
      </c>
      <c r="BK148" s="539" cm="1">
        <f t="array" aca="1" ref="BK148" ca="1">INDIRECT($BM$2&amp;BK$7&amp;$BI148,1)</f>
        <v>0</v>
      </c>
      <c r="BL148" s="539" cm="1">
        <f t="array" aca="1" ref="BL148" ca="1">INDIRECT($BM$2&amp;BL$7&amp;$BI148,1)</f>
        <v>0</v>
      </c>
      <c r="BM148" s="539" cm="1">
        <f t="array" aca="1" ref="BM148" ca="1">INDIRECT($BM$2&amp;BM$7&amp;$BI148,1)</f>
        <v>0</v>
      </c>
      <c r="BN148" s="539" cm="1">
        <f t="array" aca="1" ref="BN148" ca="1">INDIRECT($BM$2&amp;BN$7&amp;$BI148,1)</f>
        <v>0</v>
      </c>
      <c r="BO148" s="539" t="str">
        <f t="shared" ca="1" si="96"/>
        <v>-</v>
      </c>
      <c r="BQ148" s="20"/>
      <c r="BR148" s="469">
        <v>11</v>
      </c>
      <c r="BS148" s="539" t="s">
        <v>8045</v>
      </c>
      <c r="BT148" s="539">
        <f t="shared" si="100"/>
        <v>505</v>
      </c>
      <c r="BU148" s="539" cm="1">
        <f t="array" aca="1" ref="BU148" ca="1">INDIRECT($BM$2&amp;BU$7&amp;$BT148,1)</f>
        <v>0</v>
      </c>
      <c r="BV148" s="539" cm="1">
        <f t="array" aca="1" ref="BV148" ca="1">INDIRECT($BM$2&amp;BV$7&amp;$BT148,1)</f>
        <v>0</v>
      </c>
      <c r="BW148" s="539" cm="1">
        <f t="array" aca="1" ref="BW148" ca="1">INDIRECT($BM$2&amp;BW$7&amp;$BT148,1)</f>
        <v>0</v>
      </c>
      <c r="BX148" s="539" cm="1">
        <f t="array" aca="1" ref="BX148" ca="1">INDIRECT($BM$2&amp;BX$7&amp;$BT148,1)</f>
        <v>0</v>
      </c>
      <c r="BY148" s="539" cm="1">
        <f t="array" aca="1" ref="BY148" ca="1">INDIRECT($BM$2&amp;BY$7&amp;$BT148,1)</f>
        <v>0</v>
      </c>
      <c r="BZ148" s="539" t="str">
        <f t="shared" ca="1" si="97"/>
        <v>-</v>
      </c>
      <c r="CC148" s="469">
        <v>11</v>
      </c>
      <c r="CD148" s="539" t="s">
        <v>8045</v>
      </c>
      <c r="CE148" s="539">
        <f t="shared" si="101"/>
        <v>851</v>
      </c>
      <c r="CF148" s="539" cm="1">
        <f t="array" aca="1" ref="CF148" ca="1">INDIRECT($BM$2&amp;CF$7&amp;$CE148,1)</f>
        <v>0</v>
      </c>
      <c r="CG148" s="539" cm="1">
        <f t="array" aca="1" ref="CG148" ca="1">INDIRECT($BM$2&amp;CG$7&amp;$CE148,1)</f>
        <v>0</v>
      </c>
      <c r="CH148" s="539" cm="1">
        <f t="array" aca="1" ref="CH148" ca="1">INDIRECT($BM$2&amp;CH$7&amp;$CE148,1)</f>
        <v>0</v>
      </c>
      <c r="CI148" s="539" cm="1">
        <f t="array" aca="1" ref="CI148" ca="1">INDIRECT($BM$2&amp;CI$7&amp;$CE148,1)</f>
        <v>0</v>
      </c>
      <c r="CJ148" s="539" cm="1">
        <f t="array" aca="1" ref="CJ148" ca="1">INDIRECT($BM$2&amp;CJ$7&amp;$CE148,1)</f>
        <v>0</v>
      </c>
      <c r="CK148" s="539" t="str">
        <f t="shared" ca="1" si="98"/>
        <v>-</v>
      </c>
      <c r="CU148" s="469" t="s">
        <v>5510</v>
      </c>
      <c r="EQ148" s="469" t="s">
        <v>5510</v>
      </c>
      <c r="GC148" s="472" t="s">
        <v>5510</v>
      </c>
      <c r="HN148" s="20"/>
      <c r="HP148" s="472"/>
    </row>
    <row r="149" spans="1:224" x14ac:dyDescent="0.25">
      <c r="B149" s="506" t="s">
        <v>67</v>
      </c>
      <c r="C149" s="525" t="s">
        <v>10</v>
      </c>
      <c r="D149" s="525" t="s">
        <v>10</v>
      </c>
      <c r="E149" s="525" t="s">
        <v>5807</v>
      </c>
      <c r="H149" s="518" t="s">
        <v>5918</v>
      </c>
      <c r="I149" s="492">
        <f ca="1">IF(I145="sim",1,0)</f>
        <v>0</v>
      </c>
      <c r="J149" s="20" t="s">
        <v>5939</v>
      </c>
      <c r="AV149" s="469" t="s">
        <v>5510</v>
      </c>
      <c r="BF149" s="469" t="s">
        <v>5510</v>
      </c>
      <c r="BH149" s="539" t="s">
        <v>8045</v>
      </c>
      <c r="BI149" s="539">
        <f t="shared" si="99"/>
        <v>160</v>
      </c>
      <c r="BJ149" s="539" cm="1">
        <f t="array" aca="1" ref="BJ149" ca="1">INDIRECT($BM$2&amp;BJ$7&amp;$BI149,1)</f>
        <v>0</v>
      </c>
      <c r="BK149" s="539" cm="1">
        <f t="array" aca="1" ref="BK149" ca="1">INDIRECT($BM$2&amp;BK$7&amp;$BI149,1)</f>
        <v>0</v>
      </c>
      <c r="BL149" s="539" cm="1">
        <f t="array" aca="1" ref="BL149" ca="1">INDIRECT($BM$2&amp;BL$7&amp;$BI149,1)</f>
        <v>0</v>
      </c>
      <c r="BM149" s="539" cm="1">
        <f t="array" aca="1" ref="BM149" ca="1">INDIRECT($BM$2&amp;BM$7&amp;$BI149,1)</f>
        <v>0</v>
      </c>
      <c r="BN149" s="539" t="str" cm="1">
        <f t="array" aca="1" ref="BN149" ca="1">INDIRECT($BM$2&amp;BN$7&amp;$BI149,1)</f>
        <v>-</v>
      </c>
      <c r="BO149" s="539" t="str">
        <f t="shared" ca="1" si="96"/>
        <v>-</v>
      </c>
      <c r="BQ149" s="20"/>
      <c r="BR149" s="469">
        <v>12</v>
      </c>
      <c r="BS149" s="539" t="s">
        <v>8045</v>
      </c>
      <c r="BT149" s="539">
        <f t="shared" si="100"/>
        <v>506</v>
      </c>
      <c r="BU149" s="539" cm="1">
        <f t="array" aca="1" ref="BU149" ca="1">INDIRECT($BM$2&amp;BU$7&amp;$BT149,1)</f>
        <v>0</v>
      </c>
      <c r="BV149" s="539" cm="1">
        <f t="array" aca="1" ref="BV149" ca="1">INDIRECT($BM$2&amp;BV$7&amp;$BT149,1)</f>
        <v>0</v>
      </c>
      <c r="BW149" s="539" cm="1">
        <f t="array" aca="1" ref="BW149" ca="1">INDIRECT($BM$2&amp;BW$7&amp;$BT149,1)</f>
        <v>0</v>
      </c>
      <c r="BX149" s="539" cm="1">
        <f t="array" aca="1" ref="BX149" ca="1">INDIRECT($BM$2&amp;BX$7&amp;$BT149,1)</f>
        <v>0</v>
      </c>
      <c r="BY149" s="539" t="str" cm="1">
        <f t="array" aca="1" ref="BY149" ca="1">INDIRECT($BM$2&amp;BY$7&amp;$BT149,1)</f>
        <v>-</v>
      </c>
      <c r="BZ149" s="539" t="str">
        <f t="shared" ca="1" si="97"/>
        <v>-</v>
      </c>
      <c r="CC149" s="469">
        <v>12</v>
      </c>
      <c r="CD149" s="539" t="s">
        <v>8045</v>
      </c>
      <c r="CE149" s="539">
        <f t="shared" si="101"/>
        <v>852</v>
      </c>
      <c r="CF149" s="539" cm="1">
        <f t="array" aca="1" ref="CF149" ca="1">INDIRECT($BM$2&amp;CF$7&amp;$CE149,1)</f>
        <v>0</v>
      </c>
      <c r="CG149" s="539" cm="1">
        <f t="array" aca="1" ref="CG149" ca="1">INDIRECT($BM$2&amp;CG$7&amp;$CE149,1)</f>
        <v>0</v>
      </c>
      <c r="CH149" s="539" cm="1">
        <f t="array" aca="1" ref="CH149" ca="1">INDIRECT($BM$2&amp;CH$7&amp;$CE149,1)</f>
        <v>0</v>
      </c>
      <c r="CI149" s="539" cm="1">
        <f t="array" aca="1" ref="CI149" ca="1">INDIRECT($BM$2&amp;CI$7&amp;$CE149,1)</f>
        <v>0</v>
      </c>
      <c r="CJ149" s="539" t="str" cm="1">
        <f t="array" aca="1" ref="CJ149" ca="1">INDIRECT($BM$2&amp;CJ$7&amp;$CE149,1)</f>
        <v>-</v>
      </c>
      <c r="CK149" s="539" t="str">
        <f t="shared" ca="1" si="98"/>
        <v>-</v>
      </c>
      <c r="CU149" s="469" t="s">
        <v>5510</v>
      </c>
      <c r="EQ149" s="469" t="s">
        <v>5510</v>
      </c>
      <c r="GC149" s="472" t="s">
        <v>5510</v>
      </c>
      <c r="HN149" s="20"/>
      <c r="HP149" s="472"/>
    </row>
    <row r="150" spans="1:224" x14ac:dyDescent="0.25">
      <c r="B150" s="506" t="s">
        <v>68</v>
      </c>
      <c r="C150" s="525" t="s">
        <v>10</v>
      </c>
      <c r="D150" s="525" t="s">
        <v>10</v>
      </c>
      <c r="E150" s="525" t="s">
        <v>5807</v>
      </c>
      <c r="H150" s="518" t="s">
        <v>5919</v>
      </c>
      <c r="I150" s="492">
        <f ca="1">IF(
OR(COUNTIF(Q159:S159,D146)&gt;=2,
COUNTIF(Q161:S161,D148)&gt;=2),1,0)</f>
        <v>0</v>
      </c>
      <c r="J150" s="20" t="s">
        <v>5940</v>
      </c>
      <c r="AV150" s="469" t="s">
        <v>5510</v>
      </c>
      <c r="BF150" s="469" t="s">
        <v>5510</v>
      </c>
      <c r="BL150" s="372"/>
      <c r="BO150" s="472"/>
      <c r="BQ150" s="20"/>
      <c r="BT150" s="372"/>
      <c r="BU150" s="472"/>
      <c r="BV150" s="472"/>
      <c r="BW150" s="372"/>
      <c r="BX150" s="472"/>
      <c r="BY150" s="372"/>
      <c r="BZ150" s="472"/>
      <c r="CE150" s="372"/>
      <c r="CF150" s="472"/>
      <c r="CG150" s="472"/>
      <c r="CH150" s="372"/>
      <c r="CI150" s="472"/>
      <c r="CJ150" s="372"/>
      <c r="CK150" s="472"/>
      <c r="CU150" s="469" t="s">
        <v>5510</v>
      </c>
      <c r="EQ150" s="469" t="s">
        <v>5510</v>
      </c>
      <c r="GC150" s="472" t="s">
        <v>5510</v>
      </c>
      <c r="HN150" s="20"/>
      <c r="HP150" s="472"/>
    </row>
    <row r="151" spans="1:224" x14ac:dyDescent="0.25">
      <c r="B151" s="506" t="s">
        <v>5903</v>
      </c>
      <c r="C151" s="525" t="s">
        <v>2044</v>
      </c>
      <c r="D151" s="525" t="s">
        <v>10</v>
      </c>
      <c r="E151" s="525" t="s">
        <v>5917</v>
      </c>
      <c r="H151" s="518" t="s">
        <v>5920</v>
      </c>
      <c r="I151" s="492">
        <f ca="1">IF(
OR(COUNTIF(Q159:S159,E146)&gt;=2,
COUNTIF(Q161:S161,E148)&gt;=2,
COUNTIF(Q162:S162,E149)&gt;=2,
COUNTIF(Q163:S163,E150)&gt;=2),
1,0)</f>
        <v>0</v>
      </c>
      <c r="J151" s="20" t="s">
        <v>5938</v>
      </c>
      <c r="BF151" s="469" t="s">
        <v>5510</v>
      </c>
      <c r="BL151" s="372"/>
      <c r="BO151" s="472"/>
      <c r="BQ151" s="20"/>
      <c r="BT151" s="372"/>
      <c r="BU151" s="472"/>
      <c r="BV151" s="472"/>
      <c r="BW151" s="372"/>
      <c r="BX151" s="472"/>
      <c r="BY151" s="372"/>
      <c r="BZ151" s="472"/>
      <c r="CE151" s="372"/>
      <c r="CF151" s="472"/>
      <c r="CG151" s="472"/>
      <c r="CH151" s="372"/>
      <c r="CI151" s="472"/>
      <c r="CJ151" s="372"/>
      <c r="CK151" s="472"/>
      <c r="CU151" s="469" t="s">
        <v>5510</v>
      </c>
      <c r="EQ151" s="469" t="s">
        <v>5510</v>
      </c>
      <c r="GC151" s="472" t="s">
        <v>5510</v>
      </c>
      <c r="HN151" s="20"/>
      <c r="HP151" s="472"/>
    </row>
    <row r="152" spans="1:224" x14ac:dyDescent="0.25">
      <c r="H152" s="652" t="s">
        <v>5921</v>
      </c>
      <c r="I152" s="653">
        <f ca="1">IF(I149=1,1,
IF(I150=1,2,
IF(I151=1,3,
IF(I148=1,4,0))))</f>
        <v>0</v>
      </c>
      <c r="J152" s="20" t="s">
        <v>5937</v>
      </c>
      <c r="BF152" s="469" t="s">
        <v>5510</v>
      </c>
      <c r="BQ152" s="20"/>
      <c r="BT152" s="372"/>
      <c r="BU152" s="472"/>
      <c r="BV152" s="472"/>
      <c r="BW152" s="472"/>
      <c r="BX152" s="472"/>
      <c r="BY152" s="372"/>
      <c r="BZ152" s="372"/>
      <c r="CE152" s="372"/>
      <c r="CF152" s="472"/>
      <c r="CG152" s="472"/>
      <c r="CH152" s="472"/>
      <c r="CI152" s="472"/>
      <c r="CJ152" s="372"/>
      <c r="CK152" s="372"/>
      <c r="CU152" s="469" t="s">
        <v>5510</v>
      </c>
      <c r="EQ152" s="469" t="s">
        <v>5510</v>
      </c>
      <c r="GC152" s="472" t="s">
        <v>5510</v>
      </c>
      <c r="HN152" s="20"/>
      <c r="HP152" s="472"/>
    </row>
    <row r="153" spans="1:224" x14ac:dyDescent="0.25">
      <c r="BF153" s="469" t="s">
        <v>5510</v>
      </c>
      <c r="BQ153" s="20"/>
      <c r="BT153" s="372"/>
      <c r="BU153" s="472"/>
      <c r="BV153" s="472"/>
      <c r="BW153" s="472"/>
      <c r="BX153" s="472"/>
      <c r="BY153" s="372"/>
      <c r="BZ153" s="372"/>
      <c r="CE153" s="372"/>
      <c r="CF153" s="472"/>
      <c r="CG153" s="472"/>
      <c r="CH153" s="472"/>
      <c r="CI153" s="472"/>
      <c r="CJ153" s="372"/>
      <c r="CK153" s="372"/>
      <c r="CU153" s="469" t="s">
        <v>5510</v>
      </c>
      <c r="EQ153" s="469" t="s">
        <v>5510</v>
      </c>
      <c r="GC153" s="472" t="s">
        <v>5510</v>
      </c>
      <c r="HN153" s="20"/>
      <c r="HP153" s="472"/>
    </row>
    <row r="154" spans="1:224" x14ac:dyDescent="0.25">
      <c r="BF154" s="469" t="s">
        <v>5510</v>
      </c>
      <c r="BH154" s="539" t="s">
        <v>8046</v>
      </c>
      <c r="BI154" s="539">
        <f>BI149+$BO$5</f>
        <v>166</v>
      </c>
      <c r="BJ154" s="539" cm="1">
        <f t="array" aca="1" ref="BJ154" ca="1">INDIRECT($BM$2&amp;BJ$7&amp;$BI154,1)</f>
        <v>0</v>
      </c>
      <c r="BK154" s="539" cm="1">
        <f t="array" aca="1" ref="BK154" ca="1">INDIRECT($BM$2&amp;BK$7&amp;$BI154,1)</f>
        <v>0</v>
      </c>
      <c r="BL154" s="539" cm="1">
        <f t="array" aca="1" ref="BL154" ca="1">INDIRECT($BM$2&amp;BL$7&amp;$BI154,1)</f>
        <v>0</v>
      </c>
      <c r="BM154" s="539" cm="1">
        <f t="array" aca="1" ref="BM154" ca="1">INDIRECT($BM$2&amp;BM$7&amp;$BI154,1)</f>
        <v>0</v>
      </c>
      <c r="BN154" s="539" cm="1">
        <f t="array" aca="1" ref="BN154" ca="1">INDIRECT($BM$2&amp;BN$7&amp;$BI154,1)</f>
        <v>0</v>
      </c>
      <c r="BO154" s="539" t="str">
        <f ca="1">IFERROR(BK154/BK$154,"-")</f>
        <v>-</v>
      </c>
      <c r="BQ154" s="20"/>
      <c r="BR154" s="469">
        <v>1</v>
      </c>
      <c r="BS154" s="539" t="s">
        <v>8046</v>
      </c>
      <c r="BT154" s="539">
        <f>BT149+$BO$5</f>
        <v>512</v>
      </c>
      <c r="BU154" s="539" cm="1">
        <f t="array" aca="1" ref="BU154" ca="1">INDIRECT($BM$2&amp;BU$7&amp;$BT154,1)</f>
        <v>0</v>
      </c>
      <c r="BV154" s="539" cm="1">
        <f t="array" aca="1" ref="BV154" ca="1">INDIRECT($BM$2&amp;BV$7&amp;$BT154,1)</f>
        <v>0</v>
      </c>
      <c r="BW154" s="539" cm="1">
        <f t="array" aca="1" ref="BW154" ca="1">INDIRECT($BM$2&amp;BW$7&amp;$BT154,1)</f>
        <v>0</v>
      </c>
      <c r="BX154" s="539" cm="1">
        <f t="array" aca="1" ref="BX154" ca="1">INDIRECT($BM$2&amp;BX$7&amp;$BT154,1)</f>
        <v>0</v>
      </c>
      <c r="BY154" s="539" cm="1">
        <f t="array" aca="1" ref="BY154" ca="1">INDIRECT($BM$2&amp;BY$7&amp;$BT154,1)</f>
        <v>0</v>
      </c>
      <c r="BZ154" s="539" t="str">
        <f ca="1">IFERROR(BV154/BV$154,"-")</f>
        <v>-</v>
      </c>
      <c r="CC154" s="469">
        <v>1</v>
      </c>
      <c r="CD154" s="539" t="s">
        <v>8046</v>
      </c>
      <c r="CE154" s="539">
        <f>CE149+$BO$5</f>
        <v>858</v>
      </c>
      <c r="CF154" s="539" cm="1">
        <f t="array" aca="1" ref="CF154" ca="1">INDIRECT($BM$2&amp;CF$7&amp;$CE154,1)</f>
        <v>0</v>
      </c>
      <c r="CG154" s="539" cm="1">
        <f t="array" aca="1" ref="CG154" ca="1">INDIRECT($BM$2&amp;CG$7&amp;$CE154,1)</f>
        <v>0</v>
      </c>
      <c r="CH154" s="539" cm="1">
        <f t="array" aca="1" ref="CH154" ca="1">INDIRECT($BM$2&amp;CH$7&amp;$CE154,1)</f>
        <v>0</v>
      </c>
      <c r="CI154" s="539" cm="1">
        <f t="array" aca="1" ref="CI154" ca="1">INDIRECT($BM$2&amp;CI$7&amp;$CE154,1)</f>
        <v>0</v>
      </c>
      <c r="CJ154" s="539" cm="1">
        <f t="array" aca="1" ref="CJ154" ca="1">INDIRECT($BM$2&amp;CJ$7&amp;$CE154,1)</f>
        <v>0</v>
      </c>
      <c r="CK154" s="539" t="str">
        <f ca="1">IFERROR(CG154/CG$154,"-")</f>
        <v>-</v>
      </c>
      <c r="CU154" s="469" t="s">
        <v>5510</v>
      </c>
      <c r="EQ154" s="469" t="s">
        <v>5510</v>
      </c>
      <c r="GC154" s="472" t="s">
        <v>5510</v>
      </c>
      <c r="HN154" s="20"/>
      <c r="HP154" s="472"/>
    </row>
    <row r="155" spans="1:224" x14ac:dyDescent="0.25">
      <c r="BF155" s="469" t="s">
        <v>5510</v>
      </c>
      <c r="BH155" s="539" t="s">
        <v>8046</v>
      </c>
      <c r="BI155" s="539">
        <f>BI154+1</f>
        <v>167</v>
      </c>
      <c r="BJ155" s="539" cm="1">
        <f t="array" aca="1" ref="BJ155" ca="1">INDIRECT($BM$2&amp;BJ$7&amp;$BI155,1)</f>
        <v>0</v>
      </c>
      <c r="BK155" s="539" cm="1">
        <f t="array" aca="1" ref="BK155" ca="1">INDIRECT($BM$2&amp;BK$7&amp;$BI155,1)</f>
        <v>0</v>
      </c>
      <c r="BL155" s="539" cm="1">
        <f t="array" aca="1" ref="BL155" ca="1">INDIRECT($BM$2&amp;BL$7&amp;$BI155,1)</f>
        <v>0</v>
      </c>
      <c r="BM155" s="539" cm="1">
        <f t="array" aca="1" ref="BM155" ca="1">INDIRECT($BM$2&amp;BM$7&amp;$BI155,1)</f>
        <v>0</v>
      </c>
      <c r="BN155" s="539" cm="1">
        <f t="array" aca="1" ref="BN155" ca="1">INDIRECT($BM$2&amp;BN$7&amp;$BI155,1)</f>
        <v>0</v>
      </c>
      <c r="BO155" s="539" t="str">
        <f t="shared" ref="BO155:BO165" ca="1" si="102">IF(BK155=0,"-",IFERROR(BK155/BK$154,"-"))</f>
        <v>-</v>
      </c>
      <c r="BQ155" s="20"/>
      <c r="BR155" s="469">
        <v>2</v>
      </c>
      <c r="BS155" s="539" t="s">
        <v>8046</v>
      </c>
      <c r="BT155" s="539">
        <f>BT154+1</f>
        <v>513</v>
      </c>
      <c r="BU155" s="539" cm="1">
        <f t="array" aca="1" ref="BU155" ca="1">INDIRECT($BM$2&amp;BU$7&amp;$BT155,1)</f>
        <v>0</v>
      </c>
      <c r="BV155" s="539" cm="1">
        <f t="array" aca="1" ref="BV155" ca="1">INDIRECT($BM$2&amp;BV$7&amp;$BT155,1)</f>
        <v>0</v>
      </c>
      <c r="BW155" s="539" cm="1">
        <f t="array" aca="1" ref="BW155" ca="1">INDIRECT($BM$2&amp;BW$7&amp;$BT155,1)</f>
        <v>0</v>
      </c>
      <c r="BX155" s="539" cm="1">
        <f t="array" aca="1" ref="BX155" ca="1">INDIRECT($BM$2&amp;BX$7&amp;$BT155,1)</f>
        <v>0</v>
      </c>
      <c r="BY155" s="539" cm="1">
        <f t="array" aca="1" ref="BY155" ca="1">INDIRECT($BM$2&amp;BY$7&amp;$BT155,1)</f>
        <v>0</v>
      </c>
      <c r="BZ155" s="539" t="str">
        <f t="shared" ref="BZ155:BZ165" ca="1" si="103">IF(BV155=0,"-",IFERROR(BV155/BV$154,"-"))</f>
        <v>-</v>
      </c>
      <c r="CC155" s="469">
        <v>2</v>
      </c>
      <c r="CD155" s="539" t="s">
        <v>8046</v>
      </c>
      <c r="CE155" s="539">
        <f>CE154+1</f>
        <v>859</v>
      </c>
      <c r="CF155" s="539" cm="1">
        <f t="array" aca="1" ref="CF155" ca="1">INDIRECT($BM$2&amp;CF$7&amp;$CE155,1)</f>
        <v>0</v>
      </c>
      <c r="CG155" s="539" cm="1">
        <f t="array" aca="1" ref="CG155" ca="1">INDIRECT($BM$2&amp;CG$7&amp;$CE155,1)</f>
        <v>0</v>
      </c>
      <c r="CH155" s="539" cm="1">
        <f t="array" aca="1" ref="CH155" ca="1">INDIRECT($BM$2&amp;CH$7&amp;$CE155,1)</f>
        <v>0</v>
      </c>
      <c r="CI155" s="539" cm="1">
        <f t="array" aca="1" ref="CI155" ca="1">INDIRECT($BM$2&amp;CI$7&amp;$CE155,1)</f>
        <v>0</v>
      </c>
      <c r="CJ155" s="539" cm="1">
        <f t="array" aca="1" ref="CJ155" ca="1">INDIRECT($BM$2&amp;CJ$7&amp;$CE155,1)</f>
        <v>0</v>
      </c>
      <c r="CK155" s="539" t="str">
        <f t="shared" ref="CK155:CK165" ca="1" si="104">IF(CG155=0,"-",IFERROR(CG155/CG$154,"-"))</f>
        <v>-</v>
      </c>
      <c r="CU155" s="469" t="s">
        <v>5510</v>
      </c>
      <c r="EQ155" s="469" t="s">
        <v>5510</v>
      </c>
      <c r="GC155" s="472" t="s">
        <v>5510</v>
      </c>
      <c r="HN155" s="20"/>
      <c r="HP155" s="472"/>
    </row>
    <row r="156" spans="1:224" x14ac:dyDescent="0.25">
      <c r="E156" s="20" t="s">
        <v>5929</v>
      </c>
      <c r="Q156" s="20" t="s">
        <v>5930</v>
      </c>
      <c r="T156" s="20" t="s">
        <v>5931</v>
      </c>
      <c r="BF156" s="469" t="s">
        <v>5510</v>
      </c>
      <c r="BH156" s="539" t="s">
        <v>8046</v>
      </c>
      <c r="BI156" s="539">
        <f t="shared" ref="BI156:BI165" si="105">BI155+1</f>
        <v>168</v>
      </c>
      <c r="BJ156" s="539" cm="1">
        <f t="array" aca="1" ref="BJ156" ca="1">INDIRECT($BM$2&amp;BJ$7&amp;$BI156,1)</f>
        <v>0</v>
      </c>
      <c r="BK156" s="539" cm="1">
        <f t="array" aca="1" ref="BK156" ca="1">INDIRECT($BM$2&amp;BK$7&amp;$BI156,1)</f>
        <v>0</v>
      </c>
      <c r="BL156" s="539" cm="1">
        <f t="array" aca="1" ref="BL156" ca="1">INDIRECT($BM$2&amp;BL$7&amp;$BI156,1)</f>
        <v>0</v>
      </c>
      <c r="BM156" s="539" cm="1">
        <f t="array" aca="1" ref="BM156" ca="1">INDIRECT($BM$2&amp;BM$7&amp;$BI156,1)</f>
        <v>0</v>
      </c>
      <c r="BN156" s="539" cm="1">
        <f t="array" aca="1" ref="BN156" ca="1">INDIRECT($BM$2&amp;BN$7&amp;$BI156,1)</f>
        <v>0</v>
      </c>
      <c r="BO156" s="539" t="str">
        <f t="shared" ca="1" si="102"/>
        <v>-</v>
      </c>
      <c r="BQ156" s="20"/>
      <c r="BR156" s="469">
        <v>3</v>
      </c>
      <c r="BS156" s="539" t="s">
        <v>8046</v>
      </c>
      <c r="BT156" s="539">
        <f t="shared" ref="BT156:BT165" si="106">BT155+1</f>
        <v>514</v>
      </c>
      <c r="BU156" s="539" cm="1">
        <f t="array" aca="1" ref="BU156" ca="1">INDIRECT($BM$2&amp;BU$7&amp;$BT156,1)</f>
        <v>0</v>
      </c>
      <c r="BV156" s="539" cm="1">
        <f t="array" aca="1" ref="BV156" ca="1">INDIRECT($BM$2&amp;BV$7&amp;$BT156,1)</f>
        <v>0</v>
      </c>
      <c r="BW156" s="539" cm="1">
        <f t="array" aca="1" ref="BW156" ca="1">INDIRECT($BM$2&amp;BW$7&amp;$BT156,1)</f>
        <v>0</v>
      </c>
      <c r="BX156" s="539" cm="1">
        <f t="array" aca="1" ref="BX156" ca="1">INDIRECT($BM$2&amp;BX$7&amp;$BT156,1)</f>
        <v>0</v>
      </c>
      <c r="BY156" s="539" cm="1">
        <f t="array" aca="1" ref="BY156" ca="1">INDIRECT($BM$2&amp;BY$7&amp;$BT156,1)</f>
        <v>0</v>
      </c>
      <c r="BZ156" s="539" t="str">
        <f t="shared" ca="1" si="103"/>
        <v>-</v>
      </c>
      <c r="CC156" s="469">
        <v>3</v>
      </c>
      <c r="CD156" s="539" t="s">
        <v>8046</v>
      </c>
      <c r="CE156" s="539">
        <f t="shared" ref="CE156:CE165" si="107">CE155+1</f>
        <v>860</v>
      </c>
      <c r="CF156" s="539" cm="1">
        <f t="array" aca="1" ref="CF156" ca="1">INDIRECT($BM$2&amp;CF$7&amp;$CE156,1)</f>
        <v>0</v>
      </c>
      <c r="CG156" s="539" cm="1">
        <f t="array" aca="1" ref="CG156" ca="1">INDIRECT($BM$2&amp;CG$7&amp;$CE156,1)</f>
        <v>0</v>
      </c>
      <c r="CH156" s="539" cm="1">
        <f t="array" aca="1" ref="CH156" ca="1">INDIRECT($BM$2&amp;CH$7&amp;$CE156,1)</f>
        <v>0</v>
      </c>
      <c r="CI156" s="539" cm="1">
        <f t="array" aca="1" ref="CI156" ca="1">INDIRECT($BM$2&amp;CI$7&amp;$CE156,1)</f>
        <v>0</v>
      </c>
      <c r="CJ156" s="539" cm="1">
        <f t="array" aca="1" ref="CJ156" ca="1">INDIRECT($BM$2&amp;CJ$7&amp;$CE156,1)</f>
        <v>0</v>
      </c>
      <c r="CK156" s="539" t="str">
        <f t="shared" ca="1" si="104"/>
        <v>-</v>
      </c>
      <c r="CU156" s="469" t="s">
        <v>5510</v>
      </c>
      <c r="EQ156" s="469" t="s">
        <v>5510</v>
      </c>
      <c r="GC156" s="472" t="s">
        <v>5510</v>
      </c>
      <c r="HN156" s="20"/>
      <c r="HP156" s="472"/>
    </row>
    <row r="157" spans="1:224" x14ac:dyDescent="0.25">
      <c r="B157" s="20" t="s">
        <v>5950</v>
      </c>
      <c r="C157" s="20" t="s">
        <v>5954</v>
      </c>
      <c r="D157" s="525" t="s">
        <v>5905</v>
      </c>
      <c r="E157" s="525" t="s">
        <v>5734</v>
      </c>
      <c r="F157" s="525" t="s">
        <v>5732</v>
      </c>
      <c r="G157" s="525" t="s">
        <v>5737</v>
      </c>
      <c r="H157" s="525" t="s">
        <v>5739</v>
      </c>
      <c r="I157" s="525" t="s">
        <v>5907</v>
      </c>
      <c r="J157" s="525" t="s">
        <v>5531</v>
      </c>
      <c r="K157" s="525" t="s">
        <v>5908</v>
      </c>
      <c r="L157" s="525" t="s">
        <v>5909</v>
      </c>
      <c r="M157" s="525" t="s">
        <v>5910</v>
      </c>
      <c r="N157" s="525" t="s">
        <v>5911</v>
      </c>
      <c r="O157" s="525" t="s">
        <v>5912</v>
      </c>
      <c r="P157" s="525" t="s">
        <v>5913</v>
      </c>
      <c r="Q157" s="1666" t="s">
        <v>231</v>
      </c>
      <c r="R157" s="1666"/>
      <c r="S157" s="1666"/>
      <c r="T157" s="1666" t="s">
        <v>5914</v>
      </c>
      <c r="U157" s="1666"/>
      <c r="V157" s="1666"/>
      <c r="BF157" s="469" t="s">
        <v>5510</v>
      </c>
      <c r="BH157" s="539" t="s">
        <v>8046</v>
      </c>
      <c r="BI157" s="539">
        <f t="shared" si="105"/>
        <v>169</v>
      </c>
      <c r="BJ157" s="539" cm="1">
        <f t="array" aca="1" ref="BJ157" ca="1">INDIRECT($BM$2&amp;BJ$7&amp;$BI157,1)</f>
        <v>0</v>
      </c>
      <c r="BK157" s="539" cm="1">
        <f t="array" aca="1" ref="BK157" ca="1">INDIRECT($BM$2&amp;BK$7&amp;$BI157,1)</f>
        <v>0</v>
      </c>
      <c r="BL157" s="539" cm="1">
        <f t="array" aca="1" ref="BL157" ca="1">INDIRECT($BM$2&amp;BL$7&amp;$BI157,1)</f>
        <v>0</v>
      </c>
      <c r="BM157" s="539" cm="1">
        <f t="array" aca="1" ref="BM157" ca="1">INDIRECT($BM$2&amp;BM$7&amp;$BI157,1)</f>
        <v>0</v>
      </c>
      <c r="BN157" s="539" cm="1">
        <f t="array" aca="1" ref="BN157" ca="1">INDIRECT($BM$2&amp;BN$7&amp;$BI157,1)</f>
        <v>0</v>
      </c>
      <c r="BO157" s="539" t="str">
        <f t="shared" ca="1" si="102"/>
        <v>-</v>
      </c>
      <c r="BQ157" s="20"/>
      <c r="BR157" s="469">
        <v>4</v>
      </c>
      <c r="BS157" s="539" t="s">
        <v>8046</v>
      </c>
      <c r="BT157" s="539">
        <f t="shared" si="106"/>
        <v>515</v>
      </c>
      <c r="BU157" s="539" cm="1">
        <f t="array" aca="1" ref="BU157" ca="1">INDIRECT($BM$2&amp;BU$7&amp;$BT157,1)</f>
        <v>0</v>
      </c>
      <c r="BV157" s="539" cm="1">
        <f t="array" aca="1" ref="BV157" ca="1">INDIRECT($BM$2&amp;BV$7&amp;$BT157,1)</f>
        <v>0</v>
      </c>
      <c r="BW157" s="539" cm="1">
        <f t="array" aca="1" ref="BW157" ca="1">INDIRECT($BM$2&amp;BW$7&amp;$BT157,1)</f>
        <v>0</v>
      </c>
      <c r="BX157" s="539" cm="1">
        <f t="array" aca="1" ref="BX157" ca="1">INDIRECT($BM$2&amp;BX$7&amp;$BT157,1)</f>
        <v>0</v>
      </c>
      <c r="BY157" s="539" cm="1">
        <f t="array" aca="1" ref="BY157" ca="1">INDIRECT($BM$2&amp;BY$7&amp;$BT157,1)</f>
        <v>0</v>
      </c>
      <c r="BZ157" s="539" t="str">
        <f t="shared" ca="1" si="103"/>
        <v>-</v>
      </c>
      <c r="CC157" s="469">
        <v>4</v>
      </c>
      <c r="CD157" s="539" t="s">
        <v>8046</v>
      </c>
      <c r="CE157" s="539">
        <f t="shared" si="107"/>
        <v>861</v>
      </c>
      <c r="CF157" s="539" cm="1">
        <f t="array" aca="1" ref="CF157" ca="1">INDIRECT($BM$2&amp;CF$7&amp;$CE157,1)</f>
        <v>0</v>
      </c>
      <c r="CG157" s="539" cm="1">
        <f t="array" aca="1" ref="CG157" ca="1">INDIRECT($BM$2&amp;CG$7&amp;$CE157,1)</f>
        <v>0</v>
      </c>
      <c r="CH157" s="539" cm="1">
        <f t="array" aca="1" ref="CH157" ca="1">INDIRECT($BM$2&amp;CH$7&amp;$CE157,1)</f>
        <v>0</v>
      </c>
      <c r="CI157" s="539" cm="1">
        <f t="array" aca="1" ref="CI157" ca="1">INDIRECT($BM$2&amp;CI$7&amp;$CE157,1)</f>
        <v>0</v>
      </c>
      <c r="CJ157" s="539" cm="1">
        <f t="array" aca="1" ref="CJ157" ca="1">INDIRECT($BM$2&amp;CJ$7&amp;$CE157,1)</f>
        <v>0</v>
      </c>
      <c r="CK157" s="539" t="str">
        <f t="shared" ca="1" si="104"/>
        <v>-</v>
      </c>
      <c r="CU157" s="469" t="s">
        <v>5510</v>
      </c>
      <c r="EQ157" s="469" t="s">
        <v>5510</v>
      </c>
      <c r="GC157" s="472" t="s">
        <v>5510</v>
      </c>
      <c r="HN157" s="20"/>
      <c r="HP157" s="472"/>
    </row>
    <row r="158" spans="1:224" x14ac:dyDescent="0.25">
      <c r="B158" s="655" t="s">
        <v>5865</v>
      </c>
      <c r="C158" s="655" t="s">
        <v>5904</v>
      </c>
      <c r="E158" s="655" t="s">
        <v>44</v>
      </c>
      <c r="F158" s="655" t="s">
        <v>47</v>
      </c>
      <c r="G158" s="655" t="s">
        <v>48</v>
      </c>
      <c r="H158" s="656" t="s">
        <v>5906</v>
      </c>
      <c r="I158" s="655" t="s">
        <v>44</v>
      </c>
      <c r="J158" s="655" t="s">
        <v>47</v>
      </c>
      <c r="K158" s="655" t="s">
        <v>48</v>
      </c>
      <c r="L158" s="656" t="s">
        <v>5906</v>
      </c>
      <c r="M158" s="655" t="s">
        <v>44</v>
      </c>
      <c r="N158" s="655" t="s">
        <v>47</v>
      </c>
      <c r="O158" s="655" t="s">
        <v>48</v>
      </c>
      <c r="P158" s="656" t="s">
        <v>5906</v>
      </c>
      <c r="Q158" s="525" t="s">
        <v>50</v>
      </c>
      <c r="R158" s="525" t="s">
        <v>51</v>
      </c>
      <c r="S158" s="525" t="s">
        <v>52</v>
      </c>
      <c r="T158" s="525" t="s">
        <v>50</v>
      </c>
      <c r="U158" s="525" t="s">
        <v>51</v>
      </c>
      <c r="V158" s="525" t="s">
        <v>52</v>
      </c>
      <c r="BF158" s="469" t="s">
        <v>5510</v>
      </c>
      <c r="BH158" s="539" t="s">
        <v>8046</v>
      </c>
      <c r="BI158" s="539">
        <f t="shared" si="105"/>
        <v>170</v>
      </c>
      <c r="BJ158" s="539" cm="1">
        <f t="array" aca="1" ref="BJ158" ca="1">INDIRECT($BM$2&amp;BJ$7&amp;$BI158,1)</f>
        <v>0</v>
      </c>
      <c r="BK158" s="539" cm="1">
        <f t="array" aca="1" ref="BK158" ca="1">INDIRECT($BM$2&amp;BK$7&amp;$BI158,1)</f>
        <v>0</v>
      </c>
      <c r="BL158" s="539" cm="1">
        <f t="array" aca="1" ref="BL158" ca="1">INDIRECT($BM$2&amp;BL$7&amp;$BI158,1)</f>
        <v>0</v>
      </c>
      <c r="BM158" s="539" cm="1">
        <f t="array" aca="1" ref="BM158" ca="1">INDIRECT($BM$2&amp;BM$7&amp;$BI158,1)</f>
        <v>0</v>
      </c>
      <c r="BN158" s="539" cm="1">
        <f t="array" aca="1" ref="BN158" ca="1">INDIRECT($BM$2&amp;BN$7&amp;$BI158,1)</f>
        <v>0</v>
      </c>
      <c r="BO158" s="539" t="str">
        <f t="shared" ca="1" si="102"/>
        <v>-</v>
      </c>
      <c r="BQ158" s="20"/>
      <c r="BR158" s="469">
        <v>5</v>
      </c>
      <c r="BS158" s="539" t="s">
        <v>8046</v>
      </c>
      <c r="BT158" s="539">
        <f t="shared" si="106"/>
        <v>516</v>
      </c>
      <c r="BU158" s="539" cm="1">
        <f t="array" aca="1" ref="BU158" ca="1">INDIRECT($BM$2&amp;BU$7&amp;$BT158,1)</f>
        <v>0</v>
      </c>
      <c r="BV158" s="539" cm="1">
        <f t="array" aca="1" ref="BV158" ca="1">INDIRECT($BM$2&amp;BV$7&amp;$BT158,1)</f>
        <v>0</v>
      </c>
      <c r="BW158" s="539" cm="1">
        <f t="array" aca="1" ref="BW158" ca="1">INDIRECT($BM$2&amp;BW$7&amp;$BT158,1)</f>
        <v>0</v>
      </c>
      <c r="BX158" s="539" cm="1">
        <f t="array" aca="1" ref="BX158" ca="1">INDIRECT($BM$2&amp;BX$7&amp;$BT158,1)</f>
        <v>0</v>
      </c>
      <c r="BY158" s="539" cm="1">
        <f t="array" aca="1" ref="BY158" ca="1">INDIRECT($BM$2&amp;BY$7&amp;$BT158,1)</f>
        <v>0</v>
      </c>
      <c r="BZ158" s="539" t="str">
        <f t="shared" ca="1" si="103"/>
        <v>-</v>
      </c>
      <c r="CC158" s="469">
        <v>5</v>
      </c>
      <c r="CD158" s="539" t="s">
        <v>8046</v>
      </c>
      <c r="CE158" s="539">
        <f t="shared" si="107"/>
        <v>862</v>
      </c>
      <c r="CF158" s="539" cm="1">
        <f t="array" aca="1" ref="CF158" ca="1">INDIRECT($BM$2&amp;CF$7&amp;$CE158,1)</f>
        <v>0</v>
      </c>
      <c r="CG158" s="539" cm="1">
        <f t="array" aca="1" ref="CG158" ca="1">INDIRECT($BM$2&amp;CG$7&amp;$CE158,1)</f>
        <v>0</v>
      </c>
      <c r="CH158" s="539" cm="1">
        <f t="array" aca="1" ref="CH158" ca="1">INDIRECT($BM$2&amp;CH$7&amp;$CE158,1)</f>
        <v>0</v>
      </c>
      <c r="CI158" s="539" cm="1">
        <f t="array" aca="1" ref="CI158" ca="1">INDIRECT($BM$2&amp;CI$7&amp;$CE158,1)</f>
        <v>0</v>
      </c>
      <c r="CJ158" s="539" cm="1">
        <f t="array" aca="1" ref="CJ158" ca="1">INDIRECT($BM$2&amp;CJ$7&amp;$CE158,1)</f>
        <v>0</v>
      </c>
      <c r="CK158" s="539" t="str">
        <f t="shared" ca="1" si="104"/>
        <v>-</v>
      </c>
      <c r="CU158" s="469" t="s">
        <v>5510</v>
      </c>
      <c r="EQ158" s="469" t="s">
        <v>5510</v>
      </c>
      <c r="GC158" s="472" t="s">
        <v>5510</v>
      </c>
      <c r="HN158" s="20"/>
      <c r="HP158" s="472"/>
    </row>
    <row r="159" spans="1:224" x14ac:dyDescent="0.25">
      <c r="B159" s="729" t="s">
        <v>5575</v>
      </c>
      <c r="C159" s="501">
        <f>ROW('Irritacao_Ocular(2)'!AR59)</f>
        <v>59</v>
      </c>
      <c r="D159" s="518" t="s">
        <v>63</v>
      </c>
      <c r="E159" s="492" cm="1">
        <f t="array" aca="1" ref="E159" ca="1">INDIRECT($B$159&amp;E$157&amp;$C159,1)</f>
        <v>0</v>
      </c>
      <c r="F159" s="492" cm="1">
        <f t="array" aca="1" ref="F159" ca="1">INDIRECT($B$159&amp;F$157&amp;$C159,1)</f>
        <v>0</v>
      </c>
      <c r="G159" s="492" cm="1">
        <f t="array" aca="1" ref="G159" ca="1">INDIRECT($B$159&amp;G$157&amp;$C159,1)</f>
        <v>0</v>
      </c>
      <c r="H159" s="653" cm="1">
        <f t="array" aca="1" ref="H159" ca="1">INDIRECT($B$159&amp;H$157&amp;$C159,1)</f>
        <v>0</v>
      </c>
      <c r="I159" s="492" cm="1">
        <f t="array" aca="1" ref="I159" ca="1">INDIRECT($B$159&amp;I$157&amp;$C159,1)</f>
        <v>0</v>
      </c>
      <c r="J159" s="492" cm="1">
        <f t="array" aca="1" ref="J159" ca="1">INDIRECT($B$159&amp;J$157&amp;$C159,1)</f>
        <v>0</v>
      </c>
      <c r="K159" s="492" cm="1">
        <f t="array" aca="1" ref="K159" ca="1">INDIRECT($B$159&amp;K$157&amp;$C159,1)</f>
        <v>0</v>
      </c>
      <c r="L159" s="653" cm="1">
        <f t="array" aca="1" ref="L159" ca="1">INDIRECT($B$159&amp;L$157&amp;$C159,1)</f>
        <v>0</v>
      </c>
      <c r="M159" s="492" cm="1">
        <f t="array" aca="1" ref="M159" ca="1">INDIRECT($B$159&amp;M$157&amp;$C159,1)</f>
        <v>0</v>
      </c>
      <c r="N159" s="492" cm="1">
        <f t="array" aca="1" ref="N159" ca="1">INDIRECT($B$159&amp;N$157&amp;$C159,1)</f>
        <v>0</v>
      </c>
      <c r="O159" s="492" cm="1">
        <f t="array" aca="1" ref="O159" ca="1">INDIRECT($B$159&amp;O$157&amp;$C159,1)</f>
        <v>0</v>
      </c>
      <c r="P159" s="653" cm="1">
        <f t="array" aca="1" ref="P159" ca="1">INDIRECT($B$159&amp;P$157&amp;$C159,1)</f>
        <v>0</v>
      </c>
      <c r="Q159" s="492">
        <f ca="1">IF(ISERROR(AVERAGE(E159:G159)),"-",AVERAGE(E159:G159))</f>
        <v>0</v>
      </c>
      <c r="R159" s="492">
        <f ca="1">IF(ISERROR(AVERAGE(I159:K159)),"-",AVERAGE(I159:K159))</f>
        <v>0</v>
      </c>
      <c r="S159" s="492">
        <f ca="1">IF(ISERROR(AVERAGE(M159:O159)),"-",AVERAGE(M159:O159))</f>
        <v>0</v>
      </c>
      <c r="T159" s="492">
        <f ca="1">IF(OR(COUNTIF(H159:H163,"&gt;0")&gt;0,H164="+"),1,0)</f>
        <v>0</v>
      </c>
      <c r="U159" s="492">
        <f ca="1">IF(OR(COUNTIF(L159:L163,"&gt;0")&gt;0,L164="+"),1,0)</f>
        <v>0</v>
      </c>
      <c r="V159" s="492">
        <f ca="1">IF(OR(COUNTIF(P159:P163,"&gt;0")&gt;0,P164="+"),1,0)</f>
        <v>0</v>
      </c>
      <c r="BF159" s="469" t="s">
        <v>5510</v>
      </c>
      <c r="BH159" s="539" t="s">
        <v>8046</v>
      </c>
      <c r="BI159" s="539">
        <f t="shared" si="105"/>
        <v>171</v>
      </c>
      <c r="BJ159" s="539" cm="1">
        <f t="array" aca="1" ref="BJ159" ca="1">INDIRECT($BM$2&amp;BJ$7&amp;$BI159,1)</f>
        <v>0</v>
      </c>
      <c r="BK159" s="539" cm="1">
        <f t="array" aca="1" ref="BK159" ca="1">INDIRECT($BM$2&amp;BK$7&amp;$BI159,1)</f>
        <v>0</v>
      </c>
      <c r="BL159" s="539" cm="1">
        <f t="array" aca="1" ref="BL159" ca="1">INDIRECT($BM$2&amp;BL$7&amp;$BI159,1)</f>
        <v>0</v>
      </c>
      <c r="BM159" s="539" cm="1">
        <f t="array" aca="1" ref="BM159" ca="1">INDIRECT($BM$2&amp;BM$7&amp;$BI159,1)</f>
        <v>0</v>
      </c>
      <c r="BN159" s="539" cm="1">
        <f t="array" aca="1" ref="BN159" ca="1">INDIRECT($BM$2&amp;BN$7&amp;$BI159,1)</f>
        <v>0</v>
      </c>
      <c r="BO159" s="539" t="str">
        <f t="shared" ca="1" si="102"/>
        <v>-</v>
      </c>
      <c r="BQ159" s="20"/>
      <c r="BR159" s="469">
        <v>6</v>
      </c>
      <c r="BS159" s="539" t="s">
        <v>8046</v>
      </c>
      <c r="BT159" s="539">
        <f t="shared" si="106"/>
        <v>517</v>
      </c>
      <c r="BU159" s="539" cm="1">
        <f t="array" aca="1" ref="BU159" ca="1">INDIRECT($BM$2&amp;BU$7&amp;$BT159,1)</f>
        <v>0</v>
      </c>
      <c r="BV159" s="539" cm="1">
        <f t="array" aca="1" ref="BV159" ca="1">INDIRECT($BM$2&amp;BV$7&amp;$BT159,1)</f>
        <v>0</v>
      </c>
      <c r="BW159" s="539" cm="1">
        <f t="array" aca="1" ref="BW159" ca="1">INDIRECT($BM$2&amp;BW$7&amp;$BT159,1)</f>
        <v>0</v>
      </c>
      <c r="BX159" s="539" cm="1">
        <f t="array" aca="1" ref="BX159" ca="1">INDIRECT($BM$2&amp;BX$7&amp;$BT159,1)</f>
        <v>0</v>
      </c>
      <c r="BY159" s="539" cm="1">
        <f t="array" aca="1" ref="BY159" ca="1">INDIRECT($BM$2&amp;BY$7&amp;$BT159,1)</f>
        <v>0</v>
      </c>
      <c r="BZ159" s="539" t="str">
        <f t="shared" ca="1" si="103"/>
        <v>-</v>
      </c>
      <c r="CC159" s="469">
        <v>6</v>
      </c>
      <c r="CD159" s="539" t="s">
        <v>8046</v>
      </c>
      <c r="CE159" s="539">
        <f t="shared" si="107"/>
        <v>863</v>
      </c>
      <c r="CF159" s="539" cm="1">
        <f t="array" aca="1" ref="CF159" ca="1">INDIRECT($BM$2&amp;CF$7&amp;$CE159,1)</f>
        <v>0</v>
      </c>
      <c r="CG159" s="539" cm="1">
        <f t="array" aca="1" ref="CG159" ca="1">INDIRECT($BM$2&amp;CG$7&amp;$CE159,1)</f>
        <v>0</v>
      </c>
      <c r="CH159" s="539" cm="1">
        <f t="array" aca="1" ref="CH159" ca="1">INDIRECT($BM$2&amp;CH$7&amp;$CE159,1)</f>
        <v>0</v>
      </c>
      <c r="CI159" s="539" cm="1">
        <f t="array" aca="1" ref="CI159" ca="1">INDIRECT($BM$2&amp;CI$7&amp;$CE159,1)</f>
        <v>0</v>
      </c>
      <c r="CJ159" s="539" cm="1">
        <f t="array" aca="1" ref="CJ159" ca="1">INDIRECT($BM$2&amp;CJ$7&amp;$CE159,1)</f>
        <v>0</v>
      </c>
      <c r="CK159" s="539" t="str">
        <f t="shared" ca="1" si="104"/>
        <v>-</v>
      </c>
      <c r="CU159" s="469" t="s">
        <v>5510</v>
      </c>
      <c r="EQ159" s="469" t="s">
        <v>5510</v>
      </c>
      <c r="GC159" s="472" t="s">
        <v>5510</v>
      </c>
      <c r="HN159" s="20"/>
      <c r="HP159" s="472"/>
    </row>
    <row r="160" spans="1:224" x14ac:dyDescent="0.25">
      <c r="C160" s="501">
        <f>ROW('Irritacao_Ocular(2)'!AR60)</f>
        <v>60</v>
      </c>
      <c r="D160" s="518" t="s">
        <v>64</v>
      </c>
      <c r="E160" s="492" cm="1">
        <f t="array" aca="1" ref="E160" ca="1">INDIRECT($B$159&amp;E$157&amp;$C160,1)</f>
        <v>0</v>
      </c>
      <c r="F160" s="492" cm="1">
        <f t="array" aca="1" ref="F160" ca="1">INDIRECT($B$159&amp;F$157&amp;$C160,1)</f>
        <v>0</v>
      </c>
      <c r="G160" s="492" cm="1">
        <f t="array" aca="1" ref="G160" ca="1">INDIRECT($B$159&amp;G$157&amp;$C160,1)</f>
        <v>0</v>
      </c>
      <c r="H160" s="653" cm="1">
        <f t="array" aca="1" ref="H160" ca="1">INDIRECT($B$159&amp;H$157&amp;$C160,1)</f>
        <v>0</v>
      </c>
      <c r="I160" s="492" cm="1">
        <f t="array" aca="1" ref="I160" ca="1">INDIRECT($B$159&amp;I$157&amp;$C160,1)</f>
        <v>0</v>
      </c>
      <c r="J160" s="492" cm="1">
        <f t="array" aca="1" ref="J160" ca="1">INDIRECT($B$159&amp;J$157&amp;$C160,1)</f>
        <v>0</v>
      </c>
      <c r="K160" s="492" cm="1">
        <f t="array" aca="1" ref="K160" ca="1">INDIRECT($B$159&amp;K$157&amp;$C160,1)</f>
        <v>0</v>
      </c>
      <c r="L160" s="653" cm="1">
        <f t="array" aca="1" ref="L160" ca="1">INDIRECT($B$159&amp;L$157&amp;$C160,1)</f>
        <v>0</v>
      </c>
      <c r="M160" s="492" cm="1">
        <f t="array" aca="1" ref="M160" ca="1">INDIRECT($B$159&amp;M$157&amp;$C160,1)</f>
        <v>0</v>
      </c>
      <c r="N160" s="492" cm="1">
        <f t="array" aca="1" ref="N160" ca="1">INDIRECT($B$159&amp;N$157&amp;$C160,1)</f>
        <v>0</v>
      </c>
      <c r="O160" s="492" cm="1">
        <f t="array" aca="1" ref="O160" ca="1">INDIRECT($B$159&amp;O$157&amp;$C160,1)</f>
        <v>0</v>
      </c>
      <c r="P160" s="653" cm="1">
        <f t="array" aca="1" ref="P160" ca="1">INDIRECT($B$159&amp;P$157&amp;$C160,1)</f>
        <v>0</v>
      </c>
      <c r="BF160" s="469" t="s">
        <v>5510</v>
      </c>
      <c r="BH160" s="539" t="s">
        <v>8046</v>
      </c>
      <c r="BI160" s="539">
        <f t="shared" si="105"/>
        <v>172</v>
      </c>
      <c r="BJ160" s="539" cm="1">
        <f t="array" aca="1" ref="BJ160" ca="1">INDIRECT($BM$2&amp;BJ$7&amp;$BI160,1)</f>
        <v>0</v>
      </c>
      <c r="BK160" s="539" cm="1">
        <f t="array" aca="1" ref="BK160" ca="1">INDIRECT($BM$2&amp;BK$7&amp;$BI160,1)</f>
        <v>0</v>
      </c>
      <c r="BL160" s="539" cm="1">
        <f t="array" aca="1" ref="BL160" ca="1">INDIRECT($BM$2&amp;BL$7&amp;$BI160,1)</f>
        <v>0</v>
      </c>
      <c r="BM160" s="539" cm="1">
        <f t="array" aca="1" ref="BM160" ca="1">INDIRECT($BM$2&amp;BM$7&amp;$BI160,1)</f>
        <v>0</v>
      </c>
      <c r="BN160" s="539" cm="1">
        <f t="array" aca="1" ref="BN160" ca="1">INDIRECT($BM$2&amp;BN$7&amp;$BI160,1)</f>
        <v>0</v>
      </c>
      <c r="BO160" s="539" t="str">
        <f t="shared" ca="1" si="102"/>
        <v>-</v>
      </c>
      <c r="BQ160" s="20"/>
      <c r="BR160" s="469">
        <v>7</v>
      </c>
      <c r="BS160" s="539" t="s">
        <v>8046</v>
      </c>
      <c r="BT160" s="539">
        <f t="shared" si="106"/>
        <v>518</v>
      </c>
      <c r="BU160" s="539" cm="1">
        <f t="array" aca="1" ref="BU160" ca="1">INDIRECT($BM$2&amp;BU$7&amp;$BT160,1)</f>
        <v>0</v>
      </c>
      <c r="BV160" s="539" cm="1">
        <f t="array" aca="1" ref="BV160" ca="1">INDIRECT($BM$2&amp;BV$7&amp;$BT160,1)</f>
        <v>0</v>
      </c>
      <c r="BW160" s="539" cm="1">
        <f t="array" aca="1" ref="BW160" ca="1">INDIRECT($BM$2&amp;BW$7&amp;$BT160,1)</f>
        <v>0</v>
      </c>
      <c r="BX160" s="539" cm="1">
        <f t="array" aca="1" ref="BX160" ca="1">INDIRECT($BM$2&amp;BX$7&amp;$BT160,1)</f>
        <v>0</v>
      </c>
      <c r="BY160" s="539" cm="1">
        <f t="array" aca="1" ref="BY160" ca="1">INDIRECT($BM$2&amp;BY$7&amp;$BT160,1)</f>
        <v>0</v>
      </c>
      <c r="BZ160" s="539" t="str">
        <f t="shared" ca="1" si="103"/>
        <v>-</v>
      </c>
      <c r="CC160" s="469">
        <v>7</v>
      </c>
      <c r="CD160" s="539" t="s">
        <v>8046</v>
      </c>
      <c r="CE160" s="539">
        <f t="shared" si="107"/>
        <v>864</v>
      </c>
      <c r="CF160" s="539" cm="1">
        <f t="array" aca="1" ref="CF160" ca="1">INDIRECT($BM$2&amp;CF$7&amp;$CE160,1)</f>
        <v>0</v>
      </c>
      <c r="CG160" s="539" cm="1">
        <f t="array" aca="1" ref="CG160" ca="1">INDIRECT($BM$2&amp;CG$7&amp;$CE160,1)</f>
        <v>0</v>
      </c>
      <c r="CH160" s="539" cm="1">
        <f t="array" aca="1" ref="CH160" ca="1">INDIRECT($BM$2&amp;CH$7&amp;$CE160,1)</f>
        <v>0</v>
      </c>
      <c r="CI160" s="539" cm="1">
        <f t="array" aca="1" ref="CI160" ca="1">INDIRECT($BM$2&amp;CI$7&amp;$CE160,1)</f>
        <v>0</v>
      </c>
      <c r="CJ160" s="539" cm="1">
        <f t="array" aca="1" ref="CJ160" ca="1">INDIRECT($BM$2&amp;CJ$7&amp;$CE160,1)</f>
        <v>0</v>
      </c>
      <c r="CK160" s="539" t="str">
        <f t="shared" ca="1" si="104"/>
        <v>-</v>
      </c>
      <c r="CU160" s="469" t="s">
        <v>5510</v>
      </c>
      <c r="EQ160" s="469" t="s">
        <v>5510</v>
      </c>
      <c r="GC160" s="472" t="s">
        <v>5510</v>
      </c>
      <c r="HN160" s="20"/>
      <c r="HP160" s="472"/>
    </row>
    <row r="161" spans="3:224" x14ac:dyDescent="0.25">
      <c r="C161" s="501">
        <f>ROW('Irritacao_Ocular(2)'!AR61)</f>
        <v>61</v>
      </c>
      <c r="D161" s="518" t="s">
        <v>65</v>
      </c>
      <c r="E161" s="492" cm="1">
        <f t="array" aca="1" ref="E161" ca="1">INDIRECT($B$159&amp;E$157&amp;$C161,1)</f>
        <v>0</v>
      </c>
      <c r="F161" s="492" cm="1">
        <f t="array" aca="1" ref="F161" ca="1">INDIRECT($B$159&amp;F$157&amp;$C161,1)</f>
        <v>0</v>
      </c>
      <c r="G161" s="492" cm="1">
        <f t="array" aca="1" ref="G161" ca="1">INDIRECT($B$159&amp;G$157&amp;$C161,1)</f>
        <v>0</v>
      </c>
      <c r="H161" s="653" cm="1">
        <f t="array" aca="1" ref="H161" ca="1">INDIRECT($B$159&amp;H$157&amp;$C161,1)</f>
        <v>0</v>
      </c>
      <c r="I161" s="492" cm="1">
        <f t="array" aca="1" ref="I161" ca="1">INDIRECT($B$159&amp;I$157&amp;$C161,1)</f>
        <v>0</v>
      </c>
      <c r="J161" s="492" cm="1">
        <f t="array" aca="1" ref="J161" ca="1">INDIRECT($B$159&amp;J$157&amp;$C161,1)</f>
        <v>0</v>
      </c>
      <c r="K161" s="492" cm="1">
        <f t="array" aca="1" ref="K161" ca="1">INDIRECT($B$159&amp;K$157&amp;$C161,1)</f>
        <v>0</v>
      </c>
      <c r="L161" s="653" cm="1">
        <f t="array" aca="1" ref="L161" ca="1">INDIRECT($B$159&amp;L$157&amp;$C161,1)</f>
        <v>0</v>
      </c>
      <c r="M161" s="492" cm="1">
        <f t="array" aca="1" ref="M161" ca="1">INDIRECT($B$159&amp;M$157&amp;$C161,1)</f>
        <v>0</v>
      </c>
      <c r="N161" s="492" cm="1">
        <f t="array" aca="1" ref="N161" ca="1">INDIRECT($B$159&amp;N$157&amp;$C161,1)</f>
        <v>0</v>
      </c>
      <c r="O161" s="492" cm="1">
        <f t="array" aca="1" ref="O161" ca="1">INDIRECT($B$159&amp;O$157&amp;$C161,1)</f>
        <v>0</v>
      </c>
      <c r="P161" s="653" cm="1">
        <f t="array" aca="1" ref="P161" ca="1">INDIRECT($B$159&amp;P$157&amp;$C161,1)</f>
        <v>0</v>
      </c>
      <c r="Q161" s="492">
        <f ca="1">IF(ISERROR(AVERAGE(E161:G161)),"-",AVERAGE(E161:G161))</f>
        <v>0</v>
      </c>
      <c r="R161" s="492">
        <f ca="1">IF(ISERROR(AVERAGE(I161:K161)),"-",AVERAGE(I161:K161))</f>
        <v>0</v>
      </c>
      <c r="S161" s="492">
        <f ca="1">IF(ISERROR(AVERAGE(M161:O161)),"-",AVERAGE(M161:O161))</f>
        <v>0</v>
      </c>
      <c r="BF161" s="469" t="s">
        <v>5510</v>
      </c>
      <c r="BH161" s="539" t="s">
        <v>8046</v>
      </c>
      <c r="BI161" s="539">
        <f t="shared" si="105"/>
        <v>173</v>
      </c>
      <c r="BJ161" s="539" cm="1">
        <f t="array" aca="1" ref="BJ161" ca="1">INDIRECT($BM$2&amp;BJ$7&amp;$BI161,1)</f>
        <v>0</v>
      </c>
      <c r="BK161" s="539" cm="1">
        <f t="array" aca="1" ref="BK161" ca="1">INDIRECT($BM$2&amp;BK$7&amp;$BI161,1)</f>
        <v>0</v>
      </c>
      <c r="BL161" s="539" cm="1">
        <f t="array" aca="1" ref="BL161" ca="1">INDIRECT($BM$2&amp;BL$7&amp;$BI161,1)</f>
        <v>0</v>
      </c>
      <c r="BM161" s="539" cm="1">
        <f t="array" aca="1" ref="BM161" ca="1">INDIRECT($BM$2&amp;BM$7&amp;$BI161,1)</f>
        <v>0</v>
      </c>
      <c r="BN161" s="539" cm="1">
        <f t="array" aca="1" ref="BN161" ca="1">INDIRECT($BM$2&amp;BN$7&amp;$BI161,1)</f>
        <v>0</v>
      </c>
      <c r="BO161" s="539" t="str">
        <f t="shared" ca="1" si="102"/>
        <v>-</v>
      </c>
      <c r="BQ161" s="20"/>
      <c r="BR161" s="469">
        <v>8</v>
      </c>
      <c r="BS161" s="539" t="s">
        <v>8046</v>
      </c>
      <c r="BT161" s="539">
        <f t="shared" si="106"/>
        <v>519</v>
      </c>
      <c r="BU161" s="539" cm="1">
        <f t="array" aca="1" ref="BU161" ca="1">INDIRECT($BM$2&amp;BU$7&amp;$BT161,1)</f>
        <v>0</v>
      </c>
      <c r="BV161" s="539" cm="1">
        <f t="array" aca="1" ref="BV161" ca="1">INDIRECT($BM$2&amp;BV$7&amp;$BT161,1)</f>
        <v>0</v>
      </c>
      <c r="BW161" s="539" cm="1">
        <f t="array" aca="1" ref="BW161" ca="1">INDIRECT($BM$2&amp;BW$7&amp;$BT161,1)</f>
        <v>0</v>
      </c>
      <c r="BX161" s="539" cm="1">
        <f t="array" aca="1" ref="BX161" ca="1">INDIRECT($BM$2&amp;BX$7&amp;$BT161,1)</f>
        <v>0</v>
      </c>
      <c r="BY161" s="539" cm="1">
        <f t="array" aca="1" ref="BY161" ca="1">INDIRECT($BM$2&amp;BY$7&amp;$BT161,1)</f>
        <v>0</v>
      </c>
      <c r="BZ161" s="539" t="str">
        <f t="shared" ca="1" si="103"/>
        <v>-</v>
      </c>
      <c r="CC161" s="469">
        <v>8</v>
      </c>
      <c r="CD161" s="539" t="s">
        <v>8046</v>
      </c>
      <c r="CE161" s="539">
        <f t="shared" si="107"/>
        <v>865</v>
      </c>
      <c r="CF161" s="539" cm="1">
        <f t="array" aca="1" ref="CF161" ca="1">INDIRECT($BM$2&amp;CF$7&amp;$CE161,1)</f>
        <v>0</v>
      </c>
      <c r="CG161" s="539" cm="1">
        <f t="array" aca="1" ref="CG161" ca="1">INDIRECT($BM$2&amp;CG$7&amp;$CE161,1)</f>
        <v>0</v>
      </c>
      <c r="CH161" s="539" cm="1">
        <f t="array" aca="1" ref="CH161" ca="1">INDIRECT($BM$2&amp;CH$7&amp;$CE161,1)</f>
        <v>0</v>
      </c>
      <c r="CI161" s="539" cm="1">
        <f t="array" aca="1" ref="CI161" ca="1">INDIRECT($BM$2&amp;CI$7&amp;$CE161,1)</f>
        <v>0</v>
      </c>
      <c r="CJ161" s="539" cm="1">
        <f t="array" aca="1" ref="CJ161" ca="1">INDIRECT($BM$2&amp;CJ$7&amp;$CE161,1)</f>
        <v>0</v>
      </c>
      <c r="CK161" s="539" t="str">
        <f t="shared" ca="1" si="104"/>
        <v>-</v>
      </c>
      <c r="CU161" s="469" t="s">
        <v>5510</v>
      </c>
      <c r="EQ161" s="469" t="s">
        <v>5510</v>
      </c>
      <c r="GC161" s="472" t="s">
        <v>5510</v>
      </c>
      <c r="HN161" s="20"/>
      <c r="HP161" s="472"/>
    </row>
    <row r="162" spans="3:224" x14ac:dyDescent="0.25">
      <c r="C162" s="501">
        <f>ROW('Irritacao_Ocular(2)'!AR62)</f>
        <v>62</v>
      </c>
      <c r="D162" s="518" t="s">
        <v>67</v>
      </c>
      <c r="E162" s="492" cm="1">
        <f t="array" aca="1" ref="E162" ca="1">INDIRECT($B$159&amp;E$157&amp;$C162,1)</f>
        <v>0</v>
      </c>
      <c r="F162" s="492" cm="1">
        <f t="array" aca="1" ref="F162" ca="1">INDIRECT($B$159&amp;F$157&amp;$C162,1)</f>
        <v>0</v>
      </c>
      <c r="G162" s="492" cm="1">
        <f t="array" aca="1" ref="G162" ca="1">INDIRECT($B$159&amp;G$157&amp;$C162,1)</f>
        <v>0</v>
      </c>
      <c r="H162" s="653" cm="1">
        <f t="array" aca="1" ref="H162" ca="1">INDIRECT($B$159&amp;H$157&amp;$C162,1)</f>
        <v>0</v>
      </c>
      <c r="I162" s="492" cm="1">
        <f t="array" aca="1" ref="I162" ca="1">INDIRECT($B$159&amp;I$157&amp;$C162,1)</f>
        <v>0</v>
      </c>
      <c r="J162" s="492" cm="1">
        <f t="array" aca="1" ref="J162" ca="1">INDIRECT($B$159&amp;J$157&amp;$C162,1)</f>
        <v>0</v>
      </c>
      <c r="K162" s="492" cm="1">
        <f t="array" aca="1" ref="K162" ca="1">INDIRECT($B$159&amp;K$157&amp;$C162,1)</f>
        <v>0</v>
      </c>
      <c r="L162" s="653" cm="1">
        <f t="array" aca="1" ref="L162" ca="1">INDIRECT($B$159&amp;L$157&amp;$C162,1)</f>
        <v>0</v>
      </c>
      <c r="M162" s="492" cm="1">
        <f t="array" aca="1" ref="M162" ca="1">INDIRECT($B$159&amp;M$157&amp;$C162,1)</f>
        <v>0</v>
      </c>
      <c r="N162" s="492" cm="1">
        <f t="array" aca="1" ref="N162" ca="1">INDIRECT($B$159&amp;N$157&amp;$C162,1)</f>
        <v>0</v>
      </c>
      <c r="O162" s="492" cm="1">
        <f t="array" aca="1" ref="O162" ca="1">INDIRECT($B$159&amp;O$157&amp;$C162,1)</f>
        <v>0</v>
      </c>
      <c r="P162" s="653" cm="1">
        <f t="array" aca="1" ref="P162" ca="1">INDIRECT($B$159&amp;P$157&amp;$C162,1)</f>
        <v>0</v>
      </c>
      <c r="Q162" s="492">
        <f ca="1">IF(ISERROR(AVERAGE(E162:G162)),"-",AVERAGE(E162:G162))</f>
        <v>0</v>
      </c>
      <c r="R162" s="492">
        <f ca="1">IF(ISERROR(AVERAGE(I162:K162)),"-",AVERAGE(I162:K162))</f>
        <v>0</v>
      </c>
      <c r="S162" s="492">
        <f ca="1">IF(ISERROR(AVERAGE(M162:O162)),"-",AVERAGE(M162:O162))</f>
        <v>0</v>
      </c>
      <c r="BF162" s="469" t="s">
        <v>5510</v>
      </c>
      <c r="BH162" s="539" t="s">
        <v>8046</v>
      </c>
      <c r="BI162" s="539">
        <f t="shared" si="105"/>
        <v>174</v>
      </c>
      <c r="BJ162" s="539" cm="1">
        <f t="array" aca="1" ref="BJ162" ca="1">INDIRECT($BM$2&amp;BJ$7&amp;$BI162,1)</f>
        <v>0</v>
      </c>
      <c r="BK162" s="539" cm="1">
        <f t="array" aca="1" ref="BK162" ca="1">INDIRECT($BM$2&amp;BK$7&amp;$BI162,1)</f>
        <v>0</v>
      </c>
      <c r="BL162" s="539" cm="1">
        <f t="array" aca="1" ref="BL162" ca="1">INDIRECT($BM$2&amp;BL$7&amp;$BI162,1)</f>
        <v>0</v>
      </c>
      <c r="BM162" s="539" cm="1">
        <f t="array" aca="1" ref="BM162" ca="1">INDIRECT($BM$2&amp;BM$7&amp;$BI162,1)</f>
        <v>0</v>
      </c>
      <c r="BN162" s="539" cm="1">
        <f t="array" aca="1" ref="BN162" ca="1">INDIRECT($BM$2&amp;BN$7&amp;$BI162,1)</f>
        <v>0</v>
      </c>
      <c r="BO162" s="539" t="str">
        <f t="shared" ca="1" si="102"/>
        <v>-</v>
      </c>
      <c r="BQ162" s="20"/>
      <c r="BR162" s="469">
        <v>9</v>
      </c>
      <c r="BS162" s="539" t="s">
        <v>8046</v>
      </c>
      <c r="BT162" s="539">
        <f t="shared" si="106"/>
        <v>520</v>
      </c>
      <c r="BU162" s="539" cm="1">
        <f t="array" aca="1" ref="BU162" ca="1">INDIRECT($BM$2&amp;BU$7&amp;$BT162,1)</f>
        <v>0</v>
      </c>
      <c r="BV162" s="539" cm="1">
        <f t="array" aca="1" ref="BV162" ca="1">INDIRECT($BM$2&amp;BV$7&amp;$BT162,1)</f>
        <v>0</v>
      </c>
      <c r="BW162" s="539" cm="1">
        <f t="array" aca="1" ref="BW162" ca="1">INDIRECT($BM$2&amp;BW$7&amp;$BT162,1)</f>
        <v>0</v>
      </c>
      <c r="BX162" s="539" cm="1">
        <f t="array" aca="1" ref="BX162" ca="1">INDIRECT($BM$2&amp;BX$7&amp;$BT162,1)</f>
        <v>0</v>
      </c>
      <c r="BY162" s="539" cm="1">
        <f t="array" aca="1" ref="BY162" ca="1">INDIRECT($BM$2&amp;BY$7&amp;$BT162,1)</f>
        <v>0</v>
      </c>
      <c r="BZ162" s="539" t="str">
        <f t="shared" ca="1" si="103"/>
        <v>-</v>
      </c>
      <c r="CC162" s="469">
        <v>9</v>
      </c>
      <c r="CD162" s="539" t="s">
        <v>8046</v>
      </c>
      <c r="CE162" s="539">
        <f t="shared" si="107"/>
        <v>866</v>
      </c>
      <c r="CF162" s="539" cm="1">
        <f t="array" aca="1" ref="CF162" ca="1">INDIRECT($BM$2&amp;CF$7&amp;$CE162,1)</f>
        <v>0</v>
      </c>
      <c r="CG162" s="539" cm="1">
        <f t="array" aca="1" ref="CG162" ca="1">INDIRECT($BM$2&amp;CG$7&amp;$CE162,1)</f>
        <v>0</v>
      </c>
      <c r="CH162" s="539" cm="1">
        <f t="array" aca="1" ref="CH162" ca="1">INDIRECT($BM$2&amp;CH$7&amp;$CE162,1)</f>
        <v>0</v>
      </c>
      <c r="CI162" s="539" cm="1">
        <f t="array" aca="1" ref="CI162" ca="1">INDIRECT($BM$2&amp;CI$7&amp;$CE162,1)</f>
        <v>0</v>
      </c>
      <c r="CJ162" s="539" cm="1">
        <f t="array" aca="1" ref="CJ162" ca="1">INDIRECT($BM$2&amp;CJ$7&amp;$CE162,1)</f>
        <v>0</v>
      </c>
      <c r="CK162" s="539" t="str">
        <f t="shared" ca="1" si="104"/>
        <v>-</v>
      </c>
      <c r="CU162" s="469" t="s">
        <v>5510</v>
      </c>
      <c r="EQ162" s="469" t="s">
        <v>5510</v>
      </c>
      <c r="GC162" s="472" t="s">
        <v>5510</v>
      </c>
      <c r="HN162" s="20"/>
      <c r="HP162" s="472"/>
    </row>
    <row r="163" spans="3:224" x14ac:dyDescent="0.25">
      <c r="C163" s="501">
        <f>ROW('Irritacao_Ocular(2)'!AR63)</f>
        <v>63</v>
      </c>
      <c r="D163" s="518" t="s">
        <v>68</v>
      </c>
      <c r="E163" s="492" cm="1">
        <f t="array" aca="1" ref="E163" ca="1">INDIRECT($B$159&amp;E$157&amp;$C163,1)</f>
        <v>0</v>
      </c>
      <c r="F163" s="492" cm="1">
        <f t="array" aca="1" ref="F163" ca="1">INDIRECT($B$159&amp;F$157&amp;$C163,1)</f>
        <v>0</v>
      </c>
      <c r="G163" s="492" cm="1">
        <f t="array" aca="1" ref="G163" ca="1">INDIRECT($B$159&amp;G$157&amp;$C163,1)</f>
        <v>0</v>
      </c>
      <c r="H163" s="653" cm="1">
        <f t="array" aca="1" ref="H163" ca="1">INDIRECT($B$159&amp;H$157&amp;$C163,1)</f>
        <v>0</v>
      </c>
      <c r="I163" s="492" cm="1">
        <f t="array" aca="1" ref="I163" ca="1">INDIRECT($B$159&amp;I$157&amp;$C163,1)</f>
        <v>0</v>
      </c>
      <c r="J163" s="492" cm="1">
        <f t="array" aca="1" ref="J163" ca="1">INDIRECT($B$159&amp;J$157&amp;$C163,1)</f>
        <v>0</v>
      </c>
      <c r="K163" s="492" cm="1">
        <f t="array" aca="1" ref="K163" ca="1">INDIRECT($B$159&amp;K$157&amp;$C163,1)</f>
        <v>0</v>
      </c>
      <c r="L163" s="653" cm="1">
        <f t="array" aca="1" ref="L163" ca="1">INDIRECT($B$159&amp;L$157&amp;$C163,1)</f>
        <v>0</v>
      </c>
      <c r="M163" s="492" cm="1">
        <f t="array" aca="1" ref="M163" ca="1">INDIRECT($B$159&amp;M$157&amp;$C163,1)</f>
        <v>0</v>
      </c>
      <c r="N163" s="492" cm="1">
        <f t="array" aca="1" ref="N163" ca="1">INDIRECT($B$159&amp;N$157&amp;$C163,1)</f>
        <v>0</v>
      </c>
      <c r="O163" s="492" cm="1">
        <f t="array" aca="1" ref="O163" ca="1">INDIRECT($B$159&amp;O$157&amp;$C163,1)</f>
        <v>0</v>
      </c>
      <c r="P163" s="653" cm="1">
        <f t="array" aca="1" ref="P163" ca="1">INDIRECT($B$159&amp;P$157&amp;$C163,1)</f>
        <v>0</v>
      </c>
      <c r="Q163" s="492">
        <f ca="1">IF(ISERROR(AVERAGE(E163:G163)),"-",AVERAGE(E163:G163))</f>
        <v>0</v>
      </c>
      <c r="R163" s="492">
        <f ca="1">IF(ISERROR(AVERAGE(I163:K163)),"-",AVERAGE(I163:K163))</f>
        <v>0</v>
      </c>
      <c r="S163" s="492">
        <f ca="1">IF(ISERROR(AVERAGE(M163:O163)),"-",AVERAGE(M163:O163))</f>
        <v>0</v>
      </c>
      <c r="BF163" s="469" t="s">
        <v>5510</v>
      </c>
      <c r="BH163" s="539" t="s">
        <v>8046</v>
      </c>
      <c r="BI163" s="539">
        <f t="shared" si="105"/>
        <v>175</v>
      </c>
      <c r="BJ163" s="539" cm="1">
        <f t="array" aca="1" ref="BJ163" ca="1">INDIRECT($BM$2&amp;BJ$7&amp;$BI163,1)</f>
        <v>0</v>
      </c>
      <c r="BK163" s="539" cm="1">
        <f t="array" aca="1" ref="BK163" ca="1">INDIRECT($BM$2&amp;BK$7&amp;$BI163,1)</f>
        <v>0</v>
      </c>
      <c r="BL163" s="539" cm="1">
        <f t="array" aca="1" ref="BL163" ca="1">INDIRECT($BM$2&amp;BL$7&amp;$BI163,1)</f>
        <v>0</v>
      </c>
      <c r="BM163" s="539" cm="1">
        <f t="array" aca="1" ref="BM163" ca="1">INDIRECT($BM$2&amp;BM$7&amp;$BI163,1)</f>
        <v>0</v>
      </c>
      <c r="BN163" s="539" cm="1">
        <f t="array" aca="1" ref="BN163" ca="1">INDIRECT($BM$2&amp;BN$7&amp;$BI163,1)</f>
        <v>0</v>
      </c>
      <c r="BO163" s="539" t="str">
        <f t="shared" ca="1" si="102"/>
        <v>-</v>
      </c>
      <c r="BQ163" s="20"/>
      <c r="BR163" s="469">
        <v>10</v>
      </c>
      <c r="BS163" s="539" t="s">
        <v>8046</v>
      </c>
      <c r="BT163" s="539">
        <f t="shared" si="106"/>
        <v>521</v>
      </c>
      <c r="BU163" s="539" cm="1">
        <f t="array" aca="1" ref="BU163" ca="1">INDIRECT($BM$2&amp;BU$7&amp;$BT163,1)</f>
        <v>0</v>
      </c>
      <c r="BV163" s="539" cm="1">
        <f t="array" aca="1" ref="BV163" ca="1">INDIRECT($BM$2&amp;BV$7&amp;$BT163,1)</f>
        <v>0</v>
      </c>
      <c r="BW163" s="539" cm="1">
        <f t="array" aca="1" ref="BW163" ca="1">INDIRECT($BM$2&amp;BW$7&amp;$BT163,1)</f>
        <v>0</v>
      </c>
      <c r="BX163" s="539" cm="1">
        <f t="array" aca="1" ref="BX163" ca="1">INDIRECT($BM$2&amp;BX$7&amp;$BT163,1)</f>
        <v>0</v>
      </c>
      <c r="BY163" s="539" cm="1">
        <f t="array" aca="1" ref="BY163" ca="1">INDIRECT($BM$2&amp;BY$7&amp;$BT163,1)</f>
        <v>0</v>
      </c>
      <c r="BZ163" s="539" t="str">
        <f t="shared" ca="1" si="103"/>
        <v>-</v>
      </c>
      <c r="CC163" s="469">
        <v>10</v>
      </c>
      <c r="CD163" s="539" t="s">
        <v>8046</v>
      </c>
      <c r="CE163" s="539">
        <f t="shared" si="107"/>
        <v>867</v>
      </c>
      <c r="CF163" s="539" cm="1">
        <f t="array" aca="1" ref="CF163" ca="1">INDIRECT($BM$2&amp;CF$7&amp;$CE163,1)</f>
        <v>0</v>
      </c>
      <c r="CG163" s="539" cm="1">
        <f t="array" aca="1" ref="CG163" ca="1">INDIRECT($BM$2&amp;CG$7&amp;$CE163,1)</f>
        <v>0</v>
      </c>
      <c r="CH163" s="539" cm="1">
        <f t="array" aca="1" ref="CH163" ca="1">INDIRECT($BM$2&amp;CH$7&amp;$CE163,1)</f>
        <v>0</v>
      </c>
      <c r="CI163" s="539" cm="1">
        <f t="array" aca="1" ref="CI163" ca="1">INDIRECT($BM$2&amp;CI$7&amp;$CE163,1)</f>
        <v>0</v>
      </c>
      <c r="CJ163" s="539" cm="1">
        <f t="array" aca="1" ref="CJ163" ca="1">INDIRECT($BM$2&amp;CJ$7&amp;$CE163,1)</f>
        <v>0</v>
      </c>
      <c r="CK163" s="539" t="str">
        <f t="shared" ca="1" si="104"/>
        <v>-</v>
      </c>
      <c r="CU163" s="469" t="s">
        <v>5510</v>
      </c>
      <c r="EQ163" s="469" t="s">
        <v>5510</v>
      </c>
      <c r="GC163" s="472" t="s">
        <v>5510</v>
      </c>
      <c r="HN163" s="20"/>
      <c r="HP163" s="472"/>
    </row>
    <row r="164" spans="3:224" x14ac:dyDescent="0.25">
      <c r="C164" s="501">
        <f>ROW('Irritacao_Ocular(2)'!AR64)</f>
        <v>64</v>
      </c>
      <c r="D164" s="518" t="s">
        <v>70</v>
      </c>
      <c r="E164" s="492" cm="1">
        <f t="array" aca="1" ref="E164" ca="1">INDIRECT($B$159&amp;E$157&amp;$C164,1)</f>
        <v>0</v>
      </c>
      <c r="F164" s="492" cm="1">
        <f t="array" aca="1" ref="F164" ca="1">INDIRECT($B$159&amp;F$157&amp;$C164,1)</f>
        <v>0</v>
      </c>
      <c r="G164" s="492" cm="1">
        <f t="array" aca="1" ref="G164" ca="1">INDIRECT($B$159&amp;G$157&amp;$C164,1)</f>
        <v>0</v>
      </c>
      <c r="H164" s="653" cm="1">
        <f t="array" aca="1" ref="H164" ca="1">INDIRECT($B$159&amp;H$157&amp;$C164,1)</f>
        <v>0</v>
      </c>
      <c r="I164" s="492" cm="1">
        <f t="array" aca="1" ref="I164" ca="1">INDIRECT($B$159&amp;I$157&amp;$C164,1)</f>
        <v>0</v>
      </c>
      <c r="J164" s="492" cm="1">
        <f t="array" aca="1" ref="J164" ca="1">INDIRECT($B$159&amp;J$157&amp;$C164,1)</f>
        <v>0</v>
      </c>
      <c r="K164" s="492" cm="1">
        <f t="array" aca="1" ref="K164" ca="1">INDIRECT($B$159&amp;K$157&amp;$C164,1)</f>
        <v>0</v>
      </c>
      <c r="L164" s="653" cm="1">
        <f t="array" aca="1" ref="L164" ca="1">INDIRECT($B$159&amp;L$157&amp;$C164,1)</f>
        <v>0</v>
      </c>
      <c r="M164" s="492" cm="1">
        <f t="array" aca="1" ref="M164" ca="1">INDIRECT($B$159&amp;M$157&amp;$C164,1)</f>
        <v>0</v>
      </c>
      <c r="N164" s="492" cm="1">
        <f t="array" aca="1" ref="N164" ca="1">INDIRECT($B$159&amp;N$157&amp;$C164,1)</f>
        <v>0</v>
      </c>
      <c r="O164" s="492" cm="1">
        <f t="array" aca="1" ref="O164" ca="1">INDIRECT($B$159&amp;O$157&amp;$C164,1)</f>
        <v>0</v>
      </c>
      <c r="P164" s="653" cm="1">
        <f t="array" aca="1" ref="P164" ca="1">INDIRECT($B$159&amp;P$157&amp;$C164,1)</f>
        <v>0</v>
      </c>
      <c r="Q164" s="492"/>
      <c r="R164" s="492"/>
      <c r="S164" s="492"/>
      <c r="BF164" s="469" t="s">
        <v>5510</v>
      </c>
      <c r="BH164" s="539" t="s">
        <v>8046</v>
      </c>
      <c r="BI164" s="539">
        <f t="shared" si="105"/>
        <v>176</v>
      </c>
      <c r="BJ164" s="539" cm="1">
        <f t="array" aca="1" ref="BJ164" ca="1">INDIRECT($BM$2&amp;BJ$7&amp;$BI164,1)</f>
        <v>0</v>
      </c>
      <c r="BK164" s="539" cm="1">
        <f t="array" aca="1" ref="BK164" ca="1">INDIRECT($BM$2&amp;BK$7&amp;$BI164,1)</f>
        <v>0</v>
      </c>
      <c r="BL164" s="539" cm="1">
        <f t="array" aca="1" ref="BL164" ca="1">INDIRECT($BM$2&amp;BL$7&amp;$BI164,1)</f>
        <v>0</v>
      </c>
      <c r="BM164" s="539" cm="1">
        <f t="array" aca="1" ref="BM164" ca="1">INDIRECT($BM$2&amp;BM$7&amp;$BI164,1)</f>
        <v>0</v>
      </c>
      <c r="BN164" s="539" cm="1">
        <f t="array" aca="1" ref="BN164" ca="1">INDIRECT($BM$2&amp;BN$7&amp;$BI164,1)</f>
        <v>0</v>
      </c>
      <c r="BO164" s="539" t="str">
        <f t="shared" ca="1" si="102"/>
        <v>-</v>
      </c>
      <c r="BQ164" s="20"/>
      <c r="BR164" s="469">
        <v>11</v>
      </c>
      <c r="BS164" s="539" t="s">
        <v>8046</v>
      </c>
      <c r="BT164" s="539">
        <f t="shared" si="106"/>
        <v>522</v>
      </c>
      <c r="BU164" s="539" cm="1">
        <f t="array" aca="1" ref="BU164" ca="1">INDIRECT($BM$2&amp;BU$7&amp;$BT164,1)</f>
        <v>0</v>
      </c>
      <c r="BV164" s="539" cm="1">
        <f t="array" aca="1" ref="BV164" ca="1">INDIRECT($BM$2&amp;BV$7&amp;$BT164,1)</f>
        <v>0</v>
      </c>
      <c r="BW164" s="539" cm="1">
        <f t="array" aca="1" ref="BW164" ca="1">INDIRECT($BM$2&amp;BW$7&amp;$BT164,1)</f>
        <v>0</v>
      </c>
      <c r="BX164" s="539" cm="1">
        <f t="array" aca="1" ref="BX164" ca="1">INDIRECT($BM$2&amp;BX$7&amp;$BT164,1)</f>
        <v>0</v>
      </c>
      <c r="BY164" s="539" cm="1">
        <f t="array" aca="1" ref="BY164" ca="1">INDIRECT($BM$2&amp;BY$7&amp;$BT164,1)</f>
        <v>0</v>
      </c>
      <c r="BZ164" s="539" t="str">
        <f t="shared" ca="1" si="103"/>
        <v>-</v>
      </c>
      <c r="CC164" s="469">
        <v>11</v>
      </c>
      <c r="CD164" s="539" t="s">
        <v>8046</v>
      </c>
      <c r="CE164" s="539">
        <f t="shared" si="107"/>
        <v>868</v>
      </c>
      <c r="CF164" s="539" cm="1">
        <f t="array" aca="1" ref="CF164" ca="1">INDIRECT($BM$2&amp;CF$7&amp;$CE164,1)</f>
        <v>0</v>
      </c>
      <c r="CG164" s="539" cm="1">
        <f t="array" aca="1" ref="CG164" ca="1">INDIRECT($BM$2&amp;CG$7&amp;$CE164,1)</f>
        <v>0</v>
      </c>
      <c r="CH164" s="539" cm="1">
        <f t="array" aca="1" ref="CH164" ca="1">INDIRECT($BM$2&amp;CH$7&amp;$CE164,1)</f>
        <v>0</v>
      </c>
      <c r="CI164" s="539" cm="1">
        <f t="array" aca="1" ref="CI164" ca="1">INDIRECT($BM$2&amp;CI$7&amp;$CE164,1)</f>
        <v>0</v>
      </c>
      <c r="CJ164" s="539" cm="1">
        <f t="array" aca="1" ref="CJ164" ca="1">INDIRECT($BM$2&amp;CJ$7&amp;$CE164,1)</f>
        <v>0</v>
      </c>
      <c r="CK164" s="539" t="str">
        <f t="shared" ca="1" si="104"/>
        <v>-</v>
      </c>
      <c r="CU164" s="469" t="s">
        <v>5510</v>
      </c>
      <c r="EQ164" s="469" t="s">
        <v>5510</v>
      </c>
      <c r="GC164" s="472" t="s">
        <v>5510</v>
      </c>
      <c r="HN164" s="20"/>
      <c r="HP164" s="472"/>
    </row>
    <row r="165" spans="3:224" x14ac:dyDescent="0.25">
      <c r="BF165" s="469" t="s">
        <v>5510</v>
      </c>
      <c r="BH165" s="539" t="s">
        <v>8046</v>
      </c>
      <c r="BI165" s="539">
        <f t="shared" si="105"/>
        <v>177</v>
      </c>
      <c r="BJ165" s="539" cm="1">
        <f t="array" aca="1" ref="BJ165" ca="1">INDIRECT($BM$2&amp;BJ$7&amp;$BI165,1)</f>
        <v>0</v>
      </c>
      <c r="BK165" s="539" cm="1">
        <f t="array" aca="1" ref="BK165" ca="1">INDIRECT($BM$2&amp;BK$7&amp;$BI165,1)</f>
        <v>0</v>
      </c>
      <c r="BL165" s="539" cm="1">
        <f t="array" aca="1" ref="BL165" ca="1">INDIRECT($BM$2&amp;BL$7&amp;$BI165,1)</f>
        <v>0</v>
      </c>
      <c r="BM165" s="539" cm="1">
        <f t="array" aca="1" ref="BM165" ca="1">INDIRECT($BM$2&amp;BM$7&amp;$BI165,1)</f>
        <v>0</v>
      </c>
      <c r="BN165" s="539" t="str" cm="1">
        <f t="array" aca="1" ref="BN165" ca="1">INDIRECT($BM$2&amp;BN$7&amp;$BI165,1)</f>
        <v>-</v>
      </c>
      <c r="BO165" s="539" t="str">
        <f t="shared" ca="1" si="102"/>
        <v>-</v>
      </c>
      <c r="BQ165" s="20"/>
      <c r="BR165" s="469">
        <v>12</v>
      </c>
      <c r="BS165" s="539" t="s">
        <v>8046</v>
      </c>
      <c r="BT165" s="539">
        <f t="shared" si="106"/>
        <v>523</v>
      </c>
      <c r="BU165" s="539" cm="1">
        <f t="array" aca="1" ref="BU165" ca="1">INDIRECT($BM$2&amp;BU$7&amp;$BT165,1)</f>
        <v>0</v>
      </c>
      <c r="BV165" s="539" cm="1">
        <f t="array" aca="1" ref="BV165" ca="1">INDIRECT($BM$2&amp;BV$7&amp;$BT165,1)</f>
        <v>0</v>
      </c>
      <c r="BW165" s="539" cm="1">
        <f t="array" aca="1" ref="BW165" ca="1">INDIRECT($BM$2&amp;BW$7&amp;$BT165,1)</f>
        <v>0</v>
      </c>
      <c r="BX165" s="539" cm="1">
        <f t="array" aca="1" ref="BX165" ca="1">INDIRECT($BM$2&amp;BX$7&amp;$BT165,1)</f>
        <v>0</v>
      </c>
      <c r="BY165" s="539" t="str" cm="1">
        <f t="array" aca="1" ref="BY165" ca="1">INDIRECT($BM$2&amp;BY$7&amp;$BT165,1)</f>
        <v>-</v>
      </c>
      <c r="BZ165" s="539" t="str">
        <f t="shared" ca="1" si="103"/>
        <v>-</v>
      </c>
      <c r="CC165" s="469">
        <v>12</v>
      </c>
      <c r="CD165" s="539" t="s">
        <v>8046</v>
      </c>
      <c r="CE165" s="539">
        <f t="shared" si="107"/>
        <v>869</v>
      </c>
      <c r="CF165" s="539" cm="1">
        <f t="array" aca="1" ref="CF165" ca="1">INDIRECT($BM$2&amp;CF$7&amp;$CE165,1)</f>
        <v>0</v>
      </c>
      <c r="CG165" s="539" cm="1">
        <f t="array" aca="1" ref="CG165" ca="1">INDIRECT($BM$2&amp;CG$7&amp;$CE165,1)</f>
        <v>0</v>
      </c>
      <c r="CH165" s="539" cm="1">
        <f t="array" aca="1" ref="CH165" ca="1">INDIRECT($BM$2&amp;CH$7&amp;$CE165,1)</f>
        <v>0</v>
      </c>
      <c r="CI165" s="539" cm="1">
        <f t="array" aca="1" ref="CI165" ca="1">INDIRECT($BM$2&amp;CI$7&amp;$CE165,1)</f>
        <v>0</v>
      </c>
      <c r="CJ165" s="539" t="str" cm="1">
        <f t="array" aca="1" ref="CJ165" ca="1">INDIRECT($BM$2&amp;CJ$7&amp;$CE165,1)</f>
        <v>-</v>
      </c>
      <c r="CK165" s="539" t="str">
        <f t="shared" ca="1" si="104"/>
        <v>-</v>
      </c>
      <c r="CU165" s="469" t="s">
        <v>5510</v>
      </c>
      <c r="EQ165" s="469" t="s">
        <v>5510</v>
      </c>
      <c r="GC165" s="472" t="s">
        <v>5510</v>
      </c>
      <c r="HN165" s="20"/>
      <c r="HP165" s="472"/>
    </row>
    <row r="166" spans="3:224" x14ac:dyDescent="0.25">
      <c r="BF166" s="469" t="s">
        <v>5510</v>
      </c>
      <c r="BL166" s="372"/>
      <c r="BO166" s="472"/>
      <c r="BQ166" s="20"/>
      <c r="BT166" s="372"/>
      <c r="BU166" s="472"/>
      <c r="BV166" s="472"/>
      <c r="BW166" s="372"/>
      <c r="BX166" s="472"/>
      <c r="BY166" s="372"/>
      <c r="BZ166" s="472"/>
      <c r="CE166" s="372"/>
      <c r="CF166" s="472"/>
      <c r="CG166" s="472"/>
      <c r="CH166" s="372"/>
      <c r="CI166" s="472"/>
      <c r="CJ166" s="372"/>
      <c r="CK166" s="472"/>
      <c r="CU166" s="469" t="s">
        <v>5510</v>
      </c>
      <c r="EQ166" s="469" t="s">
        <v>5510</v>
      </c>
      <c r="GC166" s="472" t="s">
        <v>5510</v>
      </c>
      <c r="HN166" s="20"/>
      <c r="HP166" s="472"/>
    </row>
    <row r="167" spans="3:224" x14ac:dyDescent="0.25">
      <c r="BF167" s="469" t="s">
        <v>5510</v>
      </c>
      <c r="BL167" s="372"/>
      <c r="BO167" s="472"/>
      <c r="BQ167" s="20"/>
      <c r="BT167" s="372"/>
      <c r="BU167" s="472"/>
      <c r="BV167" s="472"/>
      <c r="BW167" s="372"/>
      <c r="BX167" s="472"/>
      <c r="BY167" s="372"/>
      <c r="BZ167" s="472"/>
      <c r="CE167" s="372"/>
      <c r="CF167" s="472"/>
      <c r="CG167" s="472"/>
      <c r="CH167" s="372"/>
      <c r="CI167" s="472"/>
      <c r="CJ167" s="372"/>
      <c r="CK167" s="472"/>
      <c r="CU167" s="469" t="s">
        <v>5510</v>
      </c>
      <c r="EQ167" s="469" t="s">
        <v>5510</v>
      </c>
      <c r="GC167" s="472" t="s">
        <v>5510</v>
      </c>
      <c r="HN167" s="20"/>
      <c r="HP167" s="472"/>
    </row>
    <row r="168" spans="3:224" x14ac:dyDescent="0.25">
      <c r="BF168" s="469" t="s">
        <v>5510</v>
      </c>
      <c r="BQ168" s="20"/>
      <c r="BT168" s="372"/>
      <c r="BU168" s="472"/>
      <c r="BV168" s="472"/>
      <c r="BW168" s="472"/>
      <c r="BX168" s="472"/>
      <c r="BY168" s="372"/>
      <c r="BZ168" s="372"/>
      <c r="CE168" s="372"/>
      <c r="CF168" s="472"/>
      <c r="CG168" s="472"/>
      <c r="CH168" s="472"/>
      <c r="CI168" s="472"/>
      <c r="CJ168" s="372"/>
      <c r="CK168" s="372"/>
      <c r="CU168" s="469" t="s">
        <v>5510</v>
      </c>
      <c r="EQ168" s="469" t="s">
        <v>5510</v>
      </c>
      <c r="GC168" s="472" t="s">
        <v>5510</v>
      </c>
      <c r="HN168" s="20"/>
      <c r="HP168" s="472"/>
    </row>
    <row r="169" spans="3:224" x14ac:dyDescent="0.25">
      <c r="BF169" s="469" t="s">
        <v>5510</v>
      </c>
      <c r="BQ169" s="20"/>
      <c r="BT169" s="372"/>
      <c r="BU169" s="472"/>
      <c r="BV169" s="472"/>
      <c r="BW169" s="472"/>
      <c r="BX169" s="472"/>
      <c r="BY169" s="372"/>
      <c r="BZ169" s="372"/>
      <c r="CE169" s="372"/>
      <c r="CF169" s="472"/>
      <c r="CG169" s="472"/>
      <c r="CH169" s="472"/>
      <c r="CI169" s="472"/>
      <c r="CJ169" s="372"/>
      <c r="CK169" s="372"/>
      <c r="CU169" s="469" t="s">
        <v>5510</v>
      </c>
      <c r="EQ169" s="469" t="s">
        <v>5510</v>
      </c>
      <c r="GC169" s="472" t="s">
        <v>5510</v>
      </c>
      <c r="HN169" s="20"/>
      <c r="HP169" s="472"/>
    </row>
    <row r="170" spans="3:224" x14ac:dyDescent="0.25">
      <c r="N170" s="20"/>
      <c r="Y170" s="20"/>
      <c r="BF170" s="469" t="s">
        <v>5510</v>
      </c>
      <c r="BH170" s="539" t="s">
        <v>8047</v>
      </c>
      <c r="BI170" s="539">
        <f>BI165+$BO$6</f>
        <v>183</v>
      </c>
      <c r="BJ170" s="539" cm="1">
        <f t="array" aca="1" ref="BJ170" ca="1">INDIRECT($BM$2&amp;BJ$7&amp;$BI170,1)</f>
        <v>0</v>
      </c>
      <c r="BK170" s="539" cm="1">
        <f t="array" aca="1" ref="BK170" ca="1">INDIRECT($BM$2&amp;BK$7&amp;$BI170,1)</f>
        <v>0</v>
      </c>
      <c r="BL170" s="539" cm="1">
        <f t="array" aca="1" ref="BL170" ca="1">INDIRECT($BM$2&amp;BL$7&amp;$BI170,1)</f>
        <v>0</v>
      </c>
      <c r="BM170" s="539" cm="1">
        <f t="array" aca="1" ref="BM170" ca="1">INDIRECT($BM$2&amp;BM$7&amp;$BI170,1)</f>
        <v>0</v>
      </c>
      <c r="BN170" s="539" cm="1">
        <f t="array" aca="1" ref="BN170" ca="1">INDIRECT($BM$2&amp;BN$7&amp;$BI170,1)</f>
        <v>0</v>
      </c>
      <c r="BO170" s="539" t="str">
        <f ca="1">IFERROR(BK170/BK$170,"-")</f>
        <v>-</v>
      </c>
      <c r="BQ170" s="20"/>
      <c r="BR170" s="469">
        <v>1</v>
      </c>
      <c r="BS170" s="539" t="s">
        <v>8047</v>
      </c>
      <c r="BT170" s="539">
        <f>BT165+$BO$6</f>
        <v>529</v>
      </c>
      <c r="BU170" s="539" cm="1">
        <f t="array" aca="1" ref="BU170" ca="1">INDIRECT($BM$2&amp;BU$7&amp;$BT170,1)</f>
        <v>0</v>
      </c>
      <c r="BV170" s="539" cm="1">
        <f t="array" aca="1" ref="BV170" ca="1">INDIRECT($BM$2&amp;BV$7&amp;$BT170,1)</f>
        <v>0</v>
      </c>
      <c r="BW170" s="539" cm="1">
        <f t="array" aca="1" ref="BW170" ca="1">INDIRECT($BM$2&amp;BW$7&amp;$BT170,1)</f>
        <v>0</v>
      </c>
      <c r="BX170" s="539" cm="1">
        <f t="array" aca="1" ref="BX170" ca="1">INDIRECT($BM$2&amp;BX$7&amp;$BT170,1)</f>
        <v>0</v>
      </c>
      <c r="BY170" s="539" cm="1">
        <f t="array" aca="1" ref="BY170" ca="1">INDIRECT($BM$2&amp;BY$7&amp;$BT170,1)</f>
        <v>0</v>
      </c>
      <c r="BZ170" s="539" t="str">
        <f ca="1">IFERROR(BV170/BV$170,"-")</f>
        <v>-</v>
      </c>
      <c r="CC170" s="469">
        <v>1</v>
      </c>
      <c r="CD170" s="539" t="s">
        <v>8047</v>
      </c>
      <c r="CE170" s="539">
        <f>CE165+$BO$6</f>
        <v>875</v>
      </c>
      <c r="CF170" s="539" cm="1">
        <f t="array" aca="1" ref="CF170" ca="1">INDIRECT($BM$2&amp;CF$7&amp;$CE170,1)</f>
        <v>0</v>
      </c>
      <c r="CG170" s="539" cm="1">
        <f t="array" aca="1" ref="CG170" ca="1">INDIRECT($BM$2&amp;CG$7&amp;$CE170,1)</f>
        <v>0</v>
      </c>
      <c r="CH170" s="539" cm="1">
        <f t="array" aca="1" ref="CH170" ca="1">INDIRECT($BM$2&amp;CH$7&amp;$CE170,1)</f>
        <v>0</v>
      </c>
      <c r="CI170" s="539" cm="1">
        <f t="array" aca="1" ref="CI170" ca="1">INDIRECT($BM$2&amp;CI$7&amp;$CE170,1)</f>
        <v>0</v>
      </c>
      <c r="CJ170" s="539" cm="1">
        <f t="array" aca="1" ref="CJ170" ca="1">INDIRECT($BM$2&amp;CJ$7&amp;$CE170,1)</f>
        <v>0</v>
      </c>
      <c r="CK170" s="539" t="str">
        <f ca="1">IFERROR(CG170/CG$170,"-")</f>
        <v>-</v>
      </c>
      <c r="CU170" s="469" t="s">
        <v>5510</v>
      </c>
      <c r="EQ170" s="469" t="s">
        <v>5510</v>
      </c>
      <c r="GC170" s="472" t="s">
        <v>5510</v>
      </c>
      <c r="HN170" s="20"/>
      <c r="HP170" s="472"/>
    </row>
    <row r="171" spans="3:224" x14ac:dyDescent="0.25">
      <c r="N171" s="20"/>
      <c r="Y171" s="20"/>
      <c r="BF171" s="469" t="s">
        <v>5510</v>
      </c>
      <c r="BH171" s="539" t="s">
        <v>8047</v>
      </c>
      <c r="BI171" s="539">
        <f>BI170+1</f>
        <v>184</v>
      </c>
      <c r="BJ171" s="539" cm="1">
        <f t="array" aca="1" ref="BJ171" ca="1">INDIRECT($BM$2&amp;BJ$7&amp;$BI171,1)</f>
        <v>0</v>
      </c>
      <c r="BK171" s="539" cm="1">
        <f t="array" aca="1" ref="BK171" ca="1">INDIRECT($BM$2&amp;BK$7&amp;$BI171,1)</f>
        <v>0</v>
      </c>
      <c r="BL171" s="539" cm="1">
        <f t="array" aca="1" ref="BL171" ca="1">INDIRECT($BM$2&amp;BL$7&amp;$BI171,1)</f>
        <v>0</v>
      </c>
      <c r="BM171" s="539" cm="1">
        <f t="array" aca="1" ref="BM171" ca="1">INDIRECT($BM$2&amp;BM$7&amp;$BI171,1)</f>
        <v>0</v>
      </c>
      <c r="BN171" s="539" cm="1">
        <f t="array" aca="1" ref="BN171" ca="1">INDIRECT($BM$2&amp;BN$7&amp;$BI171,1)</f>
        <v>0</v>
      </c>
      <c r="BO171" s="539" t="str">
        <f t="shared" ref="BO171:BO181" ca="1" si="108">IF(BK171=0,"-",IFERROR(BK171/BK$170,"-"))</f>
        <v>-</v>
      </c>
      <c r="BQ171" s="20"/>
      <c r="BR171" s="469">
        <v>2</v>
      </c>
      <c r="BS171" s="539" t="s">
        <v>8047</v>
      </c>
      <c r="BT171" s="539">
        <f>BT170+1</f>
        <v>530</v>
      </c>
      <c r="BU171" s="539" cm="1">
        <f t="array" aca="1" ref="BU171" ca="1">INDIRECT($BM$2&amp;BU$7&amp;$BT171,1)</f>
        <v>0</v>
      </c>
      <c r="BV171" s="539" cm="1">
        <f t="array" aca="1" ref="BV171" ca="1">INDIRECT($BM$2&amp;BV$7&amp;$BT171,1)</f>
        <v>0</v>
      </c>
      <c r="BW171" s="539" cm="1">
        <f t="array" aca="1" ref="BW171" ca="1">INDIRECT($BM$2&amp;BW$7&amp;$BT171,1)</f>
        <v>0</v>
      </c>
      <c r="BX171" s="539" cm="1">
        <f t="array" aca="1" ref="BX171" ca="1">INDIRECT($BM$2&amp;BX$7&amp;$BT171,1)</f>
        <v>0</v>
      </c>
      <c r="BY171" s="539" cm="1">
        <f t="array" aca="1" ref="BY171" ca="1">INDIRECT($BM$2&amp;BY$7&amp;$BT171,1)</f>
        <v>0</v>
      </c>
      <c r="BZ171" s="539" t="str">
        <f t="shared" ref="BZ171:BZ181" ca="1" si="109">IF(BV171=0,"-",IFERROR(BV171/BV$170,"-"))</f>
        <v>-</v>
      </c>
      <c r="CC171" s="469">
        <v>2</v>
      </c>
      <c r="CD171" s="539" t="s">
        <v>8047</v>
      </c>
      <c r="CE171" s="539">
        <f>CE170+1</f>
        <v>876</v>
      </c>
      <c r="CF171" s="539" cm="1">
        <f t="array" aca="1" ref="CF171" ca="1">INDIRECT($BM$2&amp;CF$7&amp;$CE171,1)</f>
        <v>0</v>
      </c>
      <c r="CG171" s="539" cm="1">
        <f t="array" aca="1" ref="CG171" ca="1">INDIRECT($BM$2&amp;CG$7&amp;$CE171,1)</f>
        <v>0</v>
      </c>
      <c r="CH171" s="539" cm="1">
        <f t="array" aca="1" ref="CH171" ca="1">INDIRECT($BM$2&amp;CH$7&amp;$CE171,1)</f>
        <v>0</v>
      </c>
      <c r="CI171" s="539" cm="1">
        <f t="array" aca="1" ref="CI171" ca="1">INDIRECT($BM$2&amp;CI$7&amp;$CE171,1)</f>
        <v>0</v>
      </c>
      <c r="CJ171" s="539" cm="1">
        <f t="array" aca="1" ref="CJ171" ca="1">INDIRECT($BM$2&amp;CJ$7&amp;$CE171,1)</f>
        <v>0</v>
      </c>
      <c r="CK171" s="539" t="str">
        <f t="shared" ref="CK171:CK181" ca="1" si="110">IF(CG171=0,"-",IFERROR(CG171/CG$170,"-"))</f>
        <v>-</v>
      </c>
      <c r="CU171" s="469" t="s">
        <v>5510</v>
      </c>
      <c r="EQ171" s="469" t="s">
        <v>5510</v>
      </c>
      <c r="GC171" s="472" t="s">
        <v>5510</v>
      </c>
      <c r="HN171" s="20"/>
      <c r="HP171" s="472"/>
    </row>
    <row r="172" spans="3:224" x14ac:dyDescent="0.25">
      <c r="N172" s="20"/>
      <c r="Y172" s="20"/>
      <c r="BF172" s="469" t="s">
        <v>5510</v>
      </c>
      <c r="BH172" s="539" t="s">
        <v>8047</v>
      </c>
      <c r="BI172" s="539">
        <f t="shared" ref="BI172:BI181" si="111">BI171+1</f>
        <v>185</v>
      </c>
      <c r="BJ172" s="539" cm="1">
        <f t="array" aca="1" ref="BJ172" ca="1">INDIRECT($BM$2&amp;BJ$7&amp;$BI172,1)</f>
        <v>0</v>
      </c>
      <c r="BK172" s="539" cm="1">
        <f t="array" aca="1" ref="BK172" ca="1">INDIRECT($BM$2&amp;BK$7&amp;$BI172,1)</f>
        <v>0</v>
      </c>
      <c r="BL172" s="539" cm="1">
        <f t="array" aca="1" ref="BL172" ca="1">INDIRECT($BM$2&amp;BL$7&amp;$BI172,1)</f>
        <v>0</v>
      </c>
      <c r="BM172" s="539" cm="1">
        <f t="array" aca="1" ref="BM172" ca="1">INDIRECT($BM$2&amp;BM$7&amp;$BI172,1)</f>
        <v>0</v>
      </c>
      <c r="BN172" s="539" cm="1">
        <f t="array" aca="1" ref="BN172" ca="1">INDIRECT($BM$2&amp;BN$7&amp;$BI172,1)</f>
        <v>0</v>
      </c>
      <c r="BO172" s="539" t="str">
        <f t="shared" ca="1" si="108"/>
        <v>-</v>
      </c>
      <c r="BQ172" s="20"/>
      <c r="BR172" s="469">
        <v>3</v>
      </c>
      <c r="BS172" s="539" t="s">
        <v>8047</v>
      </c>
      <c r="BT172" s="539">
        <f t="shared" ref="BT172:BT181" si="112">BT171+1</f>
        <v>531</v>
      </c>
      <c r="BU172" s="539" cm="1">
        <f t="array" aca="1" ref="BU172" ca="1">INDIRECT($BM$2&amp;BU$7&amp;$BT172,1)</f>
        <v>0</v>
      </c>
      <c r="BV172" s="539" cm="1">
        <f t="array" aca="1" ref="BV172" ca="1">INDIRECT($BM$2&amp;BV$7&amp;$BT172,1)</f>
        <v>0</v>
      </c>
      <c r="BW172" s="539" cm="1">
        <f t="array" aca="1" ref="BW172" ca="1">INDIRECT($BM$2&amp;BW$7&amp;$BT172,1)</f>
        <v>0</v>
      </c>
      <c r="BX172" s="539" cm="1">
        <f t="array" aca="1" ref="BX172" ca="1">INDIRECT($BM$2&amp;BX$7&amp;$BT172,1)</f>
        <v>0</v>
      </c>
      <c r="BY172" s="539" cm="1">
        <f t="array" aca="1" ref="BY172" ca="1">INDIRECT($BM$2&amp;BY$7&amp;$BT172,1)</f>
        <v>0</v>
      </c>
      <c r="BZ172" s="539" t="str">
        <f t="shared" ca="1" si="109"/>
        <v>-</v>
      </c>
      <c r="CC172" s="469">
        <v>3</v>
      </c>
      <c r="CD172" s="539" t="s">
        <v>8047</v>
      </c>
      <c r="CE172" s="539">
        <f t="shared" ref="CE172:CE181" si="113">CE171+1</f>
        <v>877</v>
      </c>
      <c r="CF172" s="539" cm="1">
        <f t="array" aca="1" ref="CF172" ca="1">INDIRECT($BM$2&amp;CF$7&amp;$CE172,1)</f>
        <v>0</v>
      </c>
      <c r="CG172" s="539" cm="1">
        <f t="array" aca="1" ref="CG172" ca="1">INDIRECT($BM$2&amp;CG$7&amp;$CE172,1)</f>
        <v>0</v>
      </c>
      <c r="CH172" s="539" cm="1">
        <f t="array" aca="1" ref="CH172" ca="1">INDIRECT($BM$2&amp;CH$7&amp;$CE172,1)</f>
        <v>0</v>
      </c>
      <c r="CI172" s="539" cm="1">
        <f t="array" aca="1" ref="CI172" ca="1">INDIRECT($BM$2&amp;CI$7&amp;$CE172,1)</f>
        <v>0</v>
      </c>
      <c r="CJ172" s="539" cm="1">
        <f t="array" aca="1" ref="CJ172" ca="1">INDIRECT($BM$2&amp;CJ$7&amp;$CE172,1)</f>
        <v>0</v>
      </c>
      <c r="CK172" s="539" t="str">
        <f t="shared" ca="1" si="110"/>
        <v>-</v>
      </c>
      <c r="CU172" s="469" t="s">
        <v>5510</v>
      </c>
      <c r="EQ172" s="469" t="s">
        <v>5510</v>
      </c>
      <c r="GC172" s="472" t="s">
        <v>5510</v>
      </c>
      <c r="HN172" s="20"/>
      <c r="HP172" s="472"/>
    </row>
    <row r="173" spans="3:224" x14ac:dyDescent="0.25">
      <c r="N173" s="20"/>
      <c r="Y173" s="20"/>
      <c r="BF173" s="469" t="s">
        <v>5510</v>
      </c>
      <c r="BH173" s="539" t="s">
        <v>8047</v>
      </c>
      <c r="BI173" s="539">
        <f t="shared" si="111"/>
        <v>186</v>
      </c>
      <c r="BJ173" s="539" cm="1">
        <f t="array" aca="1" ref="BJ173" ca="1">INDIRECT($BM$2&amp;BJ$7&amp;$BI173,1)</f>
        <v>0</v>
      </c>
      <c r="BK173" s="539" cm="1">
        <f t="array" aca="1" ref="BK173" ca="1">INDIRECT($BM$2&amp;BK$7&amp;$BI173,1)</f>
        <v>0</v>
      </c>
      <c r="BL173" s="539" cm="1">
        <f t="array" aca="1" ref="BL173" ca="1">INDIRECT($BM$2&amp;BL$7&amp;$BI173,1)</f>
        <v>0</v>
      </c>
      <c r="BM173" s="539" cm="1">
        <f t="array" aca="1" ref="BM173" ca="1">INDIRECT($BM$2&amp;BM$7&amp;$BI173,1)</f>
        <v>0</v>
      </c>
      <c r="BN173" s="539" cm="1">
        <f t="array" aca="1" ref="BN173" ca="1">INDIRECT($BM$2&amp;BN$7&amp;$BI173,1)</f>
        <v>0</v>
      </c>
      <c r="BO173" s="539" t="str">
        <f t="shared" ca="1" si="108"/>
        <v>-</v>
      </c>
      <c r="BQ173" s="20"/>
      <c r="BR173" s="469">
        <v>4</v>
      </c>
      <c r="BS173" s="539" t="s">
        <v>8047</v>
      </c>
      <c r="BT173" s="539">
        <f t="shared" si="112"/>
        <v>532</v>
      </c>
      <c r="BU173" s="539" cm="1">
        <f t="array" aca="1" ref="BU173" ca="1">INDIRECT($BM$2&amp;BU$7&amp;$BT173,1)</f>
        <v>0</v>
      </c>
      <c r="BV173" s="539" cm="1">
        <f t="array" aca="1" ref="BV173" ca="1">INDIRECT($BM$2&amp;BV$7&amp;$BT173,1)</f>
        <v>0</v>
      </c>
      <c r="BW173" s="539" cm="1">
        <f t="array" aca="1" ref="BW173" ca="1">INDIRECT($BM$2&amp;BW$7&amp;$BT173,1)</f>
        <v>0</v>
      </c>
      <c r="BX173" s="539" cm="1">
        <f t="array" aca="1" ref="BX173" ca="1">INDIRECT($BM$2&amp;BX$7&amp;$BT173,1)</f>
        <v>0</v>
      </c>
      <c r="BY173" s="539" cm="1">
        <f t="array" aca="1" ref="BY173" ca="1">INDIRECT($BM$2&amp;BY$7&amp;$BT173,1)</f>
        <v>0</v>
      </c>
      <c r="BZ173" s="539" t="str">
        <f t="shared" ca="1" si="109"/>
        <v>-</v>
      </c>
      <c r="CC173" s="469">
        <v>4</v>
      </c>
      <c r="CD173" s="539" t="s">
        <v>8047</v>
      </c>
      <c r="CE173" s="539">
        <f t="shared" si="113"/>
        <v>878</v>
      </c>
      <c r="CF173" s="539" cm="1">
        <f t="array" aca="1" ref="CF173" ca="1">INDIRECT($BM$2&amp;CF$7&amp;$CE173,1)</f>
        <v>0</v>
      </c>
      <c r="CG173" s="539" cm="1">
        <f t="array" aca="1" ref="CG173" ca="1">INDIRECT($BM$2&amp;CG$7&amp;$CE173,1)</f>
        <v>0</v>
      </c>
      <c r="CH173" s="539" cm="1">
        <f t="array" aca="1" ref="CH173" ca="1">INDIRECT($BM$2&amp;CH$7&amp;$CE173,1)</f>
        <v>0</v>
      </c>
      <c r="CI173" s="539" cm="1">
        <f t="array" aca="1" ref="CI173" ca="1">INDIRECT($BM$2&amp;CI$7&amp;$CE173,1)</f>
        <v>0</v>
      </c>
      <c r="CJ173" s="539" cm="1">
        <f t="array" aca="1" ref="CJ173" ca="1">INDIRECT($BM$2&amp;CJ$7&amp;$CE173,1)</f>
        <v>0</v>
      </c>
      <c r="CK173" s="539" t="str">
        <f t="shared" ca="1" si="110"/>
        <v>-</v>
      </c>
      <c r="CU173" s="469" t="s">
        <v>5510</v>
      </c>
      <c r="EQ173" s="469" t="s">
        <v>5510</v>
      </c>
      <c r="GC173" s="472" t="s">
        <v>5510</v>
      </c>
      <c r="HN173" s="20"/>
      <c r="HP173" s="472"/>
    </row>
    <row r="174" spans="3:224" x14ac:dyDescent="0.25">
      <c r="N174" s="20"/>
      <c r="Y174" s="20"/>
      <c r="BF174" s="469" t="s">
        <v>5510</v>
      </c>
      <c r="BH174" s="539" t="s">
        <v>8047</v>
      </c>
      <c r="BI174" s="539">
        <f t="shared" si="111"/>
        <v>187</v>
      </c>
      <c r="BJ174" s="539" cm="1">
        <f t="array" aca="1" ref="BJ174" ca="1">INDIRECT($BM$2&amp;BJ$7&amp;$BI174,1)</f>
        <v>0</v>
      </c>
      <c r="BK174" s="539" cm="1">
        <f t="array" aca="1" ref="BK174" ca="1">INDIRECT($BM$2&amp;BK$7&amp;$BI174,1)</f>
        <v>0</v>
      </c>
      <c r="BL174" s="539" cm="1">
        <f t="array" aca="1" ref="BL174" ca="1">INDIRECT($BM$2&amp;BL$7&amp;$BI174,1)</f>
        <v>0</v>
      </c>
      <c r="BM174" s="539" cm="1">
        <f t="array" aca="1" ref="BM174" ca="1">INDIRECT($BM$2&amp;BM$7&amp;$BI174,1)</f>
        <v>0</v>
      </c>
      <c r="BN174" s="539" cm="1">
        <f t="array" aca="1" ref="BN174" ca="1">INDIRECT($BM$2&amp;BN$7&amp;$BI174,1)</f>
        <v>0</v>
      </c>
      <c r="BO174" s="539" t="str">
        <f t="shared" ca="1" si="108"/>
        <v>-</v>
      </c>
      <c r="BQ174" s="20"/>
      <c r="BR174" s="469">
        <v>5</v>
      </c>
      <c r="BS174" s="539" t="s">
        <v>8047</v>
      </c>
      <c r="BT174" s="539">
        <f t="shared" si="112"/>
        <v>533</v>
      </c>
      <c r="BU174" s="539" cm="1">
        <f t="array" aca="1" ref="BU174" ca="1">INDIRECT($BM$2&amp;BU$7&amp;$BT174,1)</f>
        <v>0</v>
      </c>
      <c r="BV174" s="539" cm="1">
        <f t="array" aca="1" ref="BV174" ca="1">INDIRECT($BM$2&amp;BV$7&amp;$BT174,1)</f>
        <v>0</v>
      </c>
      <c r="BW174" s="539" cm="1">
        <f t="array" aca="1" ref="BW174" ca="1">INDIRECT($BM$2&amp;BW$7&amp;$BT174,1)</f>
        <v>0</v>
      </c>
      <c r="BX174" s="539" cm="1">
        <f t="array" aca="1" ref="BX174" ca="1">INDIRECT($BM$2&amp;BX$7&amp;$BT174,1)</f>
        <v>0</v>
      </c>
      <c r="BY174" s="539" cm="1">
        <f t="array" aca="1" ref="BY174" ca="1">INDIRECT($BM$2&amp;BY$7&amp;$BT174,1)</f>
        <v>0</v>
      </c>
      <c r="BZ174" s="539" t="str">
        <f t="shared" ca="1" si="109"/>
        <v>-</v>
      </c>
      <c r="CC174" s="469">
        <v>5</v>
      </c>
      <c r="CD174" s="539" t="s">
        <v>8047</v>
      </c>
      <c r="CE174" s="539">
        <f t="shared" si="113"/>
        <v>879</v>
      </c>
      <c r="CF174" s="539" cm="1">
        <f t="array" aca="1" ref="CF174" ca="1">INDIRECT($BM$2&amp;CF$7&amp;$CE174,1)</f>
        <v>0</v>
      </c>
      <c r="CG174" s="539" cm="1">
        <f t="array" aca="1" ref="CG174" ca="1">INDIRECT($BM$2&amp;CG$7&amp;$CE174,1)</f>
        <v>0</v>
      </c>
      <c r="CH174" s="539" cm="1">
        <f t="array" aca="1" ref="CH174" ca="1">INDIRECT($BM$2&amp;CH$7&amp;$CE174,1)</f>
        <v>0</v>
      </c>
      <c r="CI174" s="539" cm="1">
        <f t="array" aca="1" ref="CI174" ca="1">INDIRECT($BM$2&amp;CI$7&amp;$CE174,1)</f>
        <v>0</v>
      </c>
      <c r="CJ174" s="539" cm="1">
        <f t="array" aca="1" ref="CJ174" ca="1">INDIRECT($BM$2&amp;CJ$7&amp;$CE174,1)</f>
        <v>0</v>
      </c>
      <c r="CK174" s="539" t="str">
        <f t="shared" ca="1" si="110"/>
        <v>-</v>
      </c>
      <c r="CU174" s="469" t="s">
        <v>5510</v>
      </c>
      <c r="EQ174" s="469" t="s">
        <v>5510</v>
      </c>
      <c r="GC174" s="472" t="s">
        <v>5510</v>
      </c>
      <c r="HN174" s="20"/>
      <c r="HP174" s="472"/>
    </row>
    <row r="175" spans="3:224" x14ac:dyDescent="0.25">
      <c r="N175" s="20"/>
      <c r="Y175" s="20"/>
      <c r="BF175" s="469" t="s">
        <v>5510</v>
      </c>
      <c r="BH175" s="539" t="s">
        <v>8047</v>
      </c>
      <c r="BI175" s="539">
        <f t="shared" si="111"/>
        <v>188</v>
      </c>
      <c r="BJ175" s="539" cm="1">
        <f t="array" aca="1" ref="BJ175" ca="1">INDIRECT($BM$2&amp;BJ$7&amp;$BI175,1)</f>
        <v>0</v>
      </c>
      <c r="BK175" s="539" cm="1">
        <f t="array" aca="1" ref="BK175" ca="1">INDIRECT($BM$2&amp;BK$7&amp;$BI175,1)</f>
        <v>0</v>
      </c>
      <c r="BL175" s="539" cm="1">
        <f t="array" aca="1" ref="BL175" ca="1">INDIRECT($BM$2&amp;BL$7&amp;$BI175,1)</f>
        <v>0</v>
      </c>
      <c r="BM175" s="539" cm="1">
        <f t="array" aca="1" ref="BM175" ca="1">INDIRECT($BM$2&amp;BM$7&amp;$BI175,1)</f>
        <v>0</v>
      </c>
      <c r="BN175" s="539" cm="1">
        <f t="array" aca="1" ref="BN175" ca="1">INDIRECT($BM$2&amp;BN$7&amp;$BI175,1)</f>
        <v>0</v>
      </c>
      <c r="BO175" s="539" t="str">
        <f t="shared" ca="1" si="108"/>
        <v>-</v>
      </c>
      <c r="BQ175" s="20"/>
      <c r="BR175" s="469">
        <v>6</v>
      </c>
      <c r="BS175" s="539" t="s">
        <v>8047</v>
      </c>
      <c r="BT175" s="539">
        <f t="shared" si="112"/>
        <v>534</v>
      </c>
      <c r="BU175" s="539" cm="1">
        <f t="array" aca="1" ref="BU175" ca="1">INDIRECT($BM$2&amp;BU$7&amp;$BT175,1)</f>
        <v>0</v>
      </c>
      <c r="BV175" s="539" cm="1">
        <f t="array" aca="1" ref="BV175" ca="1">INDIRECT($BM$2&amp;BV$7&amp;$BT175,1)</f>
        <v>0</v>
      </c>
      <c r="BW175" s="539" cm="1">
        <f t="array" aca="1" ref="BW175" ca="1">INDIRECT($BM$2&amp;BW$7&amp;$BT175,1)</f>
        <v>0</v>
      </c>
      <c r="BX175" s="539" cm="1">
        <f t="array" aca="1" ref="BX175" ca="1">INDIRECT($BM$2&amp;BX$7&amp;$BT175,1)</f>
        <v>0</v>
      </c>
      <c r="BY175" s="539" cm="1">
        <f t="array" aca="1" ref="BY175" ca="1">INDIRECT($BM$2&amp;BY$7&amp;$BT175,1)</f>
        <v>0</v>
      </c>
      <c r="BZ175" s="539" t="str">
        <f t="shared" ca="1" si="109"/>
        <v>-</v>
      </c>
      <c r="CC175" s="469">
        <v>6</v>
      </c>
      <c r="CD175" s="539" t="s">
        <v>8047</v>
      </c>
      <c r="CE175" s="539">
        <f t="shared" si="113"/>
        <v>880</v>
      </c>
      <c r="CF175" s="539" cm="1">
        <f t="array" aca="1" ref="CF175" ca="1">INDIRECT($BM$2&amp;CF$7&amp;$CE175,1)</f>
        <v>0</v>
      </c>
      <c r="CG175" s="539" cm="1">
        <f t="array" aca="1" ref="CG175" ca="1">INDIRECT($BM$2&amp;CG$7&amp;$CE175,1)</f>
        <v>0</v>
      </c>
      <c r="CH175" s="539" cm="1">
        <f t="array" aca="1" ref="CH175" ca="1">INDIRECT($BM$2&amp;CH$7&amp;$CE175,1)</f>
        <v>0</v>
      </c>
      <c r="CI175" s="539" cm="1">
        <f t="array" aca="1" ref="CI175" ca="1">INDIRECT($BM$2&amp;CI$7&amp;$CE175,1)</f>
        <v>0</v>
      </c>
      <c r="CJ175" s="539" cm="1">
        <f t="array" aca="1" ref="CJ175" ca="1">INDIRECT($BM$2&amp;CJ$7&amp;$CE175,1)</f>
        <v>0</v>
      </c>
      <c r="CK175" s="539" t="str">
        <f t="shared" ca="1" si="110"/>
        <v>-</v>
      </c>
      <c r="CU175" s="469" t="s">
        <v>5510</v>
      </c>
      <c r="EQ175" s="469" t="s">
        <v>5510</v>
      </c>
      <c r="GC175" s="472" t="s">
        <v>5510</v>
      </c>
      <c r="HN175" s="20"/>
      <c r="HP175" s="472"/>
    </row>
    <row r="176" spans="3:224" x14ac:dyDescent="0.25">
      <c r="N176" s="20"/>
      <c r="Y176" s="20"/>
      <c r="BF176" s="469" t="s">
        <v>5510</v>
      </c>
      <c r="BH176" s="539" t="s">
        <v>8047</v>
      </c>
      <c r="BI176" s="539">
        <f t="shared" si="111"/>
        <v>189</v>
      </c>
      <c r="BJ176" s="539" cm="1">
        <f t="array" aca="1" ref="BJ176" ca="1">INDIRECT($BM$2&amp;BJ$7&amp;$BI176,1)</f>
        <v>0</v>
      </c>
      <c r="BK176" s="539" cm="1">
        <f t="array" aca="1" ref="BK176" ca="1">INDIRECT($BM$2&amp;BK$7&amp;$BI176,1)</f>
        <v>0</v>
      </c>
      <c r="BL176" s="539" cm="1">
        <f t="array" aca="1" ref="BL176" ca="1">INDIRECT($BM$2&amp;BL$7&amp;$BI176,1)</f>
        <v>0</v>
      </c>
      <c r="BM176" s="539" cm="1">
        <f t="array" aca="1" ref="BM176" ca="1">INDIRECT($BM$2&amp;BM$7&amp;$BI176,1)</f>
        <v>0</v>
      </c>
      <c r="BN176" s="539" cm="1">
        <f t="array" aca="1" ref="BN176" ca="1">INDIRECT($BM$2&amp;BN$7&amp;$BI176,1)</f>
        <v>0</v>
      </c>
      <c r="BO176" s="539" t="str">
        <f t="shared" ca="1" si="108"/>
        <v>-</v>
      </c>
      <c r="BQ176" s="20"/>
      <c r="BR176" s="469">
        <v>7</v>
      </c>
      <c r="BS176" s="539" t="s">
        <v>8047</v>
      </c>
      <c r="BT176" s="539">
        <f t="shared" si="112"/>
        <v>535</v>
      </c>
      <c r="BU176" s="539" cm="1">
        <f t="array" aca="1" ref="BU176" ca="1">INDIRECT($BM$2&amp;BU$7&amp;$BT176,1)</f>
        <v>0</v>
      </c>
      <c r="BV176" s="539" cm="1">
        <f t="array" aca="1" ref="BV176" ca="1">INDIRECT($BM$2&amp;BV$7&amp;$BT176,1)</f>
        <v>0</v>
      </c>
      <c r="BW176" s="539" cm="1">
        <f t="array" aca="1" ref="BW176" ca="1">INDIRECT($BM$2&amp;BW$7&amp;$BT176,1)</f>
        <v>0</v>
      </c>
      <c r="BX176" s="539" cm="1">
        <f t="array" aca="1" ref="BX176" ca="1">INDIRECT($BM$2&amp;BX$7&amp;$BT176,1)</f>
        <v>0</v>
      </c>
      <c r="BY176" s="539" cm="1">
        <f t="array" aca="1" ref="BY176" ca="1">INDIRECT($BM$2&amp;BY$7&amp;$BT176,1)</f>
        <v>0</v>
      </c>
      <c r="BZ176" s="539" t="str">
        <f t="shared" ca="1" si="109"/>
        <v>-</v>
      </c>
      <c r="CC176" s="469">
        <v>7</v>
      </c>
      <c r="CD176" s="539" t="s">
        <v>8047</v>
      </c>
      <c r="CE176" s="539">
        <f t="shared" si="113"/>
        <v>881</v>
      </c>
      <c r="CF176" s="539" cm="1">
        <f t="array" aca="1" ref="CF176" ca="1">INDIRECT($BM$2&amp;CF$7&amp;$CE176,1)</f>
        <v>0</v>
      </c>
      <c r="CG176" s="539" cm="1">
        <f t="array" aca="1" ref="CG176" ca="1">INDIRECT($BM$2&amp;CG$7&amp;$CE176,1)</f>
        <v>0</v>
      </c>
      <c r="CH176" s="539" cm="1">
        <f t="array" aca="1" ref="CH176" ca="1">INDIRECT($BM$2&amp;CH$7&amp;$CE176,1)</f>
        <v>0</v>
      </c>
      <c r="CI176" s="539" cm="1">
        <f t="array" aca="1" ref="CI176" ca="1">INDIRECT($BM$2&amp;CI$7&amp;$CE176,1)</f>
        <v>0</v>
      </c>
      <c r="CJ176" s="539" cm="1">
        <f t="array" aca="1" ref="CJ176" ca="1">INDIRECT($BM$2&amp;CJ$7&amp;$CE176,1)</f>
        <v>0</v>
      </c>
      <c r="CK176" s="539" t="str">
        <f t="shared" ca="1" si="110"/>
        <v>-</v>
      </c>
      <c r="CU176" s="469" t="s">
        <v>5510</v>
      </c>
      <c r="EQ176" s="469" t="s">
        <v>5510</v>
      </c>
      <c r="GC176" s="472" t="s">
        <v>5510</v>
      </c>
      <c r="HN176" s="20"/>
      <c r="HP176" s="472"/>
    </row>
    <row r="177" spans="1:224" x14ac:dyDescent="0.25">
      <c r="N177" s="20"/>
      <c r="Y177" s="20"/>
      <c r="BF177" s="469" t="s">
        <v>5510</v>
      </c>
      <c r="BH177" s="539" t="s">
        <v>8047</v>
      </c>
      <c r="BI177" s="539">
        <f t="shared" si="111"/>
        <v>190</v>
      </c>
      <c r="BJ177" s="539" cm="1">
        <f t="array" aca="1" ref="BJ177" ca="1">INDIRECT($BM$2&amp;BJ$7&amp;$BI177,1)</f>
        <v>0</v>
      </c>
      <c r="BK177" s="539" cm="1">
        <f t="array" aca="1" ref="BK177" ca="1">INDIRECT($BM$2&amp;BK$7&amp;$BI177,1)</f>
        <v>0</v>
      </c>
      <c r="BL177" s="539" cm="1">
        <f t="array" aca="1" ref="BL177" ca="1">INDIRECT($BM$2&amp;BL$7&amp;$BI177,1)</f>
        <v>0</v>
      </c>
      <c r="BM177" s="539" cm="1">
        <f t="array" aca="1" ref="BM177" ca="1">INDIRECT($BM$2&amp;BM$7&amp;$BI177,1)</f>
        <v>0</v>
      </c>
      <c r="BN177" s="539" cm="1">
        <f t="array" aca="1" ref="BN177" ca="1">INDIRECT($BM$2&amp;BN$7&amp;$BI177,1)</f>
        <v>0</v>
      </c>
      <c r="BO177" s="539" t="str">
        <f t="shared" ca="1" si="108"/>
        <v>-</v>
      </c>
      <c r="BQ177" s="20"/>
      <c r="BR177" s="469">
        <v>8</v>
      </c>
      <c r="BS177" s="539" t="s">
        <v>8047</v>
      </c>
      <c r="BT177" s="539">
        <f t="shared" si="112"/>
        <v>536</v>
      </c>
      <c r="BU177" s="539" cm="1">
        <f t="array" aca="1" ref="BU177" ca="1">INDIRECT($BM$2&amp;BU$7&amp;$BT177,1)</f>
        <v>0</v>
      </c>
      <c r="BV177" s="539" cm="1">
        <f t="array" aca="1" ref="BV177" ca="1">INDIRECT($BM$2&amp;BV$7&amp;$BT177,1)</f>
        <v>0</v>
      </c>
      <c r="BW177" s="539" cm="1">
        <f t="array" aca="1" ref="BW177" ca="1">INDIRECT($BM$2&amp;BW$7&amp;$BT177,1)</f>
        <v>0</v>
      </c>
      <c r="BX177" s="539" cm="1">
        <f t="array" aca="1" ref="BX177" ca="1">INDIRECT($BM$2&amp;BX$7&amp;$BT177,1)</f>
        <v>0</v>
      </c>
      <c r="BY177" s="539" cm="1">
        <f t="array" aca="1" ref="BY177" ca="1">INDIRECT($BM$2&amp;BY$7&amp;$BT177,1)</f>
        <v>0</v>
      </c>
      <c r="BZ177" s="539" t="str">
        <f t="shared" ca="1" si="109"/>
        <v>-</v>
      </c>
      <c r="CC177" s="469">
        <v>8</v>
      </c>
      <c r="CD177" s="539" t="s">
        <v>8047</v>
      </c>
      <c r="CE177" s="539">
        <f t="shared" si="113"/>
        <v>882</v>
      </c>
      <c r="CF177" s="539" cm="1">
        <f t="array" aca="1" ref="CF177" ca="1">INDIRECT($BM$2&amp;CF$7&amp;$CE177,1)</f>
        <v>0</v>
      </c>
      <c r="CG177" s="539" cm="1">
        <f t="array" aca="1" ref="CG177" ca="1">INDIRECT($BM$2&amp;CG$7&amp;$CE177,1)</f>
        <v>0</v>
      </c>
      <c r="CH177" s="539" cm="1">
        <f t="array" aca="1" ref="CH177" ca="1">INDIRECT($BM$2&amp;CH$7&amp;$CE177,1)</f>
        <v>0</v>
      </c>
      <c r="CI177" s="539" cm="1">
        <f t="array" aca="1" ref="CI177" ca="1">INDIRECT($BM$2&amp;CI$7&amp;$CE177,1)</f>
        <v>0</v>
      </c>
      <c r="CJ177" s="539" cm="1">
        <f t="array" aca="1" ref="CJ177" ca="1">INDIRECT($BM$2&amp;CJ$7&amp;$CE177,1)</f>
        <v>0</v>
      </c>
      <c r="CK177" s="539" t="str">
        <f t="shared" ca="1" si="110"/>
        <v>-</v>
      </c>
      <c r="CU177" s="469" t="s">
        <v>5510</v>
      </c>
      <c r="GC177" s="472" t="s">
        <v>5510</v>
      </c>
      <c r="HN177" s="20"/>
      <c r="HP177" s="472"/>
    </row>
    <row r="178" spans="1:224" x14ac:dyDescent="0.25">
      <c r="N178" s="20"/>
      <c r="Y178" s="20"/>
      <c r="BF178" s="469" t="s">
        <v>5510</v>
      </c>
      <c r="BH178" s="539" t="s">
        <v>8047</v>
      </c>
      <c r="BI178" s="539">
        <f t="shared" si="111"/>
        <v>191</v>
      </c>
      <c r="BJ178" s="539" cm="1">
        <f t="array" aca="1" ref="BJ178" ca="1">INDIRECT($BM$2&amp;BJ$7&amp;$BI178,1)</f>
        <v>0</v>
      </c>
      <c r="BK178" s="539" cm="1">
        <f t="array" aca="1" ref="BK178" ca="1">INDIRECT($BM$2&amp;BK$7&amp;$BI178,1)</f>
        <v>0</v>
      </c>
      <c r="BL178" s="539" cm="1">
        <f t="array" aca="1" ref="BL178" ca="1">INDIRECT($BM$2&amp;BL$7&amp;$BI178,1)</f>
        <v>0</v>
      </c>
      <c r="BM178" s="539" cm="1">
        <f t="array" aca="1" ref="BM178" ca="1">INDIRECT($BM$2&amp;BM$7&amp;$BI178,1)</f>
        <v>0</v>
      </c>
      <c r="BN178" s="539" cm="1">
        <f t="array" aca="1" ref="BN178" ca="1">INDIRECT($BM$2&amp;BN$7&amp;$BI178,1)</f>
        <v>0</v>
      </c>
      <c r="BO178" s="539" t="str">
        <f t="shared" ca="1" si="108"/>
        <v>-</v>
      </c>
      <c r="BQ178" s="20"/>
      <c r="BR178" s="469">
        <v>9</v>
      </c>
      <c r="BS178" s="539" t="s">
        <v>8047</v>
      </c>
      <c r="BT178" s="539">
        <f t="shared" si="112"/>
        <v>537</v>
      </c>
      <c r="BU178" s="539" cm="1">
        <f t="array" aca="1" ref="BU178" ca="1">INDIRECT($BM$2&amp;BU$7&amp;$BT178,1)</f>
        <v>0</v>
      </c>
      <c r="BV178" s="539" cm="1">
        <f t="array" aca="1" ref="BV178" ca="1">INDIRECT($BM$2&amp;BV$7&amp;$BT178,1)</f>
        <v>0</v>
      </c>
      <c r="BW178" s="539" cm="1">
        <f t="array" aca="1" ref="BW178" ca="1">INDIRECT($BM$2&amp;BW$7&amp;$BT178,1)</f>
        <v>0</v>
      </c>
      <c r="BX178" s="539" cm="1">
        <f t="array" aca="1" ref="BX178" ca="1">INDIRECT($BM$2&amp;BX$7&amp;$BT178,1)</f>
        <v>0</v>
      </c>
      <c r="BY178" s="539" cm="1">
        <f t="array" aca="1" ref="BY178" ca="1">INDIRECT($BM$2&amp;BY$7&amp;$BT178,1)</f>
        <v>0</v>
      </c>
      <c r="BZ178" s="539" t="str">
        <f t="shared" ca="1" si="109"/>
        <v>-</v>
      </c>
      <c r="CC178" s="469">
        <v>9</v>
      </c>
      <c r="CD178" s="539" t="s">
        <v>8047</v>
      </c>
      <c r="CE178" s="539">
        <f t="shared" si="113"/>
        <v>883</v>
      </c>
      <c r="CF178" s="539" cm="1">
        <f t="array" aca="1" ref="CF178" ca="1">INDIRECT($BM$2&amp;CF$7&amp;$CE178,1)</f>
        <v>0</v>
      </c>
      <c r="CG178" s="539" cm="1">
        <f t="array" aca="1" ref="CG178" ca="1">INDIRECT($BM$2&amp;CG$7&amp;$CE178,1)</f>
        <v>0</v>
      </c>
      <c r="CH178" s="539" cm="1">
        <f t="array" aca="1" ref="CH178" ca="1">INDIRECT($BM$2&amp;CH$7&amp;$CE178,1)</f>
        <v>0</v>
      </c>
      <c r="CI178" s="539" cm="1">
        <f t="array" aca="1" ref="CI178" ca="1">INDIRECT($BM$2&amp;CI$7&amp;$CE178,1)</f>
        <v>0</v>
      </c>
      <c r="CJ178" s="539" cm="1">
        <f t="array" aca="1" ref="CJ178" ca="1">INDIRECT($BM$2&amp;CJ$7&amp;$CE178,1)</f>
        <v>0</v>
      </c>
      <c r="CK178" s="539" t="str">
        <f t="shared" ca="1" si="110"/>
        <v>-</v>
      </c>
      <c r="CU178" s="469" t="s">
        <v>5510</v>
      </c>
      <c r="GC178" s="472" t="s">
        <v>5510</v>
      </c>
      <c r="HN178" s="20"/>
      <c r="HP178" s="472"/>
    </row>
    <row r="179" spans="1:224" x14ac:dyDescent="0.25">
      <c r="BF179" s="469" t="s">
        <v>5510</v>
      </c>
      <c r="BH179" s="539" t="s">
        <v>8047</v>
      </c>
      <c r="BI179" s="539">
        <f t="shared" si="111"/>
        <v>192</v>
      </c>
      <c r="BJ179" s="539" cm="1">
        <f t="array" aca="1" ref="BJ179" ca="1">INDIRECT($BM$2&amp;BJ$7&amp;$BI179,1)</f>
        <v>0</v>
      </c>
      <c r="BK179" s="539" cm="1">
        <f t="array" aca="1" ref="BK179" ca="1">INDIRECT($BM$2&amp;BK$7&amp;$BI179,1)</f>
        <v>0</v>
      </c>
      <c r="BL179" s="539" cm="1">
        <f t="array" aca="1" ref="BL179" ca="1">INDIRECT($BM$2&amp;BL$7&amp;$BI179,1)</f>
        <v>0</v>
      </c>
      <c r="BM179" s="539" cm="1">
        <f t="array" aca="1" ref="BM179" ca="1">INDIRECT($BM$2&amp;BM$7&amp;$BI179,1)</f>
        <v>0</v>
      </c>
      <c r="BN179" s="539" cm="1">
        <f t="array" aca="1" ref="BN179" ca="1">INDIRECT($BM$2&amp;BN$7&amp;$BI179,1)</f>
        <v>0</v>
      </c>
      <c r="BO179" s="539" t="str">
        <f t="shared" ca="1" si="108"/>
        <v>-</v>
      </c>
      <c r="BQ179" s="20"/>
      <c r="BR179" s="469">
        <v>10</v>
      </c>
      <c r="BS179" s="539" t="s">
        <v>8047</v>
      </c>
      <c r="BT179" s="539">
        <f t="shared" si="112"/>
        <v>538</v>
      </c>
      <c r="BU179" s="539" cm="1">
        <f t="array" aca="1" ref="BU179" ca="1">INDIRECT($BM$2&amp;BU$7&amp;$BT179,1)</f>
        <v>0</v>
      </c>
      <c r="BV179" s="539" cm="1">
        <f t="array" aca="1" ref="BV179" ca="1">INDIRECT($BM$2&amp;BV$7&amp;$BT179,1)</f>
        <v>0</v>
      </c>
      <c r="BW179" s="539" cm="1">
        <f t="array" aca="1" ref="BW179" ca="1">INDIRECT($BM$2&amp;BW$7&amp;$BT179,1)</f>
        <v>0</v>
      </c>
      <c r="BX179" s="539" cm="1">
        <f t="array" aca="1" ref="BX179" ca="1">INDIRECT($BM$2&amp;BX$7&amp;$BT179,1)</f>
        <v>0</v>
      </c>
      <c r="BY179" s="539" cm="1">
        <f t="array" aca="1" ref="BY179" ca="1">INDIRECT($BM$2&amp;BY$7&amp;$BT179,1)</f>
        <v>0</v>
      </c>
      <c r="BZ179" s="539" t="str">
        <f t="shared" ca="1" si="109"/>
        <v>-</v>
      </c>
      <c r="CC179" s="469">
        <v>10</v>
      </c>
      <c r="CD179" s="539" t="s">
        <v>8047</v>
      </c>
      <c r="CE179" s="539">
        <f t="shared" si="113"/>
        <v>884</v>
      </c>
      <c r="CF179" s="539" cm="1">
        <f t="array" aca="1" ref="CF179" ca="1">INDIRECT($BM$2&amp;CF$7&amp;$CE179,1)</f>
        <v>0</v>
      </c>
      <c r="CG179" s="539" cm="1">
        <f t="array" aca="1" ref="CG179" ca="1">INDIRECT($BM$2&amp;CG$7&amp;$CE179,1)</f>
        <v>0</v>
      </c>
      <c r="CH179" s="539" cm="1">
        <f t="array" aca="1" ref="CH179" ca="1">INDIRECT($BM$2&amp;CH$7&amp;$CE179,1)</f>
        <v>0</v>
      </c>
      <c r="CI179" s="539" cm="1">
        <f t="array" aca="1" ref="CI179" ca="1">INDIRECT($BM$2&amp;CI$7&amp;$CE179,1)</f>
        <v>0</v>
      </c>
      <c r="CJ179" s="539" cm="1">
        <f t="array" aca="1" ref="CJ179" ca="1">INDIRECT($BM$2&amp;CJ$7&amp;$CE179,1)</f>
        <v>0</v>
      </c>
      <c r="CK179" s="539" t="str">
        <f t="shared" ca="1" si="110"/>
        <v>-</v>
      </c>
      <c r="CU179" s="469" t="s">
        <v>5510</v>
      </c>
      <c r="GC179" s="472" t="s">
        <v>5510</v>
      </c>
      <c r="HN179" s="20"/>
      <c r="HP179" s="472"/>
    </row>
    <row r="180" spans="1:224" x14ac:dyDescent="0.25">
      <c r="BF180" s="469" t="s">
        <v>5510</v>
      </c>
      <c r="BH180" s="539" t="s">
        <v>8047</v>
      </c>
      <c r="BI180" s="539">
        <f t="shared" si="111"/>
        <v>193</v>
      </c>
      <c r="BJ180" s="539" cm="1">
        <f t="array" aca="1" ref="BJ180" ca="1">INDIRECT($BM$2&amp;BJ$7&amp;$BI180,1)</f>
        <v>0</v>
      </c>
      <c r="BK180" s="539" cm="1">
        <f t="array" aca="1" ref="BK180" ca="1">INDIRECT($BM$2&amp;BK$7&amp;$BI180,1)</f>
        <v>0</v>
      </c>
      <c r="BL180" s="539" cm="1">
        <f t="array" aca="1" ref="BL180" ca="1">INDIRECT($BM$2&amp;BL$7&amp;$BI180,1)</f>
        <v>0</v>
      </c>
      <c r="BM180" s="539" cm="1">
        <f t="array" aca="1" ref="BM180" ca="1">INDIRECT($BM$2&amp;BM$7&amp;$BI180,1)</f>
        <v>0</v>
      </c>
      <c r="BN180" s="539" cm="1">
        <f t="array" aca="1" ref="BN180" ca="1">INDIRECT($BM$2&amp;BN$7&amp;$BI180,1)</f>
        <v>0</v>
      </c>
      <c r="BO180" s="539" t="str">
        <f t="shared" ca="1" si="108"/>
        <v>-</v>
      </c>
      <c r="BQ180" s="20"/>
      <c r="BR180" s="469">
        <v>11</v>
      </c>
      <c r="BS180" s="539" t="s">
        <v>8047</v>
      </c>
      <c r="BT180" s="539">
        <f t="shared" si="112"/>
        <v>539</v>
      </c>
      <c r="BU180" s="539" cm="1">
        <f t="array" aca="1" ref="BU180" ca="1">INDIRECT($BM$2&amp;BU$7&amp;$BT180,1)</f>
        <v>0</v>
      </c>
      <c r="BV180" s="539" cm="1">
        <f t="array" aca="1" ref="BV180" ca="1">INDIRECT($BM$2&amp;BV$7&amp;$BT180,1)</f>
        <v>0</v>
      </c>
      <c r="BW180" s="539" cm="1">
        <f t="array" aca="1" ref="BW180" ca="1">INDIRECT($BM$2&amp;BW$7&amp;$BT180,1)</f>
        <v>0</v>
      </c>
      <c r="BX180" s="539" cm="1">
        <f t="array" aca="1" ref="BX180" ca="1">INDIRECT($BM$2&amp;BX$7&amp;$BT180,1)</f>
        <v>0</v>
      </c>
      <c r="BY180" s="539" cm="1">
        <f t="array" aca="1" ref="BY180" ca="1">INDIRECT($BM$2&amp;BY$7&amp;$BT180,1)</f>
        <v>0</v>
      </c>
      <c r="BZ180" s="539" t="str">
        <f t="shared" ca="1" si="109"/>
        <v>-</v>
      </c>
      <c r="CC180" s="469">
        <v>11</v>
      </c>
      <c r="CD180" s="539" t="s">
        <v>8047</v>
      </c>
      <c r="CE180" s="539">
        <f t="shared" si="113"/>
        <v>885</v>
      </c>
      <c r="CF180" s="539" cm="1">
        <f t="array" aca="1" ref="CF180" ca="1">INDIRECT($BM$2&amp;CF$7&amp;$CE180,1)</f>
        <v>0</v>
      </c>
      <c r="CG180" s="539" cm="1">
        <f t="array" aca="1" ref="CG180" ca="1">INDIRECT($BM$2&amp;CG$7&amp;$CE180,1)</f>
        <v>0</v>
      </c>
      <c r="CH180" s="539" cm="1">
        <f t="array" aca="1" ref="CH180" ca="1">INDIRECT($BM$2&amp;CH$7&amp;$CE180,1)</f>
        <v>0</v>
      </c>
      <c r="CI180" s="539" cm="1">
        <f t="array" aca="1" ref="CI180" ca="1">INDIRECT($BM$2&amp;CI$7&amp;$CE180,1)</f>
        <v>0</v>
      </c>
      <c r="CJ180" s="539" cm="1">
        <f t="array" aca="1" ref="CJ180" ca="1">INDIRECT($BM$2&amp;CJ$7&amp;$CE180,1)</f>
        <v>0</v>
      </c>
      <c r="CK180" s="539" t="str">
        <f t="shared" ca="1" si="110"/>
        <v>-</v>
      </c>
      <c r="CU180" s="469" t="s">
        <v>5510</v>
      </c>
      <c r="GC180" s="472" t="s">
        <v>5510</v>
      </c>
      <c r="HN180" s="20"/>
      <c r="HP180" s="472"/>
    </row>
    <row r="181" spans="1:224" x14ac:dyDescent="0.25">
      <c r="BF181" s="469" t="s">
        <v>5510</v>
      </c>
      <c r="BH181" s="539" t="s">
        <v>8047</v>
      </c>
      <c r="BI181" s="539">
        <f t="shared" si="111"/>
        <v>194</v>
      </c>
      <c r="BJ181" s="539" cm="1">
        <f t="array" aca="1" ref="BJ181" ca="1">INDIRECT($BM$2&amp;BJ$7&amp;$BI181,1)</f>
        <v>0</v>
      </c>
      <c r="BK181" s="539" cm="1">
        <f t="array" aca="1" ref="BK181" ca="1">INDIRECT($BM$2&amp;BK$7&amp;$BI181,1)</f>
        <v>0</v>
      </c>
      <c r="BL181" s="539" cm="1">
        <f t="array" aca="1" ref="BL181" ca="1">INDIRECT($BM$2&amp;BL$7&amp;$BI181,1)</f>
        <v>0</v>
      </c>
      <c r="BM181" s="539" cm="1">
        <f t="array" aca="1" ref="BM181" ca="1">INDIRECT($BM$2&amp;BM$7&amp;$BI181,1)</f>
        <v>0</v>
      </c>
      <c r="BN181" s="539" t="str" cm="1">
        <f t="array" aca="1" ref="BN181" ca="1">INDIRECT($BM$2&amp;BN$7&amp;$BI181,1)</f>
        <v>-</v>
      </c>
      <c r="BO181" s="539" t="str">
        <f t="shared" ca="1" si="108"/>
        <v>-</v>
      </c>
      <c r="BQ181" s="20"/>
      <c r="BR181" s="469">
        <v>12</v>
      </c>
      <c r="BS181" s="539" t="s">
        <v>8047</v>
      </c>
      <c r="BT181" s="539">
        <f t="shared" si="112"/>
        <v>540</v>
      </c>
      <c r="BU181" s="539" cm="1">
        <f t="array" aca="1" ref="BU181" ca="1">INDIRECT($BM$2&amp;BU$7&amp;$BT181,1)</f>
        <v>0</v>
      </c>
      <c r="BV181" s="539" cm="1">
        <f t="array" aca="1" ref="BV181" ca="1">INDIRECT($BM$2&amp;BV$7&amp;$BT181,1)</f>
        <v>0</v>
      </c>
      <c r="BW181" s="539" cm="1">
        <f t="array" aca="1" ref="BW181" ca="1">INDIRECT($BM$2&amp;BW$7&amp;$BT181,1)</f>
        <v>0</v>
      </c>
      <c r="BX181" s="539" cm="1">
        <f t="array" aca="1" ref="BX181" ca="1">INDIRECT($BM$2&amp;BX$7&amp;$BT181,1)</f>
        <v>0</v>
      </c>
      <c r="BY181" s="539" t="str" cm="1">
        <f t="array" aca="1" ref="BY181" ca="1">INDIRECT($BM$2&amp;BY$7&amp;$BT181,1)</f>
        <v>-</v>
      </c>
      <c r="BZ181" s="539" t="str">
        <f t="shared" ca="1" si="109"/>
        <v>-</v>
      </c>
      <c r="CC181" s="469">
        <v>12</v>
      </c>
      <c r="CD181" s="539" t="s">
        <v>8047</v>
      </c>
      <c r="CE181" s="539">
        <f t="shared" si="113"/>
        <v>886</v>
      </c>
      <c r="CF181" s="539" cm="1">
        <f t="array" aca="1" ref="CF181" ca="1">INDIRECT($BM$2&amp;CF$7&amp;$CE181,1)</f>
        <v>0</v>
      </c>
      <c r="CG181" s="539" cm="1">
        <f t="array" aca="1" ref="CG181" ca="1">INDIRECT($BM$2&amp;CG$7&amp;$CE181,1)</f>
        <v>0</v>
      </c>
      <c r="CH181" s="539" cm="1">
        <f t="array" aca="1" ref="CH181" ca="1">INDIRECT($BM$2&amp;CH$7&amp;$CE181,1)</f>
        <v>0</v>
      </c>
      <c r="CI181" s="539" cm="1">
        <f t="array" aca="1" ref="CI181" ca="1">INDIRECT($BM$2&amp;CI$7&amp;$CE181,1)</f>
        <v>0</v>
      </c>
      <c r="CJ181" s="539" t="str" cm="1">
        <f t="array" aca="1" ref="CJ181" ca="1">INDIRECT($BM$2&amp;CJ$7&amp;$CE181,1)</f>
        <v>-</v>
      </c>
      <c r="CK181" s="539" t="str">
        <f t="shared" ca="1" si="110"/>
        <v>-</v>
      </c>
      <c r="CU181" s="469" t="s">
        <v>5510</v>
      </c>
      <c r="GC181" s="472" t="s">
        <v>5510</v>
      </c>
      <c r="HN181" s="20"/>
      <c r="HP181" s="472"/>
    </row>
    <row r="182" spans="1:224" x14ac:dyDescent="0.25">
      <c r="BF182" s="469" t="s">
        <v>5510</v>
      </c>
      <c r="BL182" s="372"/>
      <c r="BO182" s="472"/>
      <c r="BQ182" s="20"/>
      <c r="BT182" s="372"/>
      <c r="BU182" s="472"/>
      <c r="BV182" s="472"/>
      <c r="BW182" s="372"/>
      <c r="BX182" s="472"/>
      <c r="BY182" s="372"/>
      <c r="BZ182" s="472"/>
      <c r="CE182" s="372"/>
      <c r="CF182" s="472"/>
      <c r="CG182" s="472"/>
      <c r="CH182" s="372"/>
      <c r="CI182" s="472"/>
      <c r="CJ182" s="372"/>
      <c r="CK182" s="472"/>
      <c r="CU182" s="469" t="s">
        <v>5510</v>
      </c>
      <c r="GC182" s="472" t="s">
        <v>5510</v>
      </c>
      <c r="HN182" s="20"/>
      <c r="HP182" s="472"/>
    </row>
    <row r="183" spans="1:224" x14ac:dyDescent="0.25">
      <c r="BF183" s="469" t="s">
        <v>5510</v>
      </c>
      <c r="BL183" s="372"/>
      <c r="BO183" s="472"/>
      <c r="BQ183" s="20"/>
      <c r="BT183" s="372"/>
      <c r="BU183" s="472"/>
      <c r="BV183" s="472"/>
      <c r="BW183" s="372"/>
      <c r="BX183" s="472"/>
      <c r="BY183" s="372"/>
      <c r="BZ183" s="472"/>
      <c r="CE183" s="372"/>
      <c r="CF183" s="472"/>
      <c r="CG183" s="472"/>
      <c r="CH183" s="372"/>
      <c r="CI183" s="472"/>
      <c r="CJ183" s="372"/>
      <c r="CK183" s="472"/>
      <c r="CU183" s="469" t="s">
        <v>5510</v>
      </c>
      <c r="GC183" s="472" t="s">
        <v>5510</v>
      </c>
      <c r="HN183" s="20"/>
      <c r="HP183" s="472"/>
    </row>
    <row r="184" spans="1:224" x14ac:dyDescent="0.25">
      <c r="BF184" s="469" t="s">
        <v>5510</v>
      </c>
      <c r="BQ184" s="20"/>
      <c r="BT184" s="372"/>
      <c r="BU184" s="472"/>
      <c r="BV184" s="472"/>
      <c r="BW184" s="472"/>
      <c r="BX184" s="472"/>
      <c r="BY184" s="372"/>
      <c r="BZ184" s="372"/>
      <c r="CE184" s="372"/>
      <c r="CF184" s="472"/>
      <c r="CG184" s="472"/>
      <c r="CH184" s="472"/>
      <c r="CI184" s="472"/>
      <c r="CJ184" s="372"/>
      <c r="CK184" s="372"/>
      <c r="CU184" s="469" t="s">
        <v>5510</v>
      </c>
      <c r="GC184" s="472" t="s">
        <v>5510</v>
      </c>
      <c r="HN184" s="20"/>
      <c r="HP184" s="472"/>
    </row>
    <row r="185" spans="1:224" x14ac:dyDescent="0.25">
      <c r="A185" s="481" t="s">
        <v>5791</v>
      </c>
      <c r="B185" s="481" t="s">
        <v>5791</v>
      </c>
      <c r="C185" s="481" t="s">
        <v>5791</v>
      </c>
      <c r="D185" s="481" t="s">
        <v>5791</v>
      </c>
      <c r="E185" s="481" t="s">
        <v>5791</v>
      </c>
      <c r="F185" s="481" t="s">
        <v>5791</v>
      </c>
      <c r="G185" s="481" t="s">
        <v>5791</v>
      </c>
      <c r="H185" s="481" t="s">
        <v>5791</v>
      </c>
      <c r="I185" s="481" t="s">
        <v>5791</v>
      </c>
      <c r="J185" s="481" t="s">
        <v>5791</v>
      </c>
      <c r="K185" s="481" t="s">
        <v>5791</v>
      </c>
      <c r="L185" s="481" t="s">
        <v>5791</v>
      </c>
      <c r="BF185" s="469" t="s">
        <v>5510</v>
      </c>
      <c r="BQ185" s="20"/>
      <c r="BT185" s="372"/>
      <c r="BU185" s="472"/>
      <c r="BV185" s="472"/>
      <c r="BW185" s="472"/>
      <c r="BX185" s="472"/>
      <c r="BY185" s="372"/>
      <c r="BZ185" s="372"/>
      <c r="CE185" s="372"/>
      <c r="CF185" s="472"/>
      <c r="CG185" s="472"/>
      <c r="CH185" s="472"/>
      <c r="CI185" s="472"/>
      <c r="CJ185" s="372"/>
      <c r="CK185" s="372"/>
      <c r="CU185" s="469" t="s">
        <v>5510</v>
      </c>
      <c r="GC185" s="472" t="s">
        <v>5510</v>
      </c>
      <c r="HN185" s="20"/>
      <c r="HP185" s="472"/>
    </row>
    <row r="186" spans="1:224" x14ac:dyDescent="0.25">
      <c r="BF186" s="469" t="s">
        <v>5510</v>
      </c>
      <c r="BH186" s="539" t="s">
        <v>8048</v>
      </c>
      <c r="BI186" s="539">
        <f>BI181+$BO$5</f>
        <v>200</v>
      </c>
      <c r="BJ186" s="539" cm="1">
        <f t="array" aca="1" ref="BJ186" ca="1">INDIRECT($BM$2&amp;BJ$7&amp;$BI186,1)</f>
        <v>0</v>
      </c>
      <c r="BK186" s="539" cm="1">
        <f t="array" aca="1" ref="BK186" ca="1">INDIRECT($BM$2&amp;BK$7&amp;$BI186,1)</f>
        <v>0</v>
      </c>
      <c r="BL186" s="539" cm="1">
        <f t="array" aca="1" ref="BL186" ca="1">INDIRECT($BM$2&amp;BL$7&amp;$BI186,1)</f>
        <v>0</v>
      </c>
      <c r="BM186" s="539" cm="1">
        <f t="array" aca="1" ref="BM186" ca="1">INDIRECT($BM$2&amp;BM$7&amp;$BI186,1)</f>
        <v>0</v>
      </c>
      <c r="BN186" s="539" cm="1">
        <f t="array" aca="1" ref="BN186" ca="1">INDIRECT($BM$2&amp;BN$7&amp;$BI186,1)</f>
        <v>0</v>
      </c>
      <c r="BO186" s="539" t="str">
        <f ca="1">IFERROR(BK186/BK$186,"-")</f>
        <v>-</v>
      </c>
      <c r="BQ186" s="20"/>
      <c r="BR186" s="469">
        <v>1</v>
      </c>
      <c r="BS186" s="539" t="s">
        <v>8048</v>
      </c>
      <c r="BT186" s="539">
        <f>BT181+$BO$5</f>
        <v>546</v>
      </c>
      <c r="BU186" s="539" cm="1">
        <f t="array" aca="1" ref="BU186" ca="1">INDIRECT($BM$2&amp;BU$7&amp;$BT186,1)</f>
        <v>0</v>
      </c>
      <c r="BV186" s="539" cm="1">
        <f t="array" aca="1" ref="BV186" ca="1">INDIRECT($BM$2&amp;BV$7&amp;$BT186,1)</f>
        <v>0</v>
      </c>
      <c r="BW186" s="539" cm="1">
        <f t="array" aca="1" ref="BW186" ca="1">INDIRECT($BM$2&amp;BW$7&amp;$BT186,1)</f>
        <v>0</v>
      </c>
      <c r="BX186" s="539" cm="1">
        <f t="array" aca="1" ref="BX186" ca="1">INDIRECT($BM$2&amp;BX$7&amp;$BT186,1)</f>
        <v>0</v>
      </c>
      <c r="BY186" s="539" cm="1">
        <f t="array" aca="1" ref="BY186" ca="1">INDIRECT($BM$2&amp;BY$7&amp;$BT186,1)</f>
        <v>0</v>
      </c>
      <c r="BZ186" s="539" t="str">
        <f ca="1">IFERROR(BV186/BV$186,"-")</f>
        <v>-</v>
      </c>
      <c r="CC186" s="469">
        <v>1</v>
      </c>
      <c r="CD186" s="539" t="s">
        <v>8048</v>
      </c>
      <c r="CE186" s="539">
        <f>CE181+$BO$5</f>
        <v>892</v>
      </c>
      <c r="CF186" s="539" cm="1">
        <f t="array" aca="1" ref="CF186" ca="1">INDIRECT($BM$2&amp;CF$7&amp;$CE186,1)</f>
        <v>0</v>
      </c>
      <c r="CG186" s="539" cm="1">
        <f t="array" aca="1" ref="CG186" ca="1">INDIRECT($BM$2&amp;CG$7&amp;$CE186,1)</f>
        <v>0</v>
      </c>
      <c r="CH186" s="539" cm="1">
        <f t="array" aca="1" ref="CH186" ca="1">INDIRECT($BM$2&amp;CH$7&amp;$CE186,1)</f>
        <v>0</v>
      </c>
      <c r="CI186" s="539" cm="1">
        <f t="array" aca="1" ref="CI186" ca="1">INDIRECT($BM$2&amp;CI$7&amp;$CE186,1)</f>
        <v>0</v>
      </c>
      <c r="CJ186" s="539" cm="1">
        <f t="array" aca="1" ref="CJ186" ca="1">INDIRECT($BM$2&amp;CJ$7&amp;$CE186,1)</f>
        <v>0</v>
      </c>
      <c r="CK186" s="539" t="str">
        <f ca="1">IFERROR(CG186/CG$186,"-")</f>
        <v>-</v>
      </c>
      <c r="CU186" s="469" t="s">
        <v>5510</v>
      </c>
      <c r="GC186" s="472" t="s">
        <v>5510</v>
      </c>
      <c r="HN186" s="20"/>
      <c r="HP186" s="472"/>
    </row>
    <row r="187" spans="1:224" ht="15.75" thickBot="1" x14ac:dyDescent="0.3">
      <c r="A187" s="468" t="s">
        <v>5942</v>
      </c>
      <c r="B187" s="468"/>
      <c r="C187" s="468"/>
      <c r="D187" s="468"/>
      <c r="E187" s="468"/>
      <c r="F187" s="468"/>
      <c r="G187" s="468"/>
      <c r="H187" s="468"/>
      <c r="I187" s="468"/>
      <c r="J187" s="468"/>
      <c r="K187" s="468"/>
      <c r="L187" s="468"/>
      <c r="BF187" s="469" t="s">
        <v>5510</v>
      </c>
      <c r="BH187" s="539" t="s">
        <v>8048</v>
      </c>
      <c r="BI187" s="539">
        <f t="shared" ref="BI187:BI197" si="114">BI186+1</f>
        <v>201</v>
      </c>
      <c r="BJ187" s="539" cm="1">
        <f t="array" aca="1" ref="BJ187" ca="1">INDIRECT($BM$2&amp;BJ$7&amp;$BI187,1)</f>
        <v>0</v>
      </c>
      <c r="BK187" s="539" cm="1">
        <f t="array" aca="1" ref="BK187" ca="1">INDIRECT($BM$2&amp;BK$7&amp;$BI187,1)</f>
        <v>0</v>
      </c>
      <c r="BL187" s="539" cm="1">
        <f t="array" aca="1" ref="BL187" ca="1">INDIRECT($BM$2&amp;BL$7&amp;$BI187,1)</f>
        <v>0</v>
      </c>
      <c r="BM187" s="539" cm="1">
        <f t="array" aca="1" ref="BM187" ca="1">INDIRECT($BM$2&amp;BM$7&amp;$BI187,1)</f>
        <v>0</v>
      </c>
      <c r="BN187" s="539" cm="1">
        <f t="array" aca="1" ref="BN187" ca="1">INDIRECT($BM$2&amp;BN$7&amp;$BI187,1)</f>
        <v>0</v>
      </c>
      <c r="BO187" s="539" t="str">
        <f t="shared" ref="BO187:BO197" ca="1" si="115">IF(BK187=0,"-",IFERROR(BK187/BK$186,"-"))</f>
        <v>-</v>
      </c>
      <c r="BQ187" s="20"/>
      <c r="BR187" s="469">
        <v>2</v>
      </c>
      <c r="BS187" s="539" t="s">
        <v>8048</v>
      </c>
      <c r="BT187" s="539">
        <f t="shared" ref="BT187:BT197" si="116">BT186+1</f>
        <v>547</v>
      </c>
      <c r="BU187" s="539" cm="1">
        <f t="array" aca="1" ref="BU187" ca="1">INDIRECT($BM$2&amp;BU$7&amp;$BT187,1)</f>
        <v>0</v>
      </c>
      <c r="BV187" s="539" cm="1">
        <f t="array" aca="1" ref="BV187" ca="1">INDIRECT($BM$2&amp;BV$7&amp;$BT187,1)</f>
        <v>0</v>
      </c>
      <c r="BW187" s="539" cm="1">
        <f t="array" aca="1" ref="BW187" ca="1">INDIRECT($BM$2&amp;BW$7&amp;$BT187,1)</f>
        <v>0</v>
      </c>
      <c r="BX187" s="539" cm="1">
        <f t="array" aca="1" ref="BX187" ca="1">INDIRECT($BM$2&amp;BX$7&amp;$BT187,1)</f>
        <v>0</v>
      </c>
      <c r="BY187" s="539" cm="1">
        <f t="array" aca="1" ref="BY187" ca="1">INDIRECT($BM$2&amp;BY$7&amp;$BT187,1)</f>
        <v>0</v>
      </c>
      <c r="BZ187" s="539" t="str">
        <f t="shared" ref="BZ187:BZ197" ca="1" si="117">IF(BV187=0,"-",IFERROR(BV187/BV$186,"-"))</f>
        <v>-</v>
      </c>
      <c r="CC187" s="469">
        <v>2</v>
      </c>
      <c r="CD187" s="539" t="s">
        <v>8048</v>
      </c>
      <c r="CE187" s="539">
        <f t="shared" ref="CE187:CE197" si="118">CE186+1</f>
        <v>893</v>
      </c>
      <c r="CF187" s="539" cm="1">
        <f t="array" aca="1" ref="CF187" ca="1">INDIRECT($BM$2&amp;CF$7&amp;$CE187,1)</f>
        <v>0</v>
      </c>
      <c r="CG187" s="539" cm="1">
        <f t="array" aca="1" ref="CG187" ca="1">INDIRECT($BM$2&amp;CG$7&amp;$CE187,1)</f>
        <v>0</v>
      </c>
      <c r="CH187" s="539" cm="1">
        <f t="array" aca="1" ref="CH187" ca="1">INDIRECT($BM$2&amp;CH$7&amp;$CE187,1)</f>
        <v>0</v>
      </c>
      <c r="CI187" s="539" cm="1">
        <f t="array" aca="1" ref="CI187" ca="1">INDIRECT($BM$2&amp;CI$7&amp;$CE187,1)</f>
        <v>0</v>
      </c>
      <c r="CJ187" s="539" cm="1">
        <f t="array" aca="1" ref="CJ187" ca="1">INDIRECT($BM$2&amp;CJ$7&amp;$CE187,1)</f>
        <v>0</v>
      </c>
      <c r="CK187" s="539" t="str">
        <f t="shared" ref="CK187:CK197" ca="1" si="119">IF(CG187=0,"-",IFERROR(CG187/CG$186,"-"))</f>
        <v>-</v>
      </c>
      <c r="CU187" s="469" t="s">
        <v>5510</v>
      </c>
      <c r="GC187" s="472" t="s">
        <v>5510</v>
      </c>
      <c r="HN187" s="20"/>
      <c r="HP187" s="472"/>
    </row>
    <row r="188" spans="1:224" x14ac:dyDescent="0.25">
      <c r="BF188" s="469" t="s">
        <v>5510</v>
      </c>
      <c r="BH188" s="539" t="s">
        <v>8048</v>
      </c>
      <c r="BI188" s="539">
        <f t="shared" si="114"/>
        <v>202</v>
      </c>
      <c r="BJ188" s="539" cm="1">
        <f t="array" aca="1" ref="BJ188" ca="1">INDIRECT($BM$2&amp;BJ$7&amp;$BI188,1)</f>
        <v>0</v>
      </c>
      <c r="BK188" s="539" cm="1">
        <f t="array" aca="1" ref="BK188" ca="1">INDIRECT($BM$2&amp;BK$7&amp;$BI188,1)</f>
        <v>0</v>
      </c>
      <c r="BL188" s="539" cm="1">
        <f t="array" aca="1" ref="BL188" ca="1">INDIRECT($BM$2&amp;BL$7&amp;$BI188,1)</f>
        <v>0</v>
      </c>
      <c r="BM188" s="539" cm="1">
        <f t="array" aca="1" ref="BM188" ca="1">INDIRECT($BM$2&amp;BM$7&amp;$BI188,1)</f>
        <v>0</v>
      </c>
      <c r="BN188" s="539" cm="1">
        <f t="array" aca="1" ref="BN188" ca="1">INDIRECT($BM$2&amp;BN$7&amp;$BI188,1)</f>
        <v>0</v>
      </c>
      <c r="BO188" s="539" t="str">
        <f t="shared" ca="1" si="115"/>
        <v>-</v>
      </c>
      <c r="BQ188" s="20"/>
      <c r="BR188" s="469">
        <v>3</v>
      </c>
      <c r="BS188" s="539" t="s">
        <v>8048</v>
      </c>
      <c r="BT188" s="539">
        <f t="shared" si="116"/>
        <v>548</v>
      </c>
      <c r="BU188" s="539" cm="1">
        <f t="array" aca="1" ref="BU188" ca="1">INDIRECT($BM$2&amp;BU$7&amp;$BT188,1)</f>
        <v>0</v>
      </c>
      <c r="BV188" s="539" cm="1">
        <f t="array" aca="1" ref="BV188" ca="1">INDIRECT($BM$2&amp;BV$7&amp;$BT188,1)</f>
        <v>0</v>
      </c>
      <c r="BW188" s="539" cm="1">
        <f t="array" aca="1" ref="BW188" ca="1">INDIRECT($BM$2&amp;BW$7&amp;$BT188,1)</f>
        <v>0</v>
      </c>
      <c r="BX188" s="539" cm="1">
        <f t="array" aca="1" ref="BX188" ca="1">INDIRECT($BM$2&amp;BX$7&amp;$BT188,1)</f>
        <v>0</v>
      </c>
      <c r="BY188" s="539" cm="1">
        <f t="array" aca="1" ref="BY188" ca="1">INDIRECT($BM$2&amp;BY$7&amp;$BT188,1)</f>
        <v>0</v>
      </c>
      <c r="BZ188" s="539" t="str">
        <f t="shared" ca="1" si="117"/>
        <v>-</v>
      </c>
      <c r="CC188" s="469">
        <v>3</v>
      </c>
      <c r="CD188" s="539" t="s">
        <v>8048</v>
      </c>
      <c r="CE188" s="539">
        <f t="shared" si="118"/>
        <v>894</v>
      </c>
      <c r="CF188" s="539" cm="1">
        <f t="array" aca="1" ref="CF188" ca="1">INDIRECT($BM$2&amp;CF$7&amp;$CE188,1)</f>
        <v>0</v>
      </c>
      <c r="CG188" s="539" cm="1">
        <f t="array" aca="1" ref="CG188" ca="1">INDIRECT($BM$2&amp;CG$7&amp;$CE188,1)</f>
        <v>0</v>
      </c>
      <c r="CH188" s="539" cm="1">
        <f t="array" aca="1" ref="CH188" ca="1">INDIRECT($BM$2&amp;CH$7&amp;$CE188,1)</f>
        <v>0</v>
      </c>
      <c r="CI188" s="539" cm="1">
        <f t="array" aca="1" ref="CI188" ca="1">INDIRECT($BM$2&amp;CI$7&amp;$CE188,1)</f>
        <v>0</v>
      </c>
      <c r="CJ188" s="539" cm="1">
        <f t="array" aca="1" ref="CJ188" ca="1">INDIRECT($BM$2&amp;CJ$7&amp;$CE188,1)</f>
        <v>0</v>
      </c>
      <c r="CK188" s="539" t="str">
        <f t="shared" ca="1" si="119"/>
        <v>-</v>
      </c>
      <c r="CU188" s="469" t="s">
        <v>5510</v>
      </c>
      <c r="GC188" s="472" t="s">
        <v>5510</v>
      </c>
      <c r="HN188" s="20"/>
      <c r="HP188" s="472"/>
    </row>
    <row r="189" spans="1:224" x14ac:dyDescent="0.25">
      <c r="BF189" s="469" t="s">
        <v>5510</v>
      </c>
      <c r="BH189" s="539" t="s">
        <v>8048</v>
      </c>
      <c r="BI189" s="539">
        <f t="shared" si="114"/>
        <v>203</v>
      </c>
      <c r="BJ189" s="539" cm="1">
        <f t="array" aca="1" ref="BJ189" ca="1">INDIRECT($BM$2&amp;BJ$7&amp;$BI189,1)</f>
        <v>0</v>
      </c>
      <c r="BK189" s="539" cm="1">
        <f t="array" aca="1" ref="BK189" ca="1">INDIRECT($BM$2&amp;BK$7&amp;$BI189,1)</f>
        <v>0</v>
      </c>
      <c r="BL189" s="539" cm="1">
        <f t="array" aca="1" ref="BL189" ca="1">INDIRECT($BM$2&amp;BL$7&amp;$BI189,1)</f>
        <v>0</v>
      </c>
      <c r="BM189" s="539" cm="1">
        <f t="array" aca="1" ref="BM189" ca="1">INDIRECT($BM$2&amp;BM$7&amp;$BI189,1)</f>
        <v>0</v>
      </c>
      <c r="BN189" s="539" cm="1">
        <f t="array" aca="1" ref="BN189" ca="1">INDIRECT($BM$2&amp;BN$7&amp;$BI189,1)</f>
        <v>0</v>
      </c>
      <c r="BO189" s="539" t="str">
        <f t="shared" ca="1" si="115"/>
        <v>-</v>
      </c>
      <c r="BQ189" s="20"/>
      <c r="BR189" s="469">
        <v>4</v>
      </c>
      <c r="BS189" s="539" t="s">
        <v>8048</v>
      </c>
      <c r="BT189" s="539">
        <f t="shared" si="116"/>
        <v>549</v>
      </c>
      <c r="BU189" s="539" cm="1">
        <f t="array" aca="1" ref="BU189" ca="1">INDIRECT($BM$2&amp;BU$7&amp;$BT189,1)</f>
        <v>0</v>
      </c>
      <c r="BV189" s="539" cm="1">
        <f t="array" aca="1" ref="BV189" ca="1">INDIRECT($BM$2&amp;BV$7&amp;$BT189,1)</f>
        <v>0</v>
      </c>
      <c r="BW189" s="539" cm="1">
        <f t="array" aca="1" ref="BW189" ca="1">INDIRECT($BM$2&amp;BW$7&amp;$BT189,1)</f>
        <v>0</v>
      </c>
      <c r="BX189" s="539" cm="1">
        <f t="array" aca="1" ref="BX189" ca="1">INDIRECT($BM$2&amp;BX$7&amp;$BT189,1)</f>
        <v>0</v>
      </c>
      <c r="BY189" s="539" cm="1">
        <f t="array" aca="1" ref="BY189" ca="1">INDIRECT($BM$2&amp;BY$7&amp;$BT189,1)</f>
        <v>0</v>
      </c>
      <c r="BZ189" s="539" t="str">
        <f t="shared" ca="1" si="117"/>
        <v>-</v>
      </c>
      <c r="CC189" s="469">
        <v>4</v>
      </c>
      <c r="CD189" s="539" t="s">
        <v>8048</v>
      </c>
      <c r="CE189" s="539">
        <f t="shared" si="118"/>
        <v>895</v>
      </c>
      <c r="CF189" s="539" cm="1">
        <f t="array" aca="1" ref="CF189" ca="1">INDIRECT($BM$2&amp;CF$7&amp;$CE189,1)</f>
        <v>0</v>
      </c>
      <c r="CG189" s="539" cm="1">
        <f t="array" aca="1" ref="CG189" ca="1">INDIRECT($BM$2&amp;CG$7&amp;$CE189,1)</f>
        <v>0</v>
      </c>
      <c r="CH189" s="539" cm="1">
        <f t="array" aca="1" ref="CH189" ca="1">INDIRECT($BM$2&amp;CH$7&amp;$CE189,1)</f>
        <v>0</v>
      </c>
      <c r="CI189" s="539" cm="1">
        <f t="array" aca="1" ref="CI189" ca="1">INDIRECT($BM$2&amp;CI$7&amp;$CE189,1)</f>
        <v>0</v>
      </c>
      <c r="CJ189" s="539" cm="1">
        <f t="array" aca="1" ref="CJ189" ca="1">INDIRECT($BM$2&amp;CJ$7&amp;$CE189,1)</f>
        <v>0</v>
      </c>
      <c r="CK189" s="539" t="str">
        <f t="shared" ca="1" si="119"/>
        <v>-</v>
      </c>
      <c r="CU189" s="469" t="s">
        <v>5510</v>
      </c>
      <c r="GC189" s="472" t="s">
        <v>5510</v>
      </c>
      <c r="HN189" s="20"/>
      <c r="HP189" s="472"/>
    </row>
    <row r="190" spans="1:224" x14ac:dyDescent="0.25">
      <c r="C190" s="20" t="s">
        <v>5927</v>
      </c>
      <c r="BF190" s="469" t="s">
        <v>5510</v>
      </c>
      <c r="BH190" s="539" t="s">
        <v>8048</v>
      </c>
      <c r="BI190" s="539">
        <f t="shared" si="114"/>
        <v>204</v>
      </c>
      <c r="BJ190" s="539" cm="1">
        <f t="array" aca="1" ref="BJ190" ca="1">INDIRECT($BM$2&amp;BJ$7&amp;$BI190,1)</f>
        <v>0</v>
      </c>
      <c r="BK190" s="539" cm="1">
        <f t="array" aca="1" ref="BK190" ca="1">INDIRECT($BM$2&amp;BK$7&amp;$BI190,1)</f>
        <v>0</v>
      </c>
      <c r="BL190" s="539" cm="1">
        <f t="array" aca="1" ref="BL190" ca="1">INDIRECT($BM$2&amp;BL$7&amp;$BI190,1)</f>
        <v>0</v>
      </c>
      <c r="BM190" s="539" cm="1">
        <f t="array" aca="1" ref="BM190" ca="1">INDIRECT($BM$2&amp;BM$7&amp;$BI190,1)</f>
        <v>0</v>
      </c>
      <c r="BN190" s="539" cm="1">
        <f t="array" aca="1" ref="BN190" ca="1">INDIRECT($BM$2&amp;BN$7&amp;$BI190,1)</f>
        <v>0</v>
      </c>
      <c r="BO190" s="539" t="str">
        <f t="shared" ca="1" si="115"/>
        <v>-</v>
      </c>
      <c r="BQ190" s="20"/>
      <c r="BR190" s="469">
        <v>5</v>
      </c>
      <c r="BS190" s="539" t="s">
        <v>8048</v>
      </c>
      <c r="BT190" s="539">
        <f t="shared" si="116"/>
        <v>550</v>
      </c>
      <c r="BU190" s="539" cm="1">
        <f t="array" aca="1" ref="BU190" ca="1">INDIRECT($BM$2&amp;BU$7&amp;$BT190,1)</f>
        <v>0</v>
      </c>
      <c r="BV190" s="539" cm="1">
        <f t="array" aca="1" ref="BV190" ca="1">INDIRECT($BM$2&amp;BV$7&amp;$BT190,1)</f>
        <v>0</v>
      </c>
      <c r="BW190" s="539" cm="1">
        <f t="array" aca="1" ref="BW190" ca="1">INDIRECT($BM$2&amp;BW$7&amp;$BT190,1)</f>
        <v>0</v>
      </c>
      <c r="BX190" s="539" cm="1">
        <f t="array" aca="1" ref="BX190" ca="1">INDIRECT($BM$2&amp;BX$7&amp;$BT190,1)</f>
        <v>0</v>
      </c>
      <c r="BY190" s="539" cm="1">
        <f t="array" aca="1" ref="BY190" ca="1">INDIRECT($BM$2&amp;BY$7&amp;$BT190,1)</f>
        <v>0</v>
      </c>
      <c r="BZ190" s="539" t="str">
        <f t="shared" ca="1" si="117"/>
        <v>-</v>
      </c>
      <c r="CC190" s="469">
        <v>5</v>
      </c>
      <c r="CD190" s="539" t="s">
        <v>8048</v>
      </c>
      <c r="CE190" s="539">
        <f t="shared" si="118"/>
        <v>896</v>
      </c>
      <c r="CF190" s="539" cm="1">
        <f t="array" aca="1" ref="CF190" ca="1">INDIRECT($BM$2&amp;CF$7&amp;$CE190,1)</f>
        <v>0</v>
      </c>
      <c r="CG190" s="539" cm="1">
        <f t="array" aca="1" ref="CG190" ca="1">INDIRECT($BM$2&amp;CG$7&amp;$CE190,1)</f>
        <v>0</v>
      </c>
      <c r="CH190" s="539" cm="1">
        <f t="array" aca="1" ref="CH190" ca="1">INDIRECT($BM$2&amp;CH$7&amp;$CE190,1)</f>
        <v>0</v>
      </c>
      <c r="CI190" s="539" cm="1">
        <f t="array" aca="1" ref="CI190" ca="1">INDIRECT($BM$2&amp;CI$7&amp;$CE190,1)</f>
        <v>0</v>
      </c>
      <c r="CJ190" s="539" cm="1">
        <f t="array" aca="1" ref="CJ190" ca="1">INDIRECT($BM$2&amp;CJ$7&amp;$CE190,1)</f>
        <v>0</v>
      </c>
      <c r="CK190" s="539" t="str">
        <f t="shared" ca="1" si="119"/>
        <v>-</v>
      </c>
      <c r="CU190" s="469" t="s">
        <v>5510</v>
      </c>
      <c r="GC190" s="472" t="s">
        <v>5510</v>
      </c>
      <c r="HN190" s="20"/>
      <c r="HP190" s="472"/>
    </row>
    <row r="191" spans="1:224" x14ac:dyDescent="0.25">
      <c r="B191" s="506" t="s">
        <v>5928</v>
      </c>
      <c r="C191" s="657">
        <v>2</v>
      </c>
      <c r="D191" s="658"/>
      <c r="E191" s="1666">
        <v>5</v>
      </c>
      <c r="F191" s="1666"/>
      <c r="G191" s="20" t="s">
        <v>5949</v>
      </c>
      <c r="J191" s="651" t="s">
        <v>5549</v>
      </c>
      <c r="BF191" s="469" t="s">
        <v>5510</v>
      </c>
      <c r="BH191" s="539" t="s">
        <v>8048</v>
      </c>
      <c r="BI191" s="539">
        <f t="shared" si="114"/>
        <v>205</v>
      </c>
      <c r="BJ191" s="539" cm="1">
        <f t="array" aca="1" ref="BJ191" ca="1">INDIRECT($BM$2&amp;BJ$7&amp;$BI191,1)</f>
        <v>0</v>
      </c>
      <c r="BK191" s="539" cm="1">
        <f t="array" aca="1" ref="BK191" ca="1">INDIRECT($BM$2&amp;BK$7&amp;$BI191,1)</f>
        <v>0</v>
      </c>
      <c r="BL191" s="539" cm="1">
        <f t="array" aca="1" ref="BL191" ca="1">INDIRECT($BM$2&amp;BL$7&amp;$BI191,1)</f>
        <v>0</v>
      </c>
      <c r="BM191" s="539" cm="1">
        <f t="array" aca="1" ref="BM191" ca="1">INDIRECT($BM$2&amp;BM$7&amp;$BI191,1)</f>
        <v>0</v>
      </c>
      <c r="BN191" s="539" cm="1">
        <f t="array" aca="1" ref="BN191" ca="1">INDIRECT($BM$2&amp;BN$7&amp;$BI191,1)</f>
        <v>0</v>
      </c>
      <c r="BO191" s="539" t="str">
        <f t="shared" ca="1" si="115"/>
        <v>-</v>
      </c>
      <c r="BQ191" s="20"/>
      <c r="BR191" s="469">
        <v>6</v>
      </c>
      <c r="BS191" s="539" t="s">
        <v>8048</v>
      </c>
      <c r="BT191" s="539">
        <f t="shared" si="116"/>
        <v>551</v>
      </c>
      <c r="BU191" s="539" cm="1">
        <f t="array" aca="1" ref="BU191" ca="1">INDIRECT($BM$2&amp;BU$7&amp;$BT191,1)</f>
        <v>0</v>
      </c>
      <c r="BV191" s="539" cm="1">
        <f t="array" aca="1" ref="BV191" ca="1">INDIRECT($BM$2&amp;BV$7&amp;$BT191,1)</f>
        <v>0</v>
      </c>
      <c r="BW191" s="539" cm="1">
        <f t="array" aca="1" ref="BW191" ca="1">INDIRECT($BM$2&amp;BW$7&amp;$BT191,1)</f>
        <v>0</v>
      </c>
      <c r="BX191" s="539" cm="1">
        <f t="array" aca="1" ref="BX191" ca="1">INDIRECT($BM$2&amp;BX$7&amp;$BT191,1)</f>
        <v>0</v>
      </c>
      <c r="BY191" s="539" cm="1">
        <f t="array" aca="1" ref="BY191" ca="1">INDIRECT($BM$2&amp;BY$7&amp;$BT191,1)</f>
        <v>0</v>
      </c>
      <c r="BZ191" s="539" t="str">
        <f t="shared" ca="1" si="117"/>
        <v>-</v>
      </c>
      <c r="CC191" s="469">
        <v>6</v>
      </c>
      <c r="CD191" s="539" t="s">
        <v>8048</v>
      </c>
      <c r="CE191" s="539">
        <f t="shared" si="118"/>
        <v>897</v>
      </c>
      <c r="CF191" s="539" cm="1">
        <f t="array" aca="1" ref="CF191" ca="1">INDIRECT($BM$2&amp;CF$7&amp;$CE191,1)</f>
        <v>0</v>
      </c>
      <c r="CG191" s="539" cm="1">
        <f t="array" aca="1" ref="CG191" ca="1">INDIRECT($BM$2&amp;CG$7&amp;$CE191,1)</f>
        <v>0</v>
      </c>
      <c r="CH191" s="539" cm="1">
        <f t="array" aca="1" ref="CH191" ca="1">INDIRECT($BM$2&amp;CH$7&amp;$CE191,1)</f>
        <v>0</v>
      </c>
      <c r="CI191" s="539" cm="1">
        <f t="array" aca="1" ref="CI191" ca="1">INDIRECT($BM$2&amp;CI$7&amp;$CE191,1)</f>
        <v>0</v>
      </c>
      <c r="CJ191" s="539" cm="1">
        <f t="array" aca="1" ref="CJ191" ca="1">INDIRECT($BM$2&amp;CJ$7&amp;$CE191,1)</f>
        <v>0</v>
      </c>
      <c r="CK191" s="539" t="str">
        <f t="shared" ca="1" si="119"/>
        <v>-</v>
      </c>
      <c r="CU191" s="469" t="s">
        <v>5510</v>
      </c>
      <c r="GC191" s="472" t="s">
        <v>5510</v>
      </c>
      <c r="HN191" s="20"/>
      <c r="HP191" s="472"/>
    </row>
    <row r="192" spans="1:224" x14ac:dyDescent="0.25">
      <c r="B192" s="506" t="s">
        <v>5916</v>
      </c>
      <c r="C192" s="1662" t="s">
        <v>5807</v>
      </c>
      <c r="D192" s="1663"/>
      <c r="E192" s="1666"/>
      <c r="F192" s="1666"/>
      <c r="I192" s="518" t="s">
        <v>5952</v>
      </c>
      <c r="J192" s="492">
        <f>IF(OR(COUNTIFS(L206:L215,C194,L206:L215,D194)&gt;=2,
COUNTIFS(M206:M215,C195,M206:M215,D195)&gt;=2),
1,0)</f>
        <v>0</v>
      </c>
      <c r="K192" s="20" t="s">
        <v>5940</v>
      </c>
      <c r="BF192" s="469" t="s">
        <v>5510</v>
      </c>
      <c r="BH192" s="539" t="s">
        <v>8048</v>
      </c>
      <c r="BI192" s="539">
        <f t="shared" si="114"/>
        <v>206</v>
      </c>
      <c r="BJ192" s="539" cm="1">
        <f t="array" aca="1" ref="BJ192" ca="1">INDIRECT($BM$2&amp;BJ$7&amp;$BI192,1)</f>
        <v>0</v>
      </c>
      <c r="BK192" s="539" cm="1">
        <f t="array" aca="1" ref="BK192" ca="1">INDIRECT($BM$2&amp;BK$7&amp;$BI192,1)</f>
        <v>0</v>
      </c>
      <c r="BL192" s="539" cm="1">
        <f t="array" aca="1" ref="BL192" ca="1">INDIRECT($BM$2&amp;BL$7&amp;$BI192,1)</f>
        <v>0</v>
      </c>
      <c r="BM192" s="539" cm="1">
        <f t="array" aca="1" ref="BM192" ca="1">INDIRECT($BM$2&amp;BM$7&amp;$BI192,1)</f>
        <v>0</v>
      </c>
      <c r="BN192" s="539" cm="1">
        <f t="array" aca="1" ref="BN192" ca="1">INDIRECT($BM$2&amp;BN$7&amp;$BI192,1)</f>
        <v>0</v>
      </c>
      <c r="BO192" s="539" t="str">
        <f t="shared" ca="1" si="115"/>
        <v>-</v>
      </c>
      <c r="BQ192" s="20"/>
      <c r="BR192" s="469">
        <v>7</v>
      </c>
      <c r="BS192" s="539" t="s">
        <v>8048</v>
      </c>
      <c r="BT192" s="539">
        <f t="shared" si="116"/>
        <v>552</v>
      </c>
      <c r="BU192" s="539" cm="1">
        <f t="array" aca="1" ref="BU192" ca="1">INDIRECT($BM$2&amp;BU$7&amp;$BT192,1)</f>
        <v>0</v>
      </c>
      <c r="BV192" s="539" cm="1">
        <f t="array" aca="1" ref="BV192" ca="1">INDIRECT($BM$2&amp;BV$7&amp;$BT192,1)</f>
        <v>0</v>
      </c>
      <c r="BW192" s="539" cm="1">
        <f t="array" aca="1" ref="BW192" ca="1">INDIRECT($BM$2&amp;BW$7&amp;$BT192,1)</f>
        <v>0</v>
      </c>
      <c r="BX192" s="539" cm="1">
        <f t="array" aca="1" ref="BX192" ca="1">INDIRECT($BM$2&amp;BX$7&amp;$BT192,1)</f>
        <v>0</v>
      </c>
      <c r="BY192" s="539" cm="1">
        <f t="array" aca="1" ref="BY192" ca="1">INDIRECT($BM$2&amp;BY$7&amp;$BT192,1)</f>
        <v>0</v>
      </c>
      <c r="BZ192" s="539" t="str">
        <f t="shared" ca="1" si="117"/>
        <v>-</v>
      </c>
      <c r="CC192" s="469">
        <v>7</v>
      </c>
      <c r="CD192" s="539" t="s">
        <v>8048</v>
      </c>
      <c r="CE192" s="539">
        <f t="shared" si="118"/>
        <v>898</v>
      </c>
      <c r="CF192" s="539" cm="1">
        <f t="array" aca="1" ref="CF192" ca="1">INDIRECT($BM$2&amp;CF$7&amp;$CE192,1)</f>
        <v>0</v>
      </c>
      <c r="CG192" s="539" cm="1">
        <f t="array" aca="1" ref="CG192" ca="1">INDIRECT($BM$2&amp;CG$7&amp;$CE192,1)</f>
        <v>0</v>
      </c>
      <c r="CH192" s="539" cm="1">
        <f t="array" aca="1" ref="CH192" ca="1">INDIRECT($BM$2&amp;CH$7&amp;$CE192,1)</f>
        <v>0</v>
      </c>
      <c r="CI192" s="539" cm="1">
        <f t="array" aca="1" ref="CI192" ca="1">INDIRECT($BM$2&amp;CI$7&amp;$CE192,1)</f>
        <v>0</v>
      </c>
      <c r="CJ192" s="539" cm="1">
        <f t="array" aca="1" ref="CJ192" ca="1">INDIRECT($BM$2&amp;CJ$7&amp;$CE192,1)</f>
        <v>0</v>
      </c>
      <c r="CK192" s="539" t="str">
        <f t="shared" ca="1" si="119"/>
        <v>-</v>
      </c>
      <c r="CU192" s="469" t="s">
        <v>5510</v>
      </c>
      <c r="GC192" s="472" t="s">
        <v>5510</v>
      </c>
      <c r="HN192" s="20"/>
      <c r="HP192" s="472"/>
    </row>
    <row r="193" spans="2:224" x14ac:dyDescent="0.25">
      <c r="B193" s="506"/>
      <c r="C193" s="552" t="s">
        <v>5915</v>
      </c>
      <c r="D193" s="552" t="s">
        <v>5944</v>
      </c>
      <c r="E193" s="552" t="s">
        <v>5915</v>
      </c>
      <c r="F193" s="552" t="s">
        <v>5944</v>
      </c>
      <c r="I193" s="518" t="s">
        <v>5953</v>
      </c>
      <c r="J193" s="492">
        <f>IF(J192=1,0,
IF(OR(COUNTIFS(L206:L215,E194,L206:L215,F194)&gt;=2,
COUNTIFS(M206:M215,E195,M206:M215,F195)&gt;=2),
1,0))</f>
        <v>0</v>
      </c>
      <c r="K193" s="20" t="s">
        <v>5955</v>
      </c>
      <c r="BF193" s="469" t="s">
        <v>5510</v>
      </c>
      <c r="BH193" s="539" t="s">
        <v>8048</v>
      </c>
      <c r="BI193" s="539">
        <f t="shared" si="114"/>
        <v>207</v>
      </c>
      <c r="BJ193" s="539" cm="1">
        <f t="array" aca="1" ref="BJ193" ca="1">INDIRECT($BM$2&amp;BJ$7&amp;$BI193,1)</f>
        <v>0</v>
      </c>
      <c r="BK193" s="539" cm="1">
        <f t="array" aca="1" ref="BK193" ca="1">INDIRECT($BM$2&amp;BK$7&amp;$BI193,1)</f>
        <v>0</v>
      </c>
      <c r="BL193" s="539" cm="1">
        <f t="array" aca="1" ref="BL193" ca="1">INDIRECT($BM$2&amp;BL$7&amp;$BI193,1)</f>
        <v>0</v>
      </c>
      <c r="BM193" s="539" cm="1">
        <f t="array" aca="1" ref="BM193" ca="1">INDIRECT($BM$2&amp;BM$7&amp;$BI193,1)</f>
        <v>0</v>
      </c>
      <c r="BN193" s="539" cm="1">
        <f t="array" aca="1" ref="BN193" ca="1">INDIRECT($BM$2&amp;BN$7&amp;$BI193,1)</f>
        <v>0</v>
      </c>
      <c r="BO193" s="539" t="str">
        <f t="shared" ca="1" si="115"/>
        <v>-</v>
      </c>
      <c r="BQ193" s="20"/>
      <c r="BR193" s="469">
        <v>8</v>
      </c>
      <c r="BS193" s="539" t="s">
        <v>8048</v>
      </c>
      <c r="BT193" s="539">
        <f t="shared" si="116"/>
        <v>553</v>
      </c>
      <c r="BU193" s="539" cm="1">
        <f t="array" aca="1" ref="BU193" ca="1">INDIRECT($BM$2&amp;BU$7&amp;$BT193,1)</f>
        <v>0</v>
      </c>
      <c r="BV193" s="539" cm="1">
        <f t="array" aca="1" ref="BV193" ca="1">INDIRECT($BM$2&amp;BV$7&amp;$BT193,1)</f>
        <v>0</v>
      </c>
      <c r="BW193" s="539" cm="1">
        <f t="array" aca="1" ref="BW193" ca="1">INDIRECT($BM$2&amp;BW$7&amp;$BT193,1)</f>
        <v>0</v>
      </c>
      <c r="BX193" s="539" cm="1">
        <f t="array" aca="1" ref="BX193" ca="1">INDIRECT($BM$2&amp;BX$7&amp;$BT193,1)</f>
        <v>0</v>
      </c>
      <c r="BY193" s="539" cm="1">
        <f t="array" aca="1" ref="BY193" ca="1">INDIRECT($BM$2&amp;BY$7&amp;$BT193,1)</f>
        <v>0</v>
      </c>
      <c r="BZ193" s="539" t="str">
        <f t="shared" ca="1" si="117"/>
        <v>-</v>
      </c>
      <c r="CC193" s="469">
        <v>8</v>
      </c>
      <c r="CD193" s="539" t="s">
        <v>8048</v>
      </c>
      <c r="CE193" s="539">
        <f t="shared" si="118"/>
        <v>899</v>
      </c>
      <c r="CF193" s="539" cm="1">
        <f t="array" aca="1" ref="CF193" ca="1">INDIRECT($BM$2&amp;CF$7&amp;$CE193,1)</f>
        <v>0</v>
      </c>
      <c r="CG193" s="539" cm="1">
        <f t="array" aca="1" ref="CG193" ca="1">INDIRECT($BM$2&amp;CG$7&amp;$CE193,1)</f>
        <v>0</v>
      </c>
      <c r="CH193" s="539" cm="1">
        <f t="array" aca="1" ref="CH193" ca="1">INDIRECT($BM$2&amp;CH$7&amp;$CE193,1)</f>
        <v>0</v>
      </c>
      <c r="CI193" s="539" cm="1">
        <f t="array" aca="1" ref="CI193" ca="1">INDIRECT($BM$2&amp;CI$7&amp;$CE193,1)</f>
        <v>0</v>
      </c>
      <c r="CJ193" s="539" cm="1">
        <f t="array" aca="1" ref="CJ193" ca="1">INDIRECT($BM$2&amp;CJ$7&amp;$CE193,1)</f>
        <v>0</v>
      </c>
      <c r="CK193" s="539" t="str">
        <f t="shared" ca="1" si="119"/>
        <v>-</v>
      </c>
      <c r="CU193" s="469" t="s">
        <v>5510</v>
      </c>
      <c r="GC193" s="472" t="s">
        <v>5510</v>
      </c>
      <c r="HN193" s="20"/>
      <c r="HP193" s="472"/>
    </row>
    <row r="194" spans="2:224" x14ac:dyDescent="0.25">
      <c r="B194" s="506" t="s">
        <v>5943</v>
      </c>
      <c r="C194" s="525" t="s">
        <v>5945</v>
      </c>
      <c r="D194" s="525" t="s">
        <v>5946</v>
      </c>
      <c r="E194" s="525" t="s">
        <v>5947</v>
      </c>
      <c r="F194" s="525" t="s">
        <v>5948</v>
      </c>
      <c r="BF194" s="469" t="s">
        <v>5510</v>
      </c>
      <c r="BH194" s="539" t="s">
        <v>8048</v>
      </c>
      <c r="BI194" s="539">
        <f t="shared" si="114"/>
        <v>208</v>
      </c>
      <c r="BJ194" s="539" cm="1">
        <f t="array" aca="1" ref="BJ194" ca="1">INDIRECT($BM$2&amp;BJ$7&amp;$BI194,1)</f>
        <v>0</v>
      </c>
      <c r="BK194" s="539" cm="1">
        <f t="array" aca="1" ref="BK194" ca="1">INDIRECT($BM$2&amp;BK$7&amp;$BI194,1)</f>
        <v>0</v>
      </c>
      <c r="BL194" s="539" cm="1">
        <f t="array" aca="1" ref="BL194" ca="1">INDIRECT($BM$2&amp;BL$7&amp;$BI194,1)</f>
        <v>0</v>
      </c>
      <c r="BM194" s="539" cm="1">
        <f t="array" aca="1" ref="BM194" ca="1">INDIRECT($BM$2&amp;BM$7&amp;$BI194,1)</f>
        <v>0</v>
      </c>
      <c r="BN194" s="539" cm="1">
        <f t="array" aca="1" ref="BN194" ca="1">INDIRECT($BM$2&amp;BN$7&amp;$BI194,1)</f>
        <v>0</v>
      </c>
      <c r="BO194" s="539" t="str">
        <f t="shared" ca="1" si="115"/>
        <v>-</v>
      </c>
      <c r="BQ194" s="20"/>
      <c r="BR194" s="469">
        <v>9</v>
      </c>
      <c r="BS194" s="539" t="s">
        <v>8048</v>
      </c>
      <c r="BT194" s="539">
        <f t="shared" si="116"/>
        <v>554</v>
      </c>
      <c r="BU194" s="539" cm="1">
        <f t="array" aca="1" ref="BU194" ca="1">INDIRECT($BM$2&amp;BU$7&amp;$BT194,1)</f>
        <v>0</v>
      </c>
      <c r="BV194" s="539" cm="1">
        <f t="array" aca="1" ref="BV194" ca="1">INDIRECT($BM$2&amp;BV$7&amp;$BT194,1)</f>
        <v>0</v>
      </c>
      <c r="BW194" s="539" cm="1">
        <f t="array" aca="1" ref="BW194" ca="1">INDIRECT($BM$2&amp;BW$7&amp;$BT194,1)</f>
        <v>0</v>
      </c>
      <c r="BX194" s="539" cm="1">
        <f t="array" aca="1" ref="BX194" ca="1">INDIRECT($BM$2&amp;BX$7&amp;$BT194,1)</f>
        <v>0</v>
      </c>
      <c r="BY194" s="539" cm="1">
        <f t="array" aca="1" ref="BY194" ca="1">INDIRECT($BM$2&amp;BY$7&amp;$BT194,1)</f>
        <v>0</v>
      </c>
      <c r="BZ194" s="539" t="str">
        <f t="shared" ca="1" si="117"/>
        <v>-</v>
      </c>
      <c r="CC194" s="469">
        <v>9</v>
      </c>
      <c r="CD194" s="539" t="s">
        <v>8048</v>
      </c>
      <c r="CE194" s="539">
        <f t="shared" si="118"/>
        <v>900</v>
      </c>
      <c r="CF194" s="539" cm="1">
        <f t="array" aca="1" ref="CF194" ca="1">INDIRECT($BM$2&amp;CF$7&amp;$CE194,1)</f>
        <v>0</v>
      </c>
      <c r="CG194" s="539" cm="1">
        <f t="array" aca="1" ref="CG194" ca="1">INDIRECT($BM$2&amp;CG$7&amp;$CE194,1)</f>
        <v>0</v>
      </c>
      <c r="CH194" s="539" cm="1">
        <f t="array" aca="1" ref="CH194" ca="1">INDIRECT($BM$2&amp;CH$7&amp;$CE194,1)</f>
        <v>0</v>
      </c>
      <c r="CI194" s="539" cm="1">
        <f t="array" aca="1" ref="CI194" ca="1">INDIRECT($BM$2&amp;CI$7&amp;$CE194,1)</f>
        <v>0</v>
      </c>
      <c r="CJ194" s="539" cm="1">
        <f t="array" aca="1" ref="CJ194" ca="1">INDIRECT($BM$2&amp;CJ$7&amp;$CE194,1)</f>
        <v>0</v>
      </c>
      <c r="CK194" s="539" t="str">
        <f t="shared" ca="1" si="119"/>
        <v>-</v>
      </c>
      <c r="CU194" s="469" t="s">
        <v>5510</v>
      </c>
      <c r="GC194" s="472" t="s">
        <v>5510</v>
      </c>
      <c r="HN194" s="20"/>
      <c r="HP194" s="472"/>
    </row>
    <row r="195" spans="2:224" x14ac:dyDescent="0.25">
      <c r="B195" s="506" t="s">
        <v>46</v>
      </c>
      <c r="C195" s="525" t="s">
        <v>5945</v>
      </c>
      <c r="D195" s="525" t="s">
        <v>5946</v>
      </c>
      <c r="E195" s="525" t="s">
        <v>5947</v>
      </c>
      <c r="F195" s="525" t="s">
        <v>5948</v>
      </c>
      <c r="BF195" s="469" t="s">
        <v>5510</v>
      </c>
      <c r="BH195" s="539" t="s">
        <v>8048</v>
      </c>
      <c r="BI195" s="539">
        <f t="shared" si="114"/>
        <v>209</v>
      </c>
      <c r="BJ195" s="539" cm="1">
        <f t="array" aca="1" ref="BJ195" ca="1">INDIRECT($BM$2&amp;BJ$7&amp;$BI195,1)</f>
        <v>0</v>
      </c>
      <c r="BK195" s="539" cm="1">
        <f t="array" aca="1" ref="BK195" ca="1">INDIRECT($BM$2&amp;BK$7&amp;$BI195,1)</f>
        <v>0</v>
      </c>
      <c r="BL195" s="539" cm="1">
        <f t="array" aca="1" ref="BL195" ca="1">INDIRECT($BM$2&amp;BL$7&amp;$BI195,1)</f>
        <v>0</v>
      </c>
      <c r="BM195" s="539" cm="1">
        <f t="array" aca="1" ref="BM195" ca="1">INDIRECT($BM$2&amp;BM$7&amp;$BI195,1)</f>
        <v>0</v>
      </c>
      <c r="BN195" s="539" cm="1">
        <f t="array" aca="1" ref="BN195" ca="1">INDIRECT($BM$2&amp;BN$7&amp;$BI195,1)</f>
        <v>0</v>
      </c>
      <c r="BO195" s="539" t="str">
        <f t="shared" ca="1" si="115"/>
        <v>-</v>
      </c>
      <c r="BQ195" s="20"/>
      <c r="BR195" s="469">
        <v>10</v>
      </c>
      <c r="BS195" s="539" t="s">
        <v>8048</v>
      </c>
      <c r="BT195" s="539">
        <f t="shared" si="116"/>
        <v>555</v>
      </c>
      <c r="BU195" s="539" cm="1">
        <f t="array" aca="1" ref="BU195" ca="1">INDIRECT($BM$2&amp;BU$7&amp;$BT195,1)</f>
        <v>0</v>
      </c>
      <c r="BV195" s="539" cm="1">
        <f t="array" aca="1" ref="BV195" ca="1">INDIRECT($BM$2&amp;BV$7&amp;$BT195,1)</f>
        <v>0</v>
      </c>
      <c r="BW195" s="539" cm="1">
        <f t="array" aca="1" ref="BW195" ca="1">INDIRECT($BM$2&amp;BW$7&amp;$BT195,1)</f>
        <v>0</v>
      </c>
      <c r="BX195" s="539" cm="1">
        <f t="array" aca="1" ref="BX195" ca="1">INDIRECT($BM$2&amp;BX$7&amp;$BT195,1)</f>
        <v>0</v>
      </c>
      <c r="BY195" s="539" cm="1">
        <f t="array" aca="1" ref="BY195" ca="1">INDIRECT($BM$2&amp;BY$7&amp;$BT195,1)</f>
        <v>0</v>
      </c>
      <c r="BZ195" s="539" t="str">
        <f t="shared" ca="1" si="117"/>
        <v>-</v>
      </c>
      <c r="CC195" s="469">
        <v>10</v>
      </c>
      <c r="CD195" s="539" t="s">
        <v>8048</v>
      </c>
      <c r="CE195" s="539">
        <f t="shared" si="118"/>
        <v>901</v>
      </c>
      <c r="CF195" s="539" cm="1">
        <f t="array" aca="1" ref="CF195" ca="1">INDIRECT($BM$2&amp;CF$7&amp;$CE195,1)</f>
        <v>0</v>
      </c>
      <c r="CG195" s="539" cm="1">
        <f t="array" aca="1" ref="CG195" ca="1">INDIRECT($BM$2&amp;CG$7&amp;$CE195,1)</f>
        <v>0</v>
      </c>
      <c r="CH195" s="539" cm="1">
        <f t="array" aca="1" ref="CH195" ca="1">INDIRECT($BM$2&amp;CH$7&amp;$CE195,1)</f>
        <v>0</v>
      </c>
      <c r="CI195" s="539" cm="1">
        <f t="array" aca="1" ref="CI195" ca="1">INDIRECT($BM$2&amp;CI$7&amp;$CE195,1)</f>
        <v>0</v>
      </c>
      <c r="CJ195" s="539" cm="1">
        <f t="array" aca="1" ref="CJ195" ca="1">INDIRECT($BM$2&amp;CJ$7&amp;$CE195,1)</f>
        <v>0</v>
      </c>
      <c r="CK195" s="539" t="str">
        <f t="shared" ca="1" si="119"/>
        <v>-</v>
      </c>
      <c r="CU195" s="469" t="s">
        <v>5510</v>
      </c>
      <c r="GC195" s="472" t="s">
        <v>5510</v>
      </c>
      <c r="HN195" s="20"/>
      <c r="HP195" s="472"/>
    </row>
    <row r="196" spans="2:224" x14ac:dyDescent="0.25">
      <c r="BF196" s="469" t="s">
        <v>5510</v>
      </c>
      <c r="BH196" s="539" t="s">
        <v>8048</v>
      </c>
      <c r="BI196" s="539">
        <f t="shared" si="114"/>
        <v>210</v>
      </c>
      <c r="BJ196" s="539" cm="1">
        <f t="array" aca="1" ref="BJ196" ca="1">INDIRECT($BM$2&amp;BJ$7&amp;$BI196,1)</f>
        <v>0</v>
      </c>
      <c r="BK196" s="539" cm="1">
        <f t="array" aca="1" ref="BK196" ca="1">INDIRECT($BM$2&amp;BK$7&amp;$BI196,1)</f>
        <v>0</v>
      </c>
      <c r="BL196" s="539" cm="1">
        <f t="array" aca="1" ref="BL196" ca="1">INDIRECT($BM$2&amp;BL$7&amp;$BI196,1)</f>
        <v>0</v>
      </c>
      <c r="BM196" s="539" cm="1">
        <f t="array" aca="1" ref="BM196" ca="1">INDIRECT($BM$2&amp;BM$7&amp;$BI196,1)</f>
        <v>0</v>
      </c>
      <c r="BN196" s="539" cm="1">
        <f t="array" aca="1" ref="BN196" ca="1">INDIRECT($BM$2&amp;BN$7&amp;$BI196,1)</f>
        <v>0</v>
      </c>
      <c r="BO196" s="539" t="str">
        <f t="shared" ca="1" si="115"/>
        <v>-</v>
      </c>
      <c r="BQ196" s="20"/>
      <c r="BR196" s="469">
        <v>11</v>
      </c>
      <c r="BS196" s="539" t="s">
        <v>8048</v>
      </c>
      <c r="BT196" s="539">
        <f t="shared" si="116"/>
        <v>556</v>
      </c>
      <c r="BU196" s="539" cm="1">
        <f t="array" aca="1" ref="BU196" ca="1">INDIRECT($BM$2&amp;BU$7&amp;$BT196,1)</f>
        <v>0</v>
      </c>
      <c r="BV196" s="539" cm="1">
        <f t="array" aca="1" ref="BV196" ca="1">INDIRECT($BM$2&amp;BV$7&amp;$BT196,1)</f>
        <v>0</v>
      </c>
      <c r="BW196" s="539" cm="1">
        <f t="array" aca="1" ref="BW196" ca="1">INDIRECT($BM$2&amp;BW$7&amp;$BT196,1)</f>
        <v>0</v>
      </c>
      <c r="BX196" s="539" cm="1">
        <f t="array" aca="1" ref="BX196" ca="1">INDIRECT($BM$2&amp;BX$7&amp;$BT196,1)</f>
        <v>0</v>
      </c>
      <c r="BY196" s="539" cm="1">
        <f t="array" aca="1" ref="BY196" ca="1">INDIRECT($BM$2&amp;BY$7&amp;$BT196,1)</f>
        <v>0</v>
      </c>
      <c r="BZ196" s="539" t="str">
        <f t="shared" ca="1" si="117"/>
        <v>-</v>
      </c>
      <c r="CC196" s="469">
        <v>11</v>
      </c>
      <c r="CD196" s="539" t="s">
        <v>8048</v>
      </c>
      <c r="CE196" s="539">
        <f t="shared" si="118"/>
        <v>902</v>
      </c>
      <c r="CF196" s="539" cm="1">
        <f t="array" aca="1" ref="CF196" ca="1">INDIRECT($BM$2&amp;CF$7&amp;$CE196,1)</f>
        <v>0</v>
      </c>
      <c r="CG196" s="539" cm="1">
        <f t="array" aca="1" ref="CG196" ca="1">INDIRECT($BM$2&amp;CG$7&amp;$CE196,1)</f>
        <v>0</v>
      </c>
      <c r="CH196" s="539" cm="1">
        <f t="array" aca="1" ref="CH196" ca="1">INDIRECT($BM$2&amp;CH$7&amp;$CE196,1)</f>
        <v>0</v>
      </c>
      <c r="CI196" s="539" cm="1">
        <f t="array" aca="1" ref="CI196" ca="1">INDIRECT($BM$2&amp;CI$7&amp;$CE196,1)</f>
        <v>0</v>
      </c>
      <c r="CJ196" s="539" cm="1">
        <f t="array" aca="1" ref="CJ196" ca="1">INDIRECT($BM$2&amp;CJ$7&amp;$CE196,1)</f>
        <v>0</v>
      </c>
      <c r="CK196" s="539" t="str">
        <f t="shared" ca="1" si="119"/>
        <v>-</v>
      </c>
      <c r="CU196" s="469" t="s">
        <v>5510</v>
      </c>
      <c r="GC196" s="472" t="s">
        <v>5510</v>
      </c>
      <c r="HN196" s="20"/>
      <c r="HP196" s="472"/>
    </row>
    <row r="197" spans="2:224" x14ac:dyDescent="0.25">
      <c r="BF197" s="469" t="s">
        <v>5510</v>
      </c>
      <c r="BH197" s="539" t="s">
        <v>8048</v>
      </c>
      <c r="BI197" s="539">
        <f t="shared" si="114"/>
        <v>211</v>
      </c>
      <c r="BJ197" s="539" cm="1">
        <f t="array" aca="1" ref="BJ197" ca="1">INDIRECT($BM$2&amp;BJ$7&amp;$BI197,1)</f>
        <v>0</v>
      </c>
      <c r="BK197" s="539" cm="1">
        <f t="array" aca="1" ref="BK197" ca="1">INDIRECT($BM$2&amp;BK$7&amp;$BI197,1)</f>
        <v>0</v>
      </c>
      <c r="BL197" s="539" cm="1">
        <f t="array" aca="1" ref="BL197" ca="1">INDIRECT($BM$2&amp;BL$7&amp;$BI197,1)</f>
        <v>0</v>
      </c>
      <c r="BM197" s="539" cm="1">
        <f t="array" aca="1" ref="BM197" ca="1">INDIRECT($BM$2&amp;BM$7&amp;$BI197,1)</f>
        <v>0</v>
      </c>
      <c r="BN197" s="539" t="str" cm="1">
        <f t="array" aca="1" ref="BN197" ca="1">INDIRECT($BM$2&amp;BN$7&amp;$BI197,1)</f>
        <v>-</v>
      </c>
      <c r="BO197" s="539" t="str">
        <f t="shared" ca="1" si="115"/>
        <v>-</v>
      </c>
      <c r="BQ197" s="20"/>
      <c r="BR197" s="469">
        <v>12</v>
      </c>
      <c r="BS197" s="539" t="s">
        <v>8048</v>
      </c>
      <c r="BT197" s="539">
        <f t="shared" si="116"/>
        <v>557</v>
      </c>
      <c r="BU197" s="539" cm="1">
        <f t="array" aca="1" ref="BU197" ca="1">INDIRECT($BM$2&amp;BU$7&amp;$BT197,1)</f>
        <v>0</v>
      </c>
      <c r="BV197" s="539" cm="1">
        <f t="array" aca="1" ref="BV197" ca="1">INDIRECT($BM$2&amp;BV$7&amp;$BT197,1)</f>
        <v>0</v>
      </c>
      <c r="BW197" s="539" cm="1">
        <f t="array" aca="1" ref="BW197" ca="1">INDIRECT($BM$2&amp;BW$7&amp;$BT197,1)</f>
        <v>0</v>
      </c>
      <c r="BX197" s="539" cm="1">
        <f t="array" aca="1" ref="BX197" ca="1">INDIRECT($BM$2&amp;BX$7&amp;$BT197,1)</f>
        <v>0</v>
      </c>
      <c r="BY197" s="539" t="str" cm="1">
        <f t="array" aca="1" ref="BY197" ca="1">INDIRECT($BM$2&amp;BY$7&amp;$BT197,1)</f>
        <v>-</v>
      </c>
      <c r="BZ197" s="539" t="str">
        <f t="shared" ca="1" si="117"/>
        <v>-</v>
      </c>
      <c r="CC197" s="469">
        <v>12</v>
      </c>
      <c r="CD197" s="539" t="s">
        <v>8048</v>
      </c>
      <c r="CE197" s="539">
        <f t="shared" si="118"/>
        <v>903</v>
      </c>
      <c r="CF197" s="539" cm="1">
        <f t="array" aca="1" ref="CF197" ca="1">INDIRECT($BM$2&amp;CF$7&amp;$CE197,1)</f>
        <v>0</v>
      </c>
      <c r="CG197" s="539" cm="1">
        <f t="array" aca="1" ref="CG197" ca="1">INDIRECT($BM$2&amp;CG$7&amp;$CE197,1)</f>
        <v>0</v>
      </c>
      <c r="CH197" s="539" cm="1">
        <f t="array" aca="1" ref="CH197" ca="1">INDIRECT($BM$2&amp;CH$7&amp;$CE197,1)</f>
        <v>0</v>
      </c>
      <c r="CI197" s="539" cm="1">
        <f t="array" aca="1" ref="CI197" ca="1">INDIRECT($BM$2&amp;CI$7&amp;$CE197,1)</f>
        <v>0</v>
      </c>
      <c r="CJ197" s="539" t="str" cm="1">
        <f t="array" aca="1" ref="CJ197" ca="1">INDIRECT($BM$2&amp;CJ$7&amp;$CE197,1)</f>
        <v>-</v>
      </c>
      <c r="CK197" s="539" t="str">
        <f t="shared" ca="1" si="119"/>
        <v>-</v>
      </c>
      <c r="CU197" s="469" t="s">
        <v>5510</v>
      </c>
      <c r="GC197" s="472" t="s">
        <v>5510</v>
      </c>
      <c r="HN197" s="20"/>
      <c r="HP197" s="472"/>
    </row>
    <row r="198" spans="2:224" x14ac:dyDescent="0.25">
      <c r="BF198" s="469" t="s">
        <v>5510</v>
      </c>
      <c r="BL198" s="372"/>
      <c r="BO198" s="472"/>
      <c r="BQ198" s="20"/>
      <c r="BT198" s="372"/>
      <c r="BU198" s="472"/>
      <c r="BV198" s="472"/>
      <c r="BW198" s="372"/>
      <c r="BX198" s="472"/>
      <c r="BY198" s="372"/>
      <c r="BZ198" s="472"/>
      <c r="CE198" s="372"/>
      <c r="CF198" s="472"/>
      <c r="CG198" s="472"/>
      <c r="CH198" s="372"/>
      <c r="CI198" s="472"/>
      <c r="CJ198" s="372"/>
      <c r="CK198" s="472"/>
      <c r="CU198" s="469" t="s">
        <v>5510</v>
      </c>
      <c r="GC198" s="472" t="s">
        <v>5510</v>
      </c>
      <c r="HN198" s="20"/>
      <c r="HP198" s="472"/>
    </row>
    <row r="199" spans="2:224" x14ac:dyDescent="0.25">
      <c r="BF199" s="469" t="s">
        <v>5510</v>
      </c>
      <c r="BL199" s="372"/>
      <c r="BO199" s="472"/>
      <c r="BQ199" s="20"/>
      <c r="BT199" s="372"/>
      <c r="BU199" s="472"/>
      <c r="BV199" s="472"/>
      <c r="BW199" s="372"/>
      <c r="BX199" s="472"/>
      <c r="BY199" s="372"/>
      <c r="BZ199" s="472"/>
      <c r="CE199" s="372"/>
      <c r="CF199" s="472"/>
      <c r="CG199" s="472"/>
      <c r="CH199" s="372"/>
      <c r="CI199" s="472"/>
      <c r="CJ199" s="372"/>
      <c r="CK199" s="472"/>
      <c r="CU199" s="469" t="s">
        <v>5510</v>
      </c>
      <c r="GC199" s="472" t="s">
        <v>5510</v>
      </c>
      <c r="HN199" s="20"/>
      <c r="HP199" s="472"/>
    </row>
    <row r="200" spans="2:224" x14ac:dyDescent="0.25">
      <c r="BF200" s="469" t="s">
        <v>5510</v>
      </c>
      <c r="BQ200" s="20"/>
      <c r="BT200" s="372"/>
      <c r="BU200" s="472"/>
      <c r="BV200" s="472"/>
      <c r="BW200" s="472"/>
      <c r="BX200" s="472"/>
      <c r="BY200" s="372"/>
      <c r="BZ200" s="372"/>
      <c r="CE200" s="372"/>
      <c r="CF200" s="472"/>
      <c r="CG200" s="472"/>
      <c r="CH200" s="472"/>
      <c r="CI200" s="472"/>
      <c r="CJ200" s="372"/>
      <c r="CK200" s="372"/>
      <c r="CU200" s="469" t="s">
        <v>5510</v>
      </c>
      <c r="GC200" s="472" t="s">
        <v>5510</v>
      </c>
      <c r="HN200" s="20"/>
      <c r="HP200" s="472"/>
    </row>
    <row r="201" spans="2:224" x14ac:dyDescent="0.25">
      <c r="BF201" s="469" t="s">
        <v>5510</v>
      </c>
      <c r="BQ201" s="20"/>
      <c r="BT201" s="372"/>
      <c r="BU201" s="472"/>
      <c r="BV201" s="472"/>
      <c r="BW201" s="472"/>
      <c r="BX201" s="472"/>
      <c r="BY201" s="372"/>
      <c r="BZ201" s="372"/>
      <c r="CE201" s="372"/>
      <c r="CF201" s="472"/>
      <c r="CG201" s="472"/>
      <c r="CH201" s="472"/>
      <c r="CI201" s="472"/>
      <c r="CJ201" s="372"/>
      <c r="CK201" s="372"/>
      <c r="CU201" s="469" t="s">
        <v>5510</v>
      </c>
      <c r="GC201" s="472" t="s">
        <v>5510</v>
      </c>
      <c r="HN201" s="20"/>
      <c r="HP201" s="472"/>
    </row>
    <row r="202" spans="2:224" x14ac:dyDescent="0.25">
      <c r="BF202" s="469" t="s">
        <v>5510</v>
      </c>
      <c r="BH202" s="539" t="s">
        <v>8049</v>
      </c>
      <c r="BI202" s="539">
        <f>BI197+$BO$6</f>
        <v>217</v>
      </c>
      <c r="BJ202" s="539" cm="1">
        <f t="array" aca="1" ref="BJ202" ca="1">INDIRECT($BM$2&amp;BJ$7&amp;$BI202,1)</f>
        <v>0</v>
      </c>
      <c r="BK202" s="539" cm="1">
        <f t="array" aca="1" ref="BK202" ca="1">INDIRECT($BM$2&amp;BK$7&amp;$BI202,1)</f>
        <v>0</v>
      </c>
      <c r="BL202" s="539" cm="1">
        <f t="array" aca="1" ref="BL202" ca="1">INDIRECT($BM$2&amp;BL$7&amp;$BI202,1)</f>
        <v>0</v>
      </c>
      <c r="BM202" s="539" cm="1">
        <f t="array" aca="1" ref="BM202" ca="1">INDIRECT($BM$2&amp;BM$7&amp;$BI202,1)</f>
        <v>0</v>
      </c>
      <c r="BN202" s="539" cm="1">
        <f t="array" aca="1" ref="BN202" ca="1">INDIRECT($BM$2&amp;BN$7&amp;$BI202,1)</f>
        <v>0</v>
      </c>
      <c r="BO202" s="539" t="str">
        <f ca="1">IFERROR(BK202/BK$202,"-")</f>
        <v>-</v>
      </c>
      <c r="BQ202" s="20"/>
      <c r="BR202" s="469">
        <v>1</v>
      </c>
      <c r="BS202" s="539" t="s">
        <v>8049</v>
      </c>
      <c r="BT202" s="539">
        <f>BT197+$BO$6</f>
        <v>563</v>
      </c>
      <c r="BU202" s="539" cm="1">
        <f t="array" aca="1" ref="BU202" ca="1">INDIRECT($BM$2&amp;BU$7&amp;$BT202,1)</f>
        <v>0</v>
      </c>
      <c r="BV202" s="539" cm="1">
        <f t="array" aca="1" ref="BV202" ca="1">INDIRECT($BM$2&amp;BV$7&amp;$BT202,1)</f>
        <v>0</v>
      </c>
      <c r="BW202" s="539" cm="1">
        <f t="array" aca="1" ref="BW202" ca="1">INDIRECT($BM$2&amp;BW$7&amp;$BT202,1)</f>
        <v>0</v>
      </c>
      <c r="BX202" s="539" cm="1">
        <f t="array" aca="1" ref="BX202" ca="1">INDIRECT($BM$2&amp;BX$7&amp;$BT202,1)</f>
        <v>0</v>
      </c>
      <c r="BY202" s="539" cm="1">
        <f t="array" aca="1" ref="BY202" ca="1">INDIRECT($BM$2&amp;BY$7&amp;$BT202,1)</f>
        <v>0</v>
      </c>
      <c r="BZ202" s="539" t="str">
        <f ca="1">IFERROR(BV202/BV$202,"-")</f>
        <v>-</v>
      </c>
      <c r="CC202" s="469">
        <v>1</v>
      </c>
      <c r="CD202" s="539" t="s">
        <v>8049</v>
      </c>
      <c r="CE202" s="539">
        <f>CE197+$BO$6</f>
        <v>909</v>
      </c>
      <c r="CF202" s="539" cm="1">
        <f t="array" aca="1" ref="CF202" ca="1">INDIRECT($BM$2&amp;CF$7&amp;$CE202,1)</f>
        <v>0</v>
      </c>
      <c r="CG202" s="539" cm="1">
        <f t="array" aca="1" ref="CG202" ca="1">INDIRECT($BM$2&amp;CG$7&amp;$CE202,1)</f>
        <v>0</v>
      </c>
      <c r="CH202" s="539" cm="1">
        <f t="array" aca="1" ref="CH202" ca="1">INDIRECT($BM$2&amp;CH$7&amp;$CE202,1)</f>
        <v>0</v>
      </c>
      <c r="CI202" s="539" cm="1">
        <f t="array" aca="1" ref="CI202" ca="1">INDIRECT($BM$2&amp;CI$7&amp;$CE202,1)</f>
        <v>0</v>
      </c>
      <c r="CJ202" s="539" cm="1">
        <f t="array" aca="1" ref="CJ202" ca="1">INDIRECT($BM$2&amp;CJ$7&amp;$CE202,1)</f>
        <v>0</v>
      </c>
      <c r="CK202" s="539" t="str">
        <f ca="1">IFERROR(CG202/CG$202,"-")</f>
        <v>-</v>
      </c>
      <c r="CU202" s="469" t="s">
        <v>5510</v>
      </c>
      <c r="GC202" s="472" t="s">
        <v>5510</v>
      </c>
      <c r="HN202" s="20"/>
      <c r="HP202" s="472"/>
    </row>
    <row r="203" spans="2:224" x14ac:dyDescent="0.25">
      <c r="BF203" s="469" t="s">
        <v>5510</v>
      </c>
      <c r="BH203" s="539" t="s">
        <v>8049</v>
      </c>
      <c r="BI203" s="539">
        <f t="shared" ref="BI203:BI213" si="120">BI202+1</f>
        <v>218</v>
      </c>
      <c r="BJ203" s="539" cm="1">
        <f t="array" aca="1" ref="BJ203" ca="1">INDIRECT($BM$2&amp;BJ$7&amp;$BI203,1)</f>
        <v>0</v>
      </c>
      <c r="BK203" s="539" cm="1">
        <f t="array" aca="1" ref="BK203" ca="1">INDIRECT($BM$2&amp;BK$7&amp;$BI203,1)</f>
        <v>0</v>
      </c>
      <c r="BL203" s="539" cm="1">
        <f t="array" aca="1" ref="BL203" ca="1">INDIRECT($BM$2&amp;BL$7&amp;$BI203,1)</f>
        <v>0</v>
      </c>
      <c r="BM203" s="539" cm="1">
        <f t="array" aca="1" ref="BM203" ca="1">INDIRECT($BM$2&amp;BM$7&amp;$BI203,1)</f>
        <v>0</v>
      </c>
      <c r="BN203" s="539" cm="1">
        <f t="array" aca="1" ref="BN203" ca="1">INDIRECT($BM$2&amp;BN$7&amp;$BI203,1)</f>
        <v>0</v>
      </c>
      <c r="BO203" s="539" t="str">
        <f t="shared" ref="BO203:BO213" ca="1" si="121">IF(BK203=0,"-",IFERROR(BK203/BK$202,"-"))</f>
        <v>-</v>
      </c>
      <c r="BQ203" s="20"/>
      <c r="BR203" s="469">
        <v>2</v>
      </c>
      <c r="BS203" s="539" t="s">
        <v>8049</v>
      </c>
      <c r="BT203" s="539">
        <f t="shared" ref="BT203:BT213" si="122">BT202+1</f>
        <v>564</v>
      </c>
      <c r="BU203" s="539" cm="1">
        <f t="array" aca="1" ref="BU203" ca="1">INDIRECT($BM$2&amp;BU$7&amp;$BT203,1)</f>
        <v>0</v>
      </c>
      <c r="BV203" s="539" cm="1">
        <f t="array" aca="1" ref="BV203" ca="1">INDIRECT($BM$2&amp;BV$7&amp;$BT203,1)</f>
        <v>0</v>
      </c>
      <c r="BW203" s="539" cm="1">
        <f t="array" aca="1" ref="BW203" ca="1">INDIRECT($BM$2&amp;BW$7&amp;$BT203,1)</f>
        <v>0</v>
      </c>
      <c r="BX203" s="539" cm="1">
        <f t="array" aca="1" ref="BX203" ca="1">INDIRECT($BM$2&amp;BX$7&amp;$BT203,1)</f>
        <v>0</v>
      </c>
      <c r="BY203" s="539" cm="1">
        <f t="array" aca="1" ref="BY203" ca="1">INDIRECT($BM$2&amp;BY$7&amp;$BT203,1)</f>
        <v>0</v>
      </c>
      <c r="BZ203" s="539" t="str">
        <f t="shared" ref="BZ203:BZ213" ca="1" si="123">IF(BV203=0,"-",IFERROR(BV203/BV$202,"-"))</f>
        <v>-</v>
      </c>
      <c r="CC203" s="469">
        <v>2</v>
      </c>
      <c r="CD203" s="539" t="s">
        <v>8049</v>
      </c>
      <c r="CE203" s="539">
        <f t="shared" ref="CE203:CE213" si="124">CE202+1</f>
        <v>910</v>
      </c>
      <c r="CF203" s="539" cm="1">
        <f t="array" aca="1" ref="CF203" ca="1">INDIRECT($BM$2&amp;CF$7&amp;$CE203,1)</f>
        <v>0</v>
      </c>
      <c r="CG203" s="539" cm="1">
        <f t="array" aca="1" ref="CG203" ca="1">INDIRECT($BM$2&amp;CG$7&amp;$CE203,1)</f>
        <v>0</v>
      </c>
      <c r="CH203" s="539" cm="1">
        <f t="array" aca="1" ref="CH203" ca="1">INDIRECT($BM$2&amp;CH$7&amp;$CE203,1)</f>
        <v>0</v>
      </c>
      <c r="CI203" s="539" cm="1">
        <f t="array" aca="1" ref="CI203" ca="1">INDIRECT($BM$2&amp;CI$7&amp;$CE203,1)</f>
        <v>0</v>
      </c>
      <c r="CJ203" s="539" cm="1">
        <f t="array" aca="1" ref="CJ203" ca="1">INDIRECT($BM$2&amp;CJ$7&amp;$CE203,1)</f>
        <v>0</v>
      </c>
      <c r="CK203" s="539" t="str">
        <f t="shared" ref="CK203:CK213" ca="1" si="125">IF(CG203=0,"-",IFERROR(CG203/CG$202,"-"))</f>
        <v>-</v>
      </c>
      <c r="CU203" s="469" t="s">
        <v>5510</v>
      </c>
      <c r="GC203" s="472" t="s">
        <v>5510</v>
      </c>
      <c r="HN203" s="20"/>
      <c r="HP203" s="472"/>
    </row>
    <row r="204" spans="2:224" x14ac:dyDescent="0.25">
      <c r="N204" s="20"/>
      <c r="BF204" s="469" t="s">
        <v>5510</v>
      </c>
      <c r="BH204" s="539" t="s">
        <v>8049</v>
      </c>
      <c r="BI204" s="539">
        <f t="shared" si="120"/>
        <v>219</v>
      </c>
      <c r="BJ204" s="539" cm="1">
        <f t="array" aca="1" ref="BJ204" ca="1">INDIRECT($BM$2&amp;BJ$7&amp;$BI204,1)</f>
        <v>0</v>
      </c>
      <c r="BK204" s="539" cm="1">
        <f t="array" aca="1" ref="BK204" ca="1">INDIRECT($BM$2&amp;BK$7&amp;$BI204,1)</f>
        <v>0</v>
      </c>
      <c r="BL204" s="539" cm="1">
        <f t="array" aca="1" ref="BL204" ca="1">INDIRECT($BM$2&amp;BL$7&amp;$BI204,1)</f>
        <v>0</v>
      </c>
      <c r="BM204" s="539" cm="1">
        <f t="array" aca="1" ref="BM204" ca="1">INDIRECT($BM$2&amp;BM$7&amp;$BI204,1)</f>
        <v>0</v>
      </c>
      <c r="BN204" s="539" cm="1">
        <f t="array" aca="1" ref="BN204" ca="1">INDIRECT($BM$2&amp;BN$7&amp;$BI204,1)</f>
        <v>0</v>
      </c>
      <c r="BO204" s="539" t="str">
        <f t="shared" ca="1" si="121"/>
        <v>-</v>
      </c>
      <c r="BQ204" s="20"/>
      <c r="BR204" s="469">
        <v>3</v>
      </c>
      <c r="BS204" s="539" t="s">
        <v>8049</v>
      </c>
      <c r="BT204" s="539">
        <f t="shared" si="122"/>
        <v>565</v>
      </c>
      <c r="BU204" s="539" cm="1">
        <f t="array" aca="1" ref="BU204" ca="1">INDIRECT($BM$2&amp;BU$7&amp;$BT204,1)</f>
        <v>0</v>
      </c>
      <c r="BV204" s="539" cm="1">
        <f t="array" aca="1" ref="BV204" ca="1">INDIRECT($BM$2&amp;BV$7&amp;$BT204,1)</f>
        <v>0</v>
      </c>
      <c r="BW204" s="539" cm="1">
        <f t="array" aca="1" ref="BW204" ca="1">INDIRECT($BM$2&amp;BW$7&amp;$BT204,1)</f>
        <v>0</v>
      </c>
      <c r="BX204" s="539" cm="1">
        <f t="array" aca="1" ref="BX204" ca="1">INDIRECT($BM$2&amp;BX$7&amp;$BT204,1)</f>
        <v>0</v>
      </c>
      <c r="BY204" s="539" cm="1">
        <f t="array" aca="1" ref="BY204" ca="1">INDIRECT($BM$2&amp;BY$7&amp;$BT204,1)</f>
        <v>0</v>
      </c>
      <c r="BZ204" s="539" t="str">
        <f t="shared" ca="1" si="123"/>
        <v>-</v>
      </c>
      <c r="CC204" s="469">
        <v>3</v>
      </c>
      <c r="CD204" s="539" t="s">
        <v>8049</v>
      </c>
      <c r="CE204" s="539">
        <f t="shared" si="124"/>
        <v>911</v>
      </c>
      <c r="CF204" s="539" cm="1">
        <f t="array" aca="1" ref="CF204" ca="1">INDIRECT($BM$2&amp;CF$7&amp;$CE204,1)</f>
        <v>0</v>
      </c>
      <c r="CG204" s="539" cm="1">
        <f t="array" aca="1" ref="CG204" ca="1">INDIRECT($BM$2&amp;CG$7&amp;$CE204,1)</f>
        <v>0</v>
      </c>
      <c r="CH204" s="539" cm="1">
        <f t="array" aca="1" ref="CH204" ca="1">INDIRECT($BM$2&amp;CH$7&amp;$CE204,1)</f>
        <v>0</v>
      </c>
      <c r="CI204" s="539" cm="1">
        <f t="array" aca="1" ref="CI204" ca="1">INDIRECT($BM$2&amp;CI$7&amp;$CE204,1)</f>
        <v>0</v>
      </c>
      <c r="CJ204" s="539" cm="1">
        <f t="array" aca="1" ref="CJ204" ca="1">INDIRECT($BM$2&amp;CJ$7&amp;$CE204,1)</f>
        <v>0</v>
      </c>
      <c r="CK204" s="539" t="str">
        <f t="shared" ca="1" si="125"/>
        <v>-</v>
      </c>
      <c r="CU204" s="469" t="s">
        <v>5510</v>
      </c>
      <c r="GC204" s="472" t="s">
        <v>5510</v>
      </c>
      <c r="HN204" s="20"/>
      <c r="HP204" s="472"/>
    </row>
    <row r="205" spans="2:224" x14ac:dyDescent="0.25">
      <c r="N205" s="20"/>
      <c r="BF205" s="469" t="s">
        <v>5510</v>
      </c>
      <c r="BH205" s="539" t="s">
        <v>8049</v>
      </c>
      <c r="BI205" s="539">
        <f t="shared" si="120"/>
        <v>220</v>
      </c>
      <c r="BJ205" s="539" cm="1">
        <f t="array" aca="1" ref="BJ205" ca="1">INDIRECT($BM$2&amp;BJ$7&amp;$BI205,1)</f>
        <v>0</v>
      </c>
      <c r="BK205" s="539" cm="1">
        <f t="array" aca="1" ref="BK205" ca="1">INDIRECT($BM$2&amp;BK$7&amp;$BI205,1)</f>
        <v>0</v>
      </c>
      <c r="BL205" s="539" cm="1">
        <f t="array" aca="1" ref="BL205" ca="1">INDIRECT($BM$2&amp;BL$7&amp;$BI205,1)</f>
        <v>0</v>
      </c>
      <c r="BM205" s="539" cm="1">
        <f t="array" aca="1" ref="BM205" ca="1">INDIRECT($BM$2&amp;BM$7&amp;$BI205,1)</f>
        <v>0</v>
      </c>
      <c r="BN205" s="539" cm="1">
        <f t="array" aca="1" ref="BN205" ca="1">INDIRECT($BM$2&amp;BN$7&amp;$BI205,1)</f>
        <v>0</v>
      </c>
      <c r="BO205" s="539" t="str">
        <f t="shared" ca="1" si="121"/>
        <v>-</v>
      </c>
      <c r="BQ205" s="20"/>
      <c r="BR205" s="469">
        <v>4</v>
      </c>
      <c r="BS205" s="539" t="s">
        <v>8049</v>
      </c>
      <c r="BT205" s="539">
        <f t="shared" si="122"/>
        <v>566</v>
      </c>
      <c r="BU205" s="539" cm="1">
        <f t="array" aca="1" ref="BU205" ca="1">INDIRECT($BM$2&amp;BU$7&amp;$BT205,1)</f>
        <v>0</v>
      </c>
      <c r="BV205" s="539" cm="1">
        <f t="array" aca="1" ref="BV205" ca="1">INDIRECT($BM$2&amp;BV$7&amp;$BT205,1)</f>
        <v>0</v>
      </c>
      <c r="BW205" s="539" cm="1">
        <f t="array" aca="1" ref="BW205" ca="1">INDIRECT($BM$2&amp;BW$7&amp;$BT205,1)</f>
        <v>0</v>
      </c>
      <c r="BX205" s="539" cm="1">
        <f t="array" aca="1" ref="BX205" ca="1">INDIRECT($BM$2&amp;BX$7&amp;$BT205,1)</f>
        <v>0</v>
      </c>
      <c r="BY205" s="539" cm="1">
        <f t="array" aca="1" ref="BY205" ca="1">INDIRECT($BM$2&amp;BY$7&amp;$BT205,1)</f>
        <v>0</v>
      </c>
      <c r="BZ205" s="539" t="str">
        <f t="shared" ca="1" si="123"/>
        <v>-</v>
      </c>
      <c r="CC205" s="469">
        <v>4</v>
      </c>
      <c r="CD205" s="539" t="s">
        <v>8049</v>
      </c>
      <c r="CE205" s="539">
        <f t="shared" si="124"/>
        <v>912</v>
      </c>
      <c r="CF205" s="539" cm="1">
        <f t="array" aca="1" ref="CF205" ca="1">INDIRECT($BM$2&amp;CF$7&amp;$CE205,1)</f>
        <v>0</v>
      </c>
      <c r="CG205" s="539" cm="1">
        <f t="array" aca="1" ref="CG205" ca="1">INDIRECT($BM$2&amp;CG$7&amp;$CE205,1)</f>
        <v>0</v>
      </c>
      <c r="CH205" s="539" cm="1">
        <f t="array" aca="1" ref="CH205" ca="1">INDIRECT($BM$2&amp;CH$7&amp;$CE205,1)</f>
        <v>0</v>
      </c>
      <c r="CI205" s="539" cm="1">
        <f t="array" aca="1" ref="CI205" ca="1">INDIRECT($BM$2&amp;CI$7&amp;$CE205,1)</f>
        <v>0</v>
      </c>
      <c r="CJ205" s="539" cm="1">
        <f t="array" aca="1" ref="CJ205" ca="1">INDIRECT($BM$2&amp;CJ$7&amp;$CE205,1)</f>
        <v>0</v>
      </c>
      <c r="CK205" s="539" t="str">
        <f t="shared" ca="1" si="125"/>
        <v>-</v>
      </c>
      <c r="CU205" s="469" t="s">
        <v>5510</v>
      </c>
      <c r="GC205" s="472" t="s">
        <v>5510</v>
      </c>
      <c r="HN205" s="20"/>
      <c r="HP205" s="472"/>
    </row>
    <row r="206" spans="2:224" x14ac:dyDescent="0.25">
      <c r="N206" s="20"/>
      <c r="BF206" s="469" t="s">
        <v>5510</v>
      </c>
      <c r="BH206" s="539" t="s">
        <v>8049</v>
      </c>
      <c r="BI206" s="539">
        <f t="shared" si="120"/>
        <v>221</v>
      </c>
      <c r="BJ206" s="539" cm="1">
        <f t="array" aca="1" ref="BJ206" ca="1">INDIRECT($BM$2&amp;BJ$7&amp;$BI206,1)</f>
        <v>0</v>
      </c>
      <c r="BK206" s="539" cm="1">
        <f t="array" aca="1" ref="BK206" ca="1">INDIRECT($BM$2&amp;BK$7&amp;$BI206,1)</f>
        <v>0</v>
      </c>
      <c r="BL206" s="539" cm="1">
        <f t="array" aca="1" ref="BL206" ca="1">INDIRECT($BM$2&amp;BL$7&amp;$BI206,1)</f>
        <v>0</v>
      </c>
      <c r="BM206" s="539" cm="1">
        <f t="array" aca="1" ref="BM206" ca="1">INDIRECT($BM$2&amp;BM$7&amp;$BI206,1)</f>
        <v>0</v>
      </c>
      <c r="BN206" s="539" cm="1">
        <f t="array" aca="1" ref="BN206" ca="1">INDIRECT($BM$2&amp;BN$7&amp;$BI206,1)</f>
        <v>0</v>
      </c>
      <c r="BO206" s="539" t="str">
        <f t="shared" ca="1" si="121"/>
        <v>-</v>
      </c>
      <c r="BQ206" s="20"/>
      <c r="BR206" s="469">
        <v>5</v>
      </c>
      <c r="BS206" s="539" t="s">
        <v>8049</v>
      </c>
      <c r="BT206" s="539">
        <f t="shared" si="122"/>
        <v>567</v>
      </c>
      <c r="BU206" s="539" cm="1">
        <f t="array" aca="1" ref="BU206" ca="1">INDIRECT($BM$2&amp;BU$7&amp;$BT206,1)</f>
        <v>0</v>
      </c>
      <c r="BV206" s="539" cm="1">
        <f t="array" aca="1" ref="BV206" ca="1">INDIRECT($BM$2&amp;BV$7&amp;$BT206,1)</f>
        <v>0</v>
      </c>
      <c r="BW206" s="539" cm="1">
        <f t="array" aca="1" ref="BW206" ca="1">INDIRECT($BM$2&amp;BW$7&amp;$BT206,1)</f>
        <v>0</v>
      </c>
      <c r="BX206" s="539" cm="1">
        <f t="array" aca="1" ref="BX206" ca="1">INDIRECT($BM$2&amp;BX$7&amp;$BT206,1)</f>
        <v>0</v>
      </c>
      <c r="BY206" s="539" cm="1">
        <f t="array" aca="1" ref="BY206" ca="1">INDIRECT($BM$2&amp;BY$7&amp;$BT206,1)</f>
        <v>0</v>
      </c>
      <c r="BZ206" s="539" t="str">
        <f t="shared" ca="1" si="123"/>
        <v>-</v>
      </c>
      <c r="CC206" s="469">
        <v>5</v>
      </c>
      <c r="CD206" s="539" t="s">
        <v>8049</v>
      </c>
      <c r="CE206" s="539">
        <f t="shared" si="124"/>
        <v>913</v>
      </c>
      <c r="CF206" s="539" cm="1">
        <f t="array" aca="1" ref="CF206" ca="1">INDIRECT($BM$2&amp;CF$7&amp;$CE206,1)</f>
        <v>0</v>
      </c>
      <c r="CG206" s="539" cm="1">
        <f t="array" aca="1" ref="CG206" ca="1">INDIRECT($BM$2&amp;CG$7&amp;$CE206,1)</f>
        <v>0</v>
      </c>
      <c r="CH206" s="539" cm="1">
        <f t="array" aca="1" ref="CH206" ca="1">INDIRECT($BM$2&amp;CH$7&amp;$CE206,1)</f>
        <v>0</v>
      </c>
      <c r="CI206" s="539" cm="1">
        <f t="array" aca="1" ref="CI206" ca="1">INDIRECT($BM$2&amp;CI$7&amp;$CE206,1)</f>
        <v>0</v>
      </c>
      <c r="CJ206" s="539" cm="1">
        <f t="array" aca="1" ref="CJ206" ca="1">INDIRECT($BM$2&amp;CJ$7&amp;$CE206,1)</f>
        <v>0</v>
      </c>
      <c r="CK206" s="539" t="str">
        <f t="shared" ca="1" si="125"/>
        <v>-</v>
      </c>
      <c r="CU206" s="469" t="s">
        <v>5510</v>
      </c>
      <c r="GC206" s="472" t="s">
        <v>5510</v>
      </c>
      <c r="HN206" s="20"/>
      <c r="HP206" s="472"/>
    </row>
    <row r="207" spans="2:224" x14ac:dyDescent="0.25">
      <c r="N207" s="20"/>
      <c r="BF207" s="469" t="s">
        <v>5510</v>
      </c>
      <c r="BH207" s="539" t="s">
        <v>8049</v>
      </c>
      <c r="BI207" s="539">
        <f t="shared" si="120"/>
        <v>222</v>
      </c>
      <c r="BJ207" s="539" cm="1">
        <f t="array" aca="1" ref="BJ207" ca="1">INDIRECT($BM$2&amp;BJ$7&amp;$BI207,1)</f>
        <v>0</v>
      </c>
      <c r="BK207" s="539" cm="1">
        <f t="array" aca="1" ref="BK207" ca="1">INDIRECT($BM$2&amp;BK$7&amp;$BI207,1)</f>
        <v>0</v>
      </c>
      <c r="BL207" s="539" cm="1">
        <f t="array" aca="1" ref="BL207" ca="1">INDIRECT($BM$2&amp;BL$7&amp;$BI207,1)</f>
        <v>0</v>
      </c>
      <c r="BM207" s="539" cm="1">
        <f t="array" aca="1" ref="BM207" ca="1">INDIRECT($BM$2&amp;BM$7&amp;$BI207,1)</f>
        <v>0</v>
      </c>
      <c r="BN207" s="539" cm="1">
        <f t="array" aca="1" ref="BN207" ca="1">INDIRECT($BM$2&amp;BN$7&amp;$BI207,1)</f>
        <v>0</v>
      </c>
      <c r="BO207" s="539" t="str">
        <f t="shared" ca="1" si="121"/>
        <v>-</v>
      </c>
      <c r="BQ207" s="20"/>
      <c r="BR207" s="469">
        <v>6</v>
      </c>
      <c r="BS207" s="539" t="s">
        <v>8049</v>
      </c>
      <c r="BT207" s="539">
        <f t="shared" si="122"/>
        <v>568</v>
      </c>
      <c r="BU207" s="539" cm="1">
        <f t="array" aca="1" ref="BU207" ca="1">INDIRECT($BM$2&amp;BU$7&amp;$BT207,1)</f>
        <v>0</v>
      </c>
      <c r="BV207" s="539" cm="1">
        <f t="array" aca="1" ref="BV207" ca="1">INDIRECT($BM$2&amp;BV$7&amp;$BT207,1)</f>
        <v>0</v>
      </c>
      <c r="BW207" s="539" cm="1">
        <f t="array" aca="1" ref="BW207" ca="1">INDIRECT($BM$2&amp;BW$7&amp;$BT207,1)</f>
        <v>0</v>
      </c>
      <c r="BX207" s="539" cm="1">
        <f t="array" aca="1" ref="BX207" ca="1">INDIRECT($BM$2&amp;BX$7&amp;$BT207,1)</f>
        <v>0</v>
      </c>
      <c r="BY207" s="539" cm="1">
        <f t="array" aca="1" ref="BY207" ca="1">INDIRECT($BM$2&amp;BY$7&amp;$BT207,1)</f>
        <v>0</v>
      </c>
      <c r="BZ207" s="539" t="str">
        <f t="shared" ca="1" si="123"/>
        <v>-</v>
      </c>
      <c r="CC207" s="469">
        <v>6</v>
      </c>
      <c r="CD207" s="539" t="s">
        <v>8049</v>
      </c>
      <c r="CE207" s="539">
        <f t="shared" si="124"/>
        <v>914</v>
      </c>
      <c r="CF207" s="539" cm="1">
        <f t="array" aca="1" ref="CF207" ca="1">INDIRECT($BM$2&amp;CF$7&amp;$CE207,1)</f>
        <v>0</v>
      </c>
      <c r="CG207" s="539" cm="1">
        <f t="array" aca="1" ref="CG207" ca="1">INDIRECT($BM$2&amp;CG$7&amp;$CE207,1)</f>
        <v>0</v>
      </c>
      <c r="CH207" s="539" cm="1">
        <f t="array" aca="1" ref="CH207" ca="1">INDIRECT($BM$2&amp;CH$7&amp;$CE207,1)</f>
        <v>0</v>
      </c>
      <c r="CI207" s="539" cm="1">
        <f t="array" aca="1" ref="CI207" ca="1">INDIRECT($BM$2&amp;CI$7&amp;$CE207,1)</f>
        <v>0</v>
      </c>
      <c r="CJ207" s="539" cm="1">
        <f t="array" aca="1" ref="CJ207" ca="1">INDIRECT($BM$2&amp;CJ$7&amp;$CE207,1)</f>
        <v>0</v>
      </c>
      <c r="CK207" s="539" t="str">
        <f t="shared" ca="1" si="125"/>
        <v>-</v>
      </c>
      <c r="CU207" s="469" t="s">
        <v>5510</v>
      </c>
      <c r="GC207" s="472" t="s">
        <v>5510</v>
      </c>
      <c r="HN207" s="20"/>
      <c r="HP207" s="472"/>
    </row>
    <row r="208" spans="2:224" x14ac:dyDescent="0.25">
      <c r="N208" s="20"/>
      <c r="BF208" s="469" t="s">
        <v>5510</v>
      </c>
      <c r="BH208" s="539" t="s">
        <v>8049</v>
      </c>
      <c r="BI208" s="539">
        <f t="shared" si="120"/>
        <v>223</v>
      </c>
      <c r="BJ208" s="539" cm="1">
        <f t="array" aca="1" ref="BJ208" ca="1">INDIRECT($BM$2&amp;BJ$7&amp;$BI208,1)</f>
        <v>0</v>
      </c>
      <c r="BK208" s="539" cm="1">
        <f t="array" aca="1" ref="BK208" ca="1">INDIRECT($BM$2&amp;BK$7&amp;$BI208,1)</f>
        <v>0</v>
      </c>
      <c r="BL208" s="539" cm="1">
        <f t="array" aca="1" ref="BL208" ca="1">INDIRECT($BM$2&amp;BL$7&amp;$BI208,1)</f>
        <v>0</v>
      </c>
      <c r="BM208" s="539" cm="1">
        <f t="array" aca="1" ref="BM208" ca="1">INDIRECT($BM$2&amp;BM$7&amp;$BI208,1)</f>
        <v>0</v>
      </c>
      <c r="BN208" s="539" cm="1">
        <f t="array" aca="1" ref="BN208" ca="1">INDIRECT($BM$2&amp;BN$7&amp;$BI208,1)</f>
        <v>0</v>
      </c>
      <c r="BO208" s="539" t="str">
        <f t="shared" ca="1" si="121"/>
        <v>-</v>
      </c>
      <c r="BQ208" s="20"/>
      <c r="BR208" s="469">
        <v>7</v>
      </c>
      <c r="BS208" s="539" t="s">
        <v>8049</v>
      </c>
      <c r="BT208" s="539">
        <f t="shared" si="122"/>
        <v>569</v>
      </c>
      <c r="BU208" s="539" cm="1">
        <f t="array" aca="1" ref="BU208" ca="1">INDIRECT($BM$2&amp;BU$7&amp;$BT208,1)</f>
        <v>0</v>
      </c>
      <c r="BV208" s="539" cm="1">
        <f t="array" aca="1" ref="BV208" ca="1">INDIRECT($BM$2&amp;BV$7&amp;$BT208,1)</f>
        <v>0</v>
      </c>
      <c r="BW208" s="539" cm="1">
        <f t="array" aca="1" ref="BW208" ca="1">INDIRECT($BM$2&amp;BW$7&amp;$BT208,1)</f>
        <v>0</v>
      </c>
      <c r="BX208" s="539" cm="1">
        <f t="array" aca="1" ref="BX208" ca="1">INDIRECT($BM$2&amp;BX$7&amp;$BT208,1)</f>
        <v>0</v>
      </c>
      <c r="BY208" s="539" cm="1">
        <f t="array" aca="1" ref="BY208" ca="1">INDIRECT($BM$2&amp;BY$7&amp;$BT208,1)</f>
        <v>0</v>
      </c>
      <c r="BZ208" s="539" t="str">
        <f t="shared" ca="1" si="123"/>
        <v>-</v>
      </c>
      <c r="CC208" s="469">
        <v>7</v>
      </c>
      <c r="CD208" s="539" t="s">
        <v>8049</v>
      </c>
      <c r="CE208" s="539">
        <f t="shared" si="124"/>
        <v>915</v>
      </c>
      <c r="CF208" s="539" cm="1">
        <f t="array" aca="1" ref="CF208" ca="1">INDIRECT($BM$2&amp;CF$7&amp;$CE208,1)</f>
        <v>0</v>
      </c>
      <c r="CG208" s="539" cm="1">
        <f t="array" aca="1" ref="CG208" ca="1">INDIRECT($BM$2&amp;CG$7&amp;$CE208,1)</f>
        <v>0</v>
      </c>
      <c r="CH208" s="539" cm="1">
        <f t="array" aca="1" ref="CH208" ca="1">INDIRECT($BM$2&amp;CH$7&amp;$CE208,1)</f>
        <v>0</v>
      </c>
      <c r="CI208" s="539" cm="1">
        <f t="array" aca="1" ref="CI208" ca="1">INDIRECT($BM$2&amp;CI$7&amp;$CE208,1)</f>
        <v>0</v>
      </c>
      <c r="CJ208" s="539" cm="1">
        <f t="array" aca="1" ref="CJ208" ca="1">INDIRECT($BM$2&amp;CJ$7&amp;$CE208,1)</f>
        <v>0</v>
      </c>
      <c r="CK208" s="539" t="str">
        <f t="shared" ca="1" si="125"/>
        <v>-</v>
      </c>
      <c r="CU208" s="469" t="s">
        <v>5510</v>
      </c>
      <c r="GC208" s="472" t="s">
        <v>5510</v>
      </c>
      <c r="HN208" s="20"/>
      <c r="HP208" s="472"/>
    </row>
    <row r="209" spans="58:224" x14ac:dyDescent="0.25">
      <c r="BF209" s="469" t="s">
        <v>5510</v>
      </c>
      <c r="BH209" s="539" t="s">
        <v>8049</v>
      </c>
      <c r="BI209" s="539">
        <f t="shared" si="120"/>
        <v>224</v>
      </c>
      <c r="BJ209" s="539" cm="1">
        <f t="array" aca="1" ref="BJ209" ca="1">INDIRECT($BM$2&amp;BJ$7&amp;$BI209,1)</f>
        <v>0</v>
      </c>
      <c r="BK209" s="539" cm="1">
        <f t="array" aca="1" ref="BK209" ca="1">INDIRECT($BM$2&amp;BK$7&amp;$BI209,1)</f>
        <v>0</v>
      </c>
      <c r="BL209" s="539" cm="1">
        <f t="array" aca="1" ref="BL209" ca="1">INDIRECT($BM$2&amp;BL$7&amp;$BI209,1)</f>
        <v>0</v>
      </c>
      <c r="BM209" s="539" cm="1">
        <f t="array" aca="1" ref="BM209" ca="1">INDIRECT($BM$2&amp;BM$7&amp;$BI209,1)</f>
        <v>0</v>
      </c>
      <c r="BN209" s="539" cm="1">
        <f t="array" aca="1" ref="BN209" ca="1">INDIRECT($BM$2&amp;BN$7&amp;$BI209,1)</f>
        <v>0</v>
      </c>
      <c r="BO209" s="539" t="str">
        <f t="shared" ca="1" si="121"/>
        <v>-</v>
      </c>
      <c r="BQ209" s="20"/>
      <c r="BR209" s="469">
        <v>8</v>
      </c>
      <c r="BS209" s="539" t="s">
        <v>8049</v>
      </c>
      <c r="BT209" s="539">
        <f t="shared" si="122"/>
        <v>570</v>
      </c>
      <c r="BU209" s="539" cm="1">
        <f t="array" aca="1" ref="BU209" ca="1">INDIRECT($BM$2&amp;BU$7&amp;$BT209,1)</f>
        <v>0</v>
      </c>
      <c r="BV209" s="539" cm="1">
        <f t="array" aca="1" ref="BV209" ca="1">INDIRECT($BM$2&amp;BV$7&amp;$BT209,1)</f>
        <v>0</v>
      </c>
      <c r="BW209" s="539" cm="1">
        <f t="array" aca="1" ref="BW209" ca="1">INDIRECT($BM$2&amp;BW$7&amp;$BT209,1)</f>
        <v>0</v>
      </c>
      <c r="BX209" s="539" cm="1">
        <f t="array" aca="1" ref="BX209" ca="1">INDIRECT($BM$2&amp;BX$7&amp;$BT209,1)</f>
        <v>0</v>
      </c>
      <c r="BY209" s="539" cm="1">
        <f t="array" aca="1" ref="BY209" ca="1">INDIRECT($BM$2&amp;BY$7&amp;$BT209,1)</f>
        <v>0</v>
      </c>
      <c r="BZ209" s="539" t="str">
        <f t="shared" ca="1" si="123"/>
        <v>-</v>
      </c>
      <c r="CC209" s="469">
        <v>8</v>
      </c>
      <c r="CD209" s="539" t="s">
        <v>8049</v>
      </c>
      <c r="CE209" s="539">
        <f t="shared" si="124"/>
        <v>916</v>
      </c>
      <c r="CF209" s="539" cm="1">
        <f t="array" aca="1" ref="CF209" ca="1">INDIRECT($BM$2&amp;CF$7&amp;$CE209,1)</f>
        <v>0</v>
      </c>
      <c r="CG209" s="539" cm="1">
        <f t="array" aca="1" ref="CG209" ca="1">INDIRECT($BM$2&amp;CG$7&amp;$CE209,1)</f>
        <v>0</v>
      </c>
      <c r="CH209" s="539" cm="1">
        <f t="array" aca="1" ref="CH209" ca="1">INDIRECT($BM$2&amp;CH$7&amp;$CE209,1)</f>
        <v>0</v>
      </c>
      <c r="CI209" s="539" cm="1">
        <f t="array" aca="1" ref="CI209" ca="1">INDIRECT($BM$2&amp;CI$7&amp;$CE209,1)</f>
        <v>0</v>
      </c>
      <c r="CJ209" s="539" cm="1">
        <f t="array" aca="1" ref="CJ209" ca="1">INDIRECT($BM$2&amp;CJ$7&amp;$CE209,1)</f>
        <v>0</v>
      </c>
      <c r="CK209" s="539" t="str">
        <f t="shared" ca="1" si="125"/>
        <v>-</v>
      </c>
      <c r="CU209" s="469" t="s">
        <v>5510</v>
      </c>
      <c r="GC209" s="472" t="s">
        <v>5510</v>
      </c>
      <c r="HN209" s="20"/>
      <c r="HP209" s="472"/>
    </row>
    <row r="210" spans="58:224" x14ac:dyDescent="0.25">
      <c r="BF210" s="469" t="s">
        <v>5510</v>
      </c>
      <c r="BH210" s="539" t="s">
        <v>8049</v>
      </c>
      <c r="BI210" s="539">
        <f t="shared" si="120"/>
        <v>225</v>
      </c>
      <c r="BJ210" s="539" cm="1">
        <f t="array" aca="1" ref="BJ210" ca="1">INDIRECT($BM$2&amp;BJ$7&amp;$BI210,1)</f>
        <v>0</v>
      </c>
      <c r="BK210" s="539" cm="1">
        <f t="array" aca="1" ref="BK210" ca="1">INDIRECT($BM$2&amp;BK$7&amp;$BI210,1)</f>
        <v>0</v>
      </c>
      <c r="BL210" s="539" cm="1">
        <f t="array" aca="1" ref="BL210" ca="1">INDIRECT($BM$2&amp;BL$7&amp;$BI210,1)</f>
        <v>0</v>
      </c>
      <c r="BM210" s="539" cm="1">
        <f t="array" aca="1" ref="BM210" ca="1">INDIRECT($BM$2&amp;BM$7&amp;$BI210,1)</f>
        <v>0</v>
      </c>
      <c r="BN210" s="539" cm="1">
        <f t="array" aca="1" ref="BN210" ca="1">INDIRECT($BM$2&amp;BN$7&amp;$BI210,1)</f>
        <v>0</v>
      </c>
      <c r="BO210" s="539" t="str">
        <f t="shared" ca="1" si="121"/>
        <v>-</v>
      </c>
      <c r="BQ210" s="20"/>
      <c r="BR210" s="469">
        <v>9</v>
      </c>
      <c r="BS210" s="539" t="s">
        <v>8049</v>
      </c>
      <c r="BT210" s="539">
        <f t="shared" si="122"/>
        <v>571</v>
      </c>
      <c r="BU210" s="539" cm="1">
        <f t="array" aca="1" ref="BU210" ca="1">INDIRECT($BM$2&amp;BU$7&amp;$BT210,1)</f>
        <v>0</v>
      </c>
      <c r="BV210" s="539" cm="1">
        <f t="array" aca="1" ref="BV210" ca="1">INDIRECT($BM$2&amp;BV$7&amp;$BT210,1)</f>
        <v>0</v>
      </c>
      <c r="BW210" s="539" cm="1">
        <f t="array" aca="1" ref="BW210" ca="1">INDIRECT($BM$2&amp;BW$7&amp;$BT210,1)</f>
        <v>0</v>
      </c>
      <c r="BX210" s="539" cm="1">
        <f t="array" aca="1" ref="BX210" ca="1">INDIRECT($BM$2&amp;BX$7&amp;$BT210,1)</f>
        <v>0</v>
      </c>
      <c r="BY210" s="539" cm="1">
        <f t="array" aca="1" ref="BY210" ca="1">INDIRECT($BM$2&amp;BY$7&amp;$BT210,1)</f>
        <v>0</v>
      </c>
      <c r="BZ210" s="539" t="str">
        <f t="shared" ca="1" si="123"/>
        <v>-</v>
      </c>
      <c r="CC210" s="469">
        <v>9</v>
      </c>
      <c r="CD210" s="539" t="s">
        <v>8049</v>
      </c>
      <c r="CE210" s="539">
        <f t="shared" si="124"/>
        <v>917</v>
      </c>
      <c r="CF210" s="539" cm="1">
        <f t="array" aca="1" ref="CF210" ca="1">INDIRECT($BM$2&amp;CF$7&amp;$CE210,1)</f>
        <v>0</v>
      </c>
      <c r="CG210" s="539" cm="1">
        <f t="array" aca="1" ref="CG210" ca="1">INDIRECT($BM$2&amp;CG$7&amp;$CE210,1)</f>
        <v>0</v>
      </c>
      <c r="CH210" s="539" cm="1">
        <f t="array" aca="1" ref="CH210" ca="1">INDIRECT($BM$2&amp;CH$7&amp;$CE210,1)</f>
        <v>0</v>
      </c>
      <c r="CI210" s="539" cm="1">
        <f t="array" aca="1" ref="CI210" ca="1">INDIRECT($BM$2&amp;CI$7&amp;$CE210,1)</f>
        <v>0</v>
      </c>
      <c r="CJ210" s="539" cm="1">
        <f t="array" aca="1" ref="CJ210" ca="1">INDIRECT($BM$2&amp;CJ$7&amp;$CE210,1)</f>
        <v>0</v>
      </c>
      <c r="CK210" s="539" t="str">
        <f t="shared" ca="1" si="125"/>
        <v>-</v>
      </c>
      <c r="CU210" s="469" t="s">
        <v>5510</v>
      </c>
      <c r="GC210" s="472" t="s">
        <v>5510</v>
      </c>
      <c r="HN210" s="20"/>
      <c r="HP210" s="472"/>
    </row>
    <row r="211" spans="58:224" x14ac:dyDescent="0.25">
      <c r="BF211" s="469" t="s">
        <v>5510</v>
      </c>
      <c r="BH211" s="539" t="s">
        <v>8049</v>
      </c>
      <c r="BI211" s="539">
        <f t="shared" si="120"/>
        <v>226</v>
      </c>
      <c r="BJ211" s="539" cm="1">
        <f t="array" aca="1" ref="BJ211" ca="1">INDIRECT($BM$2&amp;BJ$7&amp;$BI211,1)</f>
        <v>0</v>
      </c>
      <c r="BK211" s="539" cm="1">
        <f t="array" aca="1" ref="BK211" ca="1">INDIRECT($BM$2&amp;BK$7&amp;$BI211,1)</f>
        <v>0</v>
      </c>
      <c r="BL211" s="539" cm="1">
        <f t="array" aca="1" ref="BL211" ca="1">INDIRECT($BM$2&amp;BL$7&amp;$BI211,1)</f>
        <v>0</v>
      </c>
      <c r="BM211" s="539" cm="1">
        <f t="array" aca="1" ref="BM211" ca="1">INDIRECT($BM$2&amp;BM$7&amp;$BI211,1)</f>
        <v>0</v>
      </c>
      <c r="BN211" s="539" cm="1">
        <f t="array" aca="1" ref="BN211" ca="1">INDIRECT($BM$2&amp;BN$7&amp;$BI211,1)</f>
        <v>0</v>
      </c>
      <c r="BO211" s="539" t="str">
        <f t="shared" ca="1" si="121"/>
        <v>-</v>
      </c>
      <c r="BQ211" s="20"/>
      <c r="BR211" s="469">
        <v>10</v>
      </c>
      <c r="BS211" s="539" t="s">
        <v>8049</v>
      </c>
      <c r="BT211" s="539">
        <f t="shared" si="122"/>
        <v>572</v>
      </c>
      <c r="BU211" s="539" cm="1">
        <f t="array" aca="1" ref="BU211" ca="1">INDIRECT($BM$2&amp;BU$7&amp;$BT211,1)</f>
        <v>0</v>
      </c>
      <c r="BV211" s="539" cm="1">
        <f t="array" aca="1" ref="BV211" ca="1">INDIRECT($BM$2&amp;BV$7&amp;$BT211,1)</f>
        <v>0</v>
      </c>
      <c r="BW211" s="539" cm="1">
        <f t="array" aca="1" ref="BW211" ca="1">INDIRECT($BM$2&amp;BW$7&amp;$BT211,1)</f>
        <v>0</v>
      </c>
      <c r="BX211" s="539" cm="1">
        <f t="array" aca="1" ref="BX211" ca="1">INDIRECT($BM$2&amp;BX$7&amp;$BT211,1)</f>
        <v>0</v>
      </c>
      <c r="BY211" s="539" cm="1">
        <f t="array" aca="1" ref="BY211" ca="1">INDIRECT($BM$2&amp;BY$7&amp;$BT211,1)</f>
        <v>0</v>
      </c>
      <c r="BZ211" s="539" t="str">
        <f t="shared" ca="1" si="123"/>
        <v>-</v>
      </c>
      <c r="CC211" s="469">
        <v>10</v>
      </c>
      <c r="CD211" s="539" t="s">
        <v>8049</v>
      </c>
      <c r="CE211" s="539">
        <f t="shared" si="124"/>
        <v>918</v>
      </c>
      <c r="CF211" s="539" cm="1">
        <f t="array" aca="1" ref="CF211" ca="1">INDIRECT($BM$2&amp;CF$7&amp;$CE211,1)</f>
        <v>0</v>
      </c>
      <c r="CG211" s="539" cm="1">
        <f t="array" aca="1" ref="CG211" ca="1">INDIRECT($BM$2&amp;CG$7&amp;$CE211,1)</f>
        <v>0</v>
      </c>
      <c r="CH211" s="539" cm="1">
        <f t="array" aca="1" ref="CH211" ca="1">INDIRECT($BM$2&amp;CH$7&amp;$CE211,1)</f>
        <v>0</v>
      </c>
      <c r="CI211" s="539" cm="1">
        <f t="array" aca="1" ref="CI211" ca="1">INDIRECT($BM$2&amp;CI$7&amp;$CE211,1)</f>
        <v>0</v>
      </c>
      <c r="CJ211" s="539" cm="1">
        <f t="array" aca="1" ref="CJ211" ca="1">INDIRECT($BM$2&amp;CJ$7&amp;$CE211,1)</f>
        <v>0</v>
      </c>
      <c r="CK211" s="539" t="str">
        <f t="shared" ca="1" si="125"/>
        <v>-</v>
      </c>
      <c r="CU211" s="469" t="s">
        <v>5510</v>
      </c>
      <c r="GC211" s="472" t="s">
        <v>5510</v>
      </c>
      <c r="HN211" s="20"/>
      <c r="HP211" s="472"/>
    </row>
    <row r="212" spans="58:224" x14ac:dyDescent="0.25">
      <c r="BF212" s="469" t="s">
        <v>5510</v>
      </c>
      <c r="BH212" s="539" t="s">
        <v>8049</v>
      </c>
      <c r="BI212" s="539">
        <f t="shared" si="120"/>
        <v>227</v>
      </c>
      <c r="BJ212" s="539" cm="1">
        <f t="array" aca="1" ref="BJ212" ca="1">INDIRECT($BM$2&amp;BJ$7&amp;$BI212,1)</f>
        <v>0</v>
      </c>
      <c r="BK212" s="539" cm="1">
        <f t="array" aca="1" ref="BK212" ca="1">INDIRECT($BM$2&amp;BK$7&amp;$BI212,1)</f>
        <v>0</v>
      </c>
      <c r="BL212" s="539" cm="1">
        <f t="array" aca="1" ref="BL212" ca="1">INDIRECT($BM$2&amp;BL$7&amp;$BI212,1)</f>
        <v>0</v>
      </c>
      <c r="BM212" s="539" cm="1">
        <f t="array" aca="1" ref="BM212" ca="1">INDIRECT($BM$2&amp;BM$7&amp;$BI212,1)</f>
        <v>0</v>
      </c>
      <c r="BN212" s="539" cm="1">
        <f t="array" aca="1" ref="BN212" ca="1">INDIRECT($BM$2&amp;BN$7&amp;$BI212,1)</f>
        <v>0</v>
      </c>
      <c r="BO212" s="539" t="str">
        <f t="shared" ca="1" si="121"/>
        <v>-</v>
      </c>
      <c r="BQ212" s="20"/>
      <c r="BR212" s="469">
        <v>11</v>
      </c>
      <c r="BS212" s="539" t="s">
        <v>8049</v>
      </c>
      <c r="BT212" s="539">
        <f t="shared" si="122"/>
        <v>573</v>
      </c>
      <c r="BU212" s="539" cm="1">
        <f t="array" aca="1" ref="BU212" ca="1">INDIRECT($BM$2&amp;BU$7&amp;$BT212,1)</f>
        <v>0</v>
      </c>
      <c r="BV212" s="539" cm="1">
        <f t="array" aca="1" ref="BV212" ca="1">INDIRECT($BM$2&amp;BV$7&amp;$BT212,1)</f>
        <v>0</v>
      </c>
      <c r="BW212" s="539" cm="1">
        <f t="array" aca="1" ref="BW212" ca="1">INDIRECT($BM$2&amp;BW$7&amp;$BT212,1)</f>
        <v>0</v>
      </c>
      <c r="BX212" s="539" cm="1">
        <f t="array" aca="1" ref="BX212" ca="1">INDIRECT($BM$2&amp;BX$7&amp;$BT212,1)</f>
        <v>0</v>
      </c>
      <c r="BY212" s="539" cm="1">
        <f t="array" aca="1" ref="BY212" ca="1">INDIRECT($BM$2&amp;BY$7&amp;$BT212,1)</f>
        <v>0</v>
      </c>
      <c r="BZ212" s="539" t="str">
        <f t="shared" ca="1" si="123"/>
        <v>-</v>
      </c>
      <c r="CC212" s="469">
        <v>11</v>
      </c>
      <c r="CD212" s="539" t="s">
        <v>8049</v>
      </c>
      <c r="CE212" s="539">
        <f t="shared" si="124"/>
        <v>919</v>
      </c>
      <c r="CF212" s="539" cm="1">
        <f t="array" aca="1" ref="CF212" ca="1">INDIRECT($BM$2&amp;CF$7&amp;$CE212,1)</f>
        <v>0</v>
      </c>
      <c r="CG212" s="539" cm="1">
        <f t="array" aca="1" ref="CG212" ca="1">INDIRECT($BM$2&amp;CG$7&amp;$CE212,1)</f>
        <v>0</v>
      </c>
      <c r="CH212" s="539" cm="1">
        <f t="array" aca="1" ref="CH212" ca="1">INDIRECT($BM$2&amp;CH$7&amp;$CE212,1)</f>
        <v>0</v>
      </c>
      <c r="CI212" s="539" cm="1">
        <f t="array" aca="1" ref="CI212" ca="1">INDIRECT($BM$2&amp;CI$7&amp;$CE212,1)</f>
        <v>0</v>
      </c>
      <c r="CJ212" s="539" cm="1">
        <f t="array" aca="1" ref="CJ212" ca="1">INDIRECT($BM$2&amp;CJ$7&amp;$CE212,1)</f>
        <v>0</v>
      </c>
      <c r="CK212" s="539" t="str">
        <f t="shared" ca="1" si="125"/>
        <v>-</v>
      </c>
      <c r="CU212" s="469" t="s">
        <v>5510</v>
      </c>
      <c r="GC212" s="472" t="s">
        <v>5510</v>
      </c>
      <c r="HN212" s="20"/>
      <c r="HP212" s="472"/>
    </row>
    <row r="213" spans="58:224" x14ac:dyDescent="0.25">
      <c r="BF213" s="469" t="s">
        <v>5510</v>
      </c>
      <c r="BH213" s="539" t="s">
        <v>8049</v>
      </c>
      <c r="BI213" s="539">
        <f t="shared" si="120"/>
        <v>228</v>
      </c>
      <c r="BJ213" s="539" cm="1">
        <f t="array" aca="1" ref="BJ213" ca="1">INDIRECT($BM$2&amp;BJ$7&amp;$BI213,1)</f>
        <v>0</v>
      </c>
      <c r="BK213" s="539" cm="1">
        <f t="array" aca="1" ref="BK213" ca="1">INDIRECT($BM$2&amp;BK$7&amp;$BI213,1)</f>
        <v>0</v>
      </c>
      <c r="BL213" s="539" cm="1">
        <f t="array" aca="1" ref="BL213" ca="1">INDIRECT($BM$2&amp;BL$7&amp;$BI213,1)</f>
        <v>0</v>
      </c>
      <c r="BM213" s="539" cm="1">
        <f t="array" aca="1" ref="BM213" ca="1">INDIRECT($BM$2&amp;BM$7&amp;$BI213,1)</f>
        <v>0</v>
      </c>
      <c r="BN213" s="539" t="str" cm="1">
        <f t="array" aca="1" ref="BN213" ca="1">INDIRECT($BM$2&amp;BN$7&amp;$BI213,1)</f>
        <v>-</v>
      </c>
      <c r="BO213" s="539" t="str">
        <f t="shared" ca="1" si="121"/>
        <v>-</v>
      </c>
      <c r="BQ213" s="20"/>
      <c r="BR213" s="469">
        <v>12</v>
      </c>
      <c r="BS213" s="539" t="s">
        <v>8049</v>
      </c>
      <c r="BT213" s="539">
        <f t="shared" si="122"/>
        <v>574</v>
      </c>
      <c r="BU213" s="539" cm="1">
        <f t="array" aca="1" ref="BU213" ca="1">INDIRECT($BM$2&amp;BU$7&amp;$BT213,1)</f>
        <v>0</v>
      </c>
      <c r="BV213" s="539" cm="1">
        <f t="array" aca="1" ref="BV213" ca="1">INDIRECT($BM$2&amp;BV$7&amp;$BT213,1)</f>
        <v>0</v>
      </c>
      <c r="BW213" s="539" cm="1">
        <f t="array" aca="1" ref="BW213" ca="1">INDIRECT($BM$2&amp;BW$7&amp;$BT213,1)</f>
        <v>0</v>
      </c>
      <c r="BX213" s="539" cm="1">
        <f t="array" aca="1" ref="BX213" ca="1">INDIRECT($BM$2&amp;BX$7&amp;$BT213,1)</f>
        <v>0</v>
      </c>
      <c r="BY213" s="539" t="str" cm="1">
        <f t="array" aca="1" ref="BY213" ca="1">INDIRECT($BM$2&amp;BY$7&amp;$BT213,1)</f>
        <v>-</v>
      </c>
      <c r="BZ213" s="539" t="str">
        <f t="shared" ca="1" si="123"/>
        <v>-</v>
      </c>
      <c r="CC213" s="469">
        <v>12</v>
      </c>
      <c r="CD213" s="539" t="s">
        <v>8049</v>
      </c>
      <c r="CE213" s="539">
        <f t="shared" si="124"/>
        <v>920</v>
      </c>
      <c r="CF213" s="539" cm="1">
        <f t="array" aca="1" ref="CF213" ca="1">INDIRECT($BM$2&amp;CF$7&amp;$CE213,1)</f>
        <v>0</v>
      </c>
      <c r="CG213" s="539" cm="1">
        <f t="array" aca="1" ref="CG213" ca="1">INDIRECT($BM$2&amp;CG$7&amp;$CE213,1)</f>
        <v>0</v>
      </c>
      <c r="CH213" s="539" cm="1">
        <f t="array" aca="1" ref="CH213" ca="1">INDIRECT($BM$2&amp;CH$7&amp;$CE213,1)</f>
        <v>0</v>
      </c>
      <c r="CI213" s="539" cm="1">
        <f t="array" aca="1" ref="CI213" ca="1">INDIRECT($BM$2&amp;CI$7&amp;$CE213,1)</f>
        <v>0</v>
      </c>
      <c r="CJ213" s="539" t="str" cm="1">
        <f t="array" aca="1" ref="CJ213" ca="1">INDIRECT($BM$2&amp;CJ$7&amp;$CE213,1)</f>
        <v>-</v>
      </c>
      <c r="CK213" s="539" t="str">
        <f t="shared" ca="1" si="125"/>
        <v>-</v>
      </c>
      <c r="CU213" s="469" t="s">
        <v>5510</v>
      </c>
      <c r="HN213" s="20"/>
      <c r="HP213" s="472"/>
    </row>
    <row r="214" spans="58:224" x14ac:dyDescent="0.25">
      <c r="BF214" s="469" t="s">
        <v>5510</v>
      </c>
      <c r="BL214" s="372"/>
      <c r="BO214" s="472"/>
      <c r="BQ214" s="20"/>
      <c r="BT214" s="372"/>
      <c r="BU214" s="472"/>
      <c r="BV214" s="472"/>
      <c r="BW214" s="372"/>
      <c r="BX214" s="472"/>
      <c r="BY214" s="372"/>
      <c r="BZ214" s="472"/>
      <c r="CE214" s="372"/>
      <c r="CF214" s="472"/>
      <c r="CG214" s="472"/>
      <c r="CH214" s="372"/>
      <c r="CI214" s="472"/>
      <c r="CJ214" s="372"/>
      <c r="CK214" s="472"/>
      <c r="CU214" s="469" t="s">
        <v>5510</v>
      </c>
      <c r="HN214" s="20"/>
      <c r="HP214" s="472"/>
    </row>
    <row r="215" spans="58:224" x14ac:dyDescent="0.25">
      <c r="BF215" s="469" t="s">
        <v>5510</v>
      </c>
      <c r="BL215" s="372"/>
      <c r="BO215" s="472"/>
      <c r="BQ215" s="20"/>
      <c r="BT215" s="372"/>
      <c r="BU215" s="472"/>
      <c r="BV215" s="472"/>
      <c r="BW215" s="372"/>
      <c r="BX215" s="472"/>
      <c r="BY215" s="372"/>
      <c r="BZ215" s="472"/>
      <c r="CE215" s="372"/>
      <c r="CF215" s="472"/>
      <c r="CG215" s="472"/>
      <c r="CH215" s="372"/>
      <c r="CI215" s="472"/>
      <c r="CJ215" s="372"/>
      <c r="CK215" s="472"/>
      <c r="CU215" s="469" t="s">
        <v>5510</v>
      </c>
      <c r="HN215" s="20"/>
      <c r="HP215" s="472"/>
    </row>
    <row r="216" spans="58:224" x14ac:dyDescent="0.25">
      <c r="BF216" s="469" t="s">
        <v>5510</v>
      </c>
      <c r="BQ216" s="20"/>
      <c r="BT216" s="372"/>
      <c r="BU216" s="472"/>
      <c r="BV216" s="472"/>
      <c r="BW216" s="472"/>
      <c r="BX216" s="472"/>
      <c r="BY216" s="372"/>
      <c r="BZ216" s="372"/>
      <c r="CE216" s="372"/>
      <c r="CF216" s="472"/>
      <c r="CG216" s="472"/>
      <c r="CH216" s="472"/>
      <c r="CI216" s="472"/>
      <c r="CJ216" s="372"/>
      <c r="CK216" s="372"/>
      <c r="CU216" s="469" t="s">
        <v>5510</v>
      </c>
      <c r="HN216" s="20"/>
      <c r="HP216" s="472"/>
    </row>
    <row r="217" spans="58:224" x14ac:dyDescent="0.25">
      <c r="BF217" s="469" t="s">
        <v>5510</v>
      </c>
      <c r="BQ217" s="20"/>
      <c r="BT217" s="372"/>
      <c r="BU217" s="472"/>
      <c r="BV217" s="472"/>
      <c r="BW217" s="472"/>
      <c r="BX217" s="472"/>
      <c r="BY217" s="372"/>
      <c r="BZ217" s="372"/>
      <c r="CE217" s="372"/>
      <c r="CF217" s="472"/>
      <c r="CG217" s="472"/>
      <c r="CH217" s="472"/>
      <c r="CI217" s="472"/>
      <c r="CJ217" s="372"/>
      <c r="CK217" s="372"/>
      <c r="CU217" s="469" t="s">
        <v>5510</v>
      </c>
      <c r="HN217" s="20"/>
      <c r="HP217" s="472"/>
    </row>
    <row r="218" spans="58:224" x14ac:dyDescent="0.25">
      <c r="BF218" s="469" t="s">
        <v>5510</v>
      </c>
      <c r="BH218" s="539" t="s">
        <v>8050</v>
      </c>
      <c r="BI218" s="539">
        <f>BI213+$BO$5</f>
        <v>234</v>
      </c>
      <c r="BJ218" s="539" cm="1">
        <f t="array" aca="1" ref="BJ218" ca="1">INDIRECT($BM$2&amp;BJ$7&amp;$BI218,1)</f>
        <v>0</v>
      </c>
      <c r="BK218" s="539" cm="1">
        <f t="array" aca="1" ref="BK218" ca="1">INDIRECT($BM$2&amp;BK$7&amp;$BI218,1)</f>
        <v>0</v>
      </c>
      <c r="BL218" s="539" cm="1">
        <f t="array" aca="1" ref="BL218" ca="1">INDIRECT($BM$2&amp;BL$7&amp;$BI218,1)</f>
        <v>0</v>
      </c>
      <c r="BM218" s="539" cm="1">
        <f t="array" aca="1" ref="BM218" ca="1">INDIRECT($BM$2&amp;BM$7&amp;$BI218,1)</f>
        <v>0</v>
      </c>
      <c r="BN218" s="539" cm="1">
        <f t="array" aca="1" ref="BN218" ca="1">INDIRECT($BM$2&amp;BN$7&amp;$BI218,1)</f>
        <v>0</v>
      </c>
      <c r="BO218" s="539" t="str">
        <f ca="1">IFERROR(BK218/BK$218,"-")</f>
        <v>-</v>
      </c>
      <c r="BQ218" s="20"/>
      <c r="BR218" s="469">
        <v>1</v>
      </c>
      <c r="BS218" s="539" t="s">
        <v>8050</v>
      </c>
      <c r="BT218" s="539">
        <f>BT213+$BO$5</f>
        <v>580</v>
      </c>
      <c r="BU218" s="539" cm="1">
        <f t="array" aca="1" ref="BU218" ca="1">INDIRECT($BM$2&amp;BU$7&amp;$BT218,1)</f>
        <v>0</v>
      </c>
      <c r="BV218" s="539" cm="1">
        <f t="array" aca="1" ref="BV218" ca="1">INDIRECT($BM$2&amp;BV$7&amp;$BT218,1)</f>
        <v>0</v>
      </c>
      <c r="BW218" s="539" cm="1">
        <f t="array" aca="1" ref="BW218" ca="1">INDIRECT($BM$2&amp;BW$7&amp;$BT218,1)</f>
        <v>0</v>
      </c>
      <c r="BX218" s="539" cm="1">
        <f t="array" aca="1" ref="BX218" ca="1">INDIRECT($BM$2&amp;BX$7&amp;$BT218,1)</f>
        <v>0</v>
      </c>
      <c r="BY218" s="539" cm="1">
        <f t="array" aca="1" ref="BY218" ca="1">INDIRECT($BM$2&amp;BY$7&amp;$BT218,1)</f>
        <v>0</v>
      </c>
      <c r="BZ218" s="539" t="str">
        <f ca="1">IFERROR(BV218/BV$218,"-")</f>
        <v>-</v>
      </c>
      <c r="CC218" s="469">
        <v>1</v>
      </c>
      <c r="CD218" s="539" t="s">
        <v>8050</v>
      </c>
      <c r="CE218" s="539">
        <f>CE213+$BO$5</f>
        <v>926</v>
      </c>
      <c r="CF218" s="539" cm="1">
        <f t="array" aca="1" ref="CF218" ca="1">INDIRECT($BM$2&amp;CF$7&amp;$CE218,1)</f>
        <v>0</v>
      </c>
      <c r="CG218" s="539" cm="1">
        <f t="array" aca="1" ref="CG218" ca="1">INDIRECT($BM$2&amp;CG$7&amp;$CE218,1)</f>
        <v>0</v>
      </c>
      <c r="CH218" s="539" cm="1">
        <f t="array" aca="1" ref="CH218" ca="1">INDIRECT($BM$2&amp;CH$7&amp;$CE218,1)</f>
        <v>0</v>
      </c>
      <c r="CI218" s="539" cm="1">
        <f t="array" aca="1" ref="CI218" ca="1">INDIRECT($BM$2&amp;CI$7&amp;$CE218,1)</f>
        <v>0</v>
      </c>
      <c r="CJ218" s="539" cm="1">
        <f t="array" aca="1" ref="CJ218" ca="1">INDIRECT($BM$2&amp;CJ$7&amp;$CE218,1)</f>
        <v>0</v>
      </c>
      <c r="CK218" s="539" t="str">
        <f ca="1">IFERROR(CG218/CG$218,"-")</f>
        <v>-</v>
      </c>
      <c r="CU218" s="469" t="s">
        <v>5510</v>
      </c>
      <c r="HN218" s="20"/>
      <c r="HP218" s="472"/>
    </row>
    <row r="219" spans="58:224" x14ac:dyDescent="0.25">
      <c r="BF219" s="469" t="s">
        <v>5510</v>
      </c>
      <c r="BH219" s="539" t="s">
        <v>8050</v>
      </c>
      <c r="BI219" s="539">
        <f t="shared" ref="BI219:BI229" si="126">BI218+1</f>
        <v>235</v>
      </c>
      <c r="BJ219" s="539" cm="1">
        <f t="array" aca="1" ref="BJ219" ca="1">INDIRECT($BM$2&amp;BJ$7&amp;$BI219,1)</f>
        <v>0</v>
      </c>
      <c r="BK219" s="539" cm="1">
        <f t="array" aca="1" ref="BK219" ca="1">INDIRECT($BM$2&amp;BK$7&amp;$BI219,1)</f>
        <v>0</v>
      </c>
      <c r="BL219" s="539" cm="1">
        <f t="array" aca="1" ref="BL219" ca="1">INDIRECT($BM$2&amp;BL$7&amp;$BI219,1)</f>
        <v>0</v>
      </c>
      <c r="BM219" s="539" cm="1">
        <f t="array" aca="1" ref="BM219" ca="1">INDIRECT($BM$2&amp;BM$7&amp;$BI219,1)</f>
        <v>0</v>
      </c>
      <c r="BN219" s="539" cm="1">
        <f t="array" aca="1" ref="BN219" ca="1">INDIRECT($BM$2&amp;BN$7&amp;$BI219,1)</f>
        <v>0</v>
      </c>
      <c r="BO219" s="539" t="str">
        <f t="shared" ref="BO219:BO229" ca="1" si="127">IF(BK219=0,"-",IFERROR(BK219/BK$218,"-"))</f>
        <v>-</v>
      </c>
      <c r="BQ219" s="20"/>
      <c r="BR219" s="469">
        <v>2</v>
      </c>
      <c r="BS219" s="539" t="s">
        <v>8050</v>
      </c>
      <c r="BT219" s="539">
        <f t="shared" ref="BT219:BT229" si="128">BT218+1</f>
        <v>581</v>
      </c>
      <c r="BU219" s="539" cm="1">
        <f t="array" aca="1" ref="BU219" ca="1">INDIRECT($BM$2&amp;BU$7&amp;$BT219,1)</f>
        <v>0</v>
      </c>
      <c r="BV219" s="539" cm="1">
        <f t="array" aca="1" ref="BV219" ca="1">INDIRECT($BM$2&amp;BV$7&amp;$BT219,1)</f>
        <v>0</v>
      </c>
      <c r="BW219" s="539" cm="1">
        <f t="array" aca="1" ref="BW219" ca="1">INDIRECT($BM$2&amp;BW$7&amp;$BT219,1)</f>
        <v>0</v>
      </c>
      <c r="BX219" s="539" cm="1">
        <f t="array" aca="1" ref="BX219" ca="1">INDIRECT($BM$2&amp;BX$7&amp;$BT219,1)</f>
        <v>0</v>
      </c>
      <c r="BY219" s="539" cm="1">
        <f t="array" aca="1" ref="BY219" ca="1">INDIRECT($BM$2&amp;BY$7&amp;$BT219,1)</f>
        <v>0</v>
      </c>
      <c r="BZ219" s="539" t="str">
        <f t="shared" ref="BZ219:BZ229" ca="1" si="129">IF(BV219=0,"-",IFERROR(BV219/BV$218,"-"))</f>
        <v>-</v>
      </c>
      <c r="CC219" s="469">
        <v>2</v>
      </c>
      <c r="CD219" s="539" t="s">
        <v>8050</v>
      </c>
      <c r="CE219" s="539">
        <f t="shared" ref="CE219:CE229" si="130">CE218+1</f>
        <v>927</v>
      </c>
      <c r="CF219" s="539" cm="1">
        <f t="array" aca="1" ref="CF219" ca="1">INDIRECT($BM$2&amp;CF$7&amp;$CE219,1)</f>
        <v>0</v>
      </c>
      <c r="CG219" s="539" cm="1">
        <f t="array" aca="1" ref="CG219" ca="1">INDIRECT($BM$2&amp;CG$7&amp;$CE219,1)</f>
        <v>0</v>
      </c>
      <c r="CH219" s="539" cm="1">
        <f t="array" aca="1" ref="CH219" ca="1">INDIRECT($BM$2&amp;CH$7&amp;$CE219,1)</f>
        <v>0</v>
      </c>
      <c r="CI219" s="539" cm="1">
        <f t="array" aca="1" ref="CI219" ca="1">INDIRECT($BM$2&amp;CI$7&amp;$CE219,1)</f>
        <v>0</v>
      </c>
      <c r="CJ219" s="539" cm="1">
        <f t="array" aca="1" ref="CJ219" ca="1">INDIRECT($BM$2&amp;CJ$7&amp;$CE219,1)</f>
        <v>0</v>
      </c>
      <c r="CK219" s="539" t="str">
        <f t="shared" ref="CK219:CK229" ca="1" si="131">IF(CG219=0,"-",IFERROR(CG219/CG$218,"-"))</f>
        <v>-</v>
      </c>
      <c r="CU219" s="469" t="s">
        <v>5510</v>
      </c>
      <c r="HN219" s="20"/>
      <c r="HP219" s="472"/>
    </row>
    <row r="220" spans="58:224" x14ac:dyDescent="0.25">
      <c r="BF220" s="469" t="s">
        <v>5510</v>
      </c>
      <c r="BH220" s="539" t="s">
        <v>8050</v>
      </c>
      <c r="BI220" s="539">
        <f t="shared" si="126"/>
        <v>236</v>
      </c>
      <c r="BJ220" s="539" cm="1">
        <f t="array" aca="1" ref="BJ220" ca="1">INDIRECT($BM$2&amp;BJ$7&amp;$BI220,1)</f>
        <v>0</v>
      </c>
      <c r="BK220" s="539" cm="1">
        <f t="array" aca="1" ref="BK220" ca="1">INDIRECT($BM$2&amp;BK$7&amp;$BI220,1)</f>
        <v>0</v>
      </c>
      <c r="BL220" s="539" cm="1">
        <f t="array" aca="1" ref="BL220" ca="1">INDIRECT($BM$2&amp;BL$7&amp;$BI220,1)</f>
        <v>0</v>
      </c>
      <c r="BM220" s="539" cm="1">
        <f t="array" aca="1" ref="BM220" ca="1">INDIRECT($BM$2&amp;BM$7&amp;$BI220,1)</f>
        <v>0</v>
      </c>
      <c r="BN220" s="539" cm="1">
        <f t="array" aca="1" ref="BN220" ca="1">INDIRECT($BM$2&amp;BN$7&amp;$BI220,1)</f>
        <v>0</v>
      </c>
      <c r="BO220" s="539" t="str">
        <f t="shared" ca="1" si="127"/>
        <v>-</v>
      </c>
      <c r="BQ220" s="20"/>
      <c r="BR220" s="469">
        <v>3</v>
      </c>
      <c r="BS220" s="539" t="s">
        <v>8050</v>
      </c>
      <c r="BT220" s="539">
        <f t="shared" si="128"/>
        <v>582</v>
      </c>
      <c r="BU220" s="539" cm="1">
        <f t="array" aca="1" ref="BU220" ca="1">INDIRECT($BM$2&amp;BU$7&amp;$BT220,1)</f>
        <v>0</v>
      </c>
      <c r="BV220" s="539" cm="1">
        <f t="array" aca="1" ref="BV220" ca="1">INDIRECT($BM$2&amp;BV$7&amp;$BT220,1)</f>
        <v>0</v>
      </c>
      <c r="BW220" s="539" cm="1">
        <f t="array" aca="1" ref="BW220" ca="1">INDIRECT($BM$2&amp;BW$7&amp;$BT220,1)</f>
        <v>0</v>
      </c>
      <c r="BX220" s="539" cm="1">
        <f t="array" aca="1" ref="BX220" ca="1">INDIRECT($BM$2&amp;BX$7&amp;$BT220,1)</f>
        <v>0</v>
      </c>
      <c r="BY220" s="539" cm="1">
        <f t="array" aca="1" ref="BY220" ca="1">INDIRECT($BM$2&amp;BY$7&amp;$BT220,1)</f>
        <v>0</v>
      </c>
      <c r="BZ220" s="539" t="str">
        <f t="shared" ca="1" si="129"/>
        <v>-</v>
      </c>
      <c r="CC220" s="469">
        <v>3</v>
      </c>
      <c r="CD220" s="539" t="s">
        <v>8050</v>
      </c>
      <c r="CE220" s="539">
        <f t="shared" si="130"/>
        <v>928</v>
      </c>
      <c r="CF220" s="539" cm="1">
        <f t="array" aca="1" ref="CF220" ca="1">INDIRECT($BM$2&amp;CF$7&amp;$CE220,1)</f>
        <v>0</v>
      </c>
      <c r="CG220" s="539" cm="1">
        <f t="array" aca="1" ref="CG220" ca="1">INDIRECT($BM$2&amp;CG$7&amp;$CE220,1)</f>
        <v>0</v>
      </c>
      <c r="CH220" s="539" cm="1">
        <f t="array" aca="1" ref="CH220" ca="1">INDIRECT($BM$2&amp;CH$7&amp;$CE220,1)</f>
        <v>0</v>
      </c>
      <c r="CI220" s="539" cm="1">
        <f t="array" aca="1" ref="CI220" ca="1">INDIRECT($BM$2&amp;CI$7&amp;$CE220,1)</f>
        <v>0</v>
      </c>
      <c r="CJ220" s="539" cm="1">
        <f t="array" aca="1" ref="CJ220" ca="1">INDIRECT($BM$2&amp;CJ$7&amp;$CE220,1)</f>
        <v>0</v>
      </c>
      <c r="CK220" s="539" t="str">
        <f t="shared" ca="1" si="131"/>
        <v>-</v>
      </c>
      <c r="CU220" s="469" t="s">
        <v>5510</v>
      </c>
      <c r="HN220" s="20"/>
      <c r="HP220" s="472"/>
    </row>
    <row r="221" spans="58:224" x14ac:dyDescent="0.25">
      <c r="BF221" s="469" t="s">
        <v>5510</v>
      </c>
      <c r="BH221" s="539" t="s">
        <v>8050</v>
      </c>
      <c r="BI221" s="539">
        <f t="shared" si="126"/>
        <v>237</v>
      </c>
      <c r="BJ221" s="539" cm="1">
        <f t="array" aca="1" ref="BJ221" ca="1">INDIRECT($BM$2&amp;BJ$7&amp;$BI221,1)</f>
        <v>0</v>
      </c>
      <c r="BK221" s="539" cm="1">
        <f t="array" aca="1" ref="BK221" ca="1">INDIRECT($BM$2&amp;BK$7&amp;$BI221,1)</f>
        <v>0</v>
      </c>
      <c r="BL221" s="539" cm="1">
        <f t="array" aca="1" ref="BL221" ca="1">INDIRECT($BM$2&amp;BL$7&amp;$BI221,1)</f>
        <v>0</v>
      </c>
      <c r="BM221" s="539" cm="1">
        <f t="array" aca="1" ref="BM221" ca="1">INDIRECT($BM$2&amp;BM$7&amp;$BI221,1)</f>
        <v>0</v>
      </c>
      <c r="BN221" s="539" cm="1">
        <f t="array" aca="1" ref="BN221" ca="1">INDIRECT($BM$2&amp;BN$7&amp;$BI221,1)</f>
        <v>0</v>
      </c>
      <c r="BO221" s="539" t="str">
        <f t="shared" ca="1" si="127"/>
        <v>-</v>
      </c>
      <c r="BQ221" s="20"/>
      <c r="BR221" s="469">
        <v>4</v>
      </c>
      <c r="BS221" s="539" t="s">
        <v>8050</v>
      </c>
      <c r="BT221" s="539">
        <f t="shared" si="128"/>
        <v>583</v>
      </c>
      <c r="BU221" s="539" cm="1">
        <f t="array" aca="1" ref="BU221" ca="1">INDIRECT($BM$2&amp;BU$7&amp;$BT221,1)</f>
        <v>0</v>
      </c>
      <c r="BV221" s="539" cm="1">
        <f t="array" aca="1" ref="BV221" ca="1">INDIRECT($BM$2&amp;BV$7&amp;$BT221,1)</f>
        <v>0</v>
      </c>
      <c r="BW221" s="539" cm="1">
        <f t="array" aca="1" ref="BW221" ca="1">INDIRECT($BM$2&amp;BW$7&amp;$BT221,1)</f>
        <v>0</v>
      </c>
      <c r="BX221" s="539" cm="1">
        <f t="array" aca="1" ref="BX221" ca="1">INDIRECT($BM$2&amp;BX$7&amp;$BT221,1)</f>
        <v>0</v>
      </c>
      <c r="BY221" s="539" cm="1">
        <f t="array" aca="1" ref="BY221" ca="1">INDIRECT($BM$2&amp;BY$7&amp;$BT221,1)</f>
        <v>0</v>
      </c>
      <c r="BZ221" s="539" t="str">
        <f t="shared" ca="1" si="129"/>
        <v>-</v>
      </c>
      <c r="CC221" s="469">
        <v>4</v>
      </c>
      <c r="CD221" s="539" t="s">
        <v>8050</v>
      </c>
      <c r="CE221" s="539">
        <f t="shared" si="130"/>
        <v>929</v>
      </c>
      <c r="CF221" s="539" cm="1">
        <f t="array" aca="1" ref="CF221" ca="1">INDIRECT($BM$2&amp;CF$7&amp;$CE221,1)</f>
        <v>0</v>
      </c>
      <c r="CG221" s="539" cm="1">
        <f t="array" aca="1" ref="CG221" ca="1">INDIRECT($BM$2&amp;CG$7&amp;$CE221,1)</f>
        <v>0</v>
      </c>
      <c r="CH221" s="539" cm="1">
        <f t="array" aca="1" ref="CH221" ca="1">INDIRECT($BM$2&amp;CH$7&amp;$CE221,1)</f>
        <v>0</v>
      </c>
      <c r="CI221" s="539" cm="1">
        <f t="array" aca="1" ref="CI221" ca="1">INDIRECT($BM$2&amp;CI$7&amp;$CE221,1)</f>
        <v>0</v>
      </c>
      <c r="CJ221" s="539" cm="1">
        <f t="array" aca="1" ref="CJ221" ca="1">INDIRECT($BM$2&amp;CJ$7&amp;$CE221,1)</f>
        <v>0</v>
      </c>
      <c r="CK221" s="539" t="str">
        <f t="shared" ca="1" si="131"/>
        <v>-</v>
      </c>
      <c r="CU221" s="469" t="s">
        <v>5510</v>
      </c>
      <c r="HN221" s="20"/>
      <c r="HP221" s="472"/>
    </row>
    <row r="222" spans="58:224" x14ac:dyDescent="0.25">
      <c r="BF222" s="469" t="s">
        <v>5510</v>
      </c>
      <c r="BH222" s="539" t="s">
        <v>8050</v>
      </c>
      <c r="BI222" s="539">
        <f t="shared" si="126"/>
        <v>238</v>
      </c>
      <c r="BJ222" s="539" cm="1">
        <f t="array" aca="1" ref="BJ222" ca="1">INDIRECT($BM$2&amp;BJ$7&amp;$BI222,1)</f>
        <v>0</v>
      </c>
      <c r="BK222" s="539" cm="1">
        <f t="array" aca="1" ref="BK222" ca="1">INDIRECT($BM$2&amp;BK$7&amp;$BI222,1)</f>
        <v>0</v>
      </c>
      <c r="BL222" s="539" cm="1">
        <f t="array" aca="1" ref="BL222" ca="1">INDIRECT($BM$2&amp;BL$7&amp;$BI222,1)</f>
        <v>0</v>
      </c>
      <c r="BM222" s="539" cm="1">
        <f t="array" aca="1" ref="BM222" ca="1">INDIRECT($BM$2&amp;BM$7&amp;$BI222,1)</f>
        <v>0</v>
      </c>
      <c r="BN222" s="539" cm="1">
        <f t="array" aca="1" ref="BN222" ca="1">INDIRECT($BM$2&amp;BN$7&amp;$BI222,1)</f>
        <v>0</v>
      </c>
      <c r="BO222" s="539" t="str">
        <f t="shared" ca="1" si="127"/>
        <v>-</v>
      </c>
      <c r="BQ222" s="20"/>
      <c r="BR222" s="469">
        <v>5</v>
      </c>
      <c r="BS222" s="539" t="s">
        <v>8050</v>
      </c>
      <c r="BT222" s="539">
        <f t="shared" si="128"/>
        <v>584</v>
      </c>
      <c r="BU222" s="539" cm="1">
        <f t="array" aca="1" ref="BU222" ca="1">INDIRECT($BM$2&amp;BU$7&amp;$BT222,1)</f>
        <v>0</v>
      </c>
      <c r="BV222" s="539" cm="1">
        <f t="array" aca="1" ref="BV222" ca="1">INDIRECT($BM$2&amp;BV$7&amp;$BT222,1)</f>
        <v>0</v>
      </c>
      <c r="BW222" s="539" cm="1">
        <f t="array" aca="1" ref="BW222" ca="1">INDIRECT($BM$2&amp;BW$7&amp;$BT222,1)</f>
        <v>0</v>
      </c>
      <c r="BX222" s="539" cm="1">
        <f t="array" aca="1" ref="BX222" ca="1">INDIRECT($BM$2&amp;BX$7&amp;$BT222,1)</f>
        <v>0</v>
      </c>
      <c r="BY222" s="539" cm="1">
        <f t="array" aca="1" ref="BY222" ca="1">INDIRECT($BM$2&amp;BY$7&amp;$BT222,1)</f>
        <v>0</v>
      </c>
      <c r="BZ222" s="539" t="str">
        <f t="shared" ca="1" si="129"/>
        <v>-</v>
      </c>
      <c r="CC222" s="469">
        <v>5</v>
      </c>
      <c r="CD222" s="539" t="s">
        <v>8050</v>
      </c>
      <c r="CE222" s="539">
        <f t="shared" si="130"/>
        <v>930</v>
      </c>
      <c r="CF222" s="539" cm="1">
        <f t="array" aca="1" ref="CF222" ca="1">INDIRECT($BM$2&amp;CF$7&amp;$CE222,1)</f>
        <v>0</v>
      </c>
      <c r="CG222" s="539" cm="1">
        <f t="array" aca="1" ref="CG222" ca="1">INDIRECT($BM$2&amp;CG$7&amp;$CE222,1)</f>
        <v>0</v>
      </c>
      <c r="CH222" s="539" cm="1">
        <f t="array" aca="1" ref="CH222" ca="1">INDIRECT($BM$2&amp;CH$7&amp;$CE222,1)</f>
        <v>0</v>
      </c>
      <c r="CI222" s="539" cm="1">
        <f t="array" aca="1" ref="CI222" ca="1">INDIRECT($BM$2&amp;CI$7&amp;$CE222,1)</f>
        <v>0</v>
      </c>
      <c r="CJ222" s="539" cm="1">
        <f t="array" aca="1" ref="CJ222" ca="1">INDIRECT($BM$2&amp;CJ$7&amp;$CE222,1)</f>
        <v>0</v>
      </c>
      <c r="CK222" s="539" t="str">
        <f t="shared" ca="1" si="131"/>
        <v>-</v>
      </c>
      <c r="CU222" s="469" t="s">
        <v>5510</v>
      </c>
      <c r="HN222" s="20"/>
      <c r="HP222" s="472"/>
    </row>
    <row r="223" spans="58:224" x14ac:dyDescent="0.25">
      <c r="BF223" s="469" t="s">
        <v>5510</v>
      </c>
      <c r="BH223" s="539" t="s">
        <v>8050</v>
      </c>
      <c r="BI223" s="539">
        <f t="shared" si="126"/>
        <v>239</v>
      </c>
      <c r="BJ223" s="539" cm="1">
        <f t="array" aca="1" ref="BJ223" ca="1">INDIRECT($BM$2&amp;BJ$7&amp;$BI223,1)</f>
        <v>0</v>
      </c>
      <c r="BK223" s="539" cm="1">
        <f t="array" aca="1" ref="BK223" ca="1">INDIRECT($BM$2&amp;BK$7&amp;$BI223,1)</f>
        <v>0</v>
      </c>
      <c r="BL223" s="539" cm="1">
        <f t="array" aca="1" ref="BL223" ca="1">INDIRECT($BM$2&amp;BL$7&amp;$BI223,1)</f>
        <v>0</v>
      </c>
      <c r="BM223" s="539" cm="1">
        <f t="array" aca="1" ref="BM223" ca="1">INDIRECT($BM$2&amp;BM$7&amp;$BI223,1)</f>
        <v>0</v>
      </c>
      <c r="BN223" s="539" cm="1">
        <f t="array" aca="1" ref="BN223" ca="1">INDIRECT($BM$2&amp;BN$7&amp;$BI223,1)</f>
        <v>0</v>
      </c>
      <c r="BO223" s="539" t="str">
        <f t="shared" ca="1" si="127"/>
        <v>-</v>
      </c>
      <c r="BQ223" s="20"/>
      <c r="BR223" s="469">
        <v>6</v>
      </c>
      <c r="BS223" s="539" t="s">
        <v>8050</v>
      </c>
      <c r="BT223" s="539">
        <f t="shared" si="128"/>
        <v>585</v>
      </c>
      <c r="BU223" s="539" cm="1">
        <f t="array" aca="1" ref="BU223" ca="1">INDIRECT($BM$2&amp;BU$7&amp;$BT223,1)</f>
        <v>0</v>
      </c>
      <c r="BV223" s="539" cm="1">
        <f t="array" aca="1" ref="BV223" ca="1">INDIRECT($BM$2&amp;BV$7&amp;$BT223,1)</f>
        <v>0</v>
      </c>
      <c r="BW223" s="539" cm="1">
        <f t="array" aca="1" ref="BW223" ca="1">INDIRECT($BM$2&amp;BW$7&amp;$BT223,1)</f>
        <v>0</v>
      </c>
      <c r="BX223" s="539" cm="1">
        <f t="array" aca="1" ref="BX223" ca="1">INDIRECT($BM$2&amp;BX$7&amp;$BT223,1)</f>
        <v>0</v>
      </c>
      <c r="BY223" s="539" cm="1">
        <f t="array" aca="1" ref="BY223" ca="1">INDIRECT($BM$2&amp;BY$7&amp;$BT223,1)</f>
        <v>0</v>
      </c>
      <c r="BZ223" s="539" t="str">
        <f t="shared" ca="1" si="129"/>
        <v>-</v>
      </c>
      <c r="CC223" s="469">
        <v>6</v>
      </c>
      <c r="CD223" s="539" t="s">
        <v>8050</v>
      </c>
      <c r="CE223" s="539">
        <f t="shared" si="130"/>
        <v>931</v>
      </c>
      <c r="CF223" s="539" cm="1">
        <f t="array" aca="1" ref="CF223" ca="1">INDIRECT($BM$2&amp;CF$7&amp;$CE223,1)</f>
        <v>0</v>
      </c>
      <c r="CG223" s="539" cm="1">
        <f t="array" aca="1" ref="CG223" ca="1">INDIRECT($BM$2&amp;CG$7&amp;$CE223,1)</f>
        <v>0</v>
      </c>
      <c r="CH223" s="539" cm="1">
        <f t="array" aca="1" ref="CH223" ca="1">INDIRECT($BM$2&amp;CH$7&amp;$CE223,1)</f>
        <v>0</v>
      </c>
      <c r="CI223" s="539" cm="1">
        <f t="array" aca="1" ref="CI223" ca="1">INDIRECT($BM$2&amp;CI$7&amp;$CE223,1)</f>
        <v>0</v>
      </c>
      <c r="CJ223" s="539" cm="1">
        <f t="array" aca="1" ref="CJ223" ca="1">INDIRECT($BM$2&amp;CJ$7&amp;$CE223,1)</f>
        <v>0</v>
      </c>
      <c r="CK223" s="539" t="str">
        <f t="shared" ca="1" si="131"/>
        <v>-</v>
      </c>
      <c r="CU223" s="469" t="s">
        <v>5510</v>
      </c>
      <c r="HN223" s="20"/>
      <c r="HP223" s="472"/>
    </row>
    <row r="224" spans="58:224" x14ac:dyDescent="0.25">
      <c r="BF224" s="469" t="s">
        <v>5510</v>
      </c>
      <c r="BH224" s="539" t="s">
        <v>8050</v>
      </c>
      <c r="BI224" s="539">
        <f t="shared" si="126"/>
        <v>240</v>
      </c>
      <c r="BJ224" s="539" cm="1">
        <f t="array" aca="1" ref="BJ224" ca="1">INDIRECT($BM$2&amp;BJ$7&amp;$BI224,1)</f>
        <v>0</v>
      </c>
      <c r="BK224" s="539" cm="1">
        <f t="array" aca="1" ref="BK224" ca="1">INDIRECT($BM$2&amp;BK$7&amp;$BI224,1)</f>
        <v>0</v>
      </c>
      <c r="BL224" s="539" cm="1">
        <f t="array" aca="1" ref="BL224" ca="1">INDIRECT($BM$2&amp;BL$7&amp;$BI224,1)</f>
        <v>0</v>
      </c>
      <c r="BM224" s="539" cm="1">
        <f t="array" aca="1" ref="BM224" ca="1">INDIRECT($BM$2&amp;BM$7&amp;$BI224,1)</f>
        <v>0</v>
      </c>
      <c r="BN224" s="539" cm="1">
        <f t="array" aca="1" ref="BN224" ca="1">INDIRECT($BM$2&amp;BN$7&amp;$BI224,1)</f>
        <v>0</v>
      </c>
      <c r="BO224" s="539" t="str">
        <f t="shared" ca="1" si="127"/>
        <v>-</v>
      </c>
      <c r="BQ224" s="20"/>
      <c r="BR224" s="469">
        <v>7</v>
      </c>
      <c r="BS224" s="539" t="s">
        <v>8050</v>
      </c>
      <c r="BT224" s="539">
        <f t="shared" si="128"/>
        <v>586</v>
      </c>
      <c r="BU224" s="539" cm="1">
        <f t="array" aca="1" ref="BU224" ca="1">INDIRECT($BM$2&amp;BU$7&amp;$BT224,1)</f>
        <v>0</v>
      </c>
      <c r="BV224" s="539" cm="1">
        <f t="array" aca="1" ref="BV224" ca="1">INDIRECT($BM$2&amp;BV$7&amp;$BT224,1)</f>
        <v>0</v>
      </c>
      <c r="BW224" s="539" cm="1">
        <f t="array" aca="1" ref="BW224" ca="1">INDIRECT($BM$2&amp;BW$7&amp;$BT224,1)</f>
        <v>0</v>
      </c>
      <c r="BX224" s="539" cm="1">
        <f t="array" aca="1" ref="BX224" ca="1">INDIRECT($BM$2&amp;BX$7&amp;$BT224,1)</f>
        <v>0</v>
      </c>
      <c r="BY224" s="539" cm="1">
        <f t="array" aca="1" ref="BY224" ca="1">INDIRECT($BM$2&amp;BY$7&amp;$BT224,1)</f>
        <v>0</v>
      </c>
      <c r="BZ224" s="539" t="str">
        <f t="shared" ca="1" si="129"/>
        <v>-</v>
      </c>
      <c r="CC224" s="469">
        <v>7</v>
      </c>
      <c r="CD224" s="539" t="s">
        <v>8050</v>
      </c>
      <c r="CE224" s="539">
        <f t="shared" si="130"/>
        <v>932</v>
      </c>
      <c r="CF224" s="539" cm="1">
        <f t="array" aca="1" ref="CF224" ca="1">INDIRECT($BM$2&amp;CF$7&amp;$CE224,1)</f>
        <v>0</v>
      </c>
      <c r="CG224" s="539" cm="1">
        <f t="array" aca="1" ref="CG224" ca="1">INDIRECT($BM$2&amp;CG$7&amp;$CE224,1)</f>
        <v>0</v>
      </c>
      <c r="CH224" s="539" cm="1">
        <f t="array" aca="1" ref="CH224" ca="1">INDIRECT($BM$2&amp;CH$7&amp;$CE224,1)</f>
        <v>0</v>
      </c>
      <c r="CI224" s="539" cm="1">
        <f t="array" aca="1" ref="CI224" ca="1">INDIRECT($BM$2&amp;CI$7&amp;$CE224,1)</f>
        <v>0</v>
      </c>
      <c r="CJ224" s="539" cm="1">
        <f t="array" aca="1" ref="CJ224" ca="1">INDIRECT($BM$2&amp;CJ$7&amp;$CE224,1)</f>
        <v>0</v>
      </c>
      <c r="CK224" s="539" t="str">
        <f t="shared" ca="1" si="131"/>
        <v>-</v>
      </c>
      <c r="CU224" s="469" t="s">
        <v>5510</v>
      </c>
      <c r="HN224" s="20"/>
      <c r="HP224" s="472"/>
    </row>
    <row r="225" spans="58:224" x14ac:dyDescent="0.25">
      <c r="BF225" s="469" t="s">
        <v>5510</v>
      </c>
      <c r="BH225" s="539" t="s">
        <v>8050</v>
      </c>
      <c r="BI225" s="539">
        <f t="shared" si="126"/>
        <v>241</v>
      </c>
      <c r="BJ225" s="539" cm="1">
        <f t="array" aca="1" ref="BJ225" ca="1">INDIRECT($BM$2&amp;BJ$7&amp;$BI225,1)</f>
        <v>0</v>
      </c>
      <c r="BK225" s="539" cm="1">
        <f t="array" aca="1" ref="BK225" ca="1">INDIRECT($BM$2&amp;BK$7&amp;$BI225,1)</f>
        <v>0</v>
      </c>
      <c r="BL225" s="539" cm="1">
        <f t="array" aca="1" ref="BL225" ca="1">INDIRECT($BM$2&amp;BL$7&amp;$BI225,1)</f>
        <v>0</v>
      </c>
      <c r="BM225" s="539" cm="1">
        <f t="array" aca="1" ref="BM225" ca="1">INDIRECT($BM$2&amp;BM$7&amp;$BI225,1)</f>
        <v>0</v>
      </c>
      <c r="BN225" s="539" cm="1">
        <f t="array" aca="1" ref="BN225" ca="1">INDIRECT($BM$2&amp;BN$7&amp;$BI225,1)</f>
        <v>0</v>
      </c>
      <c r="BO225" s="539" t="str">
        <f t="shared" ca="1" si="127"/>
        <v>-</v>
      </c>
      <c r="BQ225" s="20"/>
      <c r="BR225" s="469">
        <v>8</v>
      </c>
      <c r="BS225" s="539" t="s">
        <v>8050</v>
      </c>
      <c r="BT225" s="539">
        <f t="shared" si="128"/>
        <v>587</v>
      </c>
      <c r="BU225" s="539" cm="1">
        <f t="array" aca="1" ref="BU225" ca="1">INDIRECT($BM$2&amp;BU$7&amp;$BT225,1)</f>
        <v>0</v>
      </c>
      <c r="BV225" s="539" cm="1">
        <f t="array" aca="1" ref="BV225" ca="1">INDIRECT($BM$2&amp;BV$7&amp;$BT225,1)</f>
        <v>0</v>
      </c>
      <c r="BW225" s="539" cm="1">
        <f t="array" aca="1" ref="BW225" ca="1">INDIRECT($BM$2&amp;BW$7&amp;$BT225,1)</f>
        <v>0</v>
      </c>
      <c r="BX225" s="539" cm="1">
        <f t="array" aca="1" ref="BX225" ca="1">INDIRECT($BM$2&amp;BX$7&amp;$BT225,1)</f>
        <v>0</v>
      </c>
      <c r="BY225" s="539" cm="1">
        <f t="array" aca="1" ref="BY225" ca="1">INDIRECT($BM$2&amp;BY$7&amp;$BT225,1)</f>
        <v>0</v>
      </c>
      <c r="BZ225" s="539" t="str">
        <f t="shared" ca="1" si="129"/>
        <v>-</v>
      </c>
      <c r="CC225" s="469">
        <v>8</v>
      </c>
      <c r="CD225" s="539" t="s">
        <v>8050</v>
      </c>
      <c r="CE225" s="539">
        <f t="shared" si="130"/>
        <v>933</v>
      </c>
      <c r="CF225" s="539" cm="1">
        <f t="array" aca="1" ref="CF225" ca="1">INDIRECT($BM$2&amp;CF$7&amp;$CE225,1)</f>
        <v>0</v>
      </c>
      <c r="CG225" s="539" cm="1">
        <f t="array" aca="1" ref="CG225" ca="1">INDIRECT($BM$2&amp;CG$7&amp;$CE225,1)</f>
        <v>0</v>
      </c>
      <c r="CH225" s="539" cm="1">
        <f t="array" aca="1" ref="CH225" ca="1">INDIRECT($BM$2&amp;CH$7&amp;$CE225,1)</f>
        <v>0</v>
      </c>
      <c r="CI225" s="539" cm="1">
        <f t="array" aca="1" ref="CI225" ca="1">INDIRECT($BM$2&amp;CI$7&amp;$CE225,1)</f>
        <v>0</v>
      </c>
      <c r="CJ225" s="539" cm="1">
        <f t="array" aca="1" ref="CJ225" ca="1">INDIRECT($BM$2&amp;CJ$7&amp;$CE225,1)</f>
        <v>0</v>
      </c>
      <c r="CK225" s="539" t="str">
        <f t="shared" ca="1" si="131"/>
        <v>-</v>
      </c>
      <c r="CU225" s="469" t="s">
        <v>5510</v>
      </c>
      <c r="HN225" s="20"/>
      <c r="HP225" s="472"/>
    </row>
    <row r="226" spans="58:224" x14ac:dyDescent="0.25">
      <c r="BF226" s="469" t="s">
        <v>5510</v>
      </c>
      <c r="BH226" s="539" t="s">
        <v>8050</v>
      </c>
      <c r="BI226" s="539">
        <f t="shared" si="126"/>
        <v>242</v>
      </c>
      <c r="BJ226" s="539" cm="1">
        <f t="array" aca="1" ref="BJ226" ca="1">INDIRECT($BM$2&amp;BJ$7&amp;$BI226,1)</f>
        <v>0</v>
      </c>
      <c r="BK226" s="539" cm="1">
        <f t="array" aca="1" ref="BK226" ca="1">INDIRECT($BM$2&amp;BK$7&amp;$BI226,1)</f>
        <v>0</v>
      </c>
      <c r="BL226" s="539" cm="1">
        <f t="array" aca="1" ref="BL226" ca="1">INDIRECT($BM$2&amp;BL$7&amp;$BI226,1)</f>
        <v>0</v>
      </c>
      <c r="BM226" s="539" cm="1">
        <f t="array" aca="1" ref="BM226" ca="1">INDIRECT($BM$2&amp;BM$7&amp;$BI226,1)</f>
        <v>0</v>
      </c>
      <c r="BN226" s="539" cm="1">
        <f t="array" aca="1" ref="BN226" ca="1">INDIRECT($BM$2&amp;BN$7&amp;$BI226,1)</f>
        <v>0</v>
      </c>
      <c r="BO226" s="539" t="str">
        <f t="shared" ca="1" si="127"/>
        <v>-</v>
      </c>
      <c r="BQ226" s="20"/>
      <c r="BR226" s="469">
        <v>9</v>
      </c>
      <c r="BS226" s="539" t="s">
        <v>8050</v>
      </c>
      <c r="BT226" s="539">
        <f t="shared" si="128"/>
        <v>588</v>
      </c>
      <c r="BU226" s="539" cm="1">
        <f t="array" aca="1" ref="BU226" ca="1">INDIRECT($BM$2&amp;BU$7&amp;$BT226,1)</f>
        <v>0</v>
      </c>
      <c r="BV226" s="539" cm="1">
        <f t="array" aca="1" ref="BV226" ca="1">INDIRECT($BM$2&amp;BV$7&amp;$BT226,1)</f>
        <v>0</v>
      </c>
      <c r="BW226" s="539" cm="1">
        <f t="array" aca="1" ref="BW226" ca="1">INDIRECT($BM$2&amp;BW$7&amp;$BT226,1)</f>
        <v>0</v>
      </c>
      <c r="BX226" s="539" cm="1">
        <f t="array" aca="1" ref="BX226" ca="1">INDIRECT($BM$2&amp;BX$7&amp;$BT226,1)</f>
        <v>0</v>
      </c>
      <c r="BY226" s="539" cm="1">
        <f t="array" aca="1" ref="BY226" ca="1">INDIRECT($BM$2&amp;BY$7&amp;$BT226,1)</f>
        <v>0</v>
      </c>
      <c r="BZ226" s="539" t="str">
        <f t="shared" ca="1" si="129"/>
        <v>-</v>
      </c>
      <c r="CC226" s="469">
        <v>9</v>
      </c>
      <c r="CD226" s="539" t="s">
        <v>8050</v>
      </c>
      <c r="CE226" s="539">
        <f t="shared" si="130"/>
        <v>934</v>
      </c>
      <c r="CF226" s="539" cm="1">
        <f t="array" aca="1" ref="CF226" ca="1">INDIRECT($BM$2&amp;CF$7&amp;$CE226,1)</f>
        <v>0</v>
      </c>
      <c r="CG226" s="539" cm="1">
        <f t="array" aca="1" ref="CG226" ca="1">INDIRECT($BM$2&amp;CG$7&amp;$CE226,1)</f>
        <v>0</v>
      </c>
      <c r="CH226" s="539" cm="1">
        <f t="array" aca="1" ref="CH226" ca="1">INDIRECT($BM$2&amp;CH$7&amp;$CE226,1)</f>
        <v>0</v>
      </c>
      <c r="CI226" s="539" cm="1">
        <f t="array" aca="1" ref="CI226" ca="1">INDIRECT($BM$2&amp;CI$7&amp;$CE226,1)</f>
        <v>0</v>
      </c>
      <c r="CJ226" s="539" cm="1">
        <f t="array" aca="1" ref="CJ226" ca="1">INDIRECT($BM$2&amp;CJ$7&amp;$CE226,1)</f>
        <v>0</v>
      </c>
      <c r="CK226" s="539" t="str">
        <f t="shared" ca="1" si="131"/>
        <v>-</v>
      </c>
      <c r="CU226" s="469" t="s">
        <v>5510</v>
      </c>
      <c r="HN226" s="20"/>
      <c r="HP226" s="472"/>
    </row>
    <row r="227" spans="58:224" x14ac:dyDescent="0.25">
      <c r="BF227" s="469" t="s">
        <v>5510</v>
      </c>
      <c r="BH227" s="539" t="s">
        <v>8050</v>
      </c>
      <c r="BI227" s="539">
        <f t="shared" si="126"/>
        <v>243</v>
      </c>
      <c r="BJ227" s="539" cm="1">
        <f t="array" aca="1" ref="BJ227" ca="1">INDIRECT($BM$2&amp;BJ$7&amp;$BI227,1)</f>
        <v>0</v>
      </c>
      <c r="BK227" s="539" cm="1">
        <f t="array" aca="1" ref="BK227" ca="1">INDIRECT($BM$2&amp;BK$7&amp;$BI227,1)</f>
        <v>0</v>
      </c>
      <c r="BL227" s="539" cm="1">
        <f t="array" aca="1" ref="BL227" ca="1">INDIRECT($BM$2&amp;BL$7&amp;$BI227,1)</f>
        <v>0</v>
      </c>
      <c r="BM227" s="539" cm="1">
        <f t="array" aca="1" ref="BM227" ca="1">INDIRECT($BM$2&amp;BM$7&amp;$BI227,1)</f>
        <v>0</v>
      </c>
      <c r="BN227" s="539" cm="1">
        <f t="array" aca="1" ref="BN227" ca="1">INDIRECT($BM$2&amp;BN$7&amp;$BI227,1)</f>
        <v>0</v>
      </c>
      <c r="BO227" s="539" t="str">
        <f t="shared" ca="1" si="127"/>
        <v>-</v>
      </c>
      <c r="BQ227" s="20"/>
      <c r="BR227" s="469">
        <v>10</v>
      </c>
      <c r="BS227" s="539" t="s">
        <v>8050</v>
      </c>
      <c r="BT227" s="539">
        <f t="shared" si="128"/>
        <v>589</v>
      </c>
      <c r="BU227" s="539" cm="1">
        <f t="array" aca="1" ref="BU227" ca="1">INDIRECT($BM$2&amp;BU$7&amp;$BT227,1)</f>
        <v>0</v>
      </c>
      <c r="BV227" s="539" cm="1">
        <f t="array" aca="1" ref="BV227" ca="1">INDIRECT($BM$2&amp;BV$7&amp;$BT227,1)</f>
        <v>0</v>
      </c>
      <c r="BW227" s="539" cm="1">
        <f t="array" aca="1" ref="BW227" ca="1">INDIRECT($BM$2&amp;BW$7&amp;$BT227,1)</f>
        <v>0</v>
      </c>
      <c r="BX227" s="539" cm="1">
        <f t="array" aca="1" ref="BX227" ca="1">INDIRECT($BM$2&amp;BX$7&amp;$BT227,1)</f>
        <v>0</v>
      </c>
      <c r="BY227" s="539" cm="1">
        <f t="array" aca="1" ref="BY227" ca="1">INDIRECT($BM$2&amp;BY$7&amp;$BT227,1)</f>
        <v>0</v>
      </c>
      <c r="BZ227" s="539" t="str">
        <f t="shared" ca="1" si="129"/>
        <v>-</v>
      </c>
      <c r="CC227" s="469">
        <v>10</v>
      </c>
      <c r="CD227" s="539" t="s">
        <v>8050</v>
      </c>
      <c r="CE227" s="539">
        <f t="shared" si="130"/>
        <v>935</v>
      </c>
      <c r="CF227" s="539" cm="1">
        <f t="array" aca="1" ref="CF227" ca="1">INDIRECT($BM$2&amp;CF$7&amp;$CE227,1)</f>
        <v>0</v>
      </c>
      <c r="CG227" s="539" cm="1">
        <f t="array" aca="1" ref="CG227" ca="1">INDIRECT($BM$2&amp;CG$7&amp;$CE227,1)</f>
        <v>0</v>
      </c>
      <c r="CH227" s="539" cm="1">
        <f t="array" aca="1" ref="CH227" ca="1">INDIRECT($BM$2&amp;CH$7&amp;$CE227,1)</f>
        <v>0</v>
      </c>
      <c r="CI227" s="539" cm="1">
        <f t="array" aca="1" ref="CI227" ca="1">INDIRECT($BM$2&amp;CI$7&amp;$CE227,1)</f>
        <v>0</v>
      </c>
      <c r="CJ227" s="539" cm="1">
        <f t="array" aca="1" ref="CJ227" ca="1">INDIRECT($BM$2&amp;CJ$7&amp;$CE227,1)</f>
        <v>0</v>
      </c>
      <c r="CK227" s="539" t="str">
        <f t="shared" ca="1" si="131"/>
        <v>-</v>
      </c>
      <c r="CU227" s="469" t="s">
        <v>5510</v>
      </c>
      <c r="HN227" s="20"/>
      <c r="HP227" s="472"/>
    </row>
    <row r="228" spans="58:224" x14ac:dyDescent="0.25">
      <c r="BF228" s="469" t="s">
        <v>5510</v>
      </c>
      <c r="BH228" s="539" t="s">
        <v>8050</v>
      </c>
      <c r="BI228" s="539">
        <f t="shared" si="126"/>
        <v>244</v>
      </c>
      <c r="BJ228" s="539" cm="1">
        <f t="array" aca="1" ref="BJ228" ca="1">INDIRECT($BM$2&amp;BJ$7&amp;$BI228,1)</f>
        <v>0</v>
      </c>
      <c r="BK228" s="539" cm="1">
        <f t="array" aca="1" ref="BK228" ca="1">INDIRECT($BM$2&amp;BK$7&amp;$BI228,1)</f>
        <v>0</v>
      </c>
      <c r="BL228" s="539" cm="1">
        <f t="array" aca="1" ref="BL228" ca="1">INDIRECT($BM$2&amp;BL$7&amp;$BI228,1)</f>
        <v>0</v>
      </c>
      <c r="BM228" s="539" cm="1">
        <f t="array" aca="1" ref="BM228" ca="1">INDIRECT($BM$2&amp;BM$7&amp;$BI228,1)</f>
        <v>0</v>
      </c>
      <c r="BN228" s="539" cm="1">
        <f t="array" aca="1" ref="BN228" ca="1">INDIRECT($BM$2&amp;BN$7&amp;$BI228,1)</f>
        <v>0</v>
      </c>
      <c r="BO228" s="539" t="str">
        <f t="shared" ca="1" si="127"/>
        <v>-</v>
      </c>
      <c r="BQ228" s="20"/>
      <c r="BR228" s="469">
        <v>11</v>
      </c>
      <c r="BS228" s="539" t="s">
        <v>8050</v>
      </c>
      <c r="BT228" s="539">
        <f t="shared" si="128"/>
        <v>590</v>
      </c>
      <c r="BU228" s="539" cm="1">
        <f t="array" aca="1" ref="BU228" ca="1">INDIRECT($BM$2&amp;BU$7&amp;$BT228,1)</f>
        <v>0</v>
      </c>
      <c r="BV228" s="539" cm="1">
        <f t="array" aca="1" ref="BV228" ca="1">INDIRECT($BM$2&amp;BV$7&amp;$BT228,1)</f>
        <v>0</v>
      </c>
      <c r="BW228" s="539" cm="1">
        <f t="array" aca="1" ref="BW228" ca="1">INDIRECT($BM$2&amp;BW$7&amp;$BT228,1)</f>
        <v>0</v>
      </c>
      <c r="BX228" s="539" cm="1">
        <f t="array" aca="1" ref="BX228" ca="1">INDIRECT($BM$2&amp;BX$7&amp;$BT228,1)</f>
        <v>0</v>
      </c>
      <c r="BY228" s="539" cm="1">
        <f t="array" aca="1" ref="BY228" ca="1">INDIRECT($BM$2&amp;BY$7&amp;$BT228,1)</f>
        <v>0</v>
      </c>
      <c r="BZ228" s="539" t="str">
        <f t="shared" ca="1" si="129"/>
        <v>-</v>
      </c>
      <c r="CC228" s="469">
        <v>11</v>
      </c>
      <c r="CD228" s="539" t="s">
        <v>8050</v>
      </c>
      <c r="CE228" s="539">
        <f t="shared" si="130"/>
        <v>936</v>
      </c>
      <c r="CF228" s="539" cm="1">
        <f t="array" aca="1" ref="CF228" ca="1">INDIRECT($BM$2&amp;CF$7&amp;$CE228,1)</f>
        <v>0</v>
      </c>
      <c r="CG228" s="539" cm="1">
        <f t="array" aca="1" ref="CG228" ca="1">INDIRECT($BM$2&amp;CG$7&amp;$CE228,1)</f>
        <v>0</v>
      </c>
      <c r="CH228" s="539" cm="1">
        <f t="array" aca="1" ref="CH228" ca="1">INDIRECT($BM$2&amp;CH$7&amp;$CE228,1)</f>
        <v>0</v>
      </c>
      <c r="CI228" s="539" cm="1">
        <f t="array" aca="1" ref="CI228" ca="1">INDIRECT($BM$2&amp;CI$7&amp;$CE228,1)</f>
        <v>0</v>
      </c>
      <c r="CJ228" s="539" cm="1">
        <f t="array" aca="1" ref="CJ228" ca="1">INDIRECT($BM$2&amp;CJ$7&amp;$CE228,1)</f>
        <v>0</v>
      </c>
      <c r="CK228" s="539" t="str">
        <f t="shared" ca="1" si="131"/>
        <v>-</v>
      </c>
      <c r="CU228" s="469" t="s">
        <v>5510</v>
      </c>
      <c r="HN228" s="20"/>
      <c r="HP228" s="472"/>
    </row>
    <row r="229" spans="58:224" x14ac:dyDescent="0.25">
      <c r="BF229" s="469" t="s">
        <v>5510</v>
      </c>
      <c r="BH229" s="539" t="s">
        <v>8050</v>
      </c>
      <c r="BI229" s="539">
        <f t="shared" si="126"/>
        <v>245</v>
      </c>
      <c r="BJ229" s="539" cm="1">
        <f t="array" aca="1" ref="BJ229" ca="1">INDIRECT($BM$2&amp;BJ$7&amp;$BI229,1)</f>
        <v>0</v>
      </c>
      <c r="BK229" s="539" cm="1">
        <f t="array" aca="1" ref="BK229" ca="1">INDIRECT($BM$2&amp;BK$7&amp;$BI229,1)</f>
        <v>0</v>
      </c>
      <c r="BL229" s="539" cm="1">
        <f t="array" aca="1" ref="BL229" ca="1">INDIRECT($BM$2&amp;BL$7&amp;$BI229,1)</f>
        <v>0</v>
      </c>
      <c r="BM229" s="539" cm="1">
        <f t="array" aca="1" ref="BM229" ca="1">INDIRECT($BM$2&amp;BM$7&amp;$BI229,1)</f>
        <v>0</v>
      </c>
      <c r="BN229" s="539" t="str" cm="1">
        <f t="array" aca="1" ref="BN229" ca="1">INDIRECT($BM$2&amp;BN$7&amp;$BI229,1)</f>
        <v>-</v>
      </c>
      <c r="BO229" s="539" t="str">
        <f t="shared" ca="1" si="127"/>
        <v>-</v>
      </c>
      <c r="BQ229" s="20"/>
      <c r="BR229" s="469">
        <v>12</v>
      </c>
      <c r="BS229" s="539" t="s">
        <v>8050</v>
      </c>
      <c r="BT229" s="539">
        <f t="shared" si="128"/>
        <v>591</v>
      </c>
      <c r="BU229" s="539" cm="1">
        <f t="array" aca="1" ref="BU229" ca="1">INDIRECT($BM$2&amp;BU$7&amp;$BT229,1)</f>
        <v>0</v>
      </c>
      <c r="BV229" s="539" cm="1">
        <f t="array" aca="1" ref="BV229" ca="1">INDIRECT($BM$2&amp;BV$7&amp;$BT229,1)</f>
        <v>0</v>
      </c>
      <c r="BW229" s="539" cm="1">
        <f t="array" aca="1" ref="BW229" ca="1">INDIRECT($BM$2&amp;BW$7&amp;$BT229,1)</f>
        <v>0</v>
      </c>
      <c r="BX229" s="539" cm="1">
        <f t="array" aca="1" ref="BX229" ca="1">INDIRECT($BM$2&amp;BX$7&amp;$BT229,1)</f>
        <v>0</v>
      </c>
      <c r="BY229" s="539" t="str" cm="1">
        <f t="array" aca="1" ref="BY229" ca="1">INDIRECT($BM$2&amp;BY$7&amp;$BT229,1)</f>
        <v>-</v>
      </c>
      <c r="BZ229" s="539" t="str">
        <f t="shared" ca="1" si="129"/>
        <v>-</v>
      </c>
      <c r="CC229" s="469">
        <v>12</v>
      </c>
      <c r="CD229" s="539" t="s">
        <v>8050</v>
      </c>
      <c r="CE229" s="539">
        <f t="shared" si="130"/>
        <v>937</v>
      </c>
      <c r="CF229" s="539" cm="1">
        <f t="array" aca="1" ref="CF229" ca="1">INDIRECT($BM$2&amp;CF$7&amp;$CE229,1)</f>
        <v>0</v>
      </c>
      <c r="CG229" s="539" cm="1">
        <f t="array" aca="1" ref="CG229" ca="1">INDIRECT($BM$2&amp;CG$7&amp;$CE229,1)</f>
        <v>0</v>
      </c>
      <c r="CH229" s="539" cm="1">
        <f t="array" aca="1" ref="CH229" ca="1">INDIRECT($BM$2&amp;CH$7&amp;$CE229,1)</f>
        <v>0</v>
      </c>
      <c r="CI229" s="539" cm="1">
        <f t="array" aca="1" ref="CI229" ca="1">INDIRECT($BM$2&amp;CI$7&amp;$CE229,1)</f>
        <v>0</v>
      </c>
      <c r="CJ229" s="539" t="str" cm="1">
        <f t="array" aca="1" ref="CJ229" ca="1">INDIRECT($BM$2&amp;CJ$7&amp;$CE229,1)</f>
        <v>-</v>
      </c>
      <c r="CK229" s="539" t="str">
        <f t="shared" ca="1" si="131"/>
        <v>-</v>
      </c>
      <c r="CU229" s="469" t="s">
        <v>5510</v>
      </c>
      <c r="HN229" s="20"/>
      <c r="HP229" s="472"/>
    </row>
    <row r="230" spans="58:224" x14ac:dyDescent="0.25">
      <c r="BF230" s="469" t="s">
        <v>5510</v>
      </c>
      <c r="BL230" s="372"/>
      <c r="BO230" s="472"/>
      <c r="BQ230" s="20"/>
      <c r="BT230" s="372"/>
      <c r="BU230" s="472"/>
      <c r="BV230" s="472"/>
      <c r="BW230" s="372"/>
      <c r="BX230" s="472"/>
      <c r="BY230" s="372"/>
      <c r="BZ230" s="472"/>
      <c r="CE230" s="372"/>
      <c r="CF230" s="472"/>
      <c r="CG230" s="472"/>
      <c r="CH230" s="372"/>
      <c r="CI230" s="472"/>
      <c r="CJ230" s="372"/>
      <c r="CK230" s="472"/>
      <c r="CU230" s="469" t="s">
        <v>5510</v>
      </c>
      <c r="HN230" s="20"/>
      <c r="HP230" s="472"/>
    </row>
    <row r="231" spans="58:224" x14ac:dyDescent="0.25">
      <c r="BF231" s="469" t="s">
        <v>5510</v>
      </c>
      <c r="BL231" s="372"/>
      <c r="BO231" s="472"/>
      <c r="BQ231" s="20"/>
      <c r="BT231" s="372"/>
      <c r="BU231" s="472"/>
      <c r="BV231" s="472"/>
      <c r="BW231" s="372"/>
      <c r="BX231" s="472"/>
      <c r="BY231" s="372"/>
      <c r="BZ231" s="472"/>
      <c r="CE231" s="372"/>
      <c r="CF231" s="472"/>
      <c r="CG231" s="472"/>
      <c r="CH231" s="372"/>
      <c r="CI231" s="472"/>
      <c r="CJ231" s="372"/>
      <c r="CK231" s="472"/>
      <c r="CU231" s="469" t="s">
        <v>5510</v>
      </c>
      <c r="HN231" s="20"/>
      <c r="HP231" s="472"/>
    </row>
    <row r="232" spans="58:224" x14ac:dyDescent="0.25">
      <c r="BF232" s="469" t="s">
        <v>5510</v>
      </c>
      <c r="BQ232" s="20"/>
      <c r="BT232" s="372"/>
      <c r="BU232" s="472"/>
      <c r="BV232" s="472"/>
      <c r="BW232" s="472"/>
      <c r="BX232" s="472"/>
      <c r="BY232" s="372"/>
      <c r="BZ232" s="372"/>
      <c r="CE232" s="372"/>
      <c r="CF232" s="472"/>
      <c r="CG232" s="472"/>
      <c r="CH232" s="472"/>
      <c r="CI232" s="472"/>
      <c r="CJ232" s="372"/>
      <c r="CK232" s="372"/>
      <c r="CU232" s="469" t="s">
        <v>5510</v>
      </c>
      <c r="HN232" s="20"/>
      <c r="HP232" s="472"/>
    </row>
    <row r="233" spans="58:224" x14ac:dyDescent="0.25">
      <c r="BF233" s="469" t="s">
        <v>5510</v>
      </c>
      <c r="BQ233" s="20"/>
      <c r="BT233" s="372"/>
      <c r="BU233" s="472"/>
      <c r="BV233" s="472"/>
      <c r="BW233" s="472"/>
      <c r="BX233" s="472"/>
      <c r="BY233" s="372"/>
      <c r="BZ233" s="372"/>
      <c r="CE233" s="372"/>
      <c r="CF233" s="472"/>
      <c r="CG233" s="472"/>
      <c r="CH233" s="472"/>
      <c r="CI233" s="472"/>
      <c r="CJ233" s="372"/>
      <c r="CK233" s="372"/>
      <c r="CU233" s="469" t="s">
        <v>5510</v>
      </c>
      <c r="HN233" s="20"/>
      <c r="HP233" s="472"/>
    </row>
    <row r="234" spans="58:224" x14ac:dyDescent="0.25">
      <c r="BF234" s="469" t="s">
        <v>5510</v>
      </c>
      <c r="BH234" s="539" t="s">
        <v>8051</v>
      </c>
      <c r="BI234" s="539">
        <f>BI229+$BO$6</f>
        <v>251</v>
      </c>
      <c r="BJ234" s="539" cm="1">
        <f t="array" aca="1" ref="BJ234" ca="1">INDIRECT($BM$2&amp;BJ$7&amp;$BI234,1)</f>
        <v>0</v>
      </c>
      <c r="BK234" s="539" cm="1">
        <f t="array" aca="1" ref="BK234" ca="1">INDIRECT($BM$2&amp;BK$7&amp;$BI234,1)</f>
        <v>0</v>
      </c>
      <c r="BL234" s="539" cm="1">
        <f t="array" aca="1" ref="BL234" ca="1">INDIRECT($BM$2&amp;BL$7&amp;$BI234,1)</f>
        <v>0</v>
      </c>
      <c r="BM234" s="539" cm="1">
        <f t="array" aca="1" ref="BM234" ca="1">INDIRECT($BM$2&amp;BM$7&amp;$BI234,1)</f>
        <v>0</v>
      </c>
      <c r="BN234" s="539" cm="1">
        <f t="array" aca="1" ref="BN234" ca="1">INDIRECT($BM$2&amp;BN$7&amp;$BI234,1)</f>
        <v>0</v>
      </c>
      <c r="BO234" s="539" t="str">
        <f ca="1">IFERROR(BK234/BK$234,"-")</f>
        <v>-</v>
      </c>
      <c r="BQ234" s="20"/>
      <c r="BR234" s="469">
        <v>1</v>
      </c>
      <c r="BS234" s="539" t="s">
        <v>8051</v>
      </c>
      <c r="BT234" s="539">
        <f>BT229+$BO$6</f>
        <v>597</v>
      </c>
      <c r="BU234" s="539" cm="1">
        <f t="array" aca="1" ref="BU234" ca="1">INDIRECT($BM$2&amp;BU$7&amp;$BT234,1)</f>
        <v>0</v>
      </c>
      <c r="BV234" s="539" cm="1">
        <f t="array" aca="1" ref="BV234" ca="1">INDIRECT($BM$2&amp;BV$7&amp;$BT234,1)</f>
        <v>0</v>
      </c>
      <c r="BW234" s="539" cm="1">
        <f t="array" aca="1" ref="BW234" ca="1">INDIRECT($BM$2&amp;BW$7&amp;$BT234,1)</f>
        <v>0</v>
      </c>
      <c r="BX234" s="539" cm="1">
        <f t="array" aca="1" ref="BX234" ca="1">INDIRECT($BM$2&amp;BX$7&amp;$BT234,1)</f>
        <v>0</v>
      </c>
      <c r="BY234" s="539" cm="1">
        <f t="array" aca="1" ref="BY234" ca="1">INDIRECT($BM$2&amp;BY$7&amp;$BT234,1)</f>
        <v>0</v>
      </c>
      <c r="BZ234" s="539" t="str">
        <f ca="1">IFERROR(BV234/BV$234,"-")</f>
        <v>-</v>
      </c>
      <c r="CC234" s="469">
        <v>1</v>
      </c>
      <c r="CD234" s="539" t="s">
        <v>8051</v>
      </c>
      <c r="CE234" s="539">
        <f>CE229+$BO$6</f>
        <v>943</v>
      </c>
      <c r="CF234" s="539" cm="1">
        <f t="array" aca="1" ref="CF234" ca="1">INDIRECT($BM$2&amp;CF$7&amp;$CE234,1)</f>
        <v>0</v>
      </c>
      <c r="CG234" s="539" cm="1">
        <f t="array" aca="1" ref="CG234" ca="1">INDIRECT($BM$2&amp;CG$7&amp;$CE234,1)</f>
        <v>0</v>
      </c>
      <c r="CH234" s="539" cm="1">
        <f t="array" aca="1" ref="CH234" ca="1">INDIRECT($BM$2&amp;CH$7&amp;$CE234,1)</f>
        <v>0</v>
      </c>
      <c r="CI234" s="539" cm="1">
        <f t="array" aca="1" ref="CI234" ca="1">INDIRECT($BM$2&amp;CI$7&amp;$CE234,1)</f>
        <v>0</v>
      </c>
      <c r="CJ234" s="539" cm="1">
        <f t="array" aca="1" ref="CJ234" ca="1">INDIRECT($BM$2&amp;CJ$7&amp;$CE234,1)</f>
        <v>0</v>
      </c>
      <c r="CK234" s="539" t="str">
        <f ca="1">IFERROR(CG234/CG$234,"-")</f>
        <v>-</v>
      </c>
      <c r="CU234" s="469" t="s">
        <v>5510</v>
      </c>
      <c r="HN234" s="20"/>
      <c r="HP234" s="472"/>
    </row>
    <row r="235" spans="58:224" x14ac:dyDescent="0.25">
      <c r="BF235" s="469" t="s">
        <v>5510</v>
      </c>
      <c r="BH235" s="539" t="s">
        <v>8051</v>
      </c>
      <c r="BI235" s="539">
        <f t="shared" ref="BI235:BI245" si="132">BI234+1</f>
        <v>252</v>
      </c>
      <c r="BJ235" s="539" cm="1">
        <f t="array" aca="1" ref="BJ235" ca="1">INDIRECT($BM$2&amp;BJ$7&amp;$BI235,1)</f>
        <v>0</v>
      </c>
      <c r="BK235" s="539" cm="1">
        <f t="array" aca="1" ref="BK235" ca="1">INDIRECT($BM$2&amp;BK$7&amp;$BI235,1)</f>
        <v>0</v>
      </c>
      <c r="BL235" s="539" cm="1">
        <f t="array" aca="1" ref="BL235" ca="1">INDIRECT($BM$2&amp;BL$7&amp;$BI235,1)</f>
        <v>0</v>
      </c>
      <c r="BM235" s="539" cm="1">
        <f t="array" aca="1" ref="BM235" ca="1">INDIRECT($BM$2&amp;BM$7&amp;$BI235,1)</f>
        <v>0</v>
      </c>
      <c r="BN235" s="539" cm="1">
        <f t="array" aca="1" ref="BN235" ca="1">INDIRECT($BM$2&amp;BN$7&amp;$BI235,1)</f>
        <v>0</v>
      </c>
      <c r="BO235" s="539" t="str">
        <f t="shared" ref="BO235:BO245" ca="1" si="133">IF(BK235=0,"-",IFERROR(BK235/BK$234,"-"))</f>
        <v>-</v>
      </c>
      <c r="BQ235" s="20"/>
      <c r="BR235" s="469">
        <v>2</v>
      </c>
      <c r="BS235" s="539" t="s">
        <v>8051</v>
      </c>
      <c r="BT235" s="539">
        <f t="shared" ref="BT235:BT245" si="134">BT234+1</f>
        <v>598</v>
      </c>
      <c r="BU235" s="539" cm="1">
        <f t="array" aca="1" ref="BU235" ca="1">INDIRECT($BM$2&amp;BU$7&amp;$BT235,1)</f>
        <v>0</v>
      </c>
      <c r="BV235" s="539" cm="1">
        <f t="array" aca="1" ref="BV235" ca="1">INDIRECT($BM$2&amp;BV$7&amp;$BT235,1)</f>
        <v>0</v>
      </c>
      <c r="BW235" s="539" cm="1">
        <f t="array" aca="1" ref="BW235" ca="1">INDIRECT($BM$2&amp;BW$7&amp;$BT235,1)</f>
        <v>0</v>
      </c>
      <c r="BX235" s="539" cm="1">
        <f t="array" aca="1" ref="BX235" ca="1">INDIRECT($BM$2&amp;BX$7&amp;$BT235,1)</f>
        <v>0</v>
      </c>
      <c r="BY235" s="539" cm="1">
        <f t="array" aca="1" ref="BY235" ca="1">INDIRECT($BM$2&amp;BY$7&amp;$BT235,1)</f>
        <v>0</v>
      </c>
      <c r="BZ235" s="539" t="str">
        <f t="shared" ref="BZ235:BZ245" ca="1" si="135">IF(BV235=0,"-",IFERROR(BV235/BV$234,"-"))</f>
        <v>-</v>
      </c>
      <c r="CC235" s="469">
        <v>2</v>
      </c>
      <c r="CD235" s="539" t="s">
        <v>8051</v>
      </c>
      <c r="CE235" s="539">
        <f t="shared" ref="CE235:CE245" si="136">CE234+1</f>
        <v>944</v>
      </c>
      <c r="CF235" s="539" cm="1">
        <f t="array" aca="1" ref="CF235" ca="1">INDIRECT($BM$2&amp;CF$7&amp;$CE235,1)</f>
        <v>0</v>
      </c>
      <c r="CG235" s="539" cm="1">
        <f t="array" aca="1" ref="CG235" ca="1">INDIRECT($BM$2&amp;CG$7&amp;$CE235,1)</f>
        <v>0</v>
      </c>
      <c r="CH235" s="539" cm="1">
        <f t="array" aca="1" ref="CH235" ca="1">INDIRECT($BM$2&amp;CH$7&amp;$CE235,1)</f>
        <v>0</v>
      </c>
      <c r="CI235" s="539" cm="1">
        <f t="array" aca="1" ref="CI235" ca="1">INDIRECT($BM$2&amp;CI$7&amp;$CE235,1)</f>
        <v>0</v>
      </c>
      <c r="CJ235" s="539" cm="1">
        <f t="array" aca="1" ref="CJ235" ca="1">INDIRECT($BM$2&amp;CJ$7&amp;$CE235,1)</f>
        <v>0</v>
      </c>
      <c r="CK235" s="539" t="str">
        <f t="shared" ref="CK235:CK245" ca="1" si="137">IF(CG235=0,"-",IFERROR(CG235/CG$234,"-"))</f>
        <v>-</v>
      </c>
      <c r="CU235" s="469" t="s">
        <v>5510</v>
      </c>
      <c r="HN235" s="20"/>
      <c r="HP235" s="472"/>
    </row>
    <row r="236" spans="58:224" x14ac:dyDescent="0.25">
      <c r="BF236" s="469" t="s">
        <v>5510</v>
      </c>
      <c r="BH236" s="539" t="s">
        <v>8051</v>
      </c>
      <c r="BI236" s="539">
        <f t="shared" si="132"/>
        <v>253</v>
      </c>
      <c r="BJ236" s="539" cm="1">
        <f t="array" aca="1" ref="BJ236" ca="1">INDIRECT($BM$2&amp;BJ$7&amp;$BI236,1)</f>
        <v>0</v>
      </c>
      <c r="BK236" s="539" cm="1">
        <f t="array" aca="1" ref="BK236" ca="1">INDIRECT($BM$2&amp;BK$7&amp;$BI236,1)</f>
        <v>0</v>
      </c>
      <c r="BL236" s="539" cm="1">
        <f t="array" aca="1" ref="BL236" ca="1">INDIRECT($BM$2&amp;BL$7&amp;$BI236,1)</f>
        <v>0</v>
      </c>
      <c r="BM236" s="539" cm="1">
        <f t="array" aca="1" ref="BM236" ca="1">INDIRECT($BM$2&amp;BM$7&amp;$BI236,1)</f>
        <v>0</v>
      </c>
      <c r="BN236" s="539" cm="1">
        <f t="array" aca="1" ref="BN236" ca="1">INDIRECT($BM$2&amp;BN$7&amp;$BI236,1)</f>
        <v>0</v>
      </c>
      <c r="BO236" s="539" t="str">
        <f t="shared" ca="1" si="133"/>
        <v>-</v>
      </c>
      <c r="BQ236" s="20"/>
      <c r="BR236" s="469">
        <v>3</v>
      </c>
      <c r="BS236" s="539" t="s">
        <v>8051</v>
      </c>
      <c r="BT236" s="539">
        <f t="shared" si="134"/>
        <v>599</v>
      </c>
      <c r="BU236" s="539" cm="1">
        <f t="array" aca="1" ref="BU236" ca="1">INDIRECT($BM$2&amp;BU$7&amp;$BT236,1)</f>
        <v>0</v>
      </c>
      <c r="BV236" s="539" cm="1">
        <f t="array" aca="1" ref="BV236" ca="1">INDIRECT($BM$2&amp;BV$7&amp;$BT236,1)</f>
        <v>0</v>
      </c>
      <c r="BW236" s="539" cm="1">
        <f t="array" aca="1" ref="BW236" ca="1">INDIRECT($BM$2&amp;BW$7&amp;$BT236,1)</f>
        <v>0</v>
      </c>
      <c r="BX236" s="539" cm="1">
        <f t="array" aca="1" ref="BX236" ca="1">INDIRECT($BM$2&amp;BX$7&amp;$BT236,1)</f>
        <v>0</v>
      </c>
      <c r="BY236" s="539" cm="1">
        <f t="array" aca="1" ref="BY236" ca="1">INDIRECT($BM$2&amp;BY$7&amp;$BT236,1)</f>
        <v>0</v>
      </c>
      <c r="BZ236" s="539" t="str">
        <f t="shared" ca="1" si="135"/>
        <v>-</v>
      </c>
      <c r="CC236" s="469">
        <v>3</v>
      </c>
      <c r="CD236" s="539" t="s">
        <v>8051</v>
      </c>
      <c r="CE236" s="539">
        <f t="shared" si="136"/>
        <v>945</v>
      </c>
      <c r="CF236" s="539" cm="1">
        <f t="array" aca="1" ref="CF236" ca="1">INDIRECT($BM$2&amp;CF$7&amp;$CE236,1)</f>
        <v>0</v>
      </c>
      <c r="CG236" s="539" cm="1">
        <f t="array" aca="1" ref="CG236" ca="1">INDIRECT($BM$2&amp;CG$7&amp;$CE236,1)</f>
        <v>0</v>
      </c>
      <c r="CH236" s="539" cm="1">
        <f t="array" aca="1" ref="CH236" ca="1">INDIRECT($BM$2&amp;CH$7&amp;$CE236,1)</f>
        <v>0</v>
      </c>
      <c r="CI236" s="539" cm="1">
        <f t="array" aca="1" ref="CI236" ca="1">INDIRECT($BM$2&amp;CI$7&amp;$CE236,1)</f>
        <v>0</v>
      </c>
      <c r="CJ236" s="539" cm="1">
        <f t="array" aca="1" ref="CJ236" ca="1">INDIRECT($BM$2&amp;CJ$7&amp;$CE236,1)</f>
        <v>0</v>
      </c>
      <c r="CK236" s="539" t="str">
        <f t="shared" ca="1" si="137"/>
        <v>-</v>
      </c>
      <c r="CU236" s="469" t="s">
        <v>5510</v>
      </c>
      <c r="HN236" s="20"/>
      <c r="HP236" s="472"/>
    </row>
    <row r="237" spans="58:224" x14ac:dyDescent="0.25">
      <c r="BF237" s="469" t="s">
        <v>5510</v>
      </c>
      <c r="BH237" s="539" t="s">
        <v>8051</v>
      </c>
      <c r="BI237" s="539">
        <f t="shared" si="132"/>
        <v>254</v>
      </c>
      <c r="BJ237" s="539" cm="1">
        <f t="array" aca="1" ref="BJ237" ca="1">INDIRECT($BM$2&amp;BJ$7&amp;$BI237,1)</f>
        <v>0</v>
      </c>
      <c r="BK237" s="539" cm="1">
        <f t="array" aca="1" ref="BK237" ca="1">INDIRECT($BM$2&amp;BK$7&amp;$BI237,1)</f>
        <v>0</v>
      </c>
      <c r="BL237" s="539" cm="1">
        <f t="array" aca="1" ref="BL237" ca="1">INDIRECT($BM$2&amp;BL$7&amp;$BI237,1)</f>
        <v>0</v>
      </c>
      <c r="BM237" s="539" cm="1">
        <f t="array" aca="1" ref="BM237" ca="1">INDIRECT($BM$2&amp;BM$7&amp;$BI237,1)</f>
        <v>0</v>
      </c>
      <c r="BN237" s="539" cm="1">
        <f t="array" aca="1" ref="BN237" ca="1">INDIRECT($BM$2&amp;BN$7&amp;$BI237,1)</f>
        <v>0</v>
      </c>
      <c r="BO237" s="539" t="str">
        <f t="shared" ca="1" si="133"/>
        <v>-</v>
      </c>
      <c r="BQ237" s="20"/>
      <c r="BR237" s="469">
        <v>4</v>
      </c>
      <c r="BS237" s="539" t="s">
        <v>8051</v>
      </c>
      <c r="BT237" s="539">
        <f t="shared" si="134"/>
        <v>600</v>
      </c>
      <c r="BU237" s="539" cm="1">
        <f t="array" aca="1" ref="BU237" ca="1">INDIRECT($BM$2&amp;BU$7&amp;$BT237,1)</f>
        <v>0</v>
      </c>
      <c r="BV237" s="539" cm="1">
        <f t="array" aca="1" ref="BV237" ca="1">INDIRECT($BM$2&amp;BV$7&amp;$BT237,1)</f>
        <v>0</v>
      </c>
      <c r="BW237" s="539" cm="1">
        <f t="array" aca="1" ref="BW237" ca="1">INDIRECT($BM$2&amp;BW$7&amp;$BT237,1)</f>
        <v>0</v>
      </c>
      <c r="BX237" s="539" cm="1">
        <f t="array" aca="1" ref="BX237" ca="1">INDIRECT($BM$2&amp;BX$7&amp;$BT237,1)</f>
        <v>0</v>
      </c>
      <c r="BY237" s="539" cm="1">
        <f t="array" aca="1" ref="BY237" ca="1">INDIRECT($BM$2&amp;BY$7&amp;$BT237,1)</f>
        <v>0</v>
      </c>
      <c r="BZ237" s="539" t="str">
        <f t="shared" ca="1" si="135"/>
        <v>-</v>
      </c>
      <c r="CC237" s="469">
        <v>4</v>
      </c>
      <c r="CD237" s="539" t="s">
        <v>8051</v>
      </c>
      <c r="CE237" s="539">
        <f t="shared" si="136"/>
        <v>946</v>
      </c>
      <c r="CF237" s="539" cm="1">
        <f t="array" aca="1" ref="CF237" ca="1">INDIRECT($BM$2&amp;CF$7&amp;$CE237,1)</f>
        <v>0</v>
      </c>
      <c r="CG237" s="539" cm="1">
        <f t="array" aca="1" ref="CG237" ca="1">INDIRECT($BM$2&amp;CG$7&amp;$CE237,1)</f>
        <v>0</v>
      </c>
      <c r="CH237" s="539" cm="1">
        <f t="array" aca="1" ref="CH237" ca="1">INDIRECT($BM$2&amp;CH$7&amp;$CE237,1)</f>
        <v>0</v>
      </c>
      <c r="CI237" s="539" cm="1">
        <f t="array" aca="1" ref="CI237" ca="1">INDIRECT($BM$2&amp;CI$7&amp;$CE237,1)</f>
        <v>0</v>
      </c>
      <c r="CJ237" s="539" cm="1">
        <f t="array" aca="1" ref="CJ237" ca="1">INDIRECT($BM$2&amp;CJ$7&amp;$CE237,1)</f>
        <v>0</v>
      </c>
      <c r="CK237" s="539" t="str">
        <f t="shared" ca="1" si="137"/>
        <v>-</v>
      </c>
      <c r="CU237" s="469" t="s">
        <v>5510</v>
      </c>
      <c r="HN237" s="20"/>
      <c r="HP237" s="472"/>
    </row>
    <row r="238" spans="58:224" x14ac:dyDescent="0.25">
      <c r="BF238" s="469" t="s">
        <v>5510</v>
      </c>
      <c r="BH238" s="539" t="s">
        <v>8051</v>
      </c>
      <c r="BI238" s="539">
        <f t="shared" si="132"/>
        <v>255</v>
      </c>
      <c r="BJ238" s="539" cm="1">
        <f t="array" aca="1" ref="BJ238" ca="1">INDIRECT($BM$2&amp;BJ$7&amp;$BI238,1)</f>
        <v>0</v>
      </c>
      <c r="BK238" s="539" cm="1">
        <f t="array" aca="1" ref="BK238" ca="1">INDIRECT($BM$2&amp;BK$7&amp;$BI238,1)</f>
        <v>0</v>
      </c>
      <c r="BL238" s="539" cm="1">
        <f t="array" aca="1" ref="BL238" ca="1">INDIRECT($BM$2&amp;BL$7&amp;$BI238,1)</f>
        <v>0</v>
      </c>
      <c r="BM238" s="539" cm="1">
        <f t="array" aca="1" ref="BM238" ca="1">INDIRECT($BM$2&amp;BM$7&amp;$BI238,1)</f>
        <v>0</v>
      </c>
      <c r="BN238" s="539" cm="1">
        <f t="array" aca="1" ref="BN238" ca="1">INDIRECT($BM$2&amp;BN$7&amp;$BI238,1)</f>
        <v>0</v>
      </c>
      <c r="BO238" s="539" t="str">
        <f t="shared" ca="1" si="133"/>
        <v>-</v>
      </c>
      <c r="BQ238" s="20"/>
      <c r="BR238" s="469">
        <v>5</v>
      </c>
      <c r="BS238" s="539" t="s">
        <v>8051</v>
      </c>
      <c r="BT238" s="539">
        <f t="shared" si="134"/>
        <v>601</v>
      </c>
      <c r="BU238" s="539" cm="1">
        <f t="array" aca="1" ref="BU238" ca="1">INDIRECT($BM$2&amp;BU$7&amp;$BT238,1)</f>
        <v>0</v>
      </c>
      <c r="BV238" s="539" cm="1">
        <f t="array" aca="1" ref="BV238" ca="1">INDIRECT($BM$2&amp;BV$7&amp;$BT238,1)</f>
        <v>0</v>
      </c>
      <c r="BW238" s="539" cm="1">
        <f t="array" aca="1" ref="BW238" ca="1">INDIRECT($BM$2&amp;BW$7&amp;$BT238,1)</f>
        <v>0</v>
      </c>
      <c r="BX238" s="539" cm="1">
        <f t="array" aca="1" ref="BX238" ca="1">INDIRECT($BM$2&amp;BX$7&amp;$BT238,1)</f>
        <v>0</v>
      </c>
      <c r="BY238" s="539" cm="1">
        <f t="array" aca="1" ref="BY238" ca="1">INDIRECT($BM$2&amp;BY$7&amp;$BT238,1)</f>
        <v>0</v>
      </c>
      <c r="BZ238" s="539" t="str">
        <f t="shared" ca="1" si="135"/>
        <v>-</v>
      </c>
      <c r="CC238" s="469">
        <v>5</v>
      </c>
      <c r="CD238" s="539" t="s">
        <v>8051</v>
      </c>
      <c r="CE238" s="539">
        <f t="shared" si="136"/>
        <v>947</v>
      </c>
      <c r="CF238" s="539" cm="1">
        <f t="array" aca="1" ref="CF238" ca="1">INDIRECT($BM$2&amp;CF$7&amp;$CE238,1)</f>
        <v>0</v>
      </c>
      <c r="CG238" s="539" cm="1">
        <f t="array" aca="1" ref="CG238" ca="1">INDIRECT($BM$2&amp;CG$7&amp;$CE238,1)</f>
        <v>0</v>
      </c>
      <c r="CH238" s="539" cm="1">
        <f t="array" aca="1" ref="CH238" ca="1">INDIRECT($BM$2&amp;CH$7&amp;$CE238,1)</f>
        <v>0</v>
      </c>
      <c r="CI238" s="539" cm="1">
        <f t="array" aca="1" ref="CI238" ca="1">INDIRECT($BM$2&amp;CI$7&amp;$CE238,1)</f>
        <v>0</v>
      </c>
      <c r="CJ238" s="539" cm="1">
        <f t="array" aca="1" ref="CJ238" ca="1">INDIRECT($BM$2&amp;CJ$7&amp;$CE238,1)</f>
        <v>0</v>
      </c>
      <c r="CK238" s="539" t="str">
        <f t="shared" ca="1" si="137"/>
        <v>-</v>
      </c>
      <c r="CU238" s="469" t="s">
        <v>5510</v>
      </c>
      <c r="HN238" s="20"/>
      <c r="HP238" s="472"/>
    </row>
    <row r="239" spans="58:224" x14ac:dyDescent="0.25">
      <c r="BF239" s="469" t="s">
        <v>5510</v>
      </c>
      <c r="BH239" s="539" t="s">
        <v>8051</v>
      </c>
      <c r="BI239" s="539">
        <f t="shared" si="132"/>
        <v>256</v>
      </c>
      <c r="BJ239" s="539" cm="1">
        <f t="array" aca="1" ref="BJ239" ca="1">INDIRECT($BM$2&amp;BJ$7&amp;$BI239,1)</f>
        <v>0</v>
      </c>
      <c r="BK239" s="539" cm="1">
        <f t="array" aca="1" ref="BK239" ca="1">INDIRECT($BM$2&amp;BK$7&amp;$BI239,1)</f>
        <v>0</v>
      </c>
      <c r="BL239" s="539" cm="1">
        <f t="array" aca="1" ref="BL239" ca="1">INDIRECT($BM$2&amp;BL$7&amp;$BI239,1)</f>
        <v>0</v>
      </c>
      <c r="BM239" s="539" cm="1">
        <f t="array" aca="1" ref="BM239" ca="1">INDIRECT($BM$2&amp;BM$7&amp;$BI239,1)</f>
        <v>0</v>
      </c>
      <c r="BN239" s="539" cm="1">
        <f t="array" aca="1" ref="BN239" ca="1">INDIRECT($BM$2&amp;BN$7&amp;$BI239,1)</f>
        <v>0</v>
      </c>
      <c r="BO239" s="539" t="str">
        <f t="shared" ca="1" si="133"/>
        <v>-</v>
      </c>
      <c r="BQ239" s="20"/>
      <c r="BR239" s="469">
        <v>6</v>
      </c>
      <c r="BS239" s="539" t="s">
        <v>8051</v>
      </c>
      <c r="BT239" s="539">
        <f t="shared" si="134"/>
        <v>602</v>
      </c>
      <c r="BU239" s="539" cm="1">
        <f t="array" aca="1" ref="BU239" ca="1">INDIRECT($BM$2&amp;BU$7&amp;$BT239,1)</f>
        <v>0</v>
      </c>
      <c r="BV239" s="539" cm="1">
        <f t="array" aca="1" ref="BV239" ca="1">INDIRECT($BM$2&amp;BV$7&amp;$BT239,1)</f>
        <v>0</v>
      </c>
      <c r="BW239" s="539" cm="1">
        <f t="array" aca="1" ref="BW239" ca="1">INDIRECT($BM$2&amp;BW$7&amp;$BT239,1)</f>
        <v>0</v>
      </c>
      <c r="BX239" s="539" cm="1">
        <f t="array" aca="1" ref="BX239" ca="1">INDIRECT($BM$2&amp;BX$7&amp;$BT239,1)</f>
        <v>0</v>
      </c>
      <c r="BY239" s="539" cm="1">
        <f t="array" aca="1" ref="BY239" ca="1">INDIRECT($BM$2&amp;BY$7&amp;$BT239,1)</f>
        <v>0</v>
      </c>
      <c r="BZ239" s="539" t="str">
        <f t="shared" ca="1" si="135"/>
        <v>-</v>
      </c>
      <c r="CC239" s="469">
        <v>6</v>
      </c>
      <c r="CD239" s="539" t="s">
        <v>8051</v>
      </c>
      <c r="CE239" s="539">
        <f t="shared" si="136"/>
        <v>948</v>
      </c>
      <c r="CF239" s="539" cm="1">
        <f t="array" aca="1" ref="CF239" ca="1">INDIRECT($BM$2&amp;CF$7&amp;$CE239,1)</f>
        <v>0</v>
      </c>
      <c r="CG239" s="539" cm="1">
        <f t="array" aca="1" ref="CG239" ca="1">INDIRECT($BM$2&amp;CG$7&amp;$CE239,1)</f>
        <v>0</v>
      </c>
      <c r="CH239" s="539" cm="1">
        <f t="array" aca="1" ref="CH239" ca="1">INDIRECT($BM$2&amp;CH$7&amp;$CE239,1)</f>
        <v>0</v>
      </c>
      <c r="CI239" s="539" cm="1">
        <f t="array" aca="1" ref="CI239" ca="1">INDIRECT($BM$2&amp;CI$7&amp;$CE239,1)</f>
        <v>0</v>
      </c>
      <c r="CJ239" s="539" cm="1">
        <f t="array" aca="1" ref="CJ239" ca="1">INDIRECT($BM$2&amp;CJ$7&amp;$CE239,1)</f>
        <v>0</v>
      </c>
      <c r="CK239" s="539" t="str">
        <f t="shared" ca="1" si="137"/>
        <v>-</v>
      </c>
      <c r="CU239" s="469" t="s">
        <v>5510</v>
      </c>
      <c r="HN239" s="20"/>
      <c r="HP239" s="472"/>
    </row>
    <row r="240" spans="58:224" x14ac:dyDescent="0.25">
      <c r="BF240" s="469" t="s">
        <v>5510</v>
      </c>
      <c r="BH240" s="539" t="s">
        <v>8051</v>
      </c>
      <c r="BI240" s="539">
        <f t="shared" si="132"/>
        <v>257</v>
      </c>
      <c r="BJ240" s="539" cm="1">
        <f t="array" aca="1" ref="BJ240" ca="1">INDIRECT($BM$2&amp;BJ$7&amp;$BI240,1)</f>
        <v>0</v>
      </c>
      <c r="BK240" s="539" cm="1">
        <f t="array" aca="1" ref="BK240" ca="1">INDIRECT($BM$2&amp;BK$7&amp;$BI240,1)</f>
        <v>0</v>
      </c>
      <c r="BL240" s="539" cm="1">
        <f t="array" aca="1" ref="BL240" ca="1">INDIRECT($BM$2&amp;BL$7&amp;$BI240,1)</f>
        <v>0</v>
      </c>
      <c r="BM240" s="539" cm="1">
        <f t="array" aca="1" ref="BM240" ca="1">INDIRECT($BM$2&amp;BM$7&amp;$BI240,1)</f>
        <v>0</v>
      </c>
      <c r="BN240" s="539" cm="1">
        <f t="array" aca="1" ref="BN240" ca="1">INDIRECT($BM$2&amp;BN$7&amp;$BI240,1)</f>
        <v>0</v>
      </c>
      <c r="BO240" s="539" t="str">
        <f t="shared" ca="1" si="133"/>
        <v>-</v>
      </c>
      <c r="BQ240" s="20"/>
      <c r="BR240" s="469">
        <v>7</v>
      </c>
      <c r="BS240" s="539" t="s">
        <v>8051</v>
      </c>
      <c r="BT240" s="539">
        <f t="shared" si="134"/>
        <v>603</v>
      </c>
      <c r="BU240" s="539" cm="1">
        <f t="array" aca="1" ref="BU240" ca="1">INDIRECT($BM$2&amp;BU$7&amp;$BT240,1)</f>
        <v>0</v>
      </c>
      <c r="BV240" s="539" cm="1">
        <f t="array" aca="1" ref="BV240" ca="1">INDIRECT($BM$2&amp;BV$7&amp;$BT240,1)</f>
        <v>0</v>
      </c>
      <c r="BW240" s="539" cm="1">
        <f t="array" aca="1" ref="BW240" ca="1">INDIRECT($BM$2&amp;BW$7&amp;$BT240,1)</f>
        <v>0</v>
      </c>
      <c r="BX240" s="539" cm="1">
        <f t="array" aca="1" ref="BX240" ca="1">INDIRECT($BM$2&amp;BX$7&amp;$BT240,1)</f>
        <v>0</v>
      </c>
      <c r="BY240" s="539" cm="1">
        <f t="array" aca="1" ref="BY240" ca="1">INDIRECT($BM$2&amp;BY$7&amp;$BT240,1)</f>
        <v>0</v>
      </c>
      <c r="BZ240" s="539" t="str">
        <f t="shared" ca="1" si="135"/>
        <v>-</v>
      </c>
      <c r="CC240" s="469">
        <v>7</v>
      </c>
      <c r="CD240" s="539" t="s">
        <v>8051</v>
      </c>
      <c r="CE240" s="539">
        <f t="shared" si="136"/>
        <v>949</v>
      </c>
      <c r="CF240" s="539" cm="1">
        <f t="array" aca="1" ref="CF240" ca="1">INDIRECT($BM$2&amp;CF$7&amp;$CE240,1)</f>
        <v>0</v>
      </c>
      <c r="CG240" s="539" cm="1">
        <f t="array" aca="1" ref="CG240" ca="1">INDIRECT($BM$2&amp;CG$7&amp;$CE240,1)</f>
        <v>0</v>
      </c>
      <c r="CH240" s="539" cm="1">
        <f t="array" aca="1" ref="CH240" ca="1">INDIRECT($BM$2&amp;CH$7&amp;$CE240,1)</f>
        <v>0</v>
      </c>
      <c r="CI240" s="539" cm="1">
        <f t="array" aca="1" ref="CI240" ca="1">INDIRECT($BM$2&amp;CI$7&amp;$CE240,1)</f>
        <v>0</v>
      </c>
      <c r="CJ240" s="539" cm="1">
        <f t="array" aca="1" ref="CJ240" ca="1">INDIRECT($BM$2&amp;CJ$7&amp;$CE240,1)</f>
        <v>0</v>
      </c>
      <c r="CK240" s="539" t="str">
        <f t="shared" ca="1" si="137"/>
        <v>-</v>
      </c>
      <c r="CU240" s="469" t="s">
        <v>5510</v>
      </c>
      <c r="HN240" s="20"/>
      <c r="HP240" s="472"/>
    </row>
    <row r="241" spans="58:224" x14ac:dyDescent="0.25">
      <c r="BF241" s="469" t="s">
        <v>5510</v>
      </c>
      <c r="BH241" s="539" t="s">
        <v>8051</v>
      </c>
      <c r="BI241" s="539">
        <f t="shared" si="132"/>
        <v>258</v>
      </c>
      <c r="BJ241" s="539" cm="1">
        <f t="array" aca="1" ref="BJ241" ca="1">INDIRECT($BM$2&amp;BJ$7&amp;$BI241,1)</f>
        <v>0</v>
      </c>
      <c r="BK241" s="539" cm="1">
        <f t="array" aca="1" ref="BK241" ca="1">INDIRECT($BM$2&amp;BK$7&amp;$BI241,1)</f>
        <v>0</v>
      </c>
      <c r="BL241" s="539" cm="1">
        <f t="array" aca="1" ref="BL241" ca="1">INDIRECT($BM$2&amp;BL$7&amp;$BI241,1)</f>
        <v>0</v>
      </c>
      <c r="BM241" s="539" cm="1">
        <f t="array" aca="1" ref="BM241" ca="1">INDIRECT($BM$2&amp;BM$7&amp;$BI241,1)</f>
        <v>0</v>
      </c>
      <c r="BN241" s="539" cm="1">
        <f t="array" aca="1" ref="BN241" ca="1">INDIRECT($BM$2&amp;BN$7&amp;$BI241,1)</f>
        <v>0</v>
      </c>
      <c r="BO241" s="539" t="str">
        <f t="shared" ca="1" si="133"/>
        <v>-</v>
      </c>
      <c r="BQ241" s="20"/>
      <c r="BR241" s="469">
        <v>8</v>
      </c>
      <c r="BS241" s="539" t="s">
        <v>8051</v>
      </c>
      <c r="BT241" s="539">
        <f t="shared" si="134"/>
        <v>604</v>
      </c>
      <c r="BU241" s="539" cm="1">
        <f t="array" aca="1" ref="BU241" ca="1">INDIRECT($BM$2&amp;BU$7&amp;$BT241,1)</f>
        <v>0</v>
      </c>
      <c r="BV241" s="539" cm="1">
        <f t="array" aca="1" ref="BV241" ca="1">INDIRECT($BM$2&amp;BV$7&amp;$BT241,1)</f>
        <v>0</v>
      </c>
      <c r="BW241" s="539" cm="1">
        <f t="array" aca="1" ref="BW241" ca="1">INDIRECT($BM$2&amp;BW$7&amp;$BT241,1)</f>
        <v>0</v>
      </c>
      <c r="BX241" s="539" cm="1">
        <f t="array" aca="1" ref="BX241" ca="1">INDIRECT($BM$2&amp;BX$7&amp;$BT241,1)</f>
        <v>0</v>
      </c>
      <c r="BY241" s="539" cm="1">
        <f t="array" aca="1" ref="BY241" ca="1">INDIRECT($BM$2&amp;BY$7&amp;$BT241,1)</f>
        <v>0</v>
      </c>
      <c r="BZ241" s="539" t="str">
        <f t="shared" ca="1" si="135"/>
        <v>-</v>
      </c>
      <c r="CC241" s="469">
        <v>8</v>
      </c>
      <c r="CD241" s="539" t="s">
        <v>8051</v>
      </c>
      <c r="CE241" s="539">
        <f t="shared" si="136"/>
        <v>950</v>
      </c>
      <c r="CF241" s="539" cm="1">
        <f t="array" aca="1" ref="CF241" ca="1">INDIRECT($BM$2&amp;CF$7&amp;$CE241,1)</f>
        <v>0</v>
      </c>
      <c r="CG241" s="539" cm="1">
        <f t="array" aca="1" ref="CG241" ca="1">INDIRECT($BM$2&amp;CG$7&amp;$CE241,1)</f>
        <v>0</v>
      </c>
      <c r="CH241" s="539" cm="1">
        <f t="array" aca="1" ref="CH241" ca="1">INDIRECT($BM$2&amp;CH$7&amp;$CE241,1)</f>
        <v>0</v>
      </c>
      <c r="CI241" s="539" cm="1">
        <f t="array" aca="1" ref="CI241" ca="1">INDIRECT($BM$2&amp;CI$7&amp;$CE241,1)</f>
        <v>0</v>
      </c>
      <c r="CJ241" s="539" cm="1">
        <f t="array" aca="1" ref="CJ241" ca="1">INDIRECT($BM$2&amp;CJ$7&amp;$CE241,1)</f>
        <v>0</v>
      </c>
      <c r="CK241" s="539" t="str">
        <f t="shared" ca="1" si="137"/>
        <v>-</v>
      </c>
      <c r="CU241" s="469" t="s">
        <v>5510</v>
      </c>
      <c r="HN241" s="20"/>
      <c r="HP241" s="472"/>
    </row>
    <row r="242" spans="58:224" x14ac:dyDescent="0.25">
      <c r="BF242" s="469" t="s">
        <v>5510</v>
      </c>
      <c r="BH242" s="539" t="s">
        <v>8051</v>
      </c>
      <c r="BI242" s="539">
        <f t="shared" si="132"/>
        <v>259</v>
      </c>
      <c r="BJ242" s="539" cm="1">
        <f t="array" aca="1" ref="BJ242" ca="1">INDIRECT($BM$2&amp;BJ$7&amp;$BI242,1)</f>
        <v>0</v>
      </c>
      <c r="BK242" s="539" cm="1">
        <f t="array" aca="1" ref="BK242" ca="1">INDIRECT($BM$2&amp;BK$7&amp;$BI242,1)</f>
        <v>0</v>
      </c>
      <c r="BL242" s="539" cm="1">
        <f t="array" aca="1" ref="BL242" ca="1">INDIRECT($BM$2&amp;BL$7&amp;$BI242,1)</f>
        <v>0</v>
      </c>
      <c r="BM242" s="539" cm="1">
        <f t="array" aca="1" ref="BM242" ca="1">INDIRECT($BM$2&amp;BM$7&amp;$BI242,1)</f>
        <v>0</v>
      </c>
      <c r="BN242" s="539" cm="1">
        <f t="array" aca="1" ref="BN242" ca="1">INDIRECT($BM$2&amp;BN$7&amp;$BI242,1)</f>
        <v>0</v>
      </c>
      <c r="BO242" s="539" t="str">
        <f t="shared" ca="1" si="133"/>
        <v>-</v>
      </c>
      <c r="BQ242" s="20"/>
      <c r="BR242" s="469">
        <v>9</v>
      </c>
      <c r="BS242" s="539" t="s">
        <v>8051</v>
      </c>
      <c r="BT242" s="539">
        <f t="shared" si="134"/>
        <v>605</v>
      </c>
      <c r="BU242" s="539" cm="1">
        <f t="array" aca="1" ref="BU242" ca="1">INDIRECT($BM$2&amp;BU$7&amp;$BT242,1)</f>
        <v>0</v>
      </c>
      <c r="BV242" s="539" cm="1">
        <f t="array" aca="1" ref="BV242" ca="1">INDIRECT($BM$2&amp;BV$7&amp;$BT242,1)</f>
        <v>0</v>
      </c>
      <c r="BW242" s="539" cm="1">
        <f t="array" aca="1" ref="BW242" ca="1">INDIRECT($BM$2&amp;BW$7&amp;$BT242,1)</f>
        <v>0</v>
      </c>
      <c r="BX242" s="539" cm="1">
        <f t="array" aca="1" ref="BX242" ca="1">INDIRECT($BM$2&amp;BX$7&amp;$BT242,1)</f>
        <v>0</v>
      </c>
      <c r="BY242" s="539" cm="1">
        <f t="array" aca="1" ref="BY242" ca="1">INDIRECT($BM$2&amp;BY$7&amp;$BT242,1)</f>
        <v>0</v>
      </c>
      <c r="BZ242" s="539" t="str">
        <f t="shared" ca="1" si="135"/>
        <v>-</v>
      </c>
      <c r="CC242" s="469">
        <v>9</v>
      </c>
      <c r="CD242" s="539" t="s">
        <v>8051</v>
      </c>
      <c r="CE242" s="539">
        <f t="shared" si="136"/>
        <v>951</v>
      </c>
      <c r="CF242" s="539" cm="1">
        <f t="array" aca="1" ref="CF242" ca="1">INDIRECT($BM$2&amp;CF$7&amp;$CE242,1)</f>
        <v>0</v>
      </c>
      <c r="CG242" s="539" cm="1">
        <f t="array" aca="1" ref="CG242" ca="1">INDIRECT($BM$2&amp;CG$7&amp;$CE242,1)</f>
        <v>0</v>
      </c>
      <c r="CH242" s="539" cm="1">
        <f t="array" aca="1" ref="CH242" ca="1">INDIRECT($BM$2&amp;CH$7&amp;$CE242,1)</f>
        <v>0</v>
      </c>
      <c r="CI242" s="539" cm="1">
        <f t="array" aca="1" ref="CI242" ca="1">INDIRECT($BM$2&amp;CI$7&amp;$CE242,1)</f>
        <v>0</v>
      </c>
      <c r="CJ242" s="539" cm="1">
        <f t="array" aca="1" ref="CJ242" ca="1">INDIRECT($BM$2&amp;CJ$7&amp;$CE242,1)</f>
        <v>0</v>
      </c>
      <c r="CK242" s="539" t="str">
        <f t="shared" ca="1" si="137"/>
        <v>-</v>
      </c>
      <c r="CU242" s="469" t="s">
        <v>5510</v>
      </c>
      <c r="HN242" s="20"/>
      <c r="HP242" s="472"/>
    </row>
    <row r="243" spans="58:224" x14ac:dyDescent="0.25">
      <c r="BF243" s="469" t="s">
        <v>5510</v>
      </c>
      <c r="BH243" s="539" t="s">
        <v>8051</v>
      </c>
      <c r="BI243" s="539">
        <f t="shared" si="132"/>
        <v>260</v>
      </c>
      <c r="BJ243" s="539" cm="1">
        <f t="array" aca="1" ref="BJ243" ca="1">INDIRECT($BM$2&amp;BJ$7&amp;$BI243,1)</f>
        <v>0</v>
      </c>
      <c r="BK243" s="539" cm="1">
        <f t="array" aca="1" ref="BK243" ca="1">INDIRECT($BM$2&amp;BK$7&amp;$BI243,1)</f>
        <v>0</v>
      </c>
      <c r="BL243" s="539" cm="1">
        <f t="array" aca="1" ref="BL243" ca="1">INDIRECT($BM$2&amp;BL$7&amp;$BI243,1)</f>
        <v>0</v>
      </c>
      <c r="BM243" s="539" cm="1">
        <f t="array" aca="1" ref="BM243" ca="1">INDIRECT($BM$2&amp;BM$7&amp;$BI243,1)</f>
        <v>0</v>
      </c>
      <c r="BN243" s="539" cm="1">
        <f t="array" aca="1" ref="BN243" ca="1">INDIRECT($BM$2&amp;BN$7&amp;$BI243,1)</f>
        <v>0</v>
      </c>
      <c r="BO243" s="539" t="str">
        <f t="shared" ca="1" si="133"/>
        <v>-</v>
      </c>
      <c r="BQ243" s="20"/>
      <c r="BR243" s="469">
        <v>10</v>
      </c>
      <c r="BS243" s="539" t="s">
        <v>8051</v>
      </c>
      <c r="BT243" s="539">
        <f t="shared" si="134"/>
        <v>606</v>
      </c>
      <c r="BU243" s="539" cm="1">
        <f t="array" aca="1" ref="BU243" ca="1">INDIRECT($BM$2&amp;BU$7&amp;$BT243,1)</f>
        <v>0</v>
      </c>
      <c r="BV243" s="539" cm="1">
        <f t="array" aca="1" ref="BV243" ca="1">INDIRECT($BM$2&amp;BV$7&amp;$BT243,1)</f>
        <v>0</v>
      </c>
      <c r="BW243" s="539" cm="1">
        <f t="array" aca="1" ref="BW243" ca="1">INDIRECT($BM$2&amp;BW$7&amp;$BT243,1)</f>
        <v>0</v>
      </c>
      <c r="BX243" s="539" cm="1">
        <f t="array" aca="1" ref="BX243" ca="1">INDIRECT($BM$2&amp;BX$7&amp;$BT243,1)</f>
        <v>0</v>
      </c>
      <c r="BY243" s="539" cm="1">
        <f t="array" aca="1" ref="BY243" ca="1">INDIRECT($BM$2&amp;BY$7&amp;$BT243,1)</f>
        <v>0</v>
      </c>
      <c r="BZ243" s="539" t="str">
        <f t="shared" ca="1" si="135"/>
        <v>-</v>
      </c>
      <c r="CC243" s="469">
        <v>10</v>
      </c>
      <c r="CD243" s="539" t="s">
        <v>8051</v>
      </c>
      <c r="CE243" s="539">
        <f t="shared" si="136"/>
        <v>952</v>
      </c>
      <c r="CF243" s="539" cm="1">
        <f t="array" aca="1" ref="CF243" ca="1">INDIRECT($BM$2&amp;CF$7&amp;$CE243,1)</f>
        <v>0</v>
      </c>
      <c r="CG243" s="539" cm="1">
        <f t="array" aca="1" ref="CG243" ca="1">INDIRECT($BM$2&amp;CG$7&amp;$CE243,1)</f>
        <v>0</v>
      </c>
      <c r="CH243" s="539" cm="1">
        <f t="array" aca="1" ref="CH243" ca="1">INDIRECT($BM$2&amp;CH$7&amp;$CE243,1)</f>
        <v>0</v>
      </c>
      <c r="CI243" s="539" cm="1">
        <f t="array" aca="1" ref="CI243" ca="1">INDIRECT($BM$2&amp;CI$7&amp;$CE243,1)</f>
        <v>0</v>
      </c>
      <c r="CJ243" s="539" cm="1">
        <f t="array" aca="1" ref="CJ243" ca="1">INDIRECT($BM$2&amp;CJ$7&amp;$CE243,1)</f>
        <v>0</v>
      </c>
      <c r="CK243" s="539" t="str">
        <f t="shared" ca="1" si="137"/>
        <v>-</v>
      </c>
      <c r="CU243" s="469" t="s">
        <v>5510</v>
      </c>
      <c r="HN243" s="20"/>
      <c r="HP243" s="472"/>
    </row>
    <row r="244" spans="58:224" x14ac:dyDescent="0.25">
      <c r="BF244" s="469" t="s">
        <v>5510</v>
      </c>
      <c r="BH244" s="539" t="s">
        <v>8051</v>
      </c>
      <c r="BI244" s="539">
        <f t="shared" si="132"/>
        <v>261</v>
      </c>
      <c r="BJ244" s="539" cm="1">
        <f t="array" aca="1" ref="BJ244" ca="1">INDIRECT($BM$2&amp;BJ$7&amp;$BI244,1)</f>
        <v>0</v>
      </c>
      <c r="BK244" s="539" cm="1">
        <f t="array" aca="1" ref="BK244" ca="1">INDIRECT($BM$2&amp;BK$7&amp;$BI244,1)</f>
        <v>0</v>
      </c>
      <c r="BL244" s="539" cm="1">
        <f t="array" aca="1" ref="BL244" ca="1">INDIRECT($BM$2&amp;BL$7&amp;$BI244,1)</f>
        <v>0</v>
      </c>
      <c r="BM244" s="539" cm="1">
        <f t="array" aca="1" ref="BM244" ca="1">INDIRECT($BM$2&amp;BM$7&amp;$BI244,1)</f>
        <v>0</v>
      </c>
      <c r="BN244" s="539" cm="1">
        <f t="array" aca="1" ref="BN244" ca="1">INDIRECT($BM$2&amp;BN$7&amp;$BI244,1)</f>
        <v>0</v>
      </c>
      <c r="BO244" s="539" t="str">
        <f t="shared" ca="1" si="133"/>
        <v>-</v>
      </c>
      <c r="BQ244" s="20"/>
      <c r="BR244" s="469">
        <v>11</v>
      </c>
      <c r="BS244" s="539" t="s">
        <v>8051</v>
      </c>
      <c r="BT244" s="539">
        <f t="shared" si="134"/>
        <v>607</v>
      </c>
      <c r="BU244" s="539" cm="1">
        <f t="array" aca="1" ref="BU244" ca="1">INDIRECT($BM$2&amp;BU$7&amp;$BT244,1)</f>
        <v>0</v>
      </c>
      <c r="BV244" s="539" cm="1">
        <f t="array" aca="1" ref="BV244" ca="1">INDIRECT($BM$2&amp;BV$7&amp;$BT244,1)</f>
        <v>0</v>
      </c>
      <c r="BW244" s="539" cm="1">
        <f t="array" aca="1" ref="BW244" ca="1">INDIRECT($BM$2&amp;BW$7&amp;$BT244,1)</f>
        <v>0</v>
      </c>
      <c r="BX244" s="539" cm="1">
        <f t="array" aca="1" ref="BX244" ca="1">INDIRECT($BM$2&amp;BX$7&amp;$BT244,1)</f>
        <v>0</v>
      </c>
      <c r="BY244" s="539" cm="1">
        <f t="array" aca="1" ref="BY244" ca="1">INDIRECT($BM$2&amp;BY$7&amp;$BT244,1)</f>
        <v>0</v>
      </c>
      <c r="BZ244" s="539" t="str">
        <f t="shared" ca="1" si="135"/>
        <v>-</v>
      </c>
      <c r="CC244" s="469">
        <v>11</v>
      </c>
      <c r="CD244" s="539" t="s">
        <v>8051</v>
      </c>
      <c r="CE244" s="539">
        <f t="shared" si="136"/>
        <v>953</v>
      </c>
      <c r="CF244" s="539" cm="1">
        <f t="array" aca="1" ref="CF244" ca="1">INDIRECT($BM$2&amp;CF$7&amp;$CE244,1)</f>
        <v>0</v>
      </c>
      <c r="CG244" s="539" cm="1">
        <f t="array" aca="1" ref="CG244" ca="1">INDIRECT($BM$2&amp;CG$7&amp;$CE244,1)</f>
        <v>0</v>
      </c>
      <c r="CH244" s="539" cm="1">
        <f t="array" aca="1" ref="CH244" ca="1">INDIRECT($BM$2&amp;CH$7&amp;$CE244,1)</f>
        <v>0</v>
      </c>
      <c r="CI244" s="539" cm="1">
        <f t="array" aca="1" ref="CI244" ca="1">INDIRECT($BM$2&amp;CI$7&amp;$CE244,1)</f>
        <v>0</v>
      </c>
      <c r="CJ244" s="539" cm="1">
        <f t="array" aca="1" ref="CJ244" ca="1">INDIRECT($BM$2&amp;CJ$7&amp;$CE244,1)</f>
        <v>0</v>
      </c>
      <c r="CK244" s="539" t="str">
        <f t="shared" ca="1" si="137"/>
        <v>-</v>
      </c>
      <c r="CU244" s="469" t="s">
        <v>5510</v>
      </c>
      <c r="HN244" s="20"/>
      <c r="HP244" s="472"/>
    </row>
    <row r="245" spans="58:224" x14ac:dyDescent="0.25">
      <c r="BF245" s="469" t="s">
        <v>5510</v>
      </c>
      <c r="BH245" s="539" t="s">
        <v>8051</v>
      </c>
      <c r="BI245" s="539">
        <f t="shared" si="132"/>
        <v>262</v>
      </c>
      <c r="BJ245" s="539" cm="1">
        <f t="array" aca="1" ref="BJ245" ca="1">INDIRECT($BM$2&amp;BJ$7&amp;$BI245,1)</f>
        <v>0</v>
      </c>
      <c r="BK245" s="539" cm="1">
        <f t="array" aca="1" ref="BK245" ca="1">INDIRECT($BM$2&amp;BK$7&amp;$BI245,1)</f>
        <v>0</v>
      </c>
      <c r="BL245" s="539" cm="1">
        <f t="array" aca="1" ref="BL245" ca="1">INDIRECT($BM$2&amp;BL$7&amp;$BI245,1)</f>
        <v>0</v>
      </c>
      <c r="BM245" s="539" cm="1">
        <f t="array" aca="1" ref="BM245" ca="1">INDIRECT($BM$2&amp;BM$7&amp;$BI245,1)</f>
        <v>0</v>
      </c>
      <c r="BN245" s="539" t="str" cm="1">
        <f t="array" aca="1" ref="BN245" ca="1">INDIRECT($BM$2&amp;BN$7&amp;$BI245,1)</f>
        <v>-</v>
      </c>
      <c r="BO245" s="539" t="str">
        <f t="shared" ca="1" si="133"/>
        <v>-</v>
      </c>
      <c r="BQ245" s="20"/>
      <c r="BR245" s="469">
        <v>12</v>
      </c>
      <c r="BS245" s="539" t="s">
        <v>8051</v>
      </c>
      <c r="BT245" s="539">
        <f t="shared" si="134"/>
        <v>608</v>
      </c>
      <c r="BU245" s="539" cm="1">
        <f t="array" aca="1" ref="BU245" ca="1">INDIRECT($BM$2&amp;BU$7&amp;$BT245,1)</f>
        <v>0</v>
      </c>
      <c r="BV245" s="539" cm="1">
        <f t="array" aca="1" ref="BV245" ca="1">INDIRECT($BM$2&amp;BV$7&amp;$BT245,1)</f>
        <v>0</v>
      </c>
      <c r="BW245" s="539" cm="1">
        <f t="array" aca="1" ref="BW245" ca="1">INDIRECT($BM$2&amp;BW$7&amp;$BT245,1)</f>
        <v>0</v>
      </c>
      <c r="BX245" s="539" cm="1">
        <f t="array" aca="1" ref="BX245" ca="1">INDIRECT($BM$2&amp;BX$7&amp;$BT245,1)</f>
        <v>0</v>
      </c>
      <c r="BY245" s="539" t="str" cm="1">
        <f t="array" aca="1" ref="BY245" ca="1">INDIRECT($BM$2&amp;BY$7&amp;$BT245,1)</f>
        <v>-</v>
      </c>
      <c r="BZ245" s="539" t="str">
        <f t="shared" ca="1" si="135"/>
        <v>-</v>
      </c>
      <c r="CC245" s="469">
        <v>12</v>
      </c>
      <c r="CD245" s="539" t="s">
        <v>8051</v>
      </c>
      <c r="CE245" s="539">
        <f t="shared" si="136"/>
        <v>954</v>
      </c>
      <c r="CF245" s="539" cm="1">
        <f t="array" aca="1" ref="CF245" ca="1">INDIRECT($BM$2&amp;CF$7&amp;$CE245,1)</f>
        <v>0</v>
      </c>
      <c r="CG245" s="539" cm="1">
        <f t="array" aca="1" ref="CG245" ca="1">INDIRECT($BM$2&amp;CG$7&amp;$CE245,1)</f>
        <v>0</v>
      </c>
      <c r="CH245" s="539" cm="1">
        <f t="array" aca="1" ref="CH245" ca="1">INDIRECT($BM$2&amp;CH$7&amp;$CE245,1)</f>
        <v>0</v>
      </c>
      <c r="CI245" s="539" cm="1">
        <f t="array" aca="1" ref="CI245" ca="1">INDIRECT($BM$2&amp;CI$7&amp;$CE245,1)</f>
        <v>0</v>
      </c>
      <c r="CJ245" s="539" t="str" cm="1">
        <f t="array" aca="1" ref="CJ245" ca="1">INDIRECT($BM$2&amp;CJ$7&amp;$CE245,1)</f>
        <v>-</v>
      </c>
      <c r="CK245" s="539" t="str">
        <f t="shared" ca="1" si="137"/>
        <v>-</v>
      </c>
      <c r="CU245" s="469" t="s">
        <v>5510</v>
      </c>
      <c r="HN245" s="20"/>
      <c r="HP245" s="472"/>
    </row>
    <row r="246" spans="58:224" x14ac:dyDescent="0.25">
      <c r="BF246" s="469" t="s">
        <v>5510</v>
      </c>
      <c r="BL246" s="372"/>
      <c r="BO246" s="472"/>
      <c r="BQ246" s="20"/>
      <c r="BT246" s="372"/>
      <c r="BU246" s="472"/>
      <c r="BV246" s="472"/>
      <c r="BW246" s="372"/>
      <c r="BX246" s="472"/>
      <c r="BY246" s="372"/>
      <c r="BZ246" s="472"/>
      <c r="CE246" s="372"/>
      <c r="CF246" s="472"/>
      <c r="CG246" s="472"/>
      <c r="CH246" s="372"/>
      <c r="CI246" s="472"/>
      <c r="CJ246" s="372"/>
      <c r="CK246" s="472"/>
      <c r="CU246" s="469" t="s">
        <v>5510</v>
      </c>
      <c r="HN246" s="20"/>
      <c r="HP246" s="472"/>
    </row>
    <row r="247" spans="58:224" x14ac:dyDescent="0.25">
      <c r="BF247" s="469" t="s">
        <v>5510</v>
      </c>
      <c r="BL247" s="372"/>
      <c r="BO247" s="472"/>
      <c r="BQ247" s="20"/>
      <c r="BT247" s="372"/>
      <c r="BU247" s="472"/>
      <c r="BV247" s="472"/>
      <c r="BW247" s="372"/>
      <c r="BX247" s="472"/>
      <c r="BY247" s="372"/>
      <c r="BZ247" s="472"/>
      <c r="CE247" s="372"/>
      <c r="CF247" s="472"/>
      <c r="CG247" s="472"/>
      <c r="CH247" s="372"/>
      <c r="CI247" s="472"/>
      <c r="CJ247" s="372"/>
      <c r="CK247" s="472"/>
      <c r="CU247" s="469" t="s">
        <v>5510</v>
      </c>
      <c r="HN247" s="20"/>
      <c r="HP247" s="472"/>
    </row>
    <row r="248" spans="58:224" x14ac:dyDescent="0.25">
      <c r="BF248" s="469" t="s">
        <v>5510</v>
      </c>
      <c r="BQ248" s="20"/>
      <c r="BT248" s="372"/>
      <c r="BU248" s="472"/>
      <c r="BV248" s="472"/>
      <c r="BW248" s="472"/>
      <c r="BX248" s="472"/>
      <c r="BY248" s="372"/>
      <c r="BZ248" s="372"/>
      <c r="CE248" s="372"/>
      <c r="CF248" s="472"/>
      <c r="CG248" s="472"/>
      <c r="CH248" s="472"/>
      <c r="CI248" s="472"/>
      <c r="CJ248" s="372"/>
      <c r="CK248" s="372"/>
      <c r="CU248" s="469" t="s">
        <v>5510</v>
      </c>
      <c r="HN248" s="20"/>
      <c r="HP248" s="472"/>
    </row>
    <row r="249" spans="58:224" x14ac:dyDescent="0.25">
      <c r="BF249" s="469" t="s">
        <v>5510</v>
      </c>
      <c r="BQ249" s="20"/>
      <c r="BT249" s="372"/>
      <c r="BU249" s="472"/>
      <c r="BV249" s="472"/>
      <c r="BW249" s="472"/>
      <c r="BX249" s="472"/>
      <c r="BY249" s="372"/>
      <c r="BZ249" s="372"/>
      <c r="CE249" s="372"/>
      <c r="CF249" s="472"/>
      <c r="CG249" s="472"/>
      <c r="CH249" s="472"/>
      <c r="CI249" s="472"/>
      <c r="CJ249" s="372"/>
      <c r="CK249" s="372"/>
      <c r="CU249" s="469" t="s">
        <v>5510</v>
      </c>
      <c r="HN249" s="20"/>
      <c r="HP249" s="472"/>
    </row>
    <row r="250" spans="58:224" x14ac:dyDescent="0.25">
      <c r="BF250" s="469" t="s">
        <v>5510</v>
      </c>
      <c r="BH250" s="539" t="s">
        <v>8052</v>
      </c>
      <c r="BI250" s="539">
        <f>BI245+$BO$5</f>
        <v>268</v>
      </c>
      <c r="BJ250" s="539" cm="1">
        <f t="array" aca="1" ref="BJ250" ca="1">INDIRECT($BM$2&amp;BJ$7&amp;$BI250,1)</f>
        <v>0</v>
      </c>
      <c r="BK250" s="539" cm="1">
        <f t="array" aca="1" ref="BK250" ca="1">INDIRECT($BM$2&amp;BK$7&amp;$BI250,1)</f>
        <v>0</v>
      </c>
      <c r="BL250" s="539" cm="1">
        <f t="array" aca="1" ref="BL250" ca="1">INDIRECT($BM$2&amp;BL$7&amp;$BI250,1)</f>
        <v>0</v>
      </c>
      <c r="BM250" s="539" cm="1">
        <f t="array" aca="1" ref="BM250" ca="1">INDIRECT($BM$2&amp;BM$7&amp;$BI250,1)</f>
        <v>0</v>
      </c>
      <c r="BN250" s="539" cm="1">
        <f t="array" aca="1" ref="BN250" ca="1">INDIRECT($BM$2&amp;BN$7&amp;$BI250,1)</f>
        <v>0</v>
      </c>
      <c r="BO250" s="539" t="str">
        <f ca="1">IFERROR(BK250/BK$250,"-")</f>
        <v>-</v>
      </c>
      <c r="BQ250" s="20"/>
      <c r="BR250" s="469">
        <v>1</v>
      </c>
      <c r="BS250" s="539" t="s">
        <v>8052</v>
      </c>
      <c r="BT250" s="539">
        <f>BT245+$BO$5</f>
        <v>614</v>
      </c>
      <c r="BU250" s="539" cm="1">
        <f t="array" aca="1" ref="BU250" ca="1">INDIRECT($BM$2&amp;BU$7&amp;$BT250,1)</f>
        <v>0</v>
      </c>
      <c r="BV250" s="539" cm="1">
        <f t="array" aca="1" ref="BV250" ca="1">INDIRECT($BM$2&amp;BV$7&amp;$BT250,1)</f>
        <v>0</v>
      </c>
      <c r="BW250" s="539" cm="1">
        <f t="array" aca="1" ref="BW250" ca="1">INDIRECT($BM$2&amp;BW$7&amp;$BT250,1)</f>
        <v>0</v>
      </c>
      <c r="BX250" s="539" cm="1">
        <f t="array" aca="1" ref="BX250" ca="1">INDIRECT($BM$2&amp;BX$7&amp;$BT250,1)</f>
        <v>0</v>
      </c>
      <c r="BY250" s="539" cm="1">
        <f t="array" aca="1" ref="BY250" ca="1">INDIRECT($BM$2&amp;BY$7&amp;$BT250,1)</f>
        <v>0</v>
      </c>
      <c r="BZ250" s="539" t="str">
        <f ca="1">IFERROR(BV250/BV$250,"-")</f>
        <v>-</v>
      </c>
      <c r="CC250" s="469">
        <v>1</v>
      </c>
      <c r="CD250" s="539" t="s">
        <v>8052</v>
      </c>
      <c r="CE250" s="539">
        <f>CE245+$BO$5</f>
        <v>960</v>
      </c>
      <c r="CF250" s="539" cm="1">
        <f t="array" aca="1" ref="CF250" ca="1">INDIRECT($BM$2&amp;CF$7&amp;$CE250,1)</f>
        <v>0</v>
      </c>
      <c r="CG250" s="539" cm="1">
        <f t="array" aca="1" ref="CG250" ca="1">INDIRECT($BM$2&amp;CG$7&amp;$CE250,1)</f>
        <v>0</v>
      </c>
      <c r="CH250" s="539" cm="1">
        <f t="array" aca="1" ref="CH250" ca="1">INDIRECT($BM$2&amp;CH$7&amp;$CE250,1)</f>
        <v>0</v>
      </c>
      <c r="CI250" s="539" cm="1">
        <f t="array" aca="1" ref="CI250" ca="1">INDIRECT($BM$2&amp;CI$7&amp;$CE250,1)</f>
        <v>0</v>
      </c>
      <c r="CJ250" s="539" cm="1">
        <f t="array" aca="1" ref="CJ250" ca="1">INDIRECT($BM$2&amp;CJ$7&amp;$CE250,1)</f>
        <v>0</v>
      </c>
      <c r="CK250" s="539" t="str">
        <f ca="1">IFERROR(CG250/CG$250,"-")</f>
        <v>-</v>
      </c>
      <c r="CU250" s="469" t="s">
        <v>5510</v>
      </c>
      <c r="HN250" s="20"/>
      <c r="HP250" s="472"/>
    </row>
    <row r="251" spans="58:224" x14ac:dyDescent="0.25">
      <c r="BF251" s="469" t="s">
        <v>5510</v>
      </c>
      <c r="BH251" s="539" t="s">
        <v>8052</v>
      </c>
      <c r="BI251" s="539">
        <f t="shared" ref="BI251:BI261" si="138">BI250+1</f>
        <v>269</v>
      </c>
      <c r="BJ251" s="539" cm="1">
        <f t="array" aca="1" ref="BJ251" ca="1">INDIRECT($BM$2&amp;BJ$7&amp;$BI251,1)</f>
        <v>0</v>
      </c>
      <c r="BK251" s="539" cm="1">
        <f t="array" aca="1" ref="BK251" ca="1">INDIRECT($BM$2&amp;BK$7&amp;$BI251,1)</f>
        <v>0</v>
      </c>
      <c r="BL251" s="539" cm="1">
        <f t="array" aca="1" ref="BL251" ca="1">INDIRECT($BM$2&amp;BL$7&amp;$BI251,1)</f>
        <v>0</v>
      </c>
      <c r="BM251" s="539" cm="1">
        <f t="array" aca="1" ref="BM251" ca="1">INDIRECT($BM$2&amp;BM$7&amp;$BI251,1)</f>
        <v>0</v>
      </c>
      <c r="BN251" s="539" cm="1">
        <f t="array" aca="1" ref="BN251" ca="1">INDIRECT($BM$2&amp;BN$7&amp;$BI251,1)</f>
        <v>0</v>
      </c>
      <c r="BO251" s="539" t="str">
        <f t="shared" ref="BO251:BO261" ca="1" si="139">IF(BK251=0,"-",IFERROR(BK251/BK$250,"-"))</f>
        <v>-</v>
      </c>
      <c r="BQ251" s="20"/>
      <c r="BR251" s="469">
        <v>2</v>
      </c>
      <c r="BS251" s="539" t="s">
        <v>8052</v>
      </c>
      <c r="BT251" s="539">
        <f t="shared" ref="BT251:BT261" si="140">BT250+1</f>
        <v>615</v>
      </c>
      <c r="BU251" s="539" cm="1">
        <f t="array" aca="1" ref="BU251" ca="1">INDIRECT($BM$2&amp;BU$7&amp;$BT251,1)</f>
        <v>0</v>
      </c>
      <c r="BV251" s="539" cm="1">
        <f t="array" aca="1" ref="BV251" ca="1">INDIRECT($BM$2&amp;BV$7&amp;$BT251,1)</f>
        <v>0</v>
      </c>
      <c r="BW251" s="539" cm="1">
        <f t="array" aca="1" ref="BW251" ca="1">INDIRECT($BM$2&amp;BW$7&amp;$BT251,1)</f>
        <v>0</v>
      </c>
      <c r="BX251" s="539" cm="1">
        <f t="array" aca="1" ref="BX251" ca="1">INDIRECT($BM$2&amp;BX$7&amp;$BT251,1)</f>
        <v>0</v>
      </c>
      <c r="BY251" s="539" cm="1">
        <f t="array" aca="1" ref="BY251" ca="1">INDIRECT($BM$2&amp;BY$7&amp;$BT251,1)</f>
        <v>0</v>
      </c>
      <c r="BZ251" s="539" t="str">
        <f t="shared" ref="BZ251:BZ261" ca="1" si="141">IF(BV251=0,"-",IFERROR(BV251/BV$250,"-"))</f>
        <v>-</v>
      </c>
      <c r="CC251" s="469">
        <v>2</v>
      </c>
      <c r="CD251" s="539" t="s">
        <v>8052</v>
      </c>
      <c r="CE251" s="539">
        <f t="shared" ref="CE251:CE261" si="142">CE250+1</f>
        <v>961</v>
      </c>
      <c r="CF251" s="539" cm="1">
        <f t="array" aca="1" ref="CF251" ca="1">INDIRECT($BM$2&amp;CF$7&amp;$CE251,1)</f>
        <v>0</v>
      </c>
      <c r="CG251" s="539" cm="1">
        <f t="array" aca="1" ref="CG251" ca="1">INDIRECT($BM$2&amp;CG$7&amp;$CE251,1)</f>
        <v>0</v>
      </c>
      <c r="CH251" s="539" cm="1">
        <f t="array" aca="1" ref="CH251" ca="1">INDIRECT($BM$2&amp;CH$7&amp;$CE251,1)</f>
        <v>0</v>
      </c>
      <c r="CI251" s="539" cm="1">
        <f t="array" aca="1" ref="CI251" ca="1">INDIRECT($BM$2&amp;CI$7&amp;$CE251,1)</f>
        <v>0</v>
      </c>
      <c r="CJ251" s="539" cm="1">
        <f t="array" aca="1" ref="CJ251" ca="1">INDIRECT($BM$2&amp;CJ$7&amp;$CE251,1)</f>
        <v>0</v>
      </c>
      <c r="CK251" s="539" t="str">
        <f t="shared" ref="CK251:CK261" ca="1" si="143">IF(CG251=0,"-",IFERROR(CG251/CG$250,"-"))</f>
        <v>-</v>
      </c>
      <c r="CU251" s="469" t="s">
        <v>5510</v>
      </c>
      <c r="HN251" s="20"/>
      <c r="HP251" s="472"/>
    </row>
    <row r="252" spans="58:224" x14ac:dyDescent="0.25">
      <c r="BF252" s="469" t="s">
        <v>5510</v>
      </c>
      <c r="BH252" s="539" t="s">
        <v>8052</v>
      </c>
      <c r="BI252" s="539">
        <f t="shared" si="138"/>
        <v>270</v>
      </c>
      <c r="BJ252" s="539" cm="1">
        <f t="array" aca="1" ref="BJ252" ca="1">INDIRECT($BM$2&amp;BJ$7&amp;$BI252,1)</f>
        <v>0</v>
      </c>
      <c r="BK252" s="539" cm="1">
        <f t="array" aca="1" ref="BK252" ca="1">INDIRECT($BM$2&amp;BK$7&amp;$BI252,1)</f>
        <v>0</v>
      </c>
      <c r="BL252" s="539" cm="1">
        <f t="array" aca="1" ref="BL252" ca="1">INDIRECT($BM$2&amp;BL$7&amp;$BI252,1)</f>
        <v>0</v>
      </c>
      <c r="BM252" s="539" cm="1">
        <f t="array" aca="1" ref="BM252" ca="1">INDIRECT($BM$2&amp;BM$7&amp;$BI252,1)</f>
        <v>0</v>
      </c>
      <c r="BN252" s="539" cm="1">
        <f t="array" aca="1" ref="BN252" ca="1">INDIRECT($BM$2&amp;BN$7&amp;$BI252,1)</f>
        <v>0</v>
      </c>
      <c r="BO252" s="539" t="str">
        <f t="shared" ca="1" si="139"/>
        <v>-</v>
      </c>
      <c r="BQ252" s="20"/>
      <c r="BR252" s="469">
        <v>3</v>
      </c>
      <c r="BS252" s="539" t="s">
        <v>8052</v>
      </c>
      <c r="BT252" s="539">
        <f t="shared" si="140"/>
        <v>616</v>
      </c>
      <c r="BU252" s="539" cm="1">
        <f t="array" aca="1" ref="BU252" ca="1">INDIRECT($BM$2&amp;BU$7&amp;$BT252,1)</f>
        <v>0</v>
      </c>
      <c r="BV252" s="539" cm="1">
        <f t="array" aca="1" ref="BV252" ca="1">INDIRECT($BM$2&amp;BV$7&amp;$BT252,1)</f>
        <v>0</v>
      </c>
      <c r="BW252" s="539" cm="1">
        <f t="array" aca="1" ref="BW252" ca="1">INDIRECT($BM$2&amp;BW$7&amp;$BT252,1)</f>
        <v>0</v>
      </c>
      <c r="BX252" s="539" cm="1">
        <f t="array" aca="1" ref="BX252" ca="1">INDIRECT($BM$2&amp;BX$7&amp;$BT252,1)</f>
        <v>0</v>
      </c>
      <c r="BY252" s="539" cm="1">
        <f t="array" aca="1" ref="BY252" ca="1">INDIRECT($BM$2&amp;BY$7&amp;$BT252,1)</f>
        <v>0</v>
      </c>
      <c r="BZ252" s="539" t="str">
        <f t="shared" ca="1" si="141"/>
        <v>-</v>
      </c>
      <c r="CC252" s="469">
        <v>3</v>
      </c>
      <c r="CD252" s="539" t="s">
        <v>8052</v>
      </c>
      <c r="CE252" s="539">
        <f t="shared" si="142"/>
        <v>962</v>
      </c>
      <c r="CF252" s="539" cm="1">
        <f t="array" aca="1" ref="CF252" ca="1">INDIRECT($BM$2&amp;CF$7&amp;$CE252,1)</f>
        <v>0</v>
      </c>
      <c r="CG252" s="539" cm="1">
        <f t="array" aca="1" ref="CG252" ca="1">INDIRECT($BM$2&amp;CG$7&amp;$CE252,1)</f>
        <v>0</v>
      </c>
      <c r="CH252" s="539" cm="1">
        <f t="array" aca="1" ref="CH252" ca="1">INDIRECT($BM$2&amp;CH$7&amp;$CE252,1)</f>
        <v>0</v>
      </c>
      <c r="CI252" s="539" cm="1">
        <f t="array" aca="1" ref="CI252" ca="1">INDIRECT($BM$2&amp;CI$7&amp;$CE252,1)</f>
        <v>0</v>
      </c>
      <c r="CJ252" s="539" cm="1">
        <f t="array" aca="1" ref="CJ252" ca="1">INDIRECT($BM$2&amp;CJ$7&amp;$CE252,1)</f>
        <v>0</v>
      </c>
      <c r="CK252" s="539" t="str">
        <f t="shared" ca="1" si="143"/>
        <v>-</v>
      </c>
      <c r="CU252" s="469" t="s">
        <v>5510</v>
      </c>
      <c r="HN252" s="20"/>
      <c r="HP252" s="472"/>
    </row>
    <row r="253" spans="58:224" x14ac:dyDescent="0.25">
      <c r="BF253" s="469" t="s">
        <v>5510</v>
      </c>
      <c r="BH253" s="539" t="s">
        <v>8052</v>
      </c>
      <c r="BI253" s="539">
        <f t="shared" si="138"/>
        <v>271</v>
      </c>
      <c r="BJ253" s="539" cm="1">
        <f t="array" aca="1" ref="BJ253" ca="1">INDIRECT($BM$2&amp;BJ$7&amp;$BI253,1)</f>
        <v>0</v>
      </c>
      <c r="BK253" s="539" cm="1">
        <f t="array" aca="1" ref="BK253" ca="1">INDIRECT($BM$2&amp;BK$7&amp;$BI253,1)</f>
        <v>0</v>
      </c>
      <c r="BL253" s="539" cm="1">
        <f t="array" aca="1" ref="BL253" ca="1">INDIRECT($BM$2&amp;BL$7&amp;$BI253,1)</f>
        <v>0</v>
      </c>
      <c r="BM253" s="539" cm="1">
        <f t="array" aca="1" ref="BM253" ca="1">INDIRECT($BM$2&amp;BM$7&amp;$BI253,1)</f>
        <v>0</v>
      </c>
      <c r="BN253" s="539" cm="1">
        <f t="array" aca="1" ref="BN253" ca="1">INDIRECT($BM$2&amp;BN$7&amp;$BI253,1)</f>
        <v>0</v>
      </c>
      <c r="BO253" s="539" t="str">
        <f t="shared" ca="1" si="139"/>
        <v>-</v>
      </c>
      <c r="BQ253" s="20"/>
      <c r="BR253" s="469">
        <v>4</v>
      </c>
      <c r="BS253" s="539" t="s">
        <v>8052</v>
      </c>
      <c r="BT253" s="539">
        <f t="shared" si="140"/>
        <v>617</v>
      </c>
      <c r="BU253" s="539" cm="1">
        <f t="array" aca="1" ref="BU253" ca="1">INDIRECT($BM$2&amp;BU$7&amp;$BT253,1)</f>
        <v>0</v>
      </c>
      <c r="BV253" s="539" cm="1">
        <f t="array" aca="1" ref="BV253" ca="1">INDIRECT($BM$2&amp;BV$7&amp;$BT253,1)</f>
        <v>0</v>
      </c>
      <c r="BW253" s="539" cm="1">
        <f t="array" aca="1" ref="BW253" ca="1">INDIRECT($BM$2&amp;BW$7&amp;$BT253,1)</f>
        <v>0</v>
      </c>
      <c r="BX253" s="539" cm="1">
        <f t="array" aca="1" ref="BX253" ca="1">INDIRECT($BM$2&amp;BX$7&amp;$BT253,1)</f>
        <v>0</v>
      </c>
      <c r="BY253" s="539" cm="1">
        <f t="array" aca="1" ref="BY253" ca="1">INDIRECT($BM$2&amp;BY$7&amp;$BT253,1)</f>
        <v>0</v>
      </c>
      <c r="BZ253" s="539" t="str">
        <f t="shared" ca="1" si="141"/>
        <v>-</v>
      </c>
      <c r="CC253" s="469">
        <v>4</v>
      </c>
      <c r="CD253" s="539" t="s">
        <v>8052</v>
      </c>
      <c r="CE253" s="539">
        <f t="shared" si="142"/>
        <v>963</v>
      </c>
      <c r="CF253" s="539" cm="1">
        <f t="array" aca="1" ref="CF253" ca="1">INDIRECT($BM$2&amp;CF$7&amp;$CE253,1)</f>
        <v>0</v>
      </c>
      <c r="CG253" s="539" cm="1">
        <f t="array" aca="1" ref="CG253" ca="1">INDIRECT($BM$2&amp;CG$7&amp;$CE253,1)</f>
        <v>0</v>
      </c>
      <c r="CH253" s="539" cm="1">
        <f t="array" aca="1" ref="CH253" ca="1">INDIRECT($BM$2&amp;CH$7&amp;$CE253,1)</f>
        <v>0</v>
      </c>
      <c r="CI253" s="539" cm="1">
        <f t="array" aca="1" ref="CI253" ca="1">INDIRECT($BM$2&amp;CI$7&amp;$CE253,1)</f>
        <v>0</v>
      </c>
      <c r="CJ253" s="539" cm="1">
        <f t="array" aca="1" ref="CJ253" ca="1">INDIRECT($BM$2&amp;CJ$7&amp;$CE253,1)</f>
        <v>0</v>
      </c>
      <c r="CK253" s="539" t="str">
        <f t="shared" ca="1" si="143"/>
        <v>-</v>
      </c>
      <c r="CU253" s="469" t="s">
        <v>5510</v>
      </c>
      <c r="HN253" s="20"/>
      <c r="HP253" s="472"/>
    </row>
    <row r="254" spans="58:224" x14ac:dyDescent="0.25">
      <c r="BF254" s="469" t="s">
        <v>5510</v>
      </c>
      <c r="BH254" s="539" t="s">
        <v>8052</v>
      </c>
      <c r="BI254" s="539">
        <f t="shared" si="138"/>
        <v>272</v>
      </c>
      <c r="BJ254" s="539" cm="1">
        <f t="array" aca="1" ref="BJ254" ca="1">INDIRECT($BM$2&amp;BJ$7&amp;$BI254,1)</f>
        <v>0</v>
      </c>
      <c r="BK254" s="539" cm="1">
        <f t="array" aca="1" ref="BK254" ca="1">INDIRECT($BM$2&amp;BK$7&amp;$BI254,1)</f>
        <v>0</v>
      </c>
      <c r="BL254" s="539" cm="1">
        <f t="array" aca="1" ref="BL254" ca="1">INDIRECT($BM$2&amp;BL$7&amp;$BI254,1)</f>
        <v>0</v>
      </c>
      <c r="BM254" s="539" cm="1">
        <f t="array" aca="1" ref="BM254" ca="1">INDIRECT($BM$2&amp;BM$7&amp;$BI254,1)</f>
        <v>0</v>
      </c>
      <c r="BN254" s="539" cm="1">
        <f t="array" aca="1" ref="BN254" ca="1">INDIRECT($BM$2&amp;BN$7&amp;$BI254,1)</f>
        <v>0</v>
      </c>
      <c r="BO254" s="539" t="str">
        <f t="shared" ca="1" si="139"/>
        <v>-</v>
      </c>
      <c r="BQ254" s="20"/>
      <c r="BR254" s="469">
        <v>5</v>
      </c>
      <c r="BS254" s="539" t="s">
        <v>8052</v>
      </c>
      <c r="BT254" s="539">
        <f t="shared" si="140"/>
        <v>618</v>
      </c>
      <c r="BU254" s="539" cm="1">
        <f t="array" aca="1" ref="BU254" ca="1">INDIRECT($BM$2&amp;BU$7&amp;$BT254,1)</f>
        <v>0</v>
      </c>
      <c r="BV254" s="539" cm="1">
        <f t="array" aca="1" ref="BV254" ca="1">INDIRECT($BM$2&amp;BV$7&amp;$BT254,1)</f>
        <v>0</v>
      </c>
      <c r="BW254" s="539" cm="1">
        <f t="array" aca="1" ref="BW254" ca="1">INDIRECT($BM$2&amp;BW$7&amp;$BT254,1)</f>
        <v>0</v>
      </c>
      <c r="BX254" s="539" cm="1">
        <f t="array" aca="1" ref="BX254" ca="1">INDIRECT($BM$2&amp;BX$7&amp;$BT254,1)</f>
        <v>0</v>
      </c>
      <c r="BY254" s="539" cm="1">
        <f t="array" aca="1" ref="BY254" ca="1">INDIRECT($BM$2&amp;BY$7&amp;$BT254,1)</f>
        <v>0</v>
      </c>
      <c r="BZ254" s="539" t="str">
        <f t="shared" ca="1" si="141"/>
        <v>-</v>
      </c>
      <c r="CC254" s="469">
        <v>5</v>
      </c>
      <c r="CD254" s="539" t="s">
        <v>8052</v>
      </c>
      <c r="CE254" s="539">
        <f t="shared" si="142"/>
        <v>964</v>
      </c>
      <c r="CF254" s="539" cm="1">
        <f t="array" aca="1" ref="CF254" ca="1">INDIRECT($BM$2&amp;CF$7&amp;$CE254,1)</f>
        <v>0</v>
      </c>
      <c r="CG254" s="539" cm="1">
        <f t="array" aca="1" ref="CG254" ca="1">INDIRECT($BM$2&amp;CG$7&amp;$CE254,1)</f>
        <v>0</v>
      </c>
      <c r="CH254" s="539" cm="1">
        <f t="array" aca="1" ref="CH254" ca="1">INDIRECT($BM$2&amp;CH$7&amp;$CE254,1)</f>
        <v>0</v>
      </c>
      <c r="CI254" s="539" cm="1">
        <f t="array" aca="1" ref="CI254" ca="1">INDIRECT($BM$2&amp;CI$7&amp;$CE254,1)</f>
        <v>0</v>
      </c>
      <c r="CJ254" s="539" cm="1">
        <f t="array" aca="1" ref="CJ254" ca="1">INDIRECT($BM$2&amp;CJ$7&amp;$CE254,1)</f>
        <v>0</v>
      </c>
      <c r="CK254" s="539" t="str">
        <f t="shared" ca="1" si="143"/>
        <v>-</v>
      </c>
      <c r="CU254" s="469" t="s">
        <v>5510</v>
      </c>
      <c r="HN254" s="20"/>
      <c r="HP254" s="472"/>
    </row>
    <row r="255" spans="58:224" x14ac:dyDescent="0.25">
      <c r="BF255" s="469" t="s">
        <v>5510</v>
      </c>
      <c r="BH255" s="539" t="s">
        <v>8052</v>
      </c>
      <c r="BI255" s="539">
        <f t="shared" si="138"/>
        <v>273</v>
      </c>
      <c r="BJ255" s="539" cm="1">
        <f t="array" aca="1" ref="BJ255" ca="1">INDIRECT($BM$2&amp;BJ$7&amp;$BI255,1)</f>
        <v>0</v>
      </c>
      <c r="BK255" s="539" cm="1">
        <f t="array" aca="1" ref="BK255" ca="1">INDIRECT($BM$2&amp;BK$7&amp;$BI255,1)</f>
        <v>0</v>
      </c>
      <c r="BL255" s="539" cm="1">
        <f t="array" aca="1" ref="BL255" ca="1">INDIRECT($BM$2&amp;BL$7&amp;$BI255,1)</f>
        <v>0</v>
      </c>
      <c r="BM255" s="539" cm="1">
        <f t="array" aca="1" ref="BM255" ca="1">INDIRECT($BM$2&amp;BM$7&amp;$BI255,1)</f>
        <v>0</v>
      </c>
      <c r="BN255" s="539" cm="1">
        <f t="array" aca="1" ref="BN255" ca="1">INDIRECT($BM$2&amp;BN$7&amp;$BI255,1)</f>
        <v>0</v>
      </c>
      <c r="BO255" s="539" t="str">
        <f t="shared" ca="1" si="139"/>
        <v>-</v>
      </c>
      <c r="BQ255" s="20"/>
      <c r="BR255" s="469">
        <v>6</v>
      </c>
      <c r="BS255" s="539" t="s">
        <v>8052</v>
      </c>
      <c r="BT255" s="539">
        <f t="shared" si="140"/>
        <v>619</v>
      </c>
      <c r="BU255" s="539" cm="1">
        <f t="array" aca="1" ref="BU255" ca="1">INDIRECT($BM$2&amp;BU$7&amp;$BT255,1)</f>
        <v>0</v>
      </c>
      <c r="BV255" s="539" cm="1">
        <f t="array" aca="1" ref="BV255" ca="1">INDIRECT($BM$2&amp;BV$7&amp;$BT255,1)</f>
        <v>0</v>
      </c>
      <c r="BW255" s="539" cm="1">
        <f t="array" aca="1" ref="BW255" ca="1">INDIRECT($BM$2&amp;BW$7&amp;$BT255,1)</f>
        <v>0</v>
      </c>
      <c r="BX255" s="539" cm="1">
        <f t="array" aca="1" ref="BX255" ca="1">INDIRECT($BM$2&amp;BX$7&amp;$BT255,1)</f>
        <v>0</v>
      </c>
      <c r="BY255" s="539" cm="1">
        <f t="array" aca="1" ref="BY255" ca="1">INDIRECT($BM$2&amp;BY$7&amp;$BT255,1)</f>
        <v>0</v>
      </c>
      <c r="BZ255" s="539" t="str">
        <f t="shared" ca="1" si="141"/>
        <v>-</v>
      </c>
      <c r="CC255" s="469">
        <v>6</v>
      </c>
      <c r="CD255" s="539" t="s">
        <v>8052</v>
      </c>
      <c r="CE255" s="539">
        <f t="shared" si="142"/>
        <v>965</v>
      </c>
      <c r="CF255" s="539" cm="1">
        <f t="array" aca="1" ref="CF255" ca="1">INDIRECT($BM$2&amp;CF$7&amp;$CE255,1)</f>
        <v>0</v>
      </c>
      <c r="CG255" s="539" cm="1">
        <f t="array" aca="1" ref="CG255" ca="1">INDIRECT($BM$2&amp;CG$7&amp;$CE255,1)</f>
        <v>0</v>
      </c>
      <c r="CH255" s="539" cm="1">
        <f t="array" aca="1" ref="CH255" ca="1">INDIRECT($BM$2&amp;CH$7&amp;$CE255,1)</f>
        <v>0</v>
      </c>
      <c r="CI255" s="539" cm="1">
        <f t="array" aca="1" ref="CI255" ca="1">INDIRECT($BM$2&amp;CI$7&amp;$CE255,1)</f>
        <v>0</v>
      </c>
      <c r="CJ255" s="539" cm="1">
        <f t="array" aca="1" ref="CJ255" ca="1">INDIRECT($BM$2&amp;CJ$7&amp;$CE255,1)</f>
        <v>0</v>
      </c>
      <c r="CK255" s="539" t="str">
        <f t="shared" ca="1" si="143"/>
        <v>-</v>
      </c>
      <c r="CU255" s="469" t="s">
        <v>5510</v>
      </c>
      <c r="HN255" s="20"/>
      <c r="HP255" s="472"/>
    </row>
    <row r="256" spans="58:224" x14ac:dyDescent="0.25">
      <c r="BF256" s="469" t="s">
        <v>5510</v>
      </c>
      <c r="BH256" s="539" t="s">
        <v>8052</v>
      </c>
      <c r="BI256" s="539">
        <f t="shared" si="138"/>
        <v>274</v>
      </c>
      <c r="BJ256" s="539" cm="1">
        <f t="array" aca="1" ref="BJ256" ca="1">INDIRECT($BM$2&amp;BJ$7&amp;$BI256,1)</f>
        <v>0</v>
      </c>
      <c r="BK256" s="539" cm="1">
        <f t="array" aca="1" ref="BK256" ca="1">INDIRECT($BM$2&amp;BK$7&amp;$BI256,1)</f>
        <v>0</v>
      </c>
      <c r="BL256" s="539" cm="1">
        <f t="array" aca="1" ref="BL256" ca="1">INDIRECT($BM$2&amp;BL$7&amp;$BI256,1)</f>
        <v>0</v>
      </c>
      <c r="BM256" s="539" cm="1">
        <f t="array" aca="1" ref="BM256" ca="1">INDIRECT($BM$2&amp;BM$7&amp;$BI256,1)</f>
        <v>0</v>
      </c>
      <c r="BN256" s="539" cm="1">
        <f t="array" aca="1" ref="BN256" ca="1">INDIRECT($BM$2&amp;BN$7&amp;$BI256,1)</f>
        <v>0</v>
      </c>
      <c r="BO256" s="539" t="str">
        <f t="shared" ca="1" si="139"/>
        <v>-</v>
      </c>
      <c r="BQ256" s="20"/>
      <c r="BR256" s="469">
        <v>7</v>
      </c>
      <c r="BS256" s="539" t="s">
        <v>8052</v>
      </c>
      <c r="BT256" s="539">
        <f t="shared" si="140"/>
        <v>620</v>
      </c>
      <c r="BU256" s="539" cm="1">
        <f t="array" aca="1" ref="BU256" ca="1">INDIRECT($BM$2&amp;BU$7&amp;$BT256,1)</f>
        <v>0</v>
      </c>
      <c r="BV256" s="539" cm="1">
        <f t="array" aca="1" ref="BV256" ca="1">INDIRECT($BM$2&amp;BV$7&amp;$BT256,1)</f>
        <v>0</v>
      </c>
      <c r="BW256" s="539" cm="1">
        <f t="array" aca="1" ref="BW256" ca="1">INDIRECT($BM$2&amp;BW$7&amp;$BT256,1)</f>
        <v>0</v>
      </c>
      <c r="BX256" s="539" cm="1">
        <f t="array" aca="1" ref="BX256" ca="1">INDIRECT($BM$2&amp;BX$7&amp;$BT256,1)</f>
        <v>0</v>
      </c>
      <c r="BY256" s="539" cm="1">
        <f t="array" aca="1" ref="BY256" ca="1">INDIRECT($BM$2&amp;BY$7&amp;$BT256,1)</f>
        <v>0</v>
      </c>
      <c r="BZ256" s="539" t="str">
        <f t="shared" ca="1" si="141"/>
        <v>-</v>
      </c>
      <c r="CC256" s="469">
        <v>7</v>
      </c>
      <c r="CD256" s="539" t="s">
        <v>8052</v>
      </c>
      <c r="CE256" s="539">
        <f t="shared" si="142"/>
        <v>966</v>
      </c>
      <c r="CF256" s="539" cm="1">
        <f t="array" aca="1" ref="CF256" ca="1">INDIRECT($BM$2&amp;CF$7&amp;$CE256,1)</f>
        <v>0</v>
      </c>
      <c r="CG256" s="539" cm="1">
        <f t="array" aca="1" ref="CG256" ca="1">INDIRECT($BM$2&amp;CG$7&amp;$CE256,1)</f>
        <v>0</v>
      </c>
      <c r="CH256" s="539" cm="1">
        <f t="array" aca="1" ref="CH256" ca="1">INDIRECT($BM$2&amp;CH$7&amp;$CE256,1)</f>
        <v>0</v>
      </c>
      <c r="CI256" s="539" cm="1">
        <f t="array" aca="1" ref="CI256" ca="1">INDIRECT($BM$2&amp;CI$7&amp;$CE256,1)</f>
        <v>0</v>
      </c>
      <c r="CJ256" s="539" cm="1">
        <f t="array" aca="1" ref="CJ256" ca="1">INDIRECT($BM$2&amp;CJ$7&amp;$CE256,1)</f>
        <v>0</v>
      </c>
      <c r="CK256" s="539" t="str">
        <f t="shared" ca="1" si="143"/>
        <v>-</v>
      </c>
      <c r="CU256" s="469" t="s">
        <v>5510</v>
      </c>
      <c r="HN256" s="20"/>
      <c r="HP256" s="472"/>
    </row>
    <row r="257" spans="58:224" x14ac:dyDescent="0.25">
      <c r="BF257" s="469" t="s">
        <v>5510</v>
      </c>
      <c r="BH257" s="539" t="s">
        <v>8052</v>
      </c>
      <c r="BI257" s="539">
        <f t="shared" si="138"/>
        <v>275</v>
      </c>
      <c r="BJ257" s="539" cm="1">
        <f t="array" aca="1" ref="BJ257" ca="1">INDIRECT($BM$2&amp;BJ$7&amp;$BI257,1)</f>
        <v>0</v>
      </c>
      <c r="BK257" s="539" cm="1">
        <f t="array" aca="1" ref="BK257" ca="1">INDIRECT($BM$2&amp;BK$7&amp;$BI257,1)</f>
        <v>0</v>
      </c>
      <c r="BL257" s="539" cm="1">
        <f t="array" aca="1" ref="BL257" ca="1">INDIRECT($BM$2&amp;BL$7&amp;$BI257,1)</f>
        <v>0</v>
      </c>
      <c r="BM257" s="539" cm="1">
        <f t="array" aca="1" ref="BM257" ca="1">INDIRECT($BM$2&amp;BM$7&amp;$BI257,1)</f>
        <v>0</v>
      </c>
      <c r="BN257" s="539" cm="1">
        <f t="array" aca="1" ref="BN257" ca="1">INDIRECT($BM$2&amp;BN$7&amp;$BI257,1)</f>
        <v>0</v>
      </c>
      <c r="BO257" s="539" t="str">
        <f t="shared" ca="1" si="139"/>
        <v>-</v>
      </c>
      <c r="BQ257" s="20"/>
      <c r="BR257" s="469">
        <v>8</v>
      </c>
      <c r="BS257" s="539" t="s">
        <v>8052</v>
      </c>
      <c r="BT257" s="539">
        <f t="shared" si="140"/>
        <v>621</v>
      </c>
      <c r="BU257" s="539" cm="1">
        <f t="array" aca="1" ref="BU257" ca="1">INDIRECT($BM$2&amp;BU$7&amp;$BT257,1)</f>
        <v>0</v>
      </c>
      <c r="BV257" s="539" cm="1">
        <f t="array" aca="1" ref="BV257" ca="1">INDIRECT($BM$2&amp;BV$7&amp;$BT257,1)</f>
        <v>0</v>
      </c>
      <c r="BW257" s="539" cm="1">
        <f t="array" aca="1" ref="BW257" ca="1">INDIRECT($BM$2&amp;BW$7&amp;$BT257,1)</f>
        <v>0</v>
      </c>
      <c r="BX257" s="539" cm="1">
        <f t="array" aca="1" ref="BX257" ca="1">INDIRECT($BM$2&amp;BX$7&amp;$BT257,1)</f>
        <v>0</v>
      </c>
      <c r="BY257" s="539" cm="1">
        <f t="array" aca="1" ref="BY257" ca="1">INDIRECT($BM$2&amp;BY$7&amp;$BT257,1)</f>
        <v>0</v>
      </c>
      <c r="BZ257" s="539" t="str">
        <f t="shared" ca="1" si="141"/>
        <v>-</v>
      </c>
      <c r="CC257" s="469">
        <v>8</v>
      </c>
      <c r="CD257" s="539" t="s">
        <v>8052</v>
      </c>
      <c r="CE257" s="539">
        <f t="shared" si="142"/>
        <v>967</v>
      </c>
      <c r="CF257" s="539" cm="1">
        <f t="array" aca="1" ref="CF257" ca="1">INDIRECT($BM$2&amp;CF$7&amp;$CE257,1)</f>
        <v>0</v>
      </c>
      <c r="CG257" s="539" cm="1">
        <f t="array" aca="1" ref="CG257" ca="1">INDIRECT($BM$2&amp;CG$7&amp;$CE257,1)</f>
        <v>0</v>
      </c>
      <c r="CH257" s="539" cm="1">
        <f t="array" aca="1" ref="CH257" ca="1">INDIRECT($BM$2&amp;CH$7&amp;$CE257,1)</f>
        <v>0</v>
      </c>
      <c r="CI257" s="539" cm="1">
        <f t="array" aca="1" ref="CI257" ca="1">INDIRECT($BM$2&amp;CI$7&amp;$CE257,1)</f>
        <v>0</v>
      </c>
      <c r="CJ257" s="539" cm="1">
        <f t="array" aca="1" ref="CJ257" ca="1">INDIRECT($BM$2&amp;CJ$7&amp;$CE257,1)</f>
        <v>0</v>
      </c>
      <c r="CK257" s="539" t="str">
        <f t="shared" ca="1" si="143"/>
        <v>-</v>
      </c>
      <c r="CU257" s="469" t="s">
        <v>5510</v>
      </c>
      <c r="HN257" s="20"/>
      <c r="HP257" s="472"/>
    </row>
    <row r="258" spans="58:224" x14ac:dyDescent="0.25">
      <c r="BF258" s="469" t="s">
        <v>5510</v>
      </c>
      <c r="BH258" s="539" t="s">
        <v>8052</v>
      </c>
      <c r="BI258" s="539">
        <f t="shared" si="138"/>
        <v>276</v>
      </c>
      <c r="BJ258" s="539" cm="1">
        <f t="array" aca="1" ref="BJ258" ca="1">INDIRECT($BM$2&amp;BJ$7&amp;$BI258,1)</f>
        <v>0</v>
      </c>
      <c r="BK258" s="539" cm="1">
        <f t="array" aca="1" ref="BK258" ca="1">INDIRECT($BM$2&amp;BK$7&amp;$BI258,1)</f>
        <v>0</v>
      </c>
      <c r="BL258" s="539" cm="1">
        <f t="array" aca="1" ref="BL258" ca="1">INDIRECT($BM$2&amp;BL$7&amp;$BI258,1)</f>
        <v>0</v>
      </c>
      <c r="BM258" s="539" cm="1">
        <f t="array" aca="1" ref="BM258" ca="1">INDIRECT($BM$2&amp;BM$7&amp;$BI258,1)</f>
        <v>0</v>
      </c>
      <c r="BN258" s="539" cm="1">
        <f t="array" aca="1" ref="BN258" ca="1">INDIRECT($BM$2&amp;BN$7&amp;$BI258,1)</f>
        <v>0</v>
      </c>
      <c r="BO258" s="539" t="str">
        <f t="shared" ca="1" si="139"/>
        <v>-</v>
      </c>
      <c r="BQ258" s="20"/>
      <c r="BR258" s="469">
        <v>9</v>
      </c>
      <c r="BS258" s="539" t="s">
        <v>8052</v>
      </c>
      <c r="BT258" s="539">
        <f t="shared" si="140"/>
        <v>622</v>
      </c>
      <c r="BU258" s="539" cm="1">
        <f t="array" aca="1" ref="BU258" ca="1">INDIRECT($BM$2&amp;BU$7&amp;$BT258,1)</f>
        <v>0</v>
      </c>
      <c r="BV258" s="539" cm="1">
        <f t="array" aca="1" ref="BV258" ca="1">INDIRECT($BM$2&amp;BV$7&amp;$BT258,1)</f>
        <v>0</v>
      </c>
      <c r="BW258" s="539" cm="1">
        <f t="array" aca="1" ref="BW258" ca="1">INDIRECT($BM$2&amp;BW$7&amp;$BT258,1)</f>
        <v>0</v>
      </c>
      <c r="BX258" s="539" cm="1">
        <f t="array" aca="1" ref="BX258" ca="1">INDIRECT($BM$2&amp;BX$7&amp;$BT258,1)</f>
        <v>0</v>
      </c>
      <c r="BY258" s="539" cm="1">
        <f t="array" aca="1" ref="BY258" ca="1">INDIRECT($BM$2&amp;BY$7&amp;$BT258,1)</f>
        <v>0</v>
      </c>
      <c r="BZ258" s="539" t="str">
        <f t="shared" ca="1" si="141"/>
        <v>-</v>
      </c>
      <c r="CC258" s="469">
        <v>9</v>
      </c>
      <c r="CD258" s="539" t="s">
        <v>8052</v>
      </c>
      <c r="CE258" s="539">
        <f t="shared" si="142"/>
        <v>968</v>
      </c>
      <c r="CF258" s="539" cm="1">
        <f t="array" aca="1" ref="CF258" ca="1">INDIRECT($BM$2&amp;CF$7&amp;$CE258,1)</f>
        <v>0</v>
      </c>
      <c r="CG258" s="539" cm="1">
        <f t="array" aca="1" ref="CG258" ca="1">INDIRECT($BM$2&amp;CG$7&amp;$CE258,1)</f>
        <v>0</v>
      </c>
      <c r="CH258" s="539" cm="1">
        <f t="array" aca="1" ref="CH258" ca="1">INDIRECT($BM$2&amp;CH$7&amp;$CE258,1)</f>
        <v>0</v>
      </c>
      <c r="CI258" s="539" cm="1">
        <f t="array" aca="1" ref="CI258" ca="1">INDIRECT($BM$2&amp;CI$7&amp;$CE258,1)</f>
        <v>0</v>
      </c>
      <c r="CJ258" s="539" cm="1">
        <f t="array" aca="1" ref="CJ258" ca="1">INDIRECT($BM$2&amp;CJ$7&amp;$CE258,1)</f>
        <v>0</v>
      </c>
      <c r="CK258" s="539" t="str">
        <f t="shared" ca="1" si="143"/>
        <v>-</v>
      </c>
      <c r="CU258" s="469" t="s">
        <v>5510</v>
      </c>
      <c r="HN258" s="20"/>
      <c r="HP258" s="472"/>
    </row>
    <row r="259" spans="58:224" x14ac:dyDescent="0.25">
      <c r="BF259" s="469" t="s">
        <v>5510</v>
      </c>
      <c r="BH259" s="539" t="s">
        <v>8052</v>
      </c>
      <c r="BI259" s="539">
        <f t="shared" si="138"/>
        <v>277</v>
      </c>
      <c r="BJ259" s="539" cm="1">
        <f t="array" aca="1" ref="BJ259" ca="1">INDIRECT($BM$2&amp;BJ$7&amp;$BI259,1)</f>
        <v>0</v>
      </c>
      <c r="BK259" s="539" cm="1">
        <f t="array" aca="1" ref="BK259" ca="1">INDIRECT($BM$2&amp;BK$7&amp;$BI259,1)</f>
        <v>0</v>
      </c>
      <c r="BL259" s="539" cm="1">
        <f t="array" aca="1" ref="BL259" ca="1">INDIRECT($BM$2&amp;BL$7&amp;$BI259,1)</f>
        <v>0</v>
      </c>
      <c r="BM259" s="539" cm="1">
        <f t="array" aca="1" ref="BM259" ca="1">INDIRECT($BM$2&amp;BM$7&amp;$BI259,1)</f>
        <v>0</v>
      </c>
      <c r="BN259" s="539" cm="1">
        <f t="array" aca="1" ref="BN259" ca="1">INDIRECT($BM$2&amp;BN$7&amp;$BI259,1)</f>
        <v>0</v>
      </c>
      <c r="BO259" s="539" t="str">
        <f t="shared" ca="1" si="139"/>
        <v>-</v>
      </c>
      <c r="BQ259" s="20"/>
      <c r="BR259" s="469">
        <v>10</v>
      </c>
      <c r="BS259" s="539" t="s">
        <v>8052</v>
      </c>
      <c r="BT259" s="539">
        <f t="shared" si="140"/>
        <v>623</v>
      </c>
      <c r="BU259" s="539" cm="1">
        <f t="array" aca="1" ref="BU259" ca="1">INDIRECT($BM$2&amp;BU$7&amp;$BT259,1)</f>
        <v>0</v>
      </c>
      <c r="BV259" s="539" cm="1">
        <f t="array" aca="1" ref="BV259" ca="1">INDIRECT($BM$2&amp;BV$7&amp;$BT259,1)</f>
        <v>0</v>
      </c>
      <c r="BW259" s="539" cm="1">
        <f t="array" aca="1" ref="BW259" ca="1">INDIRECT($BM$2&amp;BW$7&amp;$BT259,1)</f>
        <v>0</v>
      </c>
      <c r="BX259" s="539" cm="1">
        <f t="array" aca="1" ref="BX259" ca="1">INDIRECT($BM$2&amp;BX$7&amp;$BT259,1)</f>
        <v>0</v>
      </c>
      <c r="BY259" s="539" cm="1">
        <f t="array" aca="1" ref="BY259" ca="1">INDIRECT($BM$2&amp;BY$7&amp;$BT259,1)</f>
        <v>0</v>
      </c>
      <c r="BZ259" s="539" t="str">
        <f t="shared" ca="1" si="141"/>
        <v>-</v>
      </c>
      <c r="CC259" s="469">
        <v>10</v>
      </c>
      <c r="CD259" s="539" t="s">
        <v>8052</v>
      </c>
      <c r="CE259" s="539">
        <f t="shared" si="142"/>
        <v>969</v>
      </c>
      <c r="CF259" s="539" cm="1">
        <f t="array" aca="1" ref="CF259" ca="1">INDIRECT($BM$2&amp;CF$7&amp;$CE259,1)</f>
        <v>0</v>
      </c>
      <c r="CG259" s="539" cm="1">
        <f t="array" aca="1" ref="CG259" ca="1">INDIRECT($BM$2&amp;CG$7&amp;$CE259,1)</f>
        <v>0</v>
      </c>
      <c r="CH259" s="539" cm="1">
        <f t="array" aca="1" ref="CH259" ca="1">INDIRECT($BM$2&amp;CH$7&amp;$CE259,1)</f>
        <v>0</v>
      </c>
      <c r="CI259" s="539" cm="1">
        <f t="array" aca="1" ref="CI259" ca="1">INDIRECT($BM$2&amp;CI$7&amp;$CE259,1)</f>
        <v>0</v>
      </c>
      <c r="CJ259" s="539" cm="1">
        <f t="array" aca="1" ref="CJ259" ca="1">INDIRECT($BM$2&amp;CJ$7&amp;$CE259,1)</f>
        <v>0</v>
      </c>
      <c r="CK259" s="539" t="str">
        <f t="shared" ca="1" si="143"/>
        <v>-</v>
      </c>
      <c r="CU259" s="469" t="s">
        <v>5510</v>
      </c>
      <c r="HN259" s="20"/>
      <c r="HP259" s="472"/>
    </row>
    <row r="260" spans="58:224" x14ac:dyDescent="0.25">
      <c r="BF260" s="469" t="s">
        <v>5510</v>
      </c>
      <c r="BH260" s="539" t="s">
        <v>8052</v>
      </c>
      <c r="BI260" s="539">
        <f t="shared" si="138"/>
        <v>278</v>
      </c>
      <c r="BJ260" s="539" cm="1">
        <f t="array" aca="1" ref="BJ260" ca="1">INDIRECT($BM$2&amp;BJ$7&amp;$BI260,1)</f>
        <v>0</v>
      </c>
      <c r="BK260" s="539" cm="1">
        <f t="array" aca="1" ref="BK260" ca="1">INDIRECT($BM$2&amp;BK$7&amp;$BI260,1)</f>
        <v>0</v>
      </c>
      <c r="BL260" s="539" cm="1">
        <f t="array" aca="1" ref="BL260" ca="1">INDIRECT($BM$2&amp;BL$7&amp;$BI260,1)</f>
        <v>0</v>
      </c>
      <c r="BM260" s="539" cm="1">
        <f t="array" aca="1" ref="BM260" ca="1">INDIRECT($BM$2&amp;BM$7&amp;$BI260,1)</f>
        <v>0</v>
      </c>
      <c r="BN260" s="539" cm="1">
        <f t="array" aca="1" ref="BN260" ca="1">INDIRECT($BM$2&amp;BN$7&amp;$BI260,1)</f>
        <v>0</v>
      </c>
      <c r="BO260" s="539" t="str">
        <f t="shared" ca="1" si="139"/>
        <v>-</v>
      </c>
      <c r="BQ260" s="20"/>
      <c r="BR260" s="469">
        <v>11</v>
      </c>
      <c r="BS260" s="539" t="s">
        <v>8052</v>
      </c>
      <c r="BT260" s="539">
        <f t="shared" si="140"/>
        <v>624</v>
      </c>
      <c r="BU260" s="539" cm="1">
        <f t="array" aca="1" ref="BU260" ca="1">INDIRECT($BM$2&amp;BU$7&amp;$BT260,1)</f>
        <v>0</v>
      </c>
      <c r="BV260" s="539" cm="1">
        <f t="array" aca="1" ref="BV260" ca="1">INDIRECT($BM$2&amp;BV$7&amp;$BT260,1)</f>
        <v>0</v>
      </c>
      <c r="BW260" s="539" cm="1">
        <f t="array" aca="1" ref="BW260" ca="1">INDIRECT($BM$2&amp;BW$7&amp;$BT260,1)</f>
        <v>0</v>
      </c>
      <c r="BX260" s="539" cm="1">
        <f t="array" aca="1" ref="BX260" ca="1">INDIRECT($BM$2&amp;BX$7&amp;$BT260,1)</f>
        <v>0</v>
      </c>
      <c r="BY260" s="539" cm="1">
        <f t="array" aca="1" ref="BY260" ca="1">INDIRECT($BM$2&amp;BY$7&amp;$BT260,1)</f>
        <v>0</v>
      </c>
      <c r="BZ260" s="539" t="str">
        <f t="shared" ca="1" si="141"/>
        <v>-</v>
      </c>
      <c r="CC260" s="469">
        <v>11</v>
      </c>
      <c r="CD260" s="539" t="s">
        <v>8052</v>
      </c>
      <c r="CE260" s="539">
        <f t="shared" si="142"/>
        <v>970</v>
      </c>
      <c r="CF260" s="539" cm="1">
        <f t="array" aca="1" ref="CF260" ca="1">INDIRECT($BM$2&amp;CF$7&amp;$CE260,1)</f>
        <v>0</v>
      </c>
      <c r="CG260" s="539" cm="1">
        <f t="array" aca="1" ref="CG260" ca="1">INDIRECT($BM$2&amp;CG$7&amp;$CE260,1)</f>
        <v>0</v>
      </c>
      <c r="CH260" s="539" cm="1">
        <f t="array" aca="1" ref="CH260" ca="1">INDIRECT($BM$2&amp;CH$7&amp;$CE260,1)</f>
        <v>0</v>
      </c>
      <c r="CI260" s="539" cm="1">
        <f t="array" aca="1" ref="CI260" ca="1">INDIRECT($BM$2&amp;CI$7&amp;$CE260,1)</f>
        <v>0</v>
      </c>
      <c r="CJ260" s="539" cm="1">
        <f t="array" aca="1" ref="CJ260" ca="1">INDIRECT($BM$2&amp;CJ$7&amp;$CE260,1)</f>
        <v>0</v>
      </c>
      <c r="CK260" s="539" t="str">
        <f t="shared" ca="1" si="143"/>
        <v>-</v>
      </c>
      <c r="CU260" s="469" t="s">
        <v>5510</v>
      </c>
      <c r="HN260" s="20"/>
      <c r="HP260" s="472"/>
    </row>
    <row r="261" spans="58:224" x14ac:dyDescent="0.25">
      <c r="BF261" s="469" t="s">
        <v>5510</v>
      </c>
      <c r="BH261" s="539" t="s">
        <v>8052</v>
      </c>
      <c r="BI261" s="539">
        <f t="shared" si="138"/>
        <v>279</v>
      </c>
      <c r="BJ261" s="539" cm="1">
        <f t="array" aca="1" ref="BJ261" ca="1">INDIRECT($BM$2&amp;BJ$7&amp;$BI261,1)</f>
        <v>0</v>
      </c>
      <c r="BK261" s="539" cm="1">
        <f t="array" aca="1" ref="BK261" ca="1">INDIRECT($BM$2&amp;BK$7&amp;$BI261,1)</f>
        <v>0</v>
      </c>
      <c r="BL261" s="539" cm="1">
        <f t="array" aca="1" ref="BL261" ca="1">INDIRECT($BM$2&amp;BL$7&amp;$BI261,1)</f>
        <v>0</v>
      </c>
      <c r="BM261" s="539" cm="1">
        <f t="array" aca="1" ref="BM261" ca="1">INDIRECT($BM$2&amp;BM$7&amp;$BI261,1)</f>
        <v>0</v>
      </c>
      <c r="BN261" s="539" t="str" cm="1">
        <f t="array" aca="1" ref="BN261" ca="1">INDIRECT($BM$2&amp;BN$7&amp;$BI261,1)</f>
        <v>-</v>
      </c>
      <c r="BO261" s="539" t="str">
        <f t="shared" ca="1" si="139"/>
        <v>-</v>
      </c>
      <c r="BQ261" s="20"/>
      <c r="BR261" s="469">
        <v>12</v>
      </c>
      <c r="BS261" s="539" t="s">
        <v>8052</v>
      </c>
      <c r="BT261" s="539">
        <f t="shared" si="140"/>
        <v>625</v>
      </c>
      <c r="BU261" s="539" cm="1">
        <f t="array" aca="1" ref="BU261" ca="1">INDIRECT($BM$2&amp;BU$7&amp;$BT261,1)</f>
        <v>0</v>
      </c>
      <c r="BV261" s="539" cm="1">
        <f t="array" aca="1" ref="BV261" ca="1">INDIRECT($BM$2&amp;BV$7&amp;$BT261,1)</f>
        <v>0</v>
      </c>
      <c r="BW261" s="539" cm="1">
        <f t="array" aca="1" ref="BW261" ca="1">INDIRECT($BM$2&amp;BW$7&amp;$BT261,1)</f>
        <v>0</v>
      </c>
      <c r="BX261" s="539" cm="1">
        <f t="array" aca="1" ref="BX261" ca="1">INDIRECT($BM$2&amp;BX$7&amp;$BT261,1)</f>
        <v>0</v>
      </c>
      <c r="BY261" s="539" t="str" cm="1">
        <f t="array" aca="1" ref="BY261" ca="1">INDIRECT($BM$2&amp;BY$7&amp;$BT261,1)</f>
        <v>-</v>
      </c>
      <c r="BZ261" s="539" t="str">
        <f t="shared" ca="1" si="141"/>
        <v>-</v>
      </c>
      <c r="CC261" s="469">
        <v>12</v>
      </c>
      <c r="CD261" s="539" t="s">
        <v>8052</v>
      </c>
      <c r="CE261" s="539">
        <f t="shared" si="142"/>
        <v>971</v>
      </c>
      <c r="CF261" s="539" cm="1">
        <f t="array" aca="1" ref="CF261" ca="1">INDIRECT($BM$2&amp;CF$7&amp;$CE261,1)</f>
        <v>0</v>
      </c>
      <c r="CG261" s="539" cm="1">
        <f t="array" aca="1" ref="CG261" ca="1">INDIRECT($BM$2&amp;CG$7&amp;$CE261,1)</f>
        <v>0</v>
      </c>
      <c r="CH261" s="539" cm="1">
        <f t="array" aca="1" ref="CH261" ca="1">INDIRECT($BM$2&amp;CH$7&amp;$CE261,1)</f>
        <v>0</v>
      </c>
      <c r="CI261" s="539" cm="1">
        <f t="array" aca="1" ref="CI261" ca="1">INDIRECT($BM$2&amp;CI$7&amp;$CE261,1)</f>
        <v>0</v>
      </c>
      <c r="CJ261" s="539" t="str" cm="1">
        <f t="array" aca="1" ref="CJ261" ca="1">INDIRECT($BM$2&amp;CJ$7&amp;$CE261,1)</f>
        <v>-</v>
      </c>
      <c r="CK261" s="539" t="str">
        <f t="shared" ca="1" si="143"/>
        <v>-</v>
      </c>
      <c r="CU261" s="469" t="s">
        <v>5510</v>
      </c>
      <c r="HN261" s="20"/>
      <c r="HP261" s="472"/>
    </row>
    <row r="262" spans="58:224" x14ac:dyDescent="0.25">
      <c r="BF262" s="469" t="s">
        <v>5510</v>
      </c>
      <c r="BL262" s="372"/>
      <c r="BO262" s="472"/>
      <c r="BQ262" s="20"/>
      <c r="BT262" s="372"/>
      <c r="BU262" s="472"/>
      <c r="BV262" s="472"/>
      <c r="BW262" s="372"/>
      <c r="BX262" s="472"/>
      <c r="BY262" s="372"/>
      <c r="BZ262" s="472"/>
      <c r="CE262" s="372"/>
      <c r="CF262" s="472"/>
      <c r="CG262" s="472"/>
      <c r="CH262" s="372"/>
      <c r="CI262" s="472"/>
      <c r="CJ262" s="372"/>
      <c r="CK262" s="472"/>
      <c r="CU262" s="469" t="s">
        <v>5510</v>
      </c>
      <c r="HN262" s="20"/>
      <c r="HP262" s="472"/>
    </row>
    <row r="263" spans="58:224" x14ac:dyDescent="0.25">
      <c r="BF263" s="469" t="s">
        <v>5510</v>
      </c>
      <c r="BL263" s="372"/>
      <c r="BO263" s="472"/>
      <c r="BQ263" s="20"/>
      <c r="BT263" s="372"/>
      <c r="BU263" s="472"/>
      <c r="BV263" s="472"/>
      <c r="BW263" s="372"/>
      <c r="BX263" s="472"/>
      <c r="BY263" s="372"/>
      <c r="BZ263" s="472"/>
      <c r="CE263" s="372"/>
      <c r="CF263" s="472"/>
      <c r="CG263" s="472"/>
      <c r="CH263" s="372"/>
      <c r="CI263" s="472"/>
      <c r="CJ263" s="372"/>
      <c r="CK263" s="472"/>
      <c r="CU263" s="469" t="s">
        <v>5510</v>
      </c>
      <c r="HN263" s="20"/>
      <c r="HP263" s="472"/>
    </row>
    <row r="264" spans="58:224" x14ac:dyDescent="0.25">
      <c r="BF264" s="469" t="s">
        <v>5510</v>
      </c>
      <c r="BQ264" s="20"/>
      <c r="BT264" s="372"/>
      <c r="BU264" s="472"/>
      <c r="BV264" s="472"/>
      <c r="BW264" s="472"/>
      <c r="BX264" s="472"/>
      <c r="BY264" s="372"/>
      <c r="BZ264" s="372"/>
      <c r="CE264" s="372"/>
      <c r="CF264" s="472"/>
      <c r="CG264" s="472"/>
      <c r="CH264" s="472"/>
      <c r="CI264" s="472"/>
      <c r="CJ264" s="372"/>
      <c r="CK264" s="372"/>
      <c r="CU264" s="469" t="s">
        <v>5510</v>
      </c>
      <c r="HN264" s="20"/>
      <c r="HP264" s="472"/>
    </row>
    <row r="265" spans="58:224" x14ac:dyDescent="0.25">
      <c r="BF265" s="469" t="s">
        <v>5510</v>
      </c>
      <c r="BQ265" s="20"/>
      <c r="BT265" s="372"/>
      <c r="BU265" s="472"/>
      <c r="BV265" s="472"/>
      <c r="BW265" s="472"/>
      <c r="BX265" s="472"/>
      <c r="BY265" s="372"/>
      <c r="BZ265" s="372"/>
      <c r="CE265" s="372"/>
      <c r="CF265" s="472"/>
      <c r="CG265" s="472"/>
      <c r="CH265" s="472"/>
      <c r="CI265" s="472"/>
      <c r="CJ265" s="372"/>
      <c r="CK265" s="372"/>
      <c r="CU265" s="469" t="s">
        <v>5510</v>
      </c>
      <c r="HN265" s="20"/>
      <c r="HP265" s="472"/>
    </row>
    <row r="266" spans="58:224" x14ac:dyDescent="0.25">
      <c r="BF266" s="469" t="s">
        <v>5510</v>
      </c>
      <c r="BH266" s="539" t="s">
        <v>8054</v>
      </c>
      <c r="BI266" s="539">
        <f>BI261+$BO$6</f>
        <v>285</v>
      </c>
      <c r="BJ266" s="539" cm="1">
        <f t="array" aca="1" ref="BJ266" ca="1">INDIRECT($BM$2&amp;BJ$7&amp;$BI266,1)</f>
        <v>0</v>
      </c>
      <c r="BK266" s="539" cm="1">
        <f t="array" aca="1" ref="BK266" ca="1">INDIRECT($BM$2&amp;BK$7&amp;$BI266,1)</f>
        <v>0</v>
      </c>
      <c r="BL266" s="539" cm="1">
        <f t="array" aca="1" ref="BL266" ca="1">INDIRECT($BM$2&amp;BL$7&amp;$BI266,1)</f>
        <v>0</v>
      </c>
      <c r="BM266" s="539" cm="1">
        <f t="array" aca="1" ref="BM266" ca="1">INDIRECT($BM$2&amp;BM$7&amp;$BI266,1)</f>
        <v>0</v>
      </c>
      <c r="BN266" s="539" cm="1">
        <f t="array" aca="1" ref="BN266" ca="1">INDIRECT($BM$2&amp;BN$7&amp;$BI266,1)</f>
        <v>0</v>
      </c>
      <c r="BO266" s="539" t="str">
        <f ca="1">IFERROR(BK266/BK$266,"-")</f>
        <v>-</v>
      </c>
      <c r="BQ266" s="20"/>
      <c r="BR266" s="469">
        <v>1</v>
      </c>
      <c r="BS266" s="539" t="s">
        <v>8054</v>
      </c>
      <c r="BT266" s="539">
        <f>BT261+$BO$6</f>
        <v>631</v>
      </c>
      <c r="BU266" s="539" cm="1">
        <f t="array" aca="1" ref="BU266" ca="1">INDIRECT($BM$2&amp;BU$7&amp;$BT266,1)</f>
        <v>0</v>
      </c>
      <c r="BV266" s="539" cm="1">
        <f t="array" aca="1" ref="BV266" ca="1">INDIRECT($BM$2&amp;BV$7&amp;$BT266,1)</f>
        <v>0</v>
      </c>
      <c r="BW266" s="539" cm="1">
        <f t="array" aca="1" ref="BW266" ca="1">INDIRECT($BM$2&amp;BW$7&amp;$BT266,1)</f>
        <v>0</v>
      </c>
      <c r="BX266" s="539" cm="1">
        <f t="array" aca="1" ref="BX266" ca="1">INDIRECT($BM$2&amp;BX$7&amp;$BT266,1)</f>
        <v>0</v>
      </c>
      <c r="BY266" s="539" cm="1">
        <f t="array" aca="1" ref="BY266" ca="1">INDIRECT($BM$2&amp;BY$7&amp;$BT266,1)</f>
        <v>0</v>
      </c>
      <c r="BZ266" s="539" t="str">
        <f ca="1">IFERROR(BV266/BV$266,"-")</f>
        <v>-</v>
      </c>
      <c r="CC266" s="469">
        <v>1</v>
      </c>
      <c r="CD266" s="539" t="s">
        <v>8054</v>
      </c>
      <c r="CE266" s="539">
        <f>CE261+$BO$6</f>
        <v>977</v>
      </c>
      <c r="CF266" s="539" cm="1">
        <f t="array" aca="1" ref="CF266" ca="1">INDIRECT($BM$2&amp;CF$7&amp;$CE266,1)</f>
        <v>0</v>
      </c>
      <c r="CG266" s="539" cm="1">
        <f t="array" aca="1" ref="CG266" ca="1">INDIRECT($BM$2&amp;CG$7&amp;$CE266,1)</f>
        <v>0</v>
      </c>
      <c r="CH266" s="539" cm="1">
        <f t="array" aca="1" ref="CH266" ca="1">INDIRECT($BM$2&amp;CH$7&amp;$CE266,1)</f>
        <v>0</v>
      </c>
      <c r="CI266" s="539" cm="1">
        <f t="array" aca="1" ref="CI266" ca="1">INDIRECT($BM$2&amp;CI$7&amp;$CE266,1)</f>
        <v>0</v>
      </c>
      <c r="CJ266" s="539" cm="1">
        <f t="array" aca="1" ref="CJ266" ca="1">INDIRECT($BM$2&amp;CJ$7&amp;$CE266,1)</f>
        <v>0</v>
      </c>
      <c r="CK266" s="539" t="str">
        <f ca="1">IFERROR(CG266/CG$266,"-")</f>
        <v>-</v>
      </c>
      <c r="CU266" s="469" t="s">
        <v>5510</v>
      </c>
      <c r="HN266" s="20"/>
      <c r="HP266" s="472"/>
    </row>
    <row r="267" spans="58:224" x14ac:dyDescent="0.25">
      <c r="BF267" s="469" t="s">
        <v>5510</v>
      </c>
      <c r="BH267" s="539" t="s">
        <v>8054</v>
      </c>
      <c r="BI267" s="539">
        <f t="shared" ref="BI267:BI277" si="144">BI266+1</f>
        <v>286</v>
      </c>
      <c r="BJ267" s="539" cm="1">
        <f t="array" aca="1" ref="BJ267" ca="1">INDIRECT($BM$2&amp;BJ$7&amp;$BI267,1)</f>
        <v>0</v>
      </c>
      <c r="BK267" s="539" cm="1">
        <f t="array" aca="1" ref="BK267" ca="1">INDIRECT($BM$2&amp;BK$7&amp;$BI267,1)</f>
        <v>0</v>
      </c>
      <c r="BL267" s="539" cm="1">
        <f t="array" aca="1" ref="BL267" ca="1">INDIRECT($BM$2&amp;BL$7&amp;$BI267,1)</f>
        <v>0</v>
      </c>
      <c r="BM267" s="539" cm="1">
        <f t="array" aca="1" ref="BM267" ca="1">INDIRECT($BM$2&amp;BM$7&amp;$BI267,1)</f>
        <v>0</v>
      </c>
      <c r="BN267" s="539" cm="1">
        <f t="array" aca="1" ref="BN267" ca="1">INDIRECT($BM$2&amp;BN$7&amp;$BI267,1)</f>
        <v>0</v>
      </c>
      <c r="BO267" s="539" t="str">
        <f t="shared" ref="BO267:BO277" ca="1" si="145">IF(BK267=0,"-",IFERROR(BK267/BK$266,"-"))</f>
        <v>-</v>
      </c>
      <c r="BQ267" s="20"/>
      <c r="BR267" s="469">
        <v>2</v>
      </c>
      <c r="BS267" s="539" t="s">
        <v>8054</v>
      </c>
      <c r="BT267" s="539">
        <f t="shared" ref="BT267:BT277" si="146">BT266+1</f>
        <v>632</v>
      </c>
      <c r="BU267" s="539" cm="1">
        <f t="array" aca="1" ref="BU267" ca="1">INDIRECT($BM$2&amp;BU$7&amp;$BT267,1)</f>
        <v>0</v>
      </c>
      <c r="BV267" s="539" cm="1">
        <f t="array" aca="1" ref="BV267" ca="1">INDIRECT($BM$2&amp;BV$7&amp;$BT267,1)</f>
        <v>0</v>
      </c>
      <c r="BW267" s="539" cm="1">
        <f t="array" aca="1" ref="BW267" ca="1">INDIRECT($BM$2&amp;BW$7&amp;$BT267,1)</f>
        <v>0</v>
      </c>
      <c r="BX267" s="539" cm="1">
        <f t="array" aca="1" ref="BX267" ca="1">INDIRECT($BM$2&amp;BX$7&amp;$BT267,1)</f>
        <v>0</v>
      </c>
      <c r="BY267" s="539" cm="1">
        <f t="array" aca="1" ref="BY267" ca="1">INDIRECT($BM$2&amp;BY$7&amp;$BT267,1)</f>
        <v>0</v>
      </c>
      <c r="BZ267" s="539" t="str">
        <f t="shared" ref="BZ267:BZ277" ca="1" si="147">IF(BV267=0,"-",IFERROR(BV267/BV$266,"-"))</f>
        <v>-</v>
      </c>
      <c r="CC267" s="469">
        <v>2</v>
      </c>
      <c r="CD267" s="539" t="s">
        <v>8054</v>
      </c>
      <c r="CE267" s="539">
        <f t="shared" ref="CE267:CE277" si="148">CE266+1</f>
        <v>978</v>
      </c>
      <c r="CF267" s="539" cm="1">
        <f t="array" aca="1" ref="CF267" ca="1">INDIRECT($BM$2&amp;CF$7&amp;$CE267,1)</f>
        <v>0</v>
      </c>
      <c r="CG267" s="539" cm="1">
        <f t="array" aca="1" ref="CG267" ca="1">INDIRECT($BM$2&amp;CG$7&amp;$CE267,1)</f>
        <v>0</v>
      </c>
      <c r="CH267" s="539" cm="1">
        <f t="array" aca="1" ref="CH267" ca="1">INDIRECT($BM$2&amp;CH$7&amp;$CE267,1)</f>
        <v>0</v>
      </c>
      <c r="CI267" s="539" cm="1">
        <f t="array" aca="1" ref="CI267" ca="1">INDIRECT($BM$2&amp;CI$7&amp;$CE267,1)</f>
        <v>0</v>
      </c>
      <c r="CJ267" s="539" cm="1">
        <f t="array" aca="1" ref="CJ267" ca="1">INDIRECT($BM$2&amp;CJ$7&amp;$CE267,1)</f>
        <v>0</v>
      </c>
      <c r="CK267" s="539" t="str">
        <f t="shared" ref="CK267:CK277" ca="1" si="149">IF(CG267=0,"-",IFERROR(CG267/CG$266,"-"))</f>
        <v>-</v>
      </c>
      <c r="CU267" s="469" t="s">
        <v>5510</v>
      </c>
      <c r="HN267" s="20"/>
      <c r="HP267" s="472"/>
    </row>
    <row r="268" spans="58:224" x14ac:dyDescent="0.25">
      <c r="BF268" s="469" t="s">
        <v>5510</v>
      </c>
      <c r="BH268" s="539" t="s">
        <v>8054</v>
      </c>
      <c r="BI268" s="539">
        <f t="shared" si="144"/>
        <v>287</v>
      </c>
      <c r="BJ268" s="539" cm="1">
        <f t="array" aca="1" ref="BJ268" ca="1">INDIRECT($BM$2&amp;BJ$7&amp;$BI268,1)</f>
        <v>0</v>
      </c>
      <c r="BK268" s="539" cm="1">
        <f t="array" aca="1" ref="BK268" ca="1">INDIRECT($BM$2&amp;BK$7&amp;$BI268,1)</f>
        <v>0</v>
      </c>
      <c r="BL268" s="539" cm="1">
        <f t="array" aca="1" ref="BL268" ca="1">INDIRECT($BM$2&amp;BL$7&amp;$BI268,1)</f>
        <v>0</v>
      </c>
      <c r="BM268" s="539" cm="1">
        <f t="array" aca="1" ref="BM268" ca="1">INDIRECT($BM$2&amp;BM$7&amp;$BI268,1)</f>
        <v>0</v>
      </c>
      <c r="BN268" s="539" cm="1">
        <f t="array" aca="1" ref="BN268" ca="1">INDIRECT($BM$2&amp;BN$7&amp;$BI268,1)</f>
        <v>0</v>
      </c>
      <c r="BO268" s="539" t="str">
        <f t="shared" ca="1" si="145"/>
        <v>-</v>
      </c>
      <c r="BQ268" s="20"/>
      <c r="BR268" s="469">
        <v>3</v>
      </c>
      <c r="BS268" s="539" t="s">
        <v>8054</v>
      </c>
      <c r="BT268" s="539">
        <f t="shared" si="146"/>
        <v>633</v>
      </c>
      <c r="BU268" s="539" cm="1">
        <f t="array" aca="1" ref="BU268" ca="1">INDIRECT($BM$2&amp;BU$7&amp;$BT268,1)</f>
        <v>0</v>
      </c>
      <c r="BV268" s="539" cm="1">
        <f t="array" aca="1" ref="BV268" ca="1">INDIRECT($BM$2&amp;BV$7&amp;$BT268,1)</f>
        <v>0</v>
      </c>
      <c r="BW268" s="539" cm="1">
        <f t="array" aca="1" ref="BW268" ca="1">INDIRECT($BM$2&amp;BW$7&amp;$BT268,1)</f>
        <v>0</v>
      </c>
      <c r="BX268" s="539" cm="1">
        <f t="array" aca="1" ref="BX268" ca="1">INDIRECT($BM$2&amp;BX$7&amp;$BT268,1)</f>
        <v>0</v>
      </c>
      <c r="BY268" s="539" cm="1">
        <f t="array" aca="1" ref="BY268" ca="1">INDIRECT($BM$2&amp;BY$7&amp;$BT268,1)</f>
        <v>0</v>
      </c>
      <c r="BZ268" s="539" t="str">
        <f t="shared" ca="1" si="147"/>
        <v>-</v>
      </c>
      <c r="CC268" s="469">
        <v>3</v>
      </c>
      <c r="CD268" s="539" t="s">
        <v>8054</v>
      </c>
      <c r="CE268" s="539">
        <f t="shared" si="148"/>
        <v>979</v>
      </c>
      <c r="CF268" s="539" cm="1">
        <f t="array" aca="1" ref="CF268" ca="1">INDIRECT($BM$2&amp;CF$7&amp;$CE268,1)</f>
        <v>0</v>
      </c>
      <c r="CG268" s="539" cm="1">
        <f t="array" aca="1" ref="CG268" ca="1">INDIRECT($BM$2&amp;CG$7&amp;$CE268,1)</f>
        <v>0</v>
      </c>
      <c r="CH268" s="539" cm="1">
        <f t="array" aca="1" ref="CH268" ca="1">INDIRECT($BM$2&amp;CH$7&amp;$CE268,1)</f>
        <v>0</v>
      </c>
      <c r="CI268" s="539" cm="1">
        <f t="array" aca="1" ref="CI268" ca="1">INDIRECT($BM$2&amp;CI$7&amp;$CE268,1)</f>
        <v>0</v>
      </c>
      <c r="CJ268" s="539" cm="1">
        <f t="array" aca="1" ref="CJ268" ca="1">INDIRECT($BM$2&amp;CJ$7&amp;$CE268,1)</f>
        <v>0</v>
      </c>
      <c r="CK268" s="539" t="str">
        <f t="shared" ca="1" si="149"/>
        <v>-</v>
      </c>
      <c r="CU268" s="469" t="s">
        <v>5510</v>
      </c>
      <c r="HN268" s="20"/>
      <c r="HP268" s="472"/>
    </row>
    <row r="269" spans="58:224" x14ac:dyDescent="0.25">
      <c r="BF269" s="469" t="s">
        <v>5510</v>
      </c>
      <c r="BH269" s="539" t="s">
        <v>8054</v>
      </c>
      <c r="BI269" s="539">
        <f t="shared" si="144"/>
        <v>288</v>
      </c>
      <c r="BJ269" s="539" cm="1">
        <f t="array" aca="1" ref="BJ269" ca="1">INDIRECT($BM$2&amp;BJ$7&amp;$BI269,1)</f>
        <v>0</v>
      </c>
      <c r="BK269" s="539" cm="1">
        <f t="array" aca="1" ref="BK269" ca="1">INDIRECT($BM$2&amp;BK$7&amp;$BI269,1)</f>
        <v>0</v>
      </c>
      <c r="BL269" s="539" cm="1">
        <f t="array" aca="1" ref="BL269" ca="1">INDIRECT($BM$2&amp;BL$7&amp;$BI269,1)</f>
        <v>0</v>
      </c>
      <c r="BM269" s="539" cm="1">
        <f t="array" aca="1" ref="BM269" ca="1">INDIRECT($BM$2&amp;BM$7&amp;$BI269,1)</f>
        <v>0</v>
      </c>
      <c r="BN269" s="539" cm="1">
        <f t="array" aca="1" ref="BN269" ca="1">INDIRECT($BM$2&amp;BN$7&amp;$BI269,1)</f>
        <v>0</v>
      </c>
      <c r="BO269" s="539" t="str">
        <f t="shared" ca="1" si="145"/>
        <v>-</v>
      </c>
      <c r="BQ269" s="20"/>
      <c r="BR269" s="469">
        <v>4</v>
      </c>
      <c r="BS269" s="539" t="s">
        <v>8054</v>
      </c>
      <c r="BT269" s="539">
        <f t="shared" si="146"/>
        <v>634</v>
      </c>
      <c r="BU269" s="539" cm="1">
        <f t="array" aca="1" ref="BU269" ca="1">INDIRECT($BM$2&amp;BU$7&amp;$BT269,1)</f>
        <v>0</v>
      </c>
      <c r="BV269" s="539" cm="1">
        <f t="array" aca="1" ref="BV269" ca="1">INDIRECT($BM$2&amp;BV$7&amp;$BT269,1)</f>
        <v>0</v>
      </c>
      <c r="BW269" s="539" cm="1">
        <f t="array" aca="1" ref="BW269" ca="1">INDIRECT($BM$2&amp;BW$7&amp;$BT269,1)</f>
        <v>0</v>
      </c>
      <c r="BX269" s="539" cm="1">
        <f t="array" aca="1" ref="BX269" ca="1">INDIRECT($BM$2&amp;BX$7&amp;$BT269,1)</f>
        <v>0</v>
      </c>
      <c r="BY269" s="539" cm="1">
        <f t="array" aca="1" ref="BY269" ca="1">INDIRECT($BM$2&amp;BY$7&amp;$BT269,1)</f>
        <v>0</v>
      </c>
      <c r="BZ269" s="539" t="str">
        <f t="shared" ca="1" si="147"/>
        <v>-</v>
      </c>
      <c r="CC269" s="469">
        <v>4</v>
      </c>
      <c r="CD269" s="539" t="s">
        <v>8054</v>
      </c>
      <c r="CE269" s="539">
        <f t="shared" si="148"/>
        <v>980</v>
      </c>
      <c r="CF269" s="539" cm="1">
        <f t="array" aca="1" ref="CF269" ca="1">INDIRECT($BM$2&amp;CF$7&amp;$CE269,1)</f>
        <v>0</v>
      </c>
      <c r="CG269" s="539" cm="1">
        <f t="array" aca="1" ref="CG269" ca="1">INDIRECT($BM$2&amp;CG$7&amp;$CE269,1)</f>
        <v>0</v>
      </c>
      <c r="CH269" s="539" cm="1">
        <f t="array" aca="1" ref="CH269" ca="1">INDIRECT($BM$2&amp;CH$7&amp;$CE269,1)</f>
        <v>0</v>
      </c>
      <c r="CI269" s="539" cm="1">
        <f t="array" aca="1" ref="CI269" ca="1">INDIRECT($BM$2&amp;CI$7&amp;$CE269,1)</f>
        <v>0</v>
      </c>
      <c r="CJ269" s="539" cm="1">
        <f t="array" aca="1" ref="CJ269" ca="1">INDIRECT($BM$2&amp;CJ$7&amp;$CE269,1)</f>
        <v>0</v>
      </c>
      <c r="CK269" s="539" t="str">
        <f t="shared" ca="1" si="149"/>
        <v>-</v>
      </c>
      <c r="CU269" s="469" t="s">
        <v>5510</v>
      </c>
      <c r="HN269" s="20"/>
      <c r="HP269" s="472"/>
    </row>
    <row r="270" spans="58:224" x14ac:dyDescent="0.25">
      <c r="BF270" s="469" t="s">
        <v>5510</v>
      </c>
      <c r="BH270" s="539" t="s">
        <v>8054</v>
      </c>
      <c r="BI270" s="539">
        <f t="shared" si="144"/>
        <v>289</v>
      </c>
      <c r="BJ270" s="539" cm="1">
        <f t="array" aca="1" ref="BJ270" ca="1">INDIRECT($BM$2&amp;BJ$7&amp;$BI270,1)</f>
        <v>0</v>
      </c>
      <c r="BK270" s="539" cm="1">
        <f t="array" aca="1" ref="BK270" ca="1">INDIRECT($BM$2&amp;BK$7&amp;$BI270,1)</f>
        <v>0</v>
      </c>
      <c r="BL270" s="539" cm="1">
        <f t="array" aca="1" ref="BL270" ca="1">INDIRECT($BM$2&amp;BL$7&amp;$BI270,1)</f>
        <v>0</v>
      </c>
      <c r="BM270" s="539" cm="1">
        <f t="array" aca="1" ref="BM270" ca="1">INDIRECT($BM$2&amp;BM$7&amp;$BI270,1)</f>
        <v>0</v>
      </c>
      <c r="BN270" s="539" cm="1">
        <f t="array" aca="1" ref="BN270" ca="1">INDIRECT($BM$2&amp;BN$7&amp;$BI270,1)</f>
        <v>0</v>
      </c>
      <c r="BO270" s="539" t="str">
        <f t="shared" ca="1" si="145"/>
        <v>-</v>
      </c>
      <c r="BQ270" s="20"/>
      <c r="BR270" s="469">
        <v>5</v>
      </c>
      <c r="BS270" s="539" t="s">
        <v>8054</v>
      </c>
      <c r="BT270" s="539">
        <f t="shared" si="146"/>
        <v>635</v>
      </c>
      <c r="BU270" s="539" cm="1">
        <f t="array" aca="1" ref="BU270" ca="1">INDIRECT($BM$2&amp;BU$7&amp;$BT270,1)</f>
        <v>0</v>
      </c>
      <c r="BV270" s="539" cm="1">
        <f t="array" aca="1" ref="BV270" ca="1">INDIRECT($BM$2&amp;BV$7&amp;$BT270,1)</f>
        <v>0</v>
      </c>
      <c r="BW270" s="539" cm="1">
        <f t="array" aca="1" ref="BW270" ca="1">INDIRECT($BM$2&amp;BW$7&amp;$BT270,1)</f>
        <v>0</v>
      </c>
      <c r="BX270" s="539" cm="1">
        <f t="array" aca="1" ref="BX270" ca="1">INDIRECT($BM$2&amp;BX$7&amp;$BT270,1)</f>
        <v>0</v>
      </c>
      <c r="BY270" s="539" cm="1">
        <f t="array" aca="1" ref="BY270" ca="1">INDIRECT($BM$2&amp;BY$7&amp;$BT270,1)</f>
        <v>0</v>
      </c>
      <c r="BZ270" s="539" t="str">
        <f t="shared" ca="1" si="147"/>
        <v>-</v>
      </c>
      <c r="CC270" s="469">
        <v>5</v>
      </c>
      <c r="CD270" s="539" t="s">
        <v>8054</v>
      </c>
      <c r="CE270" s="539">
        <f t="shared" si="148"/>
        <v>981</v>
      </c>
      <c r="CF270" s="539" cm="1">
        <f t="array" aca="1" ref="CF270" ca="1">INDIRECT($BM$2&amp;CF$7&amp;$CE270,1)</f>
        <v>0</v>
      </c>
      <c r="CG270" s="539" cm="1">
        <f t="array" aca="1" ref="CG270" ca="1">INDIRECT($BM$2&amp;CG$7&amp;$CE270,1)</f>
        <v>0</v>
      </c>
      <c r="CH270" s="539" cm="1">
        <f t="array" aca="1" ref="CH270" ca="1">INDIRECT($BM$2&amp;CH$7&amp;$CE270,1)</f>
        <v>0</v>
      </c>
      <c r="CI270" s="539" cm="1">
        <f t="array" aca="1" ref="CI270" ca="1">INDIRECT($BM$2&amp;CI$7&amp;$CE270,1)</f>
        <v>0</v>
      </c>
      <c r="CJ270" s="539" cm="1">
        <f t="array" aca="1" ref="CJ270" ca="1">INDIRECT($BM$2&amp;CJ$7&amp;$CE270,1)</f>
        <v>0</v>
      </c>
      <c r="CK270" s="539" t="str">
        <f t="shared" ca="1" si="149"/>
        <v>-</v>
      </c>
      <c r="CU270" s="469" t="s">
        <v>5510</v>
      </c>
      <c r="HN270" s="20"/>
      <c r="HP270" s="472"/>
    </row>
    <row r="271" spans="58:224" x14ac:dyDescent="0.25">
      <c r="BF271" s="469" t="s">
        <v>5510</v>
      </c>
      <c r="BH271" s="539" t="s">
        <v>8054</v>
      </c>
      <c r="BI271" s="539">
        <f t="shared" si="144"/>
        <v>290</v>
      </c>
      <c r="BJ271" s="539" cm="1">
        <f t="array" aca="1" ref="BJ271" ca="1">INDIRECT($BM$2&amp;BJ$7&amp;$BI271,1)</f>
        <v>0</v>
      </c>
      <c r="BK271" s="539" cm="1">
        <f t="array" aca="1" ref="BK271" ca="1">INDIRECT($BM$2&amp;BK$7&amp;$BI271,1)</f>
        <v>0</v>
      </c>
      <c r="BL271" s="539" cm="1">
        <f t="array" aca="1" ref="BL271" ca="1">INDIRECT($BM$2&amp;BL$7&amp;$BI271,1)</f>
        <v>0</v>
      </c>
      <c r="BM271" s="539" cm="1">
        <f t="array" aca="1" ref="BM271" ca="1">INDIRECT($BM$2&amp;BM$7&amp;$BI271,1)</f>
        <v>0</v>
      </c>
      <c r="BN271" s="539" cm="1">
        <f t="array" aca="1" ref="BN271" ca="1">INDIRECT($BM$2&amp;BN$7&amp;$BI271,1)</f>
        <v>0</v>
      </c>
      <c r="BO271" s="539" t="str">
        <f t="shared" ca="1" si="145"/>
        <v>-</v>
      </c>
      <c r="BQ271" s="20"/>
      <c r="BR271" s="469">
        <v>6</v>
      </c>
      <c r="BS271" s="539" t="s">
        <v>8054</v>
      </c>
      <c r="BT271" s="539">
        <f t="shared" si="146"/>
        <v>636</v>
      </c>
      <c r="BU271" s="539" cm="1">
        <f t="array" aca="1" ref="BU271" ca="1">INDIRECT($BM$2&amp;BU$7&amp;$BT271,1)</f>
        <v>0</v>
      </c>
      <c r="BV271" s="539" cm="1">
        <f t="array" aca="1" ref="BV271" ca="1">INDIRECT($BM$2&amp;BV$7&amp;$BT271,1)</f>
        <v>0</v>
      </c>
      <c r="BW271" s="539" cm="1">
        <f t="array" aca="1" ref="BW271" ca="1">INDIRECT($BM$2&amp;BW$7&amp;$BT271,1)</f>
        <v>0</v>
      </c>
      <c r="BX271" s="539" cm="1">
        <f t="array" aca="1" ref="BX271" ca="1">INDIRECT($BM$2&amp;BX$7&amp;$BT271,1)</f>
        <v>0</v>
      </c>
      <c r="BY271" s="539" cm="1">
        <f t="array" aca="1" ref="BY271" ca="1">INDIRECT($BM$2&amp;BY$7&amp;$BT271,1)</f>
        <v>0</v>
      </c>
      <c r="BZ271" s="539" t="str">
        <f t="shared" ca="1" si="147"/>
        <v>-</v>
      </c>
      <c r="CC271" s="469">
        <v>6</v>
      </c>
      <c r="CD271" s="539" t="s">
        <v>8054</v>
      </c>
      <c r="CE271" s="539">
        <f t="shared" si="148"/>
        <v>982</v>
      </c>
      <c r="CF271" s="539" cm="1">
        <f t="array" aca="1" ref="CF271" ca="1">INDIRECT($BM$2&amp;CF$7&amp;$CE271,1)</f>
        <v>0</v>
      </c>
      <c r="CG271" s="539" cm="1">
        <f t="array" aca="1" ref="CG271" ca="1">INDIRECT($BM$2&amp;CG$7&amp;$CE271,1)</f>
        <v>0</v>
      </c>
      <c r="CH271" s="539" cm="1">
        <f t="array" aca="1" ref="CH271" ca="1">INDIRECT($BM$2&amp;CH$7&amp;$CE271,1)</f>
        <v>0</v>
      </c>
      <c r="CI271" s="539" cm="1">
        <f t="array" aca="1" ref="CI271" ca="1">INDIRECT($BM$2&amp;CI$7&amp;$CE271,1)</f>
        <v>0</v>
      </c>
      <c r="CJ271" s="539" cm="1">
        <f t="array" aca="1" ref="CJ271" ca="1">INDIRECT($BM$2&amp;CJ$7&amp;$CE271,1)</f>
        <v>0</v>
      </c>
      <c r="CK271" s="539" t="str">
        <f t="shared" ca="1" si="149"/>
        <v>-</v>
      </c>
      <c r="CU271" s="469" t="s">
        <v>5510</v>
      </c>
      <c r="HN271" s="20"/>
      <c r="HP271" s="472"/>
    </row>
    <row r="272" spans="58:224" x14ac:dyDescent="0.25">
      <c r="BF272" s="469" t="s">
        <v>5510</v>
      </c>
      <c r="BH272" s="539" t="s">
        <v>8054</v>
      </c>
      <c r="BI272" s="539">
        <f t="shared" si="144"/>
        <v>291</v>
      </c>
      <c r="BJ272" s="539" cm="1">
        <f t="array" aca="1" ref="BJ272" ca="1">INDIRECT($BM$2&amp;BJ$7&amp;$BI272,1)</f>
        <v>0</v>
      </c>
      <c r="BK272" s="539" cm="1">
        <f t="array" aca="1" ref="BK272" ca="1">INDIRECT($BM$2&amp;BK$7&amp;$BI272,1)</f>
        <v>0</v>
      </c>
      <c r="BL272" s="539" cm="1">
        <f t="array" aca="1" ref="BL272" ca="1">INDIRECT($BM$2&amp;BL$7&amp;$BI272,1)</f>
        <v>0</v>
      </c>
      <c r="BM272" s="539" cm="1">
        <f t="array" aca="1" ref="BM272" ca="1">INDIRECT($BM$2&amp;BM$7&amp;$BI272,1)</f>
        <v>0</v>
      </c>
      <c r="BN272" s="539" cm="1">
        <f t="array" aca="1" ref="BN272" ca="1">INDIRECT($BM$2&amp;BN$7&amp;$BI272,1)</f>
        <v>0</v>
      </c>
      <c r="BO272" s="539" t="str">
        <f t="shared" ca="1" si="145"/>
        <v>-</v>
      </c>
      <c r="BQ272" s="20"/>
      <c r="BR272" s="469">
        <v>7</v>
      </c>
      <c r="BS272" s="539" t="s">
        <v>8054</v>
      </c>
      <c r="BT272" s="539">
        <f t="shared" si="146"/>
        <v>637</v>
      </c>
      <c r="BU272" s="539" cm="1">
        <f t="array" aca="1" ref="BU272" ca="1">INDIRECT($BM$2&amp;BU$7&amp;$BT272,1)</f>
        <v>0</v>
      </c>
      <c r="BV272" s="539" cm="1">
        <f t="array" aca="1" ref="BV272" ca="1">INDIRECT($BM$2&amp;BV$7&amp;$BT272,1)</f>
        <v>0</v>
      </c>
      <c r="BW272" s="539" cm="1">
        <f t="array" aca="1" ref="BW272" ca="1">INDIRECT($BM$2&amp;BW$7&amp;$BT272,1)</f>
        <v>0</v>
      </c>
      <c r="BX272" s="539" cm="1">
        <f t="array" aca="1" ref="BX272" ca="1">INDIRECT($BM$2&amp;BX$7&amp;$BT272,1)</f>
        <v>0</v>
      </c>
      <c r="BY272" s="539" cm="1">
        <f t="array" aca="1" ref="BY272" ca="1">INDIRECT($BM$2&amp;BY$7&amp;$BT272,1)</f>
        <v>0</v>
      </c>
      <c r="BZ272" s="539" t="str">
        <f t="shared" ca="1" si="147"/>
        <v>-</v>
      </c>
      <c r="CC272" s="469">
        <v>7</v>
      </c>
      <c r="CD272" s="539" t="s">
        <v>8054</v>
      </c>
      <c r="CE272" s="539">
        <f t="shared" si="148"/>
        <v>983</v>
      </c>
      <c r="CF272" s="539" cm="1">
        <f t="array" aca="1" ref="CF272" ca="1">INDIRECT($BM$2&amp;CF$7&amp;$CE272,1)</f>
        <v>0</v>
      </c>
      <c r="CG272" s="539" cm="1">
        <f t="array" aca="1" ref="CG272" ca="1">INDIRECT($BM$2&amp;CG$7&amp;$CE272,1)</f>
        <v>0</v>
      </c>
      <c r="CH272" s="539" cm="1">
        <f t="array" aca="1" ref="CH272" ca="1">INDIRECT($BM$2&amp;CH$7&amp;$CE272,1)</f>
        <v>0</v>
      </c>
      <c r="CI272" s="539" cm="1">
        <f t="array" aca="1" ref="CI272" ca="1">INDIRECT($BM$2&amp;CI$7&amp;$CE272,1)</f>
        <v>0</v>
      </c>
      <c r="CJ272" s="539" cm="1">
        <f t="array" aca="1" ref="CJ272" ca="1">INDIRECT($BM$2&amp;CJ$7&amp;$CE272,1)</f>
        <v>0</v>
      </c>
      <c r="CK272" s="539" t="str">
        <f t="shared" ca="1" si="149"/>
        <v>-</v>
      </c>
      <c r="CU272" s="469" t="s">
        <v>5510</v>
      </c>
      <c r="HN272" s="20"/>
      <c r="HP272" s="472"/>
    </row>
    <row r="273" spans="58:224" x14ac:dyDescent="0.25">
      <c r="BF273" s="469" t="s">
        <v>5510</v>
      </c>
      <c r="BH273" s="539" t="s">
        <v>8054</v>
      </c>
      <c r="BI273" s="539">
        <f t="shared" si="144"/>
        <v>292</v>
      </c>
      <c r="BJ273" s="539" cm="1">
        <f t="array" aca="1" ref="BJ273" ca="1">INDIRECT($BM$2&amp;BJ$7&amp;$BI273,1)</f>
        <v>0</v>
      </c>
      <c r="BK273" s="539" cm="1">
        <f t="array" aca="1" ref="BK273" ca="1">INDIRECT($BM$2&amp;BK$7&amp;$BI273,1)</f>
        <v>0</v>
      </c>
      <c r="BL273" s="539" cm="1">
        <f t="array" aca="1" ref="BL273" ca="1">INDIRECT($BM$2&amp;BL$7&amp;$BI273,1)</f>
        <v>0</v>
      </c>
      <c r="BM273" s="539" cm="1">
        <f t="array" aca="1" ref="BM273" ca="1">INDIRECT($BM$2&amp;BM$7&amp;$BI273,1)</f>
        <v>0</v>
      </c>
      <c r="BN273" s="539" cm="1">
        <f t="array" aca="1" ref="BN273" ca="1">INDIRECT($BM$2&amp;BN$7&amp;$BI273,1)</f>
        <v>0</v>
      </c>
      <c r="BO273" s="539" t="str">
        <f t="shared" ca="1" si="145"/>
        <v>-</v>
      </c>
      <c r="BQ273" s="20"/>
      <c r="BR273" s="469">
        <v>8</v>
      </c>
      <c r="BS273" s="539" t="s">
        <v>8054</v>
      </c>
      <c r="BT273" s="539">
        <f t="shared" si="146"/>
        <v>638</v>
      </c>
      <c r="BU273" s="539" cm="1">
        <f t="array" aca="1" ref="BU273" ca="1">INDIRECT($BM$2&amp;BU$7&amp;$BT273,1)</f>
        <v>0</v>
      </c>
      <c r="BV273" s="539" cm="1">
        <f t="array" aca="1" ref="BV273" ca="1">INDIRECT($BM$2&amp;BV$7&amp;$BT273,1)</f>
        <v>0</v>
      </c>
      <c r="BW273" s="539" cm="1">
        <f t="array" aca="1" ref="BW273" ca="1">INDIRECT($BM$2&amp;BW$7&amp;$BT273,1)</f>
        <v>0</v>
      </c>
      <c r="BX273" s="539" cm="1">
        <f t="array" aca="1" ref="BX273" ca="1">INDIRECT($BM$2&amp;BX$7&amp;$BT273,1)</f>
        <v>0</v>
      </c>
      <c r="BY273" s="539" cm="1">
        <f t="array" aca="1" ref="BY273" ca="1">INDIRECT($BM$2&amp;BY$7&amp;$BT273,1)</f>
        <v>0</v>
      </c>
      <c r="BZ273" s="539" t="str">
        <f t="shared" ca="1" si="147"/>
        <v>-</v>
      </c>
      <c r="CC273" s="469">
        <v>8</v>
      </c>
      <c r="CD273" s="539" t="s">
        <v>8054</v>
      </c>
      <c r="CE273" s="539">
        <f t="shared" si="148"/>
        <v>984</v>
      </c>
      <c r="CF273" s="539" cm="1">
        <f t="array" aca="1" ref="CF273" ca="1">INDIRECT($BM$2&amp;CF$7&amp;$CE273,1)</f>
        <v>0</v>
      </c>
      <c r="CG273" s="539" cm="1">
        <f t="array" aca="1" ref="CG273" ca="1">INDIRECT($BM$2&amp;CG$7&amp;$CE273,1)</f>
        <v>0</v>
      </c>
      <c r="CH273" s="539" cm="1">
        <f t="array" aca="1" ref="CH273" ca="1">INDIRECT($BM$2&amp;CH$7&amp;$CE273,1)</f>
        <v>0</v>
      </c>
      <c r="CI273" s="539" cm="1">
        <f t="array" aca="1" ref="CI273" ca="1">INDIRECT($BM$2&amp;CI$7&amp;$CE273,1)</f>
        <v>0</v>
      </c>
      <c r="CJ273" s="539" cm="1">
        <f t="array" aca="1" ref="CJ273" ca="1">INDIRECT($BM$2&amp;CJ$7&amp;$CE273,1)</f>
        <v>0</v>
      </c>
      <c r="CK273" s="539" t="str">
        <f t="shared" ca="1" si="149"/>
        <v>-</v>
      </c>
      <c r="CU273" s="469" t="s">
        <v>5510</v>
      </c>
      <c r="HN273" s="20"/>
      <c r="HP273" s="472"/>
    </row>
    <row r="274" spans="58:224" x14ac:dyDescent="0.25">
      <c r="BF274" s="469" t="s">
        <v>5510</v>
      </c>
      <c r="BH274" s="539" t="s">
        <v>8054</v>
      </c>
      <c r="BI274" s="539">
        <f t="shared" si="144"/>
        <v>293</v>
      </c>
      <c r="BJ274" s="539" cm="1">
        <f t="array" aca="1" ref="BJ274" ca="1">INDIRECT($BM$2&amp;BJ$7&amp;$BI274,1)</f>
        <v>0</v>
      </c>
      <c r="BK274" s="539" cm="1">
        <f t="array" aca="1" ref="BK274" ca="1">INDIRECT($BM$2&amp;BK$7&amp;$BI274,1)</f>
        <v>0</v>
      </c>
      <c r="BL274" s="539" cm="1">
        <f t="array" aca="1" ref="BL274" ca="1">INDIRECT($BM$2&amp;BL$7&amp;$BI274,1)</f>
        <v>0</v>
      </c>
      <c r="BM274" s="539" cm="1">
        <f t="array" aca="1" ref="BM274" ca="1">INDIRECT($BM$2&amp;BM$7&amp;$BI274,1)</f>
        <v>0</v>
      </c>
      <c r="BN274" s="539" cm="1">
        <f t="array" aca="1" ref="BN274" ca="1">INDIRECT($BM$2&amp;BN$7&amp;$BI274,1)</f>
        <v>0</v>
      </c>
      <c r="BO274" s="539" t="str">
        <f t="shared" ca="1" si="145"/>
        <v>-</v>
      </c>
      <c r="BQ274" s="20"/>
      <c r="BR274" s="469">
        <v>9</v>
      </c>
      <c r="BS274" s="539" t="s">
        <v>8054</v>
      </c>
      <c r="BT274" s="539">
        <f t="shared" si="146"/>
        <v>639</v>
      </c>
      <c r="BU274" s="539" cm="1">
        <f t="array" aca="1" ref="BU274" ca="1">INDIRECT($BM$2&amp;BU$7&amp;$BT274,1)</f>
        <v>0</v>
      </c>
      <c r="BV274" s="539" cm="1">
        <f t="array" aca="1" ref="BV274" ca="1">INDIRECT($BM$2&amp;BV$7&amp;$BT274,1)</f>
        <v>0</v>
      </c>
      <c r="BW274" s="539" cm="1">
        <f t="array" aca="1" ref="BW274" ca="1">INDIRECT($BM$2&amp;BW$7&amp;$BT274,1)</f>
        <v>0</v>
      </c>
      <c r="BX274" s="539" cm="1">
        <f t="array" aca="1" ref="BX274" ca="1">INDIRECT($BM$2&amp;BX$7&amp;$BT274,1)</f>
        <v>0</v>
      </c>
      <c r="BY274" s="539" cm="1">
        <f t="array" aca="1" ref="BY274" ca="1">INDIRECT($BM$2&amp;BY$7&amp;$BT274,1)</f>
        <v>0</v>
      </c>
      <c r="BZ274" s="539" t="str">
        <f t="shared" ca="1" si="147"/>
        <v>-</v>
      </c>
      <c r="CC274" s="469">
        <v>9</v>
      </c>
      <c r="CD274" s="539" t="s">
        <v>8054</v>
      </c>
      <c r="CE274" s="539">
        <f t="shared" si="148"/>
        <v>985</v>
      </c>
      <c r="CF274" s="539" cm="1">
        <f t="array" aca="1" ref="CF274" ca="1">INDIRECT($BM$2&amp;CF$7&amp;$CE274,1)</f>
        <v>0</v>
      </c>
      <c r="CG274" s="539" cm="1">
        <f t="array" aca="1" ref="CG274" ca="1">INDIRECT($BM$2&amp;CG$7&amp;$CE274,1)</f>
        <v>0</v>
      </c>
      <c r="CH274" s="539" cm="1">
        <f t="array" aca="1" ref="CH274" ca="1">INDIRECT($BM$2&amp;CH$7&amp;$CE274,1)</f>
        <v>0</v>
      </c>
      <c r="CI274" s="539" cm="1">
        <f t="array" aca="1" ref="CI274" ca="1">INDIRECT($BM$2&amp;CI$7&amp;$CE274,1)</f>
        <v>0</v>
      </c>
      <c r="CJ274" s="539" cm="1">
        <f t="array" aca="1" ref="CJ274" ca="1">INDIRECT($BM$2&amp;CJ$7&amp;$CE274,1)</f>
        <v>0</v>
      </c>
      <c r="CK274" s="539" t="str">
        <f t="shared" ca="1" si="149"/>
        <v>-</v>
      </c>
      <c r="CU274" s="469" t="s">
        <v>5510</v>
      </c>
      <c r="HN274" s="20"/>
      <c r="HP274" s="472"/>
    </row>
    <row r="275" spans="58:224" x14ac:dyDescent="0.25">
      <c r="BF275" s="469" t="s">
        <v>5510</v>
      </c>
      <c r="BH275" s="539" t="s">
        <v>8054</v>
      </c>
      <c r="BI275" s="539">
        <f t="shared" si="144"/>
        <v>294</v>
      </c>
      <c r="BJ275" s="539" cm="1">
        <f t="array" aca="1" ref="BJ275" ca="1">INDIRECT($BM$2&amp;BJ$7&amp;$BI275,1)</f>
        <v>0</v>
      </c>
      <c r="BK275" s="539" cm="1">
        <f t="array" aca="1" ref="BK275" ca="1">INDIRECT($BM$2&amp;BK$7&amp;$BI275,1)</f>
        <v>0</v>
      </c>
      <c r="BL275" s="539" cm="1">
        <f t="array" aca="1" ref="BL275" ca="1">INDIRECT($BM$2&amp;BL$7&amp;$BI275,1)</f>
        <v>0</v>
      </c>
      <c r="BM275" s="539" cm="1">
        <f t="array" aca="1" ref="BM275" ca="1">INDIRECT($BM$2&amp;BM$7&amp;$BI275,1)</f>
        <v>0</v>
      </c>
      <c r="BN275" s="539" cm="1">
        <f t="array" aca="1" ref="BN275" ca="1">INDIRECT($BM$2&amp;BN$7&amp;$BI275,1)</f>
        <v>0</v>
      </c>
      <c r="BO275" s="539" t="str">
        <f t="shared" ca="1" si="145"/>
        <v>-</v>
      </c>
      <c r="BQ275" s="20"/>
      <c r="BR275" s="469">
        <v>10</v>
      </c>
      <c r="BS275" s="539" t="s">
        <v>8054</v>
      </c>
      <c r="BT275" s="539">
        <f t="shared" si="146"/>
        <v>640</v>
      </c>
      <c r="BU275" s="539" cm="1">
        <f t="array" aca="1" ref="BU275" ca="1">INDIRECT($BM$2&amp;BU$7&amp;$BT275,1)</f>
        <v>0</v>
      </c>
      <c r="BV275" s="539" cm="1">
        <f t="array" aca="1" ref="BV275" ca="1">INDIRECT($BM$2&amp;BV$7&amp;$BT275,1)</f>
        <v>0</v>
      </c>
      <c r="BW275" s="539" cm="1">
        <f t="array" aca="1" ref="BW275" ca="1">INDIRECT($BM$2&amp;BW$7&amp;$BT275,1)</f>
        <v>0</v>
      </c>
      <c r="BX275" s="539" cm="1">
        <f t="array" aca="1" ref="BX275" ca="1">INDIRECT($BM$2&amp;BX$7&amp;$BT275,1)</f>
        <v>0</v>
      </c>
      <c r="BY275" s="539" cm="1">
        <f t="array" aca="1" ref="BY275" ca="1">INDIRECT($BM$2&amp;BY$7&amp;$BT275,1)</f>
        <v>0</v>
      </c>
      <c r="BZ275" s="539" t="str">
        <f t="shared" ca="1" si="147"/>
        <v>-</v>
      </c>
      <c r="CC275" s="469">
        <v>10</v>
      </c>
      <c r="CD275" s="539" t="s">
        <v>8054</v>
      </c>
      <c r="CE275" s="539">
        <f t="shared" si="148"/>
        <v>986</v>
      </c>
      <c r="CF275" s="539" cm="1">
        <f t="array" aca="1" ref="CF275" ca="1">INDIRECT($BM$2&amp;CF$7&amp;$CE275,1)</f>
        <v>0</v>
      </c>
      <c r="CG275" s="539" cm="1">
        <f t="array" aca="1" ref="CG275" ca="1">INDIRECT($BM$2&amp;CG$7&amp;$CE275,1)</f>
        <v>0</v>
      </c>
      <c r="CH275" s="539" cm="1">
        <f t="array" aca="1" ref="CH275" ca="1">INDIRECT($BM$2&amp;CH$7&amp;$CE275,1)</f>
        <v>0</v>
      </c>
      <c r="CI275" s="539" cm="1">
        <f t="array" aca="1" ref="CI275" ca="1">INDIRECT($BM$2&amp;CI$7&amp;$CE275,1)</f>
        <v>0</v>
      </c>
      <c r="CJ275" s="539" cm="1">
        <f t="array" aca="1" ref="CJ275" ca="1">INDIRECT($BM$2&amp;CJ$7&amp;$CE275,1)</f>
        <v>0</v>
      </c>
      <c r="CK275" s="539" t="str">
        <f t="shared" ca="1" si="149"/>
        <v>-</v>
      </c>
      <c r="CU275" s="469" t="s">
        <v>5510</v>
      </c>
      <c r="HN275" s="20"/>
      <c r="HP275" s="472"/>
    </row>
    <row r="276" spans="58:224" x14ac:dyDescent="0.25">
      <c r="BF276" s="469" t="s">
        <v>5510</v>
      </c>
      <c r="BH276" s="539" t="s">
        <v>8054</v>
      </c>
      <c r="BI276" s="539">
        <f t="shared" si="144"/>
        <v>295</v>
      </c>
      <c r="BJ276" s="539" cm="1">
        <f t="array" aca="1" ref="BJ276" ca="1">INDIRECT($BM$2&amp;BJ$7&amp;$BI276,1)</f>
        <v>0</v>
      </c>
      <c r="BK276" s="539" cm="1">
        <f t="array" aca="1" ref="BK276" ca="1">INDIRECT($BM$2&amp;BK$7&amp;$BI276,1)</f>
        <v>0</v>
      </c>
      <c r="BL276" s="539" cm="1">
        <f t="array" aca="1" ref="BL276" ca="1">INDIRECT($BM$2&amp;BL$7&amp;$BI276,1)</f>
        <v>0</v>
      </c>
      <c r="BM276" s="539" cm="1">
        <f t="array" aca="1" ref="BM276" ca="1">INDIRECT($BM$2&amp;BM$7&amp;$BI276,1)</f>
        <v>0</v>
      </c>
      <c r="BN276" s="539" cm="1">
        <f t="array" aca="1" ref="BN276" ca="1">INDIRECT($BM$2&amp;BN$7&amp;$BI276,1)</f>
        <v>0</v>
      </c>
      <c r="BO276" s="539" t="str">
        <f t="shared" ca="1" si="145"/>
        <v>-</v>
      </c>
      <c r="BQ276" s="20"/>
      <c r="BR276" s="469">
        <v>11</v>
      </c>
      <c r="BS276" s="539" t="s">
        <v>8054</v>
      </c>
      <c r="BT276" s="539">
        <f t="shared" si="146"/>
        <v>641</v>
      </c>
      <c r="BU276" s="539" cm="1">
        <f t="array" aca="1" ref="BU276" ca="1">INDIRECT($BM$2&amp;BU$7&amp;$BT276,1)</f>
        <v>0</v>
      </c>
      <c r="BV276" s="539" cm="1">
        <f t="array" aca="1" ref="BV276" ca="1">INDIRECT($BM$2&amp;BV$7&amp;$BT276,1)</f>
        <v>0</v>
      </c>
      <c r="BW276" s="539" cm="1">
        <f t="array" aca="1" ref="BW276" ca="1">INDIRECT($BM$2&amp;BW$7&amp;$BT276,1)</f>
        <v>0</v>
      </c>
      <c r="BX276" s="539" cm="1">
        <f t="array" aca="1" ref="BX276" ca="1">INDIRECT($BM$2&amp;BX$7&amp;$BT276,1)</f>
        <v>0</v>
      </c>
      <c r="BY276" s="539" cm="1">
        <f t="array" aca="1" ref="BY276" ca="1">INDIRECT($BM$2&amp;BY$7&amp;$BT276,1)</f>
        <v>0</v>
      </c>
      <c r="BZ276" s="539" t="str">
        <f t="shared" ca="1" si="147"/>
        <v>-</v>
      </c>
      <c r="CC276" s="469">
        <v>11</v>
      </c>
      <c r="CD276" s="539" t="s">
        <v>8054</v>
      </c>
      <c r="CE276" s="539">
        <f t="shared" si="148"/>
        <v>987</v>
      </c>
      <c r="CF276" s="539" cm="1">
        <f t="array" aca="1" ref="CF276" ca="1">INDIRECT($BM$2&amp;CF$7&amp;$CE276,1)</f>
        <v>0</v>
      </c>
      <c r="CG276" s="539" cm="1">
        <f t="array" aca="1" ref="CG276" ca="1">INDIRECT($BM$2&amp;CG$7&amp;$CE276,1)</f>
        <v>0</v>
      </c>
      <c r="CH276" s="539" cm="1">
        <f t="array" aca="1" ref="CH276" ca="1">INDIRECT($BM$2&amp;CH$7&amp;$CE276,1)</f>
        <v>0</v>
      </c>
      <c r="CI276" s="539" cm="1">
        <f t="array" aca="1" ref="CI276" ca="1">INDIRECT($BM$2&amp;CI$7&amp;$CE276,1)</f>
        <v>0</v>
      </c>
      <c r="CJ276" s="539" cm="1">
        <f t="array" aca="1" ref="CJ276" ca="1">INDIRECT($BM$2&amp;CJ$7&amp;$CE276,1)</f>
        <v>0</v>
      </c>
      <c r="CK276" s="539" t="str">
        <f t="shared" ca="1" si="149"/>
        <v>-</v>
      </c>
      <c r="CU276" s="469" t="s">
        <v>5510</v>
      </c>
      <c r="HN276" s="20"/>
      <c r="HP276" s="472"/>
    </row>
    <row r="277" spans="58:224" x14ac:dyDescent="0.25">
      <c r="BF277" s="469" t="s">
        <v>5510</v>
      </c>
      <c r="BH277" s="539" t="s">
        <v>8054</v>
      </c>
      <c r="BI277" s="539">
        <f t="shared" si="144"/>
        <v>296</v>
      </c>
      <c r="BJ277" s="539" cm="1">
        <f t="array" aca="1" ref="BJ277" ca="1">INDIRECT($BM$2&amp;BJ$7&amp;$BI277,1)</f>
        <v>0</v>
      </c>
      <c r="BK277" s="539" cm="1">
        <f t="array" aca="1" ref="BK277" ca="1">INDIRECT($BM$2&amp;BK$7&amp;$BI277,1)</f>
        <v>0</v>
      </c>
      <c r="BL277" s="539" cm="1">
        <f t="array" aca="1" ref="BL277" ca="1">INDIRECT($BM$2&amp;BL$7&amp;$BI277,1)</f>
        <v>0</v>
      </c>
      <c r="BM277" s="539" cm="1">
        <f t="array" aca="1" ref="BM277" ca="1">INDIRECT($BM$2&amp;BM$7&amp;$BI277,1)</f>
        <v>0</v>
      </c>
      <c r="BN277" s="539" t="str" cm="1">
        <f t="array" aca="1" ref="BN277" ca="1">INDIRECT($BM$2&amp;BN$7&amp;$BI277,1)</f>
        <v>-</v>
      </c>
      <c r="BO277" s="539" t="str">
        <f t="shared" ca="1" si="145"/>
        <v>-</v>
      </c>
      <c r="BQ277" s="20"/>
      <c r="BR277" s="469">
        <v>12</v>
      </c>
      <c r="BS277" s="539" t="s">
        <v>8054</v>
      </c>
      <c r="BT277" s="539">
        <f t="shared" si="146"/>
        <v>642</v>
      </c>
      <c r="BU277" s="539" cm="1">
        <f t="array" aca="1" ref="BU277" ca="1">INDIRECT($BM$2&amp;BU$7&amp;$BT277,1)</f>
        <v>0</v>
      </c>
      <c r="BV277" s="539" cm="1">
        <f t="array" aca="1" ref="BV277" ca="1">INDIRECT($BM$2&amp;BV$7&amp;$BT277,1)</f>
        <v>0</v>
      </c>
      <c r="BW277" s="539" cm="1">
        <f t="array" aca="1" ref="BW277" ca="1">INDIRECT($BM$2&amp;BW$7&amp;$BT277,1)</f>
        <v>0</v>
      </c>
      <c r="BX277" s="539" cm="1">
        <f t="array" aca="1" ref="BX277" ca="1">INDIRECT($BM$2&amp;BX$7&amp;$BT277,1)</f>
        <v>0</v>
      </c>
      <c r="BY277" s="539" t="str" cm="1">
        <f t="array" aca="1" ref="BY277" ca="1">INDIRECT($BM$2&amp;BY$7&amp;$BT277,1)</f>
        <v>-</v>
      </c>
      <c r="BZ277" s="539" t="str">
        <f t="shared" ca="1" si="147"/>
        <v>-</v>
      </c>
      <c r="CC277" s="469">
        <v>12</v>
      </c>
      <c r="CD277" s="539" t="s">
        <v>8054</v>
      </c>
      <c r="CE277" s="539">
        <f t="shared" si="148"/>
        <v>988</v>
      </c>
      <c r="CF277" s="539" cm="1">
        <f t="array" aca="1" ref="CF277" ca="1">INDIRECT($BM$2&amp;CF$7&amp;$CE277,1)</f>
        <v>0</v>
      </c>
      <c r="CG277" s="539" cm="1">
        <f t="array" aca="1" ref="CG277" ca="1">INDIRECT($BM$2&amp;CG$7&amp;$CE277,1)</f>
        <v>0</v>
      </c>
      <c r="CH277" s="539" cm="1">
        <f t="array" aca="1" ref="CH277" ca="1">INDIRECT($BM$2&amp;CH$7&amp;$CE277,1)</f>
        <v>0</v>
      </c>
      <c r="CI277" s="539" cm="1">
        <f t="array" aca="1" ref="CI277" ca="1">INDIRECT($BM$2&amp;CI$7&amp;$CE277,1)</f>
        <v>0</v>
      </c>
      <c r="CJ277" s="539" t="str" cm="1">
        <f t="array" aca="1" ref="CJ277" ca="1">INDIRECT($BM$2&amp;CJ$7&amp;$CE277,1)</f>
        <v>-</v>
      </c>
      <c r="CK277" s="539" t="str">
        <f t="shared" ca="1" si="149"/>
        <v>-</v>
      </c>
      <c r="CU277" s="469" t="s">
        <v>5510</v>
      </c>
      <c r="HN277" s="20"/>
      <c r="HP277" s="472"/>
    </row>
    <row r="278" spans="58:224" x14ac:dyDescent="0.25">
      <c r="BF278" s="469" t="s">
        <v>5510</v>
      </c>
      <c r="BL278" s="372"/>
      <c r="BO278" s="472"/>
      <c r="BQ278" s="20"/>
      <c r="BT278" s="372"/>
      <c r="BU278" s="472"/>
      <c r="BV278" s="472"/>
      <c r="BW278" s="372"/>
      <c r="BX278" s="472"/>
      <c r="BY278" s="372"/>
      <c r="BZ278" s="472"/>
      <c r="CE278" s="372"/>
      <c r="CF278" s="472"/>
      <c r="CG278" s="472"/>
      <c r="CH278" s="372"/>
      <c r="CI278" s="472"/>
      <c r="CJ278" s="372"/>
      <c r="CK278" s="472"/>
      <c r="CU278" s="469" t="s">
        <v>5510</v>
      </c>
      <c r="HN278" s="20"/>
      <c r="HP278" s="472"/>
    </row>
    <row r="279" spans="58:224" x14ac:dyDescent="0.25">
      <c r="BF279" s="469" t="s">
        <v>5510</v>
      </c>
      <c r="BL279" s="372"/>
      <c r="BO279" s="472"/>
      <c r="BQ279" s="20"/>
      <c r="BT279" s="372"/>
      <c r="BU279" s="472"/>
      <c r="BV279" s="472"/>
      <c r="BW279" s="372"/>
      <c r="BX279" s="472"/>
      <c r="BY279" s="372"/>
      <c r="BZ279" s="472"/>
      <c r="CE279" s="372"/>
      <c r="CF279" s="472"/>
      <c r="CG279" s="472"/>
      <c r="CH279" s="372"/>
      <c r="CI279" s="472"/>
      <c r="CJ279" s="372"/>
      <c r="CK279" s="472"/>
      <c r="CU279" s="469" t="s">
        <v>5510</v>
      </c>
      <c r="HN279" s="20"/>
      <c r="HP279" s="472"/>
    </row>
    <row r="280" spans="58:224" x14ac:dyDescent="0.25">
      <c r="BF280" s="469" t="s">
        <v>5510</v>
      </c>
      <c r="BQ280" s="20"/>
      <c r="BT280" s="372"/>
      <c r="BU280" s="472"/>
      <c r="BV280" s="472"/>
      <c r="BW280" s="472"/>
      <c r="BX280" s="472"/>
      <c r="BY280" s="372"/>
      <c r="BZ280" s="372"/>
      <c r="CE280" s="372"/>
      <c r="CF280" s="472"/>
      <c r="CG280" s="472"/>
      <c r="CH280" s="472"/>
      <c r="CI280" s="472"/>
      <c r="CJ280" s="372"/>
      <c r="CK280" s="372"/>
      <c r="CU280" s="469" t="s">
        <v>5510</v>
      </c>
      <c r="HN280" s="20"/>
      <c r="HP280" s="472"/>
    </row>
    <row r="281" spans="58:224" x14ac:dyDescent="0.25">
      <c r="BF281" s="469" t="s">
        <v>5510</v>
      </c>
      <c r="BQ281" s="20"/>
      <c r="BT281" s="372"/>
      <c r="BU281" s="472"/>
      <c r="BV281" s="472"/>
      <c r="BW281" s="472"/>
      <c r="BX281" s="472"/>
      <c r="BY281" s="372"/>
      <c r="BZ281" s="372"/>
      <c r="CE281" s="372"/>
      <c r="CF281" s="472"/>
      <c r="CG281" s="472"/>
      <c r="CH281" s="472"/>
      <c r="CI281" s="472"/>
      <c r="CJ281" s="372"/>
      <c r="CK281" s="372"/>
      <c r="CU281" s="469" t="s">
        <v>5510</v>
      </c>
      <c r="HN281" s="20"/>
      <c r="HP281" s="472"/>
    </row>
    <row r="282" spans="58:224" x14ac:dyDescent="0.25">
      <c r="BF282" s="469" t="s">
        <v>5510</v>
      </c>
      <c r="BH282" s="539" t="s">
        <v>8055</v>
      </c>
      <c r="BI282" s="539">
        <f>BI277+$BO$5</f>
        <v>302</v>
      </c>
      <c r="BJ282" s="539" cm="1">
        <f t="array" aca="1" ref="BJ282" ca="1">INDIRECT($BM$2&amp;BJ$7&amp;$BI282,1)</f>
        <v>0</v>
      </c>
      <c r="BK282" s="539" cm="1">
        <f t="array" aca="1" ref="BK282" ca="1">INDIRECT($BM$2&amp;BK$7&amp;$BI282,1)</f>
        <v>0</v>
      </c>
      <c r="BL282" s="539" cm="1">
        <f t="array" aca="1" ref="BL282" ca="1">INDIRECT($BM$2&amp;BL$7&amp;$BI282,1)</f>
        <v>0</v>
      </c>
      <c r="BM282" s="539" cm="1">
        <f t="array" aca="1" ref="BM282" ca="1">INDIRECT($BM$2&amp;BM$7&amp;$BI282,1)</f>
        <v>0</v>
      </c>
      <c r="BN282" s="539" cm="1">
        <f t="array" aca="1" ref="BN282" ca="1">INDIRECT($BM$2&amp;BN$7&amp;$BI282,1)</f>
        <v>0</v>
      </c>
      <c r="BO282" s="539" t="str">
        <f ca="1">IFERROR(BK282/BK$282,"-")</f>
        <v>-</v>
      </c>
      <c r="BQ282" s="20"/>
      <c r="BR282" s="469">
        <v>1</v>
      </c>
      <c r="BS282" s="539" t="s">
        <v>8055</v>
      </c>
      <c r="BT282" s="539">
        <f>BT277+$BO$5</f>
        <v>648</v>
      </c>
      <c r="BU282" s="539" cm="1">
        <f t="array" aca="1" ref="BU282" ca="1">INDIRECT($BM$2&amp;BU$7&amp;$BT282,1)</f>
        <v>0</v>
      </c>
      <c r="BV282" s="539" cm="1">
        <f t="array" aca="1" ref="BV282" ca="1">INDIRECT($BM$2&amp;BV$7&amp;$BT282,1)</f>
        <v>0</v>
      </c>
      <c r="BW282" s="539" cm="1">
        <f t="array" aca="1" ref="BW282" ca="1">INDIRECT($BM$2&amp;BW$7&amp;$BT282,1)</f>
        <v>0</v>
      </c>
      <c r="BX282" s="539" cm="1">
        <f t="array" aca="1" ref="BX282" ca="1">INDIRECT($BM$2&amp;BX$7&amp;$BT282,1)</f>
        <v>0</v>
      </c>
      <c r="BY282" s="539" cm="1">
        <f t="array" aca="1" ref="BY282" ca="1">INDIRECT($BM$2&amp;BY$7&amp;$BT282,1)</f>
        <v>0</v>
      </c>
      <c r="BZ282" s="539" t="str">
        <f ca="1">IFERROR(BV282/BV$282,"-")</f>
        <v>-</v>
      </c>
      <c r="CC282" s="469">
        <v>1</v>
      </c>
      <c r="CD282" s="539" t="s">
        <v>8055</v>
      </c>
      <c r="CE282" s="539">
        <f>CE277+$BO$5</f>
        <v>994</v>
      </c>
      <c r="CF282" s="539" cm="1">
        <f t="array" aca="1" ref="CF282" ca="1">INDIRECT($BM$2&amp;CF$7&amp;$CE282,1)</f>
        <v>0</v>
      </c>
      <c r="CG282" s="539" cm="1">
        <f t="array" aca="1" ref="CG282" ca="1">INDIRECT($BM$2&amp;CG$7&amp;$CE282,1)</f>
        <v>0</v>
      </c>
      <c r="CH282" s="539" cm="1">
        <f t="array" aca="1" ref="CH282" ca="1">INDIRECT($BM$2&amp;CH$7&amp;$CE282,1)</f>
        <v>0</v>
      </c>
      <c r="CI282" s="539" cm="1">
        <f t="array" aca="1" ref="CI282" ca="1">INDIRECT($BM$2&amp;CI$7&amp;$CE282,1)</f>
        <v>0</v>
      </c>
      <c r="CJ282" s="539" cm="1">
        <f t="array" aca="1" ref="CJ282" ca="1">INDIRECT($BM$2&amp;CJ$7&amp;$CE282,1)</f>
        <v>0</v>
      </c>
      <c r="CK282" s="539" t="str">
        <f ca="1">IFERROR(CG282/CG$282,"-")</f>
        <v>-</v>
      </c>
      <c r="CU282" s="469" t="s">
        <v>5510</v>
      </c>
      <c r="HN282" s="20"/>
      <c r="HP282" s="472"/>
    </row>
    <row r="283" spans="58:224" x14ac:dyDescent="0.25">
      <c r="BF283" s="469" t="s">
        <v>5510</v>
      </c>
      <c r="BH283" s="539" t="s">
        <v>8055</v>
      </c>
      <c r="BI283" s="539">
        <f t="shared" ref="BI283:BI293" si="150">BI282+1</f>
        <v>303</v>
      </c>
      <c r="BJ283" s="539" cm="1">
        <f t="array" aca="1" ref="BJ283" ca="1">INDIRECT($BM$2&amp;BJ$7&amp;$BI283,1)</f>
        <v>0</v>
      </c>
      <c r="BK283" s="539" cm="1">
        <f t="array" aca="1" ref="BK283" ca="1">INDIRECT($BM$2&amp;BK$7&amp;$BI283,1)</f>
        <v>0</v>
      </c>
      <c r="BL283" s="539" cm="1">
        <f t="array" aca="1" ref="BL283" ca="1">INDIRECT($BM$2&amp;BL$7&amp;$BI283,1)</f>
        <v>0</v>
      </c>
      <c r="BM283" s="539" cm="1">
        <f t="array" aca="1" ref="BM283" ca="1">INDIRECT($BM$2&amp;BM$7&amp;$BI283,1)</f>
        <v>0</v>
      </c>
      <c r="BN283" s="539" cm="1">
        <f t="array" aca="1" ref="BN283" ca="1">INDIRECT($BM$2&amp;BN$7&amp;$BI283,1)</f>
        <v>0</v>
      </c>
      <c r="BO283" s="539" t="str">
        <f t="shared" ref="BO283:BO293" ca="1" si="151">IF(BK283=0,"-",IFERROR(BK283/BK$282,"-"))</f>
        <v>-</v>
      </c>
      <c r="BQ283" s="20"/>
      <c r="BR283" s="469">
        <v>2</v>
      </c>
      <c r="BS283" s="539" t="s">
        <v>8055</v>
      </c>
      <c r="BT283" s="539">
        <f t="shared" ref="BT283:BT293" si="152">BT282+1</f>
        <v>649</v>
      </c>
      <c r="BU283" s="539" cm="1">
        <f t="array" aca="1" ref="BU283" ca="1">INDIRECT($BM$2&amp;BU$7&amp;$BT283,1)</f>
        <v>0</v>
      </c>
      <c r="BV283" s="539" cm="1">
        <f t="array" aca="1" ref="BV283" ca="1">INDIRECT($BM$2&amp;BV$7&amp;$BT283,1)</f>
        <v>0</v>
      </c>
      <c r="BW283" s="539" cm="1">
        <f t="array" aca="1" ref="BW283" ca="1">INDIRECT($BM$2&amp;BW$7&amp;$BT283,1)</f>
        <v>0</v>
      </c>
      <c r="BX283" s="539" cm="1">
        <f t="array" aca="1" ref="BX283" ca="1">INDIRECT($BM$2&amp;BX$7&amp;$BT283,1)</f>
        <v>0</v>
      </c>
      <c r="BY283" s="539" cm="1">
        <f t="array" aca="1" ref="BY283" ca="1">INDIRECT($BM$2&amp;BY$7&amp;$BT283,1)</f>
        <v>0</v>
      </c>
      <c r="BZ283" s="539" t="str">
        <f t="shared" ref="BZ283:BZ293" ca="1" si="153">IF(BV283=0,"-",IFERROR(BV283/BV$282,"-"))</f>
        <v>-</v>
      </c>
      <c r="CC283" s="469">
        <v>2</v>
      </c>
      <c r="CD283" s="539" t="s">
        <v>8055</v>
      </c>
      <c r="CE283" s="539">
        <f t="shared" ref="CE283:CE293" si="154">CE282+1</f>
        <v>995</v>
      </c>
      <c r="CF283" s="539" cm="1">
        <f t="array" aca="1" ref="CF283" ca="1">INDIRECT($BM$2&amp;CF$7&amp;$CE283,1)</f>
        <v>0</v>
      </c>
      <c r="CG283" s="539" cm="1">
        <f t="array" aca="1" ref="CG283" ca="1">INDIRECT($BM$2&amp;CG$7&amp;$CE283,1)</f>
        <v>0</v>
      </c>
      <c r="CH283" s="539" cm="1">
        <f t="array" aca="1" ref="CH283" ca="1">INDIRECT($BM$2&amp;CH$7&amp;$CE283,1)</f>
        <v>0</v>
      </c>
      <c r="CI283" s="539" cm="1">
        <f t="array" aca="1" ref="CI283" ca="1">INDIRECT($BM$2&amp;CI$7&amp;$CE283,1)</f>
        <v>0</v>
      </c>
      <c r="CJ283" s="539" cm="1">
        <f t="array" aca="1" ref="CJ283" ca="1">INDIRECT($BM$2&amp;CJ$7&amp;$CE283,1)</f>
        <v>0</v>
      </c>
      <c r="CK283" s="539" t="str">
        <f t="shared" ref="CK283:CK293" ca="1" si="155">IF(CG283=0,"-",IFERROR(CG283/CG$282,"-"))</f>
        <v>-</v>
      </c>
      <c r="CU283" s="469" t="s">
        <v>5510</v>
      </c>
      <c r="HN283" s="20"/>
      <c r="HP283" s="472"/>
    </row>
    <row r="284" spans="58:224" x14ac:dyDescent="0.25">
      <c r="BF284" s="469" t="s">
        <v>5510</v>
      </c>
      <c r="BH284" s="539" t="s">
        <v>8055</v>
      </c>
      <c r="BI284" s="539">
        <f t="shared" si="150"/>
        <v>304</v>
      </c>
      <c r="BJ284" s="539" cm="1">
        <f t="array" aca="1" ref="BJ284" ca="1">INDIRECT($BM$2&amp;BJ$7&amp;$BI284,1)</f>
        <v>0</v>
      </c>
      <c r="BK284" s="539" cm="1">
        <f t="array" aca="1" ref="BK284" ca="1">INDIRECT($BM$2&amp;BK$7&amp;$BI284,1)</f>
        <v>0</v>
      </c>
      <c r="BL284" s="539" cm="1">
        <f t="array" aca="1" ref="BL284" ca="1">INDIRECT($BM$2&amp;BL$7&amp;$BI284,1)</f>
        <v>0</v>
      </c>
      <c r="BM284" s="539" cm="1">
        <f t="array" aca="1" ref="BM284" ca="1">INDIRECT($BM$2&amp;BM$7&amp;$BI284,1)</f>
        <v>0</v>
      </c>
      <c r="BN284" s="539" cm="1">
        <f t="array" aca="1" ref="BN284" ca="1">INDIRECT($BM$2&amp;BN$7&amp;$BI284,1)</f>
        <v>0</v>
      </c>
      <c r="BO284" s="539" t="str">
        <f t="shared" ca="1" si="151"/>
        <v>-</v>
      </c>
      <c r="BQ284" s="20"/>
      <c r="BR284" s="469">
        <v>3</v>
      </c>
      <c r="BS284" s="539" t="s">
        <v>8055</v>
      </c>
      <c r="BT284" s="539">
        <f t="shared" si="152"/>
        <v>650</v>
      </c>
      <c r="BU284" s="539" cm="1">
        <f t="array" aca="1" ref="BU284" ca="1">INDIRECT($BM$2&amp;BU$7&amp;$BT284,1)</f>
        <v>0</v>
      </c>
      <c r="BV284" s="539" cm="1">
        <f t="array" aca="1" ref="BV284" ca="1">INDIRECT($BM$2&amp;BV$7&amp;$BT284,1)</f>
        <v>0</v>
      </c>
      <c r="BW284" s="539" cm="1">
        <f t="array" aca="1" ref="BW284" ca="1">INDIRECT($BM$2&amp;BW$7&amp;$BT284,1)</f>
        <v>0</v>
      </c>
      <c r="BX284" s="539" cm="1">
        <f t="array" aca="1" ref="BX284" ca="1">INDIRECT($BM$2&amp;BX$7&amp;$BT284,1)</f>
        <v>0</v>
      </c>
      <c r="BY284" s="539" cm="1">
        <f t="array" aca="1" ref="BY284" ca="1">INDIRECT($BM$2&amp;BY$7&amp;$BT284,1)</f>
        <v>0</v>
      </c>
      <c r="BZ284" s="539" t="str">
        <f t="shared" ca="1" si="153"/>
        <v>-</v>
      </c>
      <c r="CC284" s="469">
        <v>3</v>
      </c>
      <c r="CD284" s="539" t="s">
        <v>8055</v>
      </c>
      <c r="CE284" s="539">
        <f t="shared" si="154"/>
        <v>996</v>
      </c>
      <c r="CF284" s="539" cm="1">
        <f t="array" aca="1" ref="CF284" ca="1">INDIRECT($BM$2&amp;CF$7&amp;$CE284,1)</f>
        <v>0</v>
      </c>
      <c r="CG284" s="539" cm="1">
        <f t="array" aca="1" ref="CG284" ca="1">INDIRECT($BM$2&amp;CG$7&amp;$CE284,1)</f>
        <v>0</v>
      </c>
      <c r="CH284" s="539" cm="1">
        <f t="array" aca="1" ref="CH284" ca="1">INDIRECT($BM$2&amp;CH$7&amp;$CE284,1)</f>
        <v>0</v>
      </c>
      <c r="CI284" s="539" cm="1">
        <f t="array" aca="1" ref="CI284" ca="1">INDIRECT($BM$2&amp;CI$7&amp;$CE284,1)</f>
        <v>0</v>
      </c>
      <c r="CJ284" s="539" cm="1">
        <f t="array" aca="1" ref="CJ284" ca="1">INDIRECT($BM$2&amp;CJ$7&amp;$CE284,1)</f>
        <v>0</v>
      </c>
      <c r="CK284" s="539" t="str">
        <f t="shared" ca="1" si="155"/>
        <v>-</v>
      </c>
      <c r="CU284" s="469" t="s">
        <v>5510</v>
      </c>
      <c r="HN284" s="20"/>
      <c r="HP284" s="472"/>
    </row>
    <row r="285" spans="58:224" x14ac:dyDescent="0.25">
      <c r="BF285" s="469" t="s">
        <v>5510</v>
      </c>
      <c r="BH285" s="539" t="s">
        <v>8055</v>
      </c>
      <c r="BI285" s="539">
        <f t="shared" si="150"/>
        <v>305</v>
      </c>
      <c r="BJ285" s="539" cm="1">
        <f t="array" aca="1" ref="BJ285" ca="1">INDIRECT($BM$2&amp;BJ$7&amp;$BI285,1)</f>
        <v>0</v>
      </c>
      <c r="BK285" s="539" cm="1">
        <f t="array" aca="1" ref="BK285" ca="1">INDIRECT($BM$2&amp;BK$7&amp;$BI285,1)</f>
        <v>0</v>
      </c>
      <c r="BL285" s="539" cm="1">
        <f t="array" aca="1" ref="BL285" ca="1">INDIRECT($BM$2&amp;BL$7&amp;$BI285,1)</f>
        <v>0</v>
      </c>
      <c r="BM285" s="539" cm="1">
        <f t="array" aca="1" ref="BM285" ca="1">INDIRECT($BM$2&amp;BM$7&amp;$BI285,1)</f>
        <v>0</v>
      </c>
      <c r="BN285" s="539" cm="1">
        <f t="array" aca="1" ref="BN285" ca="1">INDIRECT($BM$2&amp;BN$7&amp;$BI285,1)</f>
        <v>0</v>
      </c>
      <c r="BO285" s="539" t="str">
        <f t="shared" ca="1" si="151"/>
        <v>-</v>
      </c>
      <c r="BQ285" s="20"/>
      <c r="BR285" s="469">
        <v>4</v>
      </c>
      <c r="BS285" s="539" t="s">
        <v>8055</v>
      </c>
      <c r="BT285" s="539">
        <f t="shared" si="152"/>
        <v>651</v>
      </c>
      <c r="BU285" s="539" cm="1">
        <f t="array" aca="1" ref="BU285" ca="1">INDIRECT($BM$2&amp;BU$7&amp;$BT285,1)</f>
        <v>0</v>
      </c>
      <c r="BV285" s="539" cm="1">
        <f t="array" aca="1" ref="BV285" ca="1">INDIRECT($BM$2&amp;BV$7&amp;$BT285,1)</f>
        <v>0</v>
      </c>
      <c r="BW285" s="539" cm="1">
        <f t="array" aca="1" ref="BW285" ca="1">INDIRECT($BM$2&amp;BW$7&amp;$BT285,1)</f>
        <v>0</v>
      </c>
      <c r="BX285" s="539" cm="1">
        <f t="array" aca="1" ref="BX285" ca="1">INDIRECT($BM$2&amp;BX$7&amp;$BT285,1)</f>
        <v>0</v>
      </c>
      <c r="BY285" s="539" cm="1">
        <f t="array" aca="1" ref="BY285" ca="1">INDIRECT($BM$2&amp;BY$7&amp;$BT285,1)</f>
        <v>0</v>
      </c>
      <c r="BZ285" s="539" t="str">
        <f t="shared" ca="1" si="153"/>
        <v>-</v>
      </c>
      <c r="CC285" s="469">
        <v>4</v>
      </c>
      <c r="CD285" s="539" t="s">
        <v>8055</v>
      </c>
      <c r="CE285" s="539">
        <f t="shared" si="154"/>
        <v>997</v>
      </c>
      <c r="CF285" s="539" cm="1">
        <f t="array" aca="1" ref="CF285" ca="1">INDIRECT($BM$2&amp;CF$7&amp;$CE285,1)</f>
        <v>0</v>
      </c>
      <c r="CG285" s="539" cm="1">
        <f t="array" aca="1" ref="CG285" ca="1">INDIRECT($BM$2&amp;CG$7&amp;$CE285,1)</f>
        <v>0</v>
      </c>
      <c r="CH285" s="539" cm="1">
        <f t="array" aca="1" ref="CH285" ca="1">INDIRECT($BM$2&amp;CH$7&amp;$CE285,1)</f>
        <v>0</v>
      </c>
      <c r="CI285" s="539" cm="1">
        <f t="array" aca="1" ref="CI285" ca="1">INDIRECT($BM$2&amp;CI$7&amp;$CE285,1)</f>
        <v>0</v>
      </c>
      <c r="CJ285" s="539" cm="1">
        <f t="array" aca="1" ref="CJ285" ca="1">INDIRECT($BM$2&amp;CJ$7&amp;$CE285,1)</f>
        <v>0</v>
      </c>
      <c r="CK285" s="539" t="str">
        <f t="shared" ca="1" si="155"/>
        <v>-</v>
      </c>
      <c r="CU285" s="469" t="s">
        <v>5510</v>
      </c>
      <c r="HN285" s="20"/>
      <c r="HP285" s="472"/>
    </row>
    <row r="286" spans="58:224" x14ac:dyDescent="0.25">
      <c r="BF286" s="469" t="s">
        <v>5510</v>
      </c>
      <c r="BH286" s="539" t="s">
        <v>8055</v>
      </c>
      <c r="BI286" s="539">
        <f t="shared" si="150"/>
        <v>306</v>
      </c>
      <c r="BJ286" s="539" cm="1">
        <f t="array" aca="1" ref="BJ286" ca="1">INDIRECT($BM$2&amp;BJ$7&amp;$BI286,1)</f>
        <v>0</v>
      </c>
      <c r="BK286" s="539" cm="1">
        <f t="array" aca="1" ref="BK286" ca="1">INDIRECT($BM$2&amp;BK$7&amp;$BI286,1)</f>
        <v>0</v>
      </c>
      <c r="BL286" s="539" cm="1">
        <f t="array" aca="1" ref="BL286" ca="1">INDIRECT($BM$2&amp;BL$7&amp;$BI286,1)</f>
        <v>0</v>
      </c>
      <c r="BM286" s="539" cm="1">
        <f t="array" aca="1" ref="BM286" ca="1">INDIRECT($BM$2&amp;BM$7&amp;$BI286,1)</f>
        <v>0</v>
      </c>
      <c r="BN286" s="539" cm="1">
        <f t="array" aca="1" ref="BN286" ca="1">INDIRECT($BM$2&amp;BN$7&amp;$BI286,1)</f>
        <v>0</v>
      </c>
      <c r="BO286" s="539" t="str">
        <f t="shared" ca="1" si="151"/>
        <v>-</v>
      </c>
      <c r="BQ286" s="20"/>
      <c r="BR286" s="469">
        <v>5</v>
      </c>
      <c r="BS286" s="539" t="s">
        <v>8055</v>
      </c>
      <c r="BT286" s="539">
        <f t="shared" si="152"/>
        <v>652</v>
      </c>
      <c r="BU286" s="539" cm="1">
        <f t="array" aca="1" ref="BU286" ca="1">INDIRECT($BM$2&amp;BU$7&amp;$BT286,1)</f>
        <v>0</v>
      </c>
      <c r="BV286" s="539" cm="1">
        <f t="array" aca="1" ref="BV286" ca="1">INDIRECT($BM$2&amp;BV$7&amp;$BT286,1)</f>
        <v>0</v>
      </c>
      <c r="BW286" s="539" cm="1">
        <f t="array" aca="1" ref="BW286" ca="1">INDIRECT($BM$2&amp;BW$7&amp;$BT286,1)</f>
        <v>0</v>
      </c>
      <c r="BX286" s="539" cm="1">
        <f t="array" aca="1" ref="BX286" ca="1">INDIRECT($BM$2&amp;BX$7&amp;$BT286,1)</f>
        <v>0</v>
      </c>
      <c r="BY286" s="539" cm="1">
        <f t="array" aca="1" ref="BY286" ca="1">INDIRECT($BM$2&amp;BY$7&amp;$BT286,1)</f>
        <v>0</v>
      </c>
      <c r="BZ286" s="539" t="str">
        <f t="shared" ca="1" si="153"/>
        <v>-</v>
      </c>
      <c r="CC286" s="469">
        <v>5</v>
      </c>
      <c r="CD286" s="539" t="s">
        <v>8055</v>
      </c>
      <c r="CE286" s="539">
        <f t="shared" si="154"/>
        <v>998</v>
      </c>
      <c r="CF286" s="539" cm="1">
        <f t="array" aca="1" ref="CF286" ca="1">INDIRECT($BM$2&amp;CF$7&amp;$CE286,1)</f>
        <v>0</v>
      </c>
      <c r="CG286" s="539" cm="1">
        <f t="array" aca="1" ref="CG286" ca="1">INDIRECT($BM$2&amp;CG$7&amp;$CE286,1)</f>
        <v>0</v>
      </c>
      <c r="CH286" s="539" cm="1">
        <f t="array" aca="1" ref="CH286" ca="1">INDIRECT($BM$2&amp;CH$7&amp;$CE286,1)</f>
        <v>0</v>
      </c>
      <c r="CI286" s="539" cm="1">
        <f t="array" aca="1" ref="CI286" ca="1">INDIRECT($BM$2&amp;CI$7&amp;$CE286,1)</f>
        <v>0</v>
      </c>
      <c r="CJ286" s="539" cm="1">
        <f t="array" aca="1" ref="CJ286" ca="1">INDIRECT($BM$2&amp;CJ$7&amp;$CE286,1)</f>
        <v>0</v>
      </c>
      <c r="CK286" s="539" t="str">
        <f t="shared" ca="1" si="155"/>
        <v>-</v>
      </c>
      <c r="CU286" s="469" t="s">
        <v>5510</v>
      </c>
      <c r="HN286" s="20"/>
      <c r="HP286" s="472"/>
    </row>
    <row r="287" spans="58:224" x14ac:dyDescent="0.25">
      <c r="BF287" s="469" t="s">
        <v>5510</v>
      </c>
      <c r="BH287" s="539" t="s">
        <v>8055</v>
      </c>
      <c r="BI287" s="539">
        <f t="shared" si="150"/>
        <v>307</v>
      </c>
      <c r="BJ287" s="539" cm="1">
        <f t="array" aca="1" ref="BJ287" ca="1">INDIRECT($BM$2&amp;BJ$7&amp;$BI287,1)</f>
        <v>0</v>
      </c>
      <c r="BK287" s="539" cm="1">
        <f t="array" aca="1" ref="BK287" ca="1">INDIRECT($BM$2&amp;BK$7&amp;$BI287,1)</f>
        <v>0</v>
      </c>
      <c r="BL287" s="539" cm="1">
        <f t="array" aca="1" ref="BL287" ca="1">INDIRECT($BM$2&amp;BL$7&amp;$BI287,1)</f>
        <v>0</v>
      </c>
      <c r="BM287" s="539" cm="1">
        <f t="array" aca="1" ref="BM287" ca="1">INDIRECT($BM$2&amp;BM$7&amp;$BI287,1)</f>
        <v>0</v>
      </c>
      <c r="BN287" s="539" cm="1">
        <f t="array" aca="1" ref="BN287" ca="1">INDIRECT($BM$2&amp;BN$7&amp;$BI287,1)</f>
        <v>0</v>
      </c>
      <c r="BO287" s="539" t="str">
        <f t="shared" ca="1" si="151"/>
        <v>-</v>
      </c>
      <c r="BQ287" s="20"/>
      <c r="BR287" s="469">
        <v>6</v>
      </c>
      <c r="BS287" s="539" t="s">
        <v>8055</v>
      </c>
      <c r="BT287" s="539">
        <f t="shared" si="152"/>
        <v>653</v>
      </c>
      <c r="BU287" s="539" cm="1">
        <f t="array" aca="1" ref="BU287" ca="1">INDIRECT($BM$2&amp;BU$7&amp;$BT287,1)</f>
        <v>0</v>
      </c>
      <c r="BV287" s="539" cm="1">
        <f t="array" aca="1" ref="BV287" ca="1">INDIRECT($BM$2&amp;BV$7&amp;$BT287,1)</f>
        <v>0</v>
      </c>
      <c r="BW287" s="539" cm="1">
        <f t="array" aca="1" ref="BW287" ca="1">INDIRECT($BM$2&amp;BW$7&amp;$BT287,1)</f>
        <v>0</v>
      </c>
      <c r="BX287" s="539" cm="1">
        <f t="array" aca="1" ref="BX287" ca="1">INDIRECT($BM$2&amp;BX$7&amp;$BT287,1)</f>
        <v>0</v>
      </c>
      <c r="BY287" s="539" cm="1">
        <f t="array" aca="1" ref="BY287" ca="1">INDIRECT($BM$2&amp;BY$7&amp;$BT287,1)</f>
        <v>0</v>
      </c>
      <c r="BZ287" s="539" t="str">
        <f t="shared" ca="1" si="153"/>
        <v>-</v>
      </c>
      <c r="CC287" s="469">
        <v>6</v>
      </c>
      <c r="CD287" s="539" t="s">
        <v>8055</v>
      </c>
      <c r="CE287" s="539">
        <f t="shared" si="154"/>
        <v>999</v>
      </c>
      <c r="CF287" s="539" cm="1">
        <f t="array" aca="1" ref="CF287" ca="1">INDIRECT($BM$2&amp;CF$7&amp;$CE287,1)</f>
        <v>0</v>
      </c>
      <c r="CG287" s="539" cm="1">
        <f t="array" aca="1" ref="CG287" ca="1">INDIRECT($BM$2&amp;CG$7&amp;$CE287,1)</f>
        <v>0</v>
      </c>
      <c r="CH287" s="539" cm="1">
        <f t="array" aca="1" ref="CH287" ca="1">INDIRECT($BM$2&amp;CH$7&amp;$CE287,1)</f>
        <v>0</v>
      </c>
      <c r="CI287" s="539" cm="1">
        <f t="array" aca="1" ref="CI287" ca="1">INDIRECT($BM$2&amp;CI$7&amp;$CE287,1)</f>
        <v>0</v>
      </c>
      <c r="CJ287" s="539" cm="1">
        <f t="array" aca="1" ref="CJ287" ca="1">INDIRECT($BM$2&amp;CJ$7&amp;$CE287,1)</f>
        <v>0</v>
      </c>
      <c r="CK287" s="539" t="str">
        <f t="shared" ca="1" si="155"/>
        <v>-</v>
      </c>
      <c r="CU287" s="469" t="s">
        <v>5510</v>
      </c>
      <c r="HN287" s="20"/>
      <c r="HP287" s="472"/>
    </row>
    <row r="288" spans="58:224" x14ac:dyDescent="0.25">
      <c r="BF288" s="469" t="s">
        <v>5510</v>
      </c>
      <c r="BH288" s="539" t="s">
        <v>8055</v>
      </c>
      <c r="BI288" s="539">
        <f t="shared" si="150"/>
        <v>308</v>
      </c>
      <c r="BJ288" s="539" cm="1">
        <f t="array" aca="1" ref="BJ288" ca="1">INDIRECT($BM$2&amp;BJ$7&amp;$BI288,1)</f>
        <v>0</v>
      </c>
      <c r="BK288" s="539" cm="1">
        <f t="array" aca="1" ref="BK288" ca="1">INDIRECT($BM$2&amp;BK$7&amp;$BI288,1)</f>
        <v>0</v>
      </c>
      <c r="BL288" s="539" cm="1">
        <f t="array" aca="1" ref="BL288" ca="1">INDIRECT($BM$2&amp;BL$7&amp;$BI288,1)</f>
        <v>0</v>
      </c>
      <c r="BM288" s="539" cm="1">
        <f t="array" aca="1" ref="BM288" ca="1">INDIRECT($BM$2&amp;BM$7&amp;$BI288,1)</f>
        <v>0</v>
      </c>
      <c r="BN288" s="539" cm="1">
        <f t="array" aca="1" ref="BN288" ca="1">INDIRECT($BM$2&amp;BN$7&amp;$BI288,1)</f>
        <v>0</v>
      </c>
      <c r="BO288" s="539" t="str">
        <f t="shared" ca="1" si="151"/>
        <v>-</v>
      </c>
      <c r="BP288" s="20"/>
      <c r="BQ288" s="20"/>
      <c r="BR288" s="469">
        <v>7</v>
      </c>
      <c r="BS288" s="539" t="s">
        <v>8055</v>
      </c>
      <c r="BT288" s="539">
        <f t="shared" si="152"/>
        <v>654</v>
      </c>
      <c r="BU288" s="539" cm="1">
        <f t="array" aca="1" ref="BU288" ca="1">INDIRECT($BM$2&amp;BU$7&amp;$BT288,1)</f>
        <v>0</v>
      </c>
      <c r="BV288" s="539" cm="1">
        <f t="array" aca="1" ref="BV288" ca="1">INDIRECT($BM$2&amp;BV$7&amp;$BT288,1)</f>
        <v>0</v>
      </c>
      <c r="BW288" s="539" cm="1">
        <f t="array" aca="1" ref="BW288" ca="1">INDIRECT($BM$2&amp;BW$7&amp;$BT288,1)</f>
        <v>0</v>
      </c>
      <c r="BX288" s="539" cm="1">
        <f t="array" aca="1" ref="BX288" ca="1">INDIRECT($BM$2&amp;BX$7&amp;$BT288,1)</f>
        <v>0</v>
      </c>
      <c r="BY288" s="539" cm="1">
        <f t="array" aca="1" ref="BY288" ca="1">INDIRECT($BM$2&amp;BY$7&amp;$BT288,1)</f>
        <v>0</v>
      </c>
      <c r="BZ288" s="539" t="str">
        <f t="shared" ca="1" si="153"/>
        <v>-</v>
      </c>
      <c r="CC288" s="469">
        <v>7</v>
      </c>
      <c r="CD288" s="539" t="s">
        <v>8055</v>
      </c>
      <c r="CE288" s="539">
        <f t="shared" si="154"/>
        <v>1000</v>
      </c>
      <c r="CF288" s="539" cm="1">
        <f t="array" aca="1" ref="CF288" ca="1">INDIRECT($BM$2&amp;CF$7&amp;$CE288,1)</f>
        <v>0</v>
      </c>
      <c r="CG288" s="539" cm="1">
        <f t="array" aca="1" ref="CG288" ca="1">INDIRECT($BM$2&amp;CG$7&amp;$CE288,1)</f>
        <v>0</v>
      </c>
      <c r="CH288" s="539" cm="1">
        <f t="array" aca="1" ref="CH288" ca="1">INDIRECT($BM$2&amp;CH$7&amp;$CE288,1)</f>
        <v>0</v>
      </c>
      <c r="CI288" s="539" cm="1">
        <f t="array" aca="1" ref="CI288" ca="1">INDIRECT($BM$2&amp;CI$7&amp;$CE288,1)</f>
        <v>0</v>
      </c>
      <c r="CJ288" s="539" cm="1">
        <f t="array" aca="1" ref="CJ288" ca="1">INDIRECT($BM$2&amp;CJ$7&amp;$CE288,1)</f>
        <v>0</v>
      </c>
      <c r="CK288" s="539" t="str">
        <f t="shared" ca="1" si="155"/>
        <v>-</v>
      </c>
      <c r="CU288" s="469" t="s">
        <v>5510</v>
      </c>
      <c r="HN288" s="20"/>
      <c r="HP288" s="472"/>
    </row>
    <row r="289" spans="58:224" x14ac:dyDescent="0.25">
      <c r="BF289" s="469" t="s">
        <v>5510</v>
      </c>
      <c r="BH289" s="539" t="s">
        <v>8055</v>
      </c>
      <c r="BI289" s="539">
        <f t="shared" si="150"/>
        <v>309</v>
      </c>
      <c r="BJ289" s="539" cm="1">
        <f t="array" aca="1" ref="BJ289" ca="1">INDIRECT($BM$2&amp;BJ$7&amp;$BI289,1)</f>
        <v>0</v>
      </c>
      <c r="BK289" s="539" cm="1">
        <f t="array" aca="1" ref="BK289" ca="1">INDIRECT($BM$2&amp;BK$7&amp;$BI289,1)</f>
        <v>0</v>
      </c>
      <c r="BL289" s="539" cm="1">
        <f t="array" aca="1" ref="BL289" ca="1">INDIRECT($BM$2&amp;BL$7&amp;$BI289,1)</f>
        <v>0</v>
      </c>
      <c r="BM289" s="539" cm="1">
        <f t="array" aca="1" ref="BM289" ca="1">INDIRECT($BM$2&amp;BM$7&amp;$BI289,1)</f>
        <v>0</v>
      </c>
      <c r="BN289" s="539" cm="1">
        <f t="array" aca="1" ref="BN289" ca="1">INDIRECT($BM$2&amp;BN$7&amp;$BI289,1)</f>
        <v>0</v>
      </c>
      <c r="BO289" s="539" t="str">
        <f t="shared" ca="1" si="151"/>
        <v>-</v>
      </c>
      <c r="BP289" s="20"/>
      <c r="BQ289" s="20"/>
      <c r="BR289" s="469">
        <v>8</v>
      </c>
      <c r="BS289" s="539" t="s">
        <v>8055</v>
      </c>
      <c r="BT289" s="539">
        <f t="shared" si="152"/>
        <v>655</v>
      </c>
      <c r="BU289" s="539" cm="1">
        <f t="array" aca="1" ref="BU289" ca="1">INDIRECT($BM$2&amp;BU$7&amp;$BT289,1)</f>
        <v>0</v>
      </c>
      <c r="BV289" s="539" cm="1">
        <f t="array" aca="1" ref="BV289" ca="1">INDIRECT($BM$2&amp;BV$7&amp;$BT289,1)</f>
        <v>0</v>
      </c>
      <c r="BW289" s="539" cm="1">
        <f t="array" aca="1" ref="BW289" ca="1">INDIRECT($BM$2&amp;BW$7&amp;$BT289,1)</f>
        <v>0</v>
      </c>
      <c r="BX289" s="539" cm="1">
        <f t="array" aca="1" ref="BX289" ca="1">INDIRECT($BM$2&amp;BX$7&amp;$BT289,1)</f>
        <v>0</v>
      </c>
      <c r="BY289" s="539" cm="1">
        <f t="array" aca="1" ref="BY289" ca="1">INDIRECT($BM$2&amp;BY$7&amp;$BT289,1)</f>
        <v>0</v>
      </c>
      <c r="BZ289" s="539" t="str">
        <f t="shared" ca="1" si="153"/>
        <v>-</v>
      </c>
      <c r="CC289" s="469">
        <v>8</v>
      </c>
      <c r="CD289" s="539" t="s">
        <v>8055</v>
      </c>
      <c r="CE289" s="539">
        <f t="shared" si="154"/>
        <v>1001</v>
      </c>
      <c r="CF289" s="539" cm="1">
        <f t="array" aca="1" ref="CF289" ca="1">INDIRECT($BM$2&amp;CF$7&amp;$CE289,1)</f>
        <v>0</v>
      </c>
      <c r="CG289" s="539" cm="1">
        <f t="array" aca="1" ref="CG289" ca="1">INDIRECT($BM$2&amp;CG$7&amp;$CE289,1)</f>
        <v>0</v>
      </c>
      <c r="CH289" s="539" cm="1">
        <f t="array" aca="1" ref="CH289" ca="1">INDIRECT($BM$2&amp;CH$7&amp;$CE289,1)</f>
        <v>0</v>
      </c>
      <c r="CI289" s="539" cm="1">
        <f t="array" aca="1" ref="CI289" ca="1">INDIRECT($BM$2&amp;CI$7&amp;$CE289,1)</f>
        <v>0</v>
      </c>
      <c r="CJ289" s="539" cm="1">
        <f t="array" aca="1" ref="CJ289" ca="1">INDIRECT($BM$2&amp;CJ$7&amp;$CE289,1)</f>
        <v>0</v>
      </c>
      <c r="CK289" s="539" t="str">
        <f t="shared" ca="1" si="155"/>
        <v>-</v>
      </c>
      <c r="CU289" s="469" t="s">
        <v>5510</v>
      </c>
      <c r="HN289" s="20"/>
      <c r="HP289" s="472"/>
    </row>
    <row r="290" spans="58:224" x14ac:dyDescent="0.25">
      <c r="BF290" s="469" t="s">
        <v>5510</v>
      </c>
      <c r="BH290" s="539" t="s">
        <v>8055</v>
      </c>
      <c r="BI290" s="539">
        <f t="shared" si="150"/>
        <v>310</v>
      </c>
      <c r="BJ290" s="539" cm="1">
        <f t="array" aca="1" ref="BJ290" ca="1">INDIRECT($BM$2&amp;BJ$7&amp;$BI290,1)</f>
        <v>0</v>
      </c>
      <c r="BK290" s="539" cm="1">
        <f t="array" aca="1" ref="BK290" ca="1">INDIRECT($BM$2&amp;BK$7&amp;$BI290,1)</f>
        <v>0</v>
      </c>
      <c r="BL290" s="539" cm="1">
        <f t="array" aca="1" ref="BL290" ca="1">INDIRECT($BM$2&amp;BL$7&amp;$BI290,1)</f>
        <v>0</v>
      </c>
      <c r="BM290" s="539" cm="1">
        <f t="array" aca="1" ref="BM290" ca="1">INDIRECT($BM$2&amp;BM$7&amp;$BI290,1)</f>
        <v>0</v>
      </c>
      <c r="BN290" s="539" cm="1">
        <f t="array" aca="1" ref="BN290" ca="1">INDIRECT($BM$2&amp;BN$7&amp;$BI290,1)</f>
        <v>0</v>
      </c>
      <c r="BO290" s="539" t="str">
        <f t="shared" ca="1" si="151"/>
        <v>-</v>
      </c>
      <c r="BP290" s="20"/>
      <c r="BQ290" s="20"/>
      <c r="BR290" s="469">
        <v>9</v>
      </c>
      <c r="BS290" s="539" t="s">
        <v>8055</v>
      </c>
      <c r="BT290" s="539">
        <f t="shared" si="152"/>
        <v>656</v>
      </c>
      <c r="BU290" s="539" cm="1">
        <f t="array" aca="1" ref="BU290" ca="1">INDIRECT($BM$2&amp;BU$7&amp;$BT290,1)</f>
        <v>0</v>
      </c>
      <c r="BV290" s="539" cm="1">
        <f t="array" aca="1" ref="BV290" ca="1">INDIRECT($BM$2&amp;BV$7&amp;$BT290,1)</f>
        <v>0</v>
      </c>
      <c r="BW290" s="539" cm="1">
        <f t="array" aca="1" ref="BW290" ca="1">INDIRECT($BM$2&amp;BW$7&amp;$BT290,1)</f>
        <v>0</v>
      </c>
      <c r="BX290" s="539" cm="1">
        <f t="array" aca="1" ref="BX290" ca="1">INDIRECT($BM$2&amp;BX$7&amp;$BT290,1)</f>
        <v>0</v>
      </c>
      <c r="BY290" s="539" cm="1">
        <f t="array" aca="1" ref="BY290" ca="1">INDIRECT($BM$2&amp;BY$7&amp;$BT290,1)</f>
        <v>0</v>
      </c>
      <c r="BZ290" s="539" t="str">
        <f t="shared" ca="1" si="153"/>
        <v>-</v>
      </c>
      <c r="CC290" s="469">
        <v>9</v>
      </c>
      <c r="CD290" s="539" t="s">
        <v>8055</v>
      </c>
      <c r="CE290" s="539">
        <f t="shared" si="154"/>
        <v>1002</v>
      </c>
      <c r="CF290" s="539" cm="1">
        <f t="array" aca="1" ref="CF290" ca="1">INDIRECT($BM$2&amp;CF$7&amp;$CE290,1)</f>
        <v>0</v>
      </c>
      <c r="CG290" s="539" cm="1">
        <f t="array" aca="1" ref="CG290" ca="1">INDIRECT($BM$2&amp;CG$7&amp;$CE290,1)</f>
        <v>0</v>
      </c>
      <c r="CH290" s="539" cm="1">
        <f t="array" aca="1" ref="CH290" ca="1">INDIRECT($BM$2&amp;CH$7&amp;$CE290,1)</f>
        <v>0</v>
      </c>
      <c r="CI290" s="539" cm="1">
        <f t="array" aca="1" ref="CI290" ca="1">INDIRECT($BM$2&amp;CI$7&amp;$CE290,1)</f>
        <v>0</v>
      </c>
      <c r="CJ290" s="539" cm="1">
        <f t="array" aca="1" ref="CJ290" ca="1">INDIRECT($BM$2&amp;CJ$7&amp;$CE290,1)</f>
        <v>0</v>
      </c>
      <c r="CK290" s="539" t="str">
        <f t="shared" ca="1" si="155"/>
        <v>-</v>
      </c>
      <c r="CU290" s="469" t="s">
        <v>5510</v>
      </c>
      <c r="HN290" s="20"/>
      <c r="HP290" s="472"/>
    </row>
    <row r="291" spans="58:224" x14ac:dyDescent="0.25">
      <c r="BF291" s="469" t="s">
        <v>5510</v>
      </c>
      <c r="BH291" s="539" t="s">
        <v>8055</v>
      </c>
      <c r="BI291" s="539">
        <f t="shared" si="150"/>
        <v>311</v>
      </c>
      <c r="BJ291" s="539" cm="1">
        <f t="array" aca="1" ref="BJ291" ca="1">INDIRECT($BM$2&amp;BJ$7&amp;$BI291,1)</f>
        <v>0</v>
      </c>
      <c r="BK291" s="539" cm="1">
        <f t="array" aca="1" ref="BK291" ca="1">INDIRECT($BM$2&amp;BK$7&amp;$BI291,1)</f>
        <v>0</v>
      </c>
      <c r="BL291" s="539" cm="1">
        <f t="array" aca="1" ref="BL291" ca="1">INDIRECT($BM$2&amp;BL$7&amp;$BI291,1)</f>
        <v>0</v>
      </c>
      <c r="BM291" s="539" cm="1">
        <f t="array" aca="1" ref="BM291" ca="1">INDIRECT($BM$2&amp;BM$7&amp;$BI291,1)</f>
        <v>0</v>
      </c>
      <c r="BN291" s="539" cm="1">
        <f t="array" aca="1" ref="BN291" ca="1">INDIRECT($BM$2&amp;BN$7&amp;$BI291,1)</f>
        <v>0</v>
      </c>
      <c r="BO291" s="539" t="str">
        <f t="shared" ca="1" si="151"/>
        <v>-</v>
      </c>
      <c r="BP291" s="20"/>
      <c r="BQ291" s="20"/>
      <c r="BR291" s="469">
        <v>10</v>
      </c>
      <c r="BS291" s="539" t="s">
        <v>8055</v>
      </c>
      <c r="BT291" s="539">
        <f t="shared" si="152"/>
        <v>657</v>
      </c>
      <c r="BU291" s="539" cm="1">
        <f t="array" aca="1" ref="BU291" ca="1">INDIRECT($BM$2&amp;BU$7&amp;$BT291,1)</f>
        <v>0</v>
      </c>
      <c r="BV291" s="539" cm="1">
        <f t="array" aca="1" ref="BV291" ca="1">INDIRECT($BM$2&amp;BV$7&amp;$BT291,1)</f>
        <v>0</v>
      </c>
      <c r="BW291" s="539" cm="1">
        <f t="array" aca="1" ref="BW291" ca="1">INDIRECT($BM$2&amp;BW$7&amp;$BT291,1)</f>
        <v>0</v>
      </c>
      <c r="BX291" s="539" cm="1">
        <f t="array" aca="1" ref="BX291" ca="1">INDIRECT($BM$2&amp;BX$7&amp;$BT291,1)</f>
        <v>0</v>
      </c>
      <c r="BY291" s="539" cm="1">
        <f t="array" aca="1" ref="BY291" ca="1">INDIRECT($BM$2&amp;BY$7&amp;$BT291,1)</f>
        <v>0</v>
      </c>
      <c r="BZ291" s="539" t="str">
        <f t="shared" ca="1" si="153"/>
        <v>-</v>
      </c>
      <c r="CC291" s="469">
        <v>10</v>
      </c>
      <c r="CD291" s="539" t="s">
        <v>8055</v>
      </c>
      <c r="CE291" s="539">
        <f t="shared" si="154"/>
        <v>1003</v>
      </c>
      <c r="CF291" s="539" cm="1">
        <f t="array" aca="1" ref="CF291" ca="1">INDIRECT($BM$2&amp;CF$7&amp;$CE291,1)</f>
        <v>0</v>
      </c>
      <c r="CG291" s="539" cm="1">
        <f t="array" aca="1" ref="CG291" ca="1">INDIRECT($BM$2&amp;CG$7&amp;$CE291,1)</f>
        <v>0</v>
      </c>
      <c r="CH291" s="539" cm="1">
        <f t="array" aca="1" ref="CH291" ca="1">INDIRECT($BM$2&amp;CH$7&amp;$CE291,1)</f>
        <v>0</v>
      </c>
      <c r="CI291" s="539" cm="1">
        <f t="array" aca="1" ref="CI291" ca="1">INDIRECT($BM$2&amp;CI$7&amp;$CE291,1)</f>
        <v>0</v>
      </c>
      <c r="CJ291" s="539" cm="1">
        <f t="array" aca="1" ref="CJ291" ca="1">INDIRECT($BM$2&amp;CJ$7&amp;$CE291,1)</f>
        <v>0</v>
      </c>
      <c r="CK291" s="539" t="str">
        <f t="shared" ca="1" si="155"/>
        <v>-</v>
      </c>
      <c r="CU291" s="469" t="s">
        <v>5510</v>
      </c>
      <c r="HN291" s="20"/>
      <c r="HP291" s="472"/>
    </row>
    <row r="292" spans="58:224" x14ac:dyDescent="0.25">
      <c r="BF292" s="469" t="s">
        <v>5510</v>
      </c>
      <c r="BH292" s="539" t="s">
        <v>8055</v>
      </c>
      <c r="BI292" s="539">
        <f t="shared" si="150"/>
        <v>312</v>
      </c>
      <c r="BJ292" s="539" cm="1">
        <f t="array" aca="1" ref="BJ292" ca="1">INDIRECT($BM$2&amp;BJ$7&amp;$BI292,1)</f>
        <v>0</v>
      </c>
      <c r="BK292" s="539" cm="1">
        <f t="array" aca="1" ref="BK292" ca="1">INDIRECT($BM$2&amp;BK$7&amp;$BI292,1)</f>
        <v>0</v>
      </c>
      <c r="BL292" s="539" cm="1">
        <f t="array" aca="1" ref="BL292" ca="1">INDIRECT($BM$2&amp;BL$7&amp;$BI292,1)</f>
        <v>0</v>
      </c>
      <c r="BM292" s="539" cm="1">
        <f t="array" aca="1" ref="BM292" ca="1">INDIRECT($BM$2&amp;BM$7&amp;$BI292,1)</f>
        <v>0</v>
      </c>
      <c r="BN292" s="539" cm="1">
        <f t="array" aca="1" ref="BN292" ca="1">INDIRECT($BM$2&amp;BN$7&amp;$BI292,1)</f>
        <v>0</v>
      </c>
      <c r="BO292" s="539" t="str">
        <f t="shared" ca="1" si="151"/>
        <v>-</v>
      </c>
      <c r="BP292" s="20"/>
      <c r="BQ292" s="20"/>
      <c r="BR292" s="469">
        <v>11</v>
      </c>
      <c r="BS292" s="539" t="s">
        <v>8055</v>
      </c>
      <c r="BT292" s="539">
        <f t="shared" si="152"/>
        <v>658</v>
      </c>
      <c r="BU292" s="539" cm="1">
        <f t="array" aca="1" ref="BU292" ca="1">INDIRECT($BM$2&amp;BU$7&amp;$BT292,1)</f>
        <v>0</v>
      </c>
      <c r="BV292" s="539" cm="1">
        <f t="array" aca="1" ref="BV292" ca="1">INDIRECT($BM$2&amp;BV$7&amp;$BT292,1)</f>
        <v>0</v>
      </c>
      <c r="BW292" s="539" cm="1">
        <f t="array" aca="1" ref="BW292" ca="1">INDIRECT($BM$2&amp;BW$7&amp;$BT292,1)</f>
        <v>0</v>
      </c>
      <c r="BX292" s="539" cm="1">
        <f t="array" aca="1" ref="BX292" ca="1">INDIRECT($BM$2&amp;BX$7&amp;$BT292,1)</f>
        <v>0</v>
      </c>
      <c r="BY292" s="539" cm="1">
        <f t="array" aca="1" ref="BY292" ca="1">INDIRECT($BM$2&amp;BY$7&amp;$BT292,1)</f>
        <v>0</v>
      </c>
      <c r="BZ292" s="539" t="str">
        <f t="shared" ca="1" si="153"/>
        <v>-</v>
      </c>
      <c r="CC292" s="469">
        <v>11</v>
      </c>
      <c r="CD292" s="539" t="s">
        <v>8055</v>
      </c>
      <c r="CE292" s="539">
        <f t="shared" si="154"/>
        <v>1004</v>
      </c>
      <c r="CF292" s="539" cm="1">
        <f t="array" aca="1" ref="CF292" ca="1">INDIRECT($BM$2&amp;CF$7&amp;$CE292,1)</f>
        <v>0</v>
      </c>
      <c r="CG292" s="539" cm="1">
        <f t="array" aca="1" ref="CG292" ca="1">INDIRECT($BM$2&amp;CG$7&amp;$CE292,1)</f>
        <v>0</v>
      </c>
      <c r="CH292" s="539" cm="1">
        <f t="array" aca="1" ref="CH292" ca="1">INDIRECT($BM$2&amp;CH$7&amp;$CE292,1)</f>
        <v>0</v>
      </c>
      <c r="CI292" s="539" cm="1">
        <f t="array" aca="1" ref="CI292" ca="1">INDIRECT($BM$2&amp;CI$7&amp;$CE292,1)</f>
        <v>0</v>
      </c>
      <c r="CJ292" s="539" cm="1">
        <f t="array" aca="1" ref="CJ292" ca="1">INDIRECT($BM$2&amp;CJ$7&amp;$CE292,1)</f>
        <v>0</v>
      </c>
      <c r="CK292" s="539" t="str">
        <f t="shared" ca="1" si="155"/>
        <v>-</v>
      </c>
      <c r="CU292" s="469" t="s">
        <v>5510</v>
      </c>
      <c r="HN292" s="20"/>
      <c r="HP292" s="472"/>
    </row>
    <row r="293" spans="58:224" x14ac:dyDescent="0.25">
      <c r="BF293" s="469" t="s">
        <v>5510</v>
      </c>
      <c r="BH293" s="539" t="s">
        <v>8055</v>
      </c>
      <c r="BI293" s="539">
        <f t="shared" si="150"/>
        <v>313</v>
      </c>
      <c r="BJ293" s="539" cm="1">
        <f t="array" aca="1" ref="BJ293" ca="1">INDIRECT($BM$2&amp;BJ$7&amp;$BI293,1)</f>
        <v>0</v>
      </c>
      <c r="BK293" s="539" cm="1">
        <f t="array" aca="1" ref="BK293" ca="1">INDIRECT($BM$2&amp;BK$7&amp;$BI293,1)</f>
        <v>0</v>
      </c>
      <c r="BL293" s="539" cm="1">
        <f t="array" aca="1" ref="BL293" ca="1">INDIRECT($BM$2&amp;BL$7&amp;$BI293,1)</f>
        <v>0</v>
      </c>
      <c r="BM293" s="539" cm="1">
        <f t="array" aca="1" ref="BM293" ca="1">INDIRECT($BM$2&amp;BM$7&amp;$BI293,1)</f>
        <v>0</v>
      </c>
      <c r="BN293" s="539" t="str" cm="1">
        <f t="array" aca="1" ref="BN293" ca="1">INDIRECT($BM$2&amp;BN$7&amp;$BI293,1)</f>
        <v>-</v>
      </c>
      <c r="BO293" s="539" t="str">
        <f t="shared" ca="1" si="151"/>
        <v>-</v>
      </c>
      <c r="BR293" s="469">
        <v>12</v>
      </c>
      <c r="BS293" s="539" t="s">
        <v>8055</v>
      </c>
      <c r="BT293" s="539">
        <f t="shared" si="152"/>
        <v>659</v>
      </c>
      <c r="BU293" s="539" cm="1">
        <f t="array" aca="1" ref="BU293" ca="1">INDIRECT($BM$2&amp;BU$7&amp;$BT293,1)</f>
        <v>0</v>
      </c>
      <c r="BV293" s="539" cm="1">
        <f t="array" aca="1" ref="BV293" ca="1">INDIRECT($BM$2&amp;BV$7&amp;$BT293,1)</f>
        <v>0</v>
      </c>
      <c r="BW293" s="539" cm="1">
        <f t="array" aca="1" ref="BW293" ca="1">INDIRECT($BM$2&amp;BW$7&amp;$BT293,1)</f>
        <v>0</v>
      </c>
      <c r="BX293" s="539" cm="1">
        <f t="array" aca="1" ref="BX293" ca="1">INDIRECT($BM$2&amp;BX$7&amp;$BT293,1)</f>
        <v>0</v>
      </c>
      <c r="BY293" s="539" t="str" cm="1">
        <f t="array" aca="1" ref="BY293" ca="1">INDIRECT($BM$2&amp;BY$7&amp;$BT293,1)</f>
        <v>-</v>
      </c>
      <c r="BZ293" s="539" t="str">
        <f t="shared" ca="1" si="153"/>
        <v>-</v>
      </c>
      <c r="CC293" s="469">
        <v>12</v>
      </c>
      <c r="CD293" s="539" t="s">
        <v>8055</v>
      </c>
      <c r="CE293" s="539">
        <f t="shared" si="154"/>
        <v>1005</v>
      </c>
      <c r="CF293" s="539" cm="1">
        <f t="array" aca="1" ref="CF293" ca="1">INDIRECT($BM$2&amp;CF$7&amp;$CE293,1)</f>
        <v>0</v>
      </c>
      <c r="CG293" s="539" cm="1">
        <f t="array" aca="1" ref="CG293" ca="1">INDIRECT($BM$2&amp;CG$7&amp;$CE293,1)</f>
        <v>0</v>
      </c>
      <c r="CH293" s="539" cm="1">
        <f t="array" aca="1" ref="CH293" ca="1">INDIRECT($BM$2&amp;CH$7&amp;$CE293,1)</f>
        <v>0</v>
      </c>
      <c r="CI293" s="539" cm="1">
        <f t="array" aca="1" ref="CI293" ca="1">INDIRECT($BM$2&amp;CI$7&amp;$CE293,1)</f>
        <v>0</v>
      </c>
      <c r="CJ293" s="539" t="str" cm="1">
        <f t="array" aca="1" ref="CJ293" ca="1">INDIRECT($BM$2&amp;CJ$7&amp;$CE293,1)</f>
        <v>-</v>
      </c>
      <c r="CK293" s="539" t="str">
        <f t="shared" ca="1" si="155"/>
        <v>-</v>
      </c>
      <c r="CU293" s="469" t="s">
        <v>5510</v>
      </c>
      <c r="HN293" s="20"/>
      <c r="HP293" s="472"/>
    </row>
    <row r="294" spans="58:224" x14ac:dyDescent="0.25">
      <c r="BF294" s="469" t="s">
        <v>5510</v>
      </c>
      <c r="BL294" s="372"/>
      <c r="BO294" s="472"/>
      <c r="BT294" s="372"/>
      <c r="BU294" s="472"/>
      <c r="BV294" s="472"/>
      <c r="BW294" s="372"/>
      <c r="BX294" s="472"/>
      <c r="BY294" s="372"/>
      <c r="BZ294" s="472"/>
      <c r="CE294" s="372"/>
      <c r="CF294" s="472"/>
      <c r="CG294" s="472"/>
      <c r="CH294" s="372"/>
      <c r="CI294" s="472"/>
      <c r="CJ294" s="372"/>
      <c r="CK294" s="472"/>
      <c r="CU294" s="469" t="s">
        <v>5510</v>
      </c>
      <c r="HN294" s="20"/>
      <c r="HP294" s="472"/>
    </row>
    <row r="295" spans="58:224" x14ac:dyDescent="0.25">
      <c r="BF295" s="469" t="s">
        <v>5510</v>
      </c>
      <c r="BL295" s="372"/>
      <c r="BO295" s="472"/>
      <c r="BT295" s="372"/>
      <c r="BU295" s="472"/>
      <c r="BV295" s="472"/>
      <c r="BW295" s="372"/>
      <c r="BX295" s="472"/>
      <c r="BY295" s="372"/>
      <c r="BZ295" s="472"/>
      <c r="CE295" s="372"/>
      <c r="CF295" s="472"/>
      <c r="CG295" s="472"/>
      <c r="CH295" s="372"/>
      <c r="CI295" s="472"/>
      <c r="CJ295" s="372"/>
      <c r="CK295" s="472"/>
      <c r="CU295" s="469" t="s">
        <v>5510</v>
      </c>
      <c r="HN295" s="20"/>
      <c r="HP295" s="472"/>
    </row>
    <row r="296" spans="58:224" x14ac:dyDescent="0.25">
      <c r="BF296" s="469" t="s">
        <v>5510</v>
      </c>
      <c r="BT296" s="372"/>
      <c r="BU296" s="472"/>
      <c r="BV296" s="472"/>
      <c r="BW296" s="472"/>
      <c r="BX296" s="472"/>
      <c r="BY296" s="372"/>
      <c r="BZ296" s="372"/>
      <c r="CE296" s="372"/>
      <c r="CF296" s="472"/>
      <c r="CG296" s="472"/>
      <c r="CH296" s="472"/>
      <c r="CI296" s="472"/>
      <c r="CJ296" s="372"/>
      <c r="CK296" s="372"/>
      <c r="CU296" s="469" t="s">
        <v>5510</v>
      </c>
      <c r="HN296" s="20"/>
      <c r="HP296" s="472"/>
    </row>
    <row r="297" spans="58:224" x14ac:dyDescent="0.25">
      <c r="BF297" s="469" t="s">
        <v>5510</v>
      </c>
      <c r="BT297" s="372"/>
      <c r="BU297" s="472"/>
      <c r="BV297" s="472"/>
      <c r="BW297" s="472"/>
      <c r="BX297" s="472"/>
      <c r="BY297" s="372"/>
      <c r="BZ297" s="372"/>
      <c r="CE297" s="372"/>
      <c r="CF297" s="472"/>
      <c r="CG297" s="472"/>
      <c r="CH297" s="472"/>
      <c r="CI297" s="472"/>
      <c r="CJ297" s="372"/>
      <c r="CK297" s="372"/>
      <c r="CU297" s="469" t="s">
        <v>5510</v>
      </c>
      <c r="HN297" s="20"/>
      <c r="HP297" s="472"/>
    </row>
    <row r="298" spans="58:224" x14ac:dyDescent="0.25">
      <c r="BF298" s="469" t="s">
        <v>5510</v>
      </c>
      <c r="BH298" s="539" t="s">
        <v>8056</v>
      </c>
      <c r="BI298" s="539">
        <f>BI293+$BO$6</f>
        <v>319</v>
      </c>
      <c r="BJ298" s="539" cm="1">
        <f t="array" aca="1" ref="BJ298" ca="1">INDIRECT($BM$2&amp;BJ$7&amp;$BI298,1)</f>
        <v>0</v>
      </c>
      <c r="BK298" s="539" cm="1">
        <f t="array" aca="1" ref="BK298" ca="1">INDIRECT($BM$2&amp;BK$7&amp;$BI298,1)</f>
        <v>0</v>
      </c>
      <c r="BL298" s="539" cm="1">
        <f t="array" aca="1" ref="BL298" ca="1">INDIRECT($BM$2&amp;BL$7&amp;$BI298,1)</f>
        <v>0</v>
      </c>
      <c r="BM298" s="539" cm="1">
        <f t="array" aca="1" ref="BM298" ca="1">INDIRECT($BM$2&amp;BM$7&amp;$BI298,1)</f>
        <v>0</v>
      </c>
      <c r="BN298" s="539" cm="1">
        <f t="array" aca="1" ref="BN298" ca="1">INDIRECT($BM$2&amp;BN$7&amp;$BI298,1)</f>
        <v>0</v>
      </c>
      <c r="BO298" s="539" t="str">
        <f ca="1">IFERROR(BK298/BK$298,"-")</f>
        <v>-</v>
      </c>
      <c r="BR298" s="469">
        <v>1</v>
      </c>
      <c r="BS298" s="539" t="s">
        <v>8056</v>
      </c>
      <c r="BT298" s="539">
        <f>BT293+$BO$6</f>
        <v>665</v>
      </c>
      <c r="BU298" s="539" cm="1">
        <f t="array" aca="1" ref="BU298" ca="1">INDIRECT($BM$2&amp;BU$7&amp;$BT298,1)</f>
        <v>0</v>
      </c>
      <c r="BV298" s="539" cm="1">
        <f t="array" aca="1" ref="BV298" ca="1">INDIRECT($BM$2&amp;BV$7&amp;$BT298,1)</f>
        <v>0</v>
      </c>
      <c r="BW298" s="539" cm="1">
        <f t="array" aca="1" ref="BW298" ca="1">INDIRECT($BM$2&amp;BW$7&amp;$BT298,1)</f>
        <v>0</v>
      </c>
      <c r="BX298" s="539" cm="1">
        <f t="array" aca="1" ref="BX298" ca="1">INDIRECT($BM$2&amp;BX$7&amp;$BT298,1)</f>
        <v>0</v>
      </c>
      <c r="BY298" s="539" cm="1">
        <f t="array" aca="1" ref="BY298" ca="1">INDIRECT($BM$2&amp;BY$7&amp;$BT298,1)</f>
        <v>0</v>
      </c>
      <c r="BZ298" s="539" t="str">
        <f ca="1">IFERROR(BV298/BV$298,"-")</f>
        <v>-</v>
      </c>
      <c r="CC298" s="469">
        <v>1</v>
      </c>
      <c r="CD298" s="539" t="s">
        <v>8056</v>
      </c>
      <c r="CE298" s="539">
        <f>CE293+$BO$6</f>
        <v>1011</v>
      </c>
      <c r="CF298" s="539" cm="1">
        <f t="array" aca="1" ref="CF298" ca="1">INDIRECT($BM$2&amp;CF$7&amp;$CE298,1)</f>
        <v>0</v>
      </c>
      <c r="CG298" s="539" cm="1">
        <f t="array" aca="1" ref="CG298" ca="1">INDIRECT($BM$2&amp;CG$7&amp;$CE298,1)</f>
        <v>0</v>
      </c>
      <c r="CH298" s="539" cm="1">
        <f t="array" aca="1" ref="CH298" ca="1">INDIRECT($BM$2&amp;CH$7&amp;$CE298,1)</f>
        <v>0</v>
      </c>
      <c r="CI298" s="539" cm="1">
        <f t="array" aca="1" ref="CI298" ca="1">INDIRECT($BM$2&amp;CI$7&amp;$CE298,1)</f>
        <v>0</v>
      </c>
      <c r="CJ298" s="539" cm="1">
        <f t="array" aca="1" ref="CJ298" ca="1">INDIRECT($BM$2&amp;CJ$7&amp;$CE298,1)</f>
        <v>0</v>
      </c>
      <c r="CK298" s="539" t="str">
        <f ca="1">IFERROR(CG298/CG$298,"-")</f>
        <v>-</v>
      </c>
      <c r="CU298" s="469" t="s">
        <v>5510</v>
      </c>
      <c r="HN298" s="20"/>
      <c r="HP298" s="472"/>
    </row>
    <row r="299" spans="58:224" x14ac:dyDescent="0.25">
      <c r="BF299" s="469" t="s">
        <v>5510</v>
      </c>
      <c r="BH299" s="539" t="s">
        <v>8056</v>
      </c>
      <c r="BI299" s="539">
        <f t="shared" ref="BI299:BI309" si="156">BI298+1</f>
        <v>320</v>
      </c>
      <c r="BJ299" s="539" cm="1">
        <f t="array" aca="1" ref="BJ299" ca="1">INDIRECT($BM$2&amp;BJ$7&amp;$BI299,1)</f>
        <v>0</v>
      </c>
      <c r="BK299" s="539" cm="1">
        <f t="array" aca="1" ref="BK299" ca="1">INDIRECT($BM$2&amp;BK$7&amp;$BI299,1)</f>
        <v>0</v>
      </c>
      <c r="BL299" s="539" cm="1">
        <f t="array" aca="1" ref="BL299" ca="1">INDIRECT($BM$2&amp;BL$7&amp;$BI299,1)</f>
        <v>0</v>
      </c>
      <c r="BM299" s="539" cm="1">
        <f t="array" aca="1" ref="BM299" ca="1">INDIRECT($BM$2&amp;BM$7&amp;$BI299,1)</f>
        <v>0</v>
      </c>
      <c r="BN299" s="539" cm="1">
        <f t="array" aca="1" ref="BN299" ca="1">INDIRECT($BM$2&amp;BN$7&amp;$BI299,1)</f>
        <v>0</v>
      </c>
      <c r="BO299" s="539" t="str">
        <f t="shared" ref="BO299:BO309" ca="1" si="157">IF(BK299=0,"-",IFERROR(BK299/BK$298,"-"))</f>
        <v>-</v>
      </c>
      <c r="BR299" s="469">
        <v>2</v>
      </c>
      <c r="BS299" s="539" t="s">
        <v>8056</v>
      </c>
      <c r="BT299" s="539">
        <f t="shared" ref="BT299:BT309" si="158">BT298+1</f>
        <v>666</v>
      </c>
      <c r="BU299" s="539" cm="1">
        <f t="array" aca="1" ref="BU299" ca="1">INDIRECT($BM$2&amp;BU$7&amp;$BT299,1)</f>
        <v>0</v>
      </c>
      <c r="BV299" s="539" cm="1">
        <f t="array" aca="1" ref="BV299" ca="1">INDIRECT($BM$2&amp;BV$7&amp;$BT299,1)</f>
        <v>0</v>
      </c>
      <c r="BW299" s="539" cm="1">
        <f t="array" aca="1" ref="BW299" ca="1">INDIRECT($BM$2&amp;BW$7&amp;$BT299,1)</f>
        <v>0</v>
      </c>
      <c r="BX299" s="539" cm="1">
        <f t="array" aca="1" ref="BX299" ca="1">INDIRECT($BM$2&amp;BX$7&amp;$BT299,1)</f>
        <v>0</v>
      </c>
      <c r="BY299" s="539" cm="1">
        <f t="array" aca="1" ref="BY299" ca="1">INDIRECT($BM$2&amp;BY$7&amp;$BT299,1)</f>
        <v>0</v>
      </c>
      <c r="BZ299" s="539" t="str">
        <f t="shared" ref="BZ299:BZ309" ca="1" si="159">IF(BV299=0,"-",IFERROR(BV299/BV$298,"-"))</f>
        <v>-</v>
      </c>
      <c r="CC299" s="469">
        <v>2</v>
      </c>
      <c r="CD299" s="539" t="s">
        <v>8056</v>
      </c>
      <c r="CE299" s="539">
        <f t="shared" ref="CE299:CE309" si="160">CE298+1</f>
        <v>1012</v>
      </c>
      <c r="CF299" s="539" cm="1">
        <f t="array" aca="1" ref="CF299" ca="1">INDIRECT($BM$2&amp;CF$7&amp;$CE299,1)</f>
        <v>0</v>
      </c>
      <c r="CG299" s="539" cm="1">
        <f t="array" aca="1" ref="CG299" ca="1">INDIRECT($BM$2&amp;CG$7&amp;$CE299,1)</f>
        <v>0</v>
      </c>
      <c r="CH299" s="539" cm="1">
        <f t="array" aca="1" ref="CH299" ca="1">INDIRECT($BM$2&amp;CH$7&amp;$CE299,1)</f>
        <v>0</v>
      </c>
      <c r="CI299" s="539" cm="1">
        <f t="array" aca="1" ref="CI299" ca="1">INDIRECT($BM$2&amp;CI$7&amp;$CE299,1)</f>
        <v>0</v>
      </c>
      <c r="CJ299" s="539" cm="1">
        <f t="array" aca="1" ref="CJ299" ca="1">INDIRECT($BM$2&amp;CJ$7&amp;$CE299,1)</f>
        <v>0</v>
      </c>
      <c r="CK299" s="539" t="str">
        <f t="shared" ref="CK299:CK309" ca="1" si="161">IF(CG299=0,"-",IFERROR(CG299/CG$298,"-"))</f>
        <v>-</v>
      </c>
      <c r="CU299" s="469" t="s">
        <v>5510</v>
      </c>
      <c r="HN299" s="20"/>
      <c r="HP299" s="472"/>
    </row>
    <row r="300" spans="58:224" x14ac:dyDescent="0.25">
      <c r="BF300" s="469" t="s">
        <v>5510</v>
      </c>
      <c r="BH300" s="539" t="s">
        <v>8056</v>
      </c>
      <c r="BI300" s="539">
        <f t="shared" si="156"/>
        <v>321</v>
      </c>
      <c r="BJ300" s="539" cm="1">
        <f t="array" aca="1" ref="BJ300" ca="1">INDIRECT($BM$2&amp;BJ$7&amp;$BI300,1)</f>
        <v>0</v>
      </c>
      <c r="BK300" s="539" cm="1">
        <f t="array" aca="1" ref="BK300" ca="1">INDIRECT($BM$2&amp;BK$7&amp;$BI300,1)</f>
        <v>0</v>
      </c>
      <c r="BL300" s="539" cm="1">
        <f t="array" aca="1" ref="BL300" ca="1">INDIRECT($BM$2&amp;BL$7&amp;$BI300,1)</f>
        <v>0</v>
      </c>
      <c r="BM300" s="539" cm="1">
        <f t="array" aca="1" ref="BM300" ca="1">INDIRECT($BM$2&amp;BM$7&amp;$BI300,1)</f>
        <v>0</v>
      </c>
      <c r="BN300" s="539" cm="1">
        <f t="array" aca="1" ref="BN300" ca="1">INDIRECT($BM$2&amp;BN$7&amp;$BI300,1)</f>
        <v>0</v>
      </c>
      <c r="BO300" s="539" t="str">
        <f t="shared" ca="1" si="157"/>
        <v>-</v>
      </c>
      <c r="BR300" s="469">
        <v>3</v>
      </c>
      <c r="BS300" s="539" t="s">
        <v>8056</v>
      </c>
      <c r="BT300" s="539">
        <f t="shared" si="158"/>
        <v>667</v>
      </c>
      <c r="BU300" s="539" cm="1">
        <f t="array" aca="1" ref="BU300" ca="1">INDIRECT($BM$2&amp;BU$7&amp;$BT300,1)</f>
        <v>0</v>
      </c>
      <c r="BV300" s="539" cm="1">
        <f t="array" aca="1" ref="BV300" ca="1">INDIRECT($BM$2&amp;BV$7&amp;$BT300,1)</f>
        <v>0</v>
      </c>
      <c r="BW300" s="539" cm="1">
        <f t="array" aca="1" ref="BW300" ca="1">INDIRECT($BM$2&amp;BW$7&amp;$BT300,1)</f>
        <v>0</v>
      </c>
      <c r="BX300" s="539" cm="1">
        <f t="array" aca="1" ref="BX300" ca="1">INDIRECT($BM$2&amp;BX$7&amp;$BT300,1)</f>
        <v>0</v>
      </c>
      <c r="BY300" s="539" cm="1">
        <f t="array" aca="1" ref="BY300" ca="1">INDIRECT($BM$2&amp;BY$7&amp;$BT300,1)</f>
        <v>0</v>
      </c>
      <c r="BZ300" s="539" t="str">
        <f t="shared" ca="1" si="159"/>
        <v>-</v>
      </c>
      <c r="CC300" s="469">
        <v>3</v>
      </c>
      <c r="CD300" s="539" t="s">
        <v>8056</v>
      </c>
      <c r="CE300" s="539">
        <f t="shared" si="160"/>
        <v>1013</v>
      </c>
      <c r="CF300" s="539" cm="1">
        <f t="array" aca="1" ref="CF300" ca="1">INDIRECT($BM$2&amp;CF$7&amp;$CE300,1)</f>
        <v>0</v>
      </c>
      <c r="CG300" s="539" cm="1">
        <f t="array" aca="1" ref="CG300" ca="1">INDIRECT($BM$2&amp;CG$7&amp;$CE300,1)</f>
        <v>0</v>
      </c>
      <c r="CH300" s="539" cm="1">
        <f t="array" aca="1" ref="CH300" ca="1">INDIRECT($BM$2&amp;CH$7&amp;$CE300,1)</f>
        <v>0</v>
      </c>
      <c r="CI300" s="539" cm="1">
        <f t="array" aca="1" ref="CI300" ca="1">INDIRECT($BM$2&amp;CI$7&amp;$CE300,1)</f>
        <v>0</v>
      </c>
      <c r="CJ300" s="539" cm="1">
        <f t="array" aca="1" ref="CJ300" ca="1">INDIRECT($BM$2&amp;CJ$7&amp;$CE300,1)</f>
        <v>0</v>
      </c>
      <c r="CK300" s="539" t="str">
        <f t="shared" ca="1" si="161"/>
        <v>-</v>
      </c>
      <c r="CU300" s="469" t="s">
        <v>5510</v>
      </c>
      <c r="HN300" s="20"/>
      <c r="HP300" s="472"/>
    </row>
    <row r="301" spans="58:224" x14ac:dyDescent="0.25">
      <c r="BF301" s="469" t="s">
        <v>5510</v>
      </c>
      <c r="BH301" s="539" t="s">
        <v>8056</v>
      </c>
      <c r="BI301" s="539">
        <f t="shared" si="156"/>
        <v>322</v>
      </c>
      <c r="BJ301" s="539" cm="1">
        <f t="array" aca="1" ref="BJ301" ca="1">INDIRECT($BM$2&amp;BJ$7&amp;$BI301,1)</f>
        <v>0</v>
      </c>
      <c r="BK301" s="539" cm="1">
        <f t="array" aca="1" ref="BK301" ca="1">INDIRECT($BM$2&amp;BK$7&amp;$BI301,1)</f>
        <v>0</v>
      </c>
      <c r="BL301" s="539" cm="1">
        <f t="array" aca="1" ref="BL301" ca="1">INDIRECT($BM$2&amp;BL$7&amp;$BI301,1)</f>
        <v>0</v>
      </c>
      <c r="BM301" s="539" cm="1">
        <f t="array" aca="1" ref="BM301" ca="1">INDIRECT($BM$2&amp;BM$7&amp;$BI301,1)</f>
        <v>0</v>
      </c>
      <c r="BN301" s="539" cm="1">
        <f t="array" aca="1" ref="BN301" ca="1">INDIRECT($BM$2&amp;BN$7&amp;$BI301,1)</f>
        <v>0</v>
      </c>
      <c r="BO301" s="539" t="str">
        <f t="shared" ca="1" si="157"/>
        <v>-</v>
      </c>
      <c r="BR301" s="469">
        <v>4</v>
      </c>
      <c r="BS301" s="539" t="s">
        <v>8056</v>
      </c>
      <c r="BT301" s="539">
        <f t="shared" si="158"/>
        <v>668</v>
      </c>
      <c r="BU301" s="539" cm="1">
        <f t="array" aca="1" ref="BU301" ca="1">INDIRECT($BM$2&amp;BU$7&amp;$BT301,1)</f>
        <v>0</v>
      </c>
      <c r="BV301" s="539" cm="1">
        <f t="array" aca="1" ref="BV301" ca="1">INDIRECT($BM$2&amp;BV$7&amp;$BT301,1)</f>
        <v>0</v>
      </c>
      <c r="BW301" s="539" cm="1">
        <f t="array" aca="1" ref="BW301" ca="1">INDIRECT($BM$2&amp;BW$7&amp;$BT301,1)</f>
        <v>0</v>
      </c>
      <c r="BX301" s="539" cm="1">
        <f t="array" aca="1" ref="BX301" ca="1">INDIRECT($BM$2&amp;BX$7&amp;$BT301,1)</f>
        <v>0</v>
      </c>
      <c r="BY301" s="539" cm="1">
        <f t="array" aca="1" ref="BY301" ca="1">INDIRECT($BM$2&amp;BY$7&amp;$BT301,1)</f>
        <v>0</v>
      </c>
      <c r="BZ301" s="539" t="str">
        <f t="shared" ca="1" si="159"/>
        <v>-</v>
      </c>
      <c r="CC301" s="469">
        <v>4</v>
      </c>
      <c r="CD301" s="539" t="s">
        <v>8056</v>
      </c>
      <c r="CE301" s="539">
        <f t="shared" si="160"/>
        <v>1014</v>
      </c>
      <c r="CF301" s="539" cm="1">
        <f t="array" aca="1" ref="CF301" ca="1">INDIRECT($BM$2&amp;CF$7&amp;$CE301,1)</f>
        <v>0</v>
      </c>
      <c r="CG301" s="539" cm="1">
        <f t="array" aca="1" ref="CG301" ca="1">INDIRECT($BM$2&amp;CG$7&amp;$CE301,1)</f>
        <v>0</v>
      </c>
      <c r="CH301" s="539" cm="1">
        <f t="array" aca="1" ref="CH301" ca="1">INDIRECT($BM$2&amp;CH$7&amp;$CE301,1)</f>
        <v>0</v>
      </c>
      <c r="CI301" s="539" cm="1">
        <f t="array" aca="1" ref="CI301" ca="1">INDIRECT($BM$2&amp;CI$7&amp;$CE301,1)</f>
        <v>0</v>
      </c>
      <c r="CJ301" s="539" cm="1">
        <f t="array" aca="1" ref="CJ301" ca="1">INDIRECT($BM$2&amp;CJ$7&amp;$CE301,1)</f>
        <v>0</v>
      </c>
      <c r="CK301" s="539" t="str">
        <f t="shared" ca="1" si="161"/>
        <v>-</v>
      </c>
      <c r="CU301" s="469" t="s">
        <v>5510</v>
      </c>
      <c r="HN301" s="20"/>
      <c r="HP301" s="472"/>
    </row>
    <row r="302" spans="58:224" x14ac:dyDescent="0.25">
      <c r="BF302" s="469" t="s">
        <v>5510</v>
      </c>
      <c r="BH302" s="539" t="s">
        <v>8056</v>
      </c>
      <c r="BI302" s="539">
        <f t="shared" si="156"/>
        <v>323</v>
      </c>
      <c r="BJ302" s="539" cm="1">
        <f t="array" aca="1" ref="BJ302" ca="1">INDIRECT($BM$2&amp;BJ$7&amp;$BI302,1)</f>
        <v>0</v>
      </c>
      <c r="BK302" s="539" cm="1">
        <f t="array" aca="1" ref="BK302" ca="1">INDIRECT($BM$2&amp;BK$7&amp;$BI302,1)</f>
        <v>0</v>
      </c>
      <c r="BL302" s="539" cm="1">
        <f t="array" aca="1" ref="BL302" ca="1">INDIRECT($BM$2&amp;BL$7&amp;$BI302,1)</f>
        <v>0</v>
      </c>
      <c r="BM302" s="539" cm="1">
        <f t="array" aca="1" ref="BM302" ca="1">INDIRECT($BM$2&amp;BM$7&amp;$BI302,1)</f>
        <v>0</v>
      </c>
      <c r="BN302" s="539" cm="1">
        <f t="array" aca="1" ref="BN302" ca="1">INDIRECT($BM$2&amp;BN$7&amp;$BI302,1)</f>
        <v>0</v>
      </c>
      <c r="BO302" s="539" t="str">
        <f t="shared" ca="1" si="157"/>
        <v>-</v>
      </c>
      <c r="BR302" s="469">
        <v>5</v>
      </c>
      <c r="BS302" s="539" t="s">
        <v>8056</v>
      </c>
      <c r="BT302" s="539">
        <f t="shared" si="158"/>
        <v>669</v>
      </c>
      <c r="BU302" s="539" cm="1">
        <f t="array" aca="1" ref="BU302" ca="1">INDIRECT($BM$2&amp;BU$7&amp;$BT302,1)</f>
        <v>0</v>
      </c>
      <c r="BV302" s="539" cm="1">
        <f t="array" aca="1" ref="BV302" ca="1">INDIRECT($BM$2&amp;BV$7&amp;$BT302,1)</f>
        <v>0</v>
      </c>
      <c r="BW302" s="539" cm="1">
        <f t="array" aca="1" ref="BW302" ca="1">INDIRECT($BM$2&amp;BW$7&amp;$BT302,1)</f>
        <v>0</v>
      </c>
      <c r="BX302" s="539" cm="1">
        <f t="array" aca="1" ref="BX302" ca="1">INDIRECT($BM$2&amp;BX$7&amp;$BT302,1)</f>
        <v>0</v>
      </c>
      <c r="BY302" s="539" cm="1">
        <f t="array" aca="1" ref="BY302" ca="1">INDIRECT($BM$2&amp;BY$7&amp;$BT302,1)</f>
        <v>0</v>
      </c>
      <c r="BZ302" s="539" t="str">
        <f t="shared" ca="1" si="159"/>
        <v>-</v>
      </c>
      <c r="CC302" s="469">
        <v>5</v>
      </c>
      <c r="CD302" s="539" t="s">
        <v>8056</v>
      </c>
      <c r="CE302" s="539">
        <f t="shared" si="160"/>
        <v>1015</v>
      </c>
      <c r="CF302" s="539" cm="1">
        <f t="array" aca="1" ref="CF302" ca="1">INDIRECT($BM$2&amp;CF$7&amp;$CE302,1)</f>
        <v>0</v>
      </c>
      <c r="CG302" s="539" cm="1">
        <f t="array" aca="1" ref="CG302" ca="1">INDIRECT($BM$2&amp;CG$7&amp;$CE302,1)</f>
        <v>0</v>
      </c>
      <c r="CH302" s="539" cm="1">
        <f t="array" aca="1" ref="CH302" ca="1">INDIRECT($BM$2&amp;CH$7&amp;$CE302,1)</f>
        <v>0</v>
      </c>
      <c r="CI302" s="539" cm="1">
        <f t="array" aca="1" ref="CI302" ca="1">INDIRECT($BM$2&amp;CI$7&amp;$CE302,1)</f>
        <v>0</v>
      </c>
      <c r="CJ302" s="539" cm="1">
        <f t="array" aca="1" ref="CJ302" ca="1">INDIRECT($BM$2&amp;CJ$7&amp;$CE302,1)</f>
        <v>0</v>
      </c>
      <c r="CK302" s="539" t="str">
        <f t="shared" ca="1" si="161"/>
        <v>-</v>
      </c>
      <c r="CU302" s="469" t="s">
        <v>5510</v>
      </c>
      <c r="HN302" s="20"/>
      <c r="HP302" s="472"/>
    </row>
    <row r="303" spans="58:224" x14ac:dyDescent="0.25">
      <c r="BF303" s="469" t="s">
        <v>5510</v>
      </c>
      <c r="BH303" s="539" t="s">
        <v>8056</v>
      </c>
      <c r="BI303" s="539">
        <f t="shared" si="156"/>
        <v>324</v>
      </c>
      <c r="BJ303" s="539" cm="1">
        <f t="array" aca="1" ref="BJ303" ca="1">INDIRECT($BM$2&amp;BJ$7&amp;$BI303,1)</f>
        <v>0</v>
      </c>
      <c r="BK303" s="539" cm="1">
        <f t="array" aca="1" ref="BK303" ca="1">INDIRECT($BM$2&amp;BK$7&amp;$BI303,1)</f>
        <v>0</v>
      </c>
      <c r="BL303" s="539" cm="1">
        <f t="array" aca="1" ref="BL303" ca="1">INDIRECT($BM$2&amp;BL$7&amp;$BI303,1)</f>
        <v>0</v>
      </c>
      <c r="BM303" s="539" cm="1">
        <f t="array" aca="1" ref="BM303" ca="1">INDIRECT($BM$2&amp;BM$7&amp;$BI303,1)</f>
        <v>0</v>
      </c>
      <c r="BN303" s="539" cm="1">
        <f t="array" aca="1" ref="BN303" ca="1">INDIRECT($BM$2&amp;BN$7&amp;$BI303,1)</f>
        <v>0</v>
      </c>
      <c r="BO303" s="539" t="str">
        <f t="shared" ca="1" si="157"/>
        <v>-</v>
      </c>
      <c r="BR303" s="469">
        <v>6</v>
      </c>
      <c r="BS303" s="539" t="s">
        <v>8056</v>
      </c>
      <c r="BT303" s="539">
        <f t="shared" si="158"/>
        <v>670</v>
      </c>
      <c r="BU303" s="539" cm="1">
        <f t="array" aca="1" ref="BU303" ca="1">INDIRECT($BM$2&amp;BU$7&amp;$BT303,1)</f>
        <v>0</v>
      </c>
      <c r="BV303" s="539" cm="1">
        <f t="array" aca="1" ref="BV303" ca="1">INDIRECT($BM$2&amp;BV$7&amp;$BT303,1)</f>
        <v>0</v>
      </c>
      <c r="BW303" s="539" cm="1">
        <f t="array" aca="1" ref="BW303" ca="1">INDIRECT($BM$2&amp;BW$7&amp;$BT303,1)</f>
        <v>0</v>
      </c>
      <c r="BX303" s="539" cm="1">
        <f t="array" aca="1" ref="BX303" ca="1">INDIRECT($BM$2&amp;BX$7&amp;$BT303,1)</f>
        <v>0</v>
      </c>
      <c r="BY303" s="539" cm="1">
        <f t="array" aca="1" ref="BY303" ca="1">INDIRECT($BM$2&amp;BY$7&amp;$BT303,1)</f>
        <v>0</v>
      </c>
      <c r="BZ303" s="539" t="str">
        <f t="shared" ca="1" si="159"/>
        <v>-</v>
      </c>
      <c r="CC303" s="469">
        <v>6</v>
      </c>
      <c r="CD303" s="539" t="s">
        <v>8056</v>
      </c>
      <c r="CE303" s="539">
        <f t="shared" si="160"/>
        <v>1016</v>
      </c>
      <c r="CF303" s="539" cm="1">
        <f t="array" aca="1" ref="CF303" ca="1">INDIRECT($BM$2&amp;CF$7&amp;$CE303,1)</f>
        <v>0</v>
      </c>
      <c r="CG303" s="539" cm="1">
        <f t="array" aca="1" ref="CG303" ca="1">INDIRECT($BM$2&amp;CG$7&amp;$CE303,1)</f>
        <v>0</v>
      </c>
      <c r="CH303" s="539" cm="1">
        <f t="array" aca="1" ref="CH303" ca="1">INDIRECT($BM$2&amp;CH$7&amp;$CE303,1)</f>
        <v>0</v>
      </c>
      <c r="CI303" s="539" cm="1">
        <f t="array" aca="1" ref="CI303" ca="1">INDIRECT($BM$2&amp;CI$7&amp;$CE303,1)</f>
        <v>0</v>
      </c>
      <c r="CJ303" s="539" cm="1">
        <f t="array" aca="1" ref="CJ303" ca="1">INDIRECT($BM$2&amp;CJ$7&amp;$CE303,1)</f>
        <v>0</v>
      </c>
      <c r="CK303" s="539" t="str">
        <f t="shared" ca="1" si="161"/>
        <v>-</v>
      </c>
      <c r="CU303" s="469" t="s">
        <v>5510</v>
      </c>
      <c r="HN303" s="20"/>
      <c r="HP303" s="472"/>
    </row>
    <row r="304" spans="58:224" x14ac:dyDescent="0.25">
      <c r="BF304" s="469" t="s">
        <v>5510</v>
      </c>
      <c r="BH304" s="539" t="s">
        <v>8056</v>
      </c>
      <c r="BI304" s="539">
        <f t="shared" si="156"/>
        <v>325</v>
      </c>
      <c r="BJ304" s="539" cm="1">
        <f t="array" aca="1" ref="BJ304" ca="1">INDIRECT($BM$2&amp;BJ$7&amp;$BI304,1)</f>
        <v>0</v>
      </c>
      <c r="BK304" s="539" cm="1">
        <f t="array" aca="1" ref="BK304" ca="1">INDIRECT($BM$2&amp;BK$7&amp;$BI304,1)</f>
        <v>0</v>
      </c>
      <c r="BL304" s="539" cm="1">
        <f t="array" aca="1" ref="BL304" ca="1">INDIRECT($BM$2&amp;BL$7&amp;$BI304,1)</f>
        <v>0</v>
      </c>
      <c r="BM304" s="539" cm="1">
        <f t="array" aca="1" ref="BM304" ca="1">INDIRECT($BM$2&amp;BM$7&amp;$BI304,1)</f>
        <v>0</v>
      </c>
      <c r="BN304" s="539" cm="1">
        <f t="array" aca="1" ref="BN304" ca="1">INDIRECT($BM$2&amp;BN$7&amp;$BI304,1)</f>
        <v>0</v>
      </c>
      <c r="BO304" s="539" t="str">
        <f t="shared" ca="1" si="157"/>
        <v>-</v>
      </c>
      <c r="BR304" s="469">
        <v>7</v>
      </c>
      <c r="BS304" s="539" t="s">
        <v>8056</v>
      </c>
      <c r="BT304" s="539">
        <f t="shared" si="158"/>
        <v>671</v>
      </c>
      <c r="BU304" s="539" cm="1">
        <f t="array" aca="1" ref="BU304" ca="1">INDIRECT($BM$2&amp;BU$7&amp;$BT304,1)</f>
        <v>0</v>
      </c>
      <c r="BV304" s="539" cm="1">
        <f t="array" aca="1" ref="BV304" ca="1">INDIRECT($BM$2&amp;BV$7&amp;$BT304,1)</f>
        <v>0</v>
      </c>
      <c r="BW304" s="539" cm="1">
        <f t="array" aca="1" ref="BW304" ca="1">INDIRECT($BM$2&amp;BW$7&amp;$BT304,1)</f>
        <v>0</v>
      </c>
      <c r="BX304" s="539" cm="1">
        <f t="array" aca="1" ref="BX304" ca="1">INDIRECT($BM$2&amp;BX$7&amp;$BT304,1)</f>
        <v>0</v>
      </c>
      <c r="BY304" s="539" cm="1">
        <f t="array" aca="1" ref="BY304" ca="1">INDIRECT($BM$2&amp;BY$7&amp;$BT304,1)</f>
        <v>0</v>
      </c>
      <c r="BZ304" s="539" t="str">
        <f t="shared" ca="1" si="159"/>
        <v>-</v>
      </c>
      <c r="CC304" s="469">
        <v>7</v>
      </c>
      <c r="CD304" s="539" t="s">
        <v>8056</v>
      </c>
      <c r="CE304" s="539">
        <f t="shared" si="160"/>
        <v>1017</v>
      </c>
      <c r="CF304" s="539" cm="1">
        <f t="array" aca="1" ref="CF304" ca="1">INDIRECT($BM$2&amp;CF$7&amp;$CE304,1)</f>
        <v>0</v>
      </c>
      <c r="CG304" s="539" cm="1">
        <f t="array" aca="1" ref="CG304" ca="1">INDIRECT($BM$2&amp;CG$7&amp;$CE304,1)</f>
        <v>0</v>
      </c>
      <c r="CH304" s="539" cm="1">
        <f t="array" aca="1" ref="CH304" ca="1">INDIRECT($BM$2&amp;CH$7&amp;$CE304,1)</f>
        <v>0</v>
      </c>
      <c r="CI304" s="539" cm="1">
        <f t="array" aca="1" ref="CI304" ca="1">INDIRECT($BM$2&amp;CI$7&amp;$CE304,1)</f>
        <v>0</v>
      </c>
      <c r="CJ304" s="539" cm="1">
        <f t="array" aca="1" ref="CJ304" ca="1">INDIRECT($BM$2&amp;CJ$7&amp;$CE304,1)</f>
        <v>0</v>
      </c>
      <c r="CK304" s="539" t="str">
        <f t="shared" ca="1" si="161"/>
        <v>-</v>
      </c>
      <c r="CU304" s="469" t="s">
        <v>5510</v>
      </c>
      <c r="HN304" s="20"/>
      <c r="HP304" s="472"/>
    </row>
    <row r="305" spans="58:224" x14ac:dyDescent="0.25">
      <c r="BF305" s="469" t="s">
        <v>5510</v>
      </c>
      <c r="BH305" s="539" t="s">
        <v>8056</v>
      </c>
      <c r="BI305" s="539">
        <f t="shared" si="156"/>
        <v>326</v>
      </c>
      <c r="BJ305" s="539" cm="1">
        <f t="array" aca="1" ref="BJ305" ca="1">INDIRECT($BM$2&amp;BJ$7&amp;$BI305,1)</f>
        <v>0</v>
      </c>
      <c r="BK305" s="539" cm="1">
        <f t="array" aca="1" ref="BK305" ca="1">INDIRECT($BM$2&amp;BK$7&amp;$BI305,1)</f>
        <v>0</v>
      </c>
      <c r="BL305" s="539" cm="1">
        <f t="array" aca="1" ref="BL305" ca="1">INDIRECT($BM$2&amp;BL$7&amp;$BI305,1)</f>
        <v>0</v>
      </c>
      <c r="BM305" s="539" cm="1">
        <f t="array" aca="1" ref="BM305" ca="1">INDIRECT($BM$2&amp;BM$7&amp;$BI305,1)</f>
        <v>0</v>
      </c>
      <c r="BN305" s="539" cm="1">
        <f t="array" aca="1" ref="BN305" ca="1">INDIRECT($BM$2&amp;BN$7&amp;$BI305,1)</f>
        <v>0</v>
      </c>
      <c r="BO305" s="539" t="str">
        <f t="shared" ca="1" si="157"/>
        <v>-</v>
      </c>
      <c r="BR305" s="469">
        <v>8</v>
      </c>
      <c r="BS305" s="539" t="s">
        <v>8056</v>
      </c>
      <c r="BT305" s="539">
        <f t="shared" si="158"/>
        <v>672</v>
      </c>
      <c r="BU305" s="539" cm="1">
        <f t="array" aca="1" ref="BU305" ca="1">INDIRECT($BM$2&amp;BU$7&amp;$BT305,1)</f>
        <v>0</v>
      </c>
      <c r="BV305" s="539" cm="1">
        <f t="array" aca="1" ref="BV305" ca="1">INDIRECT($BM$2&amp;BV$7&amp;$BT305,1)</f>
        <v>0</v>
      </c>
      <c r="BW305" s="539" cm="1">
        <f t="array" aca="1" ref="BW305" ca="1">INDIRECT($BM$2&amp;BW$7&amp;$BT305,1)</f>
        <v>0</v>
      </c>
      <c r="BX305" s="539" cm="1">
        <f t="array" aca="1" ref="BX305" ca="1">INDIRECT($BM$2&amp;BX$7&amp;$BT305,1)</f>
        <v>0</v>
      </c>
      <c r="BY305" s="539" cm="1">
        <f t="array" aca="1" ref="BY305" ca="1">INDIRECT($BM$2&amp;BY$7&amp;$BT305,1)</f>
        <v>0</v>
      </c>
      <c r="BZ305" s="539" t="str">
        <f t="shared" ca="1" si="159"/>
        <v>-</v>
      </c>
      <c r="CC305" s="469">
        <v>8</v>
      </c>
      <c r="CD305" s="539" t="s">
        <v>8056</v>
      </c>
      <c r="CE305" s="539">
        <f t="shared" si="160"/>
        <v>1018</v>
      </c>
      <c r="CF305" s="539" cm="1">
        <f t="array" aca="1" ref="CF305" ca="1">INDIRECT($BM$2&amp;CF$7&amp;$CE305,1)</f>
        <v>0</v>
      </c>
      <c r="CG305" s="539" cm="1">
        <f t="array" aca="1" ref="CG305" ca="1">INDIRECT($BM$2&amp;CG$7&amp;$CE305,1)</f>
        <v>0</v>
      </c>
      <c r="CH305" s="539" cm="1">
        <f t="array" aca="1" ref="CH305" ca="1">INDIRECT($BM$2&amp;CH$7&amp;$CE305,1)</f>
        <v>0</v>
      </c>
      <c r="CI305" s="539" cm="1">
        <f t="array" aca="1" ref="CI305" ca="1">INDIRECT($BM$2&amp;CI$7&amp;$CE305,1)</f>
        <v>0</v>
      </c>
      <c r="CJ305" s="539" cm="1">
        <f t="array" aca="1" ref="CJ305" ca="1">INDIRECT($BM$2&amp;CJ$7&amp;$CE305,1)</f>
        <v>0</v>
      </c>
      <c r="CK305" s="539" t="str">
        <f t="shared" ca="1" si="161"/>
        <v>-</v>
      </c>
      <c r="CU305" s="469" t="s">
        <v>5510</v>
      </c>
      <c r="HN305" s="20"/>
      <c r="HP305" s="472"/>
    </row>
    <row r="306" spans="58:224" x14ac:dyDescent="0.25">
      <c r="BF306" s="469" t="s">
        <v>5510</v>
      </c>
      <c r="BH306" s="539" t="s">
        <v>8056</v>
      </c>
      <c r="BI306" s="539">
        <f t="shared" si="156"/>
        <v>327</v>
      </c>
      <c r="BJ306" s="539" cm="1">
        <f t="array" aca="1" ref="BJ306" ca="1">INDIRECT($BM$2&amp;BJ$7&amp;$BI306,1)</f>
        <v>0</v>
      </c>
      <c r="BK306" s="539" cm="1">
        <f t="array" aca="1" ref="BK306" ca="1">INDIRECT($BM$2&amp;BK$7&amp;$BI306,1)</f>
        <v>0</v>
      </c>
      <c r="BL306" s="539" cm="1">
        <f t="array" aca="1" ref="BL306" ca="1">INDIRECT($BM$2&amp;BL$7&amp;$BI306,1)</f>
        <v>0</v>
      </c>
      <c r="BM306" s="539" cm="1">
        <f t="array" aca="1" ref="BM306" ca="1">INDIRECT($BM$2&amp;BM$7&amp;$BI306,1)</f>
        <v>0</v>
      </c>
      <c r="BN306" s="539" cm="1">
        <f t="array" aca="1" ref="BN306" ca="1">INDIRECT($BM$2&amp;BN$7&amp;$BI306,1)</f>
        <v>0</v>
      </c>
      <c r="BO306" s="539" t="str">
        <f t="shared" ca="1" si="157"/>
        <v>-</v>
      </c>
      <c r="BR306" s="469">
        <v>9</v>
      </c>
      <c r="BS306" s="539" t="s">
        <v>8056</v>
      </c>
      <c r="BT306" s="539">
        <f t="shared" si="158"/>
        <v>673</v>
      </c>
      <c r="BU306" s="539" cm="1">
        <f t="array" aca="1" ref="BU306" ca="1">INDIRECT($BM$2&amp;BU$7&amp;$BT306,1)</f>
        <v>0</v>
      </c>
      <c r="BV306" s="539" cm="1">
        <f t="array" aca="1" ref="BV306" ca="1">INDIRECT($BM$2&amp;BV$7&amp;$BT306,1)</f>
        <v>0</v>
      </c>
      <c r="BW306" s="539" cm="1">
        <f t="array" aca="1" ref="BW306" ca="1">INDIRECT($BM$2&amp;BW$7&amp;$BT306,1)</f>
        <v>0</v>
      </c>
      <c r="BX306" s="539" cm="1">
        <f t="array" aca="1" ref="BX306" ca="1">INDIRECT($BM$2&amp;BX$7&amp;$BT306,1)</f>
        <v>0</v>
      </c>
      <c r="BY306" s="539" cm="1">
        <f t="array" aca="1" ref="BY306" ca="1">INDIRECT($BM$2&amp;BY$7&amp;$BT306,1)</f>
        <v>0</v>
      </c>
      <c r="BZ306" s="539" t="str">
        <f t="shared" ca="1" si="159"/>
        <v>-</v>
      </c>
      <c r="CC306" s="469">
        <v>9</v>
      </c>
      <c r="CD306" s="539" t="s">
        <v>8056</v>
      </c>
      <c r="CE306" s="539">
        <f t="shared" si="160"/>
        <v>1019</v>
      </c>
      <c r="CF306" s="539" cm="1">
        <f t="array" aca="1" ref="CF306" ca="1">INDIRECT($BM$2&amp;CF$7&amp;$CE306,1)</f>
        <v>0</v>
      </c>
      <c r="CG306" s="539" cm="1">
        <f t="array" aca="1" ref="CG306" ca="1">INDIRECT($BM$2&amp;CG$7&amp;$CE306,1)</f>
        <v>0</v>
      </c>
      <c r="CH306" s="539" cm="1">
        <f t="array" aca="1" ref="CH306" ca="1">INDIRECT($BM$2&amp;CH$7&amp;$CE306,1)</f>
        <v>0</v>
      </c>
      <c r="CI306" s="539" cm="1">
        <f t="array" aca="1" ref="CI306" ca="1">INDIRECT($BM$2&amp;CI$7&amp;$CE306,1)</f>
        <v>0</v>
      </c>
      <c r="CJ306" s="539" cm="1">
        <f t="array" aca="1" ref="CJ306" ca="1">INDIRECT($BM$2&amp;CJ$7&amp;$CE306,1)</f>
        <v>0</v>
      </c>
      <c r="CK306" s="539" t="str">
        <f t="shared" ca="1" si="161"/>
        <v>-</v>
      </c>
      <c r="CU306" s="469" t="s">
        <v>5510</v>
      </c>
      <c r="HN306" s="20"/>
      <c r="HP306" s="472"/>
    </row>
    <row r="307" spans="58:224" x14ac:dyDescent="0.25">
      <c r="BF307" s="469" t="s">
        <v>5510</v>
      </c>
      <c r="BH307" s="539" t="s">
        <v>8056</v>
      </c>
      <c r="BI307" s="539">
        <f t="shared" si="156"/>
        <v>328</v>
      </c>
      <c r="BJ307" s="539" cm="1">
        <f t="array" aca="1" ref="BJ307" ca="1">INDIRECT($BM$2&amp;BJ$7&amp;$BI307,1)</f>
        <v>0</v>
      </c>
      <c r="BK307" s="539" cm="1">
        <f t="array" aca="1" ref="BK307" ca="1">INDIRECT($BM$2&amp;BK$7&amp;$BI307,1)</f>
        <v>0</v>
      </c>
      <c r="BL307" s="539" cm="1">
        <f t="array" aca="1" ref="BL307" ca="1">INDIRECT($BM$2&amp;BL$7&amp;$BI307,1)</f>
        <v>0</v>
      </c>
      <c r="BM307" s="539" cm="1">
        <f t="array" aca="1" ref="BM307" ca="1">INDIRECT($BM$2&amp;BM$7&amp;$BI307,1)</f>
        <v>0</v>
      </c>
      <c r="BN307" s="539" cm="1">
        <f t="array" aca="1" ref="BN307" ca="1">INDIRECT($BM$2&amp;BN$7&amp;$BI307,1)</f>
        <v>0</v>
      </c>
      <c r="BO307" s="539" t="str">
        <f t="shared" ca="1" si="157"/>
        <v>-</v>
      </c>
      <c r="BR307" s="469">
        <v>10</v>
      </c>
      <c r="BS307" s="539" t="s">
        <v>8056</v>
      </c>
      <c r="BT307" s="539">
        <f t="shared" si="158"/>
        <v>674</v>
      </c>
      <c r="BU307" s="539" cm="1">
        <f t="array" aca="1" ref="BU307" ca="1">INDIRECT($BM$2&amp;BU$7&amp;$BT307,1)</f>
        <v>0</v>
      </c>
      <c r="BV307" s="539" cm="1">
        <f t="array" aca="1" ref="BV307" ca="1">INDIRECT($BM$2&amp;BV$7&amp;$BT307,1)</f>
        <v>0</v>
      </c>
      <c r="BW307" s="539" cm="1">
        <f t="array" aca="1" ref="BW307" ca="1">INDIRECT($BM$2&amp;BW$7&amp;$BT307,1)</f>
        <v>0</v>
      </c>
      <c r="BX307" s="539" cm="1">
        <f t="array" aca="1" ref="BX307" ca="1">INDIRECT($BM$2&amp;BX$7&amp;$BT307,1)</f>
        <v>0</v>
      </c>
      <c r="BY307" s="539" cm="1">
        <f t="array" aca="1" ref="BY307" ca="1">INDIRECT($BM$2&amp;BY$7&amp;$BT307,1)</f>
        <v>0</v>
      </c>
      <c r="BZ307" s="539" t="str">
        <f t="shared" ca="1" si="159"/>
        <v>-</v>
      </c>
      <c r="CC307" s="469">
        <v>10</v>
      </c>
      <c r="CD307" s="539" t="s">
        <v>8056</v>
      </c>
      <c r="CE307" s="539">
        <f t="shared" si="160"/>
        <v>1020</v>
      </c>
      <c r="CF307" s="539" cm="1">
        <f t="array" aca="1" ref="CF307" ca="1">INDIRECT($BM$2&amp;CF$7&amp;$CE307,1)</f>
        <v>0</v>
      </c>
      <c r="CG307" s="539" cm="1">
        <f t="array" aca="1" ref="CG307" ca="1">INDIRECT($BM$2&amp;CG$7&amp;$CE307,1)</f>
        <v>0</v>
      </c>
      <c r="CH307" s="539" cm="1">
        <f t="array" aca="1" ref="CH307" ca="1">INDIRECT($BM$2&amp;CH$7&amp;$CE307,1)</f>
        <v>0</v>
      </c>
      <c r="CI307" s="539" cm="1">
        <f t="array" aca="1" ref="CI307" ca="1">INDIRECT($BM$2&amp;CI$7&amp;$CE307,1)</f>
        <v>0</v>
      </c>
      <c r="CJ307" s="539" cm="1">
        <f t="array" aca="1" ref="CJ307" ca="1">INDIRECT($BM$2&amp;CJ$7&amp;$CE307,1)</f>
        <v>0</v>
      </c>
      <c r="CK307" s="539" t="str">
        <f t="shared" ca="1" si="161"/>
        <v>-</v>
      </c>
      <c r="CU307" s="469" t="s">
        <v>5510</v>
      </c>
      <c r="HN307" s="20"/>
      <c r="HP307" s="472"/>
    </row>
    <row r="308" spans="58:224" x14ac:dyDescent="0.25">
      <c r="BF308" s="469" t="s">
        <v>5510</v>
      </c>
      <c r="BH308" s="539" t="s">
        <v>8056</v>
      </c>
      <c r="BI308" s="539">
        <f t="shared" si="156"/>
        <v>329</v>
      </c>
      <c r="BJ308" s="539" cm="1">
        <f t="array" aca="1" ref="BJ308" ca="1">INDIRECT($BM$2&amp;BJ$7&amp;$BI308,1)</f>
        <v>0</v>
      </c>
      <c r="BK308" s="539" cm="1">
        <f t="array" aca="1" ref="BK308" ca="1">INDIRECT($BM$2&amp;BK$7&amp;$BI308,1)</f>
        <v>0</v>
      </c>
      <c r="BL308" s="539" cm="1">
        <f t="array" aca="1" ref="BL308" ca="1">INDIRECT($BM$2&amp;BL$7&amp;$BI308,1)</f>
        <v>0</v>
      </c>
      <c r="BM308" s="539" cm="1">
        <f t="array" aca="1" ref="BM308" ca="1">INDIRECT($BM$2&amp;BM$7&amp;$BI308,1)</f>
        <v>0</v>
      </c>
      <c r="BN308" s="539" cm="1">
        <f t="array" aca="1" ref="BN308" ca="1">INDIRECT($BM$2&amp;BN$7&amp;$BI308,1)</f>
        <v>0</v>
      </c>
      <c r="BO308" s="539" t="str">
        <f t="shared" ca="1" si="157"/>
        <v>-</v>
      </c>
      <c r="BR308" s="469">
        <v>11</v>
      </c>
      <c r="BS308" s="539" t="s">
        <v>8056</v>
      </c>
      <c r="BT308" s="539">
        <f t="shared" si="158"/>
        <v>675</v>
      </c>
      <c r="BU308" s="539" cm="1">
        <f t="array" aca="1" ref="BU308" ca="1">INDIRECT($BM$2&amp;BU$7&amp;$BT308,1)</f>
        <v>0</v>
      </c>
      <c r="BV308" s="539" cm="1">
        <f t="array" aca="1" ref="BV308" ca="1">INDIRECT($BM$2&amp;BV$7&amp;$BT308,1)</f>
        <v>0</v>
      </c>
      <c r="BW308" s="539" cm="1">
        <f t="array" aca="1" ref="BW308" ca="1">INDIRECT($BM$2&amp;BW$7&amp;$BT308,1)</f>
        <v>0</v>
      </c>
      <c r="BX308" s="539" cm="1">
        <f t="array" aca="1" ref="BX308" ca="1">INDIRECT($BM$2&amp;BX$7&amp;$BT308,1)</f>
        <v>0</v>
      </c>
      <c r="BY308" s="539" cm="1">
        <f t="array" aca="1" ref="BY308" ca="1">INDIRECT($BM$2&amp;BY$7&amp;$BT308,1)</f>
        <v>0</v>
      </c>
      <c r="BZ308" s="539" t="str">
        <f t="shared" ca="1" si="159"/>
        <v>-</v>
      </c>
      <c r="CC308" s="469">
        <v>11</v>
      </c>
      <c r="CD308" s="539" t="s">
        <v>8056</v>
      </c>
      <c r="CE308" s="539">
        <f t="shared" si="160"/>
        <v>1021</v>
      </c>
      <c r="CF308" s="539" cm="1">
        <f t="array" aca="1" ref="CF308" ca="1">INDIRECT($BM$2&amp;CF$7&amp;$CE308,1)</f>
        <v>0</v>
      </c>
      <c r="CG308" s="539" cm="1">
        <f t="array" aca="1" ref="CG308" ca="1">INDIRECT($BM$2&amp;CG$7&amp;$CE308,1)</f>
        <v>0</v>
      </c>
      <c r="CH308" s="539" cm="1">
        <f t="array" aca="1" ref="CH308" ca="1">INDIRECT($BM$2&amp;CH$7&amp;$CE308,1)</f>
        <v>0</v>
      </c>
      <c r="CI308" s="539" cm="1">
        <f t="array" aca="1" ref="CI308" ca="1">INDIRECT($BM$2&amp;CI$7&amp;$CE308,1)</f>
        <v>0</v>
      </c>
      <c r="CJ308" s="539" cm="1">
        <f t="array" aca="1" ref="CJ308" ca="1">INDIRECT($BM$2&amp;CJ$7&amp;$CE308,1)</f>
        <v>0</v>
      </c>
      <c r="CK308" s="539" t="str">
        <f t="shared" ca="1" si="161"/>
        <v>-</v>
      </c>
      <c r="CU308" s="469" t="s">
        <v>5510</v>
      </c>
      <c r="HN308" s="20"/>
      <c r="HP308" s="472"/>
    </row>
    <row r="309" spans="58:224" x14ac:dyDescent="0.25">
      <c r="BF309" s="469" t="s">
        <v>5510</v>
      </c>
      <c r="BH309" s="539" t="s">
        <v>8056</v>
      </c>
      <c r="BI309" s="539">
        <f t="shared" si="156"/>
        <v>330</v>
      </c>
      <c r="BJ309" s="539" cm="1">
        <f t="array" aca="1" ref="BJ309" ca="1">INDIRECT($BM$2&amp;BJ$7&amp;$BI309,1)</f>
        <v>0</v>
      </c>
      <c r="BK309" s="539" cm="1">
        <f t="array" aca="1" ref="BK309" ca="1">INDIRECT($BM$2&amp;BK$7&amp;$BI309,1)</f>
        <v>0</v>
      </c>
      <c r="BL309" s="539" cm="1">
        <f t="array" aca="1" ref="BL309" ca="1">INDIRECT($BM$2&amp;BL$7&amp;$BI309,1)</f>
        <v>0</v>
      </c>
      <c r="BM309" s="539" cm="1">
        <f t="array" aca="1" ref="BM309" ca="1">INDIRECT($BM$2&amp;BM$7&amp;$BI309,1)</f>
        <v>0</v>
      </c>
      <c r="BN309" s="539" t="str" cm="1">
        <f t="array" aca="1" ref="BN309" ca="1">INDIRECT($BM$2&amp;BN$7&amp;$BI309,1)</f>
        <v>-</v>
      </c>
      <c r="BO309" s="539" t="str">
        <f t="shared" ca="1" si="157"/>
        <v>-</v>
      </c>
      <c r="BR309" s="469">
        <v>12</v>
      </c>
      <c r="BS309" s="539" t="s">
        <v>8056</v>
      </c>
      <c r="BT309" s="539">
        <f t="shared" si="158"/>
        <v>676</v>
      </c>
      <c r="BU309" s="539" cm="1">
        <f t="array" aca="1" ref="BU309" ca="1">INDIRECT($BM$2&amp;BU$7&amp;$BT309,1)</f>
        <v>0</v>
      </c>
      <c r="BV309" s="539" cm="1">
        <f t="array" aca="1" ref="BV309" ca="1">INDIRECT($BM$2&amp;BV$7&amp;$BT309,1)</f>
        <v>0</v>
      </c>
      <c r="BW309" s="539" cm="1">
        <f t="array" aca="1" ref="BW309" ca="1">INDIRECT($BM$2&amp;BW$7&amp;$BT309,1)</f>
        <v>0</v>
      </c>
      <c r="BX309" s="539" cm="1">
        <f t="array" aca="1" ref="BX309" ca="1">INDIRECT($BM$2&amp;BX$7&amp;$BT309,1)</f>
        <v>0</v>
      </c>
      <c r="BY309" s="539" t="str" cm="1">
        <f t="array" aca="1" ref="BY309" ca="1">INDIRECT($BM$2&amp;BY$7&amp;$BT309,1)</f>
        <v>-</v>
      </c>
      <c r="BZ309" s="539" t="str">
        <f t="shared" ca="1" si="159"/>
        <v>-</v>
      </c>
      <c r="CC309" s="469">
        <v>12</v>
      </c>
      <c r="CD309" s="539" t="s">
        <v>8056</v>
      </c>
      <c r="CE309" s="539">
        <f t="shared" si="160"/>
        <v>1022</v>
      </c>
      <c r="CF309" s="539" cm="1">
        <f t="array" aca="1" ref="CF309" ca="1">INDIRECT($BM$2&amp;CF$7&amp;$CE309,1)</f>
        <v>0</v>
      </c>
      <c r="CG309" s="539" cm="1">
        <f t="array" aca="1" ref="CG309" ca="1">INDIRECT($BM$2&amp;CG$7&amp;$CE309,1)</f>
        <v>0</v>
      </c>
      <c r="CH309" s="539" cm="1">
        <f t="array" aca="1" ref="CH309" ca="1">INDIRECT($BM$2&amp;CH$7&amp;$CE309,1)</f>
        <v>0</v>
      </c>
      <c r="CI309" s="539" cm="1">
        <f t="array" aca="1" ref="CI309" ca="1">INDIRECT($BM$2&amp;CI$7&amp;$CE309,1)</f>
        <v>0</v>
      </c>
      <c r="CJ309" s="539" t="str" cm="1">
        <f t="array" aca="1" ref="CJ309" ca="1">INDIRECT($BM$2&amp;CJ$7&amp;$CE309,1)</f>
        <v>-</v>
      </c>
      <c r="CK309" s="539" t="str">
        <f t="shared" ca="1" si="161"/>
        <v>-</v>
      </c>
      <c r="CU309" s="469" t="s">
        <v>5510</v>
      </c>
      <c r="HN309" s="20"/>
      <c r="HP309" s="472"/>
    </row>
    <row r="310" spans="58:224" x14ac:dyDescent="0.25">
      <c r="BF310" s="469" t="s">
        <v>5510</v>
      </c>
      <c r="BL310" s="372"/>
      <c r="BO310" s="472"/>
      <c r="BT310" s="372"/>
      <c r="BU310" s="472"/>
      <c r="BV310" s="472"/>
      <c r="BW310" s="372"/>
      <c r="BX310" s="472"/>
      <c r="BY310" s="372"/>
      <c r="BZ310" s="472"/>
      <c r="CE310" s="372"/>
      <c r="CF310" s="472"/>
      <c r="CG310" s="472"/>
      <c r="CH310" s="372"/>
      <c r="CI310" s="472"/>
      <c r="CJ310" s="372"/>
      <c r="CK310" s="472"/>
      <c r="CU310" s="469" t="s">
        <v>5510</v>
      </c>
      <c r="HN310" s="20"/>
      <c r="HP310" s="472"/>
    </row>
    <row r="311" spans="58:224" x14ac:dyDescent="0.25">
      <c r="BF311" s="469" t="s">
        <v>5510</v>
      </c>
      <c r="BL311" s="372"/>
      <c r="BO311" s="472"/>
      <c r="BT311" s="372"/>
      <c r="BU311" s="472"/>
      <c r="BV311" s="472"/>
      <c r="BW311" s="372"/>
      <c r="BX311" s="472"/>
      <c r="BY311" s="372"/>
      <c r="BZ311" s="472"/>
      <c r="CE311" s="372"/>
      <c r="CF311" s="472"/>
      <c r="CG311" s="472"/>
      <c r="CH311" s="372"/>
      <c r="CI311" s="472"/>
      <c r="CJ311" s="372"/>
      <c r="CK311" s="472"/>
      <c r="CU311" s="469" t="s">
        <v>5510</v>
      </c>
      <c r="HN311" s="20"/>
      <c r="HP311" s="472"/>
    </row>
    <row r="312" spans="58:224" x14ac:dyDescent="0.25">
      <c r="BF312" s="469" t="s">
        <v>5510</v>
      </c>
      <c r="BT312" s="372"/>
      <c r="BU312" s="472"/>
      <c r="BV312" s="472"/>
      <c r="BW312" s="472"/>
      <c r="BX312" s="472"/>
      <c r="BY312" s="372"/>
      <c r="BZ312" s="372"/>
      <c r="CE312" s="372"/>
      <c r="CF312" s="472"/>
      <c r="CG312" s="472"/>
      <c r="CH312" s="472"/>
      <c r="CI312" s="472"/>
      <c r="CJ312" s="372"/>
      <c r="CK312" s="372"/>
      <c r="CU312" s="469" t="s">
        <v>5510</v>
      </c>
      <c r="HN312" s="20"/>
      <c r="HP312" s="472"/>
    </row>
    <row r="313" spans="58:224" x14ac:dyDescent="0.25">
      <c r="BF313" s="469" t="s">
        <v>5510</v>
      </c>
      <c r="BT313" s="372"/>
      <c r="BU313" s="472"/>
      <c r="BV313" s="472"/>
      <c r="BW313" s="472"/>
      <c r="BX313" s="472"/>
      <c r="BY313" s="372"/>
      <c r="BZ313" s="372"/>
      <c r="CE313" s="372"/>
      <c r="CF313" s="472"/>
      <c r="CG313" s="472"/>
      <c r="CH313" s="472"/>
      <c r="CI313" s="472"/>
      <c r="CJ313" s="372"/>
      <c r="CK313" s="372"/>
      <c r="CU313" s="469" t="s">
        <v>5510</v>
      </c>
      <c r="HN313" s="20"/>
      <c r="HP313" s="472"/>
    </row>
    <row r="314" spans="58:224" x14ac:dyDescent="0.25">
      <c r="BF314" s="469" t="s">
        <v>5510</v>
      </c>
      <c r="BH314" s="539" t="s">
        <v>8053</v>
      </c>
      <c r="BI314" s="539">
        <f>BI309+$BO$5</f>
        <v>336</v>
      </c>
      <c r="BJ314" s="539" cm="1">
        <f t="array" aca="1" ref="BJ314" ca="1">INDIRECT($BM$2&amp;BJ$7&amp;$BI314,1)</f>
        <v>0</v>
      </c>
      <c r="BK314" s="539" cm="1">
        <f t="array" aca="1" ref="BK314" ca="1">INDIRECT($BM$2&amp;BK$7&amp;$BI314,1)</f>
        <v>0</v>
      </c>
      <c r="BL314" s="539" cm="1">
        <f t="array" aca="1" ref="BL314" ca="1">INDIRECT($BM$2&amp;BL$7&amp;$BI314,1)</f>
        <v>0</v>
      </c>
      <c r="BM314" s="539" cm="1">
        <f t="array" aca="1" ref="BM314" ca="1">INDIRECT($BM$2&amp;BM$7&amp;$BI314,1)</f>
        <v>0</v>
      </c>
      <c r="BN314" s="539" cm="1">
        <f t="array" aca="1" ref="BN314" ca="1">INDIRECT($BM$2&amp;BN$7&amp;$BI314,1)</f>
        <v>0</v>
      </c>
      <c r="BO314" s="539" t="str">
        <f t="shared" ref="BO314:BO325" ca="1" si="162">IFERROR(BK314/BK$314,"-")</f>
        <v>-</v>
      </c>
      <c r="BR314" s="469">
        <v>1</v>
      </c>
      <c r="BS314" s="539" t="s">
        <v>8053</v>
      </c>
      <c r="BT314" s="539">
        <f>BT309+$BO$5</f>
        <v>682</v>
      </c>
      <c r="BU314" s="539" cm="1">
        <f t="array" aca="1" ref="BU314" ca="1">INDIRECT($BM$2&amp;BU$7&amp;$BT314,1)</f>
        <v>0</v>
      </c>
      <c r="BV314" s="539" cm="1">
        <f t="array" aca="1" ref="BV314" ca="1">INDIRECT($BM$2&amp;BV$7&amp;$BT314,1)</f>
        <v>0</v>
      </c>
      <c r="BW314" s="539" cm="1">
        <f t="array" aca="1" ref="BW314" ca="1">INDIRECT($BM$2&amp;BW$7&amp;$BT314,1)</f>
        <v>0</v>
      </c>
      <c r="BX314" s="539" cm="1">
        <f t="array" aca="1" ref="BX314" ca="1">INDIRECT($BM$2&amp;BX$7&amp;$BT314,1)</f>
        <v>0</v>
      </c>
      <c r="BY314" s="539" cm="1">
        <f t="array" aca="1" ref="BY314" ca="1">INDIRECT($BM$2&amp;BY$7&amp;$BT314,1)</f>
        <v>0</v>
      </c>
      <c r="BZ314" s="539" t="str">
        <f t="shared" ref="BZ314:BZ325" ca="1" si="163">IFERROR(BV314/BV$314,"-")</f>
        <v>-</v>
      </c>
      <c r="CC314" s="469">
        <v>1</v>
      </c>
      <c r="CD314" s="539" t="s">
        <v>8053</v>
      </c>
      <c r="CE314" s="539">
        <f>CE309+$BO$5</f>
        <v>1028</v>
      </c>
      <c r="CF314" s="539" cm="1">
        <f t="array" aca="1" ref="CF314" ca="1">INDIRECT($BM$2&amp;CF$7&amp;$CE314,1)</f>
        <v>0</v>
      </c>
      <c r="CG314" s="539" cm="1">
        <f t="array" aca="1" ref="CG314" ca="1">INDIRECT($BM$2&amp;CG$7&amp;$CE314,1)</f>
        <v>0</v>
      </c>
      <c r="CH314" s="539" cm="1">
        <f t="array" aca="1" ref="CH314" ca="1">INDIRECT($BM$2&amp;CH$7&amp;$CE314,1)</f>
        <v>0</v>
      </c>
      <c r="CI314" s="539" cm="1">
        <f t="array" aca="1" ref="CI314" ca="1">INDIRECT($BM$2&amp;CI$7&amp;$CE314,1)</f>
        <v>0</v>
      </c>
      <c r="CJ314" s="539" cm="1">
        <f t="array" aca="1" ref="CJ314" ca="1">INDIRECT($BM$2&amp;CJ$7&amp;$CE314,1)</f>
        <v>0</v>
      </c>
      <c r="CK314" s="539" t="str">
        <f t="shared" ref="CK314:CK325" ca="1" si="164">IFERROR(CG314/CG$314,"-")</f>
        <v>-</v>
      </c>
      <c r="CU314" s="469" t="s">
        <v>5510</v>
      </c>
      <c r="HN314" s="20"/>
      <c r="HP314" s="472"/>
    </row>
    <row r="315" spans="58:224" x14ac:dyDescent="0.25">
      <c r="BF315" s="469" t="s">
        <v>5510</v>
      </c>
      <c r="BH315" s="539" t="s">
        <v>8053</v>
      </c>
      <c r="BI315" s="539">
        <f t="shared" ref="BI315:BI325" si="165">BI314+1</f>
        <v>337</v>
      </c>
      <c r="BJ315" s="539" cm="1">
        <f t="array" aca="1" ref="BJ315" ca="1">INDIRECT($BM$2&amp;BJ$7&amp;$BI315,1)</f>
        <v>0</v>
      </c>
      <c r="BK315" s="539" cm="1">
        <f t="array" aca="1" ref="BK315" ca="1">INDIRECT($BM$2&amp;BK$7&amp;$BI315,1)</f>
        <v>0</v>
      </c>
      <c r="BL315" s="539" cm="1">
        <f t="array" aca="1" ref="BL315" ca="1">INDIRECT($BM$2&amp;BL$7&amp;$BI315,1)</f>
        <v>0</v>
      </c>
      <c r="BM315" s="539" cm="1">
        <f t="array" aca="1" ref="BM315" ca="1">INDIRECT($BM$2&amp;BM$7&amp;$BI315,1)</f>
        <v>0</v>
      </c>
      <c r="BN315" s="539" cm="1">
        <f t="array" aca="1" ref="BN315" ca="1">INDIRECT($BM$2&amp;BN$7&amp;$BI315,1)</f>
        <v>0</v>
      </c>
      <c r="BO315" s="539" t="str">
        <f t="shared" ca="1" si="162"/>
        <v>-</v>
      </c>
      <c r="BR315" s="469">
        <v>2</v>
      </c>
      <c r="BS315" s="539" t="s">
        <v>8053</v>
      </c>
      <c r="BT315" s="539">
        <f t="shared" ref="BT315:BT325" si="166">BT314+1</f>
        <v>683</v>
      </c>
      <c r="BU315" s="539" cm="1">
        <f t="array" aca="1" ref="BU315" ca="1">INDIRECT($BM$2&amp;BU$7&amp;$BT315,1)</f>
        <v>0</v>
      </c>
      <c r="BV315" s="539" cm="1">
        <f t="array" aca="1" ref="BV315" ca="1">INDIRECT($BM$2&amp;BV$7&amp;$BT315,1)</f>
        <v>0</v>
      </c>
      <c r="BW315" s="539" cm="1">
        <f t="array" aca="1" ref="BW315" ca="1">INDIRECT($BM$2&amp;BW$7&amp;$BT315,1)</f>
        <v>0</v>
      </c>
      <c r="BX315" s="539" cm="1">
        <f t="array" aca="1" ref="BX315" ca="1">INDIRECT($BM$2&amp;BX$7&amp;$BT315,1)</f>
        <v>0</v>
      </c>
      <c r="BY315" s="539" cm="1">
        <f t="array" aca="1" ref="BY315" ca="1">INDIRECT($BM$2&amp;BY$7&amp;$BT315,1)</f>
        <v>0</v>
      </c>
      <c r="BZ315" s="539" t="str">
        <f t="shared" ca="1" si="163"/>
        <v>-</v>
      </c>
      <c r="CC315" s="469">
        <v>2</v>
      </c>
      <c r="CD315" s="539" t="s">
        <v>8053</v>
      </c>
      <c r="CE315" s="539">
        <f t="shared" ref="CE315:CE325" si="167">CE314+1</f>
        <v>1029</v>
      </c>
      <c r="CF315" s="539" cm="1">
        <f t="array" aca="1" ref="CF315" ca="1">INDIRECT($BM$2&amp;CF$7&amp;$CE315,1)</f>
        <v>0</v>
      </c>
      <c r="CG315" s="539" cm="1">
        <f t="array" aca="1" ref="CG315" ca="1">INDIRECT($BM$2&amp;CG$7&amp;$CE315,1)</f>
        <v>0</v>
      </c>
      <c r="CH315" s="539" cm="1">
        <f t="array" aca="1" ref="CH315" ca="1">INDIRECT($BM$2&amp;CH$7&amp;$CE315,1)</f>
        <v>0</v>
      </c>
      <c r="CI315" s="539" cm="1">
        <f t="array" aca="1" ref="CI315" ca="1">INDIRECT($BM$2&amp;CI$7&amp;$CE315,1)</f>
        <v>0</v>
      </c>
      <c r="CJ315" s="539" cm="1">
        <f t="array" aca="1" ref="CJ315" ca="1">INDIRECT($BM$2&amp;CJ$7&amp;$CE315,1)</f>
        <v>0</v>
      </c>
      <c r="CK315" s="539" t="str">
        <f t="shared" ca="1" si="164"/>
        <v>-</v>
      </c>
      <c r="CU315" s="469" t="s">
        <v>5510</v>
      </c>
      <c r="HN315" s="20"/>
      <c r="HP315" s="472"/>
    </row>
    <row r="316" spans="58:224" x14ac:dyDescent="0.25">
      <c r="BF316" s="469" t="s">
        <v>5510</v>
      </c>
      <c r="BH316" s="539" t="s">
        <v>8053</v>
      </c>
      <c r="BI316" s="539">
        <f t="shared" si="165"/>
        <v>338</v>
      </c>
      <c r="BJ316" s="539" cm="1">
        <f t="array" aca="1" ref="BJ316" ca="1">INDIRECT($BM$2&amp;BJ$7&amp;$BI316,1)</f>
        <v>0</v>
      </c>
      <c r="BK316" s="539" cm="1">
        <f t="array" aca="1" ref="BK316" ca="1">INDIRECT($BM$2&amp;BK$7&amp;$BI316,1)</f>
        <v>0</v>
      </c>
      <c r="BL316" s="539" cm="1">
        <f t="array" aca="1" ref="BL316" ca="1">INDIRECT($BM$2&amp;BL$7&amp;$BI316,1)</f>
        <v>0</v>
      </c>
      <c r="BM316" s="539" cm="1">
        <f t="array" aca="1" ref="BM316" ca="1">INDIRECT($BM$2&amp;BM$7&amp;$BI316,1)</f>
        <v>0</v>
      </c>
      <c r="BN316" s="539" cm="1">
        <f t="array" aca="1" ref="BN316" ca="1">INDIRECT($BM$2&amp;BN$7&amp;$BI316,1)</f>
        <v>0</v>
      </c>
      <c r="BO316" s="539" t="str">
        <f t="shared" ca="1" si="162"/>
        <v>-</v>
      </c>
      <c r="BR316" s="469">
        <v>3</v>
      </c>
      <c r="BS316" s="539" t="s">
        <v>8053</v>
      </c>
      <c r="BT316" s="539">
        <f t="shared" si="166"/>
        <v>684</v>
      </c>
      <c r="BU316" s="539" cm="1">
        <f t="array" aca="1" ref="BU316" ca="1">INDIRECT($BM$2&amp;BU$7&amp;$BT316,1)</f>
        <v>0</v>
      </c>
      <c r="BV316" s="539" cm="1">
        <f t="array" aca="1" ref="BV316" ca="1">INDIRECT($BM$2&amp;BV$7&amp;$BT316,1)</f>
        <v>0</v>
      </c>
      <c r="BW316" s="539" cm="1">
        <f t="array" aca="1" ref="BW316" ca="1">INDIRECT($BM$2&amp;BW$7&amp;$BT316,1)</f>
        <v>0</v>
      </c>
      <c r="BX316" s="539" cm="1">
        <f t="array" aca="1" ref="BX316" ca="1">INDIRECT($BM$2&amp;BX$7&amp;$BT316,1)</f>
        <v>0</v>
      </c>
      <c r="BY316" s="539" cm="1">
        <f t="array" aca="1" ref="BY316" ca="1">INDIRECT($BM$2&amp;BY$7&amp;$BT316,1)</f>
        <v>0</v>
      </c>
      <c r="BZ316" s="539" t="str">
        <f t="shared" ca="1" si="163"/>
        <v>-</v>
      </c>
      <c r="CC316" s="469">
        <v>3</v>
      </c>
      <c r="CD316" s="539" t="s">
        <v>8053</v>
      </c>
      <c r="CE316" s="539">
        <f t="shared" si="167"/>
        <v>1030</v>
      </c>
      <c r="CF316" s="539" cm="1">
        <f t="array" aca="1" ref="CF316" ca="1">INDIRECT($BM$2&amp;CF$7&amp;$CE316,1)</f>
        <v>0</v>
      </c>
      <c r="CG316" s="539" cm="1">
        <f t="array" aca="1" ref="CG316" ca="1">INDIRECT($BM$2&amp;CG$7&amp;$CE316,1)</f>
        <v>0</v>
      </c>
      <c r="CH316" s="539" cm="1">
        <f t="array" aca="1" ref="CH316" ca="1">INDIRECT($BM$2&amp;CH$7&amp;$CE316,1)</f>
        <v>0</v>
      </c>
      <c r="CI316" s="539" cm="1">
        <f t="array" aca="1" ref="CI316" ca="1">INDIRECT($BM$2&amp;CI$7&amp;$CE316,1)</f>
        <v>0</v>
      </c>
      <c r="CJ316" s="539" cm="1">
        <f t="array" aca="1" ref="CJ316" ca="1">INDIRECT($BM$2&amp;CJ$7&amp;$CE316,1)</f>
        <v>0</v>
      </c>
      <c r="CK316" s="539" t="str">
        <f t="shared" ca="1" si="164"/>
        <v>-</v>
      </c>
      <c r="CU316" s="469" t="s">
        <v>5510</v>
      </c>
      <c r="HN316" s="20"/>
      <c r="HP316" s="472"/>
    </row>
    <row r="317" spans="58:224" x14ac:dyDescent="0.25">
      <c r="BF317" s="469" t="s">
        <v>5510</v>
      </c>
      <c r="BH317" s="539" t="s">
        <v>8053</v>
      </c>
      <c r="BI317" s="539">
        <f t="shared" si="165"/>
        <v>339</v>
      </c>
      <c r="BJ317" s="539" cm="1">
        <f t="array" aca="1" ref="BJ317" ca="1">INDIRECT($BM$2&amp;BJ$7&amp;$BI317,1)</f>
        <v>0</v>
      </c>
      <c r="BK317" s="539" cm="1">
        <f t="array" aca="1" ref="BK317" ca="1">INDIRECT($BM$2&amp;BK$7&amp;$BI317,1)</f>
        <v>0</v>
      </c>
      <c r="BL317" s="539" cm="1">
        <f t="array" aca="1" ref="BL317" ca="1">INDIRECT($BM$2&amp;BL$7&amp;$BI317,1)</f>
        <v>0</v>
      </c>
      <c r="BM317" s="539" cm="1">
        <f t="array" aca="1" ref="BM317" ca="1">INDIRECT($BM$2&amp;BM$7&amp;$BI317,1)</f>
        <v>0</v>
      </c>
      <c r="BN317" s="539" cm="1">
        <f t="array" aca="1" ref="BN317" ca="1">INDIRECT($BM$2&amp;BN$7&amp;$BI317,1)</f>
        <v>0</v>
      </c>
      <c r="BO317" s="539" t="str">
        <f t="shared" ca="1" si="162"/>
        <v>-</v>
      </c>
      <c r="BR317" s="469">
        <v>4</v>
      </c>
      <c r="BS317" s="539" t="s">
        <v>8053</v>
      </c>
      <c r="BT317" s="539">
        <f t="shared" si="166"/>
        <v>685</v>
      </c>
      <c r="BU317" s="539" cm="1">
        <f t="array" aca="1" ref="BU317" ca="1">INDIRECT($BM$2&amp;BU$7&amp;$BT317,1)</f>
        <v>0</v>
      </c>
      <c r="BV317" s="539" cm="1">
        <f t="array" aca="1" ref="BV317" ca="1">INDIRECT($BM$2&amp;BV$7&amp;$BT317,1)</f>
        <v>0</v>
      </c>
      <c r="BW317" s="539" cm="1">
        <f t="array" aca="1" ref="BW317" ca="1">INDIRECT($BM$2&amp;BW$7&amp;$BT317,1)</f>
        <v>0</v>
      </c>
      <c r="BX317" s="539" cm="1">
        <f t="array" aca="1" ref="BX317" ca="1">INDIRECT($BM$2&amp;BX$7&amp;$BT317,1)</f>
        <v>0</v>
      </c>
      <c r="BY317" s="539" cm="1">
        <f t="array" aca="1" ref="BY317" ca="1">INDIRECT($BM$2&amp;BY$7&amp;$BT317,1)</f>
        <v>0</v>
      </c>
      <c r="BZ317" s="539" t="str">
        <f t="shared" ca="1" si="163"/>
        <v>-</v>
      </c>
      <c r="CC317" s="469">
        <v>4</v>
      </c>
      <c r="CD317" s="539" t="s">
        <v>8053</v>
      </c>
      <c r="CE317" s="539">
        <f t="shared" si="167"/>
        <v>1031</v>
      </c>
      <c r="CF317" s="539" cm="1">
        <f t="array" aca="1" ref="CF317" ca="1">INDIRECT($BM$2&amp;CF$7&amp;$CE317,1)</f>
        <v>0</v>
      </c>
      <c r="CG317" s="539" cm="1">
        <f t="array" aca="1" ref="CG317" ca="1">INDIRECT($BM$2&amp;CG$7&amp;$CE317,1)</f>
        <v>0</v>
      </c>
      <c r="CH317" s="539" cm="1">
        <f t="array" aca="1" ref="CH317" ca="1">INDIRECT($BM$2&amp;CH$7&amp;$CE317,1)</f>
        <v>0</v>
      </c>
      <c r="CI317" s="539" cm="1">
        <f t="array" aca="1" ref="CI317" ca="1">INDIRECT($BM$2&amp;CI$7&amp;$CE317,1)</f>
        <v>0</v>
      </c>
      <c r="CJ317" s="539" cm="1">
        <f t="array" aca="1" ref="CJ317" ca="1">INDIRECT($BM$2&amp;CJ$7&amp;$CE317,1)</f>
        <v>0</v>
      </c>
      <c r="CK317" s="539" t="str">
        <f t="shared" ca="1" si="164"/>
        <v>-</v>
      </c>
      <c r="CU317" s="469" t="s">
        <v>5510</v>
      </c>
      <c r="HN317" s="20"/>
      <c r="HP317" s="472"/>
    </row>
    <row r="318" spans="58:224" x14ac:dyDescent="0.25">
      <c r="BF318" s="469" t="s">
        <v>5510</v>
      </c>
      <c r="BH318" s="539" t="s">
        <v>8053</v>
      </c>
      <c r="BI318" s="539">
        <f t="shared" si="165"/>
        <v>340</v>
      </c>
      <c r="BJ318" s="539" cm="1">
        <f t="array" aca="1" ref="BJ318" ca="1">INDIRECT($BM$2&amp;BJ$7&amp;$BI318,1)</f>
        <v>0</v>
      </c>
      <c r="BK318" s="539" cm="1">
        <f t="array" aca="1" ref="BK318" ca="1">INDIRECT($BM$2&amp;BK$7&amp;$BI318,1)</f>
        <v>0</v>
      </c>
      <c r="BL318" s="539" cm="1">
        <f t="array" aca="1" ref="BL318" ca="1">INDIRECT($BM$2&amp;BL$7&amp;$BI318,1)</f>
        <v>0</v>
      </c>
      <c r="BM318" s="539" cm="1">
        <f t="array" aca="1" ref="BM318" ca="1">INDIRECT($BM$2&amp;BM$7&amp;$BI318,1)</f>
        <v>0</v>
      </c>
      <c r="BN318" s="539" cm="1">
        <f t="array" aca="1" ref="BN318" ca="1">INDIRECT($BM$2&amp;BN$7&amp;$BI318,1)</f>
        <v>0</v>
      </c>
      <c r="BO318" s="539" t="str">
        <f t="shared" ca="1" si="162"/>
        <v>-</v>
      </c>
      <c r="BR318" s="469">
        <v>5</v>
      </c>
      <c r="BS318" s="539" t="s">
        <v>8053</v>
      </c>
      <c r="BT318" s="539">
        <f t="shared" si="166"/>
        <v>686</v>
      </c>
      <c r="BU318" s="539" cm="1">
        <f t="array" aca="1" ref="BU318" ca="1">INDIRECT($BM$2&amp;BU$7&amp;$BT318,1)</f>
        <v>0</v>
      </c>
      <c r="BV318" s="539" cm="1">
        <f t="array" aca="1" ref="BV318" ca="1">INDIRECT($BM$2&amp;BV$7&amp;$BT318,1)</f>
        <v>0</v>
      </c>
      <c r="BW318" s="539" cm="1">
        <f t="array" aca="1" ref="BW318" ca="1">INDIRECT($BM$2&amp;BW$7&amp;$BT318,1)</f>
        <v>0</v>
      </c>
      <c r="BX318" s="539" cm="1">
        <f t="array" aca="1" ref="BX318" ca="1">INDIRECT($BM$2&amp;BX$7&amp;$BT318,1)</f>
        <v>0</v>
      </c>
      <c r="BY318" s="539" cm="1">
        <f t="array" aca="1" ref="BY318" ca="1">INDIRECT($BM$2&amp;BY$7&amp;$BT318,1)</f>
        <v>0</v>
      </c>
      <c r="BZ318" s="539" t="str">
        <f t="shared" ca="1" si="163"/>
        <v>-</v>
      </c>
      <c r="CC318" s="469">
        <v>5</v>
      </c>
      <c r="CD318" s="539" t="s">
        <v>8053</v>
      </c>
      <c r="CE318" s="539">
        <f t="shared" si="167"/>
        <v>1032</v>
      </c>
      <c r="CF318" s="539" cm="1">
        <f t="array" aca="1" ref="CF318" ca="1">INDIRECT($BM$2&amp;CF$7&amp;$CE318,1)</f>
        <v>0</v>
      </c>
      <c r="CG318" s="539" cm="1">
        <f t="array" aca="1" ref="CG318" ca="1">INDIRECT($BM$2&amp;CG$7&amp;$CE318,1)</f>
        <v>0</v>
      </c>
      <c r="CH318" s="539" cm="1">
        <f t="array" aca="1" ref="CH318" ca="1">INDIRECT($BM$2&amp;CH$7&amp;$CE318,1)</f>
        <v>0</v>
      </c>
      <c r="CI318" s="539" cm="1">
        <f t="array" aca="1" ref="CI318" ca="1">INDIRECT($BM$2&amp;CI$7&amp;$CE318,1)</f>
        <v>0</v>
      </c>
      <c r="CJ318" s="539" cm="1">
        <f t="array" aca="1" ref="CJ318" ca="1">INDIRECT($BM$2&amp;CJ$7&amp;$CE318,1)</f>
        <v>0</v>
      </c>
      <c r="CK318" s="539" t="str">
        <f t="shared" ca="1" si="164"/>
        <v>-</v>
      </c>
      <c r="CU318" s="469" t="s">
        <v>5510</v>
      </c>
      <c r="HN318" s="20"/>
      <c r="HP318" s="472"/>
    </row>
    <row r="319" spans="58:224" x14ac:dyDescent="0.25">
      <c r="BF319" s="469" t="s">
        <v>5510</v>
      </c>
      <c r="BH319" s="539" t="s">
        <v>8053</v>
      </c>
      <c r="BI319" s="539">
        <f t="shared" si="165"/>
        <v>341</v>
      </c>
      <c r="BJ319" s="539" cm="1">
        <f t="array" aca="1" ref="BJ319" ca="1">INDIRECT($BM$2&amp;BJ$7&amp;$BI319,1)</f>
        <v>0</v>
      </c>
      <c r="BK319" s="539" cm="1">
        <f t="array" aca="1" ref="BK319" ca="1">INDIRECT($BM$2&amp;BK$7&amp;$BI319,1)</f>
        <v>0</v>
      </c>
      <c r="BL319" s="539" cm="1">
        <f t="array" aca="1" ref="BL319" ca="1">INDIRECT($BM$2&amp;BL$7&amp;$BI319,1)</f>
        <v>0</v>
      </c>
      <c r="BM319" s="539" cm="1">
        <f t="array" aca="1" ref="BM319" ca="1">INDIRECT($BM$2&amp;BM$7&amp;$BI319,1)</f>
        <v>0</v>
      </c>
      <c r="BN319" s="539" cm="1">
        <f t="array" aca="1" ref="BN319" ca="1">INDIRECT($BM$2&amp;BN$7&amp;$BI319,1)</f>
        <v>0</v>
      </c>
      <c r="BO319" s="539" t="str">
        <f t="shared" ca="1" si="162"/>
        <v>-</v>
      </c>
      <c r="BR319" s="469">
        <v>6</v>
      </c>
      <c r="BS319" s="539" t="s">
        <v>8053</v>
      </c>
      <c r="BT319" s="539">
        <f t="shared" si="166"/>
        <v>687</v>
      </c>
      <c r="BU319" s="539" cm="1">
        <f t="array" aca="1" ref="BU319" ca="1">INDIRECT($BM$2&amp;BU$7&amp;$BT319,1)</f>
        <v>0</v>
      </c>
      <c r="BV319" s="539" cm="1">
        <f t="array" aca="1" ref="BV319" ca="1">INDIRECT($BM$2&amp;BV$7&amp;$BT319,1)</f>
        <v>0</v>
      </c>
      <c r="BW319" s="539" cm="1">
        <f t="array" aca="1" ref="BW319" ca="1">INDIRECT($BM$2&amp;BW$7&amp;$BT319,1)</f>
        <v>0</v>
      </c>
      <c r="BX319" s="539" cm="1">
        <f t="array" aca="1" ref="BX319" ca="1">INDIRECT($BM$2&amp;BX$7&amp;$BT319,1)</f>
        <v>0</v>
      </c>
      <c r="BY319" s="539" cm="1">
        <f t="array" aca="1" ref="BY319" ca="1">INDIRECT($BM$2&amp;BY$7&amp;$BT319,1)</f>
        <v>0</v>
      </c>
      <c r="BZ319" s="539" t="str">
        <f t="shared" ca="1" si="163"/>
        <v>-</v>
      </c>
      <c r="CC319" s="469">
        <v>6</v>
      </c>
      <c r="CD319" s="539" t="s">
        <v>8053</v>
      </c>
      <c r="CE319" s="539">
        <f t="shared" si="167"/>
        <v>1033</v>
      </c>
      <c r="CF319" s="539" cm="1">
        <f t="array" aca="1" ref="CF319" ca="1">INDIRECT($BM$2&amp;CF$7&amp;$CE319,1)</f>
        <v>0</v>
      </c>
      <c r="CG319" s="539" cm="1">
        <f t="array" aca="1" ref="CG319" ca="1">INDIRECT($BM$2&amp;CG$7&amp;$CE319,1)</f>
        <v>0</v>
      </c>
      <c r="CH319" s="539" cm="1">
        <f t="array" aca="1" ref="CH319" ca="1">INDIRECT($BM$2&amp;CH$7&amp;$CE319,1)</f>
        <v>0</v>
      </c>
      <c r="CI319" s="539" cm="1">
        <f t="array" aca="1" ref="CI319" ca="1">INDIRECT($BM$2&amp;CI$7&amp;$CE319,1)</f>
        <v>0</v>
      </c>
      <c r="CJ319" s="539" cm="1">
        <f t="array" aca="1" ref="CJ319" ca="1">INDIRECT($BM$2&amp;CJ$7&amp;$CE319,1)</f>
        <v>0</v>
      </c>
      <c r="CK319" s="539" t="str">
        <f t="shared" ca="1" si="164"/>
        <v>-</v>
      </c>
      <c r="CU319" s="469" t="s">
        <v>5510</v>
      </c>
      <c r="HN319" s="20"/>
      <c r="HP319" s="472"/>
    </row>
    <row r="320" spans="58:224" x14ac:dyDescent="0.25">
      <c r="BF320" s="469" t="s">
        <v>5510</v>
      </c>
      <c r="BH320" s="539" t="s">
        <v>8053</v>
      </c>
      <c r="BI320" s="539">
        <f t="shared" si="165"/>
        <v>342</v>
      </c>
      <c r="BJ320" s="539" cm="1">
        <f t="array" aca="1" ref="BJ320" ca="1">INDIRECT($BM$2&amp;BJ$7&amp;$BI320,1)</f>
        <v>0</v>
      </c>
      <c r="BK320" s="539" cm="1">
        <f t="array" aca="1" ref="BK320" ca="1">INDIRECT($BM$2&amp;BK$7&amp;$BI320,1)</f>
        <v>0</v>
      </c>
      <c r="BL320" s="539" cm="1">
        <f t="array" aca="1" ref="BL320" ca="1">INDIRECT($BM$2&amp;BL$7&amp;$BI320,1)</f>
        <v>0</v>
      </c>
      <c r="BM320" s="539" cm="1">
        <f t="array" aca="1" ref="BM320" ca="1">INDIRECT($BM$2&amp;BM$7&amp;$BI320,1)</f>
        <v>0</v>
      </c>
      <c r="BN320" s="539" cm="1">
        <f t="array" aca="1" ref="BN320" ca="1">INDIRECT($BM$2&amp;BN$7&amp;$BI320,1)</f>
        <v>0</v>
      </c>
      <c r="BO320" s="539" t="str">
        <f t="shared" ca="1" si="162"/>
        <v>-</v>
      </c>
      <c r="BR320" s="469">
        <v>7</v>
      </c>
      <c r="BS320" s="539" t="s">
        <v>8053</v>
      </c>
      <c r="BT320" s="539">
        <f t="shared" si="166"/>
        <v>688</v>
      </c>
      <c r="BU320" s="539" cm="1">
        <f t="array" aca="1" ref="BU320" ca="1">INDIRECT($BM$2&amp;BU$7&amp;$BT320,1)</f>
        <v>0</v>
      </c>
      <c r="BV320" s="539" cm="1">
        <f t="array" aca="1" ref="BV320" ca="1">INDIRECT($BM$2&amp;BV$7&amp;$BT320,1)</f>
        <v>0</v>
      </c>
      <c r="BW320" s="539" cm="1">
        <f t="array" aca="1" ref="BW320" ca="1">INDIRECT($BM$2&amp;BW$7&amp;$BT320,1)</f>
        <v>0</v>
      </c>
      <c r="BX320" s="539" cm="1">
        <f t="array" aca="1" ref="BX320" ca="1">INDIRECT($BM$2&amp;BX$7&amp;$BT320,1)</f>
        <v>0</v>
      </c>
      <c r="BY320" s="539" cm="1">
        <f t="array" aca="1" ref="BY320" ca="1">INDIRECT($BM$2&amp;BY$7&amp;$BT320,1)</f>
        <v>0</v>
      </c>
      <c r="BZ320" s="539" t="str">
        <f t="shared" ca="1" si="163"/>
        <v>-</v>
      </c>
      <c r="CC320" s="469">
        <v>7</v>
      </c>
      <c r="CD320" s="539" t="s">
        <v>8053</v>
      </c>
      <c r="CE320" s="539">
        <f t="shared" si="167"/>
        <v>1034</v>
      </c>
      <c r="CF320" s="539" cm="1">
        <f t="array" aca="1" ref="CF320" ca="1">INDIRECT($BM$2&amp;CF$7&amp;$CE320,1)</f>
        <v>0</v>
      </c>
      <c r="CG320" s="539" cm="1">
        <f t="array" aca="1" ref="CG320" ca="1">INDIRECT($BM$2&amp;CG$7&amp;$CE320,1)</f>
        <v>0</v>
      </c>
      <c r="CH320" s="539" cm="1">
        <f t="array" aca="1" ref="CH320" ca="1">INDIRECT($BM$2&amp;CH$7&amp;$CE320,1)</f>
        <v>0</v>
      </c>
      <c r="CI320" s="539" cm="1">
        <f t="array" aca="1" ref="CI320" ca="1">INDIRECT($BM$2&amp;CI$7&amp;$CE320,1)</f>
        <v>0</v>
      </c>
      <c r="CJ320" s="539" cm="1">
        <f t="array" aca="1" ref="CJ320" ca="1">INDIRECT($BM$2&amp;CJ$7&amp;$CE320,1)</f>
        <v>0</v>
      </c>
      <c r="CK320" s="539" t="str">
        <f t="shared" ca="1" si="164"/>
        <v>-</v>
      </c>
      <c r="CU320" s="469" t="s">
        <v>5510</v>
      </c>
      <c r="HN320" s="20"/>
      <c r="HP320" s="472"/>
    </row>
    <row r="321" spans="58:224" x14ac:dyDescent="0.25">
      <c r="BF321" s="469" t="s">
        <v>5510</v>
      </c>
      <c r="BH321" s="539" t="s">
        <v>8053</v>
      </c>
      <c r="BI321" s="539">
        <f t="shared" si="165"/>
        <v>343</v>
      </c>
      <c r="BJ321" s="539" cm="1">
        <f t="array" aca="1" ref="BJ321" ca="1">INDIRECT($BM$2&amp;BJ$7&amp;$BI321,1)</f>
        <v>0</v>
      </c>
      <c r="BK321" s="539" cm="1">
        <f t="array" aca="1" ref="BK321" ca="1">INDIRECT($BM$2&amp;BK$7&amp;$BI321,1)</f>
        <v>0</v>
      </c>
      <c r="BL321" s="539" cm="1">
        <f t="array" aca="1" ref="BL321" ca="1">INDIRECT($BM$2&amp;BL$7&amp;$BI321,1)</f>
        <v>0</v>
      </c>
      <c r="BM321" s="539" cm="1">
        <f t="array" aca="1" ref="BM321" ca="1">INDIRECT($BM$2&amp;BM$7&amp;$BI321,1)</f>
        <v>0</v>
      </c>
      <c r="BN321" s="539" cm="1">
        <f t="array" aca="1" ref="BN321" ca="1">INDIRECT($BM$2&amp;BN$7&amp;$BI321,1)</f>
        <v>0</v>
      </c>
      <c r="BO321" s="539" t="str">
        <f t="shared" ca="1" si="162"/>
        <v>-</v>
      </c>
      <c r="BR321" s="469">
        <v>8</v>
      </c>
      <c r="BS321" s="539" t="s">
        <v>8053</v>
      </c>
      <c r="BT321" s="539">
        <f t="shared" si="166"/>
        <v>689</v>
      </c>
      <c r="BU321" s="539" cm="1">
        <f t="array" aca="1" ref="BU321" ca="1">INDIRECT($BM$2&amp;BU$7&amp;$BT321,1)</f>
        <v>0</v>
      </c>
      <c r="BV321" s="539" cm="1">
        <f t="array" aca="1" ref="BV321" ca="1">INDIRECT($BM$2&amp;BV$7&amp;$BT321,1)</f>
        <v>0</v>
      </c>
      <c r="BW321" s="539" cm="1">
        <f t="array" aca="1" ref="BW321" ca="1">INDIRECT($BM$2&amp;BW$7&amp;$BT321,1)</f>
        <v>0</v>
      </c>
      <c r="BX321" s="539" cm="1">
        <f t="array" aca="1" ref="BX321" ca="1">INDIRECT($BM$2&amp;BX$7&amp;$BT321,1)</f>
        <v>0</v>
      </c>
      <c r="BY321" s="539" cm="1">
        <f t="array" aca="1" ref="BY321" ca="1">INDIRECT($BM$2&amp;BY$7&amp;$BT321,1)</f>
        <v>0</v>
      </c>
      <c r="BZ321" s="539" t="str">
        <f t="shared" ca="1" si="163"/>
        <v>-</v>
      </c>
      <c r="CC321" s="469">
        <v>8</v>
      </c>
      <c r="CD321" s="539" t="s">
        <v>8053</v>
      </c>
      <c r="CE321" s="539">
        <f t="shared" si="167"/>
        <v>1035</v>
      </c>
      <c r="CF321" s="539" cm="1">
        <f t="array" aca="1" ref="CF321" ca="1">INDIRECT($BM$2&amp;CF$7&amp;$CE321,1)</f>
        <v>0</v>
      </c>
      <c r="CG321" s="539" cm="1">
        <f t="array" aca="1" ref="CG321" ca="1">INDIRECT($BM$2&amp;CG$7&amp;$CE321,1)</f>
        <v>0</v>
      </c>
      <c r="CH321" s="539" cm="1">
        <f t="array" aca="1" ref="CH321" ca="1">INDIRECT($BM$2&amp;CH$7&amp;$CE321,1)</f>
        <v>0</v>
      </c>
      <c r="CI321" s="539" cm="1">
        <f t="array" aca="1" ref="CI321" ca="1">INDIRECT($BM$2&amp;CI$7&amp;$CE321,1)</f>
        <v>0</v>
      </c>
      <c r="CJ321" s="539" cm="1">
        <f t="array" aca="1" ref="CJ321" ca="1">INDIRECT($BM$2&amp;CJ$7&amp;$CE321,1)</f>
        <v>0</v>
      </c>
      <c r="CK321" s="539" t="str">
        <f t="shared" ca="1" si="164"/>
        <v>-</v>
      </c>
      <c r="CU321" s="469" t="s">
        <v>5510</v>
      </c>
      <c r="HN321" s="20"/>
      <c r="HP321" s="472"/>
    </row>
    <row r="322" spans="58:224" x14ac:dyDescent="0.25">
      <c r="BF322" s="469" t="s">
        <v>5510</v>
      </c>
      <c r="BH322" s="539" t="s">
        <v>8053</v>
      </c>
      <c r="BI322" s="539">
        <f t="shared" si="165"/>
        <v>344</v>
      </c>
      <c r="BJ322" s="539" cm="1">
        <f t="array" aca="1" ref="BJ322" ca="1">INDIRECT($BM$2&amp;BJ$7&amp;$BI322,1)</f>
        <v>0</v>
      </c>
      <c r="BK322" s="539" cm="1">
        <f t="array" aca="1" ref="BK322" ca="1">INDIRECT($BM$2&amp;BK$7&amp;$BI322,1)</f>
        <v>0</v>
      </c>
      <c r="BL322" s="539" cm="1">
        <f t="array" aca="1" ref="BL322" ca="1">INDIRECT($BM$2&amp;BL$7&amp;$BI322,1)</f>
        <v>0</v>
      </c>
      <c r="BM322" s="539" cm="1">
        <f t="array" aca="1" ref="BM322" ca="1">INDIRECT($BM$2&amp;BM$7&amp;$BI322,1)</f>
        <v>0</v>
      </c>
      <c r="BN322" s="539" cm="1">
        <f t="array" aca="1" ref="BN322" ca="1">INDIRECT($BM$2&amp;BN$7&amp;$BI322,1)</f>
        <v>0</v>
      </c>
      <c r="BO322" s="539" t="str">
        <f t="shared" ca="1" si="162"/>
        <v>-</v>
      </c>
      <c r="BR322" s="469">
        <v>9</v>
      </c>
      <c r="BS322" s="539" t="s">
        <v>8053</v>
      </c>
      <c r="BT322" s="539">
        <f t="shared" si="166"/>
        <v>690</v>
      </c>
      <c r="BU322" s="539" cm="1">
        <f t="array" aca="1" ref="BU322" ca="1">INDIRECT($BM$2&amp;BU$7&amp;$BT322,1)</f>
        <v>0</v>
      </c>
      <c r="BV322" s="539" cm="1">
        <f t="array" aca="1" ref="BV322" ca="1">INDIRECT($BM$2&amp;BV$7&amp;$BT322,1)</f>
        <v>0</v>
      </c>
      <c r="BW322" s="539" cm="1">
        <f t="array" aca="1" ref="BW322" ca="1">INDIRECT($BM$2&amp;BW$7&amp;$BT322,1)</f>
        <v>0</v>
      </c>
      <c r="BX322" s="539" cm="1">
        <f t="array" aca="1" ref="BX322" ca="1">INDIRECT($BM$2&amp;BX$7&amp;$BT322,1)</f>
        <v>0</v>
      </c>
      <c r="BY322" s="539" cm="1">
        <f t="array" aca="1" ref="BY322" ca="1">INDIRECT($BM$2&amp;BY$7&amp;$BT322,1)</f>
        <v>0</v>
      </c>
      <c r="BZ322" s="539" t="str">
        <f t="shared" ca="1" si="163"/>
        <v>-</v>
      </c>
      <c r="CC322" s="469">
        <v>9</v>
      </c>
      <c r="CD322" s="539" t="s">
        <v>8053</v>
      </c>
      <c r="CE322" s="539">
        <f t="shared" si="167"/>
        <v>1036</v>
      </c>
      <c r="CF322" s="539" cm="1">
        <f t="array" aca="1" ref="CF322" ca="1">INDIRECT($BM$2&amp;CF$7&amp;$CE322,1)</f>
        <v>0</v>
      </c>
      <c r="CG322" s="539" cm="1">
        <f t="array" aca="1" ref="CG322" ca="1">INDIRECT($BM$2&amp;CG$7&amp;$CE322,1)</f>
        <v>0</v>
      </c>
      <c r="CH322" s="539" cm="1">
        <f t="array" aca="1" ref="CH322" ca="1">INDIRECT($BM$2&amp;CH$7&amp;$CE322,1)</f>
        <v>0</v>
      </c>
      <c r="CI322" s="539" cm="1">
        <f t="array" aca="1" ref="CI322" ca="1">INDIRECT($BM$2&amp;CI$7&amp;$CE322,1)</f>
        <v>0</v>
      </c>
      <c r="CJ322" s="539" cm="1">
        <f t="array" aca="1" ref="CJ322" ca="1">INDIRECT($BM$2&amp;CJ$7&amp;$CE322,1)</f>
        <v>0</v>
      </c>
      <c r="CK322" s="539" t="str">
        <f t="shared" ca="1" si="164"/>
        <v>-</v>
      </c>
      <c r="CU322" s="469" t="s">
        <v>5510</v>
      </c>
      <c r="HN322" s="20"/>
      <c r="HP322" s="472"/>
    </row>
    <row r="323" spans="58:224" x14ac:dyDescent="0.25">
      <c r="BF323" s="469" t="s">
        <v>5510</v>
      </c>
      <c r="BH323" s="539" t="s">
        <v>8053</v>
      </c>
      <c r="BI323" s="539">
        <f t="shared" si="165"/>
        <v>345</v>
      </c>
      <c r="BJ323" s="539" cm="1">
        <f t="array" aca="1" ref="BJ323" ca="1">INDIRECT($BM$2&amp;BJ$7&amp;$BI323,1)</f>
        <v>0</v>
      </c>
      <c r="BK323" s="539" cm="1">
        <f t="array" aca="1" ref="BK323" ca="1">INDIRECT($BM$2&amp;BK$7&amp;$BI323,1)</f>
        <v>0</v>
      </c>
      <c r="BL323" s="539" cm="1">
        <f t="array" aca="1" ref="BL323" ca="1">INDIRECT($BM$2&amp;BL$7&amp;$BI323,1)</f>
        <v>0</v>
      </c>
      <c r="BM323" s="539" cm="1">
        <f t="array" aca="1" ref="BM323" ca="1">INDIRECT($BM$2&amp;BM$7&amp;$BI323,1)</f>
        <v>0</v>
      </c>
      <c r="BN323" s="539" cm="1">
        <f t="array" aca="1" ref="BN323" ca="1">INDIRECT($BM$2&amp;BN$7&amp;$BI323,1)</f>
        <v>0</v>
      </c>
      <c r="BO323" s="539" t="str">
        <f t="shared" ca="1" si="162"/>
        <v>-</v>
      </c>
      <c r="BR323" s="469">
        <v>10</v>
      </c>
      <c r="BS323" s="539" t="s">
        <v>8053</v>
      </c>
      <c r="BT323" s="539">
        <f t="shared" si="166"/>
        <v>691</v>
      </c>
      <c r="BU323" s="539" cm="1">
        <f t="array" aca="1" ref="BU323" ca="1">INDIRECT($BM$2&amp;BU$7&amp;$BT323,1)</f>
        <v>0</v>
      </c>
      <c r="BV323" s="539" cm="1">
        <f t="array" aca="1" ref="BV323" ca="1">INDIRECT($BM$2&amp;BV$7&amp;$BT323,1)</f>
        <v>0</v>
      </c>
      <c r="BW323" s="539" cm="1">
        <f t="array" aca="1" ref="BW323" ca="1">INDIRECT($BM$2&amp;BW$7&amp;$BT323,1)</f>
        <v>0</v>
      </c>
      <c r="BX323" s="539" cm="1">
        <f t="array" aca="1" ref="BX323" ca="1">INDIRECT($BM$2&amp;BX$7&amp;$BT323,1)</f>
        <v>0</v>
      </c>
      <c r="BY323" s="539" cm="1">
        <f t="array" aca="1" ref="BY323" ca="1">INDIRECT($BM$2&amp;BY$7&amp;$BT323,1)</f>
        <v>0</v>
      </c>
      <c r="BZ323" s="539" t="str">
        <f t="shared" ca="1" si="163"/>
        <v>-</v>
      </c>
      <c r="CC323" s="469">
        <v>10</v>
      </c>
      <c r="CD323" s="539" t="s">
        <v>8053</v>
      </c>
      <c r="CE323" s="539">
        <f t="shared" si="167"/>
        <v>1037</v>
      </c>
      <c r="CF323" s="539" cm="1">
        <f t="array" aca="1" ref="CF323" ca="1">INDIRECT($BM$2&amp;CF$7&amp;$CE323,1)</f>
        <v>0</v>
      </c>
      <c r="CG323" s="539" cm="1">
        <f t="array" aca="1" ref="CG323" ca="1">INDIRECT($BM$2&amp;CG$7&amp;$CE323,1)</f>
        <v>0</v>
      </c>
      <c r="CH323" s="539" cm="1">
        <f t="array" aca="1" ref="CH323" ca="1">INDIRECT($BM$2&amp;CH$7&amp;$CE323,1)</f>
        <v>0</v>
      </c>
      <c r="CI323" s="539" cm="1">
        <f t="array" aca="1" ref="CI323" ca="1">INDIRECT($BM$2&amp;CI$7&amp;$CE323,1)</f>
        <v>0</v>
      </c>
      <c r="CJ323" s="539" cm="1">
        <f t="array" aca="1" ref="CJ323" ca="1">INDIRECT($BM$2&amp;CJ$7&amp;$CE323,1)</f>
        <v>0</v>
      </c>
      <c r="CK323" s="539" t="str">
        <f t="shared" ca="1" si="164"/>
        <v>-</v>
      </c>
      <c r="CU323" s="469" t="s">
        <v>5510</v>
      </c>
      <c r="HN323" s="20"/>
      <c r="HP323" s="472"/>
    </row>
    <row r="324" spans="58:224" x14ac:dyDescent="0.25">
      <c r="BF324" s="469" t="s">
        <v>5510</v>
      </c>
      <c r="BH324" s="539" t="s">
        <v>8053</v>
      </c>
      <c r="BI324" s="539">
        <f t="shared" si="165"/>
        <v>346</v>
      </c>
      <c r="BJ324" s="539" cm="1">
        <f t="array" aca="1" ref="BJ324" ca="1">INDIRECT($BM$2&amp;BJ$7&amp;$BI324,1)</f>
        <v>0</v>
      </c>
      <c r="BK324" s="539" cm="1">
        <f t="array" aca="1" ref="BK324" ca="1">INDIRECT($BM$2&amp;BK$7&amp;$BI324,1)</f>
        <v>0</v>
      </c>
      <c r="BL324" s="539" cm="1">
        <f t="array" aca="1" ref="BL324" ca="1">INDIRECT($BM$2&amp;BL$7&amp;$BI324,1)</f>
        <v>0</v>
      </c>
      <c r="BM324" s="539" cm="1">
        <f t="array" aca="1" ref="BM324" ca="1">INDIRECT($BM$2&amp;BM$7&amp;$BI324,1)</f>
        <v>0</v>
      </c>
      <c r="BN324" s="539" cm="1">
        <f t="array" aca="1" ref="BN324" ca="1">INDIRECT($BM$2&amp;BN$7&amp;$BI324,1)</f>
        <v>0</v>
      </c>
      <c r="BO324" s="539" t="str">
        <f t="shared" ca="1" si="162"/>
        <v>-</v>
      </c>
      <c r="BR324" s="469">
        <v>11</v>
      </c>
      <c r="BS324" s="539" t="s">
        <v>8053</v>
      </c>
      <c r="BT324" s="539">
        <f t="shared" si="166"/>
        <v>692</v>
      </c>
      <c r="BU324" s="539" cm="1">
        <f t="array" aca="1" ref="BU324" ca="1">INDIRECT($BM$2&amp;BU$7&amp;$BT324,1)</f>
        <v>0</v>
      </c>
      <c r="BV324" s="539" cm="1">
        <f t="array" aca="1" ref="BV324" ca="1">INDIRECT($BM$2&amp;BV$7&amp;$BT324,1)</f>
        <v>0</v>
      </c>
      <c r="BW324" s="539" cm="1">
        <f t="array" aca="1" ref="BW324" ca="1">INDIRECT($BM$2&amp;BW$7&amp;$BT324,1)</f>
        <v>0</v>
      </c>
      <c r="BX324" s="539" cm="1">
        <f t="array" aca="1" ref="BX324" ca="1">INDIRECT($BM$2&amp;BX$7&amp;$BT324,1)</f>
        <v>0</v>
      </c>
      <c r="BY324" s="539" cm="1">
        <f t="array" aca="1" ref="BY324" ca="1">INDIRECT($BM$2&amp;BY$7&amp;$BT324,1)</f>
        <v>0</v>
      </c>
      <c r="BZ324" s="539" t="str">
        <f t="shared" ca="1" si="163"/>
        <v>-</v>
      </c>
      <c r="CC324" s="469">
        <v>11</v>
      </c>
      <c r="CD324" s="539" t="s">
        <v>8053</v>
      </c>
      <c r="CE324" s="539">
        <f t="shared" si="167"/>
        <v>1038</v>
      </c>
      <c r="CF324" s="539" cm="1">
        <f t="array" aca="1" ref="CF324" ca="1">INDIRECT($BM$2&amp;CF$7&amp;$CE324,1)</f>
        <v>0</v>
      </c>
      <c r="CG324" s="539" cm="1">
        <f t="array" aca="1" ref="CG324" ca="1">INDIRECT($BM$2&amp;CG$7&amp;$CE324,1)</f>
        <v>0</v>
      </c>
      <c r="CH324" s="539" cm="1">
        <f t="array" aca="1" ref="CH324" ca="1">INDIRECT($BM$2&amp;CH$7&amp;$CE324,1)</f>
        <v>0</v>
      </c>
      <c r="CI324" s="539" cm="1">
        <f t="array" aca="1" ref="CI324" ca="1">INDIRECT($BM$2&amp;CI$7&amp;$CE324,1)</f>
        <v>0</v>
      </c>
      <c r="CJ324" s="539" cm="1">
        <f t="array" aca="1" ref="CJ324" ca="1">INDIRECT($BM$2&amp;CJ$7&amp;$CE324,1)</f>
        <v>0</v>
      </c>
      <c r="CK324" s="539" t="str">
        <f t="shared" ca="1" si="164"/>
        <v>-</v>
      </c>
      <c r="CU324" s="469" t="s">
        <v>5510</v>
      </c>
      <c r="HN324" s="20"/>
      <c r="HP324" s="472"/>
    </row>
    <row r="325" spans="58:224" x14ac:dyDescent="0.25">
      <c r="BF325" s="469" t="s">
        <v>5510</v>
      </c>
      <c r="BH325" s="539" t="s">
        <v>8053</v>
      </c>
      <c r="BI325" s="539">
        <f t="shared" si="165"/>
        <v>347</v>
      </c>
      <c r="BJ325" s="539" cm="1">
        <f t="array" aca="1" ref="BJ325" ca="1">INDIRECT($BM$2&amp;BJ$7&amp;$BI325,1)</f>
        <v>0</v>
      </c>
      <c r="BK325" s="539" cm="1">
        <f t="array" aca="1" ref="BK325" ca="1">INDIRECT($BM$2&amp;BK$7&amp;$BI325,1)</f>
        <v>0</v>
      </c>
      <c r="BL325" s="539" cm="1">
        <f t="array" aca="1" ref="BL325" ca="1">INDIRECT($BM$2&amp;BL$7&amp;$BI325,1)</f>
        <v>0</v>
      </c>
      <c r="BM325" s="539" cm="1">
        <f t="array" aca="1" ref="BM325" ca="1">INDIRECT($BM$2&amp;BM$7&amp;$BI325,1)</f>
        <v>0</v>
      </c>
      <c r="BN325" s="539" t="str" cm="1">
        <f t="array" aca="1" ref="BN325" ca="1">INDIRECT($BM$2&amp;BN$7&amp;$BI325,1)</f>
        <v>-</v>
      </c>
      <c r="BO325" s="539" t="str">
        <f t="shared" ca="1" si="162"/>
        <v>-</v>
      </c>
      <c r="BR325" s="469">
        <v>12</v>
      </c>
      <c r="BS325" s="539" t="s">
        <v>8053</v>
      </c>
      <c r="BT325" s="539">
        <f t="shared" si="166"/>
        <v>693</v>
      </c>
      <c r="BU325" s="539" cm="1">
        <f t="array" aca="1" ref="BU325" ca="1">INDIRECT($BM$2&amp;BU$7&amp;$BT325,1)</f>
        <v>0</v>
      </c>
      <c r="BV325" s="539" cm="1">
        <f t="array" aca="1" ref="BV325" ca="1">INDIRECT($BM$2&amp;BV$7&amp;$BT325,1)</f>
        <v>0</v>
      </c>
      <c r="BW325" s="539" cm="1">
        <f t="array" aca="1" ref="BW325" ca="1">INDIRECT($BM$2&amp;BW$7&amp;$BT325,1)</f>
        <v>0</v>
      </c>
      <c r="BX325" s="539" cm="1">
        <f t="array" aca="1" ref="BX325" ca="1">INDIRECT($BM$2&amp;BX$7&amp;$BT325,1)</f>
        <v>0</v>
      </c>
      <c r="BY325" s="539" t="str" cm="1">
        <f t="array" aca="1" ref="BY325" ca="1">INDIRECT($BM$2&amp;BY$7&amp;$BT325,1)</f>
        <v>-</v>
      </c>
      <c r="BZ325" s="539" t="str">
        <f t="shared" ca="1" si="163"/>
        <v>-</v>
      </c>
      <c r="CC325" s="469">
        <v>12</v>
      </c>
      <c r="CD325" s="539" t="s">
        <v>8053</v>
      </c>
      <c r="CE325" s="539">
        <f t="shared" si="167"/>
        <v>1039</v>
      </c>
      <c r="CF325" s="539" cm="1">
        <f t="array" aca="1" ref="CF325" ca="1">INDIRECT($BM$2&amp;CF$7&amp;$CE325,1)</f>
        <v>0</v>
      </c>
      <c r="CG325" s="539" cm="1">
        <f t="array" aca="1" ref="CG325" ca="1">INDIRECT($BM$2&amp;CG$7&amp;$CE325,1)</f>
        <v>0</v>
      </c>
      <c r="CH325" s="539" cm="1">
        <f t="array" aca="1" ref="CH325" ca="1">INDIRECT($BM$2&amp;CH$7&amp;$CE325,1)</f>
        <v>0</v>
      </c>
      <c r="CI325" s="539" cm="1">
        <f t="array" aca="1" ref="CI325" ca="1">INDIRECT($BM$2&amp;CI$7&amp;$CE325,1)</f>
        <v>0</v>
      </c>
      <c r="CJ325" s="539" t="str" cm="1">
        <f t="array" aca="1" ref="CJ325" ca="1">INDIRECT($BM$2&amp;CJ$7&amp;$CE325,1)</f>
        <v>-</v>
      </c>
      <c r="CK325" s="539" t="str">
        <f t="shared" ca="1" si="164"/>
        <v>-</v>
      </c>
      <c r="CU325" s="469" t="s">
        <v>5510</v>
      </c>
      <c r="HN325" s="20"/>
      <c r="HP325" s="472"/>
    </row>
    <row r="326" spans="58:224" x14ac:dyDescent="0.25">
      <c r="BF326" s="469" t="s">
        <v>5510</v>
      </c>
      <c r="BT326" s="372"/>
      <c r="BU326" s="472"/>
      <c r="BV326" s="472"/>
      <c r="BW326" s="472"/>
      <c r="BX326" s="472"/>
      <c r="BY326" s="372"/>
      <c r="BZ326" s="372"/>
      <c r="CE326" s="372"/>
      <c r="CF326" s="472"/>
      <c r="CG326" s="472"/>
      <c r="CH326" s="472"/>
      <c r="CI326" s="472"/>
      <c r="CJ326" s="372"/>
      <c r="CK326" s="372"/>
      <c r="CU326" s="469" t="s">
        <v>5510</v>
      </c>
      <c r="HN326" s="20"/>
      <c r="HP326" s="472"/>
    </row>
    <row r="327" spans="58:224" x14ac:dyDescent="0.25">
      <c r="BF327" s="469" t="s">
        <v>5510</v>
      </c>
      <c r="CU327" s="469" t="s">
        <v>5510</v>
      </c>
      <c r="HN327" s="20"/>
      <c r="HP327" s="472"/>
    </row>
    <row r="328" spans="58:224" x14ac:dyDescent="0.25">
      <c r="BF328" s="469" t="s">
        <v>5510</v>
      </c>
      <c r="CU328" s="469" t="s">
        <v>5510</v>
      </c>
      <c r="HN328" s="20"/>
      <c r="HP328" s="472"/>
    </row>
    <row r="329" spans="58:224" x14ac:dyDescent="0.25">
      <c r="BF329" s="469" t="s">
        <v>5510</v>
      </c>
      <c r="CU329" s="469" t="s">
        <v>5510</v>
      </c>
      <c r="HN329" s="20"/>
      <c r="HP329" s="472"/>
    </row>
    <row r="330" spans="58:224" x14ac:dyDescent="0.25">
      <c r="BF330" s="469" t="s">
        <v>5510</v>
      </c>
      <c r="CU330" s="469" t="s">
        <v>5510</v>
      </c>
      <c r="HN330" s="20"/>
      <c r="HP330" s="472"/>
    </row>
    <row r="331" spans="58:224" ht="15.75" thickBot="1" x14ac:dyDescent="0.3">
      <c r="BF331" s="469" t="s">
        <v>5510</v>
      </c>
      <c r="BH331" s="468"/>
      <c r="BI331" s="468"/>
      <c r="BJ331" s="468"/>
      <c r="BK331" s="468"/>
      <c r="BL331" s="468"/>
      <c r="BM331" s="468"/>
      <c r="BN331" s="468"/>
      <c r="BO331" s="468"/>
      <c r="BP331" s="468"/>
      <c r="BQ331" s="468"/>
      <c r="BR331" s="468"/>
      <c r="BS331" s="468"/>
      <c r="BT331" s="468"/>
      <c r="BU331" s="468"/>
      <c r="BV331" s="468"/>
      <c r="BW331" s="468"/>
      <c r="BX331" s="468"/>
      <c r="BY331" s="468"/>
      <c r="BZ331" s="468"/>
      <c r="CA331" s="468"/>
      <c r="CB331" s="468"/>
      <c r="CC331" s="468"/>
      <c r="CD331" s="468"/>
      <c r="CE331" s="468"/>
      <c r="CU331" s="469" t="s">
        <v>5510</v>
      </c>
      <c r="HN331" s="20"/>
      <c r="HP331" s="472"/>
    </row>
    <row r="332" spans="58:224" x14ac:dyDescent="0.25">
      <c r="BF332" s="469" t="s">
        <v>5510</v>
      </c>
      <c r="BI332" s="20"/>
      <c r="BJ332" s="20"/>
      <c r="BK332" s="20"/>
      <c r="BL332" s="20"/>
      <c r="BM332" s="20"/>
      <c r="BN332" s="20"/>
      <c r="BO332" s="20"/>
      <c r="BP332" s="20"/>
      <c r="BQ332" s="20"/>
      <c r="CU332" s="469" t="s">
        <v>5510</v>
      </c>
      <c r="HN332" s="20"/>
      <c r="HP332" s="472"/>
    </row>
    <row r="333" spans="58:224" ht="15.75" x14ac:dyDescent="0.25">
      <c r="BF333" s="469" t="s">
        <v>5510</v>
      </c>
      <c r="BH333" s="669" t="s">
        <v>8065</v>
      </c>
      <c r="BI333" s="670"/>
      <c r="BJ333" s="671"/>
      <c r="BK333" s="20"/>
      <c r="BL333" s="20"/>
      <c r="BM333" s="20"/>
      <c r="BN333" s="20"/>
      <c r="BO333" s="20"/>
      <c r="BP333" s="20"/>
      <c r="BQ333" s="20"/>
      <c r="CU333" s="469" t="s">
        <v>5510</v>
      </c>
      <c r="HN333" s="20"/>
      <c r="HP333" s="472"/>
    </row>
    <row r="334" spans="58:224" x14ac:dyDescent="0.25">
      <c r="BF334" s="469" t="s">
        <v>5510</v>
      </c>
      <c r="BH334" s="470" t="s">
        <v>8283</v>
      </c>
      <c r="BI334" s="672">
        <v>9</v>
      </c>
      <c r="BJ334" s="20"/>
      <c r="BK334" s="536" t="s">
        <v>90</v>
      </c>
      <c r="BL334" s="536" t="s">
        <v>90</v>
      </c>
      <c r="BM334" s="536" t="s">
        <v>91</v>
      </c>
      <c r="BN334" s="536" t="s">
        <v>91</v>
      </c>
      <c r="BO334" s="536" t="s">
        <v>92</v>
      </c>
      <c r="BP334" s="536" t="s">
        <v>92</v>
      </c>
      <c r="BQ334" s="536" t="s">
        <v>93</v>
      </c>
      <c r="BR334" s="536" t="s">
        <v>93</v>
      </c>
      <c r="BS334" s="536" t="s">
        <v>94</v>
      </c>
      <c r="BT334" s="536" t="s">
        <v>94</v>
      </c>
      <c r="BU334" s="536" t="s">
        <v>95</v>
      </c>
      <c r="BV334" s="536" t="s">
        <v>95</v>
      </c>
      <c r="BW334" s="536" t="s">
        <v>96</v>
      </c>
      <c r="BX334" s="536" t="s">
        <v>96</v>
      </c>
      <c r="BY334" s="536" t="s">
        <v>97</v>
      </c>
      <c r="BZ334" s="536" t="s">
        <v>97</v>
      </c>
      <c r="CA334" s="536" t="s">
        <v>98</v>
      </c>
      <c r="CB334" s="536" t="s">
        <v>98</v>
      </c>
      <c r="CC334" s="536" t="s">
        <v>99</v>
      </c>
      <c r="CD334" s="536" t="s">
        <v>99</v>
      </c>
      <c r="CU334" s="469" t="s">
        <v>5510</v>
      </c>
      <c r="HN334" s="20"/>
      <c r="HP334" s="472"/>
    </row>
    <row r="335" spans="58:224" x14ac:dyDescent="0.25">
      <c r="BF335" s="469" t="s">
        <v>5510</v>
      </c>
      <c r="BH335" s="470" t="s">
        <v>8121</v>
      </c>
      <c r="BI335" s="672">
        <v>7</v>
      </c>
      <c r="BJ335" s="372"/>
      <c r="BK335" s="536" t="s">
        <v>10</v>
      </c>
      <c r="BL335" s="536" t="s">
        <v>237</v>
      </c>
      <c r="BM335" s="536" t="s">
        <v>10</v>
      </c>
      <c r="BN335" s="536" t="s">
        <v>237</v>
      </c>
      <c r="BO335" s="536" t="s">
        <v>10</v>
      </c>
      <c r="BP335" s="536" t="s">
        <v>237</v>
      </c>
      <c r="BQ335" s="536" t="s">
        <v>10</v>
      </c>
      <c r="BR335" s="536" t="s">
        <v>237</v>
      </c>
      <c r="BS335" s="536" t="s">
        <v>10</v>
      </c>
      <c r="BT335" s="536" t="s">
        <v>237</v>
      </c>
      <c r="BU335" s="536" t="s">
        <v>10</v>
      </c>
      <c r="BV335" s="536" t="s">
        <v>237</v>
      </c>
      <c r="BW335" s="536" t="s">
        <v>10</v>
      </c>
      <c r="BX335" s="536" t="s">
        <v>237</v>
      </c>
      <c r="BY335" s="536" t="s">
        <v>10</v>
      </c>
      <c r="BZ335" s="536" t="s">
        <v>237</v>
      </c>
      <c r="CA335" s="536" t="s">
        <v>10</v>
      </c>
      <c r="CB335" s="536" t="s">
        <v>237</v>
      </c>
      <c r="CC335" s="536" t="s">
        <v>10</v>
      </c>
      <c r="CD335" s="536" t="s">
        <v>237</v>
      </c>
      <c r="CU335" s="469" t="s">
        <v>5510</v>
      </c>
      <c r="HN335" s="20"/>
      <c r="HP335" s="472"/>
    </row>
    <row r="336" spans="58:224" x14ac:dyDescent="0.25">
      <c r="BF336" s="469" t="s">
        <v>5510</v>
      </c>
      <c r="BJ336" s="470" t="s">
        <v>8066</v>
      </c>
      <c r="BK336" s="539">
        <f>ROW(BI11)</f>
        <v>11</v>
      </c>
      <c r="BL336" s="539">
        <f>BK337+$BI$335</f>
        <v>27</v>
      </c>
      <c r="BM336" s="539">
        <f t="shared" ref="BM336:CD336" si="168">BL337+$BI$335</f>
        <v>43</v>
      </c>
      <c r="BN336" s="539">
        <f t="shared" si="168"/>
        <v>59</v>
      </c>
      <c r="BO336" s="539">
        <f t="shared" si="168"/>
        <v>75</v>
      </c>
      <c r="BP336" s="539">
        <f t="shared" si="168"/>
        <v>91</v>
      </c>
      <c r="BQ336" s="539">
        <f t="shared" si="168"/>
        <v>107</v>
      </c>
      <c r="BR336" s="539">
        <f t="shared" si="168"/>
        <v>123</v>
      </c>
      <c r="BS336" s="539">
        <f t="shared" si="168"/>
        <v>139</v>
      </c>
      <c r="BT336" s="539">
        <f t="shared" si="168"/>
        <v>155</v>
      </c>
      <c r="BU336" s="539">
        <f t="shared" si="168"/>
        <v>171</v>
      </c>
      <c r="BV336" s="539">
        <f t="shared" si="168"/>
        <v>187</v>
      </c>
      <c r="BW336" s="539">
        <f t="shared" si="168"/>
        <v>203</v>
      </c>
      <c r="BX336" s="539">
        <f t="shared" si="168"/>
        <v>219</v>
      </c>
      <c r="BY336" s="539">
        <f t="shared" si="168"/>
        <v>235</v>
      </c>
      <c r="BZ336" s="539">
        <f t="shared" si="168"/>
        <v>251</v>
      </c>
      <c r="CA336" s="539">
        <f t="shared" si="168"/>
        <v>267</v>
      </c>
      <c r="CB336" s="539">
        <f t="shared" si="168"/>
        <v>283</v>
      </c>
      <c r="CC336" s="539">
        <f t="shared" si="168"/>
        <v>299</v>
      </c>
      <c r="CD336" s="539">
        <f t="shared" si="168"/>
        <v>315</v>
      </c>
      <c r="CU336" s="469" t="s">
        <v>5510</v>
      </c>
      <c r="HN336" s="20"/>
      <c r="HP336" s="472"/>
    </row>
    <row r="337" spans="58:224" x14ac:dyDescent="0.25">
      <c r="BF337" s="469" t="s">
        <v>5510</v>
      </c>
      <c r="BJ337" s="470" t="s">
        <v>8067</v>
      </c>
      <c r="BK337" s="539">
        <f>BK336+$BI$334</f>
        <v>20</v>
      </c>
      <c r="BL337" s="539">
        <f t="shared" ref="BL337" si="169">BL336+$BI$334</f>
        <v>36</v>
      </c>
      <c r="BM337" s="539">
        <f t="shared" ref="BM337" si="170">BM336+$BI$334</f>
        <v>52</v>
      </c>
      <c r="BN337" s="539">
        <f t="shared" ref="BN337" si="171">BN336+$BI$334</f>
        <v>68</v>
      </c>
      <c r="BO337" s="539">
        <f t="shared" ref="BO337" si="172">BO336+$BI$334</f>
        <v>84</v>
      </c>
      <c r="BP337" s="539">
        <f t="shared" ref="BP337" si="173">BP336+$BI$334</f>
        <v>100</v>
      </c>
      <c r="BQ337" s="539">
        <f t="shared" ref="BQ337" si="174">BQ336+$BI$334</f>
        <v>116</v>
      </c>
      <c r="BR337" s="539">
        <f t="shared" ref="BR337" si="175">BR336+$BI$334</f>
        <v>132</v>
      </c>
      <c r="BS337" s="539">
        <f t="shared" ref="BS337" si="176">BS336+$BI$334</f>
        <v>148</v>
      </c>
      <c r="BT337" s="539">
        <f t="shared" ref="BT337" si="177">BT336+$BI$334</f>
        <v>164</v>
      </c>
      <c r="BU337" s="539">
        <f t="shared" ref="BU337" si="178">BU336+$BI$334</f>
        <v>180</v>
      </c>
      <c r="BV337" s="539">
        <f t="shared" ref="BV337" si="179">BV336+$BI$334</f>
        <v>196</v>
      </c>
      <c r="BW337" s="539">
        <f t="shared" ref="BW337" si="180">BW336+$BI$334</f>
        <v>212</v>
      </c>
      <c r="BX337" s="539">
        <f t="shared" ref="BX337" si="181">BX336+$BI$334</f>
        <v>228</v>
      </c>
      <c r="BY337" s="539">
        <f t="shared" ref="BY337" si="182">BY336+$BI$334</f>
        <v>244</v>
      </c>
      <c r="BZ337" s="539">
        <f t="shared" ref="BZ337" si="183">BZ336+$BI$334</f>
        <v>260</v>
      </c>
      <c r="CA337" s="539">
        <f t="shared" ref="CA337" si="184">CA336+$BI$334</f>
        <v>276</v>
      </c>
      <c r="CB337" s="539">
        <f t="shared" ref="CB337" si="185">CB336+$BI$334</f>
        <v>292</v>
      </c>
      <c r="CC337" s="539">
        <f t="shared" ref="CC337" si="186">CC336+$BI$334</f>
        <v>308</v>
      </c>
      <c r="CD337" s="539">
        <f t="shared" ref="CD337" si="187">CD336+$BI$334</f>
        <v>324</v>
      </c>
      <c r="CU337" s="469" t="s">
        <v>5510</v>
      </c>
      <c r="HN337" s="20"/>
      <c r="HP337" s="472"/>
    </row>
    <row r="338" spans="58:224" x14ac:dyDescent="0.25">
      <c r="BF338" s="469" t="s">
        <v>5510</v>
      </c>
      <c r="BI338" s="20"/>
      <c r="BJ338" s="20"/>
      <c r="BK338" s="20"/>
      <c r="BL338" s="20"/>
      <c r="BM338" s="20"/>
      <c r="BN338" s="20"/>
      <c r="BO338" s="20"/>
      <c r="BP338" s="20"/>
      <c r="BQ338" s="20"/>
      <c r="CU338" s="469" t="s">
        <v>5510</v>
      </c>
      <c r="HN338" s="20"/>
      <c r="HP338" s="472"/>
    </row>
    <row r="339" spans="58:224" x14ac:dyDescent="0.25">
      <c r="BF339" s="469" t="s">
        <v>5510</v>
      </c>
      <c r="BI339" s="20"/>
      <c r="BJ339" s="20"/>
      <c r="BK339" s="20"/>
      <c r="BL339" s="20"/>
      <c r="BM339" s="20"/>
      <c r="BN339" s="20"/>
      <c r="BO339" s="20"/>
      <c r="BP339" s="20"/>
      <c r="BQ339" s="20"/>
      <c r="CU339" s="469" t="s">
        <v>5510</v>
      </c>
      <c r="HN339" s="20"/>
      <c r="HP339" s="472"/>
    </row>
    <row r="340" spans="58:224" ht="15.75" x14ac:dyDescent="0.25">
      <c r="BF340" s="469" t="s">
        <v>5510</v>
      </c>
      <c r="BH340" s="669" t="s">
        <v>8076</v>
      </c>
      <c r="BI340" s="670"/>
      <c r="BJ340" s="671"/>
      <c r="BK340" s="20"/>
      <c r="BL340" s="20"/>
      <c r="BM340" s="20"/>
      <c r="BN340" s="20"/>
      <c r="BO340" s="20"/>
      <c r="BP340" s="20"/>
      <c r="BQ340" s="20"/>
      <c r="CU340" s="469" t="s">
        <v>5510</v>
      </c>
      <c r="HN340" s="20"/>
      <c r="HP340" s="472"/>
    </row>
    <row r="341" spans="58:224" x14ac:dyDescent="0.25">
      <c r="BF341" s="469" t="s">
        <v>5510</v>
      </c>
      <c r="CU341" s="469" t="s">
        <v>5510</v>
      </c>
      <c r="HN341" s="20"/>
      <c r="HP341" s="472"/>
    </row>
    <row r="342" spans="58:224" x14ac:dyDescent="0.25">
      <c r="BF342" s="469" t="s">
        <v>5510</v>
      </c>
      <c r="CU342" s="469" t="s">
        <v>5510</v>
      </c>
      <c r="HN342" s="20"/>
      <c r="HP342" s="472"/>
    </row>
    <row r="343" spans="58:224" x14ac:dyDescent="0.25">
      <c r="BF343" s="469" t="s">
        <v>5510</v>
      </c>
      <c r="BH343" s="372"/>
      <c r="BK343" s="536" t="s">
        <v>90</v>
      </c>
      <c r="BL343" s="536" t="s">
        <v>90</v>
      </c>
      <c r="BM343" s="536" t="s">
        <v>91</v>
      </c>
      <c r="BN343" s="536" t="s">
        <v>91</v>
      </c>
      <c r="BO343" s="536" t="s">
        <v>92</v>
      </c>
      <c r="BP343" s="536" t="s">
        <v>92</v>
      </c>
      <c r="BQ343" s="536" t="s">
        <v>93</v>
      </c>
      <c r="BR343" s="536" t="s">
        <v>93</v>
      </c>
      <c r="BS343" s="536" t="s">
        <v>94</v>
      </c>
      <c r="BT343" s="536" t="s">
        <v>94</v>
      </c>
      <c r="BU343" s="536" t="s">
        <v>95</v>
      </c>
      <c r="BV343" s="536" t="s">
        <v>95</v>
      </c>
      <c r="BW343" s="536" t="s">
        <v>96</v>
      </c>
      <c r="BX343" s="536" t="s">
        <v>96</v>
      </c>
      <c r="BY343" s="536" t="s">
        <v>97</v>
      </c>
      <c r="BZ343" s="536" t="s">
        <v>97</v>
      </c>
      <c r="CA343" s="536" t="s">
        <v>98</v>
      </c>
      <c r="CB343" s="536" t="s">
        <v>98</v>
      </c>
      <c r="CC343" s="536" t="s">
        <v>99</v>
      </c>
      <c r="CD343" s="536" t="s">
        <v>99</v>
      </c>
      <c r="CU343" s="469" t="s">
        <v>5510</v>
      </c>
      <c r="HN343" s="20"/>
      <c r="HP343" s="472"/>
    </row>
    <row r="344" spans="58:224" x14ac:dyDescent="0.25">
      <c r="BF344" s="469" t="s">
        <v>5510</v>
      </c>
      <c r="BH344" s="372" t="s">
        <v>355</v>
      </c>
      <c r="BI344" s="372" t="s">
        <v>8071</v>
      </c>
      <c r="BJ344" s="372" t="s">
        <v>6058</v>
      </c>
      <c r="BK344" s="536" t="s">
        <v>10</v>
      </c>
      <c r="BL344" s="536" t="s">
        <v>237</v>
      </c>
      <c r="BM344" s="536" t="s">
        <v>10</v>
      </c>
      <c r="BN344" s="536" t="s">
        <v>237</v>
      </c>
      <c r="BO344" s="536" t="s">
        <v>10</v>
      </c>
      <c r="BP344" s="536" t="s">
        <v>237</v>
      </c>
      <c r="BQ344" s="536" t="s">
        <v>10</v>
      </c>
      <c r="BR344" s="536" t="s">
        <v>237</v>
      </c>
      <c r="BS344" s="536" t="s">
        <v>10</v>
      </c>
      <c r="BT344" s="536" t="s">
        <v>237</v>
      </c>
      <c r="BU344" s="536" t="s">
        <v>10</v>
      </c>
      <c r="BV344" s="536" t="s">
        <v>237</v>
      </c>
      <c r="BW344" s="536" t="s">
        <v>10</v>
      </c>
      <c r="BX344" s="536" t="s">
        <v>237</v>
      </c>
      <c r="BY344" s="536" t="s">
        <v>10</v>
      </c>
      <c r="BZ344" s="536" t="s">
        <v>237</v>
      </c>
      <c r="CA344" s="536" t="s">
        <v>10</v>
      </c>
      <c r="CB344" s="536" t="s">
        <v>237</v>
      </c>
      <c r="CC344" s="536" t="s">
        <v>10</v>
      </c>
      <c r="CD344" s="536" t="s">
        <v>237</v>
      </c>
      <c r="CU344" s="469" t="s">
        <v>5510</v>
      </c>
      <c r="HN344" s="20"/>
      <c r="HP344" s="472"/>
    </row>
    <row r="345" spans="58:224" x14ac:dyDescent="0.25">
      <c r="BF345" s="469" t="s">
        <v>5510</v>
      </c>
      <c r="BG345" s="470" t="s">
        <v>88</v>
      </c>
      <c r="BH345" s="672" t="s">
        <v>8068</v>
      </c>
      <c r="BI345" s="672" t="s">
        <v>8072</v>
      </c>
      <c r="BJ345" s="672" t="s">
        <v>8082</v>
      </c>
      <c r="BK345" s="539">
        <f t="shared" ref="BK345:BT347" ca="1" si="188">IF( SUM( INDIRECT($BH345&amp;BK$336&amp;":"&amp;$BH345&amp;BK$337), INDIRECT($BI345&amp;BK$336&amp;":"&amp;$BI345&amp;BK$337))&gt;0,1,0)</f>
        <v>0</v>
      </c>
      <c r="BL345" s="539">
        <f t="shared" ca="1" si="188"/>
        <v>0</v>
      </c>
      <c r="BM345" s="539">
        <f t="shared" ca="1" si="188"/>
        <v>0</v>
      </c>
      <c r="BN345" s="539">
        <f t="shared" ca="1" si="188"/>
        <v>0</v>
      </c>
      <c r="BO345" s="539">
        <f t="shared" ca="1" si="188"/>
        <v>0</v>
      </c>
      <c r="BP345" s="539">
        <f t="shared" ca="1" si="188"/>
        <v>0</v>
      </c>
      <c r="BQ345" s="539">
        <f t="shared" ca="1" si="188"/>
        <v>0</v>
      </c>
      <c r="BR345" s="539">
        <f t="shared" ca="1" si="188"/>
        <v>0</v>
      </c>
      <c r="BS345" s="539">
        <f t="shared" ca="1" si="188"/>
        <v>0</v>
      </c>
      <c r="BT345" s="539">
        <f t="shared" ca="1" si="188"/>
        <v>0</v>
      </c>
      <c r="BU345" s="539">
        <f t="shared" ref="BU345:CD347" ca="1" si="189">IF( SUM( INDIRECT($BH345&amp;BU$336&amp;":"&amp;$BH345&amp;BU$337), INDIRECT($BI345&amp;BU$336&amp;":"&amp;$BI345&amp;BU$337))&gt;0,1,0)</f>
        <v>0</v>
      </c>
      <c r="BV345" s="539">
        <f t="shared" ca="1" si="189"/>
        <v>0</v>
      </c>
      <c r="BW345" s="539">
        <f t="shared" ca="1" si="189"/>
        <v>0</v>
      </c>
      <c r="BX345" s="539">
        <f t="shared" ca="1" si="189"/>
        <v>0</v>
      </c>
      <c r="BY345" s="539">
        <f t="shared" ca="1" si="189"/>
        <v>0</v>
      </c>
      <c r="BZ345" s="539">
        <f t="shared" ca="1" si="189"/>
        <v>0</v>
      </c>
      <c r="CA345" s="539">
        <f t="shared" ca="1" si="189"/>
        <v>0</v>
      </c>
      <c r="CB345" s="539">
        <f t="shared" ca="1" si="189"/>
        <v>0</v>
      </c>
      <c r="CC345" s="539">
        <f t="shared" ca="1" si="189"/>
        <v>0</v>
      </c>
      <c r="CD345" s="539">
        <f t="shared" ca="1" si="189"/>
        <v>0</v>
      </c>
      <c r="CU345" s="469" t="s">
        <v>5510</v>
      </c>
      <c r="HN345" s="20"/>
      <c r="HP345" s="472"/>
    </row>
    <row r="346" spans="58:224" x14ac:dyDescent="0.25">
      <c r="BF346" s="469" t="s">
        <v>5510</v>
      </c>
      <c r="BG346" s="470" t="s">
        <v>101</v>
      </c>
      <c r="BH346" s="672" t="s">
        <v>8069</v>
      </c>
      <c r="BI346" s="672" t="s">
        <v>8073</v>
      </c>
      <c r="BJ346" s="672" t="s">
        <v>8083</v>
      </c>
      <c r="BK346" s="539">
        <f t="shared" ca="1" si="188"/>
        <v>0</v>
      </c>
      <c r="BL346" s="539">
        <f t="shared" ca="1" si="188"/>
        <v>0</v>
      </c>
      <c r="BM346" s="539">
        <f t="shared" ca="1" si="188"/>
        <v>0</v>
      </c>
      <c r="BN346" s="539">
        <f t="shared" ca="1" si="188"/>
        <v>0</v>
      </c>
      <c r="BO346" s="539">
        <f t="shared" ca="1" si="188"/>
        <v>0</v>
      </c>
      <c r="BP346" s="539">
        <f t="shared" ca="1" si="188"/>
        <v>0</v>
      </c>
      <c r="BQ346" s="539">
        <f t="shared" ca="1" si="188"/>
        <v>0</v>
      </c>
      <c r="BR346" s="539">
        <f t="shared" ca="1" si="188"/>
        <v>0</v>
      </c>
      <c r="BS346" s="539">
        <f t="shared" ca="1" si="188"/>
        <v>0</v>
      </c>
      <c r="BT346" s="539">
        <f t="shared" ca="1" si="188"/>
        <v>0</v>
      </c>
      <c r="BU346" s="539">
        <f t="shared" ca="1" si="189"/>
        <v>0</v>
      </c>
      <c r="BV346" s="539">
        <f t="shared" ca="1" si="189"/>
        <v>0</v>
      </c>
      <c r="BW346" s="539">
        <f t="shared" ca="1" si="189"/>
        <v>0</v>
      </c>
      <c r="BX346" s="539">
        <f t="shared" ca="1" si="189"/>
        <v>0</v>
      </c>
      <c r="BY346" s="539">
        <f t="shared" ca="1" si="189"/>
        <v>0</v>
      </c>
      <c r="BZ346" s="539">
        <f t="shared" ca="1" si="189"/>
        <v>0</v>
      </c>
      <c r="CA346" s="539">
        <f t="shared" ca="1" si="189"/>
        <v>0</v>
      </c>
      <c r="CB346" s="539">
        <f t="shared" ca="1" si="189"/>
        <v>0</v>
      </c>
      <c r="CC346" s="539">
        <f t="shared" ca="1" si="189"/>
        <v>0</v>
      </c>
      <c r="CD346" s="539">
        <f t="shared" ca="1" si="189"/>
        <v>0</v>
      </c>
      <c r="CU346" s="469" t="s">
        <v>5510</v>
      </c>
      <c r="HN346" s="20"/>
      <c r="HP346" s="472"/>
    </row>
    <row r="347" spans="58:224" x14ac:dyDescent="0.25">
      <c r="BF347" s="469" t="s">
        <v>5510</v>
      </c>
      <c r="BG347" s="470" t="s">
        <v>120</v>
      </c>
      <c r="BH347" s="672" t="s">
        <v>8070</v>
      </c>
      <c r="BI347" s="672" t="s">
        <v>8074</v>
      </c>
      <c r="BJ347" s="672" t="s">
        <v>8084</v>
      </c>
      <c r="BK347" s="539">
        <f t="shared" ca="1" si="188"/>
        <v>0</v>
      </c>
      <c r="BL347" s="539">
        <f t="shared" ca="1" si="188"/>
        <v>0</v>
      </c>
      <c r="BM347" s="539">
        <f t="shared" ca="1" si="188"/>
        <v>0</v>
      </c>
      <c r="BN347" s="539">
        <f t="shared" ca="1" si="188"/>
        <v>0</v>
      </c>
      <c r="BO347" s="539">
        <f t="shared" ca="1" si="188"/>
        <v>0</v>
      </c>
      <c r="BP347" s="539">
        <f t="shared" ca="1" si="188"/>
        <v>0</v>
      </c>
      <c r="BQ347" s="539">
        <f t="shared" ca="1" si="188"/>
        <v>0</v>
      </c>
      <c r="BR347" s="539">
        <f t="shared" ca="1" si="188"/>
        <v>0</v>
      </c>
      <c r="BS347" s="539">
        <f t="shared" ca="1" si="188"/>
        <v>0</v>
      </c>
      <c r="BT347" s="539">
        <f t="shared" ca="1" si="188"/>
        <v>0</v>
      </c>
      <c r="BU347" s="539">
        <f t="shared" ca="1" si="189"/>
        <v>0</v>
      </c>
      <c r="BV347" s="539">
        <f t="shared" ca="1" si="189"/>
        <v>0</v>
      </c>
      <c r="BW347" s="539">
        <f t="shared" ca="1" si="189"/>
        <v>0</v>
      </c>
      <c r="BX347" s="539">
        <f t="shared" ca="1" si="189"/>
        <v>0</v>
      </c>
      <c r="BY347" s="539">
        <f t="shared" ca="1" si="189"/>
        <v>0</v>
      </c>
      <c r="BZ347" s="539">
        <f t="shared" ca="1" si="189"/>
        <v>0</v>
      </c>
      <c r="CA347" s="539">
        <f t="shared" ca="1" si="189"/>
        <v>0</v>
      </c>
      <c r="CB347" s="539">
        <f t="shared" ca="1" si="189"/>
        <v>0</v>
      </c>
      <c r="CC347" s="539">
        <f t="shared" ca="1" si="189"/>
        <v>0</v>
      </c>
      <c r="CD347" s="539">
        <f t="shared" ca="1" si="189"/>
        <v>0</v>
      </c>
      <c r="CU347" s="469" t="s">
        <v>5510</v>
      </c>
      <c r="HN347" s="20"/>
      <c r="HP347" s="472"/>
    </row>
    <row r="348" spans="58:224" x14ac:dyDescent="0.25">
      <c r="BF348" s="469" t="s">
        <v>5510</v>
      </c>
      <c r="CU348" s="469" t="s">
        <v>5510</v>
      </c>
      <c r="HN348" s="20"/>
      <c r="HP348" s="472"/>
    </row>
    <row r="349" spans="58:224" x14ac:dyDescent="0.25">
      <c r="BF349" s="469" t="s">
        <v>5510</v>
      </c>
      <c r="CU349" s="469" t="s">
        <v>5510</v>
      </c>
      <c r="HN349" s="20"/>
      <c r="HP349" s="472"/>
    </row>
    <row r="350" spans="58:224" ht="15.75" x14ac:dyDescent="0.25">
      <c r="BF350" s="469" t="s">
        <v>5510</v>
      </c>
      <c r="BH350" s="669" t="s">
        <v>6058</v>
      </c>
      <c r="BI350" s="674"/>
      <c r="BJ350" s="671"/>
      <c r="CU350" s="469" t="s">
        <v>5510</v>
      </c>
      <c r="HN350" s="20"/>
      <c r="HP350" s="472"/>
    </row>
    <row r="351" spans="58:224" x14ac:dyDescent="0.25">
      <c r="BF351" s="469" t="s">
        <v>5510</v>
      </c>
      <c r="BJ351" s="372"/>
      <c r="BK351" s="536" t="s">
        <v>90</v>
      </c>
      <c r="BL351" s="536" t="s">
        <v>90</v>
      </c>
      <c r="BM351" s="536" t="s">
        <v>91</v>
      </c>
      <c r="BN351" s="536" t="s">
        <v>91</v>
      </c>
      <c r="BO351" s="536" t="s">
        <v>92</v>
      </c>
      <c r="BP351" s="536" t="s">
        <v>92</v>
      </c>
      <c r="BQ351" s="536" t="s">
        <v>93</v>
      </c>
      <c r="BR351" s="536" t="s">
        <v>93</v>
      </c>
      <c r="BS351" s="536" t="s">
        <v>94</v>
      </c>
      <c r="BT351" s="536" t="s">
        <v>94</v>
      </c>
      <c r="BU351" s="536" t="s">
        <v>95</v>
      </c>
      <c r="BV351" s="536" t="s">
        <v>95</v>
      </c>
      <c r="BW351" s="536" t="s">
        <v>96</v>
      </c>
      <c r="BX351" s="536" t="s">
        <v>96</v>
      </c>
      <c r="BY351" s="536" t="s">
        <v>97</v>
      </c>
      <c r="BZ351" s="536" t="s">
        <v>97</v>
      </c>
      <c r="CA351" s="536" t="s">
        <v>98</v>
      </c>
      <c r="CB351" s="536" t="s">
        <v>98</v>
      </c>
      <c r="CC351" s="536" t="s">
        <v>99</v>
      </c>
      <c r="CD351" s="536" t="s">
        <v>99</v>
      </c>
      <c r="CU351" s="469" t="s">
        <v>5510</v>
      </c>
      <c r="HN351" s="20"/>
      <c r="HP351" s="472"/>
    </row>
    <row r="352" spans="58:224" x14ac:dyDescent="0.25">
      <c r="BF352" s="469" t="s">
        <v>5510</v>
      </c>
      <c r="BJ352" s="20"/>
      <c r="BK352" s="536" t="s">
        <v>10</v>
      </c>
      <c r="BL352" s="536" t="s">
        <v>237</v>
      </c>
      <c r="BM352" s="536" t="s">
        <v>10</v>
      </c>
      <c r="BN352" s="536" t="s">
        <v>237</v>
      </c>
      <c r="BO352" s="536" t="s">
        <v>10</v>
      </c>
      <c r="BP352" s="536" t="s">
        <v>237</v>
      </c>
      <c r="BQ352" s="536" t="s">
        <v>10</v>
      </c>
      <c r="BR352" s="536" t="s">
        <v>237</v>
      </c>
      <c r="BS352" s="536" t="s">
        <v>10</v>
      </c>
      <c r="BT352" s="536" t="s">
        <v>237</v>
      </c>
      <c r="BU352" s="536" t="s">
        <v>10</v>
      </c>
      <c r="BV352" s="536" t="s">
        <v>237</v>
      </c>
      <c r="BW352" s="536" t="s">
        <v>10</v>
      </c>
      <c r="BX352" s="536" t="s">
        <v>237</v>
      </c>
      <c r="BY352" s="536" t="s">
        <v>10</v>
      </c>
      <c r="BZ352" s="536" t="s">
        <v>237</v>
      </c>
      <c r="CA352" s="536" t="s">
        <v>10</v>
      </c>
      <c r="CB352" s="536" t="s">
        <v>237</v>
      </c>
      <c r="CC352" s="536" t="s">
        <v>10</v>
      </c>
      <c r="CD352" s="536" t="s">
        <v>237</v>
      </c>
      <c r="CU352" s="469" t="s">
        <v>5510</v>
      </c>
      <c r="HN352" s="20"/>
      <c r="HP352" s="472"/>
    </row>
    <row r="353" spans="58:224" x14ac:dyDescent="0.25">
      <c r="BF353" s="469" t="s">
        <v>5510</v>
      </c>
      <c r="BJ353" s="470" t="s">
        <v>88</v>
      </c>
      <c r="BK353" s="539">
        <f t="shared" ref="BK353:CD353" ca="1" si="190">COUNTIFS(
INDIRECT($BH345&amp;BK$336&amp;":"&amp;$BH345&amp;BK$337),"&gt;0",
INDIRECT($BI345&amp;BK$336&amp;":"&amp;$BI345&amp;BK$337,1),"&gt;0",
INDIRECT($BJ345&amp;BK$336&amp;":"&amp;$BJ345&amp;BK$337,1),"&gt;=2")</f>
        <v>0</v>
      </c>
      <c r="BL353" s="539">
        <f t="shared" ca="1" si="190"/>
        <v>0</v>
      </c>
      <c r="BM353" s="539">
        <f t="shared" ca="1" si="190"/>
        <v>0</v>
      </c>
      <c r="BN353" s="539">
        <f t="shared" ca="1" si="190"/>
        <v>0</v>
      </c>
      <c r="BO353" s="539">
        <f t="shared" ca="1" si="190"/>
        <v>0</v>
      </c>
      <c r="BP353" s="539">
        <f t="shared" ca="1" si="190"/>
        <v>0</v>
      </c>
      <c r="BQ353" s="539">
        <f t="shared" ca="1" si="190"/>
        <v>0</v>
      </c>
      <c r="BR353" s="539">
        <f t="shared" ca="1" si="190"/>
        <v>0</v>
      </c>
      <c r="BS353" s="539">
        <f t="shared" ca="1" si="190"/>
        <v>0</v>
      </c>
      <c r="BT353" s="539">
        <f t="shared" ca="1" si="190"/>
        <v>0</v>
      </c>
      <c r="BU353" s="539">
        <f t="shared" ca="1" si="190"/>
        <v>0</v>
      </c>
      <c r="BV353" s="539">
        <f t="shared" ca="1" si="190"/>
        <v>0</v>
      </c>
      <c r="BW353" s="539">
        <f t="shared" ca="1" si="190"/>
        <v>0</v>
      </c>
      <c r="BX353" s="539">
        <f t="shared" ca="1" si="190"/>
        <v>0</v>
      </c>
      <c r="BY353" s="539">
        <f t="shared" ca="1" si="190"/>
        <v>0</v>
      </c>
      <c r="BZ353" s="539">
        <f t="shared" ca="1" si="190"/>
        <v>0</v>
      </c>
      <c r="CA353" s="539">
        <f t="shared" ca="1" si="190"/>
        <v>0</v>
      </c>
      <c r="CB353" s="539">
        <f t="shared" ca="1" si="190"/>
        <v>0</v>
      </c>
      <c r="CC353" s="539">
        <f t="shared" ca="1" si="190"/>
        <v>0</v>
      </c>
      <c r="CD353" s="539">
        <f t="shared" ca="1" si="190"/>
        <v>0</v>
      </c>
      <c r="CU353" s="469" t="s">
        <v>5510</v>
      </c>
      <c r="HN353" s="20"/>
      <c r="HP353" s="472"/>
    </row>
    <row r="354" spans="58:224" x14ac:dyDescent="0.25">
      <c r="BF354" s="469" t="s">
        <v>5510</v>
      </c>
      <c r="BJ354" s="470" t="s">
        <v>101</v>
      </c>
      <c r="BK354" s="539">
        <f t="shared" ref="BK354:CD354" ca="1" si="191">COUNTIFS(
INDIRECT($BH346&amp;BK$336&amp;":"&amp;$BH346&amp;BK$337),"&gt;0",
INDIRECT($BI346&amp;BK$336&amp;":"&amp;$BI346&amp;BK$337,1),"&gt;0",
INDIRECT($BJ346&amp;BK$336&amp;":"&amp;$BJ346&amp;BK$337,1),"&gt;=2")</f>
        <v>0</v>
      </c>
      <c r="BL354" s="539">
        <f t="shared" ca="1" si="191"/>
        <v>0</v>
      </c>
      <c r="BM354" s="539">
        <f t="shared" ca="1" si="191"/>
        <v>0</v>
      </c>
      <c r="BN354" s="539">
        <f t="shared" ca="1" si="191"/>
        <v>0</v>
      </c>
      <c r="BO354" s="539">
        <f t="shared" ca="1" si="191"/>
        <v>0</v>
      </c>
      <c r="BP354" s="539">
        <f t="shared" ca="1" si="191"/>
        <v>0</v>
      </c>
      <c r="BQ354" s="539">
        <f t="shared" ca="1" si="191"/>
        <v>0</v>
      </c>
      <c r="BR354" s="539">
        <f t="shared" ca="1" si="191"/>
        <v>0</v>
      </c>
      <c r="BS354" s="539">
        <f t="shared" ca="1" si="191"/>
        <v>0</v>
      </c>
      <c r="BT354" s="539">
        <f t="shared" ca="1" si="191"/>
        <v>0</v>
      </c>
      <c r="BU354" s="539">
        <f t="shared" ca="1" si="191"/>
        <v>0</v>
      </c>
      <c r="BV354" s="539">
        <f t="shared" ca="1" si="191"/>
        <v>0</v>
      </c>
      <c r="BW354" s="539">
        <f t="shared" ca="1" si="191"/>
        <v>0</v>
      </c>
      <c r="BX354" s="539">
        <f t="shared" ca="1" si="191"/>
        <v>0</v>
      </c>
      <c r="BY354" s="539">
        <f t="shared" ca="1" si="191"/>
        <v>0</v>
      </c>
      <c r="BZ354" s="539">
        <f t="shared" ca="1" si="191"/>
        <v>0</v>
      </c>
      <c r="CA354" s="539">
        <f t="shared" ca="1" si="191"/>
        <v>0</v>
      </c>
      <c r="CB354" s="539">
        <f t="shared" ca="1" si="191"/>
        <v>0</v>
      </c>
      <c r="CC354" s="539">
        <f t="shared" ca="1" si="191"/>
        <v>0</v>
      </c>
      <c r="CD354" s="539">
        <f t="shared" ca="1" si="191"/>
        <v>0</v>
      </c>
      <c r="CU354" s="469" t="s">
        <v>5510</v>
      </c>
      <c r="HN354" s="20"/>
      <c r="HP354" s="472"/>
    </row>
    <row r="355" spans="58:224" x14ac:dyDescent="0.25">
      <c r="BF355" s="469" t="s">
        <v>5510</v>
      </c>
      <c r="BJ355" s="470" t="s">
        <v>120</v>
      </c>
      <c r="BK355" s="539">
        <f t="shared" ref="BK355:CD355" ca="1" si="192">COUNTIFS(
INDIRECT($BH347&amp;BK$336&amp;":"&amp;$BH347&amp;BK$337),"&gt;0",
INDIRECT($BI347&amp;BK$336&amp;":"&amp;$BI347&amp;BK$337,1),"&gt;0",
INDIRECT($BJ347&amp;BK$336&amp;":"&amp;$BJ347&amp;BK$337,1),"&gt;=2")</f>
        <v>0</v>
      </c>
      <c r="BL355" s="539">
        <f t="shared" ca="1" si="192"/>
        <v>0</v>
      </c>
      <c r="BM355" s="539">
        <f t="shared" ca="1" si="192"/>
        <v>0</v>
      </c>
      <c r="BN355" s="539">
        <f t="shared" ca="1" si="192"/>
        <v>0</v>
      </c>
      <c r="BO355" s="539">
        <f t="shared" ca="1" si="192"/>
        <v>0</v>
      </c>
      <c r="BP355" s="539">
        <f t="shared" ca="1" si="192"/>
        <v>0</v>
      </c>
      <c r="BQ355" s="539">
        <f t="shared" ca="1" si="192"/>
        <v>0</v>
      </c>
      <c r="BR355" s="539">
        <f t="shared" ca="1" si="192"/>
        <v>0</v>
      </c>
      <c r="BS355" s="539">
        <f t="shared" ca="1" si="192"/>
        <v>0</v>
      </c>
      <c r="BT355" s="539">
        <f t="shared" ca="1" si="192"/>
        <v>0</v>
      </c>
      <c r="BU355" s="539">
        <f t="shared" ca="1" si="192"/>
        <v>0</v>
      </c>
      <c r="BV355" s="539">
        <f t="shared" ca="1" si="192"/>
        <v>0</v>
      </c>
      <c r="BW355" s="539">
        <f t="shared" ca="1" si="192"/>
        <v>0</v>
      </c>
      <c r="BX355" s="539">
        <f t="shared" ca="1" si="192"/>
        <v>0</v>
      </c>
      <c r="BY355" s="539">
        <f t="shared" ca="1" si="192"/>
        <v>0</v>
      </c>
      <c r="BZ355" s="539">
        <f t="shared" ca="1" si="192"/>
        <v>0</v>
      </c>
      <c r="CA355" s="539">
        <f t="shared" ca="1" si="192"/>
        <v>0</v>
      </c>
      <c r="CB355" s="539">
        <f t="shared" ca="1" si="192"/>
        <v>0</v>
      </c>
      <c r="CC355" s="539">
        <f t="shared" ca="1" si="192"/>
        <v>0</v>
      </c>
      <c r="CD355" s="539">
        <f t="shared" ca="1" si="192"/>
        <v>0</v>
      </c>
      <c r="CU355" s="469" t="s">
        <v>5510</v>
      </c>
      <c r="HN355" s="20"/>
      <c r="HP355" s="472"/>
    </row>
    <row r="356" spans="58:224" x14ac:dyDescent="0.25">
      <c r="BF356" s="469" t="s">
        <v>5510</v>
      </c>
      <c r="CU356" s="469" t="s">
        <v>5510</v>
      </c>
      <c r="HN356" s="20"/>
      <c r="HP356" s="472"/>
    </row>
    <row r="357" spans="58:224" x14ac:dyDescent="0.25">
      <c r="BF357" s="469" t="s">
        <v>5510</v>
      </c>
      <c r="BK357" s="20"/>
      <c r="BL357" s="20"/>
      <c r="BM357" s="20"/>
      <c r="BN357" s="20"/>
      <c r="BO357" s="20"/>
      <c r="BP357" s="20"/>
      <c r="BQ357" s="20"/>
      <c r="CU357" s="469" t="s">
        <v>5510</v>
      </c>
      <c r="HN357" s="20"/>
      <c r="HP357" s="472"/>
    </row>
    <row r="358" spans="58:224" x14ac:dyDescent="0.25">
      <c r="BF358" s="469" t="s">
        <v>5510</v>
      </c>
      <c r="BJ358" s="372" t="s">
        <v>8085</v>
      </c>
      <c r="BK358" s="675" t="s">
        <v>10</v>
      </c>
      <c r="BL358" s="675" t="s">
        <v>237</v>
      </c>
      <c r="BM358" s="675" t="s">
        <v>10</v>
      </c>
      <c r="BN358" s="675" t="s">
        <v>237</v>
      </c>
      <c r="BO358" s="675" t="s">
        <v>10</v>
      </c>
      <c r="BP358" s="675" t="s">
        <v>237</v>
      </c>
      <c r="BQ358" s="675" t="s">
        <v>10</v>
      </c>
      <c r="BR358" s="675" t="s">
        <v>237</v>
      </c>
      <c r="BS358" s="675" t="s">
        <v>10</v>
      </c>
      <c r="BT358" s="675" t="s">
        <v>237</v>
      </c>
      <c r="BU358" s="675" t="s">
        <v>10</v>
      </c>
      <c r="BV358" s="675" t="s">
        <v>237</v>
      </c>
      <c r="BW358" s="675" t="s">
        <v>10</v>
      </c>
      <c r="BX358" s="675" t="s">
        <v>237</v>
      </c>
      <c r="BY358" s="675" t="s">
        <v>10</v>
      </c>
      <c r="BZ358" s="675" t="s">
        <v>237</v>
      </c>
      <c r="CA358" s="675" t="s">
        <v>10</v>
      </c>
      <c r="CB358" s="675" t="s">
        <v>237</v>
      </c>
      <c r="CC358" s="675" t="s">
        <v>10</v>
      </c>
      <c r="CD358" s="675" t="s">
        <v>237</v>
      </c>
      <c r="CU358" s="469" t="s">
        <v>5510</v>
      </c>
      <c r="HN358" s="20"/>
      <c r="HP358" s="472"/>
    </row>
    <row r="359" spans="58:224" x14ac:dyDescent="0.25">
      <c r="BF359" s="469" t="s">
        <v>5510</v>
      </c>
      <c r="BJ359" s="470" t="s">
        <v>88</v>
      </c>
      <c r="BK359" s="539" t="str">
        <f t="shared" ref="BK359:CD359" ca="1" si="193">IF(BK345=0, "-", IF(COUNTIF(INDIRECT($BJ345&amp;BK$336&amp;":"&amp;$BJ345&amp;BK$337), "&gt;0")&gt;0, "Sim", "Não"))</f>
        <v>-</v>
      </c>
      <c r="BL359" s="539" t="str">
        <f t="shared" ca="1" si="193"/>
        <v>-</v>
      </c>
      <c r="BM359" s="539" t="str">
        <f t="shared" ca="1" si="193"/>
        <v>-</v>
      </c>
      <c r="BN359" s="539" t="str">
        <f t="shared" ca="1" si="193"/>
        <v>-</v>
      </c>
      <c r="BO359" s="539" t="str">
        <f t="shared" ca="1" si="193"/>
        <v>-</v>
      </c>
      <c r="BP359" s="539" t="str">
        <f t="shared" ca="1" si="193"/>
        <v>-</v>
      </c>
      <c r="BQ359" s="539" t="str">
        <f t="shared" ca="1" si="193"/>
        <v>-</v>
      </c>
      <c r="BR359" s="539" t="str">
        <f t="shared" ca="1" si="193"/>
        <v>-</v>
      </c>
      <c r="BS359" s="539" t="str">
        <f t="shared" ca="1" si="193"/>
        <v>-</v>
      </c>
      <c r="BT359" s="539" t="str">
        <f t="shared" ca="1" si="193"/>
        <v>-</v>
      </c>
      <c r="BU359" s="539" t="str">
        <f t="shared" ca="1" si="193"/>
        <v>-</v>
      </c>
      <c r="BV359" s="539" t="str">
        <f t="shared" ca="1" si="193"/>
        <v>-</v>
      </c>
      <c r="BW359" s="539" t="str">
        <f t="shared" ca="1" si="193"/>
        <v>-</v>
      </c>
      <c r="BX359" s="539" t="str">
        <f t="shared" ca="1" si="193"/>
        <v>-</v>
      </c>
      <c r="BY359" s="539" t="str">
        <f t="shared" ca="1" si="193"/>
        <v>-</v>
      </c>
      <c r="BZ359" s="539" t="str">
        <f t="shared" ca="1" si="193"/>
        <v>-</v>
      </c>
      <c r="CA359" s="539" t="str">
        <f t="shared" ca="1" si="193"/>
        <v>-</v>
      </c>
      <c r="CB359" s="539" t="str">
        <f t="shared" ca="1" si="193"/>
        <v>-</v>
      </c>
      <c r="CC359" s="539" t="str">
        <f t="shared" ca="1" si="193"/>
        <v>-</v>
      </c>
      <c r="CD359" s="539" t="str">
        <f t="shared" ca="1" si="193"/>
        <v>-</v>
      </c>
      <c r="CU359" s="469" t="s">
        <v>5510</v>
      </c>
      <c r="HN359" s="20"/>
      <c r="HP359" s="472"/>
    </row>
    <row r="360" spans="58:224" x14ac:dyDescent="0.25">
      <c r="BF360" s="469" t="s">
        <v>5510</v>
      </c>
      <c r="BJ360" s="470" t="s">
        <v>101</v>
      </c>
      <c r="BK360" s="539" t="str">
        <f t="shared" ref="BK360:CD360" ca="1" si="194">IF(BK346=0, "-", IF(COUNTIF(INDIRECT($BJ346&amp;BK$336&amp;":"&amp;$BJ346&amp;BK$337), "&gt;0")&gt;0, "Sim", "Não"))</f>
        <v>-</v>
      </c>
      <c r="BL360" s="539" t="str">
        <f t="shared" ca="1" si="194"/>
        <v>-</v>
      </c>
      <c r="BM360" s="539" t="str">
        <f t="shared" ca="1" si="194"/>
        <v>-</v>
      </c>
      <c r="BN360" s="539" t="str">
        <f t="shared" ca="1" si="194"/>
        <v>-</v>
      </c>
      <c r="BO360" s="539" t="str">
        <f t="shared" ca="1" si="194"/>
        <v>-</v>
      </c>
      <c r="BP360" s="539" t="str">
        <f t="shared" ca="1" si="194"/>
        <v>-</v>
      </c>
      <c r="BQ360" s="539" t="str">
        <f t="shared" ca="1" si="194"/>
        <v>-</v>
      </c>
      <c r="BR360" s="539" t="str">
        <f t="shared" ca="1" si="194"/>
        <v>-</v>
      </c>
      <c r="BS360" s="539" t="str">
        <f t="shared" ca="1" si="194"/>
        <v>-</v>
      </c>
      <c r="BT360" s="539" t="str">
        <f t="shared" ca="1" si="194"/>
        <v>-</v>
      </c>
      <c r="BU360" s="539" t="str">
        <f t="shared" ca="1" si="194"/>
        <v>-</v>
      </c>
      <c r="BV360" s="539" t="str">
        <f t="shared" ca="1" si="194"/>
        <v>-</v>
      </c>
      <c r="BW360" s="539" t="str">
        <f t="shared" ca="1" si="194"/>
        <v>-</v>
      </c>
      <c r="BX360" s="539" t="str">
        <f t="shared" ca="1" si="194"/>
        <v>-</v>
      </c>
      <c r="BY360" s="539" t="str">
        <f t="shared" ca="1" si="194"/>
        <v>-</v>
      </c>
      <c r="BZ360" s="539" t="str">
        <f t="shared" ca="1" si="194"/>
        <v>-</v>
      </c>
      <c r="CA360" s="539" t="str">
        <f t="shared" ca="1" si="194"/>
        <v>-</v>
      </c>
      <c r="CB360" s="539" t="str">
        <f t="shared" ca="1" si="194"/>
        <v>-</v>
      </c>
      <c r="CC360" s="539" t="str">
        <f t="shared" ca="1" si="194"/>
        <v>-</v>
      </c>
      <c r="CD360" s="539" t="str">
        <f t="shared" ca="1" si="194"/>
        <v>-</v>
      </c>
      <c r="CU360" s="469" t="s">
        <v>5510</v>
      </c>
      <c r="HN360" s="20"/>
      <c r="HP360" s="472"/>
    </row>
    <row r="361" spans="58:224" x14ac:dyDescent="0.25">
      <c r="BF361" s="469" t="s">
        <v>5510</v>
      </c>
      <c r="BJ361" s="470" t="s">
        <v>120</v>
      </c>
      <c r="BK361" s="539" t="str">
        <f t="shared" ref="BK361:CD361" ca="1" si="195">IF(BK347=0, "-", IF(COUNTIF(INDIRECT($BJ347&amp;BK$336&amp;":"&amp;$BJ347&amp;BK$337), "&gt;0")&gt;0, "Sim", "Não"))</f>
        <v>-</v>
      </c>
      <c r="BL361" s="539" t="str">
        <f t="shared" ca="1" si="195"/>
        <v>-</v>
      </c>
      <c r="BM361" s="539" t="str">
        <f t="shared" ca="1" si="195"/>
        <v>-</v>
      </c>
      <c r="BN361" s="539" t="str">
        <f t="shared" ca="1" si="195"/>
        <v>-</v>
      </c>
      <c r="BO361" s="539" t="str">
        <f t="shared" ca="1" si="195"/>
        <v>-</v>
      </c>
      <c r="BP361" s="539" t="str">
        <f t="shared" ca="1" si="195"/>
        <v>-</v>
      </c>
      <c r="BQ361" s="539" t="str">
        <f t="shared" ca="1" si="195"/>
        <v>-</v>
      </c>
      <c r="BR361" s="539" t="str">
        <f t="shared" ca="1" si="195"/>
        <v>-</v>
      </c>
      <c r="BS361" s="539" t="str">
        <f t="shared" ca="1" si="195"/>
        <v>-</v>
      </c>
      <c r="BT361" s="539" t="str">
        <f t="shared" ca="1" si="195"/>
        <v>-</v>
      </c>
      <c r="BU361" s="539" t="str">
        <f t="shared" ca="1" si="195"/>
        <v>-</v>
      </c>
      <c r="BV361" s="539" t="str">
        <f t="shared" ca="1" si="195"/>
        <v>-</v>
      </c>
      <c r="BW361" s="539" t="str">
        <f t="shared" ca="1" si="195"/>
        <v>-</v>
      </c>
      <c r="BX361" s="539" t="str">
        <f t="shared" ca="1" si="195"/>
        <v>-</v>
      </c>
      <c r="BY361" s="539" t="str">
        <f t="shared" ca="1" si="195"/>
        <v>-</v>
      </c>
      <c r="BZ361" s="539" t="str">
        <f t="shared" ca="1" si="195"/>
        <v>-</v>
      </c>
      <c r="CA361" s="539" t="str">
        <f t="shared" ca="1" si="195"/>
        <v>-</v>
      </c>
      <c r="CB361" s="539" t="str">
        <f t="shared" ca="1" si="195"/>
        <v>-</v>
      </c>
      <c r="CC361" s="539" t="str">
        <f t="shared" ca="1" si="195"/>
        <v>-</v>
      </c>
      <c r="CD361" s="539" t="str">
        <f t="shared" ca="1" si="195"/>
        <v>-</v>
      </c>
      <c r="CU361" s="469" t="s">
        <v>5510</v>
      </c>
      <c r="HN361" s="20"/>
      <c r="HP361" s="472"/>
    </row>
    <row r="362" spans="58:224" x14ac:dyDescent="0.25">
      <c r="BF362" s="469" t="s">
        <v>5510</v>
      </c>
      <c r="CU362" s="469" t="s">
        <v>5510</v>
      </c>
      <c r="HN362" s="20"/>
      <c r="HP362" s="472"/>
    </row>
    <row r="363" spans="58:224" x14ac:dyDescent="0.25">
      <c r="BF363" s="469" t="s">
        <v>5510</v>
      </c>
      <c r="CU363" s="469" t="s">
        <v>5510</v>
      </c>
      <c r="HN363" s="20"/>
      <c r="HP363" s="472"/>
    </row>
    <row r="364" spans="58:224" x14ac:dyDescent="0.25">
      <c r="BF364" s="469" t="s">
        <v>5510</v>
      </c>
      <c r="CU364" s="469" t="s">
        <v>5510</v>
      </c>
      <c r="HN364" s="20"/>
      <c r="HP364" s="472"/>
    </row>
    <row r="365" spans="58:224" ht="15.75" x14ac:dyDescent="0.25">
      <c r="BF365" s="469" t="s">
        <v>5510</v>
      </c>
      <c r="BH365" s="669" t="s">
        <v>8075</v>
      </c>
      <c r="BI365" s="674"/>
      <c r="BJ365" s="671"/>
      <c r="BK365" s="20"/>
      <c r="BL365" s="20"/>
      <c r="BM365" s="20"/>
      <c r="BN365" s="20"/>
      <c r="BO365" s="20"/>
      <c r="BP365" s="20"/>
      <c r="BQ365" s="20"/>
      <c r="CU365" s="469" t="s">
        <v>5510</v>
      </c>
      <c r="HN365" s="20"/>
      <c r="HP365" s="472"/>
    </row>
    <row r="366" spans="58:224" x14ac:dyDescent="0.25">
      <c r="BF366" s="469" t="s">
        <v>5510</v>
      </c>
      <c r="BJ366" s="372" t="s">
        <v>8284</v>
      </c>
      <c r="BK366" s="675" t="s">
        <v>10</v>
      </c>
      <c r="BL366" s="675" t="s">
        <v>237</v>
      </c>
      <c r="BM366" s="675" t="s">
        <v>10</v>
      </c>
      <c r="BN366" s="675" t="s">
        <v>237</v>
      </c>
      <c r="BO366" s="675" t="s">
        <v>10</v>
      </c>
      <c r="BP366" s="675" t="s">
        <v>237</v>
      </c>
      <c r="BQ366" s="675" t="s">
        <v>10</v>
      </c>
      <c r="BR366" s="675" t="s">
        <v>237</v>
      </c>
      <c r="BS366" s="675" t="s">
        <v>10</v>
      </c>
      <c r="BT366" s="675" t="s">
        <v>237</v>
      </c>
      <c r="BU366" s="675" t="s">
        <v>10</v>
      </c>
      <c r="BV366" s="675" t="s">
        <v>237</v>
      </c>
      <c r="BW366" s="675" t="s">
        <v>10</v>
      </c>
      <c r="BX366" s="675" t="s">
        <v>237</v>
      </c>
      <c r="BY366" s="675" t="s">
        <v>10</v>
      </c>
      <c r="BZ366" s="675" t="s">
        <v>237</v>
      </c>
      <c r="CA366" s="675" t="s">
        <v>10</v>
      </c>
      <c r="CB366" s="675" t="s">
        <v>237</v>
      </c>
      <c r="CC366" s="675" t="s">
        <v>10</v>
      </c>
      <c r="CD366" s="675" t="s">
        <v>237</v>
      </c>
      <c r="CU366" s="469" t="s">
        <v>5510</v>
      </c>
      <c r="HN366" s="20"/>
      <c r="HP366" s="472"/>
    </row>
    <row r="367" spans="58:224" x14ac:dyDescent="0.25">
      <c r="BF367" s="469" t="s">
        <v>5510</v>
      </c>
      <c r="BJ367" s="470" t="s">
        <v>88</v>
      </c>
      <c r="BK367" s="539" t="str">
        <f t="shared" ref="BK367:CD367" ca="1" si="196">IF(BK345=0,"-",
COUNTIFS(
INDIRECT($BH345&amp;BK$336&amp;":"&amp;$BH345&amp;BK$337),"&lt;&gt;0",
INDIRECT($BJ345&amp;BK$336&amp;":"&amp;$BJ345&amp;BK$337),"&lt;2"))</f>
        <v>-</v>
      </c>
      <c r="BL367" s="539" t="str">
        <f t="shared" ca="1" si="196"/>
        <v>-</v>
      </c>
      <c r="BM367" s="539" t="str">
        <f t="shared" ca="1" si="196"/>
        <v>-</v>
      </c>
      <c r="BN367" s="539" t="str">
        <f t="shared" ca="1" si="196"/>
        <v>-</v>
      </c>
      <c r="BO367" s="539" t="str">
        <f t="shared" ca="1" si="196"/>
        <v>-</v>
      </c>
      <c r="BP367" s="539" t="str">
        <f t="shared" ca="1" si="196"/>
        <v>-</v>
      </c>
      <c r="BQ367" s="539" t="str">
        <f t="shared" ca="1" si="196"/>
        <v>-</v>
      </c>
      <c r="BR367" s="539" t="str">
        <f t="shared" ca="1" si="196"/>
        <v>-</v>
      </c>
      <c r="BS367" s="539" t="str">
        <f t="shared" ca="1" si="196"/>
        <v>-</v>
      </c>
      <c r="BT367" s="539" t="str">
        <f t="shared" ca="1" si="196"/>
        <v>-</v>
      </c>
      <c r="BU367" s="539" t="str">
        <f t="shared" ca="1" si="196"/>
        <v>-</v>
      </c>
      <c r="BV367" s="539" t="str">
        <f t="shared" ca="1" si="196"/>
        <v>-</v>
      </c>
      <c r="BW367" s="539" t="str">
        <f t="shared" ca="1" si="196"/>
        <v>-</v>
      </c>
      <c r="BX367" s="539" t="str">
        <f t="shared" ca="1" si="196"/>
        <v>-</v>
      </c>
      <c r="BY367" s="539" t="str">
        <f t="shared" ca="1" si="196"/>
        <v>-</v>
      </c>
      <c r="BZ367" s="539" t="str">
        <f t="shared" ca="1" si="196"/>
        <v>-</v>
      </c>
      <c r="CA367" s="539" t="str">
        <f t="shared" ca="1" si="196"/>
        <v>-</v>
      </c>
      <c r="CB367" s="539" t="str">
        <f t="shared" ca="1" si="196"/>
        <v>-</v>
      </c>
      <c r="CC367" s="539" t="str">
        <f t="shared" ca="1" si="196"/>
        <v>-</v>
      </c>
      <c r="CD367" s="539" t="str">
        <f t="shared" ca="1" si="196"/>
        <v>-</v>
      </c>
      <c r="CU367" s="469" t="s">
        <v>5510</v>
      </c>
      <c r="HN367" s="20"/>
      <c r="HP367" s="472"/>
    </row>
    <row r="368" spans="58:224" x14ac:dyDescent="0.25">
      <c r="BF368" s="469" t="s">
        <v>5510</v>
      </c>
      <c r="BJ368" s="470" t="s">
        <v>101</v>
      </c>
      <c r="BK368" s="539" t="str">
        <f t="shared" ref="BK368:CD368" ca="1" si="197">IF(BK346=0,"-",
COUNTIFS(
INDIRECT($BH346&amp;BK$336&amp;":"&amp;$BH346&amp;BK$337),"&lt;&gt;0",
INDIRECT($BJ346&amp;BK$336&amp;":"&amp;$BJ346&amp;BK$337),"&lt;2"))</f>
        <v>-</v>
      </c>
      <c r="BL368" s="539" t="str">
        <f t="shared" ca="1" si="197"/>
        <v>-</v>
      </c>
      <c r="BM368" s="539" t="str">
        <f t="shared" ca="1" si="197"/>
        <v>-</v>
      </c>
      <c r="BN368" s="539" t="str">
        <f t="shared" ca="1" si="197"/>
        <v>-</v>
      </c>
      <c r="BO368" s="539" t="str">
        <f t="shared" ca="1" si="197"/>
        <v>-</v>
      </c>
      <c r="BP368" s="539" t="str">
        <f t="shared" ca="1" si="197"/>
        <v>-</v>
      </c>
      <c r="BQ368" s="539" t="str">
        <f t="shared" ca="1" si="197"/>
        <v>-</v>
      </c>
      <c r="BR368" s="539" t="str">
        <f t="shared" ca="1" si="197"/>
        <v>-</v>
      </c>
      <c r="BS368" s="539" t="str">
        <f t="shared" ca="1" si="197"/>
        <v>-</v>
      </c>
      <c r="BT368" s="539" t="str">
        <f t="shared" ca="1" si="197"/>
        <v>-</v>
      </c>
      <c r="BU368" s="539" t="str">
        <f t="shared" ca="1" si="197"/>
        <v>-</v>
      </c>
      <c r="BV368" s="539" t="str">
        <f t="shared" ca="1" si="197"/>
        <v>-</v>
      </c>
      <c r="BW368" s="539" t="str">
        <f t="shared" ca="1" si="197"/>
        <v>-</v>
      </c>
      <c r="BX368" s="539" t="str">
        <f t="shared" ca="1" si="197"/>
        <v>-</v>
      </c>
      <c r="BY368" s="539" t="str">
        <f t="shared" ca="1" si="197"/>
        <v>-</v>
      </c>
      <c r="BZ368" s="539" t="str">
        <f t="shared" ca="1" si="197"/>
        <v>-</v>
      </c>
      <c r="CA368" s="539" t="str">
        <f t="shared" ca="1" si="197"/>
        <v>-</v>
      </c>
      <c r="CB368" s="539" t="str">
        <f t="shared" ca="1" si="197"/>
        <v>-</v>
      </c>
      <c r="CC368" s="539" t="str">
        <f t="shared" ca="1" si="197"/>
        <v>-</v>
      </c>
      <c r="CD368" s="539" t="str">
        <f t="shared" ca="1" si="197"/>
        <v>-</v>
      </c>
      <c r="CU368" s="469" t="s">
        <v>5510</v>
      </c>
      <c r="HN368" s="20"/>
      <c r="HP368" s="472"/>
    </row>
    <row r="369" spans="58:224" x14ac:dyDescent="0.25">
      <c r="BF369" s="469" t="s">
        <v>5510</v>
      </c>
      <c r="BJ369" s="470" t="s">
        <v>120</v>
      </c>
      <c r="BK369" s="539" t="str">
        <f t="shared" ref="BK369:CD369" ca="1" si="198">IF(BK347=0,"-",
COUNTIFS(
INDIRECT($BH347&amp;BK$336&amp;":"&amp;$BH347&amp;BK$337),"&lt;&gt;0",
INDIRECT($BJ347&amp;BK$336&amp;":"&amp;$BJ347&amp;BK$337),"&lt;2"))</f>
        <v>-</v>
      </c>
      <c r="BL369" s="539" t="str">
        <f t="shared" ca="1" si="198"/>
        <v>-</v>
      </c>
      <c r="BM369" s="539" t="str">
        <f t="shared" ca="1" si="198"/>
        <v>-</v>
      </c>
      <c r="BN369" s="539" t="str">
        <f t="shared" ca="1" si="198"/>
        <v>-</v>
      </c>
      <c r="BO369" s="539" t="str">
        <f t="shared" ca="1" si="198"/>
        <v>-</v>
      </c>
      <c r="BP369" s="539" t="str">
        <f t="shared" ca="1" si="198"/>
        <v>-</v>
      </c>
      <c r="BQ369" s="539" t="str">
        <f t="shared" ca="1" si="198"/>
        <v>-</v>
      </c>
      <c r="BR369" s="539" t="str">
        <f t="shared" ca="1" si="198"/>
        <v>-</v>
      </c>
      <c r="BS369" s="539" t="str">
        <f t="shared" ca="1" si="198"/>
        <v>-</v>
      </c>
      <c r="BT369" s="539" t="str">
        <f t="shared" ca="1" si="198"/>
        <v>-</v>
      </c>
      <c r="BU369" s="539" t="str">
        <f t="shared" ca="1" si="198"/>
        <v>-</v>
      </c>
      <c r="BV369" s="539" t="str">
        <f t="shared" ca="1" si="198"/>
        <v>-</v>
      </c>
      <c r="BW369" s="539" t="str">
        <f t="shared" ca="1" si="198"/>
        <v>-</v>
      </c>
      <c r="BX369" s="539" t="str">
        <f t="shared" ca="1" si="198"/>
        <v>-</v>
      </c>
      <c r="BY369" s="539" t="str">
        <f t="shared" ca="1" si="198"/>
        <v>-</v>
      </c>
      <c r="BZ369" s="539" t="str">
        <f t="shared" ca="1" si="198"/>
        <v>-</v>
      </c>
      <c r="CA369" s="539" t="str">
        <f t="shared" ca="1" si="198"/>
        <v>-</v>
      </c>
      <c r="CB369" s="539" t="str">
        <f t="shared" ca="1" si="198"/>
        <v>-</v>
      </c>
      <c r="CC369" s="539" t="str">
        <f t="shared" ca="1" si="198"/>
        <v>-</v>
      </c>
      <c r="CD369" s="539" t="str">
        <f t="shared" ca="1" si="198"/>
        <v>-</v>
      </c>
      <c r="CU369" s="469" t="s">
        <v>5510</v>
      </c>
      <c r="HN369" s="20"/>
      <c r="HP369" s="472"/>
    </row>
    <row r="370" spans="58:224" x14ac:dyDescent="0.25">
      <c r="BF370" s="469" t="s">
        <v>5510</v>
      </c>
      <c r="CU370" s="469" t="s">
        <v>5510</v>
      </c>
      <c r="HN370" s="20"/>
      <c r="HP370" s="472"/>
    </row>
    <row r="371" spans="58:224" x14ac:dyDescent="0.25">
      <c r="BF371" s="469" t="s">
        <v>5510</v>
      </c>
      <c r="BJ371" s="372" t="s">
        <v>8285</v>
      </c>
      <c r="BK371" s="675" t="s">
        <v>10</v>
      </c>
      <c r="BL371" s="675" t="s">
        <v>237</v>
      </c>
      <c r="BM371" s="675" t="s">
        <v>10</v>
      </c>
      <c r="BN371" s="675" t="s">
        <v>237</v>
      </c>
      <c r="BO371" s="675" t="s">
        <v>10</v>
      </c>
      <c r="BP371" s="675" t="s">
        <v>237</v>
      </c>
      <c r="BQ371" s="675" t="s">
        <v>10</v>
      </c>
      <c r="BR371" s="675" t="s">
        <v>237</v>
      </c>
      <c r="BS371" s="675" t="s">
        <v>10</v>
      </c>
      <c r="BT371" s="675" t="s">
        <v>237</v>
      </c>
      <c r="BU371" s="675" t="s">
        <v>10</v>
      </c>
      <c r="BV371" s="675" t="s">
        <v>237</v>
      </c>
      <c r="BW371" s="675" t="s">
        <v>10</v>
      </c>
      <c r="BX371" s="675" t="s">
        <v>237</v>
      </c>
      <c r="BY371" s="675" t="s">
        <v>10</v>
      </c>
      <c r="BZ371" s="675" t="s">
        <v>237</v>
      </c>
      <c r="CA371" s="675" t="s">
        <v>10</v>
      </c>
      <c r="CB371" s="675" t="s">
        <v>237</v>
      </c>
      <c r="CC371" s="675" t="s">
        <v>10</v>
      </c>
      <c r="CD371" s="675" t="s">
        <v>237</v>
      </c>
      <c r="CU371" s="469" t="s">
        <v>5510</v>
      </c>
      <c r="HN371" s="20"/>
      <c r="HP371" s="472"/>
    </row>
    <row r="372" spans="58:224" x14ac:dyDescent="0.25">
      <c r="BF372" s="469" t="s">
        <v>5510</v>
      </c>
      <c r="BJ372" s="470" t="s">
        <v>88</v>
      </c>
      <c r="BK372" s="539" t="str">
        <f ca="1">IF(BK367="-","-",
IF(BK367&gt;=5,"Sim","Não")&amp;CHAR(10)&amp;" ("&amp;BK367&amp;")")</f>
        <v>-</v>
      </c>
      <c r="BL372" s="539" t="str">
        <f t="shared" ref="BL372:CD374" ca="1" si="199">IF(BL367="-","-",
IF(BL367&gt;=5,"Sim","Não")&amp;CHAR(10)&amp;" ("&amp;BL367&amp;")")</f>
        <v>-</v>
      </c>
      <c r="BM372" s="539" t="str">
        <f t="shared" ca="1" si="199"/>
        <v>-</v>
      </c>
      <c r="BN372" s="539" t="str">
        <f t="shared" ca="1" si="199"/>
        <v>-</v>
      </c>
      <c r="BO372" s="539" t="str">
        <f t="shared" ca="1" si="199"/>
        <v>-</v>
      </c>
      <c r="BP372" s="539" t="str">
        <f t="shared" ca="1" si="199"/>
        <v>-</v>
      </c>
      <c r="BQ372" s="539" t="str">
        <f t="shared" ca="1" si="199"/>
        <v>-</v>
      </c>
      <c r="BR372" s="539" t="str">
        <f t="shared" ca="1" si="199"/>
        <v>-</v>
      </c>
      <c r="BS372" s="539" t="str">
        <f t="shared" ca="1" si="199"/>
        <v>-</v>
      </c>
      <c r="BT372" s="539" t="str">
        <f t="shared" ca="1" si="199"/>
        <v>-</v>
      </c>
      <c r="BU372" s="539" t="str">
        <f t="shared" ca="1" si="199"/>
        <v>-</v>
      </c>
      <c r="BV372" s="539" t="str">
        <f t="shared" ca="1" si="199"/>
        <v>-</v>
      </c>
      <c r="BW372" s="539" t="str">
        <f t="shared" ca="1" si="199"/>
        <v>-</v>
      </c>
      <c r="BX372" s="539" t="str">
        <f t="shared" ca="1" si="199"/>
        <v>-</v>
      </c>
      <c r="BY372" s="539" t="str">
        <f t="shared" ca="1" si="199"/>
        <v>-</v>
      </c>
      <c r="BZ372" s="539" t="str">
        <f t="shared" ca="1" si="199"/>
        <v>-</v>
      </c>
      <c r="CA372" s="539" t="str">
        <f t="shared" ca="1" si="199"/>
        <v>-</v>
      </c>
      <c r="CB372" s="539" t="str">
        <f t="shared" ca="1" si="199"/>
        <v>-</v>
      </c>
      <c r="CC372" s="539" t="str">
        <f t="shared" ca="1" si="199"/>
        <v>-</v>
      </c>
      <c r="CD372" s="539" t="str">
        <f t="shared" ca="1" si="199"/>
        <v>-</v>
      </c>
      <c r="CU372" s="469" t="s">
        <v>5510</v>
      </c>
      <c r="HN372" s="20"/>
      <c r="HP372" s="472"/>
    </row>
    <row r="373" spans="58:224" x14ac:dyDescent="0.25">
      <c r="BF373" s="469" t="s">
        <v>5510</v>
      </c>
      <c r="BJ373" s="470" t="s">
        <v>101</v>
      </c>
      <c r="BK373" s="539" t="str">
        <f ca="1">IF(BK368="-","-",
IF(BK368&gt;=5,"Sim","Não")&amp;CHAR(10)&amp;" ("&amp;BK368&amp;")")</f>
        <v>-</v>
      </c>
      <c r="BL373" s="539" t="str">
        <f t="shared" ca="1" si="199"/>
        <v>-</v>
      </c>
      <c r="BM373" s="539" t="str">
        <f t="shared" ca="1" si="199"/>
        <v>-</v>
      </c>
      <c r="BN373" s="539" t="str">
        <f t="shared" ca="1" si="199"/>
        <v>-</v>
      </c>
      <c r="BO373" s="539" t="str">
        <f ca="1">IF(BO368="-","-",
IF(BO368&gt;=5,"Sim","Não")&amp;CHAR(10)&amp;" ("&amp;BO368&amp;")")</f>
        <v>-</v>
      </c>
      <c r="BP373" s="539" t="str">
        <f ca="1">IF(BP368="-","-",
IF(BP368&gt;=5,"Sim","Não")&amp;CHAR(10)&amp;" ("&amp;BP368&amp;")")</f>
        <v>-</v>
      </c>
      <c r="BQ373" s="539" t="str">
        <f ca="1">IF(BQ368="-","-",
IF(BQ368&gt;=5,"Sim","Não")&amp;CHAR(10)&amp;" ("&amp;BQ368&amp;")")</f>
        <v>-</v>
      </c>
      <c r="BR373" s="539" t="str">
        <f t="shared" ca="1" si="199"/>
        <v>-</v>
      </c>
      <c r="BS373" s="539" t="str">
        <f t="shared" ca="1" si="199"/>
        <v>-</v>
      </c>
      <c r="BT373" s="539" t="str">
        <f t="shared" ca="1" si="199"/>
        <v>-</v>
      </c>
      <c r="BU373" s="539" t="str">
        <f t="shared" ca="1" si="199"/>
        <v>-</v>
      </c>
      <c r="BV373" s="539" t="str">
        <f t="shared" ca="1" si="199"/>
        <v>-</v>
      </c>
      <c r="BW373" s="539" t="str">
        <f t="shared" ca="1" si="199"/>
        <v>-</v>
      </c>
      <c r="BX373" s="539" t="str">
        <f t="shared" ca="1" si="199"/>
        <v>-</v>
      </c>
      <c r="BY373" s="539" t="str">
        <f t="shared" ca="1" si="199"/>
        <v>-</v>
      </c>
      <c r="BZ373" s="539" t="str">
        <f t="shared" ca="1" si="199"/>
        <v>-</v>
      </c>
      <c r="CA373" s="539" t="str">
        <f t="shared" ca="1" si="199"/>
        <v>-</v>
      </c>
      <c r="CB373" s="539" t="str">
        <f t="shared" ca="1" si="199"/>
        <v>-</v>
      </c>
      <c r="CC373" s="539" t="str">
        <f t="shared" ca="1" si="199"/>
        <v>-</v>
      </c>
      <c r="CD373" s="539" t="str">
        <f t="shared" ca="1" si="199"/>
        <v>-</v>
      </c>
      <c r="CU373" s="469" t="s">
        <v>5510</v>
      </c>
      <c r="HN373" s="20"/>
      <c r="HP373" s="472"/>
    </row>
    <row r="374" spans="58:224" x14ac:dyDescent="0.25">
      <c r="BF374" s="469" t="s">
        <v>5510</v>
      </c>
      <c r="BJ374" s="470" t="s">
        <v>120</v>
      </c>
      <c r="BK374" s="539" t="str">
        <f t="shared" ref="BK374" ca="1" si="200">IF(BK369="-","-",
IF(BK369&gt;=5,"Sim","Não")&amp;CHAR(10)&amp;" ("&amp;BK369&amp;")")</f>
        <v>-</v>
      </c>
      <c r="BL374" s="539" t="str">
        <f t="shared" ca="1" si="199"/>
        <v>-</v>
      </c>
      <c r="BM374" s="539" t="str">
        <f t="shared" ca="1" si="199"/>
        <v>-</v>
      </c>
      <c r="BN374" s="539" t="str">
        <f t="shared" ca="1" si="199"/>
        <v>-</v>
      </c>
      <c r="BO374" s="539" t="str">
        <f t="shared" ca="1" si="199"/>
        <v>-</v>
      </c>
      <c r="BP374" s="539" t="str">
        <f t="shared" ca="1" si="199"/>
        <v>-</v>
      </c>
      <c r="BQ374" s="539" t="str">
        <f t="shared" ca="1" si="199"/>
        <v>-</v>
      </c>
      <c r="BR374" s="539" t="str">
        <f t="shared" ca="1" si="199"/>
        <v>-</v>
      </c>
      <c r="BS374" s="539" t="str">
        <f t="shared" ca="1" si="199"/>
        <v>-</v>
      </c>
      <c r="BT374" s="539" t="str">
        <f t="shared" ca="1" si="199"/>
        <v>-</v>
      </c>
      <c r="BU374" s="539" t="str">
        <f t="shared" ca="1" si="199"/>
        <v>-</v>
      </c>
      <c r="BV374" s="539" t="str">
        <f t="shared" ca="1" si="199"/>
        <v>-</v>
      </c>
      <c r="BW374" s="539" t="str">
        <f t="shared" ca="1" si="199"/>
        <v>-</v>
      </c>
      <c r="BX374" s="539" t="str">
        <f t="shared" ca="1" si="199"/>
        <v>-</v>
      </c>
      <c r="BY374" s="539" t="str">
        <f t="shared" ca="1" si="199"/>
        <v>-</v>
      </c>
      <c r="BZ374" s="539" t="str">
        <f t="shared" ca="1" si="199"/>
        <v>-</v>
      </c>
      <c r="CA374" s="539" t="str">
        <f t="shared" ca="1" si="199"/>
        <v>-</v>
      </c>
      <c r="CB374" s="539" t="str">
        <f t="shared" ca="1" si="199"/>
        <v>-</v>
      </c>
      <c r="CC374" s="539" t="str">
        <f t="shared" ca="1" si="199"/>
        <v>-</v>
      </c>
      <c r="CD374" s="539" t="str">
        <f t="shared" ca="1" si="199"/>
        <v>-</v>
      </c>
      <c r="CU374" s="469" t="s">
        <v>5510</v>
      </c>
      <c r="HN374" s="20"/>
      <c r="HP374" s="472"/>
    </row>
    <row r="375" spans="58:224" x14ac:dyDescent="0.25">
      <c r="BF375" s="469" t="s">
        <v>5510</v>
      </c>
      <c r="CU375" s="469" t="s">
        <v>5510</v>
      </c>
      <c r="HN375" s="20"/>
      <c r="HP375" s="472"/>
    </row>
    <row r="376" spans="58:224" ht="15.75" thickBot="1" x14ac:dyDescent="0.3">
      <c r="BF376" s="469" t="s">
        <v>5510</v>
      </c>
      <c r="BH376" s="468"/>
      <c r="BI376" s="468"/>
      <c r="BJ376" s="468"/>
      <c r="BK376" s="468"/>
      <c r="BL376" s="468"/>
      <c r="BM376" s="468"/>
      <c r="BN376" s="468"/>
      <c r="BO376" s="468"/>
      <c r="BP376" s="468"/>
      <c r="BQ376" s="468"/>
      <c r="BR376" s="468"/>
      <c r="BS376" s="468"/>
      <c r="BT376" s="468"/>
      <c r="BU376" s="468"/>
      <c r="BV376" s="468"/>
      <c r="BW376" s="468"/>
      <c r="BX376" s="468"/>
      <c r="BY376" s="468"/>
      <c r="BZ376" s="468"/>
      <c r="CA376" s="468"/>
      <c r="CB376" s="468"/>
      <c r="CC376" s="468"/>
      <c r="CD376" s="468"/>
      <c r="CE376" s="468"/>
      <c r="CU376" s="469" t="s">
        <v>5510</v>
      </c>
      <c r="HN376" s="20"/>
      <c r="HP376" s="472"/>
    </row>
    <row r="377" spans="58:224" x14ac:dyDescent="0.25">
      <c r="BF377" s="469" t="s">
        <v>5510</v>
      </c>
      <c r="CU377" s="469" t="s">
        <v>5510</v>
      </c>
      <c r="HN377" s="20"/>
      <c r="HP377" s="472"/>
    </row>
    <row r="378" spans="58:224" x14ac:dyDescent="0.25">
      <c r="BF378" s="469" t="s">
        <v>5510</v>
      </c>
      <c r="BI378" s="536" t="s">
        <v>8086</v>
      </c>
      <c r="BJ378" s="480">
        <v>32</v>
      </c>
      <c r="BK378" s="20"/>
      <c r="BL378" s="20"/>
      <c r="BM378" s="20"/>
      <c r="BN378" s="20"/>
      <c r="BO378" s="20"/>
      <c r="BP378" s="20"/>
      <c r="BQ378" s="20"/>
      <c r="CU378" s="469" t="s">
        <v>5510</v>
      </c>
      <c r="HN378" s="20"/>
      <c r="HP378" s="472"/>
    </row>
    <row r="379" spans="58:224" x14ac:dyDescent="0.25">
      <c r="BF379" s="469" t="s">
        <v>5510</v>
      </c>
      <c r="BI379" s="20"/>
      <c r="BJ379" s="372"/>
      <c r="CU379" s="469" t="s">
        <v>5510</v>
      </c>
      <c r="HN379" s="20"/>
      <c r="HP379" s="472"/>
    </row>
    <row r="380" spans="58:224" x14ac:dyDescent="0.25">
      <c r="BF380" s="469" t="s">
        <v>5510</v>
      </c>
      <c r="BI380" s="20"/>
      <c r="BJ380" s="536" t="s">
        <v>8078</v>
      </c>
      <c r="BK380" s="536" t="s">
        <v>8079</v>
      </c>
      <c r="BL380" s="536" t="s">
        <v>8080</v>
      </c>
      <c r="BM380" s="536" t="s">
        <v>8081</v>
      </c>
      <c r="CU380" s="469" t="s">
        <v>5510</v>
      </c>
      <c r="HN380" s="20"/>
      <c r="HP380" s="472"/>
    </row>
    <row r="381" spans="58:224" x14ac:dyDescent="0.25">
      <c r="BF381" s="469" t="s">
        <v>5510</v>
      </c>
      <c r="BI381" s="536" t="s">
        <v>90</v>
      </c>
      <c r="BJ381" s="480">
        <f>ROW(BK10)</f>
        <v>10</v>
      </c>
      <c r="BK381" s="480">
        <f>BJ381+($BJ$378/2)</f>
        <v>26</v>
      </c>
      <c r="BL381" s="480">
        <f>BJ381+11</f>
        <v>21</v>
      </c>
      <c r="BM381" s="480">
        <f>BL381+(BJ378/2)</f>
        <v>37</v>
      </c>
      <c r="BX381" s="605"/>
      <c r="BY381" s="605"/>
      <c r="CU381" s="469" t="s">
        <v>5510</v>
      </c>
      <c r="HN381" s="20"/>
      <c r="HP381" s="472"/>
    </row>
    <row r="382" spans="58:224" x14ac:dyDescent="0.25">
      <c r="BF382" s="469" t="s">
        <v>5510</v>
      </c>
      <c r="BI382" s="536" t="s">
        <v>91</v>
      </c>
      <c r="BJ382" s="480">
        <f>BJ381+$BJ$378</f>
        <v>42</v>
      </c>
      <c r="BK382" s="480">
        <f>BK381+$BJ$378</f>
        <v>58</v>
      </c>
      <c r="BL382" s="480">
        <f>BL381+$BJ$378</f>
        <v>53</v>
      </c>
      <c r="BM382" s="480">
        <f>BM381+$BJ$378</f>
        <v>69</v>
      </c>
      <c r="CU382" s="469" t="s">
        <v>5510</v>
      </c>
      <c r="HN382" s="20"/>
      <c r="HP382" s="472"/>
    </row>
    <row r="383" spans="58:224" x14ac:dyDescent="0.25">
      <c r="BF383" s="469" t="s">
        <v>5510</v>
      </c>
      <c r="BI383" s="536" t="s">
        <v>92</v>
      </c>
      <c r="BJ383" s="480">
        <f t="shared" ref="BJ383:BM390" si="201">BJ382+$BJ$378</f>
        <v>74</v>
      </c>
      <c r="BK383" s="480">
        <f t="shared" si="201"/>
        <v>90</v>
      </c>
      <c r="BL383" s="480">
        <f t="shared" si="201"/>
        <v>85</v>
      </c>
      <c r="BM383" s="480">
        <f t="shared" si="201"/>
        <v>101</v>
      </c>
      <c r="CU383" s="469" t="s">
        <v>5510</v>
      </c>
      <c r="HN383" s="20"/>
      <c r="HP383" s="472"/>
    </row>
    <row r="384" spans="58:224" x14ac:dyDescent="0.25">
      <c r="BF384" s="469" t="s">
        <v>5510</v>
      </c>
      <c r="BI384" s="536" t="s">
        <v>93</v>
      </c>
      <c r="BJ384" s="480">
        <f t="shared" si="201"/>
        <v>106</v>
      </c>
      <c r="BK384" s="480">
        <f t="shared" si="201"/>
        <v>122</v>
      </c>
      <c r="BL384" s="480">
        <f t="shared" si="201"/>
        <v>117</v>
      </c>
      <c r="BM384" s="480">
        <f t="shared" si="201"/>
        <v>133</v>
      </c>
      <c r="CU384" s="469" t="s">
        <v>5510</v>
      </c>
      <c r="HN384" s="20"/>
      <c r="HP384" s="472"/>
    </row>
    <row r="385" spans="58:224" x14ac:dyDescent="0.25">
      <c r="BF385" s="469" t="s">
        <v>5510</v>
      </c>
      <c r="BI385" s="536" t="s">
        <v>94</v>
      </c>
      <c r="BJ385" s="480">
        <f t="shared" si="201"/>
        <v>138</v>
      </c>
      <c r="BK385" s="480">
        <f t="shared" si="201"/>
        <v>154</v>
      </c>
      <c r="BL385" s="480">
        <f t="shared" si="201"/>
        <v>149</v>
      </c>
      <c r="BM385" s="480">
        <f t="shared" si="201"/>
        <v>165</v>
      </c>
      <c r="CU385" s="469" t="s">
        <v>5510</v>
      </c>
      <c r="HN385" s="20"/>
      <c r="HP385" s="472"/>
    </row>
    <row r="386" spans="58:224" x14ac:dyDescent="0.25">
      <c r="BF386" s="469" t="s">
        <v>5510</v>
      </c>
      <c r="BI386" s="536" t="s">
        <v>95</v>
      </c>
      <c r="BJ386" s="480">
        <f t="shared" si="201"/>
        <v>170</v>
      </c>
      <c r="BK386" s="480">
        <f t="shared" si="201"/>
        <v>186</v>
      </c>
      <c r="BL386" s="480">
        <f t="shared" si="201"/>
        <v>181</v>
      </c>
      <c r="BM386" s="480">
        <f t="shared" si="201"/>
        <v>197</v>
      </c>
      <c r="CU386" s="469" t="s">
        <v>5510</v>
      </c>
      <c r="HN386" s="20"/>
      <c r="HP386" s="472"/>
    </row>
    <row r="387" spans="58:224" x14ac:dyDescent="0.25">
      <c r="BF387" s="469" t="s">
        <v>5510</v>
      </c>
      <c r="BI387" s="536" t="s">
        <v>96</v>
      </c>
      <c r="BJ387" s="480">
        <f t="shared" si="201"/>
        <v>202</v>
      </c>
      <c r="BK387" s="480">
        <f t="shared" si="201"/>
        <v>218</v>
      </c>
      <c r="BL387" s="480">
        <f t="shared" si="201"/>
        <v>213</v>
      </c>
      <c r="BM387" s="480">
        <f t="shared" si="201"/>
        <v>229</v>
      </c>
      <c r="CU387" s="469" t="s">
        <v>5510</v>
      </c>
      <c r="HN387" s="20"/>
      <c r="HP387" s="472"/>
    </row>
    <row r="388" spans="58:224" x14ac:dyDescent="0.25">
      <c r="BF388" s="469" t="s">
        <v>5510</v>
      </c>
      <c r="BI388" s="536" t="s">
        <v>97</v>
      </c>
      <c r="BJ388" s="480">
        <f t="shared" si="201"/>
        <v>234</v>
      </c>
      <c r="BK388" s="480">
        <f t="shared" si="201"/>
        <v>250</v>
      </c>
      <c r="BL388" s="480">
        <f t="shared" si="201"/>
        <v>245</v>
      </c>
      <c r="BM388" s="480">
        <f t="shared" si="201"/>
        <v>261</v>
      </c>
      <c r="CU388" s="469" t="s">
        <v>5510</v>
      </c>
      <c r="HN388" s="20"/>
      <c r="HP388" s="472"/>
    </row>
    <row r="389" spans="58:224" x14ac:dyDescent="0.25">
      <c r="BF389" s="469" t="s">
        <v>5510</v>
      </c>
      <c r="BI389" s="536" t="s">
        <v>98</v>
      </c>
      <c r="BJ389" s="480">
        <f t="shared" si="201"/>
        <v>266</v>
      </c>
      <c r="BK389" s="480">
        <f t="shared" si="201"/>
        <v>282</v>
      </c>
      <c r="BL389" s="480">
        <f t="shared" si="201"/>
        <v>277</v>
      </c>
      <c r="BM389" s="480">
        <f t="shared" si="201"/>
        <v>293</v>
      </c>
      <c r="CU389" s="469" t="s">
        <v>5510</v>
      </c>
      <c r="HN389" s="20"/>
      <c r="HP389" s="472"/>
    </row>
    <row r="390" spans="58:224" x14ac:dyDescent="0.25">
      <c r="BF390" s="469" t="s">
        <v>5510</v>
      </c>
      <c r="BI390" s="536" t="s">
        <v>99</v>
      </c>
      <c r="BJ390" s="480">
        <f t="shared" si="201"/>
        <v>298</v>
      </c>
      <c r="BK390" s="480">
        <f t="shared" si="201"/>
        <v>314</v>
      </c>
      <c r="BL390" s="480">
        <f t="shared" si="201"/>
        <v>309</v>
      </c>
      <c r="BM390" s="480">
        <f t="shared" si="201"/>
        <v>325</v>
      </c>
      <c r="CU390" s="469" t="s">
        <v>5510</v>
      </c>
      <c r="HN390" s="20"/>
      <c r="HP390" s="472"/>
    </row>
    <row r="391" spans="58:224" x14ac:dyDescent="0.25">
      <c r="BF391" s="469" t="s">
        <v>5510</v>
      </c>
      <c r="CU391" s="469" t="s">
        <v>5510</v>
      </c>
      <c r="HN391" s="20"/>
      <c r="HP391" s="472"/>
    </row>
    <row r="392" spans="58:224" x14ac:dyDescent="0.25">
      <c r="BF392" s="469" t="s">
        <v>5510</v>
      </c>
      <c r="CU392" s="469" t="s">
        <v>5510</v>
      </c>
      <c r="HN392" s="20"/>
      <c r="HP392" s="472"/>
    </row>
    <row r="393" spans="58:224" x14ac:dyDescent="0.25">
      <c r="BF393" s="469" t="s">
        <v>5510</v>
      </c>
      <c r="CU393" s="469" t="s">
        <v>5510</v>
      </c>
      <c r="HN393" s="20"/>
      <c r="HP393" s="472"/>
    </row>
    <row r="394" spans="58:224" x14ac:dyDescent="0.25">
      <c r="BF394" s="469" t="s">
        <v>5510</v>
      </c>
      <c r="BJ394" s="676" t="s">
        <v>8100</v>
      </c>
      <c r="BK394" s="677"/>
      <c r="BL394" s="677"/>
      <c r="BM394" s="677"/>
      <c r="BN394" s="677"/>
      <c r="BO394" s="677"/>
      <c r="BP394" s="677"/>
      <c r="BQ394" s="677"/>
      <c r="BU394" s="678" t="s">
        <v>8102</v>
      </c>
      <c r="BV394" s="679"/>
      <c r="BW394" s="679"/>
      <c r="BX394" s="679"/>
      <c r="BY394" s="679"/>
      <c r="BZ394" s="679"/>
      <c r="CA394" s="679"/>
      <c r="CB394" s="679"/>
      <c r="CU394" s="469" t="s">
        <v>5510</v>
      </c>
      <c r="HN394" s="20"/>
      <c r="HP394" s="472"/>
    </row>
    <row r="395" spans="58:224" x14ac:dyDescent="0.25">
      <c r="BF395" s="469" t="s">
        <v>5510</v>
      </c>
      <c r="BJ395" s="480" t="s">
        <v>5982</v>
      </c>
      <c r="BK395" s="480" t="s">
        <v>5951</v>
      </c>
      <c r="BL395" s="480" t="s">
        <v>5734</v>
      </c>
      <c r="BM395" s="480" t="s">
        <v>5732</v>
      </c>
      <c r="BN395" s="480" t="s">
        <v>5983</v>
      </c>
      <c r="BO395" s="480" t="s">
        <v>5991</v>
      </c>
      <c r="BP395" s="480" t="s">
        <v>5984</v>
      </c>
      <c r="BQ395" s="480" t="s">
        <v>5985</v>
      </c>
      <c r="BT395" s="372"/>
      <c r="BU395" s="480" t="s">
        <v>5737</v>
      </c>
      <c r="BV395" s="480" t="s">
        <v>5739</v>
      </c>
      <c r="BW395" s="480" t="s">
        <v>5907</v>
      </c>
      <c r="BX395" s="480" t="s">
        <v>5531</v>
      </c>
      <c r="BY395" s="480" t="s">
        <v>5986</v>
      </c>
      <c r="BZ395" s="480" t="s">
        <v>5988</v>
      </c>
      <c r="CA395" s="480" t="s">
        <v>5987</v>
      </c>
      <c r="CB395" s="480" t="s">
        <v>5989</v>
      </c>
      <c r="CU395" s="469" t="s">
        <v>5510</v>
      </c>
      <c r="HN395" s="20"/>
      <c r="HP395" s="472"/>
    </row>
    <row r="396" spans="58:224" x14ac:dyDescent="0.25">
      <c r="BF396" s="469" t="s">
        <v>5510</v>
      </c>
      <c r="BJ396" s="605" t="s">
        <v>5713</v>
      </c>
      <c r="BK396" s="605"/>
      <c r="BL396" s="605"/>
      <c r="BM396" s="605"/>
      <c r="BN396" s="605" t="s">
        <v>5714</v>
      </c>
      <c r="BO396" s="605"/>
      <c r="BP396" s="605"/>
      <c r="BQ396" s="605"/>
      <c r="BT396" s="372"/>
      <c r="BU396" s="605" t="s">
        <v>5713</v>
      </c>
      <c r="BV396" s="605"/>
      <c r="BW396" s="605"/>
      <c r="BX396" s="605"/>
      <c r="BY396" s="605" t="s">
        <v>5714</v>
      </c>
      <c r="BZ396" s="605"/>
      <c r="CA396" s="605"/>
      <c r="CB396" s="605"/>
      <c r="CU396" s="469" t="s">
        <v>5510</v>
      </c>
      <c r="HN396" s="20"/>
      <c r="HP396" s="472"/>
    </row>
    <row r="397" spans="58:224" x14ac:dyDescent="0.25">
      <c r="BF397" s="469" t="s">
        <v>5510</v>
      </c>
      <c r="BJ397" s="536" t="s">
        <v>10</v>
      </c>
      <c r="BK397" s="536" t="s">
        <v>10</v>
      </c>
      <c r="BL397" s="536" t="s">
        <v>237</v>
      </c>
      <c r="BM397" s="536" t="s">
        <v>237</v>
      </c>
      <c r="BN397" s="536" t="s">
        <v>10</v>
      </c>
      <c r="BO397" s="536" t="s">
        <v>10</v>
      </c>
      <c r="BP397" s="536" t="s">
        <v>237</v>
      </c>
      <c r="BQ397" s="536" t="s">
        <v>237</v>
      </c>
      <c r="BT397" s="372"/>
      <c r="BU397" s="536" t="s">
        <v>10</v>
      </c>
      <c r="BV397" s="536" t="s">
        <v>10</v>
      </c>
      <c r="BW397" s="536" t="s">
        <v>237</v>
      </c>
      <c r="BX397" s="536" t="s">
        <v>237</v>
      </c>
      <c r="BY397" s="536" t="s">
        <v>10</v>
      </c>
      <c r="BZ397" s="536" t="s">
        <v>10</v>
      </c>
      <c r="CA397" s="536" t="s">
        <v>237</v>
      </c>
      <c r="CB397" s="536" t="s">
        <v>237</v>
      </c>
      <c r="CU397" s="469" t="s">
        <v>5510</v>
      </c>
      <c r="HN397" s="20"/>
      <c r="HP397" s="472"/>
    </row>
    <row r="398" spans="58:224" x14ac:dyDescent="0.25">
      <c r="BF398" s="469" t="s">
        <v>5510</v>
      </c>
      <c r="BJ398" s="536" t="s">
        <v>109</v>
      </c>
      <c r="BK398" s="536" t="s">
        <v>110</v>
      </c>
      <c r="BL398" s="536" t="s">
        <v>109</v>
      </c>
      <c r="BM398" s="536" t="s">
        <v>110</v>
      </c>
      <c r="BN398" s="536" t="s">
        <v>109</v>
      </c>
      <c r="BO398" s="536" t="s">
        <v>110</v>
      </c>
      <c r="BP398" s="536" t="s">
        <v>109</v>
      </c>
      <c r="BQ398" s="536" t="s">
        <v>110</v>
      </c>
      <c r="BT398" s="372"/>
      <c r="BU398" s="536" t="s">
        <v>109</v>
      </c>
      <c r="BV398" s="536" t="s">
        <v>110</v>
      </c>
      <c r="BW398" s="536" t="s">
        <v>109</v>
      </c>
      <c r="BX398" s="536" t="s">
        <v>110</v>
      </c>
      <c r="BY398" s="536" t="s">
        <v>109</v>
      </c>
      <c r="BZ398" s="536" t="s">
        <v>110</v>
      </c>
      <c r="CA398" s="536" t="s">
        <v>109</v>
      </c>
      <c r="CB398" s="536" t="s">
        <v>110</v>
      </c>
      <c r="CU398" s="469" t="s">
        <v>5510</v>
      </c>
      <c r="HN398" s="20"/>
      <c r="HP398" s="472"/>
    </row>
    <row r="399" spans="58:224" x14ac:dyDescent="0.25">
      <c r="BF399" s="469" t="s">
        <v>5510</v>
      </c>
      <c r="BH399" s="480">
        <v>37</v>
      </c>
      <c r="BI399" s="536" t="s">
        <v>90</v>
      </c>
      <c r="BJ399" s="680" t="str" cm="1">
        <f t="array" aca="1" ref="BJ399" ca="1">IF(INDIRECT($BI$2&amp;BJ$395&amp;$BH399)="","",INDIRECT($BI$2&amp;BJ$395&amp;$BH399))</f>
        <v/>
      </c>
      <c r="BK399" s="680" t="str" cm="1">
        <f t="array" aca="1" ref="BK399" ca="1">IF(INDIRECT($BI$2&amp;BK$395&amp;$BH399)="","",INDIRECT($BI$2&amp;BK$395&amp;$BH399))</f>
        <v/>
      </c>
      <c r="BL399" s="681" t="str" cm="1">
        <f t="array" aca="1" ref="BL399" ca="1">IF(INDIRECT($BI$2&amp;BL$395&amp;$BH399)="","",INDIRECT($BI$2&amp;BL$395&amp;$BH399))</f>
        <v/>
      </c>
      <c r="BM399" s="681" t="str" cm="1">
        <f t="array" aca="1" ref="BM399" ca="1">IF(INDIRECT($BI$2&amp;BM$395&amp;$BH399)="","",INDIRECT($BI$2&amp;BM$395&amp;$BH399))</f>
        <v/>
      </c>
      <c r="BN399" s="682" t="str" cm="1">
        <f t="array" aca="1" ref="BN399" ca="1">IF(INDIRECT($BI$2&amp;BN$395&amp;$BH399)="","",INDIRECT($BI$2&amp;BN$395&amp;$BH399))</f>
        <v/>
      </c>
      <c r="BO399" s="682" t="str" cm="1">
        <f t="array" aca="1" ref="BO399" ca="1">IF(INDIRECT($BI$2&amp;BO$395&amp;$BH399)="","",INDIRECT($BI$2&amp;BO$395&amp;$BH399))</f>
        <v/>
      </c>
      <c r="BP399" s="624" t="str" cm="1">
        <f t="array" aca="1" ref="BP399" ca="1">IF(INDIRECT($BI$2&amp;BP$395&amp;$BH399)="","",INDIRECT($BI$2&amp;BP$395&amp;$BH399))</f>
        <v/>
      </c>
      <c r="BQ399" s="624" t="str" cm="1">
        <f t="array" aca="1" ref="BQ399" ca="1">IF(INDIRECT($BI$2&amp;BQ$395&amp;$BH399)="","",INDIRECT($BI$2&amp;BQ$395&amp;$BH399))</f>
        <v/>
      </c>
      <c r="BT399" s="536" t="s">
        <v>90</v>
      </c>
      <c r="BU399" s="683" t="str" cm="1">
        <f t="array" aca="1" ref="BU399" ca="1">IF(INDIRECT($BI$2&amp;BU$395&amp;$BH399)="","",INDIRECT($BI$2&amp;BU$395&amp;$BH399))</f>
        <v/>
      </c>
      <c r="BV399" s="683" t="str" cm="1">
        <f t="array" aca="1" ref="BV399" ca="1">IF(INDIRECT($BI$2&amp;BV$395&amp;$BH399)="","",INDIRECT($BI$2&amp;BV$395&amp;$BH399))</f>
        <v/>
      </c>
      <c r="BW399" s="684" t="str" cm="1">
        <f t="array" aca="1" ref="BW399" ca="1">IF(INDIRECT($BI$2&amp;BW$395&amp;$BH399)="","",INDIRECT($BI$2&amp;BW$395&amp;$BH399))</f>
        <v/>
      </c>
      <c r="BX399" s="684" t="str" cm="1">
        <f t="array" aca="1" ref="BX399" ca="1">IF(INDIRECT($BI$2&amp;BX$395&amp;$BH399)="","",INDIRECT($BI$2&amp;BX$395&amp;$BH399))</f>
        <v/>
      </c>
      <c r="BY399" s="685" t="str" cm="1">
        <f t="array" aca="1" ref="BY399" ca="1">IF(INDIRECT($BI$2&amp;BY$395&amp;$BH399)="","",INDIRECT($BI$2&amp;BY$395&amp;$BH399))</f>
        <v/>
      </c>
      <c r="BZ399" s="685" t="str" cm="1">
        <f t="array" aca="1" ref="BZ399" ca="1">IF(INDIRECT($BI$2&amp;BZ$395&amp;$BH399)="","",INDIRECT($BI$2&amp;BZ$395&amp;$BH399))</f>
        <v/>
      </c>
      <c r="CA399" s="686" t="str" cm="1">
        <f t="array" aca="1" ref="CA399" ca="1">IF(INDIRECT($BI$2&amp;CA$395&amp;$BH399)="","",INDIRECT($BI$2&amp;CA$395&amp;$BH399))</f>
        <v/>
      </c>
      <c r="CB399" s="686" t="str" cm="1">
        <f t="array" aca="1" ref="CB399" ca="1">IF(INDIRECT($BI$2&amp;CB$395&amp;$BH399)="","",INDIRECT($BI$2&amp;CB$395&amp;$BH399))</f>
        <v/>
      </c>
      <c r="CU399" s="469" t="s">
        <v>5510</v>
      </c>
      <c r="HN399" s="20"/>
      <c r="HP399" s="472"/>
    </row>
    <row r="400" spans="58:224" x14ac:dyDescent="0.25">
      <c r="BF400" s="469" t="s">
        <v>5510</v>
      </c>
      <c r="BH400" s="480">
        <v>38</v>
      </c>
      <c r="BI400" s="536" t="s">
        <v>91</v>
      </c>
      <c r="BJ400" s="680" t="str" cm="1">
        <f t="array" aca="1" ref="BJ400" ca="1">IF(INDIRECT($BI$2&amp;BJ$395&amp;$BH400)="","",INDIRECT($BI$2&amp;BJ$395&amp;$BH400))</f>
        <v/>
      </c>
      <c r="BK400" s="680" t="str" cm="1">
        <f t="array" aca="1" ref="BK400" ca="1">IF(INDIRECT($BI$2&amp;BK$395&amp;$BH400)="","",INDIRECT($BI$2&amp;BK$395&amp;$BH400))</f>
        <v/>
      </c>
      <c r="BL400" s="681" t="str" cm="1">
        <f t="array" aca="1" ref="BL400" ca="1">IF(INDIRECT($BI$2&amp;BL$395&amp;$BH400)="","",INDIRECT($BI$2&amp;BL$395&amp;$BH400))</f>
        <v/>
      </c>
      <c r="BM400" s="681" t="str" cm="1">
        <f t="array" aca="1" ref="BM400" ca="1">IF(INDIRECT($BI$2&amp;BM$395&amp;$BH400)="","",INDIRECT($BI$2&amp;BM$395&amp;$BH400))</f>
        <v/>
      </c>
      <c r="BN400" s="682" t="str" cm="1">
        <f t="array" aca="1" ref="BN400" ca="1">IF(INDIRECT($BI$2&amp;BN$395&amp;$BH400)="","",INDIRECT($BI$2&amp;BN$395&amp;$BH400))</f>
        <v/>
      </c>
      <c r="BO400" s="682" t="str" cm="1">
        <f t="array" aca="1" ref="BO400" ca="1">IF(INDIRECT($BI$2&amp;BO$395&amp;$BH400)="","",INDIRECT($BI$2&amp;BO$395&amp;$BH400))</f>
        <v/>
      </c>
      <c r="BP400" s="624" t="str" cm="1">
        <f t="array" aca="1" ref="BP400" ca="1">IF(INDIRECT($BI$2&amp;BP$395&amp;$BH400)="","",INDIRECT($BI$2&amp;BP$395&amp;$BH400))</f>
        <v/>
      </c>
      <c r="BQ400" s="624" t="str" cm="1">
        <f t="array" aca="1" ref="BQ400" ca="1">IF(INDIRECT($BI$2&amp;BQ$395&amp;$BH400)="","",INDIRECT($BI$2&amp;BQ$395&amp;$BH400))</f>
        <v/>
      </c>
      <c r="BT400" s="536" t="s">
        <v>91</v>
      </c>
      <c r="BU400" s="683" t="str" cm="1">
        <f t="array" aca="1" ref="BU400" ca="1">IF(INDIRECT($BI$2&amp;BU$395&amp;$BH400)="","",INDIRECT($BI$2&amp;BU$395&amp;$BH400))</f>
        <v/>
      </c>
      <c r="BV400" s="683" t="str" cm="1">
        <f t="array" aca="1" ref="BV400" ca="1">IF(INDIRECT($BI$2&amp;BV$395&amp;$BH400)="","",INDIRECT($BI$2&amp;BV$395&amp;$BH400))</f>
        <v/>
      </c>
      <c r="BW400" s="684" t="str" cm="1">
        <f t="array" aca="1" ref="BW400" ca="1">IF(INDIRECT($BI$2&amp;BW$395&amp;$BH400)="","",INDIRECT($BI$2&amp;BW$395&amp;$BH400))</f>
        <v/>
      </c>
      <c r="BX400" s="684" t="str" cm="1">
        <f t="array" aca="1" ref="BX400" ca="1">IF(INDIRECT($BI$2&amp;BX$395&amp;$BH400)="","",INDIRECT($BI$2&amp;BX$395&amp;$BH400))</f>
        <v/>
      </c>
      <c r="BY400" s="685" t="str" cm="1">
        <f t="array" aca="1" ref="BY400" ca="1">IF(INDIRECT($BI$2&amp;BY$395&amp;$BH400)="","",INDIRECT($BI$2&amp;BY$395&amp;$BH400))</f>
        <v/>
      </c>
      <c r="BZ400" s="685" t="str" cm="1">
        <f t="array" aca="1" ref="BZ400" ca="1">IF(INDIRECT($BI$2&amp;BZ$395&amp;$BH400)="","",INDIRECT($BI$2&amp;BZ$395&amp;$BH400))</f>
        <v/>
      </c>
      <c r="CA400" s="686" t="str" cm="1">
        <f t="array" aca="1" ref="CA400" ca="1">IF(INDIRECT($BI$2&amp;CA$395&amp;$BH400)="","",INDIRECT($BI$2&amp;CA$395&amp;$BH400))</f>
        <v/>
      </c>
      <c r="CB400" s="686" t="str" cm="1">
        <f t="array" aca="1" ref="CB400" ca="1">IF(INDIRECT($BI$2&amp;CB$395&amp;$BH400)="","",INDIRECT($BI$2&amp;CB$395&amp;$BH400))</f>
        <v/>
      </c>
      <c r="CU400" s="469" t="s">
        <v>5510</v>
      </c>
      <c r="HN400" s="20"/>
      <c r="HP400" s="472"/>
    </row>
    <row r="401" spans="58:224" x14ac:dyDescent="0.25">
      <c r="BF401" s="469" t="s">
        <v>5510</v>
      </c>
      <c r="BH401" s="480">
        <v>39</v>
      </c>
      <c r="BI401" s="536" t="s">
        <v>92</v>
      </c>
      <c r="BJ401" s="680" t="str" cm="1">
        <f t="array" aca="1" ref="BJ401" ca="1">IF(INDIRECT($BI$2&amp;BJ$395&amp;$BH401)="","",INDIRECT($BI$2&amp;BJ$395&amp;$BH401))</f>
        <v/>
      </c>
      <c r="BK401" s="680" t="str" cm="1">
        <f t="array" aca="1" ref="BK401" ca="1">IF(INDIRECT($BI$2&amp;BK$395&amp;$BH401)="","",INDIRECT($BI$2&amp;BK$395&amp;$BH401))</f>
        <v/>
      </c>
      <c r="BL401" s="681" t="str" cm="1">
        <f t="array" aca="1" ref="BL401" ca="1">IF(INDIRECT($BI$2&amp;BL$395&amp;$BH401)="","",INDIRECT($BI$2&amp;BL$395&amp;$BH401))</f>
        <v/>
      </c>
      <c r="BM401" s="681" t="str" cm="1">
        <f t="array" aca="1" ref="BM401" ca="1">IF(INDIRECT($BI$2&amp;BM$395&amp;$BH401)="","",INDIRECT($BI$2&amp;BM$395&amp;$BH401))</f>
        <v/>
      </c>
      <c r="BN401" s="682" t="str" cm="1">
        <f t="array" aca="1" ref="BN401" ca="1">IF(INDIRECT($BI$2&amp;BN$395&amp;$BH401)="","",INDIRECT($BI$2&amp;BN$395&amp;$BH401))</f>
        <v/>
      </c>
      <c r="BO401" s="682" t="str" cm="1">
        <f t="array" aca="1" ref="BO401" ca="1">IF(INDIRECT($BI$2&amp;BO$395&amp;$BH401)="","",INDIRECT($BI$2&amp;BO$395&amp;$BH401))</f>
        <v/>
      </c>
      <c r="BP401" s="624" t="str" cm="1">
        <f t="array" aca="1" ref="BP401" ca="1">IF(INDIRECT($BI$2&amp;BP$395&amp;$BH401)="","",INDIRECT($BI$2&amp;BP$395&amp;$BH401))</f>
        <v/>
      </c>
      <c r="BQ401" s="624" t="str" cm="1">
        <f t="array" aca="1" ref="BQ401" ca="1">IF(INDIRECT($BI$2&amp;BQ$395&amp;$BH401)="","",INDIRECT($BI$2&amp;BQ$395&amp;$BH401))</f>
        <v/>
      </c>
      <c r="BT401" s="536" t="s">
        <v>92</v>
      </c>
      <c r="BU401" s="683" t="str" cm="1">
        <f t="array" aca="1" ref="BU401" ca="1">IF(INDIRECT($BI$2&amp;BU$395&amp;$BH401)="","",INDIRECT($BI$2&amp;BU$395&amp;$BH401))</f>
        <v/>
      </c>
      <c r="BV401" s="683" t="str" cm="1">
        <f t="array" aca="1" ref="BV401" ca="1">IF(INDIRECT($BI$2&amp;BV$395&amp;$BH401)="","",INDIRECT($BI$2&amp;BV$395&amp;$BH401))</f>
        <v/>
      </c>
      <c r="BW401" s="684" t="str" cm="1">
        <f t="array" aca="1" ref="BW401" ca="1">IF(INDIRECT($BI$2&amp;BW$395&amp;$BH401)="","",INDIRECT($BI$2&amp;BW$395&amp;$BH401))</f>
        <v/>
      </c>
      <c r="BX401" s="684" t="str" cm="1">
        <f t="array" aca="1" ref="BX401" ca="1">IF(INDIRECT($BI$2&amp;BX$395&amp;$BH401)="","",INDIRECT($BI$2&amp;BX$395&amp;$BH401))</f>
        <v/>
      </c>
      <c r="BY401" s="685" t="str" cm="1">
        <f t="array" aca="1" ref="BY401" ca="1">IF(INDIRECT($BI$2&amp;BY$395&amp;$BH401)="","",INDIRECT($BI$2&amp;BY$395&amp;$BH401))</f>
        <v/>
      </c>
      <c r="BZ401" s="685" t="str" cm="1">
        <f t="array" aca="1" ref="BZ401" ca="1">IF(INDIRECT($BI$2&amp;BZ$395&amp;$BH401)="","",INDIRECT($BI$2&amp;BZ$395&amp;$BH401))</f>
        <v/>
      </c>
      <c r="CA401" s="686" t="str" cm="1">
        <f t="array" aca="1" ref="CA401" ca="1">IF(INDIRECT($BI$2&amp;CA$395&amp;$BH401)="","",INDIRECT($BI$2&amp;CA$395&amp;$BH401))</f>
        <v/>
      </c>
      <c r="CB401" s="686" t="str" cm="1">
        <f t="array" aca="1" ref="CB401" ca="1">IF(INDIRECT($BI$2&amp;CB$395&amp;$BH401)="","",INDIRECT($BI$2&amp;CB$395&amp;$BH401))</f>
        <v/>
      </c>
      <c r="CU401" s="469" t="s">
        <v>5510</v>
      </c>
      <c r="HN401" s="20"/>
      <c r="HP401" s="472"/>
    </row>
    <row r="402" spans="58:224" x14ac:dyDescent="0.25">
      <c r="BF402" s="469" t="s">
        <v>5510</v>
      </c>
      <c r="BH402" s="480">
        <v>40</v>
      </c>
      <c r="BI402" s="536" t="s">
        <v>93</v>
      </c>
      <c r="BJ402" s="680" t="str" cm="1">
        <f t="array" aca="1" ref="BJ402" ca="1">IF(INDIRECT($BI$2&amp;BJ$395&amp;$BH402)="","",INDIRECT($BI$2&amp;BJ$395&amp;$BH402))</f>
        <v/>
      </c>
      <c r="BK402" s="680" t="str" cm="1">
        <f t="array" aca="1" ref="BK402" ca="1">IF(INDIRECT($BI$2&amp;BK$395&amp;$BH402)="","",INDIRECT($BI$2&amp;BK$395&amp;$BH402))</f>
        <v/>
      </c>
      <c r="BL402" s="681" t="str" cm="1">
        <f t="array" aca="1" ref="BL402" ca="1">IF(INDIRECT($BI$2&amp;BL$395&amp;$BH402)="","",INDIRECT($BI$2&amp;BL$395&amp;$BH402))</f>
        <v/>
      </c>
      <c r="BM402" s="681" t="str" cm="1">
        <f t="array" aca="1" ref="BM402" ca="1">IF(INDIRECT($BI$2&amp;BM$395&amp;$BH402)="","",INDIRECT($BI$2&amp;BM$395&amp;$BH402))</f>
        <v/>
      </c>
      <c r="BN402" s="682" t="str" cm="1">
        <f t="array" aca="1" ref="BN402" ca="1">IF(INDIRECT($BI$2&amp;BN$395&amp;$BH402)="","",INDIRECT($BI$2&amp;BN$395&amp;$BH402))</f>
        <v/>
      </c>
      <c r="BO402" s="682" t="str" cm="1">
        <f t="array" aca="1" ref="BO402" ca="1">IF(INDIRECT($BI$2&amp;BO$395&amp;$BH402)="","",INDIRECT($BI$2&amp;BO$395&amp;$BH402))</f>
        <v/>
      </c>
      <c r="BP402" s="624" t="str" cm="1">
        <f t="array" aca="1" ref="BP402" ca="1">IF(INDIRECT($BI$2&amp;BP$395&amp;$BH402)="","",INDIRECT($BI$2&amp;BP$395&amp;$BH402))</f>
        <v/>
      </c>
      <c r="BQ402" s="624" t="str" cm="1">
        <f t="array" aca="1" ref="BQ402" ca="1">IF(INDIRECT($BI$2&amp;BQ$395&amp;$BH402)="","",INDIRECT($BI$2&amp;BQ$395&amp;$BH402))</f>
        <v/>
      </c>
      <c r="BT402" s="536" t="s">
        <v>93</v>
      </c>
      <c r="BU402" s="683" t="str" cm="1">
        <f t="array" aca="1" ref="BU402" ca="1">IF(INDIRECT($BI$2&amp;BU$395&amp;$BH402)="","",INDIRECT($BI$2&amp;BU$395&amp;$BH402))</f>
        <v/>
      </c>
      <c r="BV402" s="683" t="str" cm="1">
        <f t="array" aca="1" ref="BV402" ca="1">IF(INDIRECT($BI$2&amp;BV$395&amp;$BH402)="","",INDIRECT($BI$2&amp;BV$395&amp;$BH402))</f>
        <v/>
      </c>
      <c r="BW402" s="684" t="str" cm="1">
        <f t="array" aca="1" ref="BW402" ca="1">IF(INDIRECT($BI$2&amp;BW$395&amp;$BH402)="","",INDIRECT($BI$2&amp;BW$395&amp;$BH402))</f>
        <v/>
      </c>
      <c r="BX402" s="684" t="str" cm="1">
        <f t="array" aca="1" ref="BX402" ca="1">IF(INDIRECT($BI$2&amp;BX$395&amp;$BH402)="","",INDIRECT($BI$2&amp;BX$395&amp;$BH402))</f>
        <v/>
      </c>
      <c r="BY402" s="685" t="str" cm="1">
        <f t="array" aca="1" ref="BY402" ca="1">IF(INDIRECT($BI$2&amp;BY$395&amp;$BH402)="","",INDIRECT($BI$2&amp;BY$395&amp;$BH402))</f>
        <v/>
      </c>
      <c r="BZ402" s="685" t="str" cm="1">
        <f t="array" aca="1" ref="BZ402" ca="1">IF(INDIRECT($BI$2&amp;BZ$395&amp;$BH402)="","",INDIRECT($BI$2&amp;BZ$395&amp;$BH402))</f>
        <v/>
      </c>
      <c r="CA402" s="686" t="str" cm="1">
        <f t="array" aca="1" ref="CA402" ca="1">IF(INDIRECT($BI$2&amp;CA$395&amp;$BH402)="","",INDIRECT($BI$2&amp;CA$395&amp;$BH402))</f>
        <v/>
      </c>
      <c r="CB402" s="686" t="str" cm="1">
        <f t="array" aca="1" ref="CB402" ca="1">IF(INDIRECT($BI$2&amp;CB$395&amp;$BH402)="","",INDIRECT($BI$2&amp;CB$395&amp;$BH402))</f>
        <v/>
      </c>
      <c r="CU402" s="469" t="s">
        <v>5510</v>
      </c>
      <c r="HN402" s="20"/>
      <c r="HP402" s="472"/>
    </row>
    <row r="403" spans="58:224" x14ac:dyDescent="0.25">
      <c r="BF403" s="469" t="s">
        <v>5510</v>
      </c>
      <c r="BH403" s="480">
        <v>41</v>
      </c>
      <c r="BI403" s="536" t="s">
        <v>94</v>
      </c>
      <c r="BJ403" s="680" t="str" cm="1">
        <f t="array" aca="1" ref="BJ403" ca="1">IF(INDIRECT($BI$2&amp;BJ$395&amp;$BH403)="","",INDIRECT($BI$2&amp;BJ$395&amp;$BH403))</f>
        <v/>
      </c>
      <c r="BK403" s="680" t="str" cm="1">
        <f t="array" aca="1" ref="BK403" ca="1">IF(INDIRECT($BI$2&amp;BK$395&amp;$BH403)="","",INDIRECT($BI$2&amp;BK$395&amp;$BH403))</f>
        <v/>
      </c>
      <c r="BL403" s="681" t="str" cm="1">
        <f t="array" aca="1" ref="BL403" ca="1">IF(INDIRECT($BI$2&amp;BL$395&amp;$BH403)="","",INDIRECT($BI$2&amp;BL$395&amp;$BH403))</f>
        <v/>
      </c>
      <c r="BM403" s="681" t="str" cm="1">
        <f t="array" aca="1" ref="BM403" ca="1">IF(INDIRECT($BI$2&amp;BM$395&amp;$BH403)="","",INDIRECT($BI$2&amp;BM$395&amp;$BH403))</f>
        <v/>
      </c>
      <c r="BN403" s="682" t="str" cm="1">
        <f t="array" aca="1" ref="BN403" ca="1">IF(INDIRECT($BI$2&amp;BN$395&amp;$BH403)="","",INDIRECT($BI$2&amp;BN$395&amp;$BH403))</f>
        <v/>
      </c>
      <c r="BO403" s="682" t="str" cm="1">
        <f t="array" aca="1" ref="BO403" ca="1">IF(INDIRECT($BI$2&amp;BO$395&amp;$BH403)="","",INDIRECT($BI$2&amp;BO$395&amp;$BH403))</f>
        <v/>
      </c>
      <c r="BP403" s="624" t="str" cm="1">
        <f t="array" aca="1" ref="BP403" ca="1">IF(INDIRECT($BI$2&amp;BP$395&amp;$BH403)="","",INDIRECT($BI$2&amp;BP$395&amp;$BH403))</f>
        <v/>
      </c>
      <c r="BQ403" s="624" t="str" cm="1">
        <f t="array" aca="1" ref="BQ403" ca="1">IF(INDIRECT($BI$2&amp;BQ$395&amp;$BH403)="","",INDIRECT($BI$2&amp;BQ$395&amp;$BH403))</f>
        <v/>
      </c>
      <c r="BT403" s="536" t="s">
        <v>94</v>
      </c>
      <c r="BU403" s="683" t="str" cm="1">
        <f t="array" aca="1" ref="BU403" ca="1">IF(INDIRECT($BI$2&amp;BU$395&amp;$BH403)="","",INDIRECT($BI$2&amp;BU$395&amp;$BH403))</f>
        <v/>
      </c>
      <c r="BV403" s="683" t="str" cm="1">
        <f t="array" aca="1" ref="BV403" ca="1">IF(INDIRECT($BI$2&amp;BV$395&amp;$BH403)="","",INDIRECT($BI$2&amp;BV$395&amp;$BH403))</f>
        <v/>
      </c>
      <c r="BW403" s="684" t="str" cm="1">
        <f t="array" aca="1" ref="BW403" ca="1">IF(INDIRECT($BI$2&amp;BW$395&amp;$BH403)="","",INDIRECT($BI$2&amp;BW$395&amp;$BH403))</f>
        <v/>
      </c>
      <c r="BX403" s="684" t="str" cm="1">
        <f t="array" aca="1" ref="BX403" ca="1">IF(INDIRECT($BI$2&amp;BX$395&amp;$BH403)="","",INDIRECT($BI$2&amp;BX$395&amp;$BH403))</f>
        <v/>
      </c>
      <c r="BY403" s="685" t="str" cm="1">
        <f t="array" aca="1" ref="BY403" ca="1">IF(INDIRECT($BI$2&amp;BY$395&amp;$BH403)="","",INDIRECT($BI$2&amp;BY$395&amp;$BH403))</f>
        <v/>
      </c>
      <c r="BZ403" s="685" t="str" cm="1">
        <f t="array" aca="1" ref="BZ403" ca="1">IF(INDIRECT($BI$2&amp;BZ$395&amp;$BH403)="","",INDIRECT($BI$2&amp;BZ$395&amp;$BH403))</f>
        <v/>
      </c>
      <c r="CA403" s="686" t="str" cm="1">
        <f t="array" aca="1" ref="CA403" ca="1">IF(INDIRECT($BI$2&amp;CA$395&amp;$BH403)="","",INDIRECT($BI$2&amp;CA$395&amp;$BH403))</f>
        <v/>
      </c>
      <c r="CB403" s="686" t="str" cm="1">
        <f t="array" aca="1" ref="CB403" ca="1">IF(INDIRECT($BI$2&amp;CB$395&amp;$BH403)="","",INDIRECT($BI$2&amp;CB$395&amp;$BH403))</f>
        <v/>
      </c>
      <c r="CU403" s="469" t="s">
        <v>5510</v>
      </c>
      <c r="HN403" s="20"/>
      <c r="HP403" s="472"/>
    </row>
    <row r="404" spans="58:224" x14ac:dyDescent="0.25">
      <c r="BF404" s="469" t="s">
        <v>5510</v>
      </c>
      <c r="BH404" s="480">
        <v>42</v>
      </c>
      <c r="BI404" s="536" t="s">
        <v>95</v>
      </c>
      <c r="BJ404" s="680" t="str" cm="1">
        <f t="array" aca="1" ref="BJ404" ca="1">IF(INDIRECT($BI$2&amp;BJ$395&amp;$BH404)="","",INDIRECT($BI$2&amp;BJ$395&amp;$BH404))</f>
        <v/>
      </c>
      <c r="BK404" s="680" t="str" cm="1">
        <f t="array" aca="1" ref="BK404" ca="1">IF(INDIRECT($BI$2&amp;BK$395&amp;$BH404)="","",INDIRECT($BI$2&amp;BK$395&amp;$BH404))</f>
        <v/>
      </c>
      <c r="BL404" s="681" t="str" cm="1">
        <f t="array" aca="1" ref="BL404" ca="1">IF(INDIRECT($BI$2&amp;BL$395&amp;$BH404)="","",INDIRECT($BI$2&amp;BL$395&amp;$BH404))</f>
        <v/>
      </c>
      <c r="BM404" s="681" t="str" cm="1">
        <f t="array" aca="1" ref="BM404" ca="1">IF(INDIRECT($BI$2&amp;BM$395&amp;$BH404)="","",INDIRECT($BI$2&amp;BM$395&amp;$BH404))</f>
        <v/>
      </c>
      <c r="BN404" s="682" t="str" cm="1">
        <f t="array" aca="1" ref="BN404" ca="1">IF(INDIRECT($BI$2&amp;BN$395&amp;$BH404)="","",INDIRECT($BI$2&amp;BN$395&amp;$BH404))</f>
        <v/>
      </c>
      <c r="BO404" s="682" t="str" cm="1">
        <f t="array" aca="1" ref="BO404" ca="1">IF(INDIRECT($BI$2&amp;BO$395&amp;$BH404)="","",INDIRECT($BI$2&amp;BO$395&amp;$BH404))</f>
        <v/>
      </c>
      <c r="BP404" s="624" t="str" cm="1">
        <f t="array" aca="1" ref="BP404" ca="1">IF(INDIRECT($BI$2&amp;BP$395&amp;$BH404)="","",INDIRECT($BI$2&amp;BP$395&amp;$BH404))</f>
        <v/>
      </c>
      <c r="BQ404" s="624" t="str" cm="1">
        <f t="array" aca="1" ref="BQ404" ca="1">IF(INDIRECT($BI$2&amp;BQ$395&amp;$BH404)="","",INDIRECT($BI$2&amp;BQ$395&amp;$BH404))</f>
        <v/>
      </c>
      <c r="BT404" s="536" t="s">
        <v>95</v>
      </c>
      <c r="BU404" s="683" t="str" cm="1">
        <f t="array" aca="1" ref="BU404" ca="1">IF(INDIRECT($BI$2&amp;BU$395&amp;$BH404)="","",INDIRECT($BI$2&amp;BU$395&amp;$BH404))</f>
        <v/>
      </c>
      <c r="BV404" s="683" t="str" cm="1">
        <f t="array" aca="1" ref="BV404" ca="1">IF(INDIRECT($BI$2&amp;BV$395&amp;$BH404)="","",INDIRECT($BI$2&amp;BV$395&amp;$BH404))</f>
        <v/>
      </c>
      <c r="BW404" s="684" t="str" cm="1">
        <f t="array" aca="1" ref="BW404" ca="1">IF(INDIRECT($BI$2&amp;BW$395&amp;$BH404)="","",INDIRECT($BI$2&amp;BW$395&amp;$BH404))</f>
        <v/>
      </c>
      <c r="BX404" s="684" t="str" cm="1">
        <f t="array" aca="1" ref="BX404" ca="1">IF(INDIRECT($BI$2&amp;BX$395&amp;$BH404)="","",INDIRECT($BI$2&amp;BX$395&amp;$BH404))</f>
        <v/>
      </c>
      <c r="BY404" s="685" t="str" cm="1">
        <f t="array" aca="1" ref="BY404" ca="1">IF(INDIRECT($BI$2&amp;BY$395&amp;$BH404)="","",INDIRECT($BI$2&amp;BY$395&amp;$BH404))</f>
        <v/>
      </c>
      <c r="BZ404" s="685" t="str" cm="1">
        <f t="array" aca="1" ref="BZ404" ca="1">IF(INDIRECT($BI$2&amp;BZ$395&amp;$BH404)="","",INDIRECT($BI$2&amp;BZ$395&amp;$BH404))</f>
        <v/>
      </c>
      <c r="CA404" s="686" t="str" cm="1">
        <f t="array" aca="1" ref="CA404" ca="1">IF(INDIRECT($BI$2&amp;CA$395&amp;$BH404)="","",INDIRECT($BI$2&amp;CA$395&amp;$BH404))</f>
        <v/>
      </c>
      <c r="CB404" s="686" t="str" cm="1">
        <f t="array" aca="1" ref="CB404" ca="1">IF(INDIRECT($BI$2&amp;CB$395&amp;$BH404)="","",INDIRECT($BI$2&amp;CB$395&amp;$BH404))</f>
        <v/>
      </c>
      <c r="CU404" s="469" t="s">
        <v>5510</v>
      </c>
      <c r="HN404" s="20"/>
      <c r="HP404" s="472"/>
    </row>
    <row r="405" spans="58:224" x14ac:dyDescent="0.25">
      <c r="BF405" s="469" t="s">
        <v>5510</v>
      </c>
      <c r="BH405" s="480">
        <v>43</v>
      </c>
      <c r="BI405" s="536" t="s">
        <v>96</v>
      </c>
      <c r="BJ405" s="680" t="str" cm="1">
        <f t="array" aca="1" ref="BJ405" ca="1">IF(INDIRECT($BI$2&amp;BJ$395&amp;$BH405)="","",INDIRECT($BI$2&amp;BJ$395&amp;$BH405))</f>
        <v/>
      </c>
      <c r="BK405" s="680" t="str" cm="1">
        <f t="array" aca="1" ref="BK405" ca="1">IF(INDIRECT($BI$2&amp;BK$395&amp;$BH405)="","",INDIRECT($BI$2&amp;BK$395&amp;$BH405))</f>
        <v/>
      </c>
      <c r="BL405" s="681" t="str" cm="1">
        <f t="array" aca="1" ref="BL405" ca="1">IF(INDIRECT($BI$2&amp;BL$395&amp;$BH405)="","",INDIRECT($BI$2&amp;BL$395&amp;$BH405))</f>
        <v/>
      </c>
      <c r="BM405" s="681" t="str" cm="1">
        <f t="array" aca="1" ref="BM405" ca="1">IF(INDIRECT($BI$2&amp;BM$395&amp;$BH405)="","",INDIRECT($BI$2&amp;BM$395&amp;$BH405))</f>
        <v/>
      </c>
      <c r="BN405" s="682" t="str" cm="1">
        <f t="array" aca="1" ref="BN405" ca="1">IF(INDIRECT($BI$2&amp;BN$395&amp;$BH405)="","",INDIRECT($BI$2&amp;BN$395&amp;$BH405))</f>
        <v/>
      </c>
      <c r="BO405" s="682" t="str" cm="1">
        <f t="array" aca="1" ref="BO405" ca="1">IF(INDIRECT($BI$2&amp;BO$395&amp;$BH405)="","",INDIRECT($BI$2&amp;BO$395&amp;$BH405))</f>
        <v/>
      </c>
      <c r="BP405" s="624" t="str" cm="1">
        <f t="array" aca="1" ref="BP405" ca="1">IF(INDIRECT($BI$2&amp;BP$395&amp;$BH405)="","",INDIRECT($BI$2&amp;BP$395&amp;$BH405))</f>
        <v/>
      </c>
      <c r="BQ405" s="624" t="str" cm="1">
        <f t="array" aca="1" ref="BQ405" ca="1">IF(INDIRECT($BI$2&amp;BQ$395&amp;$BH405)="","",INDIRECT($BI$2&amp;BQ$395&amp;$BH405))</f>
        <v/>
      </c>
      <c r="BT405" s="536" t="s">
        <v>96</v>
      </c>
      <c r="BU405" s="683" t="str" cm="1">
        <f t="array" aca="1" ref="BU405" ca="1">IF(INDIRECT($BI$2&amp;BU$395&amp;$BH405)="","",INDIRECT($BI$2&amp;BU$395&amp;$BH405))</f>
        <v/>
      </c>
      <c r="BV405" s="683" t="str" cm="1">
        <f t="array" aca="1" ref="BV405" ca="1">IF(INDIRECT($BI$2&amp;BV$395&amp;$BH405)="","",INDIRECT($BI$2&amp;BV$395&amp;$BH405))</f>
        <v/>
      </c>
      <c r="BW405" s="684" t="str" cm="1">
        <f t="array" aca="1" ref="BW405" ca="1">IF(INDIRECT($BI$2&amp;BW$395&amp;$BH405)="","",INDIRECT($BI$2&amp;BW$395&amp;$BH405))</f>
        <v/>
      </c>
      <c r="BX405" s="684" t="str" cm="1">
        <f t="array" aca="1" ref="BX405" ca="1">IF(INDIRECT($BI$2&amp;BX$395&amp;$BH405)="","",INDIRECT($BI$2&amp;BX$395&amp;$BH405))</f>
        <v/>
      </c>
      <c r="BY405" s="685" t="str" cm="1">
        <f t="array" aca="1" ref="BY405" ca="1">IF(INDIRECT($BI$2&amp;BY$395&amp;$BH405)="","",INDIRECT($BI$2&amp;BY$395&amp;$BH405))</f>
        <v/>
      </c>
      <c r="BZ405" s="685" t="str" cm="1">
        <f t="array" aca="1" ref="BZ405" ca="1">IF(INDIRECT($BI$2&amp;BZ$395&amp;$BH405)="","",INDIRECT($BI$2&amp;BZ$395&amp;$BH405))</f>
        <v/>
      </c>
      <c r="CA405" s="686" t="str" cm="1">
        <f t="array" aca="1" ref="CA405" ca="1">IF(INDIRECT($BI$2&amp;CA$395&amp;$BH405)="","",INDIRECT($BI$2&amp;CA$395&amp;$BH405))</f>
        <v/>
      </c>
      <c r="CB405" s="686" t="str" cm="1">
        <f t="array" aca="1" ref="CB405" ca="1">IF(INDIRECT($BI$2&amp;CB$395&amp;$BH405)="","",INDIRECT($BI$2&amp;CB$395&amp;$BH405))</f>
        <v/>
      </c>
      <c r="CU405" s="469" t="s">
        <v>5510</v>
      </c>
      <c r="HN405" s="20"/>
      <c r="HP405" s="472"/>
    </row>
    <row r="406" spans="58:224" x14ac:dyDescent="0.25">
      <c r="BF406" s="469" t="s">
        <v>5510</v>
      </c>
      <c r="BH406" s="480">
        <v>44</v>
      </c>
      <c r="BI406" s="536" t="s">
        <v>97</v>
      </c>
      <c r="BJ406" s="680" t="str" cm="1">
        <f t="array" aca="1" ref="BJ406" ca="1">IF(INDIRECT($BI$2&amp;BJ$395&amp;$BH406)="","",INDIRECT($BI$2&amp;BJ$395&amp;$BH406))</f>
        <v/>
      </c>
      <c r="BK406" s="680" t="str" cm="1">
        <f t="array" aca="1" ref="BK406" ca="1">IF(INDIRECT($BI$2&amp;BK$395&amp;$BH406)="","",INDIRECT($BI$2&amp;BK$395&amp;$BH406))</f>
        <v/>
      </c>
      <c r="BL406" s="681" t="str" cm="1">
        <f t="array" aca="1" ref="BL406" ca="1">IF(INDIRECT($BI$2&amp;BL$395&amp;$BH406)="","",INDIRECT($BI$2&amp;BL$395&amp;$BH406))</f>
        <v/>
      </c>
      <c r="BM406" s="681" t="str" cm="1">
        <f t="array" aca="1" ref="BM406" ca="1">IF(INDIRECT($BI$2&amp;BM$395&amp;$BH406)="","",INDIRECT($BI$2&amp;BM$395&amp;$BH406))</f>
        <v/>
      </c>
      <c r="BN406" s="682" t="str" cm="1">
        <f t="array" aca="1" ref="BN406" ca="1">IF(INDIRECT($BI$2&amp;BN$395&amp;$BH406)="","",INDIRECT($BI$2&amp;BN$395&amp;$BH406))</f>
        <v/>
      </c>
      <c r="BO406" s="682" t="str" cm="1">
        <f t="array" aca="1" ref="BO406" ca="1">IF(INDIRECT($BI$2&amp;BO$395&amp;$BH406)="","",INDIRECT($BI$2&amp;BO$395&amp;$BH406))</f>
        <v/>
      </c>
      <c r="BP406" s="624" t="str" cm="1">
        <f t="array" aca="1" ref="BP406" ca="1">IF(INDIRECT($BI$2&amp;BP$395&amp;$BH406)="","",INDIRECT($BI$2&amp;BP$395&amp;$BH406))</f>
        <v/>
      </c>
      <c r="BQ406" s="624" t="str" cm="1">
        <f t="array" aca="1" ref="BQ406" ca="1">IF(INDIRECT($BI$2&amp;BQ$395&amp;$BH406)="","",INDIRECT($BI$2&amp;BQ$395&amp;$BH406))</f>
        <v/>
      </c>
      <c r="BT406" s="536" t="s">
        <v>97</v>
      </c>
      <c r="BU406" s="683" t="str" cm="1">
        <f t="array" aca="1" ref="BU406" ca="1">IF(INDIRECT($BI$2&amp;BU$395&amp;$BH406)="","",INDIRECT($BI$2&amp;BU$395&amp;$BH406))</f>
        <v/>
      </c>
      <c r="BV406" s="683" t="str" cm="1">
        <f t="array" aca="1" ref="BV406" ca="1">IF(INDIRECT($BI$2&amp;BV$395&amp;$BH406)="","",INDIRECT($BI$2&amp;BV$395&amp;$BH406))</f>
        <v/>
      </c>
      <c r="BW406" s="684" t="str" cm="1">
        <f t="array" aca="1" ref="BW406" ca="1">IF(INDIRECT($BI$2&amp;BW$395&amp;$BH406)="","",INDIRECT($BI$2&amp;BW$395&amp;$BH406))</f>
        <v/>
      </c>
      <c r="BX406" s="684" t="str" cm="1">
        <f t="array" aca="1" ref="BX406" ca="1">IF(INDIRECT($BI$2&amp;BX$395&amp;$BH406)="","",INDIRECT($BI$2&amp;BX$395&amp;$BH406))</f>
        <v/>
      </c>
      <c r="BY406" s="685" t="str" cm="1">
        <f t="array" aca="1" ref="BY406" ca="1">IF(INDIRECT($BI$2&amp;BY$395&amp;$BH406)="","",INDIRECT($BI$2&amp;BY$395&amp;$BH406))</f>
        <v/>
      </c>
      <c r="BZ406" s="685" t="str" cm="1">
        <f t="array" aca="1" ref="BZ406" ca="1">IF(INDIRECT($BI$2&amp;BZ$395&amp;$BH406)="","",INDIRECT($BI$2&amp;BZ$395&amp;$BH406))</f>
        <v/>
      </c>
      <c r="CA406" s="686" t="str" cm="1">
        <f t="array" aca="1" ref="CA406" ca="1">IF(INDIRECT($BI$2&amp;CA$395&amp;$BH406)="","",INDIRECT($BI$2&amp;CA$395&amp;$BH406))</f>
        <v/>
      </c>
      <c r="CB406" s="686" t="str" cm="1">
        <f t="array" aca="1" ref="CB406" ca="1">IF(INDIRECT($BI$2&amp;CB$395&amp;$BH406)="","",INDIRECT($BI$2&amp;CB$395&amp;$BH406))</f>
        <v/>
      </c>
      <c r="CU406" s="469" t="s">
        <v>5510</v>
      </c>
      <c r="HN406" s="20"/>
      <c r="HP406" s="472"/>
    </row>
    <row r="407" spans="58:224" x14ac:dyDescent="0.25">
      <c r="BF407" s="469" t="s">
        <v>5510</v>
      </c>
      <c r="BH407" s="480">
        <v>45</v>
      </c>
      <c r="BI407" s="536" t="s">
        <v>98</v>
      </c>
      <c r="BJ407" s="680" t="str" cm="1">
        <f t="array" aca="1" ref="BJ407" ca="1">IF(INDIRECT($BI$2&amp;BJ$395&amp;$BH407)="","",INDIRECT($BI$2&amp;BJ$395&amp;$BH407))</f>
        <v/>
      </c>
      <c r="BK407" s="680" t="str" cm="1">
        <f t="array" aca="1" ref="BK407" ca="1">IF(INDIRECT($BI$2&amp;BK$395&amp;$BH407)="","",INDIRECT($BI$2&amp;BK$395&amp;$BH407))</f>
        <v/>
      </c>
      <c r="BL407" s="681" t="str" cm="1">
        <f t="array" aca="1" ref="BL407" ca="1">IF(INDIRECT($BI$2&amp;BL$395&amp;$BH407)="","",INDIRECT($BI$2&amp;BL$395&amp;$BH407))</f>
        <v/>
      </c>
      <c r="BM407" s="681" t="str" cm="1">
        <f t="array" aca="1" ref="BM407" ca="1">IF(INDIRECT($BI$2&amp;BM$395&amp;$BH407)="","",INDIRECT($BI$2&amp;BM$395&amp;$BH407))</f>
        <v/>
      </c>
      <c r="BN407" s="682" t="str" cm="1">
        <f t="array" aca="1" ref="BN407" ca="1">IF(INDIRECT($BI$2&amp;BN$395&amp;$BH407)="","",INDIRECT($BI$2&amp;BN$395&amp;$BH407))</f>
        <v/>
      </c>
      <c r="BO407" s="682" t="str" cm="1">
        <f t="array" aca="1" ref="BO407" ca="1">IF(INDIRECT($BI$2&amp;BO$395&amp;$BH407)="","",INDIRECT($BI$2&amp;BO$395&amp;$BH407))</f>
        <v/>
      </c>
      <c r="BP407" s="624" t="str" cm="1">
        <f t="array" aca="1" ref="BP407" ca="1">IF(INDIRECT($BI$2&amp;BP$395&amp;$BH407)="","",INDIRECT($BI$2&amp;BP$395&amp;$BH407))</f>
        <v/>
      </c>
      <c r="BQ407" s="624" t="str" cm="1">
        <f t="array" aca="1" ref="BQ407" ca="1">IF(INDIRECT($BI$2&amp;BQ$395&amp;$BH407)="","",INDIRECT($BI$2&amp;BQ$395&amp;$BH407))</f>
        <v/>
      </c>
      <c r="BT407" s="536" t="s">
        <v>98</v>
      </c>
      <c r="BU407" s="683" t="str" cm="1">
        <f t="array" aca="1" ref="BU407" ca="1">IF(INDIRECT($BI$2&amp;BU$395&amp;$BH407)="","",INDIRECT($BI$2&amp;BU$395&amp;$BH407))</f>
        <v/>
      </c>
      <c r="BV407" s="683" t="str" cm="1">
        <f t="array" aca="1" ref="BV407" ca="1">IF(INDIRECT($BI$2&amp;BV$395&amp;$BH407)="","",INDIRECT($BI$2&amp;BV$395&amp;$BH407))</f>
        <v/>
      </c>
      <c r="BW407" s="684" t="str" cm="1">
        <f t="array" aca="1" ref="BW407" ca="1">IF(INDIRECT($BI$2&amp;BW$395&amp;$BH407)="","",INDIRECT($BI$2&amp;BW$395&amp;$BH407))</f>
        <v/>
      </c>
      <c r="BX407" s="684" t="str" cm="1">
        <f t="array" aca="1" ref="BX407" ca="1">IF(INDIRECT($BI$2&amp;BX$395&amp;$BH407)="","",INDIRECT($BI$2&amp;BX$395&amp;$BH407))</f>
        <v/>
      </c>
      <c r="BY407" s="685" t="str" cm="1">
        <f t="array" aca="1" ref="BY407" ca="1">IF(INDIRECT($BI$2&amp;BY$395&amp;$BH407)="","",INDIRECT($BI$2&amp;BY$395&amp;$BH407))</f>
        <v/>
      </c>
      <c r="BZ407" s="685" t="str" cm="1">
        <f t="array" aca="1" ref="BZ407" ca="1">IF(INDIRECT($BI$2&amp;BZ$395&amp;$BH407)="","",INDIRECT($BI$2&amp;BZ$395&amp;$BH407))</f>
        <v/>
      </c>
      <c r="CA407" s="686" t="str" cm="1">
        <f t="array" aca="1" ref="CA407" ca="1">IF(INDIRECT($BI$2&amp;CA$395&amp;$BH407)="","",INDIRECT($BI$2&amp;CA$395&amp;$BH407))</f>
        <v/>
      </c>
      <c r="CB407" s="686" t="str" cm="1">
        <f t="array" aca="1" ref="CB407" ca="1">IF(INDIRECT($BI$2&amp;CB$395&amp;$BH407)="","",INDIRECT($BI$2&amp;CB$395&amp;$BH407))</f>
        <v/>
      </c>
      <c r="CU407" s="469" t="s">
        <v>5510</v>
      </c>
      <c r="HN407" s="20"/>
      <c r="HP407" s="472"/>
    </row>
    <row r="408" spans="58:224" x14ac:dyDescent="0.25">
      <c r="BF408" s="469" t="s">
        <v>5510</v>
      </c>
      <c r="BH408" s="480">
        <v>46</v>
      </c>
      <c r="BI408" s="536" t="s">
        <v>99</v>
      </c>
      <c r="BJ408" s="680" t="str" cm="1">
        <f t="array" aca="1" ref="BJ408" ca="1">IF(INDIRECT($BI$2&amp;BJ$395&amp;$BH408)="","",INDIRECT($BI$2&amp;BJ$395&amp;$BH408))</f>
        <v/>
      </c>
      <c r="BK408" s="680" t="str" cm="1">
        <f t="array" aca="1" ref="BK408" ca="1">IF(INDIRECT($BI$2&amp;BK$395&amp;$BH408)="","",INDIRECT($BI$2&amp;BK$395&amp;$BH408))</f>
        <v/>
      </c>
      <c r="BL408" s="681" t="str" cm="1">
        <f t="array" aca="1" ref="BL408" ca="1">IF(INDIRECT($BI$2&amp;BL$395&amp;$BH408)="","",INDIRECT($BI$2&amp;BL$395&amp;$BH408))</f>
        <v/>
      </c>
      <c r="BM408" s="681" t="str" cm="1">
        <f t="array" aca="1" ref="BM408" ca="1">IF(INDIRECT($BI$2&amp;BM$395&amp;$BH408)="","",INDIRECT($BI$2&amp;BM$395&amp;$BH408))</f>
        <v/>
      </c>
      <c r="BN408" s="682" t="str" cm="1">
        <f t="array" aca="1" ref="BN408" ca="1">IF(INDIRECT($BI$2&amp;BN$395&amp;$BH408)="","",INDIRECT($BI$2&amp;BN$395&amp;$BH408))</f>
        <v/>
      </c>
      <c r="BO408" s="682" t="str" cm="1">
        <f t="array" aca="1" ref="BO408" ca="1">IF(INDIRECT($BI$2&amp;BO$395&amp;$BH408)="","",INDIRECT($BI$2&amp;BO$395&amp;$BH408))</f>
        <v/>
      </c>
      <c r="BP408" s="624" t="str" cm="1">
        <f t="array" aca="1" ref="BP408" ca="1">IF(INDIRECT($BI$2&amp;BP$395&amp;$BH408)="","",INDIRECT($BI$2&amp;BP$395&amp;$BH408))</f>
        <v/>
      </c>
      <c r="BQ408" s="624" t="str" cm="1">
        <f t="array" aca="1" ref="BQ408" ca="1">IF(INDIRECT($BI$2&amp;BQ$395&amp;$BH408)="","",INDIRECT($BI$2&amp;BQ$395&amp;$BH408))</f>
        <v/>
      </c>
      <c r="BT408" s="536" t="s">
        <v>99</v>
      </c>
      <c r="BU408" s="683" t="str" cm="1">
        <f t="array" aca="1" ref="BU408" ca="1">IF(INDIRECT($BI$2&amp;BU$395&amp;$BH408)="","",INDIRECT($BI$2&amp;BU$395&amp;$BH408))</f>
        <v/>
      </c>
      <c r="BV408" s="683" t="str" cm="1">
        <f t="array" aca="1" ref="BV408" ca="1">IF(INDIRECT($BI$2&amp;BV$395&amp;$BH408)="","",INDIRECT($BI$2&amp;BV$395&amp;$BH408))</f>
        <v/>
      </c>
      <c r="BW408" s="684" t="str" cm="1">
        <f t="array" aca="1" ref="BW408" ca="1">IF(INDIRECT($BI$2&amp;BW$395&amp;$BH408)="","",INDIRECT($BI$2&amp;BW$395&amp;$BH408))</f>
        <v/>
      </c>
      <c r="BX408" s="684" t="str" cm="1">
        <f t="array" aca="1" ref="BX408" ca="1">IF(INDIRECT($BI$2&amp;BX$395&amp;$BH408)="","",INDIRECT($BI$2&amp;BX$395&amp;$BH408))</f>
        <v/>
      </c>
      <c r="BY408" s="685" t="str" cm="1">
        <f t="array" aca="1" ref="BY408" ca="1">IF(INDIRECT($BI$2&amp;BY$395&amp;$BH408)="","",INDIRECT($BI$2&amp;BY$395&amp;$BH408))</f>
        <v/>
      </c>
      <c r="BZ408" s="685" t="str" cm="1">
        <f t="array" aca="1" ref="BZ408" ca="1">IF(INDIRECT($BI$2&amp;BZ$395&amp;$BH408)="","",INDIRECT($BI$2&amp;BZ$395&amp;$BH408))</f>
        <v/>
      </c>
      <c r="CA408" s="686" t="str" cm="1">
        <f t="array" aca="1" ref="CA408" ca="1">IF(INDIRECT($BI$2&amp;CA$395&amp;$BH408)="","",INDIRECT($BI$2&amp;CA$395&amp;$BH408))</f>
        <v/>
      </c>
      <c r="CB408" s="686" t="str" cm="1">
        <f t="array" aca="1" ref="CB408" ca="1">IF(INDIRECT($BI$2&amp;CB$395&amp;$BH408)="","",INDIRECT($BI$2&amp;CB$395&amp;$BH408))</f>
        <v/>
      </c>
      <c r="CU408" s="469" t="s">
        <v>5510</v>
      </c>
      <c r="HN408" s="20"/>
      <c r="HP408" s="472"/>
    </row>
    <row r="409" spans="58:224" x14ac:dyDescent="0.25">
      <c r="BF409" s="469" t="s">
        <v>5510</v>
      </c>
      <c r="BI409" s="472"/>
      <c r="CU409" s="469" t="s">
        <v>5510</v>
      </c>
      <c r="HN409" s="20"/>
      <c r="HP409" s="472"/>
    </row>
    <row r="410" spans="58:224" x14ac:dyDescent="0.25">
      <c r="BF410" s="469" t="s">
        <v>5510</v>
      </c>
      <c r="BI410" s="20"/>
      <c r="BJ410" s="687" t="s">
        <v>8101</v>
      </c>
      <c r="BK410" s="688"/>
      <c r="BL410" s="688"/>
      <c r="BM410" s="689"/>
      <c r="BN410" s="20"/>
      <c r="BO410" s="20"/>
      <c r="BP410" s="20"/>
      <c r="BU410" s="690" t="s">
        <v>8103</v>
      </c>
      <c r="BV410" s="691"/>
      <c r="BW410" s="691"/>
      <c r="BX410" s="692"/>
      <c r="CU410" s="469" t="s">
        <v>5510</v>
      </c>
      <c r="HN410" s="20"/>
      <c r="HP410" s="472"/>
    </row>
    <row r="411" spans="58:224" x14ac:dyDescent="0.25">
      <c r="BF411" s="469" t="s">
        <v>5510</v>
      </c>
      <c r="BI411" s="372" t="s">
        <v>5802</v>
      </c>
      <c r="BJ411" s="693" t="str">
        <f ca="1">$CQ$11</f>
        <v>-</v>
      </c>
      <c r="BK411" s="694"/>
      <c r="BL411" s="694"/>
      <c r="BM411" s="695"/>
      <c r="BN411" s="696" t="s">
        <v>5741</v>
      </c>
      <c r="BO411" s="484" t="s">
        <v>5741</v>
      </c>
      <c r="BP411" s="484" t="s">
        <v>8104</v>
      </c>
      <c r="BQ411" s="484" t="s">
        <v>8104</v>
      </c>
      <c r="BT411" s="372" t="s">
        <v>5802</v>
      </c>
      <c r="BU411" s="697" t="str">
        <f ca="1">$CQ$11</f>
        <v>-</v>
      </c>
      <c r="BV411" s="694"/>
      <c r="BW411" s="694"/>
      <c r="BX411" s="695"/>
      <c r="BY411" s="696" t="s">
        <v>5741</v>
      </c>
      <c r="BZ411" s="484" t="s">
        <v>5741</v>
      </c>
      <c r="CA411" s="484" t="s">
        <v>8104</v>
      </c>
      <c r="CB411" s="484" t="s">
        <v>8104</v>
      </c>
      <c r="CU411" s="469" t="s">
        <v>5510</v>
      </c>
      <c r="HN411" s="20"/>
      <c r="HP411" s="472"/>
    </row>
    <row r="412" spans="58:224" x14ac:dyDescent="0.25">
      <c r="BF412" s="469" t="s">
        <v>5510</v>
      </c>
      <c r="BI412" s="372" t="s">
        <v>8092</v>
      </c>
      <c r="BJ412" s="536" t="s">
        <v>10</v>
      </c>
      <c r="BK412" s="536" t="s">
        <v>10</v>
      </c>
      <c r="BL412" s="536" t="s">
        <v>237</v>
      </c>
      <c r="BM412" s="536" t="s">
        <v>237</v>
      </c>
      <c r="BN412" s="536" t="s">
        <v>10</v>
      </c>
      <c r="BO412" s="536" t="s">
        <v>237</v>
      </c>
      <c r="BP412" s="479" t="s">
        <v>10</v>
      </c>
      <c r="BQ412" s="479" t="s">
        <v>237</v>
      </c>
      <c r="BT412" s="372" t="s">
        <v>8092</v>
      </c>
      <c r="BU412" s="536" t="s">
        <v>10</v>
      </c>
      <c r="BV412" s="536" t="s">
        <v>10</v>
      </c>
      <c r="BW412" s="536" t="s">
        <v>237</v>
      </c>
      <c r="BX412" s="536" t="s">
        <v>237</v>
      </c>
      <c r="BY412" s="536" t="s">
        <v>10</v>
      </c>
      <c r="BZ412" s="536" t="s">
        <v>237</v>
      </c>
      <c r="CA412" s="479" t="s">
        <v>10</v>
      </c>
      <c r="CB412" s="479" t="s">
        <v>237</v>
      </c>
      <c r="CU412" s="469" t="s">
        <v>5510</v>
      </c>
      <c r="HN412" s="20"/>
      <c r="HP412" s="472"/>
    </row>
    <row r="413" spans="58:224" x14ac:dyDescent="0.25">
      <c r="BF413" s="469" t="s">
        <v>5510</v>
      </c>
      <c r="BJ413" s="536" t="s">
        <v>109</v>
      </c>
      <c r="BK413" s="536" t="s">
        <v>110</v>
      </c>
      <c r="BL413" s="536" t="s">
        <v>109</v>
      </c>
      <c r="BM413" s="536" t="s">
        <v>110</v>
      </c>
      <c r="BN413" s="536"/>
      <c r="BO413" s="536"/>
      <c r="BT413" s="372"/>
      <c r="BU413" s="536" t="s">
        <v>109</v>
      </c>
      <c r="BV413" s="536" t="s">
        <v>110</v>
      </c>
      <c r="BW413" s="536" t="s">
        <v>109</v>
      </c>
      <c r="BX413" s="536" t="s">
        <v>110</v>
      </c>
      <c r="BY413" s="536"/>
      <c r="BZ413" s="536"/>
      <c r="CA413" s="372"/>
      <c r="CB413" s="372"/>
      <c r="CU413" s="469" t="s">
        <v>5510</v>
      </c>
      <c r="HN413" s="20"/>
      <c r="HP413" s="472"/>
    </row>
    <row r="414" spans="58:224" x14ac:dyDescent="0.25">
      <c r="BF414" s="469" t="s">
        <v>5510</v>
      </c>
      <c r="BI414" s="536" t="s">
        <v>90</v>
      </c>
      <c r="BJ414" s="680" t="str">
        <f t="shared" ref="BJ414:BM423" ca="1" si="202">IF($BJ$411="-","",IF($BJ$411=$BJ$396,BJ399,BN399))</f>
        <v/>
      </c>
      <c r="BK414" s="680" t="str">
        <f t="shared" ca="1" si="202"/>
        <v/>
      </c>
      <c r="BL414" s="681" t="str">
        <f t="shared" ca="1" si="202"/>
        <v/>
      </c>
      <c r="BM414" s="681" t="str">
        <f t="shared" ca="1" si="202"/>
        <v/>
      </c>
      <c r="BN414" s="681" t="str" cm="1">
        <f t="array" aca="1" ref="BN414" ca="1">IF(INDIRECT($BI$345&amp;BJ381)&lt;&gt;0,INDIRECT($BI$345&amp;BJ381),"")</f>
        <v/>
      </c>
      <c r="BO414" s="681" t="str" cm="1">
        <f t="array" aca="1" ref="BO414" ca="1">IF(INDIRECT($BI$345&amp;BK381)&lt;&gt;0,INDIRECT($BI$345&amp;BK381),"")</f>
        <v/>
      </c>
      <c r="BP414" s="698" t="str">
        <f ca="1">IF(BN414="","",
IF(BJ414="",3,IF(BN414&lt;BJ414,1,IF(BN414&gt;BK414,2,0)))
)</f>
        <v/>
      </c>
      <c r="BQ414" s="698" t="str">
        <f ca="1">IF(BO414="","",
IF(BL414="",3,IF(BO414&lt;BL414,1,IF(BO414&gt;BM414,2,0)))
)</f>
        <v/>
      </c>
      <c r="BT414" s="536" t="s">
        <v>90</v>
      </c>
      <c r="BU414" s="680" t="str">
        <f ca="1">IF($BU$411="-","",IF($BU$411=$BU$396,BU399,BY399))</f>
        <v/>
      </c>
      <c r="BV414" s="680" t="str">
        <f ca="1">IF($BU$411="-","",IF($BU$411=$BU$396,BV399,BZ399))</f>
        <v/>
      </c>
      <c r="BW414" s="681" t="str">
        <f ca="1">IF($BU$411="-","",IF($BU$411=$BU$396,BW399,CA399))</f>
        <v/>
      </c>
      <c r="BX414" s="681" t="str">
        <f ca="1">IF($BU$411="-","",IF($BU$411=$BU$396,BX399,CB399))</f>
        <v/>
      </c>
      <c r="BY414" s="539" t="str" cm="1">
        <f t="array" aca="1" ref="BY414" ca="1">IF(INDIRECT($BI$345&amp;BL381)&lt;&gt;0,INDIRECT($BI$345&amp;BL381),"")</f>
        <v/>
      </c>
      <c r="BZ414" s="539" t="str" cm="1">
        <f t="array" aca="1" ref="BZ414" ca="1">IF(INDIRECT($BI$345&amp;BM381)&lt;&gt;0,INDIRECT($BI$345&amp;BM381),"")</f>
        <v/>
      </c>
      <c r="CA414" s="698" t="str">
        <f ca="1">IF(BY414="","",
IF(BU414="",3,IF(BY414&lt;BU414,1,IF(BY414&gt;BV414,2,0)))
)</f>
        <v/>
      </c>
      <c r="CB414" s="698" t="str">
        <f ca="1">IF(BZ414="","",
IF(BW414="",3,IF(BZ414&lt;BW414,1,IF(BZ414&gt;BX414,2,0)))
)</f>
        <v/>
      </c>
      <c r="CU414" s="469" t="s">
        <v>5510</v>
      </c>
      <c r="HN414" s="20"/>
      <c r="HP414" s="472"/>
    </row>
    <row r="415" spans="58:224" x14ac:dyDescent="0.25">
      <c r="BF415" s="469" t="s">
        <v>5510</v>
      </c>
      <c r="BI415" s="536" t="s">
        <v>91</v>
      </c>
      <c r="BJ415" s="680" t="str">
        <f t="shared" ca="1" si="202"/>
        <v/>
      </c>
      <c r="BK415" s="680" t="str">
        <f t="shared" ca="1" si="202"/>
        <v/>
      </c>
      <c r="BL415" s="681" t="str">
        <f t="shared" ca="1" si="202"/>
        <v/>
      </c>
      <c r="BM415" s="681" t="str">
        <f t="shared" ca="1" si="202"/>
        <v/>
      </c>
      <c r="BN415" s="681" t="str" cm="1">
        <f t="array" aca="1" ref="BN415" ca="1">IF(INDIRECT($BI$345&amp;BJ382)&lt;&gt;0,INDIRECT($BI$345&amp;BJ382),"")</f>
        <v/>
      </c>
      <c r="BO415" s="681" t="str" cm="1">
        <f t="array" aca="1" ref="BO415" ca="1">IF(INDIRECT($BI$345&amp;BK382)&lt;&gt;0,INDIRECT($BI$345&amp;BK382),"")</f>
        <v/>
      </c>
      <c r="BP415" s="698" t="str">
        <f t="shared" ref="BP415:BP423" ca="1" si="203">IF(BN415="","",
IF(BJ415="",3,IF(BN415&lt;BJ415,1,IF(BN415&gt;BK415,2,0)))
)</f>
        <v/>
      </c>
      <c r="BQ415" s="698" t="str">
        <f t="shared" ref="BQ415:BQ423" ca="1" si="204">IF(BO415="","",
IF(BL415="",3,IF(BO415&lt;BL415,1,IF(BO415&gt;BM415,2,0)))
)</f>
        <v/>
      </c>
      <c r="BT415" s="536" t="s">
        <v>91</v>
      </c>
      <c r="BU415" s="680" t="str">
        <f t="shared" ref="BU415:BX423" ca="1" si="205">IF($BU$411="-","",IF($BU$411=$BU$396,BU400,BY400))</f>
        <v/>
      </c>
      <c r="BV415" s="680" t="str">
        <f t="shared" ca="1" si="205"/>
        <v/>
      </c>
      <c r="BW415" s="681" t="str">
        <f t="shared" ca="1" si="205"/>
        <v/>
      </c>
      <c r="BX415" s="681" t="str">
        <f t="shared" ca="1" si="205"/>
        <v/>
      </c>
      <c r="BY415" s="539" t="str" cm="1">
        <f t="array" aca="1" ref="BY415" ca="1">IF(INDIRECT($BI$345&amp;BL382)&lt;&gt;0,INDIRECT($BI$345&amp;BL382),"")</f>
        <v/>
      </c>
      <c r="BZ415" s="539" t="str" cm="1">
        <f t="array" aca="1" ref="BZ415" ca="1">IF(INDIRECT($BI$345&amp;BM382)&lt;&gt;0,INDIRECT($BI$345&amp;BM382),"")</f>
        <v/>
      </c>
      <c r="CA415" s="698" t="str">
        <f t="shared" ref="CA415:CA423" ca="1" si="206">IF(BY415="","",
IF(BU415="",3,IF(BY415&lt;BU415,1,IF(BY415&gt;BV415,2,0)))
)</f>
        <v/>
      </c>
      <c r="CB415" s="698" t="str">
        <f t="shared" ref="CB415:CB423" ca="1" si="207">IF(BZ415="","",
IF(BW415="",3,IF(BZ415&lt;BW415,1,IF(BZ415&gt;BX415,2,0)))
)</f>
        <v/>
      </c>
      <c r="CU415" s="469" t="s">
        <v>5510</v>
      </c>
      <c r="HN415" s="20"/>
      <c r="HP415" s="472"/>
    </row>
    <row r="416" spans="58:224" x14ac:dyDescent="0.25">
      <c r="BF416" s="469" t="s">
        <v>5510</v>
      </c>
      <c r="BI416" s="536" t="s">
        <v>92</v>
      </c>
      <c r="BJ416" s="680" t="str">
        <f t="shared" ca="1" si="202"/>
        <v/>
      </c>
      <c r="BK416" s="680" t="str">
        <f t="shared" ca="1" si="202"/>
        <v/>
      </c>
      <c r="BL416" s="681" t="str">
        <f t="shared" ca="1" si="202"/>
        <v/>
      </c>
      <c r="BM416" s="681" t="str">
        <f t="shared" ca="1" si="202"/>
        <v/>
      </c>
      <c r="BN416" s="681" t="str" cm="1">
        <f t="array" aca="1" ref="BN416" ca="1">IF(INDIRECT($BI$345&amp;BJ383)&lt;&gt;0,INDIRECT($BI$345&amp;BJ383),"")</f>
        <v/>
      </c>
      <c r="BO416" s="681" t="str" cm="1">
        <f t="array" aca="1" ref="BO416" ca="1">IF(INDIRECT($BI$345&amp;BK383)&lt;&gt;0,INDIRECT($BI$345&amp;BK383),"")</f>
        <v/>
      </c>
      <c r="BP416" s="698" t="str">
        <f t="shared" ca="1" si="203"/>
        <v/>
      </c>
      <c r="BQ416" s="698" t="str">
        <f t="shared" ca="1" si="204"/>
        <v/>
      </c>
      <c r="BT416" s="536" t="s">
        <v>92</v>
      </c>
      <c r="BU416" s="680" t="str">
        <f t="shared" ca="1" si="205"/>
        <v/>
      </c>
      <c r="BV416" s="680" t="str">
        <f t="shared" ca="1" si="205"/>
        <v/>
      </c>
      <c r="BW416" s="681" t="str">
        <f t="shared" ca="1" si="205"/>
        <v/>
      </c>
      <c r="BX416" s="681" t="str">
        <f t="shared" ca="1" si="205"/>
        <v/>
      </c>
      <c r="BY416" s="539" t="str" cm="1">
        <f t="array" aca="1" ref="BY416" ca="1">IF(INDIRECT($BI$345&amp;BL383)&lt;&gt;0,INDIRECT($BI$345&amp;BL383),"")</f>
        <v/>
      </c>
      <c r="BZ416" s="539" t="str" cm="1">
        <f t="array" aca="1" ref="BZ416" ca="1">IF(INDIRECT($BI$345&amp;BM383)&lt;&gt;0,INDIRECT($BI$345&amp;BM383),"")</f>
        <v/>
      </c>
      <c r="CA416" s="698" t="str">
        <f t="shared" ca="1" si="206"/>
        <v/>
      </c>
      <c r="CB416" s="698" t="str">
        <f t="shared" ca="1" si="207"/>
        <v/>
      </c>
      <c r="CU416" s="469" t="s">
        <v>5510</v>
      </c>
      <c r="HN416" s="20"/>
      <c r="HP416" s="472"/>
    </row>
    <row r="417" spans="58:224" x14ac:dyDescent="0.25">
      <c r="BF417" s="469" t="s">
        <v>5510</v>
      </c>
      <c r="BI417" s="536" t="s">
        <v>93</v>
      </c>
      <c r="BJ417" s="680" t="str">
        <f t="shared" ca="1" si="202"/>
        <v/>
      </c>
      <c r="BK417" s="680" t="str">
        <f t="shared" ca="1" si="202"/>
        <v/>
      </c>
      <c r="BL417" s="681" t="str">
        <f t="shared" ca="1" si="202"/>
        <v/>
      </c>
      <c r="BM417" s="681" t="str">
        <f t="shared" ca="1" si="202"/>
        <v/>
      </c>
      <c r="BN417" s="681" t="str" cm="1">
        <f t="array" aca="1" ref="BN417" ca="1">IF(INDIRECT($BI$345&amp;BJ384)&lt;&gt;0,INDIRECT($BI$345&amp;BJ384),"")</f>
        <v/>
      </c>
      <c r="BO417" s="681" t="str" cm="1">
        <f t="array" aca="1" ref="BO417" ca="1">IF(INDIRECT($BI$345&amp;BK384)&lt;&gt;0,INDIRECT($BI$345&amp;BK384),"")</f>
        <v/>
      </c>
      <c r="BP417" s="698" t="str">
        <f t="shared" ca="1" si="203"/>
        <v/>
      </c>
      <c r="BQ417" s="698" t="str">
        <f t="shared" ca="1" si="204"/>
        <v/>
      </c>
      <c r="BT417" s="536" t="s">
        <v>93</v>
      </c>
      <c r="BU417" s="680" t="str">
        <f t="shared" ca="1" si="205"/>
        <v/>
      </c>
      <c r="BV417" s="680" t="str">
        <f t="shared" ca="1" si="205"/>
        <v/>
      </c>
      <c r="BW417" s="681" t="str">
        <f t="shared" ca="1" si="205"/>
        <v/>
      </c>
      <c r="BX417" s="681" t="str">
        <f t="shared" ca="1" si="205"/>
        <v/>
      </c>
      <c r="BY417" s="539" t="str" cm="1">
        <f t="array" aca="1" ref="BY417" ca="1">IF(INDIRECT($BI$345&amp;BL384)&lt;&gt;0,INDIRECT($BI$345&amp;BL384),"")</f>
        <v/>
      </c>
      <c r="BZ417" s="539" t="str" cm="1">
        <f t="array" aca="1" ref="BZ417" ca="1">IF(INDIRECT($BI$345&amp;BM384)&lt;&gt;0,INDIRECT($BI$345&amp;BM384),"")</f>
        <v/>
      </c>
      <c r="CA417" s="698" t="str">
        <f t="shared" ca="1" si="206"/>
        <v/>
      </c>
      <c r="CB417" s="698" t="str">
        <f t="shared" ca="1" si="207"/>
        <v/>
      </c>
      <c r="CU417" s="469" t="s">
        <v>5510</v>
      </c>
      <c r="HN417" s="20"/>
      <c r="HP417" s="472"/>
    </row>
    <row r="418" spans="58:224" x14ac:dyDescent="0.25">
      <c r="BF418" s="469" t="s">
        <v>5510</v>
      </c>
      <c r="BI418" s="536" t="s">
        <v>94</v>
      </c>
      <c r="BJ418" s="680" t="str">
        <f t="shared" ca="1" si="202"/>
        <v/>
      </c>
      <c r="BK418" s="680" t="str">
        <f t="shared" ca="1" si="202"/>
        <v/>
      </c>
      <c r="BL418" s="681" t="str">
        <f t="shared" ca="1" si="202"/>
        <v/>
      </c>
      <c r="BM418" s="681" t="str">
        <f t="shared" ca="1" si="202"/>
        <v/>
      </c>
      <c r="BN418" s="681" t="str" cm="1">
        <f t="array" aca="1" ref="BN418" ca="1">IF(INDIRECT($BI$345&amp;BJ385)&lt;&gt;0,INDIRECT($BI$345&amp;BJ385),"")</f>
        <v/>
      </c>
      <c r="BO418" s="681" t="str" cm="1">
        <f t="array" aca="1" ref="BO418" ca="1">IF(INDIRECT($BI$345&amp;BK385)&lt;&gt;0,INDIRECT($BI$345&amp;BK385),"")</f>
        <v/>
      </c>
      <c r="BP418" s="698" t="str">
        <f t="shared" ca="1" si="203"/>
        <v/>
      </c>
      <c r="BQ418" s="698" t="str">
        <f t="shared" ca="1" si="204"/>
        <v/>
      </c>
      <c r="BT418" s="536" t="s">
        <v>94</v>
      </c>
      <c r="BU418" s="680" t="str">
        <f t="shared" ca="1" si="205"/>
        <v/>
      </c>
      <c r="BV418" s="680" t="str">
        <f t="shared" ca="1" si="205"/>
        <v/>
      </c>
      <c r="BW418" s="681" t="str">
        <f t="shared" ca="1" si="205"/>
        <v/>
      </c>
      <c r="BX418" s="681" t="str">
        <f t="shared" ca="1" si="205"/>
        <v/>
      </c>
      <c r="BY418" s="539" t="str" cm="1">
        <f t="array" aca="1" ref="BY418" ca="1">IF(INDIRECT($BI$345&amp;BL385)&lt;&gt;0,INDIRECT($BI$345&amp;BL385),"")</f>
        <v/>
      </c>
      <c r="BZ418" s="539" t="str" cm="1">
        <f t="array" aca="1" ref="BZ418" ca="1">IF(INDIRECT($BI$345&amp;BM385)&lt;&gt;0,INDIRECT($BI$345&amp;BM385),"")</f>
        <v/>
      </c>
      <c r="CA418" s="698" t="str">
        <f t="shared" ca="1" si="206"/>
        <v/>
      </c>
      <c r="CB418" s="698" t="str">
        <f t="shared" ca="1" si="207"/>
        <v/>
      </c>
      <c r="CU418" s="469" t="s">
        <v>5510</v>
      </c>
      <c r="HN418" s="20"/>
      <c r="HP418" s="472"/>
    </row>
    <row r="419" spans="58:224" x14ac:dyDescent="0.25">
      <c r="BF419" s="469" t="s">
        <v>5510</v>
      </c>
      <c r="BI419" s="536" t="s">
        <v>95</v>
      </c>
      <c r="BJ419" s="680" t="str">
        <f t="shared" ca="1" si="202"/>
        <v/>
      </c>
      <c r="BK419" s="680" t="str">
        <f t="shared" ca="1" si="202"/>
        <v/>
      </c>
      <c r="BL419" s="681" t="str">
        <f t="shared" ca="1" si="202"/>
        <v/>
      </c>
      <c r="BM419" s="681" t="str">
        <f t="shared" ca="1" si="202"/>
        <v/>
      </c>
      <c r="BN419" s="681" t="str" cm="1">
        <f t="array" aca="1" ref="BN419" ca="1">IF(INDIRECT($BI$345&amp;BJ386)&lt;&gt;0,INDIRECT($BI$345&amp;BJ386),"")</f>
        <v/>
      </c>
      <c r="BO419" s="681" t="str" cm="1">
        <f t="array" aca="1" ref="BO419" ca="1">IF(INDIRECT($BI$345&amp;BK386)&lt;&gt;0,INDIRECT($BI$345&amp;BK386),"")</f>
        <v/>
      </c>
      <c r="BP419" s="698" t="str">
        <f t="shared" ca="1" si="203"/>
        <v/>
      </c>
      <c r="BQ419" s="698" t="str">
        <f t="shared" ca="1" si="204"/>
        <v/>
      </c>
      <c r="BT419" s="536" t="s">
        <v>95</v>
      </c>
      <c r="BU419" s="680" t="str">
        <f t="shared" ca="1" si="205"/>
        <v/>
      </c>
      <c r="BV419" s="680" t="str">
        <f t="shared" ca="1" si="205"/>
        <v/>
      </c>
      <c r="BW419" s="681" t="str">
        <f t="shared" ca="1" si="205"/>
        <v/>
      </c>
      <c r="BX419" s="681" t="str">
        <f t="shared" ca="1" si="205"/>
        <v/>
      </c>
      <c r="BY419" s="539" t="str" cm="1">
        <f t="array" aca="1" ref="BY419" ca="1">IF(INDIRECT($BI$345&amp;BL386)&lt;&gt;0,INDIRECT($BI$345&amp;BL386),"")</f>
        <v/>
      </c>
      <c r="BZ419" s="539" t="str" cm="1">
        <f t="array" aca="1" ref="BZ419" ca="1">IF(INDIRECT($BI$345&amp;BM386)&lt;&gt;0,INDIRECT($BI$345&amp;BM386),"")</f>
        <v/>
      </c>
      <c r="CA419" s="698" t="str">
        <f t="shared" ca="1" si="206"/>
        <v/>
      </c>
      <c r="CB419" s="698" t="str">
        <f t="shared" ca="1" si="207"/>
        <v/>
      </c>
      <c r="CU419" s="469" t="s">
        <v>5510</v>
      </c>
      <c r="HN419" s="20"/>
      <c r="HP419" s="472"/>
    </row>
    <row r="420" spans="58:224" x14ac:dyDescent="0.25">
      <c r="BF420" s="469" t="s">
        <v>5510</v>
      </c>
      <c r="BI420" s="536" t="s">
        <v>96</v>
      </c>
      <c r="BJ420" s="680" t="str">
        <f t="shared" ca="1" si="202"/>
        <v/>
      </c>
      <c r="BK420" s="680" t="str">
        <f t="shared" ca="1" si="202"/>
        <v/>
      </c>
      <c r="BL420" s="681" t="str">
        <f t="shared" ca="1" si="202"/>
        <v/>
      </c>
      <c r="BM420" s="681" t="str">
        <f t="shared" ca="1" si="202"/>
        <v/>
      </c>
      <c r="BN420" s="681" t="str" cm="1">
        <f t="array" aca="1" ref="BN420" ca="1">IF(INDIRECT($BI$345&amp;BJ387)&lt;&gt;0,INDIRECT($BI$345&amp;BJ387),"")</f>
        <v/>
      </c>
      <c r="BO420" s="681" t="str" cm="1">
        <f t="array" aca="1" ref="BO420" ca="1">IF(INDIRECT($BI$345&amp;BK387)&lt;&gt;0,INDIRECT($BI$345&amp;BK387),"")</f>
        <v/>
      </c>
      <c r="BP420" s="698" t="str">
        <f t="shared" ca="1" si="203"/>
        <v/>
      </c>
      <c r="BQ420" s="698" t="str">
        <f t="shared" ca="1" si="204"/>
        <v/>
      </c>
      <c r="BR420" s="699" t="s">
        <v>8087</v>
      </c>
      <c r="BT420" s="536" t="s">
        <v>96</v>
      </c>
      <c r="BU420" s="680" t="str">
        <f t="shared" ca="1" si="205"/>
        <v/>
      </c>
      <c r="BV420" s="680" t="str">
        <f t="shared" ca="1" si="205"/>
        <v/>
      </c>
      <c r="BW420" s="681" t="str">
        <f t="shared" ca="1" si="205"/>
        <v/>
      </c>
      <c r="BX420" s="681" t="str">
        <f t="shared" ca="1" si="205"/>
        <v/>
      </c>
      <c r="BY420" s="539" t="str" cm="1">
        <f t="array" aca="1" ref="BY420" ca="1">IF(INDIRECT($BI$345&amp;BL387)&lt;&gt;0,INDIRECT($BI$345&amp;BL387),"")</f>
        <v/>
      </c>
      <c r="BZ420" s="539" t="str" cm="1">
        <f t="array" aca="1" ref="BZ420" ca="1">IF(INDIRECT($BI$345&amp;BM387)&lt;&gt;0,INDIRECT($BI$345&amp;BM387),"")</f>
        <v/>
      </c>
      <c r="CA420" s="698" t="str">
        <f t="shared" ca="1" si="206"/>
        <v/>
      </c>
      <c r="CB420" s="698" t="str">
        <f t="shared" ca="1" si="207"/>
        <v/>
      </c>
      <c r="CC420" s="699" t="s">
        <v>8087</v>
      </c>
      <c r="CU420" s="469" t="s">
        <v>5510</v>
      </c>
      <c r="HN420" s="20"/>
      <c r="HP420" s="472"/>
    </row>
    <row r="421" spans="58:224" x14ac:dyDescent="0.25">
      <c r="BF421" s="469" t="s">
        <v>5510</v>
      </c>
      <c r="BI421" s="536" t="s">
        <v>97</v>
      </c>
      <c r="BJ421" s="680" t="str">
        <f t="shared" ca="1" si="202"/>
        <v/>
      </c>
      <c r="BK421" s="680" t="str">
        <f t="shared" ca="1" si="202"/>
        <v/>
      </c>
      <c r="BL421" s="681" t="str">
        <f t="shared" ca="1" si="202"/>
        <v/>
      </c>
      <c r="BM421" s="681" t="str">
        <f t="shared" ca="1" si="202"/>
        <v/>
      </c>
      <c r="BN421" s="681" t="str" cm="1">
        <f t="array" aca="1" ref="BN421" ca="1">IF(INDIRECT($BI$345&amp;BJ388)&lt;&gt;0,INDIRECT($BI$345&amp;BJ388),"")</f>
        <v/>
      </c>
      <c r="BO421" s="681" t="str" cm="1">
        <f t="array" aca="1" ref="BO421" ca="1">IF(INDIRECT($BI$345&amp;BK388)&lt;&gt;0,INDIRECT($BI$345&amp;BK388),"")</f>
        <v/>
      </c>
      <c r="BP421" s="698" t="str">
        <f t="shared" ca="1" si="203"/>
        <v/>
      </c>
      <c r="BQ421" s="698" t="str">
        <f t="shared" ca="1" si="204"/>
        <v/>
      </c>
      <c r="BR421" s="700" t="s">
        <v>8088</v>
      </c>
      <c r="BT421" s="536" t="s">
        <v>97</v>
      </c>
      <c r="BU421" s="680" t="str">
        <f t="shared" ca="1" si="205"/>
        <v/>
      </c>
      <c r="BV421" s="680" t="str">
        <f t="shared" ca="1" si="205"/>
        <v/>
      </c>
      <c r="BW421" s="681" t="str">
        <f t="shared" ca="1" si="205"/>
        <v/>
      </c>
      <c r="BX421" s="681" t="str">
        <f t="shared" ca="1" si="205"/>
        <v/>
      </c>
      <c r="BY421" s="539" t="str" cm="1">
        <f t="array" aca="1" ref="BY421" ca="1">IF(INDIRECT($BI$345&amp;BL388)&lt;&gt;0,INDIRECT($BI$345&amp;BL388),"")</f>
        <v/>
      </c>
      <c r="BZ421" s="539" t="str" cm="1">
        <f t="array" aca="1" ref="BZ421" ca="1">IF(INDIRECT($BI$345&amp;BM388)&lt;&gt;0,INDIRECT($BI$345&amp;BM388),"")</f>
        <v/>
      </c>
      <c r="CA421" s="698" t="str">
        <f t="shared" ca="1" si="206"/>
        <v/>
      </c>
      <c r="CB421" s="698" t="str">
        <f t="shared" ca="1" si="207"/>
        <v/>
      </c>
      <c r="CC421" s="700" t="s">
        <v>8088</v>
      </c>
      <c r="CU421" s="469" t="s">
        <v>5510</v>
      </c>
      <c r="HN421" s="20"/>
      <c r="HP421" s="472"/>
    </row>
    <row r="422" spans="58:224" x14ac:dyDescent="0.25">
      <c r="BF422" s="469" t="s">
        <v>5510</v>
      </c>
      <c r="BI422" s="536" t="s">
        <v>98</v>
      </c>
      <c r="BJ422" s="680" t="str">
        <f t="shared" ca="1" si="202"/>
        <v/>
      </c>
      <c r="BK422" s="680" t="str">
        <f t="shared" ca="1" si="202"/>
        <v/>
      </c>
      <c r="BL422" s="681" t="str">
        <f t="shared" ca="1" si="202"/>
        <v/>
      </c>
      <c r="BM422" s="681" t="str">
        <f t="shared" ca="1" si="202"/>
        <v/>
      </c>
      <c r="BN422" s="681" t="str" cm="1">
        <f t="array" aca="1" ref="BN422" ca="1">IF(INDIRECT($BI$345&amp;BJ389)&lt;&gt;0,INDIRECT($BI$345&amp;BJ389),"")</f>
        <v/>
      </c>
      <c r="BO422" s="681" t="str" cm="1">
        <f t="array" aca="1" ref="BO422" ca="1">IF(INDIRECT($BI$345&amp;BK389)&lt;&gt;0,INDIRECT($BI$345&amp;BK389),"")</f>
        <v/>
      </c>
      <c r="BP422" s="698" t="str">
        <f t="shared" ca="1" si="203"/>
        <v/>
      </c>
      <c r="BQ422" s="698" t="str">
        <f t="shared" ca="1" si="204"/>
        <v/>
      </c>
      <c r="BR422" s="679" t="s">
        <v>8089</v>
      </c>
      <c r="BT422" s="536" t="s">
        <v>98</v>
      </c>
      <c r="BU422" s="680" t="str">
        <f t="shared" ca="1" si="205"/>
        <v/>
      </c>
      <c r="BV422" s="680" t="str">
        <f t="shared" ca="1" si="205"/>
        <v/>
      </c>
      <c r="BW422" s="681" t="str">
        <f t="shared" ca="1" si="205"/>
        <v/>
      </c>
      <c r="BX422" s="681" t="str">
        <f t="shared" ca="1" si="205"/>
        <v/>
      </c>
      <c r="BY422" s="539" t="str" cm="1">
        <f t="array" aca="1" ref="BY422" ca="1">IF(INDIRECT($BI$345&amp;BL389)&lt;&gt;0,INDIRECT($BI$345&amp;BL389),"")</f>
        <v/>
      </c>
      <c r="BZ422" s="539" t="str" cm="1">
        <f t="array" aca="1" ref="BZ422" ca="1">IF(INDIRECT($BI$345&amp;BM389)&lt;&gt;0,INDIRECT($BI$345&amp;BM389),"")</f>
        <v/>
      </c>
      <c r="CA422" s="698" t="str">
        <f t="shared" ca="1" si="206"/>
        <v/>
      </c>
      <c r="CB422" s="698" t="str">
        <f t="shared" ca="1" si="207"/>
        <v/>
      </c>
      <c r="CC422" s="679" t="s">
        <v>8089</v>
      </c>
      <c r="CU422" s="469" t="s">
        <v>5510</v>
      </c>
      <c r="HN422" s="20"/>
      <c r="HP422" s="472"/>
    </row>
    <row r="423" spans="58:224" x14ac:dyDescent="0.25">
      <c r="BF423" s="469" t="s">
        <v>5510</v>
      </c>
      <c r="BI423" s="536" t="s">
        <v>99</v>
      </c>
      <c r="BJ423" s="680" t="str">
        <f t="shared" ca="1" si="202"/>
        <v/>
      </c>
      <c r="BK423" s="680" t="str">
        <f t="shared" ca="1" si="202"/>
        <v/>
      </c>
      <c r="BL423" s="681" t="str">
        <f t="shared" ca="1" si="202"/>
        <v/>
      </c>
      <c r="BM423" s="681" t="str">
        <f t="shared" ca="1" si="202"/>
        <v/>
      </c>
      <c r="BN423" s="681" t="str" cm="1">
        <f t="array" aca="1" ref="BN423" ca="1">IF(INDIRECT($BI$345&amp;BJ390)&lt;&gt;0,INDIRECT($BI$345&amp;BJ390),"")</f>
        <v/>
      </c>
      <c r="BO423" s="681" t="str" cm="1">
        <f t="array" aca="1" ref="BO423" ca="1">IF(INDIRECT($BI$345&amp;BK390)&lt;&gt;0,INDIRECT($BI$345&amp;BK390),"")</f>
        <v/>
      </c>
      <c r="BP423" s="698" t="str">
        <f t="shared" ca="1" si="203"/>
        <v/>
      </c>
      <c r="BQ423" s="698" t="str">
        <f t="shared" ca="1" si="204"/>
        <v/>
      </c>
      <c r="BR423" s="701" t="s">
        <v>8090</v>
      </c>
      <c r="BT423" s="536" t="s">
        <v>99</v>
      </c>
      <c r="BU423" s="680" t="str">
        <f t="shared" ca="1" si="205"/>
        <v/>
      </c>
      <c r="BV423" s="680" t="str">
        <f t="shared" ca="1" si="205"/>
        <v/>
      </c>
      <c r="BW423" s="681" t="str">
        <f t="shared" ca="1" si="205"/>
        <v/>
      </c>
      <c r="BX423" s="681" t="str">
        <f t="shared" ca="1" si="205"/>
        <v/>
      </c>
      <c r="BY423" s="539" t="str" cm="1">
        <f t="array" aca="1" ref="BY423" ca="1">IF(INDIRECT($BI$345&amp;BL390)&lt;&gt;0,INDIRECT($BI$345&amp;BL390),"")</f>
        <v/>
      </c>
      <c r="BZ423" s="539" t="str" cm="1">
        <f t="array" aca="1" ref="BZ423" ca="1">IF(INDIRECT($BI$345&amp;BM390)&lt;&gt;0,INDIRECT($BI$345&amp;BM390),"")</f>
        <v/>
      </c>
      <c r="CA423" s="698" t="str">
        <f t="shared" ca="1" si="206"/>
        <v/>
      </c>
      <c r="CB423" s="698" t="str">
        <f t="shared" ca="1" si="207"/>
        <v/>
      </c>
      <c r="CC423" s="701" t="s">
        <v>8090</v>
      </c>
      <c r="CU423" s="469" t="s">
        <v>5510</v>
      </c>
      <c r="HN423" s="20"/>
      <c r="HP423" s="472"/>
    </row>
    <row r="424" spans="58:224" x14ac:dyDescent="0.25">
      <c r="BF424" s="469" t="s">
        <v>5510</v>
      </c>
      <c r="CU424" s="469" t="s">
        <v>5510</v>
      </c>
      <c r="HN424" s="20"/>
      <c r="HP424" s="472"/>
    </row>
    <row r="425" spans="58:224" x14ac:dyDescent="0.25">
      <c r="BF425" s="469" t="s">
        <v>5510</v>
      </c>
      <c r="CU425" s="469" t="s">
        <v>5510</v>
      </c>
      <c r="HN425" s="20"/>
      <c r="HP425" s="472"/>
    </row>
    <row r="426" spans="58:224" x14ac:dyDescent="0.25">
      <c r="BF426" s="469" t="s">
        <v>5510</v>
      </c>
      <c r="BI426" s="20"/>
      <c r="BJ426" s="687" t="s">
        <v>8101</v>
      </c>
      <c r="BK426" s="688"/>
      <c r="BL426" s="688"/>
      <c r="BM426" s="689"/>
      <c r="BN426" s="20"/>
      <c r="BO426" s="20"/>
      <c r="BU426" s="690" t="s">
        <v>8103</v>
      </c>
      <c r="BV426" s="691"/>
      <c r="BW426" s="691"/>
      <c r="BX426" s="692"/>
      <c r="CU426" s="469" t="s">
        <v>5510</v>
      </c>
      <c r="HN426" s="20"/>
      <c r="HP426" s="472"/>
    </row>
    <row r="427" spans="58:224" x14ac:dyDescent="0.25">
      <c r="BF427" s="469" t="s">
        <v>5510</v>
      </c>
      <c r="BI427" s="372" t="s">
        <v>5802</v>
      </c>
      <c r="BJ427" s="697" t="str">
        <f ca="1">$CQ$16</f>
        <v>-</v>
      </c>
      <c r="BK427" s="694"/>
      <c r="BL427" s="694"/>
      <c r="BM427" s="695"/>
      <c r="BN427" s="696" t="s">
        <v>5742</v>
      </c>
      <c r="BO427" s="484" t="s">
        <v>5742</v>
      </c>
      <c r="BP427" s="484" t="s">
        <v>8104</v>
      </c>
      <c r="BQ427" s="484" t="s">
        <v>8104</v>
      </c>
      <c r="BT427" s="372" t="s">
        <v>5802</v>
      </c>
      <c r="BU427" s="697" t="str">
        <f ca="1">$CQ$16</f>
        <v>-</v>
      </c>
      <c r="BV427" s="694"/>
      <c r="BW427" s="694"/>
      <c r="BX427" s="695"/>
      <c r="BY427" s="696" t="s">
        <v>5742</v>
      </c>
      <c r="BZ427" s="484" t="s">
        <v>5742</v>
      </c>
      <c r="CA427" s="484" t="s">
        <v>8104</v>
      </c>
      <c r="CB427" s="484" t="s">
        <v>8104</v>
      </c>
      <c r="CU427" s="469" t="s">
        <v>5510</v>
      </c>
      <c r="HN427" s="20"/>
      <c r="HP427" s="472"/>
    </row>
    <row r="428" spans="58:224" x14ac:dyDescent="0.25">
      <c r="BF428" s="469" t="s">
        <v>5510</v>
      </c>
      <c r="BI428" s="372" t="s">
        <v>8092</v>
      </c>
      <c r="BJ428" s="536" t="s">
        <v>10</v>
      </c>
      <c r="BK428" s="536" t="s">
        <v>10</v>
      </c>
      <c r="BL428" s="536" t="s">
        <v>237</v>
      </c>
      <c r="BM428" s="536" t="s">
        <v>237</v>
      </c>
      <c r="BN428" s="536" t="s">
        <v>10</v>
      </c>
      <c r="BO428" s="536" t="s">
        <v>237</v>
      </c>
      <c r="BP428" s="479" t="s">
        <v>10</v>
      </c>
      <c r="BQ428" s="479" t="s">
        <v>237</v>
      </c>
      <c r="BT428" s="372" t="s">
        <v>8092</v>
      </c>
      <c r="BU428" s="536" t="s">
        <v>10</v>
      </c>
      <c r="BV428" s="536" t="s">
        <v>10</v>
      </c>
      <c r="BW428" s="536" t="s">
        <v>237</v>
      </c>
      <c r="BX428" s="536" t="s">
        <v>237</v>
      </c>
      <c r="BY428" s="536" t="s">
        <v>10</v>
      </c>
      <c r="BZ428" s="536" t="s">
        <v>237</v>
      </c>
      <c r="CA428" s="479" t="s">
        <v>10</v>
      </c>
      <c r="CB428" s="479" t="s">
        <v>237</v>
      </c>
      <c r="CU428" s="469" t="s">
        <v>5510</v>
      </c>
      <c r="HN428" s="20"/>
      <c r="HP428" s="472"/>
    </row>
    <row r="429" spans="58:224" x14ac:dyDescent="0.25">
      <c r="BF429" s="469" t="s">
        <v>5510</v>
      </c>
      <c r="BJ429" s="536" t="s">
        <v>109</v>
      </c>
      <c r="BK429" s="536" t="s">
        <v>110</v>
      </c>
      <c r="BL429" s="536" t="s">
        <v>109</v>
      </c>
      <c r="BM429" s="536" t="s">
        <v>110</v>
      </c>
      <c r="BN429" s="536"/>
      <c r="BO429" s="536"/>
      <c r="BT429" s="372"/>
      <c r="BU429" s="536" t="s">
        <v>109</v>
      </c>
      <c r="BV429" s="536" t="s">
        <v>110</v>
      </c>
      <c r="BW429" s="536" t="s">
        <v>109</v>
      </c>
      <c r="BX429" s="536" t="s">
        <v>110</v>
      </c>
      <c r="BY429" s="536"/>
      <c r="BZ429" s="536"/>
      <c r="CA429" s="372"/>
      <c r="CB429" s="372"/>
      <c r="CU429" s="469" t="s">
        <v>5510</v>
      </c>
      <c r="HN429" s="20"/>
      <c r="HP429" s="472"/>
    </row>
    <row r="430" spans="58:224" x14ac:dyDescent="0.25">
      <c r="BF430" s="469" t="s">
        <v>5510</v>
      </c>
      <c r="BI430" s="536" t="s">
        <v>90</v>
      </c>
      <c r="BJ430" s="680" t="str">
        <f t="shared" ref="BJ430:BM439" ca="1" si="208">IF($BJ$427="-","",IF($BJ$427=$BJ$396,BJ399,BN399))</f>
        <v/>
      </c>
      <c r="BK430" s="680" t="str">
        <f t="shared" ca="1" si="208"/>
        <v/>
      </c>
      <c r="BL430" s="681" t="str">
        <f t="shared" ca="1" si="208"/>
        <v/>
      </c>
      <c r="BM430" s="681" t="str">
        <f t="shared" ca="1" si="208"/>
        <v/>
      </c>
      <c r="BN430" s="539" t="str" cm="1">
        <f t="array" aca="1" ref="BN430" ca="1">IF(INDIRECT($BI$346&amp;BJ381)&lt;&gt;0,INDIRECT($BI$346&amp;BJ381),"")</f>
        <v/>
      </c>
      <c r="BO430" s="539" t="str" cm="1">
        <f t="array" aca="1" ref="BO430" ca="1">IF(INDIRECT($BI$346&amp;BK381)&lt;&gt;0,INDIRECT($BI$346&amp;BK381),"")</f>
        <v/>
      </c>
      <c r="BP430" s="698" t="str">
        <f ca="1">IF(BN430="","",
IF(BJ430="",3,IF(BN430&lt;BJ430,1,IF(BN430&gt;BK430,2,0)))
)</f>
        <v/>
      </c>
      <c r="BQ430" s="698" t="str">
        <f ca="1">IF(BO430="","",
IF(BL430="",3,IF(BO430&lt;BL430,1,IF(BO430&gt;BM430,2,0)))
)</f>
        <v/>
      </c>
      <c r="BT430" s="536" t="s">
        <v>90</v>
      </c>
      <c r="BU430" s="680" t="str">
        <f ca="1">IF($BU$427="-","",IF($BU$427=$BU$396,BU399,BY399))</f>
        <v/>
      </c>
      <c r="BV430" s="680" t="str">
        <f ca="1">IF($BU$427="-","",IF($BU$427=$BU$396,BV399,BZ399))</f>
        <v/>
      </c>
      <c r="BW430" s="681" t="str">
        <f ca="1">IF($BU$427="-","",IF($BU$427=$BU$396,BW399,CA399))</f>
        <v/>
      </c>
      <c r="BX430" s="681" t="str">
        <f ca="1">IF($BU$427="-","",IF($BU$427=$BU$396,BX399,CB399))</f>
        <v/>
      </c>
      <c r="BY430" s="539" t="str" cm="1">
        <f t="array" aca="1" ref="BY430" ca="1">IF(INDIRECT($BI$346&amp;BL381)&lt;&gt;0,INDIRECT($BI$346&amp;BL381),"")</f>
        <v/>
      </c>
      <c r="BZ430" s="539" t="str" cm="1">
        <f t="array" aca="1" ref="BZ430" ca="1">IF(INDIRECT($BI$346&amp;BM381)&lt;&gt;0,INDIRECT($BI$346&amp;BM381),"")</f>
        <v/>
      </c>
      <c r="CA430" s="698" t="str">
        <f ca="1">IF(BY430="","",
IF(BU430="",3,IF(BY430&lt;BU430,1,IF(BY430&gt;BV430,2,0)))
)</f>
        <v/>
      </c>
      <c r="CB430" s="698" t="str">
        <f ca="1">IF(BZ430="","",
IF(BW430="",3,IF(BZ430&lt;BW430,1,IF(BZ430&gt;BX430,2,0)))
)</f>
        <v/>
      </c>
      <c r="CU430" s="469" t="s">
        <v>5510</v>
      </c>
      <c r="HN430" s="20"/>
      <c r="HP430" s="472"/>
    </row>
    <row r="431" spans="58:224" x14ac:dyDescent="0.25">
      <c r="BF431" s="469" t="s">
        <v>5510</v>
      </c>
      <c r="BI431" s="536" t="s">
        <v>91</v>
      </c>
      <c r="BJ431" s="680" t="str">
        <f t="shared" ca="1" si="208"/>
        <v/>
      </c>
      <c r="BK431" s="680" t="str">
        <f t="shared" ca="1" si="208"/>
        <v/>
      </c>
      <c r="BL431" s="681" t="str">
        <f t="shared" ca="1" si="208"/>
        <v/>
      </c>
      <c r="BM431" s="681" t="str">
        <f t="shared" ca="1" si="208"/>
        <v/>
      </c>
      <c r="BN431" s="539" t="str" cm="1">
        <f t="array" aca="1" ref="BN431" ca="1">IF(INDIRECT($BI$346&amp;BJ382)&lt;&gt;0,INDIRECT($BI$346&amp;BJ382),"")</f>
        <v/>
      </c>
      <c r="BO431" s="539" t="str" cm="1">
        <f t="array" aca="1" ref="BO431" ca="1">IF(INDIRECT($BI$346&amp;BK382)&lt;&gt;0,INDIRECT($BI$346&amp;BK382),"")</f>
        <v/>
      </c>
      <c r="BP431" s="698" t="str">
        <f ca="1">IF(BN431="","",
IF(BJ431="",3,IF(BN431&lt;BJ431,1,IF(BN431&gt;BK431,2,0)))
)</f>
        <v/>
      </c>
      <c r="BQ431" s="698" t="str">
        <f t="shared" ref="BQ431:BQ439" ca="1" si="209">IF(BO431="","",
IF(BL431="",3,IF(BO431&lt;BL431,1,IF(BO431&gt;BM431,2,0)))
)</f>
        <v/>
      </c>
      <c r="BT431" s="536" t="s">
        <v>91</v>
      </c>
      <c r="BU431" s="680" t="str">
        <f t="shared" ref="BU431:BX439" ca="1" si="210">IF($BU$427="-","",IF($BU$427=$BU$396,BU400,BY400))</f>
        <v/>
      </c>
      <c r="BV431" s="680" t="str">
        <f t="shared" ca="1" si="210"/>
        <v/>
      </c>
      <c r="BW431" s="681" t="str">
        <f t="shared" ca="1" si="210"/>
        <v/>
      </c>
      <c r="BX431" s="681" t="str">
        <f t="shared" ca="1" si="210"/>
        <v/>
      </c>
      <c r="BY431" s="539" t="str" cm="1">
        <f t="array" aca="1" ref="BY431" ca="1">IF(INDIRECT($BI$346&amp;BL382)&lt;&gt;0,INDIRECT($BI$346&amp;BL382),"")</f>
        <v/>
      </c>
      <c r="BZ431" s="539" t="str" cm="1">
        <f t="array" aca="1" ref="BZ431" ca="1">IF(INDIRECT($BI$346&amp;BM382)&lt;&gt;0,INDIRECT($BI$346&amp;BM382),"")</f>
        <v/>
      </c>
      <c r="CA431" s="698" t="str">
        <f t="shared" ref="CA431" ca="1" si="211">IF(BY431="","",
IF(BU431="",3,IF(BY431&lt;BU431,1,IF(BY431&gt;BV431,2,0)))
)</f>
        <v/>
      </c>
      <c r="CB431" s="698" t="str">
        <f t="shared" ref="CB431:CB439" ca="1" si="212">IF(BZ431="","",
IF(BW431="",3,IF(BZ431&lt;BW431,1,IF(BZ431&gt;BX431,2,0)))
)</f>
        <v/>
      </c>
      <c r="CU431" s="469" t="s">
        <v>5510</v>
      </c>
      <c r="HN431" s="20"/>
      <c r="HP431" s="472"/>
    </row>
    <row r="432" spans="58:224" x14ac:dyDescent="0.25">
      <c r="BF432" s="469" t="s">
        <v>5510</v>
      </c>
      <c r="BI432" s="536" t="s">
        <v>92</v>
      </c>
      <c r="BJ432" s="680" t="str">
        <f t="shared" ca="1" si="208"/>
        <v/>
      </c>
      <c r="BK432" s="680" t="str">
        <f t="shared" ca="1" si="208"/>
        <v/>
      </c>
      <c r="BL432" s="681" t="str">
        <f t="shared" ca="1" si="208"/>
        <v/>
      </c>
      <c r="BM432" s="681" t="str">
        <f t="shared" ca="1" si="208"/>
        <v/>
      </c>
      <c r="BN432" s="539" t="str" cm="1">
        <f t="array" aca="1" ref="BN432" ca="1">IF(INDIRECT($BI$346&amp;BJ383)&lt;&gt;0,INDIRECT($BI$346&amp;BJ383),"")</f>
        <v/>
      </c>
      <c r="BO432" s="539" t="str" cm="1">
        <f t="array" aca="1" ref="BO432" ca="1">IF(INDIRECT($BI$346&amp;BK383)&lt;&gt;0,INDIRECT($BI$346&amp;BK383),"")</f>
        <v/>
      </c>
      <c r="BP432" s="698" t="str">
        <f t="shared" ref="BP432:BP439" ca="1" si="213">IF(BN432="","",
IF(BJ432="",3,IF(BN432&lt;BJ432,1,IF(BN432&gt;BK432,2,0)))
)</f>
        <v/>
      </c>
      <c r="BQ432" s="698" t="str">
        <f t="shared" ca="1" si="209"/>
        <v/>
      </c>
      <c r="BT432" s="536" t="s">
        <v>92</v>
      </c>
      <c r="BU432" s="680" t="str">
        <f t="shared" ca="1" si="210"/>
        <v/>
      </c>
      <c r="BV432" s="680" t="str">
        <f t="shared" ca="1" si="210"/>
        <v/>
      </c>
      <c r="BW432" s="681" t="str">
        <f t="shared" ca="1" si="210"/>
        <v/>
      </c>
      <c r="BX432" s="681" t="str">
        <f t="shared" ca="1" si="210"/>
        <v/>
      </c>
      <c r="BY432" s="539" t="str" cm="1">
        <f t="array" aca="1" ref="BY432" ca="1">IF(INDIRECT($BI$346&amp;BL383)&lt;&gt;0,INDIRECT($BI$346&amp;BL383),"")</f>
        <v/>
      </c>
      <c r="BZ432" s="539" t="str" cm="1">
        <f t="array" aca="1" ref="BZ432" ca="1">IF(INDIRECT($BI$346&amp;BM383)&lt;&gt;0,INDIRECT($BI$346&amp;BM383),"")</f>
        <v/>
      </c>
      <c r="CA432" s="698" t="str">
        <f ca="1">IF(BY432="","",
IF(BU432="",3,IF(BY432&lt;BU432,1,IF(BY432&gt;BV432,2,0)))
)</f>
        <v/>
      </c>
      <c r="CB432" s="698" t="str">
        <f t="shared" ca="1" si="212"/>
        <v/>
      </c>
      <c r="CU432" s="469" t="s">
        <v>5510</v>
      </c>
      <c r="HN432" s="20"/>
      <c r="HP432" s="472"/>
    </row>
    <row r="433" spans="58:224" x14ac:dyDescent="0.25">
      <c r="BF433" s="469" t="s">
        <v>5510</v>
      </c>
      <c r="BI433" s="536" t="s">
        <v>93</v>
      </c>
      <c r="BJ433" s="680" t="str">
        <f t="shared" ca="1" si="208"/>
        <v/>
      </c>
      <c r="BK433" s="680" t="str">
        <f t="shared" ca="1" si="208"/>
        <v/>
      </c>
      <c r="BL433" s="681" t="str">
        <f t="shared" ca="1" si="208"/>
        <v/>
      </c>
      <c r="BM433" s="681" t="str">
        <f t="shared" ca="1" si="208"/>
        <v/>
      </c>
      <c r="BN433" s="539" t="str" cm="1">
        <f t="array" aca="1" ref="BN433" ca="1">IF(INDIRECT($BI$346&amp;BJ384)&lt;&gt;0,INDIRECT($BI$346&amp;BJ384),"")</f>
        <v/>
      </c>
      <c r="BO433" s="539" t="str" cm="1">
        <f t="array" aca="1" ref="BO433" ca="1">IF(INDIRECT($BI$346&amp;BK384)&lt;&gt;0,INDIRECT($BI$346&amp;BK384),"")</f>
        <v/>
      </c>
      <c r="BP433" s="698" t="str">
        <f t="shared" ca="1" si="213"/>
        <v/>
      </c>
      <c r="BQ433" s="698" t="str">
        <f t="shared" ca="1" si="209"/>
        <v/>
      </c>
      <c r="BT433" s="536" t="s">
        <v>93</v>
      </c>
      <c r="BU433" s="680" t="str">
        <f t="shared" ca="1" si="210"/>
        <v/>
      </c>
      <c r="BV433" s="680" t="str">
        <f t="shared" ca="1" si="210"/>
        <v/>
      </c>
      <c r="BW433" s="681" t="str">
        <f t="shared" ca="1" si="210"/>
        <v/>
      </c>
      <c r="BX433" s="681" t="str">
        <f t="shared" ca="1" si="210"/>
        <v/>
      </c>
      <c r="BY433" s="539" t="str" cm="1">
        <f t="array" aca="1" ref="BY433" ca="1">IF(INDIRECT($BI$346&amp;BL384)&lt;&gt;0,INDIRECT($BI$346&amp;BL384),"")</f>
        <v/>
      </c>
      <c r="BZ433" s="539" t="str" cm="1">
        <f t="array" aca="1" ref="BZ433" ca="1">IF(INDIRECT($BI$346&amp;BM384)&lt;&gt;0,INDIRECT($BI$346&amp;BM384),"")</f>
        <v/>
      </c>
      <c r="CA433" s="698" t="str">
        <f ca="1">IF(BY433="","",
IF(BU433="",3,IF(BY433&lt;BU433,1,IF(BY433&gt;BV433,2,0)))
)</f>
        <v/>
      </c>
      <c r="CB433" s="698" t="str">
        <f t="shared" ca="1" si="212"/>
        <v/>
      </c>
      <c r="CU433" s="469" t="s">
        <v>5510</v>
      </c>
      <c r="HN433" s="20"/>
      <c r="HP433" s="472"/>
    </row>
    <row r="434" spans="58:224" x14ac:dyDescent="0.25">
      <c r="BF434" s="469" t="s">
        <v>5510</v>
      </c>
      <c r="BI434" s="536" t="s">
        <v>94</v>
      </c>
      <c r="BJ434" s="680" t="str">
        <f t="shared" ca="1" si="208"/>
        <v/>
      </c>
      <c r="BK434" s="680" t="str">
        <f t="shared" ca="1" si="208"/>
        <v/>
      </c>
      <c r="BL434" s="681" t="str">
        <f t="shared" ca="1" si="208"/>
        <v/>
      </c>
      <c r="BM434" s="681" t="str">
        <f t="shared" ca="1" si="208"/>
        <v/>
      </c>
      <c r="BN434" s="539" t="str" cm="1">
        <f t="array" aca="1" ref="BN434" ca="1">IF(INDIRECT($BI$346&amp;BJ385)&lt;&gt;0,INDIRECT($BI$346&amp;BJ385),"")</f>
        <v/>
      </c>
      <c r="BO434" s="539" t="str" cm="1">
        <f t="array" aca="1" ref="BO434" ca="1">IF(INDIRECT($BI$346&amp;BK385)&lt;&gt;0,INDIRECT($BI$346&amp;BK385),"")</f>
        <v/>
      </c>
      <c r="BP434" s="698" t="str">
        <f t="shared" ca="1" si="213"/>
        <v/>
      </c>
      <c r="BQ434" s="698" t="str">
        <f t="shared" ca="1" si="209"/>
        <v/>
      </c>
      <c r="BT434" s="536" t="s">
        <v>94</v>
      </c>
      <c r="BU434" s="680" t="str">
        <f t="shared" ca="1" si="210"/>
        <v/>
      </c>
      <c r="BV434" s="680" t="str">
        <f t="shared" ca="1" si="210"/>
        <v/>
      </c>
      <c r="BW434" s="681" t="str">
        <f t="shared" ca="1" si="210"/>
        <v/>
      </c>
      <c r="BX434" s="681" t="str">
        <f t="shared" ca="1" si="210"/>
        <v/>
      </c>
      <c r="BY434" s="539" t="str" cm="1">
        <f t="array" aca="1" ref="BY434" ca="1">IF(INDIRECT($BI$346&amp;BL385)&lt;&gt;0,INDIRECT($BI$346&amp;BL385),"")</f>
        <v/>
      </c>
      <c r="BZ434" s="539" t="str" cm="1">
        <f t="array" aca="1" ref="BZ434" ca="1">IF(INDIRECT($BI$346&amp;BM385)&lt;&gt;0,INDIRECT($BI$346&amp;BM385),"")</f>
        <v/>
      </c>
      <c r="CA434" s="698" t="str">
        <f t="shared" ref="CA434:CA439" ca="1" si="214">IF(BY434="","",
IF(BU434="",3,IF(BY434&lt;BU434,1,IF(BY434&gt;BV434,2,0)))
)</f>
        <v/>
      </c>
      <c r="CB434" s="698" t="str">
        <f t="shared" ca="1" si="212"/>
        <v/>
      </c>
      <c r="CU434" s="469" t="s">
        <v>5510</v>
      </c>
      <c r="HN434" s="20"/>
      <c r="HP434" s="472"/>
    </row>
    <row r="435" spans="58:224" x14ac:dyDescent="0.25">
      <c r="BF435" s="469" t="s">
        <v>5510</v>
      </c>
      <c r="BI435" s="536" t="s">
        <v>95</v>
      </c>
      <c r="BJ435" s="680" t="str">
        <f t="shared" ca="1" si="208"/>
        <v/>
      </c>
      <c r="BK435" s="680" t="str">
        <f t="shared" ca="1" si="208"/>
        <v/>
      </c>
      <c r="BL435" s="681" t="str">
        <f t="shared" ca="1" si="208"/>
        <v/>
      </c>
      <c r="BM435" s="681" t="str">
        <f t="shared" ca="1" si="208"/>
        <v/>
      </c>
      <c r="BN435" s="539" t="str" cm="1">
        <f t="array" aca="1" ref="BN435" ca="1">IF(INDIRECT($BI$346&amp;BJ386)&lt;&gt;0,INDIRECT($BI$346&amp;BJ386),"")</f>
        <v/>
      </c>
      <c r="BO435" s="539" t="str" cm="1">
        <f t="array" aca="1" ref="BO435" ca="1">IF(INDIRECT($BI$346&amp;BK386)&lt;&gt;0,INDIRECT($BI$346&amp;BK386),"")</f>
        <v/>
      </c>
      <c r="BP435" s="698" t="str">
        <f t="shared" ca="1" si="213"/>
        <v/>
      </c>
      <c r="BQ435" s="698" t="str">
        <f t="shared" ca="1" si="209"/>
        <v/>
      </c>
      <c r="BT435" s="536" t="s">
        <v>95</v>
      </c>
      <c r="BU435" s="680" t="str">
        <f t="shared" ca="1" si="210"/>
        <v/>
      </c>
      <c r="BV435" s="680" t="str">
        <f t="shared" ca="1" si="210"/>
        <v/>
      </c>
      <c r="BW435" s="681" t="str">
        <f t="shared" ca="1" si="210"/>
        <v/>
      </c>
      <c r="BX435" s="681" t="str">
        <f t="shared" ca="1" si="210"/>
        <v/>
      </c>
      <c r="BY435" s="539" t="str" cm="1">
        <f t="array" aca="1" ref="BY435" ca="1">IF(INDIRECT($BI$346&amp;BL386)&lt;&gt;0,INDIRECT($BI$346&amp;BL386),"")</f>
        <v/>
      </c>
      <c r="BZ435" s="539" t="str" cm="1">
        <f t="array" aca="1" ref="BZ435" ca="1">IF(INDIRECT($BI$346&amp;BM386)&lt;&gt;0,INDIRECT($BI$346&amp;BM386),"")</f>
        <v/>
      </c>
      <c r="CA435" s="698" t="str">
        <f t="shared" ca="1" si="214"/>
        <v/>
      </c>
      <c r="CB435" s="698" t="str">
        <f t="shared" ca="1" si="212"/>
        <v/>
      </c>
      <c r="CU435" s="469" t="s">
        <v>5510</v>
      </c>
      <c r="HN435" s="20"/>
      <c r="HP435" s="472"/>
    </row>
    <row r="436" spans="58:224" x14ac:dyDescent="0.25">
      <c r="BF436" s="469" t="s">
        <v>5510</v>
      </c>
      <c r="BI436" s="536" t="s">
        <v>96</v>
      </c>
      <c r="BJ436" s="680" t="str">
        <f t="shared" ca="1" si="208"/>
        <v/>
      </c>
      <c r="BK436" s="680" t="str">
        <f t="shared" ca="1" si="208"/>
        <v/>
      </c>
      <c r="BL436" s="681" t="str">
        <f t="shared" ca="1" si="208"/>
        <v/>
      </c>
      <c r="BM436" s="681" t="str">
        <f t="shared" ca="1" si="208"/>
        <v/>
      </c>
      <c r="BN436" s="539" t="str" cm="1">
        <f t="array" aca="1" ref="BN436" ca="1">IF(INDIRECT($BI$346&amp;BJ387)&lt;&gt;0,INDIRECT($BI$346&amp;BJ387),"")</f>
        <v/>
      </c>
      <c r="BO436" s="539" t="str" cm="1">
        <f t="array" aca="1" ref="BO436" ca="1">IF(INDIRECT($BI$346&amp;BK387)&lt;&gt;0,INDIRECT($BI$346&amp;BK387),"")</f>
        <v/>
      </c>
      <c r="BP436" s="698" t="str">
        <f t="shared" ca="1" si="213"/>
        <v/>
      </c>
      <c r="BQ436" s="698" t="str">
        <f t="shared" ca="1" si="209"/>
        <v/>
      </c>
      <c r="BR436" s="699" t="s">
        <v>8087</v>
      </c>
      <c r="BT436" s="536" t="s">
        <v>96</v>
      </c>
      <c r="BU436" s="680" t="str">
        <f t="shared" ca="1" si="210"/>
        <v/>
      </c>
      <c r="BV436" s="680" t="str">
        <f t="shared" ca="1" si="210"/>
        <v/>
      </c>
      <c r="BW436" s="681" t="str">
        <f t="shared" ca="1" si="210"/>
        <v/>
      </c>
      <c r="BX436" s="681" t="str">
        <f t="shared" ca="1" si="210"/>
        <v/>
      </c>
      <c r="BY436" s="539" t="str" cm="1">
        <f t="array" aca="1" ref="BY436" ca="1">IF(INDIRECT($BI$346&amp;BL387)&lt;&gt;0,INDIRECT($BI$346&amp;BL387),"")</f>
        <v/>
      </c>
      <c r="BZ436" s="539" t="str" cm="1">
        <f t="array" aca="1" ref="BZ436" ca="1">IF(INDIRECT($BI$346&amp;BM387)&lt;&gt;0,INDIRECT($BI$346&amp;BM387),"")</f>
        <v/>
      </c>
      <c r="CA436" s="698" t="str">
        <f t="shared" ca="1" si="214"/>
        <v/>
      </c>
      <c r="CB436" s="698" t="str">
        <f t="shared" ca="1" si="212"/>
        <v/>
      </c>
      <c r="CC436" s="699" t="s">
        <v>8087</v>
      </c>
      <c r="CU436" s="469" t="s">
        <v>5510</v>
      </c>
      <c r="HN436" s="20"/>
      <c r="HP436" s="472"/>
    </row>
    <row r="437" spans="58:224" x14ac:dyDescent="0.25">
      <c r="BF437" s="469" t="s">
        <v>5510</v>
      </c>
      <c r="BI437" s="536" t="s">
        <v>97</v>
      </c>
      <c r="BJ437" s="680" t="str">
        <f t="shared" ca="1" si="208"/>
        <v/>
      </c>
      <c r="BK437" s="680" t="str">
        <f t="shared" ca="1" si="208"/>
        <v/>
      </c>
      <c r="BL437" s="681" t="str">
        <f t="shared" ca="1" si="208"/>
        <v/>
      </c>
      <c r="BM437" s="681" t="str">
        <f t="shared" ca="1" si="208"/>
        <v/>
      </c>
      <c r="BN437" s="539" t="str" cm="1">
        <f t="array" aca="1" ref="BN437" ca="1">IF(INDIRECT($BI$346&amp;BJ388)&lt;&gt;0,INDIRECT($BI$346&amp;BJ388),"")</f>
        <v/>
      </c>
      <c r="BO437" s="539" t="str" cm="1">
        <f t="array" aca="1" ref="BO437" ca="1">IF(INDIRECT($BI$346&amp;BK388)&lt;&gt;0,INDIRECT($BI$346&amp;BK388),"")</f>
        <v/>
      </c>
      <c r="BP437" s="698" t="str">
        <f t="shared" ca="1" si="213"/>
        <v/>
      </c>
      <c r="BQ437" s="698" t="str">
        <f t="shared" ca="1" si="209"/>
        <v/>
      </c>
      <c r="BR437" s="700" t="s">
        <v>8088</v>
      </c>
      <c r="BT437" s="536" t="s">
        <v>97</v>
      </c>
      <c r="BU437" s="680" t="str">
        <f t="shared" ca="1" si="210"/>
        <v/>
      </c>
      <c r="BV437" s="680" t="str">
        <f t="shared" ca="1" si="210"/>
        <v/>
      </c>
      <c r="BW437" s="681" t="str">
        <f t="shared" ca="1" si="210"/>
        <v/>
      </c>
      <c r="BX437" s="681" t="str">
        <f t="shared" ca="1" si="210"/>
        <v/>
      </c>
      <c r="BY437" s="539" t="str" cm="1">
        <f t="array" aca="1" ref="BY437" ca="1">IF(INDIRECT($BI$346&amp;BL388)&lt;&gt;0,INDIRECT($BI$346&amp;BL388),"")</f>
        <v/>
      </c>
      <c r="BZ437" s="539" t="str" cm="1">
        <f t="array" aca="1" ref="BZ437" ca="1">IF(INDIRECT($BI$346&amp;BM388)&lt;&gt;0,INDIRECT($BI$346&amp;BM388),"")</f>
        <v/>
      </c>
      <c r="CA437" s="698" t="str">
        <f t="shared" ca="1" si="214"/>
        <v/>
      </c>
      <c r="CB437" s="698" t="str">
        <f t="shared" ca="1" si="212"/>
        <v/>
      </c>
      <c r="CC437" s="700" t="s">
        <v>8088</v>
      </c>
      <c r="CU437" s="469" t="s">
        <v>5510</v>
      </c>
      <c r="HN437" s="20"/>
      <c r="HP437" s="472"/>
    </row>
    <row r="438" spans="58:224" x14ac:dyDescent="0.25">
      <c r="BF438" s="469" t="s">
        <v>5510</v>
      </c>
      <c r="BI438" s="536" t="s">
        <v>98</v>
      </c>
      <c r="BJ438" s="680" t="str">
        <f t="shared" ca="1" si="208"/>
        <v/>
      </c>
      <c r="BK438" s="680" t="str">
        <f t="shared" ca="1" si="208"/>
        <v/>
      </c>
      <c r="BL438" s="681" t="str">
        <f t="shared" ca="1" si="208"/>
        <v/>
      </c>
      <c r="BM438" s="681" t="str">
        <f t="shared" ca="1" si="208"/>
        <v/>
      </c>
      <c r="BN438" s="539" t="str" cm="1">
        <f t="array" aca="1" ref="BN438" ca="1">IF(INDIRECT($BI$346&amp;BJ389)&lt;&gt;0,INDIRECT($BI$346&amp;BJ389),"")</f>
        <v/>
      </c>
      <c r="BO438" s="539" t="str" cm="1">
        <f t="array" aca="1" ref="BO438" ca="1">IF(INDIRECT($BI$346&amp;BK389)&lt;&gt;0,INDIRECT($BI$346&amp;BK389),"")</f>
        <v/>
      </c>
      <c r="BP438" s="698" t="str">
        <f t="shared" ca="1" si="213"/>
        <v/>
      </c>
      <c r="BQ438" s="698" t="str">
        <f t="shared" ca="1" si="209"/>
        <v/>
      </c>
      <c r="BR438" s="679" t="s">
        <v>8089</v>
      </c>
      <c r="BT438" s="536" t="s">
        <v>98</v>
      </c>
      <c r="BU438" s="680" t="str">
        <f t="shared" ca="1" si="210"/>
        <v/>
      </c>
      <c r="BV438" s="680" t="str">
        <f t="shared" ca="1" si="210"/>
        <v/>
      </c>
      <c r="BW438" s="681" t="str">
        <f t="shared" ca="1" si="210"/>
        <v/>
      </c>
      <c r="BX438" s="681" t="str">
        <f t="shared" ca="1" si="210"/>
        <v/>
      </c>
      <c r="BY438" s="539" t="str" cm="1">
        <f t="array" aca="1" ref="BY438" ca="1">IF(INDIRECT($BI$346&amp;BL389)&lt;&gt;0,INDIRECT($BI$346&amp;BL389),"")</f>
        <v/>
      </c>
      <c r="BZ438" s="539" t="str" cm="1">
        <f t="array" aca="1" ref="BZ438" ca="1">IF(INDIRECT($BI$346&amp;BM389)&lt;&gt;0,INDIRECT($BI$346&amp;BM389),"")</f>
        <v/>
      </c>
      <c r="CA438" s="698" t="str">
        <f t="shared" ca="1" si="214"/>
        <v/>
      </c>
      <c r="CB438" s="698" t="str">
        <f t="shared" ca="1" si="212"/>
        <v/>
      </c>
      <c r="CC438" s="679" t="s">
        <v>8089</v>
      </c>
      <c r="CU438" s="469" t="s">
        <v>5510</v>
      </c>
      <c r="HN438" s="20"/>
      <c r="HP438" s="472"/>
    </row>
    <row r="439" spans="58:224" x14ac:dyDescent="0.25">
      <c r="BF439" s="469" t="s">
        <v>5510</v>
      </c>
      <c r="BI439" s="536" t="s">
        <v>99</v>
      </c>
      <c r="BJ439" s="680" t="str">
        <f t="shared" ca="1" si="208"/>
        <v/>
      </c>
      <c r="BK439" s="680" t="str">
        <f t="shared" ca="1" si="208"/>
        <v/>
      </c>
      <c r="BL439" s="681" t="str">
        <f t="shared" ca="1" si="208"/>
        <v/>
      </c>
      <c r="BM439" s="681" t="str">
        <f t="shared" ca="1" si="208"/>
        <v/>
      </c>
      <c r="BN439" s="539" t="str" cm="1">
        <f t="array" aca="1" ref="BN439" ca="1">IF(INDIRECT($BI$346&amp;BJ390)&lt;&gt;0,INDIRECT($BI$346&amp;BJ390),"")</f>
        <v/>
      </c>
      <c r="BO439" s="539" t="str" cm="1">
        <f t="array" aca="1" ref="BO439" ca="1">IF(INDIRECT($BI$346&amp;BK390)&lt;&gt;0,INDIRECT($BI$346&amp;BK390),"")</f>
        <v/>
      </c>
      <c r="BP439" s="698" t="str">
        <f t="shared" ca="1" si="213"/>
        <v/>
      </c>
      <c r="BQ439" s="698" t="str">
        <f t="shared" ca="1" si="209"/>
        <v/>
      </c>
      <c r="BR439" s="701" t="s">
        <v>8090</v>
      </c>
      <c r="BT439" s="536" t="s">
        <v>99</v>
      </c>
      <c r="BU439" s="680" t="str">
        <f t="shared" ca="1" si="210"/>
        <v/>
      </c>
      <c r="BV439" s="680" t="str">
        <f t="shared" ca="1" si="210"/>
        <v/>
      </c>
      <c r="BW439" s="681" t="str">
        <f t="shared" ca="1" si="210"/>
        <v/>
      </c>
      <c r="BX439" s="681" t="str">
        <f t="shared" ca="1" si="210"/>
        <v/>
      </c>
      <c r="BY439" s="539" t="str" cm="1">
        <f t="array" aca="1" ref="BY439" ca="1">IF(INDIRECT($BI$346&amp;BL390)&lt;&gt;0,INDIRECT($BI$346&amp;BL390),"")</f>
        <v/>
      </c>
      <c r="BZ439" s="539" t="str" cm="1">
        <f t="array" aca="1" ref="BZ439" ca="1">IF(INDIRECT($BI$346&amp;BM390)&lt;&gt;0,INDIRECT($BI$346&amp;BM390),"")</f>
        <v/>
      </c>
      <c r="CA439" s="698" t="str">
        <f t="shared" ca="1" si="214"/>
        <v/>
      </c>
      <c r="CB439" s="698" t="str">
        <f t="shared" ca="1" si="212"/>
        <v/>
      </c>
      <c r="CC439" s="701" t="s">
        <v>8090</v>
      </c>
      <c r="CU439" s="469" t="s">
        <v>5510</v>
      </c>
      <c r="HN439" s="20"/>
      <c r="HP439" s="472"/>
    </row>
    <row r="440" spans="58:224" x14ac:dyDescent="0.25">
      <c r="BF440" s="469" t="s">
        <v>5510</v>
      </c>
      <c r="CU440" s="469" t="s">
        <v>5510</v>
      </c>
      <c r="HN440" s="20"/>
      <c r="HP440" s="472"/>
    </row>
    <row r="441" spans="58:224" x14ac:dyDescent="0.25">
      <c r="BF441" s="469" t="s">
        <v>5510</v>
      </c>
      <c r="CU441" s="469" t="s">
        <v>5510</v>
      </c>
      <c r="HN441" s="20"/>
      <c r="HP441" s="472"/>
    </row>
    <row r="442" spans="58:224" x14ac:dyDescent="0.25">
      <c r="BF442" s="469" t="s">
        <v>5510</v>
      </c>
      <c r="BI442" s="20"/>
      <c r="BJ442" s="687" t="s">
        <v>8101</v>
      </c>
      <c r="BK442" s="688"/>
      <c r="BL442" s="688"/>
      <c r="BM442" s="689"/>
      <c r="BN442" s="20"/>
      <c r="BO442" s="20"/>
      <c r="BU442" s="690" t="s">
        <v>8103</v>
      </c>
      <c r="BV442" s="691"/>
      <c r="BW442" s="691"/>
      <c r="BX442" s="692"/>
      <c r="CU442" s="469" t="s">
        <v>5510</v>
      </c>
      <c r="HN442" s="20"/>
      <c r="HP442" s="472"/>
    </row>
    <row r="443" spans="58:224" x14ac:dyDescent="0.25">
      <c r="BF443" s="469" t="s">
        <v>5510</v>
      </c>
      <c r="BI443" s="372" t="s">
        <v>5802</v>
      </c>
      <c r="BJ443" s="697" t="str">
        <f ca="1">$CQ$21</f>
        <v>-</v>
      </c>
      <c r="BK443" s="694"/>
      <c r="BL443" s="694"/>
      <c r="BM443" s="695"/>
      <c r="BN443" s="696" t="s">
        <v>5743</v>
      </c>
      <c r="BO443" s="484" t="s">
        <v>5743</v>
      </c>
      <c r="BP443" s="484" t="s">
        <v>8104</v>
      </c>
      <c r="BQ443" s="484" t="s">
        <v>8104</v>
      </c>
      <c r="BT443" s="372" t="s">
        <v>5802</v>
      </c>
      <c r="BU443" s="697" t="str">
        <f ca="1">$CQ$21</f>
        <v>-</v>
      </c>
      <c r="BV443" s="694"/>
      <c r="BW443" s="694"/>
      <c r="BX443" s="695"/>
      <c r="BY443" s="696" t="s">
        <v>5743</v>
      </c>
      <c r="BZ443" s="484" t="s">
        <v>5743</v>
      </c>
      <c r="CA443" s="484" t="s">
        <v>8104</v>
      </c>
      <c r="CB443" s="484" t="s">
        <v>8104</v>
      </c>
      <c r="CU443" s="469" t="s">
        <v>5510</v>
      </c>
      <c r="HN443" s="20"/>
      <c r="HP443" s="472"/>
    </row>
    <row r="444" spans="58:224" x14ac:dyDescent="0.25">
      <c r="BF444" s="469" t="s">
        <v>5510</v>
      </c>
      <c r="BI444" s="372" t="s">
        <v>8092</v>
      </c>
      <c r="BJ444" s="536" t="s">
        <v>10</v>
      </c>
      <c r="BK444" s="536" t="s">
        <v>10</v>
      </c>
      <c r="BL444" s="536" t="s">
        <v>237</v>
      </c>
      <c r="BM444" s="536" t="s">
        <v>237</v>
      </c>
      <c r="BN444" s="536" t="s">
        <v>10</v>
      </c>
      <c r="BO444" s="536" t="s">
        <v>237</v>
      </c>
      <c r="BP444" s="479" t="s">
        <v>10</v>
      </c>
      <c r="BQ444" s="479" t="s">
        <v>237</v>
      </c>
      <c r="BT444" s="372" t="s">
        <v>8092</v>
      </c>
      <c r="BU444" s="536" t="s">
        <v>10</v>
      </c>
      <c r="BV444" s="536" t="s">
        <v>10</v>
      </c>
      <c r="BW444" s="536" t="s">
        <v>237</v>
      </c>
      <c r="BX444" s="536" t="s">
        <v>237</v>
      </c>
      <c r="BY444" s="536" t="s">
        <v>10</v>
      </c>
      <c r="BZ444" s="536" t="s">
        <v>237</v>
      </c>
      <c r="CA444" s="479" t="s">
        <v>10</v>
      </c>
      <c r="CB444" s="479" t="s">
        <v>237</v>
      </c>
      <c r="CU444" s="469" t="s">
        <v>5510</v>
      </c>
      <c r="HN444" s="20"/>
      <c r="HP444" s="472"/>
    </row>
    <row r="445" spans="58:224" x14ac:dyDescent="0.25">
      <c r="BF445" s="469" t="s">
        <v>5510</v>
      </c>
      <c r="BJ445" s="536" t="s">
        <v>109</v>
      </c>
      <c r="BK445" s="536" t="s">
        <v>110</v>
      </c>
      <c r="BL445" s="536" t="s">
        <v>109</v>
      </c>
      <c r="BM445" s="536" t="s">
        <v>110</v>
      </c>
      <c r="BN445" s="536"/>
      <c r="BO445" s="536"/>
      <c r="BT445" s="372"/>
      <c r="BU445" s="536" t="s">
        <v>109</v>
      </c>
      <c r="BV445" s="536" t="s">
        <v>110</v>
      </c>
      <c r="BW445" s="536" t="s">
        <v>109</v>
      </c>
      <c r="BX445" s="536" t="s">
        <v>110</v>
      </c>
      <c r="BY445" s="536"/>
      <c r="BZ445" s="536"/>
      <c r="CA445" s="372"/>
      <c r="CB445" s="372"/>
      <c r="CU445" s="469" t="s">
        <v>5510</v>
      </c>
      <c r="HN445" s="20"/>
      <c r="HP445" s="472"/>
    </row>
    <row r="446" spans="58:224" x14ac:dyDescent="0.25">
      <c r="BF446" s="469" t="s">
        <v>5510</v>
      </c>
      <c r="BI446" s="536" t="s">
        <v>90</v>
      </c>
      <c r="BJ446" s="680" t="str">
        <f t="shared" ref="BJ446:BM455" ca="1" si="215">IF($BJ$443="-","",IF($BJ$443=$BJ$396,BJ399,BN399))</f>
        <v/>
      </c>
      <c r="BK446" s="680" t="str">
        <f t="shared" ca="1" si="215"/>
        <v/>
      </c>
      <c r="BL446" s="681" t="str">
        <f t="shared" ca="1" si="215"/>
        <v/>
      </c>
      <c r="BM446" s="681" t="str">
        <f t="shared" ca="1" si="215"/>
        <v/>
      </c>
      <c r="BN446" s="681" t="str" cm="1">
        <f t="array" aca="1" ref="BN446" ca="1">IF(INDIRECT($BI$347&amp;BJ381)&lt;&gt;0,INDIRECT($BI$347&amp;BJ381),"")</f>
        <v/>
      </c>
      <c r="BO446" s="681" t="str" cm="1">
        <f t="array" aca="1" ref="BO446" ca="1">IF(INDIRECT($BI$347&amp;BK381)&lt;&gt;0,INDIRECT($BI$347&amp;BK381),"")</f>
        <v/>
      </c>
      <c r="BP446" s="698" t="str">
        <f ca="1">IF(BN446="","",
IF(BJ446="",3,IF(BN446&lt;BJ446,1,IF(BN446&gt;BK446,2,0)))
)</f>
        <v/>
      </c>
      <c r="BQ446" s="698" t="str">
        <f ca="1">IF(BO446="","",
IF(BL446="",3,IF(BO446&lt;BL446,1,IF(BO446&gt;BM446,2,0)))
)</f>
        <v/>
      </c>
      <c r="BT446" s="536" t="s">
        <v>90</v>
      </c>
      <c r="BU446" s="680" t="str">
        <f ca="1">IF($BU$443="-","",IF($BU$443=$BU$396,BU399,BY399))</f>
        <v/>
      </c>
      <c r="BV446" s="680" t="str">
        <f ca="1">IF($BU$443="-","",IF($BU$443=$BU$396,BV399,BZ399))</f>
        <v/>
      </c>
      <c r="BW446" s="681" t="str">
        <f ca="1">IF($BU$443="-","",IF($BU$443=$BU$396,BW399,CA399))</f>
        <v/>
      </c>
      <c r="BX446" s="681" t="str">
        <f ca="1">IF($BU$443="-","",IF($BU$443=$BU$396,BX399,CB399))</f>
        <v/>
      </c>
      <c r="BY446" s="539" t="str" cm="1">
        <f t="array" aca="1" ref="BY446" ca="1">IF(INDIRECT($BI$347&amp;BL381)&lt;&gt;0,INDIRECT($BI$347&amp;BL381),"")</f>
        <v/>
      </c>
      <c r="BZ446" s="539" t="str" cm="1">
        <f t="array" aca="1" ref="BZ446" ca="1">IF(INDIRECT($BI$347&amp;BM381)&lt;&gt;0,INDIRECT($BI$347&amp;BM381),"")</f>
        <v/>
      </c>
      <c r="CA446" s="698" t="str">
        <f ca="1">IF(BY446="","",
IF(BU446="",3,IF(BY446&lt;BU446,1,IF(BY446&gt;BV446,2,0)))
)</f>
        <v/>
      </c>
      <c r="CB446" s="698" t="str">
        <f ca="1">IF(BZ446="","",
IF(BW446="",3,IF(BZ446&lt;BW446,1,IF(BZ446&gt;BX446,2,0)))
)</f>
        <v/>
      </c>
      <c r="CU446" s="469" t="s">
        <v>5510</v>
      </c>
      <c r="HN446" s="20"/>
      <c r="HP446" s="472"/>
    </row>
    <row r="447" spans="58:224" x14ac:dyDescent="0.25">
      <c r="BF447" s="469" t="s">
        <v>5510</v>
      </c>
      <c r="BI447" s="536" t="s">
        <v>91</v>
      </c>
      <c r="BJ447" s="680" t="str">
        <f t="shared" ca="1" si="215"/>
        <v/>
      </c>
      <c r="BK447" s="680" t="str">
        <f t="shared" ca="1" si="215"/>
        <v/>
      </c>
      <c r="BL447" s="681" t="str">
        <f t="shared" ca="1" si="215"/>
        <v/>
      </c>
      <c r="BM447" s="681" t="str">
        <f t="shared" ca="1" si="215"/>
        <v/>
      </c>
      <c r="BN447" s="681" t="str" cm="1">
        <f t="array" aca="1" ref="BN447" ca="1">IF(INDIRECT($BI$347&amp;BJ382)&lt;&gt;0,INDIRECT($BI$347&amp;BJ382),"")</f>
        <v/>
      </c>
      <c r="BO447" s="681" t="str" cm="1">
        <f t="array" aca="1" ref="BO447" ca="1">IF(INDIRECT($BI$347&amp;BK382)&lt;&gt;0,INDIRECT($BI$347&amp;BK382),"")</f>
        <v/>
      </c>
      <c r="BP447" s="698" t="str">
        <f ca="1">IF(BN447="","",
IF(BJ447="",3,IF(BN447&lt;BJ447,1,IF(BN447&gt;BK447,2,0)))
)</f>
        <v/>
      </c>
      <c r="BQ447" s="698" t="str">
        <f t="shared" ref="BQ447:BQ455" ca="1" si="216">IF(BO447="","",
IF(BL447="",3,IF(BO447&lt;BL447,1,IF(BO447&gt;BM447,2,0)))
)</f>
        <v/>
      </c>
      <c r="BT447" s="536" t="s">
        <v>91</v>
      </c>
      <c r="BU447" s="680" t="str">
        <f t="shared" ref="BU447:BX455" ca="1" si="217">IF($BU$443="-","",IF($BU$443=$BU$396,BU400,BY400))</f>
        <v/>
      </c>
      <c r="BV447" s="680" t="str">
        <f t="shared" ca="1" si="217"/>
        <v/>
      </c>
      <c r="BW447" s="681" t="str">
        <f t="shared" ca="1" si="217"/>
        <v/>
      </c>
      <c r="BX447" s="681" t="str">
        <f t="shared" ca="1" si="217"/>
        <v/>
      </c>
      <c r="BY447" s="539" t="str" cm="1">
        <f t="array" aca="1" ref="BY447" ca="1">IF(INDIRECT($BI$347&amp;BL382)&lt;&gt;0,INDIRECT($BI$347&amp;BL382),"")</f>
        <v/>
      </c>
      <c r="BZ447" s="539" t="str" cm="1">
        <f t="array" aca="1" ref="BZ447" ca="1">IF(INDIRECT($BI$347&amp;BM382)&lt;&gt;0,INDIRECT($BI$347&amp;BM382),"")</f>
        <v/>
      </c>
      <c r="CA447" s="698" t="str">
        <f t="shared" ref="CA447" ca="1" si="218">IF(BY447="","",
IF(BU447="",3,IF(BY447&lt;BU447,1,IF(BY447&gt;BV447,2,0)))
)</f>
        <v/>
      </c>
      <c r="CB447" s="698" t="str">
        <f t="shared" ref="CB447:CB455" ca="1" si="219">IF(BZ447="","",
IF(BW447="",3,IF(BZ447&lt;BW447,1,IF(BZ447&gt;BX447,2,0)))
)</f>
        <v/>
      </c>
      <c r="CU447" s="469" t="s">
        <v>5510</v>
      </c>
      <c r="HN447" s="20"/>
      <c r="HP447" s="472"/>
    </row>
    <row r="448" spans="58:224" x14ac:dyDescent="0.25">
      <c r="BF448" s="469" t="s">
        <v>5510</v>
      </c>
      <c r="BI448" s="536" t="s">
        <v>92</v>
      </c>
      <c r="BJ448" s="680" t="str">
        <f t="shared" ca="1" si="215"/>
        <v/>
      </c>
      <c r="BK448" s="680" t="str">
        <f t="shared" ca="1" si="215"/>
        <v/>
      </c>
      <c r="BL448" s="681" t="str">
        <f t="shared" ca="1" si="215"/>
        <v/>
      </c>
      <c r="BM448" s="681" t="str">
        <f t="shared" ca="1" si="215"/>
        <v/>
      </c>
      <c r="BN448" s="681" t="str" cm="1">
        <f t="array" aca="1" ref="BN448" ca="1">IF(INDIRECT($BI$347&amp;BJ383)&lt;&gt;0,INDIRECT($BI$347&amp;BJ383),"")</f>
        <v/>
      </c>
      <c r="BO448" s="681" t="str" cm="1">
        <f t="array" aca="1" ref="BO448" ca="1">IF(INDIRECT($BI$347&amp;BK383)&lt;&gt;0,INDIRECT($BI$347&amp;BK383),"")</f>
        <v/>
      </c>
      <c r="BP448" s="698" t="str">
        <f t="shared" ref="BP448:BP455" ca="1" si="220">IF(BN448="","",
IF(BJ448="",3,IF(BN448&lt;BJ448,1,IF(BN448&gt;BK448,2,0)))
)</f>
        <v/>
      </c>
      <c r="BQ448" s="698" t="str">
        <f t="shared" ca="1" si="216"/>
        <v/>
      </c>
      <c r="BT448" s="536" t="s">
        <v>92</v>
      </c>
      <c r="BU448" s="680" t="str">
        <f t="shared" ca="1" si="217"/>
        <v/>
      </c>
      <c r="BV448" s="680" t="str">
        <f t="shared" ca="1" si="217"/>
        <v/>
      </c>
      <c r="BW448" s="681" t="str">
        <f t="shared" ca="1" si="217"/>
        <v/>
      </c>
      <c r="BX448" s="681" t="str">
        <f t="shared" ca="1" si="217"/>
        <v/>
      </c>
      <c r="BY448" s="539" t="str" cm="1">
        <f t="array" aca="1" ref="BY448" ca="1">IF(INDIRECT($BI$347&amp;BL383)&lt;&gt;0,INDIRECT($BI$347&amp;BL383),"")</f>
        <v/>
      </c>
      <c r="BZ448" s="539" t="str" cm="1">
        <f t="array" aca="1" ref="BZ448" ca="1">IF(INDIRECT($BI$347&amp;BM383)&lt;&gt;0,INDIRECT($BI$347&amp;BM383),"")</f>
        <v/>
      </c>
      <c r="CA448" s="698" t="str">
        <f ca="1">IF(BY448="","",
IF(BU448="",3,IF(BY448&lt;BU448,1,IF(BY448&gt;BV448,2,0)))
)</f>
        <v/>
      </c>
      <c r="CB448" s="698" t="str">
        <f t="shared" ca="1" si="219"/>
        <v/>
      </c>
      <c r="CU448" s="469" t="s">
        <v>5510</v>
      </c>
      <c r="HN448" s="20"/>
      <c r="HP448" s="472"/>
    </row>
    <row r="449" spans="58:224" x14ac:dyDescent="0.25">
      <c r="BF449" s="469" t="s">
        <v>5510</v>
      </c>
      <c r="BI449" s="536" t="s">
        <v>93</v>
      </c>
      <c r="BJ449" s="680" t="str">
        <f t="shared" ca="1" si="215"/>
        <v/>
      </c>
      <c r="BK449" s="680" t="str">
        <f t="shared" ca="1" si="215"/>
        <v/>
      </c>
      <c r="BL449" s="681" t="str">
        <f t="shared" ca="1" si="215"/>
        <v/>
      </c>
      <c r="BM449" s="681" t="str">
        <f t="shared" ca="1" si="215"/>
        <v/>
      </c>
      <c r="BN449" s="681" t="str" cm="1">
        <f t="array" aca="1" ref="BN449" ca="1">IF(INDIRECT($BI$347&amp;BJ384)&lt;&gt;0,INDIRECT($BI$347&amp;BJ384),"")</f>
        <v/>
      </c>
      <c r="BO449" s="681" t="str" cm="1">
        <f t="array" aca="1" ref="BO449" ca="1">IF(INDIRECT($BI$347&amp;BK384)&lt;&gt;0,INDIRECT($BI$347&amp;BK384),"")</f>
        <v/>
      </c>
      <c r="BP449" s="698" t="str">
        <f t="shared" ca="1" si="220"/>
        <v/>
      </c>
      <c r="BQ449" s="698" t="str">
        <f t="shared" ca="1" si="216"/>
        <v/>
      </c>
      <c r="BT449" s="536" t="s">
        <v>93</v>
      </c>
      <c r="BU449" s="680" t="str">
        <f t="shared" ca="1" si="217"/>
        <v/>
      </c>
      <c r="BV449" s="680" t="str">
        <f t="shared" ca="1" si="217"/>
        <v/>
      </c>
      <c r="BW449" s="681" t="str">
        <f t="shared" ca="1" si="217"/>
        <v/>
      </c>
      <c r="BX449" s="681" t="str">
        <f t="shared" ca="1" si="217"/>
        <v/>
      </c>
      <c r="BY449" s="539" t="str" cm="1">
        <f t="array" aca="1" ref="BY449" ca="1">IF(INDIRECT($BI$347&amp;BL384)&lt;&gt;0,INDIRECT($BI$347&amp;BL384),"")</f>
        <v/>
      </c>
      <c r="BZ449" s="539" t="str" cm="1">
        <f t="array" aca="1" ref="BZ449" ca="1">IF(INDIRECT($BI$347&amp;BM384)&lt;&gt;0,INDIRECT($BI$347&amp;BM384),"")</f>
        <v/>
      </c>
      <c r="CA449" s="698" t="str">
        <f ca="1">IF(BY449="","",
IF(BU449="",3,IF(BY449&lt;BU449,1,IF(BY449&gt;BV449,2,0)))
)</f>
        <v/>
      </c>
      <c r="CB449" s="698" t="str">
        <f t="shared" ca="1" si="219"/>
        <v/>
      </c>
      <c r="CU449" s="469" t="s">
        <v>5510</v>
      </c>
      <c r="HN449" s="20"/>
      <c r="HP449" s="472"/>
    </row>
    <row r="450" spans="58:224" x14ac:dyDescent="0.25">
      <c r="BF450" s="469" t="s">
        <v>5510</v>
      </c>
      <c r="BI450" s="536" t="s">
        <v>94</v>
      </c>
      <c r="BJ450" s="680" t="str">
        <f t="shared" ca="1" si="215"/>
        <v/>
      </c>
      <c r="BK450" s="680" t="str">
        <f t="shared" ca="1" si="215"/>
        <v/>
      </c>
      <c r="BL450" s="681" t="str">
        <f t="shared" ca="1" si="215"/>
        <v/>
      </c>
      <c r="BM450" s="681" t="str">
        <f t="shared" ca="1" si="215"/>
        <v/>
      </c>
      <c r="BN450" s="681" t="str" cm="1">
        <f t="array" aca="1" ref="BN450" ca="1">IF(INDIRECT($BI$347&amp;BJ385)&lt;&gt;0,INDIRECT($BI$347&amp;BJ385),"")</f>
        <v/>
      </c>
      <c r="BO450" s="681" t="str" cm="1">
        <f t="array" aca="1" ref="BO450" ca="1">IF(INDIRECT($BI$347&amp;BK385)&lt;&gt;0,INDIRECT($BI$347&amp;BK385),"")</f>
        <v/>
      </c>
      <c r="BP450" s="698" t="str">
        <f t="shared" ca="1" si="220"/>
        <v/>
      </c>
      <c r="BQ450" s="698" t="str">
        <f t="shared" ca="1" si="216"/>
        <v/>
      </c>
      <c r="BT450" s="536" t="s">
        <v>94</v>
      </c>
      <c r="BU450" s="680" t="str">
        <f t="shared" ca="1" si="217"/>
        <v/>
      </c>
      <c r="BV450" s="680" t="str">
        <f t="shared" ca="1" si="217"/>
        <v/>
      </c>
      <c r="BW450" s="681" t="str">
        <f t="shared" ca="1" si="217"/>
        <v/>
      </c>
      <c r="BX450" s="681" t="str">
        <f t="shared" ca="1" si="217"/>
        <v/>
      </c>
      <c r="BY450" s="539" t="str" cm="1">
        <f t="array" aca="1" ref="BY450" ca="1">IF(INDIRECT($BI$347&amp;BL385)&lt;&gt;0,INDIRECT($BI$347&amp;BL385),"")</f>
        <v/>
      </c>
      <c r="BZ450" s="539" t="str" cm="1">
        <f t="array" aca="1" ref="BZ450" ca="1">IF(INDIRECT($BI$347&amp;BM385)&lt;&gt;0,INDIRECT($BI$347&amp;BM385),"")</f>
        <v/>
      </c>
      <c r="CA450" s="698" t="str">
        <f t="shared" ref="CA450:CA455" ca="1" si="221">IF(BY450="","",
IF(BU450="",3,IF(BY450&lt;BU450,1,IF(BY450&gt;BV450,2,0)))
)</f>
        <v/>
      </c>
      <c r="CB450" s="698" t="str">
        <f t="shared" ca="1" si="219"/>
        <v/>
      </c>
      <c r="CU450" s="469" t="s">
        <v>5510</v>
      </c>
      <c r="HN450" s="20"/>
      <c r="HP450" s="472"/>
    </row>
    <row r="451" spans="58:224" x14ac:dyDescent="0.25">
      <c r="BF451" s="469" t="s">
        <v>5510</v>
      </c>
      <c r="BI451" s="536" t="s">
        <v>95</v>
      </c>
      <c r="BJ451" s="680" t="str">
        <f t="shared" ca="1" si="215"/>
        <v/>
      </c>
      <c r="BK451" s="680" t="str">
        <f t="shared" ca="1" si="215"/>
        <v/>
      </c>
      <c r="BL451" s="681" t="str">
        <f t="shared" ca="1" si="215"/>
        <v/>
      </c>
      <c r="BM451" s="681" t="str">
        <f t="shared" ca="1" si="215"/>
        <v/>
      </c>
      <c r="BN451" s="681" t="str" cm="1">
        <f t="array" aca="1" ref="BN451" ca="1">IF(INDIRECT($BI$347&amp;BJ386)&lt;&gt;0,INDIRECT($BI$347&amp;BJ386),"")</f>
        <v/>
      </c>
      <c r="BO451" s="681" t="str" cm="1">
        <f t="array" aca="1" ref="BO451" ca="1">IF(INDIRECT($BI$347&amp;BK386)&lt;&gt;0,INDIRECT($BI$347&amp;BK386),"")</f>
        <v/>
      </c>
      <c r="BP451" s="698" t="str">
        <f t="shared" ca="1" si="220"/>
        <v/>
      </c>
      <c r="BQ451" s="698" t="str">
        <f t="shared" ca="1" si="216"/>
        <v/>
      </c>
      <c r="BT451" s="536" t="s">
        <v>95</v>
      </c>
      <c r="BU451" s="680" t="str">
        <f t="shared" ca="1" si="217"/>
        <v/>
      </c>
      <c r="BV451" s="680" t="str">
        <f t="shared" ca="1" si="217"/>
        <v/>
      </c>
      <c r="BW451" s="681" t="str">
        <f t="shared" ca="1" si="217"/>
        <v/>
      </c>
      <c r="BX451" s="681" t="str">
        <f t="shared" ca="1" si="217"/>
        <v/>
      </c>
      <c r="BY451" s="539" t="str" cm="1">
        <f t="array" aca="1" ref="BY451" ca="1">IF(INDIRECT($BI$347&amp;BL386)&lt;&gt;0,INDIRECT($BI$347&amp;BL386),"")</f>
        <v/>
      </c>
      <c r="BZ451" s="539" t="str" cm="1">
        <f t="array" aca="1" ref="BZ451" ca="1">IF(INDIRECT($BI$347&amp;BM386)&lt;&gt;0,INDIRECT($BI$347&amp;BM386),"")</f>
        <v/>
      </c>
      <c r="CA451" s="698" t="str">
        <f t="shared" ca="1" si="221"/>
        <v/>
      </c>
      <c r="CB451" s="698" t="str">
        <f t="shared" ca="1" si="219"/>
        <v/>
      </c>
      <c r="CU451" s="469" t="s">
        <v>5510</v>
      </c>
      <c r="HN451" s="20"/>
      <c r="HP451" s="472"/>
    </row>
    <row r="452" spans="58:224" x14ac:dyDescent="0.25">
      <c r="BF452" s="469" t="s">
        <v>5510</v>
      </c>
      <c r="BI452" s="536" t="s">
        <v>96</v>
      </c>
      <c r="BJ452" s="680" t="str">
        <f t="shared" ca="1" si="215"/>
        <v/>
      </c>
      <c r="BK452" s="680" t="str">
        <f t="shared" ca="1" si="215"/>
        <v/>
      </c>
      <c r="BL452" s="681" t="str">
        <f t="shared" ca="1" si="215"/>
        <v/>
      </c>
      <c r="BM452" s="681" t="str">
        <f t="shared" ca="1" si="215"/>
        <v/>
      </c>
      <c r="BN452" s="681" t="str" cm="1">
        <f t="array" aca="1" ref="BN452" ca="1">IF(INDIRECT($BI$347&amp;BJ387)&lt;&gt;0,INDIRECT($BI$347&amp;BJ387),"")</f>
        <v/>
      </c>
      <c r="BO452" s="681" t="str" cm="1">
        <f t="array" aca="1" ref="BO452" ca="1">IF(INDIRECT($BI$347&amp;BK387)&lt;&gt;0,INDIRECT($BI$347&amp;BK387),"")</f>
        <v/>
      </c>
      <c r="BP452" s="698" t="str">
        <f t="shared" ca="1" si="220"/>
        <v/>
      </c>
      <c r="BQ452" s="698" t="str">
        <f t="shared" ca="1" si="216"/>
        <v/>
      </c>
      <c r="BR452" s="699" t="s">
        <v>8087</v>
      </c>
      <c r="BT452" s="536" t="s">
        <v>96</v>
      </c>
      <c r="BU452" s="680" t="str">
        <f t="shared" ca="1" si="217"/>
        <v/>
      </c>
      <c r="BV452" s="680" t="str">
        <f t="shared" ca="1" si="217"/>
        <v/>
      </c>
      <c r="BW452" s="681" t="str">
        <f t="shared" ca="1" si="217"/>
        <v/>
      </c>
      <c r="BX452" s="681" t="str">
        <f t="shared" ca="1" si="217"/>
        <v/>
      </c>
      <c r="BY452" s="539" t="str" cm="1">
        <f t="array" aca="1" ref="BY452" ca="1">IF(INDIRECT($BI$347&amp;BL387)&lt;&gt;0,INDIRECT($BI$347&amp;BL387),"")</f>
        <v/>
      </c>
      <c r="BZ452" s="539" t="str" cm="1">
        <f t="array" aca="1" ref="BZ452" ca="1">IF(INDIRECT($BI$347&amp;BM387)&lt;&gt;0,INDIRECT($BI$347&amp;BM387),"")</f>
        <v/>
      </c>
      <c r="CA452" s="698" t="str">
        <f t="shared" ca="1" si="221"/>
        <v/>
      </c>
      <c r="CB452" s="698" t="str">
        <f t="shared" ca="1" si="219"/>
        <v/>
      </c>
      <c r="CC452" s="699" t="s">
        <v>8087</v>
      </c>
      <c r="CU452" s="469" t="s">
        <v>5510</v>
      </c>
      <c r="HN452" s="20"/>
      <c r="HP452" s="472"/>
    </row>
    <row r="453" spans="58:224" x14ac:dyDescent="0.25">
      <c r="BF453" s="469" t="s">
        <v>5510</v>
      </c>
      <c r="BI453" s="536" t="s">
        <v>97</v>
      </c>
      <c r="BJ453" s="680" t="str">
        <f t="shared" ca="1" si="215"/>
        <v/>
      </c>
      <c r="BK453" s="680" t="str">
        <f t="shared" ca="1" si="215"/>
        <v/>
      </c>
      <c r="BL453" s="681" t="str">
        <f t="shared" ca="1" si="215"/>
        <v/>
      </c>
      <c r="BM453" s="681" t="str">
        <f t="shared" ca="1" si="215"/>
        <v/>
      </c>
      <c r="BN453" s="681" t="str" cm="1">
        <f t="array" aca="1" ref="BN453" ca="1">IF(INDIRECT($BI$347&amp;BJ388)&lt;&gt;0,INDIRECT($BI$347&amp;BJ388),"")</f>
        <v/>
      </c>
      <c r="BO453" s="681" t="str" cm="1">
        <f t="array" aca="1" ref="BO453" ca="1">IF(INDIRECT($BI$347&amp;BK388)&lt;&gt;0,INDIRECT($BI$347&amp;BK388),"")</f>
        <v/>
      </c>
      <c r="BP453" s="698" t="str">
        <f t="shared" ca="1" si="220"/>
        <v/>
      </c>
      <c r="BQ453" s="698" t="str">
        <f t="shared" ca="1" si="216"/>
        <v/>
      </c>
      <c r="BR453" s="700" t="s">
        <v>8088</v>
      </c>
      <c r="BT453" s="536" t="s">
        <v>97</v>
      </c>
      <c r="BU453" s="680" t="str">
        <f t="shared" ca="1" si="217"/>
        <v/>
      </c>
      <c r="BV453" s="680" t="str">
        <f t="shared" ca="1" si="217"/>
        <v/>
      </c>
      <c r="BW453" s="681" t="str">
        <f t="shared" ca="1" si="217"/>
        <v/>
      </c>
      <c r="BX453" s="681" t="str">
        <f t="shared" ca="1" si="217"/>
        <v/>
      </c>
      <c r="BY453" s="539" t="str" cm="1">
        <f t="array" aca="1" ref="BY453" ca="1">IF(INDIRECT($BI$347&amp;BL388)&lt;&gt;0,INDIRECT($BI$347&amp;BL388),"")</f>
        <v/>
      </c>
      <c r="BZ453" s="539" t="str" cm="1">
        <f t="array" aca="1" ref="BZ453" ca="1">IF(INDIRECT($BI$347&amp;BM388)&lt;&gt;0,INDIRECT($BI$347&amp;BM388),"")</f>
        <v/>
      </c>
      <c r="CA453" s="698" t="str">
        <f t="shared" ca="1" si="221"/>
        <v/>
      </c>
      <c r="CB453" s="698" t="str">
        <f t="shared" ca="1" si="219"/>
        <v/>
      </c>
      <c r="CC453" s="700" t="s">
        <v>8088</v>
      </c>
      <c r="CU453" s="469" t="s">
        <v>5510</v>
      </c>
      <c r="HN453" s="20"/>
      <c r="HP453" s="472"/>
    </row>
    <row r="454" spans="58:224" x14ac:dyDescent="0.25">
      <c r="BF454" s="469" t="s">
        <v>5510</v>
      </c>
      <c r="BI454" s="536" t="s">
        <v>98</v>
      </c>
      <c r="BJ454" s="680" t="str">
        <f t="shared" ca="1" si="215"/>
        <v/>
      </c>
      <c r="BK454" s="680" t="str">
        <f t="shared" ca="1" si="215"/>
        <v/>
      </c>
      <c r="BL454" s="681" t="str">
        <f t="shared" ca="1" si="215"/>
        <v/>
      </c>
      <c r="BM454" s="681" t="str">
        <f t="shared" ca="1" si="215"/>
        <v/>
      </c>
      <c r="BN454" s="681" t="str" cm="1">
        <f t="array" aca="1" ref="BN454" ca="1">IF(INDIRECT($BI$347&amp;BJ389)&lt;&gt;0,INDIRECT($BI$347&amp;BJ389),"")</f>
        <v/>
      </c>
      <c r="BO454" s="681" t="str" cm="1">
        <f t="array" aca="1" ref="BO454" ca="1">IF(INDIRECT($BI$347&amp;BK389)&lt;&gt;0,INDIRECT($BI$347&amp;BK389),"")</f>
        <v/>
      </c>
      <c r="BP454" s="698" t="str">
        <f t="shared" ca="1" si="220"/>
        <v/>
      </c>
      <c r="BQ454" s="698" t="str">
        <f t="shared" ca="1" si="216"/>
        <v/>
      </c>
      <c r="BR454" s="679" t="s">
        <v>8089</v>
      </c>
      <c r="BT454" s="536" t="s">
        <v>98</v>
      </c>
      <c r="BU454" s="680" t="str">
        <f t="shared" ca="1" si="217"/>
        <v/>
      </c>
      <c r="BV454" s="680" t="str">
        <f t="shared" ca="1" si="217"/>
        <v/>
      </c>
      <c r="BW454" s="681" t="str">
        <f t="shared" ca="1" si="217"/>
        <v/>
      </c>
      <c r="BX454" s="681" t="str">
        <f t="shared" ca="1" si="217"/>
        <v/>
      </c>
      <c r="BY454" s="539" t="str" cm="1">
        <f t="array" aca="1" ref="BY454" ca="1">IF(INDIRECT($BI$347&amp;BL389)&lt;&gt;0,INDIRECT($BI$347&amp;BL389),"")</f>
        <v/>
      </c>
      <c r="BZ454" s="539" t="str" cm="1">
        <f t="array" aca="1" ref="BZ454" ca="1">IF(INDIRECT($BI$347&amp;BM389)&lt;&gt;0,INDIRECT($BI$347&amp;BM389),"")</f>
        <v/>
      </c>
      <c r="CA454" s="698" t="str">
        <f t="shared" ca="1" si="221"/>
        <v/>
      </c>
      <c r="CB454" s="698" t="str">
        <f t="shared" ca="1" si="219"/>
        <v/>
      </c>
      <c r="CC454" s="679" t="s">
        <v>8089</v>
      </c>
      <c r="CU454" s="469" t="s">
        <v>5510</v>
      </c>
      <c r="HN454" s="20"/>
      <c r="HP454" s="472"/>
    </row>
    <row r="455" spans="58:224" x14ac:dyDescent="0.25">
      <c r="BF455" s="469" t="s">
        <v>5510</v>
      </c>
      <c r="BI455" s="536" t="s">
        <v>99</v>
      </c>
      <c r="BJ455" s="680" t="str">
        <f t="shared" ca="1" si="215"/>
        <v/>
      </c>
      <c r="BK455" s="680" t="str">
        <f t="shared" ca="1" si="215"/>
        <v/>
      </c>
      <c r="BL455" s="681" t="str">
        <f t="shared" ca="1" si="215"/>
        <v/>
      </c>
      <c r="BM455" s="681" t="str">
        <f t="shared" ca="1" si="215"/>
        <v/>
      </c>
      <c r="BN455" s="681" t="str" cm="1">
        <f t="array" aca="1" ref="BN455" ca="1">IF(INDIRECT($BI$347&amp;BJ390)&lt;&gt;0,INDIRECT($BI$347&amp;BJ390),"")</f>
        <v/>
      </c>
      <c r="BO455" s="681" t="str" cm="1">
        <f t="array" aca="1" ref="BO455" ca="1">IF(INDIRECT($BI$347&amp;BK390)&lt;&gt;0,INDIRECT($BI$347&amp;BK390),"")</f>
        <v/>
      </c>
      <c r="BP455" s="698" t="str">
        <f t="shared" ca="1" si="220"/>
        <v/>
      </c>
      <c r="BQ455" s="698" t="str">
        <f t="shared" ca="1" si="216"/>
        <v/>
      </c>
      <c r="BR455" s="701" t="s">
        <v>8090</v>
      </c>
      <c r="BT455" s="536" t="s">
        <v>99</v>
      </c>
      <c r="BU455" s="680" t="str">
        <f t="shared" ca="1" si="217"/>
        <v/>
      </c>
      <c r="BV455" s="680" t="str">
        <f t="shared" ca="1" si="217"/>
        <v/>
      </c>
      <c r="BW455" s="681" t="str">
        <f t="shared" ca="1" si="217"/>
        <v/>
      </c>
      <c r="BX455" s="681" t="str">
        <f t="shared" ca="1" si="217"/>
        <v/>
      </c>
      <c r="BY455" s="539" t="str" cm="1">
        <f t="array" aca="1" ref="BY455" ca="1">IF(INDIRECT($BI$347&amp;BL390)&lt;&gt;0,INDIRECT($BI$347&amp;BL390),"")</f>
        <v/>
      </c>
      <c r="BZ455" s="539" t="str" cm="1">
        <f t="array" aca="1" ref="BZ455" ca="1">IF(INDIRECT($BI$347&amp;BM390)&lt;&gt;0,INDIRECT($BI$347&amp;BM390),"")</f>
        <v/>
      </c>
      <c r="CA455" s="698" t="str">
        <f t="shared" ca="1" si="221"/>
        <v/>
      </c>
      <c r="CB455" s="698" t="str">
        <f t="shared" ca="1" si="219"/>
        <v/>
      </c>
      <c r="CC455" s="701" t="s">
        <v>8090</v>
      </c>
      <c r="CU455" s="469" t="s">
        <v>5510</v>
      </c>
      <c r="HN455" s="20"/>
      <c r="HP455" s="472"/>
    </row>
    <row r="456" spans="58:224" x14ac:dyDescent="0.25">
      <c r="BF456" s="469" t="s">
        <v>5510</v>
      </c>
      <c r="CU456" s="469" t="s">
        <v>5510</v>
      </c>
      <c r="HN456" s="20"/>
      <c r="HP456" s="472"/>
    </row>
    <row r="457" spans="58:224" x14ac:dyDescent="0.25">
      <c r="BF457" s="469" t="s">
        <v>5510</v>
      </c>
      <c r="CU457" s="469" t="s">
        <v>5510</v>
      </c>
      <c r="HN457" s="20"/>
      <c r="HP457" s="472"/>
    </row>
    <row r="458" spans="58:224" x14ac:dyDescent="0.25">
      <c r="BF458" s="469" t="s">
        <v>5510</v>
      </c>
      <c r="CU458" s="469" t="s">
        <v>5510</v>
      </c>
      <c r="HN458" s="20"/>
      <c r="HP458" s="472"/>
    </row>
    <row r="459" spans="58:224" x14ac:dyDescent="0.25">
      <c r="BF459" s="469" t="s">
        <v>5510</v>
      </c>
      <c r="BU459" s="372"/>
      <c r="BV459" s="372"/>
      <c r="CU459" s="469" t="s">
        <v>5510</v>
      </c>
      <c r="HN459" s="20"/>
      <c r="HP459" s="472"/>
    </row>
    <row r="460" spans="58:224" x14ac:dyDescent="0.25">
      <c r="BF460" s="469" t="s">
        <v>5510</v>
      </c>
      <c r="BU460" s="372"/>
      <c r="CU460" s="469" t="s">
        <v>5510</v>
      </c>
      <c r="HN460" s="20"/>
      <c r="HP460" s="472"/>
    </row>
    <row r="461" spans="58:224" x14ac:dyDescent="0.25">
      <c r="BF461" s="469" t="s">
        <v>5510</v>
      </c>
      <c r="BU461" s="372"/>
      <c r="CU461" s="469" t="s">
        <v>5510</v>
      </c>
      <c r="HN461" s="20"/>
      <c r="HP461" s="472"/>
    </row>
    <row r="462" spans="58:224" x14ac:dyDescent="0.25">
      <c r="BF462" s="469" t="s">
        <v>5510</v>
      </c>
      <c r="BU462" s="372"/>
      <c r="CU462" s="469" t="s">
        <v>5510</v>
      </c>
      <c r="HN462" s="20"/>
      <c r="HP462" s="472"/>
    </row>
    <row r="463" spans="58:224" ht="20.25" x14ac:dyDescent="0.3">
      <c r="BF463" s="469" t="s">
        <v>5510</v>
      </c>
      <c r="BH463" s="372"/>
      <c r="BI463" s="432" t="s">
        <v>8097</v>
      </c>
      <c r="BJ463" s="702" t="s">
        <v>8099</v>
      </c>
      <c r="BM463" s="372"/>
      <c r="BQ463" s="20"/>
      <c r="CU463" s="469" t="s">
        <v>5510</v>
      </c>
      <c r="HN463" s="20"/>
      <c r="HP463" s="472"/>
    </row>
    <row r="464" spans="58:224" x14ac:dyDescent="0.25">
      <c r="BF464" s="469" t="s">
        <v>5510</v>
      </c>
      <c r="BH464" s="372"/>
      <c r="BI464" s="703" t="s">
        <v>8093</v>
      </c>
      <c r="BJ464" s="704"/>
      <c r="BK464" s="704"/>
      <c r="BL464" s="704"/>
      <c r="BM464" s="704"/>
      <c r="BN464" s="704"/>
      <c r="BO464" s="705" t="s">
        <v>8093</v>
      </c>
      <c r="BP464" s="706"/>
      <c r="BQ464" s="706"/>
      <c r="BR464" s="706"/>
      <c r="BS464" s="706"/>
      <c r="BT464" s="706"/>
      <c r="CU464" s="469" t="s">
        <v>5510</v>
      </c>
      <c r="HN464" s="20"/>
      <c r="HP464" s="472"/>
    </row>
    <row r="465" spans="58:224" x14ac:dyDescent="0.25">
      <c r="BF465" s="469" t="s">
        <v>5510</v>
      </c>
      <c r="BH465" s="372" t="s">
        <v>8091</v>
      </c>
      <c r="BI465" s="693" t="s">
        <v>88</v>
      </c>
      <c r="BJ465" s="693" t="s">
        <v>88</v>
      </c>
      <c r="BK465" s="693" t="s">
        <v>101</v>
      </c>
      <c r="BL465" s="693" t="s">
        <v>101</v>
      </c>
      <c r="BM465" s="693" t="s">
        <v>120</v>
      </c>
      <c r="BN465" s="693" t="s">
        <v>120</v>
      </c>
      <c r="BO465" s="693" t="s">
        <v>88</v>
      </c>
      <c r="BP465" s="693" t="s">
        <v>88</v>
      </c>
      <c r="BQ465" s="693" t="s">
        <v>101</v>
      </c>
      <c r="BR465" s="693" t="s">
        <v>101</v>
      </c>
      <c r="BS465" s="693" t="s">
        <v>120</v>
      </c>
      <c r="BT465" s="693" t="s">
        <v>120</v>
      </c>
      <c r="CU465" s="469" t="s">
        <v>5510</v>
      </c>
      <c r="HN465" s="20"/>
      <c r="HP465" s="472"/>
    </row>
    <row r="466" spans="58:224" x14ac:dyDescent="0.25">
      <c r="BF466" s="469" t="s">
        <v>5510</v>
      </c>
      <c r="BI466" s="20"/>
      <c r="BJ466" s="20"/>
      <c r="BK466" s="20"/>
      <c r="BL466" s="20"/>
      <c r="BM466" s="20"/>
      <c r="BN466" s="20"/>
      <c r="BO466" s="20"/>
      <c r="BP466" s="20"/>
      <c r="BQ466" s="20"/>
      <c r="CU466" s="469" t="s">
        <v>5510</v>
      </c>
      <c r="HN466" s="20"/>
      <c r="HP466" s="472"/>
    </row>
    <row r="467" spans="58:224" x14ac:dyDescent="0.25">
      <c r="BF467" s="469" t="s">
        <v>5510</v>
      </c>
      <c r="BH467" s="372" t="s">
        <v>8092</v>
      </c>
      <c r="BI467" s="479" t="s">
        <v>10</v>
      </c>
      <c r="BJ467" s="479" t="s">
        <v>237</v>
      </c>
      <c r="BK467" s="479" t="s">
        <v>10</v>
      </c>
      <c r="BL467" s="479" t="s">
        <v>237</v>
      </c>
      <c r="BM467" s="479" t="s">
        <v>10</v>
      </c>
      <c r="BN467" s="479" t="s">
        <v>237</v>
      </c>
      <c r="BO467" s="479" t="s">
        <v>10</v>
      </c>
      <c r="BP467" s="479" t="s">
        <v>237</v>
      </c>
      <c r="BQ467" s="479" t="s">
        <v>10</v>
      </c>
      <c r="BR467" s="479" t="s">
        <v>237</v>
      </c>
      <c r="BS467" s="479" t="s">
        <v>10</v>
      </c>
      <c r="BT467" s="479" t="s">
        <v>237</v>
      </c>
      <c r="CU467" s="469" t="s">
        <v>5510</v>
      </c>
      <c r="HN467" s="20"/>
      <c r="HP467" s="472"/>
    </row>
    <row r="468" spans="58:224" x14ac:dyDescent="0.25">
      <c r="BF468" s="469" t="s">
        <v>5510</v>
      </c>
      <c r="BH468" s="536" t="s">
        <v>90</v>
      </c>
      <c r="BI468" s="539" t="str">
        <f ca="1">IF(BP414=0,$BI$463,
IF(OR(BP414=1,BP414=2),
IF(BK414="",BN414&amp;" [ ≥"&amp;BJ414&amp;" ]",BN414&amp;" ["&amp;BJ414&amp;"-"&amp;BK414&amp;"]"),
IF(BP414=3,BN414&amp;$BJ$463,"")))</f>
        <v/>
      </c>
      <c r="BJ468" s="539" t="str">
        <f ca="1">IF(BQ414=0,$BI$463,
IF(OR(BQ414=1,BQ414=2),
IF(BM414="",BO414&amp;" [ ≥"&amp;BL414&amp;" ]",BO414&amp;" ["&amp;BL414&amp;"-"&amp;BM414&amp;"]"),
IF(BQ414=3,BO414&amp;$BJ$463,"")))</f>
        <v/>
      </c>
      <c r="BK468" s="539" t="str">
        <f ca="1">IF(BP430=0,$BI$463,
IF(OR(BP430=1,BP430=2),
IF(BK430="",BN430&amp;" [ ≥"&amp;BJ430&amp;" ]",BN430&amp;" ["&amp;BJ430&amp;"-"&amp;BK430&amp;"]"),
IF(BP430=3,BN430&amp;$BJ$463,"")))</f>
        <v/>
      </c>
      <c r="BL468" s="539" t="str">
        <f ca="1">IF(BQ430=0,$BI$463,
IF(OR(BQ430=1,BQ430=2),
IF(BM430="",BO430&amp;" [ ≥"&amp;BL430&amp;" ]",BO430&amp;" ["&amp;BL430&amp;"-"&amp;BM430&amp;"]"),
IF(BQ430=3,BO430&amp;$BJ$463,"")))</f>
        <v/>
      </c>
      <c r="BM468" s="539" t="str">
        <f ca="1">IF(BP446=0,$BI$463,
IF(OR(BP446=1,BP446=2),
IF(BK446="",BN446&amp;" [ ≥"&amp;BJ446&amp;" ]",BN446&amp;" ["&amp;BJ446&amp;"-"&amp;BK446&amp;"]"),
IF(BP446=3,BN446&amp;$BJ$463,"")))</f>
        <v/>
      </c>
      <c r="BN468" s="539" t="str">
        <f ca="1">IF(BQ446=0,$BI$463,
IF(OR(BQ446=1,BQ446=2),
IF(BM446="",BO446&amp;" [ ≥"&amp;BL446&amp;" ]",BO446&amp;" ["&amp;BL446&amp;"-"&amp;BM446&amp;"]"),
IF(BQ446=3,BO446&amp;$BJ$463,"")))</f>
        <v/>
      </c>
      <c r="BO468" s="539" t="str">
        <f ca="1">IF(CA414=0,$BI$463,
IF(OR(CA414=1,CA414=2),
IF(BV414="",BY414&amp;" [ ≥"&amp;BU414&amp;" ]",BY414&amp;" ["&amp;BU414&amp;"-"&amp;BV414&amp;"]"),
IF(CA414=3,BY414&amp;$BJ$463,"")))</f>
        <v/>
      </c>
      <c r="BP468" s="539" t="str">
        <f ca="1">IF(CB414=0,$BI$463,
IF(OR(CB414=1,CB414=2),
IF(BX414="",BZ414&amp;" [ ≥"&amp;BW414&amp;" ]",BZ414&amp;" ["&amp;BW414&amp;"-"&amp;BX414&amp;"]"),
IF(CB414=3,BZ414&amp;$BJ$463,"")))</f>
        <v/>
      </c>
      <c r="BQ468" s="539" t="str">
        <f ca="1">IF(CA430=0,$BI$463,
IF(OR(CA430=1,CA430=2),
IF(BV430="",BY430&amp;" [ ≥"&amp;BU430&amp;" ]",BY430&amp;" ["&amp;BU430&amp;"-"&amp;BV430&amp;"]"),
IF(CA430=3,BY430&amp;$BJ$463,"")))</f>
        <v/>
      </c>
      <c r="BR468" s="539" t="str">
        <f ca="1">IF(CB430=0,$BI$463,
IF(OR(CB430=1,CB430=2),
IF(BX430="",BZ430&amp;" [ ≥"&amp;BW430&amp;" ]",BZ430&amp;" ["&amp;BW430&amp;"-"&amp;BX430&amp;"]"),
IF(CB430=3,BZ430&amp;$BJ$463,"")))</f>
        <v/>
      </c>
      <c r="BS468" s="539" t="str">
        <f ca="1">IF(CA446=0,$BI$463,
IF(OR(CA446=1,CA446=2),
IF(BV446="",BY446&amp;" [ ≥"&amp;BU446&amp;" ]",BY446&amp;" ["&amp;BU446&amp;"-"&amp;BV446&amp;"]"),
IF(CA446=3,BY446&amp;$BJ$463,"")))</f>
        <v/>
      </c>
      <c r="BT468" s="539" t="str">
        <f ca="1">IF(CB446=0,$BI$463,
IF(OR(CB446=1,CB446=2),
IF(BX446="",BZ446&amp;" [ ≥"&amp;BW446&amp;" ]",BZ446&amp;" ["&amp;BW446&amp;"-"&amp;BX446&amp;"]"),
IF(CB446=3,BZ446&amp;$BJ$463,"")))</f>
        <v/>
      </c>
      <c r="CU468" s="469" t="s">
        <v>5510</v>
      </c>
      <c r="HN468" s="20"/>
      <c r="HP468" s="472"/>
    </row>
    <row r="469" spans="58:224" x14ac:dyDescent="0.25">
      <c r="BF469" s="469" t="s">
        <v>5510</v>
      </c>
      <c r="BH469" s="536" t="s">
        <v>91</v>
      </c>
      <c r="BI469" s="539" t="str">
        <f t="shared" ref="BI469:BI477" ca="1" si="222">IF(BP415=0,$BI$463,
IF(OR(BP415=1,BP415=2),
IF(BK415="",BN415&amp;" [ ≥"&amp;BJ415&amp;" ]",BN415&amp;" ["&amp;BJ415&amp;"-"&amp;BK415&amp;"]"),
IF(BP415=3,BN415&amp;$BJ$463,"")))</f>
        <v/>
      </c>
      <c r="BJ469" s="539" t="str">
        <f t="shared" ref="BJ469:BJ477" ca="1" si="223">IF(BQ415=0,$BI$463,
IF(OR(BQ415=1,BQ415=2),
IF(BM415="",BO415&amp;" [ ≥"&amp;BL415&amp;" ]",BO415&amp;" ["&amp;BL415&amp;"-"&amp;BM415&amp;"]"),
IF(BQ415=3,BO415&amp;$BJ$463,"")))</f>
        <v/>
      </c>
      <c r="BK469" s="539" t="str">
        <f t="shared" ref="BK469:BK477" ca="1" si="224">IF(BP431=0,$BI$463,
IF(OR(BP431=1,BP431=2),
IF(BK431="",BN431&amp;" [ ≥"&amp;BJ431&amp;" ]",BN431&amp;" ["&amp;BJ431&amp;"-"&amp;BK431&amp;"]"),
IF(BP431=3,BN431&amp;$BJ$463,"")))</f>
        <v/>
      </c>
      <c r="BL469" s="539" t="str">
        <f t="shared" ref="BL469:BL477" ca="1" si="225">IF(BQ431=0,$BI$463,
IF(OR(BQ431=1,BQ431=2),
IF(BM431="",BO431&amp;" [ ≥"&amp;BL431&amp;" ]",BO431&amp;" ["&amp;BL431&amp;"-"&amp;BM431&amp;"]"),
IF(BQ431=3,BO431&amp;$BJ$463,"")))</f>
        <v/>
      </c>
      <c r="BM469" s="539" t="str">
        <f t="shared" ref="BM469:BM477" ca="1" si="226">IF(BP447=0,$BI$463,
IF(OR(BP447=1,BP447=2),
IF(BK447="",BN447&amp;" [ ≥"&amp;BJ447&amp;" ]",BN447&amp;" ["&amp;BJ447&amp;"-"&amp;BK447&amp;"]"),
IF(BP447=3,BN447&amp;$BJ$463,"")))</f>
        <v/>
      </c>
      <c r="BN469" s="539" t="str">
        <f t="shared" ref="BN469:BN477" ca="1" si="227">IF(BQ447=0,$BI$463,
IF(OR(BQ447=1,BQ447=2),
IF(BM447="",BO447&amp;" [ ≥"&amp;BL447&amp;" ]",BO447&amp;" ["&amp;BL447&amp;"-"&amp;BM447&amp;"]"),
IF(BQ447=3,BO447&amp;$BJ$463,"")))</f>
        <v/>
      </c>
      <c r="BO469" s="539" t="str">
        <f t="shared" ref="BO469:BO477" ca="1" si="228">IF(CA415=0,$BI$463,
IF(OR(CA415=1,CA415=2),
IF(BV415="",BY415&amp;" [ ≥"&amp;BU415&amp;" ]",BY415&amp;" ["&amp;BU415&amp;"-"&amp;BV415&amp;"]"),
IF(CA415=3,BY415&amp;$BJ$463,"")))</f>
        <v/>
      </c>
      <c r="BP469" s="539" t="str">
        <f t="shared" ref="BP469:BP477" ca="1" si="229">IF(CB415=0,$BI$463,
IF(OR(CB415=1,CB415=2),
IF(BX415="",BZ415&amp;" [ ≥"&amp;BW415&amp;" ]",BZ415&amp;" ["&amp;BW415&amp;"-"&amp;BX415&amp;"]"),
IF(CB415=3,BZ415&amp;$BJ$463,"")))</f>
        <v/>
      </c>
      <c r="BQ469" s="539" t="str">
        <f t="shared" ref="BQ469:BQ477" ca="1" si="230">IF(CA431=0,$BI$463,
IF(OR(CA431=1,CA431=2),
IF(BV431="",BY431&amp;" [ ≥"&amp;BU431&amp;" ]",BY431&amp;" ["&amp;BU431&amp;"-"&amp;BV431&amp;"]"),
IF(CA431=3,BY431&amp;$BJ$463,"")))</f>
        <v/>
      </c>
      <c r="BR469" s="539" t="str">
        <f t="shared" ref="BR469:BR477" ca="1" si="231">IF(CB431=0,$BI$463,
IF(OR(CB431=1,CB431=2),
IF(BX431="",BZ431&amp;" [ ≥"&amp;BW431&amp;" ]",BZ431&amp;" ["&amp;BW431&amp;"-"&amp;BX431&amp;"]"),
IF(CB431=3,BZ431&amp;$BJ$463,"")))</f>
        <v/>
      </c>
      <c r="BS469" s="539" t="str">
        <f t="shared" ref="BS469:BS477" ca="1" si="232">IF(CA447=0,$BI$463,
IF(OR(CA447=1,CA447=2),
IF(BV447="",BY447&amp;" [ ≥"&amp;BU447&amp;" ]",BY447&amp;" ["&amp;BU447&amp;"-"&amp;BV447&amp;"]"),
IF(CA447=3,BY447&amp;$BJ$463,"")))</f>
        <v/>
      </c>
      <c r="BT469" s="539" t="str">
        <f t="shared" ref="BT469:BT477" ca="1" si="233">IF(CB447=0,$BI$463,
IF(OR(CB447=1,CB447=2),
IF(BX447="",BZ447&amp;" [ ≥"&amp;BW447&amp;" ]",BZ447&amp;" ["&amp;BW447&amp;"-"&amp;BX447&amp;"]"),
IF(CB447=3,BZ447&amp;$BJ$463,"")))</f>
        <v/>
      </c>
      <c r="CU469" s="469" t="s">
        <v>5510</v>
      </c>
      <c r="HN469" s="20"/>
      <c r="HP469" s="472"/>
    </row>
    <row r="470" spans="58:224" x14ac:dyDescent="0.25">
      <c r="BF470" s="469" t="s">
        <v>5510</v>
      </c>
      <c r="BH470" s="536" t="s">
        <v>92</v>
      </c>
      <c r="BI470" s="539" t="str">
        <f t="shared" ca="1" si="222"/>
        <v/>
      </c>
      <c r="BJ470" s="539" t="str">
        <f t="shared" ca="1" si="223"/>
        <v/>
      </c>
      <c r="BK470" s="539" t="str">
        <f t="shared" ca="1" si="224"/>
        <v/>
      </c>
      <c r="BL470" s="539" t="str">
        <f t="shared" ca="1" si="225"/>
        <v/>
      </c>
      <c r="BM470" s="539" t="str">
        <f t="shared" ca="1" si="226"/>
        <v/>
      </c>
      <c r="BN470" s="539" t="str">
        <f t="shared" ca="1" si="227"/>
        <v/>
      </c>
      <c r="BO470" s="539" t="str">
        <f t="shared" ca="1" si="228"/>
        <v/>
      </c>
      <c r="BP470" s="539" t="str">
        <f t="shared" ca="1" si="229"/>
        <v/>
      </c>
      <c r="BQ470" s="539" t="str">
        <f t="shared" ca="1" si="230"/>
        <v/>
      </c>
      <c r="BR470" s="539" t="str">
        <f t="shared" ca="1" si="231"/>
        <v/>
      </c>
      <c r="BS470" s="539" t="str">
        <f t="shared" ca="1" si="232"/>
        <v/>
      </c>
      <c r="BT470" s="539" t="str">
        <f t="shared" ca="1" si="233"/>
        <v/>
      </c>
      <c r="CU470" s="469" t="s">
        <v>5510</v>
      </c>
      <c r="HN470" s="20"/>
      <c r="HP470" s="472"/>
    </row>
    <row r="471" spans="58:224" x14ac:dyDescent="0.25">
      <c r="BF471" s="469" t="s">
        <v>5510</v>
      </c>
      <c r="BH471" s="536" t="s">
        <v>93</v>
      </c>
      <c r="BI471" s="539" t="str">
        <f t="shared" ca="1" si="222"/>
        <v/>
      </c>
      <c r="BJ471" s="539" t="str">
        <f t="shared" ca="1" si="223"/>
        <v/>
      </c>
      <c r="BK471" s="539" t="str">
        <f t="shared" ca="1" si="224"/>
        <v/>
      </c>
      <c r="BL471" s="539" t="str">
        <f t="shared" ca="1" si="225"/>
        <v/>
      </c>
      <c r="BM471" s="539" t="str">
        <f t="shared" ca="1" si="226"/>
        <v/>
      </c>
      <c r="BN471" s="539" t="str">
        <f t="shared" ca="1" si="227"/>
        <v/>
      </c>
      <c r="BO471" s="539" t="str">
        <f t="shared" ca="1" si="228"/>
        <v/>
      </c>
      <c r="BP471" s="539" t="str">
        <f t="shared" ca="1" si="229"/>
        <v/>
      </c>
      <c r="BQ471" s="539" t="str">
        <f t="shared" ca="1" si="230"/>
        <v/>
      </c>
      <c r="BR471" s="539" t="str">
        <f t="shared" ca="1" si="231"/>
        <v/>
      </c>
      <c r="BS471" s="539" t="str">
        <f t="shared" ca="1" si="232"/>
        <v/>
      </c>
      <c r="BT471" s="539" t="str">
        <f t="shared" ca="1" si="233"/>
        <v/>
      </c>
      <c r="CU471" s="469" t="s">
        <v>5510</v>
      </c>
      <c r="HN471" s="20"/>
      <c r="HP471" s="472"/>
    </row>
    <row r="472" spans="58:224" x14ac:dyDescent="0.25">
      <c r="BF472" s="469" t="s">
        <v>5510</v>
      </c>
      <c r="BH472" s="536" t="s">
        <v>94</v>
      </c>
      <c r="BI472" s="539" t="str">
        <f t="shared" ca="1" si="222"/>
        <v/>
      </c>
      <c r="BJ472" s="539" t="str">
        <f t="shared" ca="1" si="223"/>
        <v/>
      </c>
      <c r="BK472" s="539" t="str">
        <f t="shared" ca="1" si="224"/>
        <v/>
      </c>
      <c r="BL472" s="539" t="str">
        <f t="shared" ca="1" si="225"/>
        <v/>
      </c>
      <c r="BM472" s="539" t="str">
        <f t="shared" ca="1" si="226"/>
        <v/>
      </c>
      <c r="BN472" s="539" t="str">
        <f t="shared" ca="1" si="227"/>
        <v/>
      </c>
      <c r="BO472" s="539" t="str">
        <f t="shared" ca="1" si="228"/>
        <v/>
      </c>
      <c r="BP472" s="539" t="str">
        <f t="shared" ca="1" si="229"/>
        <v/>
      </c>
      <c r="BQ472" s="539" t="str">
        <f t="shared" ca="1" si="230"/>
        <v/>
      </c>
      <c r="BR472" s="539" t="str">
        <f t="shared" ca="1" si="231"/>
        <v/>
      </c>
      <c r="BS472" s="539" t="str">
        <f t="shared" ca="1" si="232"/>
        <v/>
      </c>
      <c r="BT472" s="539" t="str">
        <f t="shared" ca="1" si="233"/>
        <v/>
      </c>
      <c r="CU472" s="469" t="s">
        <v>5510</v>
      </c>
      <c r="HN472" s="20"/>
      <c r="HP472" s="472"/>
    </row>
    <row r="473" spans="58:224" x14ac:dyDescent="0.25">
      <c r="BF473" s="469" t="s">
        <v>5510</v>
      </c>
      <c r="BH473" s="536" t="s">
        <v>95</v>
      </c>
      <c r="BI473" s="539" t="str">
        <f t="shared" ca="1" si="222"/>
        <v/>
      </c>
      <c r="BJ473" s="539" t="str">
        <f t="shared" ca="1" si="223"/>
        <v/>
      </c>
      <c r="BK473" s="539" t="str">
        <f t="shared" ca="1" si="224"/>
        <v/>
      </c>
      <c r="BL473" s="539" t="str">
        <f t="shared" ca="1" si="225"/>
        <v/>
      </c>
      <c r="BM473" s="539" t="str">
        <f t="shared" ca="1" si="226"/>
        <v/>
      </c>
      <c r="BN473" s="539" t="str">
        <f t="shared" ca="1" si="227"/>
        <v/>
      </c>
      <c r="BO473" s="539" t="str">
        <f t="shared" ca="1" si="228"/>
        <v/>
      </c>
      <c r="BP473" s="539" t="str">
        <f t="shared" ca="1" si="229"/>
        <v/>
      </c>
      <c r="BQ473" s="539" t="str">
        <f t="shared" ca="1" si="230"/>
        <v/>
      </c>
      <c r="BR473" s="539" t="str">
        <f t="shared" ca="1" si="231"/>
        <v/>
      </c>
      <c r="BS473" s="539" t="str">
        <f t="shared" ca="1" si="232"/>
        <v/>
      </c>
      <c r="BT473" s="539" t="str">
        <f t="shared" ca="1" si="233"/>
        <v/>
      </c>
      <c r="CU473" s="469" t="s">
        <v>5510</v>
      </c>
      <c r="HN473" s="20"/>
      <c r="HP473" s="472"/>
    </row>
    <row r="474" spans="58:224" x14ac:dyDescent="0.25">
      <c r="BF474" s="469" t="s">
        <v>5510</v>
      </c>
      <c r="BH474" s="536" t="s">
        <v>96</v>
      </c>
      <c r="BI474" s="539" t="str">
        <f t="shared" ca="1" si="222"/>
        <v/>
      </c>
      <c r="BJ474" s="539" t="str">
        <f t="shared" ca="1" si="223"/>
        <v/>
      </c>
      <c r="BK474" s="539" t="str">
        <f t="shared" ca="1" si="224"/>
        <v/>
      </c>
      <c r="BL474" s="539" t="str">
        <f t="shared" ca="1" si="225"/>
        <v/>
      </c>
      <c r="BM474" s="539" t="str">
        <f t="shared" ca="1" si="226"/>
        <v/>
      </c>
      <c r="BN474" s="539" t="str">
        <f t="shared" ca="1" si="227"/>
        <v/>
      </c>
      <c r="BO474" s="539" t="str">
        <f t="shared" ca="1" si="228"/>
        <v/>
      </c>
      <c r="BP474" s="539" t="str">
        <f t="shared" ca="1" si="229"/>
        <v/>
      </c>
      <c r="BQ474" s="539" t="str">
        <f t="shared" ca="1" si="230"/>
        <v/>
      </c>
      <c r="BR474" s="539" t="str">
        <f t="shared" ca="1" si="231"/>
        <v/>
      </c>
      <c r="BS474" s="539" t="str">
        <f t="shared" ca="1" si="232"/>
        <v/>
      </c>
      <c r="BT474" s="539" t="str">
        <f t="shared" ca="1" si="233"/>
        <v/>
      </c>
      <c r="CU474" s="469" t="s">
        <v>5510</v>
      </c>
      <c r="HN474" s="20"/>
      <c r="HP474" s="472"/>
    </row>
    <row r="475" spans="58:224" x14ac:dyDescent="0.25">
      <c r="BF475" s="469" t="s">
        <v>5510</v>
      </c>
      <c r="BH475" s="536" t="s">
        <v>97</v>
      </c>
      <c r="BI475" s="539" t="str">
        <f t="shared" ca="1" si="222"/>
        <v/>
      </c>
      <c r="BJ475" s="539" t="str">
        <f t="shared" ca="1" si="223"/>
        <v/>
      </c>
      <c r="BK475" s="539" t="str">
        <f t="shared" ca="1" si="224"/>
        <v/>
      </c>
      <c r="BL475" s="539" t="str">
        <f t="shared" ca="1" si="225"/>
        <v/>
      </c>
      <c r="BM475" s="539" t="str">
        <f t="shared" ca="1" si="226"/>
        <v/>
      </c>
      <c r="BN475" s="539" t="str">
        <f t="shared" ca="1" si="227"/>
        <v/>
      </c>
      <c r="BO475" s="539" t="str">
        <f t="shared" ca="1" si="228"/>
        <v/>
      </c>
      <c r="BP475" s="539" t="str">
        <f t="shared" ca="1" si="229"/>
        <v/>
      </c>
      <c r="BQ475" s="539" t="str">
        <f t="shared" ca="1" si="230"/>
        <v/>
      </c>
      <c r="BR475" s="539" t="str">
        <f t="shared" ca="1" si="231"/>
        <v/>
      </c>
      <c r="BS475" s="539" t="str">
        <f t="shared" ca="1" si="232"/>
        <v/>
      </c>
      <c r="BT475" s="539" t="str">
        <f t="shared" ca="1" si="233"/>
        <v/>
      </c>
      <c r="CU475" s="469" t="s">
        <v>5510</v>
      </c>
      <c r="HN475" s="20"/>
      <c r="HP475" s="472"/>
    </row>
    <row r="476" spans="58:224" x14ac:dyDescent="0.25">
      <c r="BF476" s="469" t="s">
        <v>5510</v>
      </c>
      <c r="BH476" s="536" t="s">
        <v>98</v>
      </c>
      <c r="BI476" s="539" t="str">
        <f t="shared" ca="1" si="222"/>
        <v/>
      </c>
      <c r="BJ476" s="539" t="str">
        <f t="shared" ca="1" si="223"/>
        <v/>
      </c>
      <c r="BK476" s="539" t="str">
        <f t="shared" ca="1" si="224"/>
        <v/>
      </c>
      <c r="BL476" s="539" t="str">
        <f t="shared" ca="1" si="225"/>
        <v/>
      </c>
      <c r="BM476" s="539" t="str">
        <f t="shared" ca="1" si="226"/>
        <v/>
      </c>
      <c r="BN476" s="539" t="str">
        <f t="shared" ca="1" si="227"/>
        <v/>
      </c>
      <c r="BO476" s="539" t="str">
        <f t="shared" ca="1" si="228"/>
        <v/>
      </c>
      <c r="BP476" s="539" t="str">
        <f t="shared" ca="1" si="229"/>
        <v/>
      </c>
      <c r="BQ476" s="539" t="str">
        <f t="shared" ca="1" si="230"/>
        <v/>
      </c>
      <c r="BR476" s="539" t="str">
        <f t="shared" ca="1" si="231"/>
        <v/>
      </c>
      <c r="BS476" s="539" t="str">
        <f t="shared" ca="1" si="232"/>
        <v/>
      </c>
      <c r="BT476" s="539" t="str">
        <f t="shared" ca="1" si="233"/>
        <v/>
      </c>
      <c r="CU476" s="469" t="s">
        <v>5510</v>
      </c>
      <c r="HN476" s="20"/>
      <c r="HP476" s="472"/>
    </row>
    <row r="477" spans="58:224" x14ac:dyDescent="0.25">
      <c r="BF477" s="469" t="s">
        <v>5510</v>
      </c>
      <c r="BH477" s="536" t="s">
        <v>99</v>
      </c>
      <c r="BI477" s="539" t="str">
        <f t="shared" ca="1" si="222"/>
        <v/>
      </c>
      <c r="BJ477" s="539" t="str">
        <f t="shared" ca="1" si="223"/>
        <v/>
      </c>
      <c r="BK477" s="539" t="str">
        <f t="shared" ca="1" si="224"/>
        <v/>
      </c>
      <c r="BL477" s="539" t="str">
        <f t="shared" ca="1" si="225"/>
        <v/>
      </c>
      <c r="BM477" s="539" t="str">
        <f t="shared" ca="1" si="226"/>
        <v/>
      </c>
      <c r="BN477" s="539" t="str">
        <f t="shared" ca="1" si="227"/>
        <v/>
      </c>
      <c r="BO477" s="539" t="str">
        <f t="shared" ca="1" si="228"/>
        <v/>
      </c>
      <c r="BP477" s="539" t="str">
        <f t="shared" ca="1" si="229"/>
        <v/>
      </c>
      <c r="BQ477" s="539" t="str">
        <f t="shared" ca="1" si="230"/>
        <v/>
      </c>
      <c r="BR477" s="539" t="str">
        <f t="shared" ca="1" si="231"/>
        <v/>
      </c>
      <c r="BS477" s="539" t="str">
        <f t="shared" ca="1" si="232"/>
        <v/>
      </c>
      <c r="BT477" s="539" t="str">
        <f t="shared" ca="1" si="233"/>
        <v/>
      </c>
      <c r="CU477" s="469" t="s">
        <v>5510</v>
      </c>
      <c r="HN477" s="20"/>
      <c r="HP477" s="472"/>
    </row>
    <row r="478" spans="58:224" x14ac:dyDescent="0.25">
      <c r="BF478" s="469" t="s">
        <v>5510</v>
      </c>
      <c r="BI478" s="20"/>
      <c r="BJ478" s="20"/>
      <c r="BK478" s="20"/>
      <c r="BL478" s="20"/>
      <c r="BM478" s="20"/>
      <c r="BN478" s="20"/>
      <c r="BO478" s="20"/>
      <c r="BP478" s="20"/>
      <c r="BQ478" s="20"/>
      <c r="CU478" s="469" t="s">
        <v>5510</v>
      </c>
      <c r="HN478" s="20"/>
      <c r="HP478" s="472"/>
    </row>
    <row r="479" spans="58:224" x14ac:dyDescent="0.25">
      <c r="BF479" s="469" t="s">
        <v>5510</v>
      </c>
      <c r="BU479" s="372"/>
      <c r="CU479" s="469" t="s">
        <v>5510</v>
      </c>
      <c r="HN479" s="20"/>
      <c r="HP479" s="472"/>
    </row>
    <row r="480" spans="58:224" x14ac:dyDescent="0.25">
      <c r="BF480" s="469" t="s">
        <v>5510</v>
      </c>
      <c r="BU480" s="372"/>
      <c r="CU480" s="469" t="s">
        <v>5510</v>
      </c>
      <c r="HN480" s="20"/>
      <c r="HP480" s="472"/>
    </row>
    <row r="481" spans="58:224" x14ac:dyDescent="0.25">
      <c r="BF481" s="469" t="s">
        <v>5510</v>
      </c>
      <c r="BU481" s="372"/>
      <c r="CU481" s="469" t="s">
        <v>5510</v>
      </c>
      <c r="HN481" s="20"/>
      <c r="HP481" s="472"/>
    </row>
    <row r="482" spans="58:224" x14ac:dyDescent="0.25">
      <c r="BF482" s="469" t="s">
        <v>5510</v>
      </c>
      <c r="BU482" s="372"/>
      <c r="CU482" s="469" t="s">
        <v>5510</v>
      </c>
      <c r="HN482" s="20"/>
      <c r="HP482" s="472"/>
    </row>
    <row r="483" spans="58:224" x14ac:dyDescent="0.25">
      <c r="BF483" s="469" t="s">
        <v>5510</v>
      </c>
      <c r="BU483" s="372"/>
      <c r="CU483" s="469" t="s">
        <v>5510</v>
      </c>
      <c r="HN483" s="20"/>
      <c r="HP483" s="472"/>
    </row>
    <row r="484" spans="58:224" x14ac:dyDescent="0.25">
      <c r="BF484" s="469" t="s">
        <v>5510</v>
      </c>
      <c r="BU484" s="372"/>
      <c r="CU484" s="469" t="s">
        <v>5510</v>
      </c>
      <c r="HN484" s="20"/>
      <c r="HP484" s="472"/>
    </row>
    <row r="485" spans="58:224" ht="15.75" thickBot="1" x14ac:dyDescent="0.3">
      <c r="BF485" s="469" t="s">
        <v>5510</v>
      </c>
      <c r="BG485" s="468" t="s">
        <v>8220</v>
      </c>
      <c r="BH485" s="468"/>
      <c r="BI485" s="468"/>
      <c r="BJ485" s="468"/>
      <c r="BK485" s="468"/>
      <c r="BL485" s="468"/>
      <c r="BM485" s="468"/>
      <c r="BN485" s="468"/>
      <c r="BO485" s="468"/>
      <c r="BP485" s="468"/>
      <c r="BQ485" s="468"/>
      <c r="BR485" s="468"/>
      <c r="BS485" s="468"/>
      <c r="BT485" s="468"/>
      <c r="BU485" s="372"/>
      <c r="CU485" s="469" t="s">
        <v>5510</v>
      </c>
      <c r="HN485" s="20"/>
      <c r="HP485" s="472"/>
    </row>
    <row r="486" spans="58:224" x14ac:dyDescent="0.25">
      <c r="BF486" s="469" t="s">
        <v>5510</v>
      </c>
      <c r="BI486" s="20"/>
      <c r="BJ486" s="20"/>
      <c r="BK486" s="20"/>
      <c r="BL486" s="20"/>
      <c r="BO486" s="20"/>
      <c r="BU486" s="372"/>
      <c r="CU486" s="469" t="s">
        <v>5510</v>
      </c>
      <c r="HN486" s="20"/>
      <c r="HP486" s="472"/>
    </row>
    <row r="487" spans="58:224" x14ac:dyDescent="0.25">
      <c r="BF487" s="469" t="s">
        <v>5510</v>
      </c>
      <c r="BO487" s="20"/>
      <c r="BU487" s="372"/>
      <c r="CU487" s="469" t="s">
        <v>5510</v>
      </c>
      <c r="HN487" s="20"/>
      <c r="HP487" s="472"/>
    </row>
    <row r="488" spans="58:224" x14ac:dyDescent="0.25">
      <c r="BF488" s="469" t="s">
        <v>5510</v>
      </c>
      <c r="BO488" s="20"/>
      <c r="BU488" s="372"/>
      <c r="CU488" s="469" t="s">
        <v>5510</v>
      </c>
      <c r="HN488" s="20"/>
      <c r="HP488" s="472"/>
    </row>
    <row r="489" spans="58:224" x14ac:dyDescent="0.25">
      <c r="BF489" s="469" t="s">
        <v>5510</v>
      </c>
      <c r="BH489" s="479" t="s">
        <v>8034</v>
      </c>
      <c r="BI489" s="479" t="s">
        <v>5800</v>
      </c>
      <c r="BK489" s="479" t="s">
        <v>8218</v>
      </c>
      <c r="BL489" s="619" t="str">
        <f>"Aumento de revertentes"&amp;CHAR(10)</f>
        <v xml:space="preserve">Aumento de revertentes
</v>
      </c>
      <c r="BM489" s="20"/>
      <c r="BN489" s="20"/>
      <c r="BO489" s="20"/>
      <c r="BU489" s="372"/>
      <c r="HN489" s="20"/>
      <c r="HP489" s="472"/>
    </row>
    <row r="490" spans="58:224" x14ac:dyDescent="0.25">
      <c r="BF490" s="469" t="s">
        <v>5510</v>
      </c>
      <c r="BH490" s="537" t="s">
        <v>90</v>
      </c>
      <c r="BI490" s="537" t="s">
        <v>5807</v>
      </c>
      <c r="BK490" s="479" t="s">
        <v>8218</v>
      </c>
      <c r="BL490" s="619" t="s">
        <v>7799</v>
      </c>
      <c r="BM490" s="20"/>
      <c r="BN490" s="20"/>
      <c r="BO490" s="20"/>
      <c r="BQ490" s="20"/>
      <c r="HN490" s="20"/>
      <c r="HP490" s="472"/>
    </row>
    <row r="491" spans="58:224" x14ac:dyDescent="0.25">
      <c r="BF491" s="469" t="s">
        <v>5510</v>
      </c>
      <c r="BH491" s="537" t="s">
        <v>91</v>
      </c>
      <c r="BI491" s="537" t="s">
        <v>5807</v>
      </c>
      <c r="BK491" s="20"/>
      <c r="BL491" s="20"/>
      <c r="BM491" s="20"/>
      <c r="BN491" s="20"/>
      <c r="BO491" s="20"/>
      <c r="HN491" s="20"/>
      <c r="HP491" s="472"/>
    </row>
    <row r="492" spans="58:224" x14ac:dyDescent="0.25">
      <c r="BF492" s="469" t="s">
        <v>5510</v>
      </c>
      <c r="BH492" s="537" t="s">
        <v>92</v>
      </c>
      <c r="BI492" s="537" t="s">
        <v>5807</v>
      </c>
      <c r="BK492" s="20"/>
      <c r="BL492" s="20"/>
      <c r="BM492" s="20"/>
      <c r="BN492" s="20"/>
      <c r="BO492" s="20"/>
      <c r="HN492" s="20"/>
      <c r="HP492" s="472"/>
    </row>
    <row r="493" spans="58:224" x14ac:dyDescent="0.25">
      <c r="BH493" s="537" t="s">
        <v>93</v>
      </c>
      <c r="BI493" s="537" t="s">
        <v>5807</v>
      </c>
      <c r="BK493" s="20"/>
      <c r="BL493" s="372"/>
      <c r="BM493" s="20"/>
      <c r="BN493" s="20"/>
      <c r="BO493" s="20"/>
      <c r="HN493" s="20"/>
      <c r="HP493" s="472"/>
    </row>
    <row r="494" spans="58:224" x14ac:dyDescent="0.25">
      <c r="BH494" s="537" t="s">
        <v>94</v>
      </c>
      <c r="BI494" s="537" t="s">
        <v>5807</v>
      </c>
      <c r="BK494" s="631" t="s">
        <v>5809</v>
      </c>
      <c r="BL494" s="426" t="str">
        <f ca="1">IF(COUNTIF(BO508:BQ527,"&gt;0")&gt;0,BL489,"")</f>
        <v/>
      </c>
      <c r="BM494" s="20"/>
      <c r="BN494" s="20"/>
      <c r="BO494" s="20"/>
      <c r="HN494" s="20"/>
      <c r="HP494" s="472"/>
    </row>
    <row r="495" spans="58:224" x14ac:dyDescent="0.25">
      <c r="BH495" s="537" t="s">
        <v>95</v>
      </c>
      <c r="BI495" s="537" t="s">
        <v>5808</v>
      </c>
      <c r="BK495" s="631" t="s">
        <v>7799</v>
      </c>
      <c r="BL495" s="426" t="str">
        <f ca="1">IF(COUNTIF(INDIRECT($BI$2&amp;$BM$495),"sim")&gt;0,BL490,"")</f>
        <v/>
      </c>
      <c r="BM495" s="480" t="s">
        <v>8229</v>
      </c>
      <c r="BN495" s="20"/>
      <c r="BO495" s="20"/>
      <c r="HN495" s="20"/>
      <c r="HP495" s="472"/>
    </row>
    <row r="496" spans="58:224" x14ac:dyDescent="0.25">
      <c r="BH496" s="537" t="s">
        <v>96</v>
      </c>
      <c r="BI496" s="537" t="s">
        <v>5808</v>
      </c>
      <c r="BN496" s="472"/>
      <c r="BO496" s="20"/>
      <c r="HN496" s="20"/>
      <c r="HP496" s="472"/>
    </row>
    <row r="497" spans="60:224" x14ac:dyDescent="0.25">
      <c r="BH497" s="537" t="s">
        <v>97</v>
      </c>
      <c r="BI497" s="537" t="s">
        <v>5808</v>
      </c>
      <c r="BK497" s="20"/>
      <c r="BL497" s="20"/>
      <c r="BM497" s="20"/>
      <c r="BN497" s="20"/>
      <c r="BO497" s="20"/>
      <c r="HN497" s="20"/>
      <c r="HP497" s="472"/>
    </row>
    <row r="498" spans="60:224" x14ac:dyDescent="0.25">
      <c r="BH498" s="537" t="s">
        <v>98</v>
      </c>
      <c r="BI498" s="537" t="s">
        <v>5807</v>
      </c>
      <c r="BK498" s="20"/>
      <c r="BL498" s="20"/>
      <c r="BM498" s="20"/>
      <c r="BN498" s="20"/>
      <c r="BO498" s="20"/>
      <c r="HN498" s="20"/>
      <c r="HP498" s="472"/>
    </row>
    <row r="499" spans="60:224" x14ac:dyDescent="0.25">
      <c r="BH499" s="537" t="s">
        <v>8224</v>
      </c>
      <c r="BI499" s="537" t="s">
        <v>5807</v>
      </c>
      <c r="BK499" s="20"/>
      <c r="BL499" s="20"/>
      <c r="BM499" s="20"/>
      <c r="BN499" s="20"/>
      <c r="BO499" s="20"/>
      <c r="HN499" s="20"/>
      <c r="HP499" s="472"/>
    </row>
    <row r="500" spans="60:224" x14ac:dyDescent="0.25">
      <c r="BH500" s="537" t="s">
        <v>8224</v>
      </c>
      <c r="BI500" s="537" t="s">
        <v>5807</v>
      </c>
      <c r="BK500" s="20"/>
      <c r="BL500" s="20"/>
      <c r="BM500" s="20"/>
      <c r="BN500" s="20"/>
      <c r="BO500" s="20"/>
      <c r="HN500" s="20"/>
      <c r="HP500" s="472"/>
    </row>
    <row r="501" spans="60:224" x14ac:dyDescent="0.25">
      <c r="BK501" s="20"/>
      <c r="BL501" s="20"/>
      <c r="BM501" s="20"/>
      <c r="BN501" s="20"/>
      <c r="BO501" s="20"/>
      <c r="HN501" s="20"/>
      <c r="HP501" s="472"/>
    </row>
    <row r="502" spans="60:224" x14ac:dyDescent="0.25">
      <c r="BK502" s="20"/>
      <c r="BL502" s="20"/>
      <c r="BM502" s="20"/>
      <c r="BN502" s="20"/>
      <c r="BO502" s="20"/>
      <c r="HN502" s="20"/>
      <c r="HP502" s="472"/>
    </row>
    <row r="503" spans="60:224" x14ac:dyDescent="0.25">
      <c r="BH503" s="479" t="s">
        <v>8031</v>
      </c>
      <c r="BI503" s="672">
        <v>9</v>
      </c>
      <c r="BM503" s="20"/>
      <c r="BN503" s="20"/>
      <c r="BO503" s="20"/>
      <c r="HN503" s="20"/>
      <c r="HP503" s="472"/>
    </row>
    <row r="504" spans="60:224" x14ac:dyDescent="0.25">
      <c r="BH504" s="479" t="s">
        <v>8032</v>
      </c>
      <c r="BI504" s="672">
        <v>7</v>
      </c>
      <c r="BM504" s="20"/>
      <c r="BN504" s="20"/>
      <c r="BO504" s="20"/>
      <c r="HN504" s="20"/>
      <c r="HP504" s="472"/>
    </row>
    <row r="505" spans="60:224" x14ac:dyDescent="0.25">
      <c r="BK505" s="20"/>
      <c r="BM505" s="20"/>
      <c r="BN505" s="20"/>
      <c r="BO505" s="20"/>
      <c r="HN505" s="20"/>
      <c r="HP505" s="472"/>
    </row>
    <row r="506" spans="60:224" x14ac:dyDescent="0.25">
      <c r="BK506" s="20"/>
      <c r="BL506" s="479" t="s">
        <v>88</v>
      </c>
      <c r="BM506" s="479" t="s">
        <v>101</v>
      </c>
      <c r="BN506" s="479" t="s">
        <v>120</v>
      </c>
      <c r="BO506" s="479" t="s">
        <v>88</v>
      </c>
      <c r="BP506" s="479" t="s">
        <v>101</v>
      </c>
      <c r="BQ506" s="479" t="s">
        <v>120</v>
      </c>
      <c r="HN506" s="20"/>
      <c r="HP506" s="472"/>
    </row>
    <row r="507" spans="60:224" x14ac:dyDescent="0.25">
      <c r="BH507" s="479" t="s">
        <v>8034</v>
      </c>
      <c r="BI507" s="479" t="s">
        <v>5800</v>
      </c>
      <c r="BJ507" s="552" t="s">
        <v>5805</v>
      </c>
      <c r="BK507" s="552" t="s">
        <v>5806</v>
      </c>
      <c r="BL507" s="672" t="s">
        <v>8226</v>
      </c>
      <c r="BM507" s="672" t="s">
        <v>8227</v>
      </c>
      <c r="BN507" s="672" t="s">
        <v>8228</v>
      </c>
      <c r="BO507" s="479" t="s">
        <v>8225</v>
      </c>
      <c r="BP507" s="479" t="s">
        <v>8225</v>
      </c>
      <c r="BQ507" s="479" t="s">
        <v>8225</v>
      </c>
      <c r="HN507" s="20"/>
      <c r="HP507" s="472"/>
    </row>
    <row r="508" spans="60:224" x14ac:dyDescent="0.25">
      <c r="BH508" s="537" t="s">
        <v>8037</v>
      </c>
      <c r="BI508" s="537" t="str">
        <f>IFERROR(
VLOOKUP(LEFT(BH508,LEN(BH508)-1),$BH$490:$BI$500,2,0),
"erro")</f>
        <v>&gt;=2</v>
      </c>
      <c r="BJ508" s="480">
        <f>ROW(BO11)</f>
        <v>11</v>
      </c>
      <c r="BK508" s="480">
        <f>BJ508+$BI$503</f>
        <v>20</v>
      </c>
      <c r="BL508" s="672" t="str">
        <f>BL$507&amp;$BJ508&amp;":"&amp;BL$507&amp;$BK508</f>
        <v>BO11:BO20</v>
      </c>
      <c r="BM508" s="672" t="str">
        <f t="shared" ref="BM508" si="234">BM$507&amp;$BJ508&amp;":"&amp;BM$507&amp;$BK508</f>
        <v>BZ11:BZ20</v>
      </c>
      <c r="BN508" s="672" t="str">
        <f>BN$507&amp;$BJ508&amp;":"&amp;BN$507&amp;$BK508</f>
        <v>CK11:CK20</v>
      </c>
      <c r="BO508" s="707">
        <f ca="1">COUNTIF(INDIRECT(BL508),$BI508)</f>
        <v>0</v>
      </c>
      <c r="BP508" s="707">
        <f ca="1">COUNTIF(INDIRECT(BM508),$BI508)</f>
        <v>0</v>
      </c>
      <c r="BQ508" s="707">
        <f t="shared" ref="BP508:BQ523" ca="1" si="235">COUNTIF(INDIRECT(BN508),$BI508)</f>
        <v>0</v>
      </c>
      <c r="HN508" s="20"/>
      <c r="HP508" s="472"/>
    </row>
    <row r="509" spans="60:224" x14ac:dyDescent="0.25">
      <c r="BH509" s="537" t="s">
        <v>8038</v>
      </c>
      <c r="BI509" s="537" t="str">
        <f t="shared" ref="BI509:BI527" si="236">IFERROR(
VLOOKUP(LEFT(BH509,LEN(BH509)-1),$BH$490:$BI$500,2,0),
"erro")</f>
        <v>&gt;=2</v>
      </c>
      <c r="BJ509" s="480">
        <f>BK508+$BI$504</f>
        <v>27</v>
      </c>
      <c r="BK509" s="480">
        <f t="shared" ref="BK509:BK527" si="237">BJ509+$BI$503</f>
        <v>36</v>
      </c>
      <c r="BL509" s="672" t="str">
        <f t="shared" ref="BL509:BN527" si="238">BL$507&amp;$BJ509&amp;":"&amp;BL$507&amp;$BK509</f>
        <v>BO27:BO36</v>
      </c>
      <c r="BM509" s="672" t="str">
        <f t="shared" si="238"/>
        <v>BZ27:BZ36</v>
      </c>
      <c r="BN509" s="672" t="str">
        <f t="shared" si="238"/>
        <v>CK27:CK36</v>
      </c>
      <c r="BO509" s="707">
        <f t="shared" ref="BO509:BQ527" ca="1" si="239">COUNTIF(INDIRECT(BL509),$BI509)</f>
        <v>0</v>
      </c>
      <c r="BP509" s="707">
        <f t="shared" ca="1" si="235"/>
        <v>0</v>
      </c>
      <c r="BQ509" s="707">
        <f t="shared" ca="1" si="235"/>
        <v>0</v>
      </c>
      <c r="HN509" s="20"/>
      <c r="HP509" s="472"/>
    </row>
    <row r="510" spans="60:224" x14ac:dyDescent="0.25">
      <c r="BH510" s="537" t="s">
        <v>8040</v>
      </c>
      <c r="BI510" s="537" t="str">
        <f t="shared" si="236"/>
        <v>&gt;=2</v>
      </c>
      <c r="BJ510" s="480">
        <f t="shared" ref="BJ510:BJ527" si="240">BK509+$BI$504</f>
        <v>43</v>
      </c>
      <c r="BK510" s="480">
        <f t="shared" si="237"/>
        <v>52</v>
      </c>
      <c r="BL510" s="672" t="str">
        <f t="shared" si="238"/>
        <v>BO43:BO52</v>
      </c>
      <c r="BM510" s="672" t="str">
        <f t="shared" si="238"/>
        <v>BZ43:BZ52</v>
      </c>
      <c r="BN510" s="672" t="str">
        <f t="shared" si="238"/>
        <v>CK43:CK52</v>
      </c>
      <c r="BO510" s="707">
        <f t="shared" ca="1" si="239"/>
        <v>0</v>
      </c>
      <c r="BP510" s="707">
        <f t="shared" ca="1" si="235"/>
        <v>0</v>
      </c>
      <c r="BQ510" s="707">
        <f ca="1">COUNTIF(INDIRECT(BN510),$BI510)</f>
        <v>0</v>
      </c>
      <c r="HN510" s="20"/>
      <c r="HP510" s="472"/>
    </row>
    <row r="511" spans="60:224" x14ac:dyDescent="0.25">
      <c r="BH511" s="537" t="s">
        <v>8039</v>
      </c>
      <c r="BI511" s="537" t="str">
        <f t="shared" si="236"/>
        <v>&gt;=2</v>
      </c>
      <c r="BJ511" s="480">
        <f t="shared" si="240"/>
        <v>59</v>
      </c>
      <c r="BK511" s="480">
        <f t="shared" si="237"/>
        <v>68</v>
      </c>
      <c r="BL511" s="672" t="str">
        <f t="shared" si="238"/>
        <v>BO59:BO68</v>
      </c>
      <c r="BM511" s="672" t="str">
        <f t="shared" si="238"/>
        <v>BZ59:BZ68</v>
      </c>
      <c r="BN511" s="672" t="str">
        <f t="shared" si="238"/>
        <v>CK59:CK68</v>
      </c>
      <c r="BO511" s="707">
        <f t="shared" ca="1" si="239"/>
        <v>0</v>
      </c>
      <c r="BP511" s="707">
        <f t="shared" ca="1" si="235"/>
        <v>0</v>
      </c>
      <c r="BQ511" s="707">
        <f t="shared" ca="1" si="235"/>
        <v>0</v>
      </c>
      <c r="HN511" s="20"/>
      <c r="HP511" s="472"/>
    </row>
    <row r="512" spans="60:224" x14ac:dyDescent="0.25">
      <c r="BH512" s="537" t="s">
        <v>8041</v>
      </c>
      <c r="BI512" s="537" t="str">
        <f t="shared" si="236"/>
        <v>&gt;=2</v>
      </c>
      <c r="BJ512" s="480">
        <f t="shared" si="240"/>
        <v>75</v>
      </c>
      <c r="BK512" s="480">
        <f t="shared" si="237"/>
        <v>84</v>
      </c>
      <c r="BL512" s="672" t="str">
        <f t="shared" si="238"/>
        <v>BO75:BO84</v>
      </c>
      <c r="BM512" s="672" t="str">
        <f t="shared" si="238"/>
        <v>BZ75:BZ84</v>
      </c>
      <c r="BN512" s="672" t="str">
        <f t="shared" si="238"/>
        <v>CK75:CK84</v>
      </c>
      <c r="BO512" s="707">
        <f t="shared" ca="1" si="239"/>
        <v>0</v>
      </c>
      <c r="BP512" s="707">
        <f t="shared" ca="1" si="235"/>
        <v>0</v>
      </c>
      <c r="BQ512" s="707">
        <f t="shared" ca="1" si="235"/>
        <v>0</v>
      </c>
      <c r="HN512" s="20"/>
      <c r="HP512" s="472"/>
    </row>
    <row r="513" spans="60:224" x14ac:dyDescent="0.25">
      <c r="BH513" s="537" t="s">
        <v>8042</v>
      </c>
      <c r="BI513" s="537" t="str">
        <f t="shared" si="236"/>
        <v>&gt;=2</v>
      </c>
      <c r="BJ513" s="480">
        <f t="shared" si="240"/>
        <v>91</v>
      </c>
      <c r="BK513" s="480">
        <f t="shared" si="237"/>
        <v>100</v>
      </c>
      <c r="BL513" s="672" t="str">
        <f t="shared" si="238"/>
        <v>BO91:BO100</v>
      </c>
      <c r="BM513" s="672" t="str">
        <f t="shared" si="238"/>
        <v>BZ91:BZ100</v>
      </c>
      <c r="BN513" s="672" t="str">
        <f t="shared" si="238"/>
        <v>CK91:CK100</v>
      </c>
      <c r="BO513" s="707">
        <f t="shared" ca="1" si="239"/>
        <v>0</v>
      </c>
      <c r="BP513" s="707">
        <f t="shared" ca="1" si="235"/>
        <v>0</v>
      </c>
      <c r="BQ513" s="707">
        <f t="shared" ca="1" si="235"/>
        <v>0</v>
      </c>
      <c r="HN513" s="20"/>
      <c r="HP513" s="472"/>
    </row>
    <row r="514" spans="60:224" x14ac:dyDescent="0.25">
      <c r="BH514" s="537" t="s">
        <v>8043</v>
      </c>
      <c r="BI514" s="537" t="str">
        <f t="shared" si="236"/>
        <v>&gt;=2</v>
      </c>
      <c r="BJ514" s="480">
        <f t="shared" si="240"/>
        <v>107</v>
      </c>
      <c r="BK514" s="480">
        <f t="shared" si="237"/>
        <v>116</v>
      </c>
      <c r="BL514" s="672" t="str">
        <f t="shared" si="238"/>
        <v>BO107:BO116</v>
      </c>
      <c r="BM514" s="672" t="str">
        <f t="shared" si="238"/>
        <v>BZ107:BZ116</v>
      </c>
      <c r="BN514" s="672" t="str">
        <f t="shared" si="238"/>
        <v>CK107:CK116</v>
      </c>
      <c r="BO514" s="707">
        <f t="shared" ca="1" si="239"/>
        <v>0</v>
      </c>
      <c r="BP514" s="707">
        <f t="shared" ca="1" si="235"/>
        <v>0</v>
      </c>
      <c r="BQ514" s="707">
        <f t="shared" ca="1" si="235"/>
        <v>0</v>
      </c>
      <c r="HN514" s="20"/>
      <c r="HP514" s="472"/>
    </row>
    <row r="515" spans="60:224" x14ac:dyDescent="0.25">
      <c r="BH515" s="537" t="s">
        <v>8044</v>
      </c>
      <c r="BI515" s="537" t="str">
        <f t="shared" si="236"/>
        <v>&gt;=2</v>
      </c>
      <c r="BJ515" s="480">
        <f t="shared" si="240"/>
        <v>123</v>
      </c>
      <c r="BK515" s="480">
        <f t="shared" si="237"/>
        <v>132</v>
      </c>
      <c r="BL515" s="672" t="str">
        <f t="shared" si="238"/>
        <v>BO123:BO132</v>
      </c>
      <c r="BM515" s="672" t="str">
        <f t="shared" si="238"/>
        <v>BZ123:BZ132</v>
      </c>
      <c r="BN515" s="672" t="str">
        <f t="shared" si="238"/>
        <v>CK123:CK132</v>
      </c>
      <c r="BO515" s="707">
        <f t="shared" ca="1" si="239"/>
        <v>0</v>
      </c>
      <c r="BP515" s="707">
        <f t="shared" ca="1" si="235"/>
        <v>0</v>
      </c>
      <c r="BQ515" s="707">
        <f t="shared" ca="1" si="235"/>
        <v>0</v>
      </c>
      <c r="HN515" s="20"/>
      <c r="HP515" s="472"/>
    </row>
    <row r="516" spans="60:224" x14ac:dyDescent="0.25">
      <c r="BH516" s="537" t="s">
        <v>8045</v>
      </c>
      <c r="BI516" s="537" t="str">
        <f t="shared" si="236"/>
        <v>&gt;=2</v>
      </c>
      <c r="BJ516" s="480">
        <f t="shared" si="240"/>
        <v>139</v>
      </c>
      <c r="BK516" s="480">
        <f t="shared" si="237"/>
        <v>148</v>
      </c>
      <c r="BL516" s="672" t="str">
        <f t="shared" si="238"/>
        <v>BO139:BO148</v>
      </c>
      <c r="BM516" s="672" t="str">
        <f t="shared" si="238"/>
        <v>BZ139:BZ148</v>
      </c>
      <c r="BN516" s="672" t="str">
        <f t="shared" si="238"/>
        <v>CK139:CK148</v>
      </c>
      <c r="BO516" s="707">
        <f t="shared" ca="1" si="239"/>
        <v>0</v>
      </c>
      <c r="BP516" s="707">
        <f t="shared" ca="1" si="235"/>
        <v>0</v>
      </c>
      <c r="BQ516" s="707">
        <f t="shared" ca="1" si="235"/>
        <v>0</v>
      </c>
      <c r="HN516" s="20"/>
      <c r="HP516" s="472"/>
    </row>
    <row r="517" spans="60:224" x14ac:dyDescent="0.25">
      <c r="BH517" s="537" t="s">
        <v>8046</v>
      </c>
      <c r="BI517" s="537" t="str">
        <f t="shared" si="236"/>
        <v>&gt;=2</v>
      </c>
      <c r="BJ517" s="480">
        <f t="shared" si="240"/>
        <v>155</v>
      </c>
      <c r="BK517" s="480">
        <f t="shared" si="237"/>
        <v>164</v>
      </c>
      <c r="BL517" s="672" t="str">
        <f t="shared" si="238"/>
        <v>BO155:BO164</v>
      </c>
      <c r="BM517" s="672" t="str">
        <f t="shared" si="238"/>
        <v>BZ155:BZ164</v>
      </c>
      <c r="BN517" s="672" t="str">
        <f t="shared" si="238"/>
        <v>CK155:CK164</v>
      </c>
      <c r="BO517" s="707">
        <f t="shared" ca="1" si="239"/>
        <v>0</v>
      </c>
      <c r="BP517" s="707">
        <f t="shared" ca="1" si="235"/>
        <v>0</v>
      </c>
      <c r="BQ517" s="707">
        <f t="shared" ca="1" si="235"/>
        <v>0</v>
      </c>
      <c r="HN517" s="20"/>
      <c r="HP517" s="472"/>
    </row>
    <row r="518" spans="60:224" x14ac:dyDescent="0.25">
      <c r="BH518" s="537" t="s">
        <v>8047</v>
      </c>
      <c r="BI518" s="537" t="str">
        <f t="shared" si="236"/>
        <v>&gt;=3</v>
      </c>
      <c r="BJ518" s="480">
        <f t="shared" si="240"/>
        <v>171</v>
      </c>
      <c r="BK518" s="480">
        <f t="shared" si="237"/>
        <v>180</v>
      </c>
      <c r="BL518" s="672" t="str">
        <f t="shared" si="238"/>
        <v>BO171:BO180</v>
      </c>
      <c r="BM518" s="672" t="str">
        <f t="shared" si="238"/>
        <v>BZ171:BZ180</v>
      </c>
      <c r="BN518" s="672" t="str">
        <f t="shared" si="238"/>
        <v>CK171:CK180</v>
      </c>
      <c r="BO518" s="707">
        <f t="shared" ca="1" si="239"/>
        <v>0</v>
      </c>
      <c r="BP518" s="707">
        <f t="shared" ca="1" si="235"/>
        <v>0</v>
      </c>
      <c r="BQ518" s="707">
        <f t="shared" ca="1" si="235"/>
        <v>0</v>
      </c>
      <c r="HN518" s="20"/>
      <c r="HP518" s="472"/>
    </row>
    <row r="519" spans="60:224" x14ac:dyDescent="0.25">
      <c r="BH519" s="537" t="s">
        <v>8048</v>
      </c>
      <c r="BI519" s="537" t="str">
        <f t="shared" si="236"/>
        <v>&gt;=3</v>
      </c>
      <c r="BJ519" s="480">
        <f t="shared" si="240"/>
        <v>187</v>
      </c>
      <c r="BK519" s="480">
        <f t="shared" si="237"/>
        <v>196</v>
      </c>
      <c r="BL519" s="672" t="str">
        <f t="shared" si="238"/>
        <v>BO187:BO196</v>
      </c>
      <c r="BM519" s="672" t="str">
        <f t="shared" si="238"/>
        <v>BZ187:BZ196</v>
      </c>
      <c r="BN519" s="672" t="str">
        <f t="shared" si="238"/>
        <v>CK187:CK196</v>
      </c>
      <c r="BO519" s="707">
        <f t="shared" ca="1" si="239"/>
        <v>0</v>
      </c>
      <c r="BP519" s="707">
        <f t="shared" ca="1" si="235"/>
        <v>0</v>
      </c>
      <c r="BQ519" s="707">
        <f t="shared" ca="1" si="235"/>
        <v>0</v>
      </c>
      <c r="HN519" s="20"/>
      <c r="HP519" s="472"/>
    </row>
    <row r="520" spans="60:224" x14ac:dyDescent="0.25">
      <c r="BH520" s="537" t="s">
        <v>8049</v>
      </c>
      <c r="BI520" s="537" t="str">
        <f t="shared" si="236"/>
        <v>&gt;=3</v>
      </c>
      <c r="BJ520" s="480">
        <f t="shared" si="240"/>
        <v>203</v>
      </c>
      <c r="BK520" s="480">
        <f t="shared" si="237"/>
        <v>212</v>
      </c>
      <c r="BL520" s="672" t="str">
        <f t="shared" si="238"/>
        <v>BO203:BO212</v>
      </c>
      <c r="BM520" s="672" t="str">
        <f t="shared" si="238"/>
        <v>BZ203:BZ212</v>
      </c>
      <c r="BN520" s="672" t="str">
        <f t="shared" si="238"/>
        <v>CK203:CK212</v>
      </c>
      <c r="BO520" s="707">
        <f t="shared" ca="1" si="239"/>
        <v>0</v>
      </c>
      <c r="BP520" s="707">
        <f t="shared" ca="1" si="235"/>
        <v>0</v>
      </c>
      <c r="BQ520" s="707">
        <f t="shared" ca="1" si="235"/>
        <v>0</v>
      </c>
      <c r="HN520" s="20"/>
      <c r="HP520" s="472"/>
    </row>
    <row r="521" spans="60:224" x14ac:dyDescent="0.25">
      <c r="BH521" s="537" t="s">
        <v>8050</v>
      </c>
      <c r="BI521" s="537" t="str">
        <f t="shared" si="236"/>
        <v>&gt;=3</v>
      </c>
      <c r="BJ521" s="480">
        <f t="shared" si="240"/>
        <v>219</v>
      </c>
      <c r="BK521" s="480">
        <f t="shared" si="237"/>
        <v>228</v>
      </c>
      <c r="BL521" s="672" t="str">
        <f t="shared" si="238"/>
        <v>BO219:BO228</v>
      </c>
      <c r="BM521" s="672" t="str">
        <f t="shared" si="238"/>
        <v>BZ219:BZ228</v>
      </c>
      <c r="BN521" s="672" t="str">
        <f t="shared" si="238"/>
        <v>CK219:CK228</v>
      </c>
      <c r="BO521" s="707">
        <f t="shared" ca="1" si="239"/>
        <v>0</v>
      </c>
      <c r="BP521" s="707">
        <f t="shared" ca="1" si="235"/>
        <v>0</v>
      </c>
      <c r="BQ521" s="707">
        <f t="shared" ca="1" si="235"/>
        <v>0</v>
      </c>
      <c r="HN521" s="20"/>
      <c r="HP521" s="472"/>
    </row>
    <row r="522" spans="60:224" x14ac:dyDescent="0.25">
      <c r="BH522" s="537" t="s">
        <v>8051</v>
      </c>
      <c r="BI522" s="537" t="str">
        <f t="shared" si="236"/>
        <v>&gt;=3</v>
      </c>
      <c r="BJ522" s="480">
        <f t="shared" si="240"/>
        <v>235</v>
      </c>
      <c r="BK522" s="480">
        <f t="shared" si="237"/>
        <v>244</v>
      </c>
      <c r="BL522" s="672" t="str">
        <f t="shared" si="238"/>
        <v>BO235:BO244</v>
      </c>
      <c r="BM522" s="672" t="str">
        <f t="shared" si="238"/>
        <v>BZ235:BZ244</v>
      </c>
      <c r="BN522" s="672" t="str">
        <f t="shared" si="238"/>
        <v>CK235:CK244</v>
      </c>
      <c r="BO522" s="707">
        <f t="shared" ca="1" si="239"/>
        <v>0</v>
      </c>
      <c r="BP522" s="707">
        <f t="shared" ca="1" si="235"/>
        <v>0</v>
      </c>
      <c r="BQ522" s="707">
        <f t="shared" ca="1" si="235"/>
        <v>0</v>
      </c>
      <c r="HN522" s="20"/>
      <c r="HP522" s="472"/>
    </row>
    <row r="523" spans="60:224" x14ac:dyDescent="0.25">
      <c r="BH523" s="537" t="s">
        <v>8052</v>
      </c>
      <c r="BI523" s="537" t="str">
        <f t="shared" si="236"/>
        <v>&gt;=3</v>
      </c>
      <c r="BJ523" s="480">
        <f t="shared" si="240"/>
        <v>251</v>
      </c>
      <c r="BK523" s="480">
        <f t="shared" si="237"/>
        <v>260</v>
      </c>
      <c r="BL523" s="672" t="str">
        <f t="shared" si="238"/>
        <v>BO251:BO260</v>
      </c>
      <c r="BM523" s="672" t="str">
        <f t="shared" si="238"/>
        <v>BZ251:BZ260</v>
      </c>
      <c r="BN523" s="672" t="str">
        <f t="shared" si="238"/>
        <v>CK251:CK260</v>
      </c>
      <c r="BO523" s="707">
        <f t="shared" ca="1" si="239"/>
        <v>0</v>
      </c>
      <c r="BP523" s="707">
        <f t="shared" ca="1" si="235"/>
        <v>0</v>
      </c>
      <c r="BQ523" s="707">
        <f t="shared" ca="1" si="235"/>
        <v>0</v>
      </c>
      <c r="HN523" s="20"/>
      <c r="HP523" s="472"/>
    </row>
    <row r="524" spans="60:224" x14ac:dyDescent="0.25">
      <c r="BH524" s="537" t="s">
        <v>8054</v>
      </c>
      <c r="BI524" s="537" t="str">
        <f t="shared" si="236"/>
        <v>&gt;=2</v>
      </c>
      <c r="BJ524" s="480">
        <f t="shared" si="240"/>
        <v>267</v>
      </c>
      <c r="BK524" s="480">
        <f t="shared" si="237"/>
        <v>276</v>
      </c>
      <c r="BL524" s="672" t="str">
        <f t="shared" si="238"/>
        <v>BO267:BO276</v>
      </c>
      <c r="BM524" s="672" t="str">
        <f t="shared" si="238"/>
        <v>BZ267:BZ276</v>
      </c>
      <c r="BN524" s="672" t="str">
        <f t="shared" si="238"/>
        <v>CK267:CK276</v>
      </c>
      <c r="BO524" s="707">
        <f t="shared" ca="1" si="239"/>
        <v>0</v>
      </c>
      <c r="BP524" s="707">
        <f t="shared" ca="1" si="239"/>
        <v>0</v>
      </c>
      <c r="BQ524" s="707">
        <f t="shared" ca="1" si="239"/>
        <v>0</v>
      </c>
      <c r="HN524" s="20"/>
      <c r="HP524" s="472"/>
    </row>
    <row r="525" spans="60:224" x14ac:dyDescent="0.25">
      <c r="BH525" s="537" t="s">
        <v>8055</v>
      </c>
      <c r="BI525" s="537" t="str">
        <f t="shared" si="236"/>
        <v>&gt;=2</v>
      </c>
      <c r="BJ525" s="480">
        <f t="shared" si="240"/>
        <v>283</v>
      </c>
      <c r="BK525" s="480">
        <f t="shared" si="237"/>
        <v>292</v>
      </c>
      <c r="BL525" s="672" t="str">
        <f t="shared" si="238"/>
        <v>BO283:BO292</v>
      </c>
      <c r="BM525" s="672" t="str">
        <f t="shared" si="238"/>
        <v>BZ283:BZ292</v>
      </c>
      <c r="BN525" s="672" t="str">
        <f t="shared" si="238"/>
        <v>CK283:CK292</v>
      </c>
      <c r="BO525" s="707">
        <f t="shared" ca="1" si="239"/>
        <v>0</v>
      </c>
      <c r="BP525" s="707">
        <f t="shared" ca="1" si="239"/>
        <v>0</v>
      </c>
      <c r="BQ525" s="707">
        <f t="shared" ca="1" si="239"/>
        <v>0</v>
      </c>
      <c r="HN525" s="20"/>
      <c r="HP525" s="472"/>
    </row>
    <row r="526" spans="60:224" x14ac:dyDescent="0.25">
      <c r="BH526" s="537" t="s">
        <v>8056</v>
      </c>
      <c r="BI526" s="537" t="str">
        <f t="shared" si="236"/>
        <v>&gt;=2</v>
      </c>
      <c r="BJ526" s="480">
        <f t="shared" si="240"/>
        <v>299</v>
      </c>
      <c r="BK526" s="480">
        <f t="shared" si="237"/>
        <v>308</v>
      </c>
      <c r="BL526" s="672" t="str">
        <f t="shared" si="238"/>
        <v>BO299:BO308</v>
      </c>
      <c r="BM526" s="672" t="str">
        <f t="shared" si="238"/>
        <v>BZ299:BZ308</v>
      </c>
      <c r="BN526" s="672" t="str">
        <f t="shared" si="238"/>
        <v>CK299:CK308</v>
      </c>
      <c r="BO526" s="707">
        <f t="shared" ca="1" si="239"/>
        <v>0</v>
      </c>
      <c r="BP526" s="707">
        <f t="shared" ca="1" si="239"/>
        <v>0</v>
      </c>
      <c r="BQ526" s="707">
        <f t="shared" ca="1" si="239"/>
        <v>0</v>
      </c>
      <c r="HN526" s="20"/>
      <c r="HP526" s="472"/>
    </row>
    <row r="527" spans="60:224" x14ac:dyDescent="0.25">
      <c r="BH527" s="537" t="s">
        <v>8053</v>
      </c>
      <c r="BI527" s="537" t="str">
        <f t="shared" si="236"/>
        <v>&gt;=2</v>
      </c>
      <c r="BJ527" s="480">
        <f t="shared" si="240"/>
        <v>315</v>
      </c>
      <c r="BK527" s="480">
        <f t="shared" si="237"/>
        <v>324</v>
      </c>
      <c r="BL527" s="672" t="str">
        <f t="shared" si="238"/>
        <v>BO315:BO324</v>
      </c>
      <c r="BM527" s="672" t="str">
        <f t="shared" si="238"/>
        <v>BZ315:BZ324</v>
      </c>
      <c r="BN527" s="672" t="str">
        <f t="shared" si="238"/>
        <v>CK315:CK324</v>
      </c>
      <c r="BO527" s="707">
        <f t="shared" ca="1" si="239"/>
        <v>0</v>
      </c>
      <c r="BP527" s="707">
        <f t="shared" ca="1" si="239"/>
        <v>0</v>
      </c>
      <c r="BQ527" s="707">
        <f t="shared" ca="1" si="239"/>
        <v>0</v>
      </c>
      <c r="HN527" s="20"/>
      <c r="HP527" s="472"/>
    </row>
    <row r="528" spans="60:224" x14ac:dyDescent="0.25">
      <c r="HN528" s="20"/>
      <c r="HP528" s="472"/>
    </row>
    <row r="529" spans="61:224" x14ac:dyDescent="0.25">
      <c r="HN529" s="20"/>
      <c r="HP529" s="472"/>
    </row>
    <row r="530" spans="61:224" x14ac:dyDescent="0.25">
      <c r="HN530" s="20"/>
      <c r="HP530" s="472"/>
    </row>
    <row r="531" spans="61:224" x14ac:dyDescent="0.25">
      <c r="HN531" s="20"/>
      <c r="HP531" s="472"/>
    </row>
    <row r="532" spans="61:224" x14ac:dyDescent="0.25">
      <c r="HN532" s="20"/>
      <c r="HP532" s="472"/>
    </row>
    <row r="533" spans="61:224" x14ac:dyDescent="0.25">
      <c r="BI533" s="20"/>
      <c r="BJ533" s="20"/>
      <c r="BK533" s="20"/>
      <c r="BL533" s="20"/>
      <c r="BM533" s="20"/>
      <c r="BN533" s="20"/>
      <c r="BO533" s="20"/>
      <c r="BP533" s="20"/>
      <c r="BQ533" s="20"/>
      <c r="HN533" s="20"/>
      <c r="HP533" s="472"/>
    </row>
    <row r="534" spans="61:224" x14ac:dyDescent="0.25">
      <c r="BI534" s="20"/>
      <c r="BJ534" s="20"/>
      <c r="BK534" s="20"/>
      <c r="BL534" s="20"/>
      <c r="BM534" s="20"/>
      <c r="BN534" s="20"/>
      <c r="BO534" s="20"/>
      <c r="BP534" s="20"/>
      <c r="BQ534" s="20"/>
      <c r="HN534" s="20"/>
      <c r="HP534" s="472"/>
    </row>
    <row r="535" spans="61:224" x14ac:dyDescent="0.25">
      <c r="BI535" s="20"/>
      <c r="BJ535" s="20"/>
      <c r="BK535" s="20"/>
      <c r="BL535" s="20"/>
      <c r="BM535" s="20"/>
      <c r="BN535" s="20"/>
      <c r="BO535" s="20"/>
      <c r="BP535" s="20"/>
      <c r="BQ535" s="20"/>
      <c r="HN535" s="20"/>
      <c r="HP535" s="472"/>
    </row>
    <row r="536" spans="61:224" x14ac:dyDescent="0.25">
      <c r="BI536" s="20"/>
      <c r="BJ536" s="20"/>
      <c r="BK536" s="20"/>
      <c r="BL536" s="20"/>
      <c r="BM536" s="20"/>
      <c r="BN536" s="20"/>
      <c r="BO536" s="20"/>
      <c r="BP536" s="20"/>
      <c r="BQ536" s="20"/>
      <c r="HN536" s="20"/>
      <c r="HP536" s="472"/>
    </row>
    <row r="537" spans="61:224" x14ac:dyDescent="0.25">
      <c r="BI537" s="20"/>
      <c r="BJ537" s="20"/>
      <c r="BK537" s="20"/>
      <c r="BL537" s="20"/>
      <c r="BM537" s="20"/>
      <c r="BN537" s="20"/>
      <c r="BO537" s="20"/>
      <c r="BP537" s="20"/>
      <c r="BQ537" s="20"/>
      <c r="HN537" s="20"/>
      <c r="HP537" s="472"/>
    </row>
    <row r="538" spans="61:224" x14ac:dyDescent="0.25">
      <c r="BI538" s="20"/>
      <c r="BJ538" s="20"/>
      <c r="BK538" s="20"/>
      <c r="BL538" s="20"/>
      <c r="BM538" s="20"/>
      <c r="BN538" s="20"/>
      <c r="BO538" s="20"/>
      <c r="BP538" s="20"/>
      <c r="BQ538" s="20"/>
      <c r="HN538" s="20"/>
      <c r="HP538" s="472"/>
    </row>
    <row r="539" spans="61:224" x14ac:dyDescent="0.25">
      <c r="BI539" s="20"/>
      <c r="BJ539" s="20"/>
      <c r="BK539" s="20"/>
      <c r="BL539" s="20"/>
      <c r="BM539" s="20"/>
      <c r="BN539" s="20"/>
      <c r="BO539" s="20"/>
      <c r="BP539" s="20"/>
      <c r="BQ539" s="20"/>
      <c r="HN539" s="20"/>
      <c r="HP539" s="472"/>
    </row>
    <row r="540" spans="61:224" x14ac:dyDescent="0.25">
      <c r="BI540" s="20"/>
      <c r="BJ540" s="20"/>
      <c r="BK540" s="20"/>
      <c r="BL540" s="20"/>
      <c r="BM540" s="20"/>
      <c r="BN540" s="20"/>
      <c r="BO540" s="20"/>
      <c r="BP540" s="20"/>
      <c r="BQ540" s="20"/>
      <c r="HN540" s="20"/>
      <c r="HP540" s="472"/>
    </row>
    <row r="541" spans="61:224" x14ac:dyDescent="0.25">
      <c r="BI541" s="20"/>
      <c r="BJ541" s="20"/>
      <c r="BK541" s="20"/>
      <c r="BL541" s="20"/>
      <c r="BM541" s="20"/>
      <c r="BN541" s="20"/>
      <c r="BO541" s="20"/>
      <c r="BP541" s="20"/>
      <c r="BQ541" s="20"/>
      <c r="HN541" s="20"/>
      <c r="HP541" s="472"/>
    </row>
    <row r="542" spans="61:224" x14ac:dyDescent="0.25">
      <c r="BI542" s="20"/>
      <c r="BJ542" s="20"/>
      <c r="BK542" s="20"/>
      <c r="BL542" s="20"/>
      <c r="BM542" s="20"/>
      <c r="BN542" s="20"/>
      <c r="BO542" s="20"/>
      <c r="BP542" s="20"/>
      <c r="BQ542" s="20"/>
      <c r="HN542" s="20"/>
      <c r="HP542" s="472"/>
    </row>
    <row r="543" spans="61:224" x14ac:dyDescent="0.25">
      <c r="BI543" s="20"/>
      <c r="BJ543" s="20"/>
      <c r="BK543" s="20"/>
      <c r="BL543" s="20"/>
      <c r="BM543" s="20"/>
      <c r="BN543" s="20"/>
      <c r="BO543" s="20"/>
      <c r="BP543" s="20"/>
      <c r="BQ543" s="20"/>
      <c r="HN543" s="20"/>
      <c r="HP543" s="472"/>
    </row>
    <row r="544" spans="61:224" x14ac:dyDescent="0.25">
      <c r="BI544" s="20"/>
      <c r="BJ544" s="20"/>
      <c r="BK544" s="20"/>
      <c r="BL544" s="20"/>
      <c r="BM544" s="20"/>
      <c r="BN544" s="20"/>
      <c r="BO544" s="20"/>
      <c r="BP544" s="20"/>
      <c r="BQ544" s="20"/>
      <c r="HN544" s="20"/>
      <c r="HP544" s="472"/>
    </row>
    <row r="545" spans="61:224" x14ac:dyDescent="0.25">
      <c r="BI545" s="20"/>
      <c r="BJ545" s="20"/>
      <c r="BK545" s="20"/>
      <c r="BL545" s="20"/>
      <c r="BM545" s="20"/>
      <c r="BN545" s="20"/>
      <c r="BO545" s="20"/>
      <c r="BP545" s="20"/>
      <c r="BQ545" s="20"/>
      <c r="HN545" s="20"/>
      <c r="HP545" s="472"/>
    </row>
    <row r="546" spans="61:224" x14ac:dyDescent="0.25">
      <c r="BI546" s="20"/>
      <c r="BJ546" s="20"/>
      <c r="BK546" s="20"/>
      <c r="BL546" s="20"/>
      <c r="BM546" s="20"/>
      <c r="BN546" s="20"/>
      <c r="BO546" s="20"/>
      <c r="BP546" s="20"/>
      <c r="BQ546" s="20"/>
      <c r="HN546" s="20"/>
      <c r="HP546" s="472"/>
    </row>
    <row r="547" spans="61:224" x14ac:dyDescent="0.25">
      <c r="BI547" s="20"/>
      <c r="BJ547" s="20"/>
      <c r="BK547" s="20"/>
      <c r="BL547" s="20"/>
      <c r="BM547" s="20"/>
      <c r="BN547" s="20"/>
      <c r="BO547" s="20"/>
      <c r="BP547" s="20"/>
      <c r="BQ547" s="20"/>
      <c r="HN547" s="20"/>
      <c r="HP547" s="472"/>
    </row>
    <row r="548" spans="61:224" x14ac:dyDescent="0.25">
      <c r="BI548" s="20"/>
      <c r="BJ548" s="20"/>
      <c r="BK548" s="20"/>
      <c r="BL548" s="20"/>
      <c r="BM548" s="20"/>
      <c r="BN548" s="20"/>
      <c r="BO548" s="20"/>
      <c r="BP548" s="20"/>
      <c r="BQ548" s="20"/>
      <c r="HN548" s="20"/>
      <c r="HP548" s="472"/>
    </row>
    <row r="549" spans="61:224" x14ac:dyDescent="0.25">
      <c r="BI549" s="20"/>
      <c r="BJ549" s="20"/>
      <c r="BK549" s="20"/>
      <c r="BL549" s="20"/>
      <c r="BM549" s="20"/>
      <c r="BN549" s="20"/>
      <c r="BO549" s="20"/>
      <c r="BP549" s="20"/>
      <c r="BQ549" s="20"/>
      <c r="HN549" s="20"/>
      <c r="HP549" s="472"/>
    </row>
    <row r="550" spans="61:224" x14ac:dyDescent="0.25">
      <c r="BI550" s="20"/>
      <c r="BJ550" s="20"/>
      <c r="BK550" s="20"/>
      <c r="BL550" s="20"/>
      <c r="BM550" s="20"/>
      <c r="BN550" s="20"/>
      <c r="BO550" s="20"/>
      <c r="BP550" s="20"/>
      <c r="BQ550" s="20"/>
      <c r="HN550" s="20"/>
      <c r="HP550" s="472"/>
    </row>
    <row r="551" spans="61:224" x14ac:dyDescent="0.25">
      <c r="BI551" s="20"/>
      <c r="BJ551" s="20"/>
      <c r="BK551" s="20"/>
      <c r="BL551" s="20"/>
      <c r="BM551" s="20"/>
      <c r="BN551" s="20"/>
      <c r="BO551" s="20"/>
      <c r="BP551" s="20"/>
      <c r="BQ551" s="20"/>
      <c r="HN551" s="20"/>
      <c r="HP551" s="472"/>
    </row>
    <row r="552" spans="61:224" x14ac:dyDescent="0.25">
      <c r="BI552" s="20"/>
      <c r="BJ552" s="20"/>
      <c r="BK552" s="20"/>
      <c r="BL552" s="20"/>
      <c r="BM552" s="20"/>
      <c r="BN552" s="20"/>
      <c r="BO552" s="20"/>
      <c r="BP552" s="20"/>
      <c r="BQ552" s="20"/>
      <c r="HN552" s="20"/>
      <c r="HP552" s="472"/>
    </row>
    <row r="553" spans="61:224" x14ac:dyDescent="0.25">
      <c r="BI553" s="20"/>
      <c r="BJ553" s="20"/>
      <c r="BK553" s="20"/>
      <c r="BL553" s="20"/>
      <c r="BM553" s="20"/>
      <c r="BN553" s="20"/>
      <c r="BO553" s="20"/>
      <c r="BP553" s="20"/>
      <c r="BQ553" s="20"/>
      <c r="HN553" s="20"/>
      <c r="HP553" s="472"/>
    </row>
    <row r="554" spans="61:224" x14ac:dyDescent="0.25">
      <c r="BI554" s="20"/>
      <c r="BJ554" s="20"/>
      <c r="BK554" s="20"/>
      <c r="BL554" s="20"/>
      <c r="BM554" s="20"/>
      <c r="BN554" s="20"/>
      <c r="BO554" s="20"/>
      <c r="BP554" s="20"/>
      <c r="BQ554" s="20"/>
      <c r="HN554" s="20"/>
      <c r="HP554" s="472"/>
    </row>
    <row r="555" spans="61:224" x14ac:dyDescent="0.25">
      <c r="BI555" s="20"/>
      <c r="BJ555" s="20"/>
      <c r="BK555" s="20"/>
      <c r="BL555" s="20"/>
      <c r="BM555" s="20"/>
      <c r="BN555" s="20"/>
      <c r="BO555" s="20"/>
      <c r="BP555" s="20"/>
      <c r="BQ555" s="20"/>
      <c r="HN555" s="20"/>
      <c r="HP555" s="472"/>
    </row>
    <row r="556" spans="61:224" x14ac:dyDescent="0.25">
      <c r="BI556" s="20"/>
      <c r="BJ556" s="20"/>
      <c r="BK556" s="20"/>
      <c r="BL556" s="20"/>
      <c r="BM556" s="20"/>
      <c r="BN556" s="20"/>
      <c r="BO556" s="20"/>
      <c r="BP556" s="20"/>
      <c r="BQ556" s="20"/>
      <c r="HN556" s="20"/>
      <c r="HP556" s="472"/>
    </row>
    <row r="557" spans="61:224" x14ac:dyDescent="0.25">
      <c r="BI557" s="20"/>
      <c r="BJ557" s="20"/>
      <c r="BK557" s="20"/>
      <c r="BL557" s="20"/>
      <c r="BM557" s="20"/>
      <c r="BN557" s="20"/>
      <c r="BO557" s="20"/>
      <c r="BP557" s="20"/>
      <c r="BQ557" s="20"/>
      <c r="HN557" s="20"/>
      <c r="HP557" s="472"/>
    </row>
    <row r="558" spans="61:224" x14ac:dyDescent="0.25">
      <c r="BI558" s="20"/>
      <c r="BJ558" s="20"/>
      <c r="BK558" s="20"/>
      <c r="BL558" s="20"/>
      <c r="BM558" s="20"/>
      <c r="BN558" s="20"/>
      <c r="BO558" s="20"/>
      <c r="BP558" s="20"/>
      <c r="BQ558" s="20"/>
      <c r="HN558" s="20"/>
      <c r="HP558" s="472"/>
    </row>
    <row r="559" spans="61:224" x14ac:dyDescent="0.25">
      <c r="BI559" s="20"/>
      <c r="BJ559" s="20"/>
      <c r="BK559" s="20"/>
      <c r="BL559" s="20"/>
      <c r="BM559" s="20"/>
      <c r="BN559" s="20"/>
      <c r="BO559" s="20"/>
      <c r="BP559" s="20"/>
      <c r="BQ559" s="20"/>
      <c r="HN559" s="20"/>
      <c r="HP559" s="472"/>
    </row>
    <row r="560" spans="61:224" x14ac:dyDescent="0.25">
      <c r="BI560" s="20"/>
      <c r="BJ560" s="20"/>
      <c r="BK560" s="20"/>
      <c r="BL560" s="20"/>
      <c r="BM560" s="20"/>
      <c r="BN560" s="20"/>
      <c r="BO560" s="20"/>
      <c r="BP560" s="20"/>
      <c r="BQ560" s="20"/>
      <c r="HN560" s="20"/>
      <c r="HP560" s="472"/>
    </row>
    <row r="561" spans="61:224" x14ac:dyDescent="0.25">
      <c r="BI561" s="20"/>
      <c r="BJ561" s="20"/>
      <c r="BK561" s="20"/>
      <c r="BL561" s="20"/>
      <c r="BM561" s="20"/>
      <c r="BN561" s="20"/>
      <c r="BO561" s="20"/>
      <c r="BP561" s="20"/>
      <c r="BQ561" s="20"/>
      <c r="HN561" s="20"/>
      <c r="HP561" s="472"/>
    </row>
    <row r="562" spans="61:224" x14ac:dyDescent="0.25">
      <c r="BI562" s="20"/>
      <c r="BJ562" s="20"/>
      <c r="BK562" s="20"/>
      <c r="BL562" s="20"/>
      <c r="BM562" s="20"/>
      <c r="BN562" s="20"/>
      <c r="BO562" s="20"/>
      <c r="BP562" s="20"/>
      <c r="BQ562" s="20"/>
      <c r="HN562" s="20"/>
      <c r="HP562" s="472"/>
    </row>
    <row r="563" spans="61:224" x14ac:dyDescent="0.25">
      <c r="BI563" s="20"/>
      <c r="BJ563" s="20"/>
      <c r="BK563" s="20"/>
      <c r="BL563" s="20"/>
      <c r="BM563" s="20"/>
      <c r="BN563" s="20"/>
      <c r="BO563" s="20"/>
      <c r="BP563" s="20"/>
      <c r="BQ563" s="20"/>
      <c r="HN563" s="20"/>
      <c r="HP563" s="472"/>
    </row>
    <row r="564" spans="61:224" x14ac:dyDescent="0.25">
      <c r="BI564" s="20"/>
      <c r="BJ564" s="20"/>
      <c r="BK564" s="20"/>
      <c r="BL564" s="20"/>
      <c r="BM564" s="20"/>
      <c r="BN564" s="20"/>
      <c r="BO564" s="20"/>
      <c r="BP564" s="20"/>
      <c r="BQ564" s="20"/>
      <c r="HN564" s="20"/>
      <c r="HP564" s="472"/>
    </row>
    <row r="565" spans="61:224" x14ac:dyDescent="0.25">
      <c r="BI565" s="20"/>
      <c r="BJ565" s="20"/>
      <c r="BK565" s="20"/>
      <c r="BL565" s="20"/>
      <c r="BM565" s="20"/>
      <c r="BN565" s="20"/>
      <c r="BO565" s="20"/>
      <c r="BP565" s="20"/>
      <c r="BQ565" s="20"/>
      <c r="HN565" s="20"/>
      <c r="HP565" s="472"/>
    </row>
    <row r="566" spans="61:224" x14ac:dyDescent="0.25">
      <c r="BI566" s="20"/>
      <c r="BJ566" s="20"/>
      <c r="BK566" s="20"/>
      <c r="BL566" s="20"/>
      <c r="BM566" s="20"/>
      <c r="BN566" s="20"/>
      <c r="BO566" s="20"/>
      <c r="BP566" s="20"/>
      <c r="BQ566" s="20"/>
      <c r="HN566" s="20"/>
      <c r="HP566" s="472"/>
    </row>
    <row r="567" spans="61:224" x14ac:dyDescent="0.25">
      <c r="BI567" s="20"/>
      <c r="BJ567" s="20"/>
      <c r="BK567" s="20"/>
      <c r="BL567" s="20"/>
      <c r="BM567" s="20"/>
      <c r="BN567" s="20"/>
      <c r="BO567" s="20"/>
      <c r="BP567" s="20"/>
      <c r="BQ567" s="20"/>
      <c r="HN567" s="20"/>
      <c r="HP567" s="472"/>
    </row>
    <row r="568" spans="61:224" x14ac:dyDescent="0.25">
      <c r="BI568" s="20"/>
      <c r="BJ568" s="20"/>
      <c r="BK568" s="20"/>
      <c r="BL568" s="20"/>
      <c r="BM568" s="20"/>
      <c r="BN568" s="20"/>
      <c r="BO568" s="20"/>
      <c r="BP568" s="20"/>
      <c r="BQ568" s="20"/>
      <c r="HN568" s="20"/>
      <c r="HP568" s="472"/>
    </row>
    <row r="569" spans="61:224" x14ac:dyDescent="0.25">
      <c r="BI569" s="20"/>
      <c r="BJ569" s="20"/>
      <c r="BK569" s="20"/>
      <c r="BL569" s="20"/>
      <c r="BM569" s="20"/>
      <c r="BN569" s="20"/>
      <c r="BO569" s="20"/>
      <c r="BP569" s="20"/>
      <c r="BQ569" s="20"/>
      <c r="HN569" s="20"/>
      <c r="HP569" s="472"/>
    </row>
    <row r="570" spans="61:224" x14ac:dyDescent="0.25">
      <c r="BI570" s="20"/>
      <c r="BJ570" s="20"/>
      <c r="BK570" s="20"/>
      <c r="BL570" s="20"/>
      <c r="BM570" s="20"/>
      <c r="BN570" s="20"/>
      <c r="BO570" s="20"/>
      <c r="BP570" s="20"/>
      <c r="BQ570" s="20"/>
      <c r="HN570" s="20"/>
      <c r="HP570" s="472"/>
    </row>
    <row r="571" spans="61:224" x14ac:dyDescent="0.25">
      <c r="BI571" s="20"/>
      <c r="BJ571" s="20"/>
      <c r="BK571" s="20"/>
      <c r="BL571" s="20"/>
      <c r="BM571" s="20"/>
      <c r="BN571" s="20"/>
      <c r="BO571" s="20"/>
      <c r="BP571" s="20"/>
      <c r="BQ571" s="20"/>
      <c r="HN571" s="20"/>
      <c r="HP571" s="472"/>
    </row>
    <row r="572" spans="61:224" x14ac:dyDescent="0.25">
      <c r="BI572" s="20"/>
      <c r="BJ572" s="20"/>
      <c r="BK572" s="20"/>
      <c r="BL572" s="20"/>
      <c r="BM572" s="20"/>
      <c r="BN572" s="20"/>
      <c r="BO572" s="20"/>
      <c r="BP572" s="20"/>
      <c r="BQ572" s="20"/>
      <c r="HN572" s="20"/>
      <c r="HP572" s="472"/>
    </row>
    <row r="573" spans="61:224" x14ac:dyDescent="0.25">
      <c r="BI573" s="20"/>
      <c r="BJ573" s="20"/>
      <c r="BK573" s="20"/>
      <c r="BL573" s="20"/>
      <c r="BM573" s="20"/>
      <c r="BN573" s="20"/>
      <c r="BO573" s="20"/>
      <c r="BP573" s="20"/>
      <c r="BQ573" s="20"/>
      <c r="HN573" s="20"/>
      <c r="HP573" s="472"/>
    </row>
    <row r="574" spans="61:224" x14ac:dyDescent="0.25">
      <c r="BI574" s="20"/>
      <c r="BJ574" s="20"/>
      <c r="BK574" s="20"/>
      <c r="BL574" s="20"/>
      <c r="BM574" s="20"/>
      <c r="BN574" s="20"/>
      <c r="BO574" s="20"/>
      <c r="BP574" s="20"/>
      <c r="BQ574" s="20"/>
      <c r="HN574" s="20"/>
      <c r="HP574" s="472"/>
    </row>
    <row r="575" spans="61:224" x14ac:dyDescent="0.25">
      <c r="BI575" s="20"/>
      <c r="BJ575" s="20"/>
      <c r="BK575" s="20"/>
      <c r="BL575" s="20"/>
      <c r="BM575" s="20"/>
      <c r="BN575" s="20"/>
      <c r="BO575" s="20"/>
      <c r="BP575" s="20"/>
      <c r="BQ575" s="20"/>
      <c r="HN575" s="20"/>
      <c r="HP575" s="472"/>
    </row>
    <row r="576" spans="61:224" x14ac:dyDescent="0.25">
      <c r="BI576" s="20"/>
      <c r="BJ576" s="20"/>
      <c r="BK576" s="20"/>
      <c r="BL576" s="20"/>
      <c r="BM576" s="20"/>
      <c r="BN576" s="20"/>
      <c r="BO576" s="20"/>
      <c r="BP576" s="20"/>
      <c r="BQ576" s="20"/>
      <c r="HN576" s="20"/>
      <c r="HP576" s="472"/>
    </row>
    <row r="577" spans="61:224" x14ac:dyDescent="0.25">
      <c r="BI577" s="20"/>
      <c r="BJ577" s="20"/>
      <c r="BK577" s="20"/>
      <c r="BL577" s="20"/>
      <c r="BM577" s="20"/>
      <c r="BN577" s="20"/>
      <c r="BO577" s="20"/>
      <c r="BP577" s="20"/>
      <c r="BQ577" s="20"/>
      <c r="HN577" s="20"/>
      <c r="HP577" s="472"/>
    </row>
    <row r="578" spans="61:224" x14ac:dyDescent="0.25">
      <c r="BI578" s="20"/>
      <c r="BJ578" s="20"/>
      <c r="BK578" s="20"/>
      <c r="BL578" s="20"/>
      <c r="BM578" s="20"/>
      <c r="BN578" s="20"/>
      <c r="BO578" s="20"/>
      <c r="BP578" s="20"/>
      <c r="BQ578" s="20"/>
      <c r="HN578" s="20"/>
      <c r="HP578" s="472"/>
    </row>
    <row r="579" spans="61:224" x14ac:dyDescent="0.25">
      <c r="BI579" s="20"/>
      <c r="BJ579" s="20"/>
      <c r="BK579" s="20"/>
      <c r="BL579" s="20"/>
      <c r="BM579" s="20"/>
      <c r="BN579" s="20"/>
      <c r="BO579" s="20"/>
      <c r="BP579" s="20"/>
      <c r="BQ579" s="20"/>
      <c r="HN579" s="20"/>
      <c r="HP579" s="472"/>
    </row>
    <row r="580" spans="61:224" x14ac:dyDescent="0.25">
      <c r="HN580" s="20"/>
      <c r="HP580" s="472"/>
    </row>
    <row r="581" spans="61:224" x14ac:dyDescent="0.25">
      <c r="HN581" s="20"/>
      <c r="HP581" s="472"/>
    </row>
    <row r="582" spans="61:224" x14ac:dyDescent="0.25">
      <c r="HN582" s="20"/>
      <c r="HP582" s="472"/>
    </row>
    <row r="583" spans="61:224" x14ac:dyDescent="0.25">
      <c r="HN583" s="20"/>
      <c r="HP583" s="472"/>
    </row>
    <row r="584" spans="61:224" x14ac:dyDescent="0.25">
      <c r="HN584" s="20"/>
      <c r="HP584" s="472"/>
    </row>
    <row r="585" spans="61:224" x14ac:dyDescent="0.25">
      <c r="HN585" s="20"/>
      <c r="HP585" s="472"/>
    </row>
    <row r="586" spans="61:224" x14ac:dyDescent="0.25">
      <c r="HN586" s="20"/>
      <c r="HP586" s="472"/>
    </row>
    <row r="587" spans="61:224" x14ac:dyDescent="0.25">
      <c r="HN587" s="20"/>
      <c r="HP587" s="472"/>
    </row>
    <row r="588" spans="61:224" x14ac:dyDescent="0.25">
      <c r="HN588" s="20"/>
      <c r="HP588" s="472"/>
    </row>
    <row r="589" spans="61:224" x14ac:dyDescent="0.25">
      <c r="HN589" s="20"/>
      <c r="HP589" s="472"/>
    </row>
    <row r="590" spans="61:224" x14ac:dyDescent="0.25">
      <c r="HN590" s="20"/>
      <c r="HP590" s="472"/>
    </row>
    <row r="591" spans="61:224" x14ac:dyDescent="0.25">
      <c r="HN591" s="20"/>
      <c r="HP591" s="472"/>
    </row>
    <row r="592" spans="61:224" x14ac:dyDescent="0.25">
      <c r="HN592" s="20"/>
      <c r="HP592" s="472"/>
    </row>
    <row r="593" spans="222:224" x14ac:dyDescent="0.25">
      <c r="HN593" s="20"/>
      <c r="HP593" s="472"/>
    </row>
    <row r="594" spans="222:224" x14ac:dyDescent="0.25">
      <c r="HN594" s="20"/>
      <c r="HP594" s="472"/>
    </row>
    <row r="595" spans="222:224" x14ac:dyDescent="0.25">
      <c r="HN595" s="20"/>
      <c r="HP595" s="472"/>
    </row>
    <row r="596" spans="222:224" x14ac:dyDescent="0.25">
      <c r="HN596" s="20"/>
      <c r="HP596" s="472"/>
    </row>
    <row r="597" spans="222:224" x14ac:dyDescent="0.25">
      <c r="HN597" s="20"/>
      <c r="HP597" s="472"/>
    </row>
    <row r="598" spans="222:224" x14ac:dyDescent="0.25">
      <c r="HN598" s="20"/>
      <c r="HP598" s="472"/>
    </row>
    <row r="599" spans="222:224" x14ac:dyDescent="0.25">
      <c r="HN599" s="20"/>
      <c r="HP599" s="472"/>
    </row>
    <row r="600" spans="222:224" x14ac:dyDescent="0.25">
      <c r="HN600" s="20"/>
      <c r="HP600" s="472"/>
    </row>
    <row r="601" spans="222:224" x14ac:dyDescent="0.25">
      <c r="HN601" s="20"/>
      <c r="HP601" s="472"/>
    </row>
    <row r="602" spans="222:224" x14ac:dyDescent="0.25">
      <c r="HN602" s="20"/>
      <c r="HP602" s="472"/>
    </row>
    <row r="603" spans="222:224" x14ac:dyDescent="0.25">
      <c r="HN603" s="20"/>
      <c r="HP603" s="472"/>
    </row>
    <row r="604" spans="222:224" x14ac:dyDescent="0.25">
      <c r="HN604" s="20"/>
      <c r="HP604" s="472"/>
    </row>
    <row r="605" spans="222:224" x14ac:dyDescent="0.25">
      <c r="HN605" s="20"/>
      <c r="HP605" s="472"/>
    </row>
    <row r="606" spans="222:224" x14ac:dyDescent="0.25">
      <c r="HN606" s="20"/>
      <c r="HP606" s="472"/>
    </row>
    <row r="607" spans="222:224" x14ac:dyDescent="0.25">
      <c r="HN607" s="20"/>
      <c r="HP607" s="472"/>
    </row>
    <row r="608" spans="222:224" x14ac:dyDescent="0.25">
      <c r="HN608" s="20"/>
      <c r="HP608" s="472"/>
    </row>
    <row r="609" spans="222:224" x14ac:dyDescent="0.25">
      <c r="HN609" s="20"/>
      <c r="HP609" s="472"/>
    </row>
    <row r="610" spans="222:224" x14ac:dyDescent="0.25">
      <c r="HN610" s="20"/>
      <c r="HP610" s="472"/>
    </row>
    <row r="611" spans="222:224" x14ac:dyDescent="0.25">
      <c r="HN611" s="20"/>
      <c r="HP611" s="472"/>
    </row>
    <row r="612" spans="222:224" x14ac:dyDescent="0.25">
      <c r="HN612" s="20"/>
      <c r="HP612" s="472"/>
    </row>
    <row r="613" spans="222:224" x14ac:dyDescent="0.25">
      <c r="HN613" s="20"/>
      <c r="HP613" s="472"/>
    </row>
    <row r="614" spans="222:224" x14ac:dyDescent="0.25">
      <c r="HN614" s="20"/>
      <c r="HP614" s="472"/>
    </row>
    <row r="615" spans="222:224" x14ac:dyDescent="0.25">
      <c r="HN615" s="20"/>
      <c r="HP615" s="472"/>
    </row>
    <row r="616" spans="222:224" x14ac:dyDescent="0.25">
      <c r="HN616" s="20"/>
      <c r="HP616" s="472"/>
    </row>
    <row r="617" spans="222:224" x14ac:dyDescent="0.25">
      <c r="HN617" s="20"/>
      <c r="HP617" s="472"/>
    </row>
    <row r="618" spans="222:224" x14ac:dyDescent="0.25">
      <c r="HN618" s="20"/>
      <c r="HP618" s="472"/>
    </row>
    <row r="619" spans="222:224" x14ac:dyDescent="0.25">
      <c r="HN619" s="20"/>
      <c r="HP619" s="472"/>
    </row>
    <row r="620" spans="222:224" x14ac:dyDescent="0.25">
      <c r="HN620" s="20"/>
      <c r="HP620" s="472"/>
    </row>
    <row r="621" spans="222:224" x14ac:dyDescent="0.25">
      <c r="HN621" s="20"/>
      <c r="HP621" s="472"/>
    </row>
    <row r="622" spans="222:224" x14ac:dyDescent="0.25">
      <c r="HN622" s="20"/>
      <c r="HP622" s="472"/>
    </row>
    <row r="623" spans="222:224" x14ac:dyDescent="0.25">
      <c r="HN623" s="20"/>
      <c r="HP623" s="472"/>
    </row>
    <row r="624" spans="222:224" x14ac:dyDescent="0.25">
      <c r="HN624" s="20"/>
      <c r="HP624" s="472"/>
    </row>
    <row r="625" spans="222:224" x14ac:dyDescent="0.25">
      <c r="HN625" s="20"/>
      <c r="HP625" s="472"/>
    </row>
    <row r="626" spans="222:224" x14ac:dyDescent="0.25">
      <c r="HN626" s="20"/>
      <c r="HP626" s="472"/>
    </row>
    <row r="627" spans="222:224" x14ac:dyDescent="0.25">
      <c r="HN627" s="20"/>
      <c r="HP627" s="472"/>
    </row>
    <row r="628" spans="222:224" x14ac:dyDescent="0.25">
      <c r="HN628" s="20"/>
      <c r="HP628" s="472"/>
    </row>
    <row r="629" spans="222:224" x14ac:dyDescent="0.25">
      <c r="HN629" s="20"/>
      <c r="HP629" s="472"/>
    </row>
    <row r="630" spans="222:224" x14ac:dyDescent="0.25">
      <c r="HN630" s="20"/>
      <c r="HP630" s="472"/>
    </row>
    <row r="631" spans="222:224" x14ac:dyDescent="0.25">
      <c r="HN631" s="20"/>
      <c r="HP631" s="472"/>
    </row>
    <row r="632" spans="222:224" x14ac:dyDescent="0.25">
      <c r="HN632" s="20"/>
      <c r="HP632" s="472"/>
    </row>
    <row r="633" spans="222:224" x14ac:dyDescent="0.25">
      <c r="HN633" s="20"/>
      <c r="HP633" s="472"/>
    </row>
    <row r="634" spans="222:224" x14ac:dyDescent="0.25">
      <c r="HN634" s="20"/>
      <c r="HP634" s="472"/>
    </row>
    <row r="635" spans="222:224" x14ac:dyDescent="0.25">
      <c r="HN635" s="20"/>
      <c r="HP635" s="472"/>
    </row>
    <row r="636" spans="222:224" x14ac:dyDescent="0.25">
      <c r="HN636" s="20"/>
      <c r="HP636" s="472"/>
    </row>
    <row r="637" spans="222:224" x14ac:dyDescent="0.25">
      <c r="HN637" s="20"/>
      <c r="HP637" s="472"/>
    </row>
    <row r="638" spans="222:224" x14ac:dyDescent="0.25">
      <c r="HN638" s="20"/>
      <c r="HP638" s="472"/>
    </row>
    <row r="639" spans="222:224" x14ac:dyDescent="0.25">
      <c r="HN639" s="20"/>
      <c r="HP639" s="472"/>
    </row>
    <row r="640" spans="222:224" x14ac:dyDescent="0.25">
      <c r="HN640" s="20"/>
      <c r="HP640" s="472"/>
    </row>
    <row r="641" spans="222:224" x14ac:dyDescent="0.25">
      <c r="HN641" s="20"/>
      <c r="HP641" s="472"/>
    </row>
    <row r="642" spans="222:224" x14ac:dyDescent="0.25">
      <c r="HN642" s="20"/>
      <c r="HP642" s="472"/>
    </row>
    <row r="643" spans="222:224" x14ac:dyDescent="0.25">
      <c r="HN643" s="20"/>
      <c r="HP643" s="472"/>
    </row>
    <row r="644" spans="222:224" x14ac:dyDescent="0.25">
      <c r="HN644" s="20"/>
      <c r="HP644" s="472"/>
    </row>
    <row r="645" spans="222:224" x14ac:dyDescent="0.25">
      <c r="HN645" s="20"/>
      <c r="HP645" s="472"/>
    </row>
    <row r="646" spans="222:224" x14ac:dyDescent="0.25">
      <c r="HN646" s="20"/>
      <c r="HP646" s="472"/>
    </row>
    <row r="647" spans="222:224" x14ac:dyDescent="0.25">
      <c r="HN647" s="20"/>
      <c r="HP647" s="472"/>
    </row>
    <row r="648" spans="222:224" x14ac:dyDescent="0.25">
      <c r="HN648" s="20"/>
      <c r="HP648" s="472"/>
    </row>
    <row r="649" spans="222:224" x14ac:dyDescent="0.25">
      <c r="HN649" s="20"/>
      <c r="HP649" s="472"/>
    </row>
    <row r="650" spans="222:224" x14ac:dyDescent="0.25">
      <c r="HN650" s="20"/>
      <c r="HP650" s="472"/>
    </row>
    <row r="651" spans="222:224" x14ac:dyDescent="0.25">
      <c r="HN651" s="20"/>
      <c r="HP651" s="472"/>
    </row>
    <row r="652" spans="222:224" x14ac:dyDescent="0.25">
      <c r="HN652" s="20"/>
      <c r="HP652" s="472"/>
    </row>
    <row r="653" spans="222:224" x14ac:dyDescent="0.25">
      <c r="HN653" s="20"/>
      <c r="HP653" s="472"/>
    </row>
    <row r="654" spans="222:224" x14ac:dyDescent="0.25">
      <c r="HN654" s="20"/>
      <c r="HP654" s="472"/>
    </row>
    <row r="655" spans="222:224" x14ac:dyDescent="0.25">
      <c r="HN655" s="20"/>
      <c r="HP655" s="472"/>
    </row>
    <row r="656" spans="222:224" x14ac:dyDescent="0.25">
      <c r="HN656" s="20"/>
      <c r="HP656" s="472"/>
    </row>
    <row r="657" spans="222:224" x14ac:dyDescent="0.25">
      <c r="HN657" s="20"/>
      <c r="HP657" s="472"/>
    </row>
    <row r="658" spans="222:224" x14ac:dyDescent="0.25">
      <c r="HN658" s="20"/>
      <c r="HP658" s="472"/>
    </row>
    <row r="659" spans="222:224" x14ac:dyDescent="0.25">
      <c r="HN659" s="20"/>
      <c r="HP659" s="472"/>
    </row>
    <row r="660" spans="222:224" x14ac:dyDescent="0.25">
      <c r="HN660" s="20"/>
      <c r="HP660" s="472"/>
    </row>
    <row r="661" spans="222:224" x14ac:dyDescent="0.25">
      <c r="HN661" s="20"/>
      <c r="HP661" s="472"/>
    </row>
    <row r="662" spans="222:224" x14ac:dyDescent="0.25">
      <c r="HN662" s="20"/>
      <c r="HP662" s="472"/>
    </row>
    <row r="663" spans="222:224" x14ac:dyDescent="0.25">
      <c r="HN663" s="20"/>
      <c r="HP663" s="472"/>
    </row>
    <row r="664" spans="222:224" x14ac:dyDescent="0.25">
      <c r="HN664" s="20"/>
      <c r="HP664" s="472"/>
    </row>
    <row r="665" spans="222:224" x14ac:dyDescent="0.25">
      <c r="HN665" s="20"/>
      <c r="HP665" s="472"/>
    </row>
    <row r="666" spans="222:224" x14ac:dyDescent="0.25">
      <c r="HN666" s="20"/>
      <c r="HP666" s="472"/>
    </row>
    <row r="667" spans="222:224" x14ac:dyDescent="0.25">
      <c r="HN667" s="20"/>
      <c r="HP667" s="472"/>
    </row>
    <row r="668" spans="222:224" x14ac:dyDescent="0.25">
      <c r="HN668" s="20"/>
      <c r="HP668" s="472"/>
    </row>
    <row r="669" spans="222:224" x14ac:dyDescent="0.25">
      <c r="HN669" s="20"/>
      <c r="HP669" s="472"/>
    </row>
    <row r="670" spans="222:224" x14ac:dyDescent="0.25">
      <c r="HN670" s="20"/>
      <c r="HP670" s="472"/>
    </row>
    <row r="671" spans="222:224" x14ac:dyDescent="0.25">
      <c r="HN671" s="20"/>
      <c r="HP671" s="472"/>
    </row>
    <row r="672" spans="222:224" x14ac:dyDescent="0.25">
      <c r="HN672" s="20"/>
      <c r="HP672" s="472"/>
    </row>
    <row r="673" spans="222:224" x14ac:dyDescent="0.25">
      <c r="HN673" s="20"/>
      <c r="HP673" s="472"/>
    </row>
    <row r="674" spans="222:224" x14ac:dyDescent="0.25">
      <c r="HN674" s="20"/>
      <c r="HP674" s="472"/>
    </row>
    <row r="675" spans="222:224" x14ac:dyDescent="0.25">
      <c r="HN675" s="20"/>
      <c r="HP675" s="472"/>
    </row>
    <row r="676" spans="222:224" x14ac:dyDescent="0.25">
      <c r="HN676" s="20"/>
      <c r="HP676" s="472"/>
    </row>
    <row r="677" spans="222:224" x14ac:dyDescent="0.25">
      <c r="HN677" s="20"/>
      <c r="HP677" s="472"/>
    </row>
    <row r="678" spans="222:224" x14ac:dyDescent="0.25">
      <c r="HN678" s="20"/>
      <c r="HP678" s="472"/>
    </row>
    <row r="679" spans="222:224" x14ac:dyDescent="0.25">
      <c r="HN679" s="20"/>
      <c r="HP679" s="472"/>
    </row>
    <row r="680" spans="222:224" x14ac:dyDescent="0.25">
      <c r="HN680" s="20"/>
      <c r="HP680" s="472"/>
    </row>
    <row r="681" spans="222:224" x14ac:dyDescent="0.25">
      <c r="HN681" s="20"/>
      <c r="HP681" s="472"/>
    </row>
    <row r="682" spans="222:224" x14ac:dyDescent="0.25">
      <c r="HN682" s="20"/>
      <c r="HP682" s="472"/>
    </row>
    <row r="683" spans="222:224" x14ac:dyDescent="0.25">
      <c r="HN683" s="20"/>
      <c r="HP683" s="472"/>
    </row>
    <row r="684" spans="222:224" x14ac:dyDescent="0.25">
      <c r="HN684" s="20"/>
      <c r="HP684" s="472"/>
    </row>
    <row r="685" spans="222:224" x14ac:dyDescent="0.25">
      <c r="HN685" s="20"/>
      <c r="HP685" s="472"/>
    </row>
    <row r="686" spans="222:224" x14ac:dyDescent="0.25">
      <c r="HN686" s="20"/>
      <c r="HP686" s="472"/>
    </row>
    <row r="687" spans="222:224" x14ac:dyDescent="0.25">
      <c r="HN687" s="20"/>
      <c r="HP687" s="472"/>
    </row>
    <row r="688" spans="222:224" x14ac:dyDescent="0.25">
      <c r="HN688" s="20"/>
      <c r="HP688" s="472"/>
    </row>
    <row r="689" spans="222:224" x14ac:dyDescent="0.25">
      <c r="HN689" s="20"/>
      <c r="HP689" s="472"/>
    </row>
    <row r="690" spans="222:224" x14ac:dyDescent="0.25">
      <c r="HN690" s="20"/>
      <c r="HP690" s="472"/>
    </row>
    <row r="691" spans="222:224" x14ac:dyDescent="0.25">
      <c r="HN691" s="20"/>
      <c r="HP691" s="472"/>
    </row>
    <row r="692" spans="222:224" x14ac:dyDescent="0.25">
      <c r="HN692" s="20"/>
      <c r="HP692" s="472"/>
    </row>
    <row r="693" spans="222:224" x14ac:dyDescent="0.25">
      <c r="HN693" s="20"/>
      <c r="HP693" s="472"/>
    </row>
    <row r="694" spans="222:224" x14ac:dyDescent="0.25">
      <c r="HN694" s="20"/>
      <c r="HP694" s="472"/>
    </row>
    <row r="695" spans="222:224" x14ac:dyDescent="0.25">
      <c r="HN695" s="20"/>
      <c r="HP695" s="472"/>
    </row>
    <row r="696" spans="222:224" x14ac:dyDescent="0.25">
      <c r="HN696" s="20"/>
      <c r="HP696" s="472"/>
    </row>
    <row r="697" spans="222:224" x14ac:dyDescent="0.25">
      <c r="HN697" s="20"/>
      <c r="HP697" s="472"/>
    </row>
    <row r="698" spans="222:224" x14ac:dyDescent="0.25">
      <c r="HN698" s="20"/>
      <c r="HP698" s="472"/>
    </row>
    <row r="699" spans="222:224" x14ac:dyDescent="0.25">
      <c r="HN699" s="20"/>
      <c r="HP699" s="472"/>
    </row>
    <row r="700" spans="222:224" x14ac:dyDescent="0.25">
      <c r="HN700" s="20"/>
      <c r="HP700" s="472"/>
    </row>
    <row r="701" spans="222:224" x14ac:dyDescent="0.25">
      <c r="HN701" s="20"/>
      <c r="HP701" s="472"/>
    </row>
    <row r="702" spans="222:224" x14ac:dyDescent="0.25">
      <c r="HN702" s="20"/>
      <c r="HP702" s="472"/>
    </row>
    <row r="703" spans="222:224" x14ac:dyDescent="0.25">
      <c r="HN703" s="20"/>
      <c r="HP703" s="472"/>
    </row>
    <row r="704" spans="222:224" x14ac:dyDescent="0.25">
      <c r="HN704" s="20"/>
      <c r="HP704" s="472"/>
    </row>
    <row r="705" spans="222:224" x14ac:dyDescent="0.25">
      <c r="HN705" s="20"/>
      <c r="HP705" s="472"/>
    </row>
    <row r="706" spans="222:224" x14ac:dyDescent="0.25">
      <c r="HN706" s="20"/>
      <c r="HP706" s="472"/>
    </row>
    <row r="707" spans="222:224" x14ac:dyDescent="0.25">
      <c r="HN707" s="20"/>
      <c r="HP707" s="472"/>
    </row>
    <row r="708" spans="222:224" x14ac:dyDescent="0.25">
      <c r="HN708" s="20"/>
      <c r="HP708" s="472"/>
    </row>
    <row r="709" spans="222:224" x14ac:dyDescent="0.25">
      <c r="HN709" s="20"/>
      <c r="HP709" s="472"/>
    </row>
    <row r="710" spans="222:224" x14ac:dyDescent="0.25">
      <c r="HN710" s="20"/>
      <c r="HP710" s="472"/>
    </row>
    <row r="711" spans="222:224" x14ac:dyDescent="0.25">
      <c r="HN711" s="20"/>
      <c r="HP711" s="472"/>
    </row>
    <row r="712" spans="222:224" x14ac:dyDescent="0.25">
      <c r="HN712" s="20"/>
      <c r="HP712" s="472"/>
    </row>
    <row r="713" spans="222:224" x14ac:dyDescent="0.25">
      <c r="HN713" s="20"/>
      <c r="HP713" s="472"/>
    </row>
    <row r="714" spans="222:224" x14ac:dyDescent="0.25">
      <c r="HN714" s="20"/>
      <c r="HP714" s="472"/>
    </row>
    <row r="715" spans="222:224" x14ac:dyDescent="0.25">
      <c r="HN715" s="20"/>
      <c r="HP715" s="472"/>
    </row>
    <row r="716" spans="222:224" x14ac:dyDescent="0.25">
      <c r="HN716" s="20"/>
      <c r="HP716" s="472"/>
    </row>
    <row r="717" spans="222:224" x14ac:dyDescent="0.25">
      <c r="HN717" s="20"/>
      <c r="HP717" s="472"/>
    </row>
    <row r="718" spans="222:224" x14ac:dyDescent="0.25">
      <c r="HN718" s="20"/>
      <c r="HP718" s="472"/>
    </row>
    <row r="719" spans="222:224" x14ac:dyDescent="0.25">
      <c r="HN719" s="20"/>
      <c r="HP719" s="472"/>
    </row>
    <row r="720" spans="222:224" x14ac:dyDescent="0.25">
      <c r="HN720" s="20"/>
      <c r="HP720" s="472"/>
    </row>
    <row r="721" spans="222:224" x14ac:dyDescent="0.25">
      <c r="HN721" s="20"/>
      <c r="HP721" s="472"/>
    </row>
    <row r="722" spans="222:224" x14ac:dyDescent="0.25">
      <c r="HN722" s="20"/>
      <c r="HP722" s="472"/>
    </row>
    <row r="723" spans="222:224" x14ac:dyDescent="0.25">
      <c r="HN723" s="20"/>
      <c r="HP723" s="472"/>
    </row>
    <row r="724" spans="222:224" x14ac:dyDescent="0.25">
      <c r="HN724" s="20"/>
      <c r="HP724" s="472"/>
    </row>
    <row r="725" spans="222:224" x14ac:dyDescent="0.25">
      <c r="HN725" s="20"/>
      <c r="HP725" s="472"/>
    </row>
    <row r="726" spans="222:224" x14ac:dyDescent="0.25">
      <c r="HN726" s="20"/>
      <c r="HP726" s="472"/>
    </row>
    <row r="727" spans="222:224" x14ac:dyDescent="0.25">
      <c r="HN727" s="20"/>
      <c r="HP727" s="472"/>
    </row>
    <row r="728" spans="222:224" x14ac:dyDescent="0.25">
      <c r="HN728" s="20"/>
      <c r="HP728" s="472"/>
    </row>
    <row r="729" spans="222:224" x14ac:dyDescent="0.25">
      <c r="HN729" s="20"/>
      <c r="HP729" s="472"/>
    </row>
    <row r="730" spans="222:224" x14ac:dyDescent="0.25">
      <c r="HN730" s="20"/>
      <c r="HP730" s="472"/>
    </row>
    <row r="731" spans="222:224" x14ac:dyDescent="0.25">
      <c r="HN731" s="20"/>
      <c r="HP731" s="472"/>
    </row>
    <row r="732" spans="222:224" x14ac:dyDescent="0.25">
      <c r="HN732" s="20"/>
      <c r="HP732" s="472"/>
    </row>
    <row r="733" spans="222:224" x14ac:dyDescent="0.25">
      <c r="HN733" s="20"/>
      <c r="HP733" s="472"/>
    </row>
    <row r="734" spans="222:224" x14ac:dyDescent="0.25">
      <c r="HN734" s="20"/>
      <c r="HP734" s="472"/>
    </row>
    <row r="735" spans="222:224" x14ac:dyDescent="0.25">
      <c r="HN735" s="20"/>
      <c r="HP735" s="472"/>
    </row>
    <row r="736" spans="222:224" x14ac:dyDescent="0.25">
      <c r="HN736" s="20"/>
      <c r="HP736" s="472"/>
    </row>
    <row r="737" spans="222:224" x14ac:dyDescent="0.25">
      <c r="HN737" s="20"/>
      <c r="HP737" s="472"/>
    </row>
    <row r="738" spans="222:224" x14ac:dyDescent="0.25">
      <c r="HN738" s="20"/>
      <c r="HP738" s="472"/>
    </row>
    <row r="739" spans="222:224" x14ac:dyDescent="0.25">
      <c r="HN739" s="20"/>
      <c r="HP739" s="472"/>
    </row>
    <row r="740" spans="222:224" x14ac:dyDescent="0.25">
      <c r="HN740" s="20"/>
      <c r="HP740" s="472"/>
    </row>
    <row r="741" spans="222:224" x14ac:dyDescent="0.25">
      <c r="HN741" s="20"/>
      <c r="HP741" s="472"/>
    </row>
    <row r="742" spans="222:224" x14ac:dyDescent="0.25">
      <c r="HN742" s="20"/>
      <c r="HP742" s="472"/>
    </row>
    <row r="743" spans="222:224" x14ac:dyDescent="0.25">
      <c r="HN743" s="20"/>
      <c r="HP743" s="472"/>
    </row>
    <row r="744" spans="222:224" x14ac:dyDescent="0.25">
      <c r="HN744" s="20"/>
      <c r="HP744" s="472"/>
    </row>
    <row r="745" spans="222:224" x14ac:dyDescent="0.25">
      <c r="HN745" s="20"/>
      <c r="HP745" s="472"/>
    </row>
    <row r="746" spans="222:224" x14ac:dyDescent="0.25">
      <c r="HN746" s="20"/>
      <c r="HP746" s="472"/>
    </row>
    <row r="747" spans="222:224" x14ac:dyDescent="0.25">
      <c r="HN747" s="20"/>
      <c r="HP747" s="472"/>
    </row>
    <row r="748" spans="222:224" x14ac:dyDescent="0.25">
      <c r="HN748" s="20"/>
      <c r="HP748" s="472"/>
    </row>
    <row r="749" spans="222:224" x14ac:dyDescent="0.25">
      <c r="HN749" s="20"/>
      <c r="HP749" s="472"/>
    </row>
    <row r="750" spans="222:224" x14ac:dyDescent="0.25">
      <c r="HN750" s="20"/>
      <c r="HP750" s="472"/>
    </row>
    <row r="751" spans="222:224" x14ac:dyDescent="0.25">
      <c r="HN751" s="20"/>
      <c r="HP751" s="472"/>
    </row>
    <row r="752" spans="222:224" x14ac:dyDescent="0.25">
      <c r="HN752" s="20"/>
      <c r="HP752" s="472"/>
    </row>
    <row r="753" spans="222:224" x14ac:dyDescent="0.25">
      <c r="HN753" s="20"/>
      <c r="HP753" s="472"/>
    </row>
    <row r="754" spans="222:224" x14ac:dyDescent="0.25">
      <c r="HN754" s="20"/>
      <c r="HP754" s="472"/>
    </row>
    <row r="755" spans="222:224" x14ac:dyDescent="0.25">
      <c r="HN755" s="20"/>
      <c r="HP755" s="472"/>
    </row>
    <row r="756" spans="222:224" x14ac:dyDescent="0.25">
      <c r="HN756" s="20"/>
      <c r="HP756" s="472"/>
    </row>
    <row r="757" spans="222:224" x14ac:dyDescent="0.25">
      <c r="HN757" s="20"/>
      <c r="HP757" s="472"/>
    </row>
    <row r="758" spans="222:224" x14ac:dyDescent="0.25">
      <c r="HN758" s="20"/>
      <c r="HP758" s="472"/>
    </row>
    <row r="759" spans="222:224" x14ac:dyDescent="0.25">
      <c r="HN759" s="20"/>
      <c r="HP759" s="472"/>
    </row>
    <row r="760" spans="222:224" x14ac:dyDescent="0.25">
      <c r="HN760" s="20"/>
      <c r="HP760" s="472"/>
    </row>
    <row r="761" spans="222:224" x14ac:dyDescent="0.25">
      <c r="HN761" s="20"/>
      <c r="HP761" s="472"/>
    </row>
    <row r="762" spans="222:224" x14ac:dyDescent="0.25">
      <c r="HN762" s="20"/>
      <c r="HP762" s="472"/>
    </row>
    <row r="763" spans="222:224" x14ac:dyDescent="0.25">
      <c r="HN763" s="20"/>
      <c r="HP763" s="472"/>
    </row>
    <row r="764" spans="222:224" x14ac:dyDescent="0.25">
      <c r="HN764" s="20"/>
      <c r="HP764" s="472"/>
    </row>
    <row r="765" spans="222:224" x14ac:dyDescent="0.25">
      <c r="HN765" s="20"/>
      <c r="HP765" s="472"/>
    </row>
    <row r="766" spans="222:224" x14ac:dyDescent="0.25">
      <c r="HN766" s="20"/>
      <c r="HP766" s="472"/>
    </row>
    <row r="767" spans="222:224" x14ac:dyDescent="0.25">
      <c r="HN767" s="20"/>
      <c r="HP767" s="472"/>
    </row>
    <row r="768" spans="222:224" x14ac:dyDescent="0.25">
      <c r="HN768" s="20"/>
      <c r="HP768" s="472"/>
    </row>
    <row r="769" spans="222:224" x14ac:dyDescent="0.25">
      <c r="HN769" s="20"/>
      <c r="HP769" s="472"/>
    </row>
    <row r="770" spans="222:224" x14ac:dyDescent="0.25">
      <c r="HN770" s="20"/>
      <c r="HP770" s="472"/>
    </row>
    <row r="771" spans="222:224" x14ac:dyDescent="0.25">
      <c r="HN771" s="20"/>
      <c r="HP771" s="472"/>
    </row>
    <row r="772" spans="222:224" x14ac:dyDescent="0.25">
      <c r="HN772" s="20"/>
      <c r="HP772" s="472"/>
    </row>
    <row r="773" spans="222:224" x14ac:dyDescent="0.25">
      <c r="HN773" s="20"/>
      <c r="HP773" s="472"/>
    </row>
    <row r="774" spans="222:224" x14ac:dyDescent="0.25">
      <c r="HN774" s="20"/>
      <c r="HP774" s="472"/>
    </row>
    <row r="775" spans="222:224" x14ac:dyDescent="0.25">
      <c r="HN775" s="20"/>
      <c r="HP775" s="472"/>
    </row>
    <row r="776" spans="222:224" x14ac:dyDescent="0.25">
      <c r="HN776" s="20"/>
      <c r="HP776" s="472"/>
    </row>
    <row r="777" spans="222:224" x14ac:dyDescent="0.25">
      <c r="HN777" s="20"/>
      <c r="HP777" s="472"/>
    </row>
    <row r="778" spans="222:224" x14ac:dyDescent="0.25">
      <c r="HN778" s="20"/>
      <c r="HP778" s="472"/>
    </row>
    <row r="779" spans="222:224" x14ac:dyDescent="0.25">
      <c r="HN779" s="20"/>
      <c r="HP779" s="472"/>
    </row>
    <row r="780" spans="222:224" x14ac:dyDescent="0.25">
      <c r="HN780" s="20"/>
      <c r="HP780" s="472"/>
    </row>
    <row r="781" spans="222:224" x14ac:dyDescent="0.25">
      <c r="HN781" s="20"/>
      <c r="HP781" s="472"/>
    </row>
    <row r="782" spans="222:224" x14ac:dyDescent="0.25">
      <c r="HN782" s="20"/>
      <c r="HP782" s="472"/>
    </row>
    <row r="783" spans="222:224" x14ac:dyDescent="0.25">
      <c r="HN783" s="20"/>
      <c r="HP783" s="472"/>
    </row>
    <row r="784" spans="222:224" x14ac:dyDescent="0.25">
      <c r="HN784" s="20"/>
      <c r="HP784" s="472"/>
    </row>
    <row r="785" spans="222:224" x14ac:dyDescent="0.25">
      <c r="HN785" s="20"/>
      <c r="HP785" s="472"/>
    </row>
    <row r="786" spans="222:224" x14ac:dyDescent="0.25">
      <c r="HN786" s="20"/>
      <c r="HP786" s="472"/>
    </row>
    <row r="787" spans="222:224" x14ac:dyDescent="0.25">
      <c r="HN787" s="20"/>
      <c r="HP787" s="472"/>
    </row>
    <row r="788" spans="222:224" x14ac:dyDescent="0.25">
      <c r="HN788" s="20"/>
      <c r="HP788" s="472"/>
    </row>
    <row r="789" spans="222:224" x14ac:dyDescent="0.25">
      <c r="HN789" s="20"/>
      <c r="HP789" s="472"/>
    </row>
    <row r="790" spans="222:224" x14ac:dyDescent="0.25">
      <c r="HN790" s="20"/>
      <c r="HP790" s="472"/>
    </row>
    <row r="791" spans="222:224" x14ac:dyDescent="0.25">
      <c r="HN791" s="20"/>
      <c r="HP791" s="472"/>
    </row>
    <row r="792" spans="222:224" x14ac:dyDescent="0.25">
      <c r="HN792" s="20"/>
      <c r="HP792" s="472"/>
    </row>
    <row r="793" spans="222:224" x14ac:dyDescent="0.25">
      <c r="HN793" s="20"/>
      <c r="HP793" s="472"/>
    </row>
    <row r="794" spans="222:224" x14ac:dyDescent="0.25">
      <c r="HN794" s="20"/>
      <c r="HP794" s="472"/>
    </row>
    <row r="795" spans="222:224" x14ac:dyDescent="0.25">
      <c r="HN795" s="20"/>
      <c r="HP795" s="472"/>
    </row>
    <row r="796" spans="222:224" x14ac:dyDescent="0.25">
      <c r="HN796" s="20"/>
      <c r="HP796" s="472"/>
    </row>
    <row r="797" spans="222:224" x14ac:dyDescent="0.25">
      <c r="HN797" s="20"/>
      <c r="HP797" s="472"/>
    </row>
    <row r="798" spans="222:224" x14ac:dyDescent="0.25">
      <c r="HN798" s="20"/>
      <c r="HP798" s="472"/>
    </row>
    <row r="799" spans="222:224" x14ac:dyDescent="0.25">
      <c r="HN799" s="20"/>
      <c r="HP799" s="472"/>
    </row>
    <row r="800" spans="222:224" x14ac:dyDescent="0.25">
      <c r="HN800" s="20"/>
      <c r="HP800" s="472"/>
    </row>
    <row r="801" spans="222:224" x14ac:dyDescent="0.25">
      <c r="HN801" s="20"/>
      <c r="HP801" s="472"/>
    </row>
    <row r="802" spans="222:224" x14ac:dyDescent="0.25">
      <c r="HN802" s="20"/>
      <c r="HP802" s="472"/>
    </row>
    <row r="803" spans="222:224" x14ac:dyDescent="0.25">
      <c r="HN803" s="20"/>
      <c r="HP803" s="472"/>
    </row>
    <row r="804" spans="222:224" x14ac:dyDescent="0.25">
      <c r="HN804" s="20"/>
      <c r="HP804" s="472"/>
    </row>
  </sheetData>
  <sheetProtection algorithmName="SHA-512" hashValue="42Lc9cNAzW33BRxoDVtpKA+nvymn/GBikNfiF4JeoM01h/bslyKWOTxJBjoIb5mNeTfEo5UnX2Lzn5PMtRQBzw==" saltValue="cf38PoTfQBucb9fOkFYa0Q==" spinCount="100000" sheet="1" objects="1" scenarios="1" formatColumns="0" formatRows="0"/>
  <mergeCells count="68">
    <mergeCell ref="FX4:FY4"/>
    <mergeCell ref="FM3:FN3"/>
    <mergeCell ref="FO3:FP3"/>
    <mergeCell ref="FQ3:FR3"/>
    <mergeCell ref="FT3:FU3"/>
    <mergeCell ref="FV3:FW3"/>
    <mergeCell ref="FX3:FY3"/>
    <mergeCell ref="FM4:FN4"/>
    <mergeCell ref="FO4:FP4"/>
    <mergeCell ref="FQ4:FR4"/>
    <mergeCell ref="FT4:FU4"/>
    <mergeCell ref="FV4:FW4"/>
    <mergeCell ref="ES5:EV5"/>
    <mergeCell ref="EW5:EZ5"/>
    <mergeCell ref="FA5:FD5"/>
    <mergeCell ref="FE5:FH5"/>
    <mergeCell ref="ES6:ET6"/>
    <mergeCell ref="EU6:EV6"/>
    <mergeCell ref="EW6:EX6"/>
    <mergeCell ref="EY6:EZ6"/>
    <mergeCell ref="FA6:FB6"/>
    <mergeCell ref="FC6:FD6"/>
    <mergeCell ref="FE6:FF6"/>
    <mergeCell ref="FG6:FH6"/>
    <mergeCell ref="FB31:FC31"/>
    <mergeCell ref="FD31:FE31"/>
    <mergeCell ref="FF31:FG31"/>
    <mergeCell ref="EU47:EV47"/>
    <mergeCell ref="EW47:EX47"/>
    <mergeCell ref="EY47:EZ47"/>
    <mergeCell ref="ET30:FA30"/>
    <mergeCell ref="ET31:EW31"/>
    <mergeCell ref="EX31:FA31"/>
    <mergeCell ref="ET32:EU32"/>
    <mergeCell ref="EV32:EW32"/>
    <mergeCell ref="EX32:EY32"/>
    <mergeCell ref="EZ32:FA32"/>
    <mergeCell ref="FF65:FG65"/>
    <mergeCell ref="ET66:EU66"/>
    <mergeCell ref="EV66:EW66"/>
    <mergeCell ref="EX66:EY66"/>
    <mergeCell ref="EZ66:FA66"/>
    <mergeCell ref="FB65:FC65"/>
    <mergeCell ref="FD65:FE65"/>
    <mergeCell ref="EY81:EZ81"/>
    <mergeCell ref="AW51:AX51"/>
    <mergeCell ref="ET64:FA64"/>
    <mergeCell ref="ET65:EW65"/>
    <mergeCell ref="EX65:FA65"/>
    <mergeCell ref="E191:F191"/>
    <mergeCell ref="C192:D192"/>
    <mergeCell ref="E192:F192"/>
    <mergeCell ref="EU81:EV81"/>
    <mergeCell ref="EW81:EX81"/>
    <mergeCell ref="Q157:S157"/>
    <mergeCell ref="T157:V157"/>
    <mergeCell ref="DA16:DB16"/>
    <mergeCell ref="DC16:DD16"/>
    <mergeCell ref="DE16:DF16"/>
    <mergeCell ref="CX29:CY29"/>
    <mergeCell ref="CZ29:DA29"/>
    <mergeCell ref="DB29:DC29"/>
    <mergeCell ref="DD29:DE29"/>
    <mergeCell ref="DG30:DH30"/>
    <mergeCell ref="DG16:DH16"/>
    <mergeCell ref="DI16:DJ16"/>
    <mergeCell ref="DK16:DL16"/>
    <mergeCell ref="DM16:DN16"/>
  </mergeCells>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ADCE-D14A-4F95-B961-53DC2B73DD84}">
  <sheetPr codeName="Planilha43"/>
  <dimension ref="B1:EQ455"/>
  <sheetViews>
    <sheetView showGridLines="0" topLeftCell="BB392" zoomScaleNormal="100" workbookViewId="0">
      <selection activeCell="D1" sqref="D1"/>
    </sheetView>
  </sheetViews>
  <sheetFormatPr defaultRowHeight="15" x14ac:dyDescent="0.25"/>
  <cols>
    <col min="1" max="1" width="9.140625" style="20"/>
    <col min="2" max="2" width="33.85546875" style="20" customWidth="1"/>
    <col min="3" max="3" width="23.5703125" style="20" customWidth="1"/>
    <col min="4" max="4" width="18.28515625" style="20" customWidth="1"/>
    <col min="5" max="5" width="40.28515625" style="20" bestFit="1" customWidth="1"/>
    <col min="6" max="6" width="22.5703125" style="20" bestFit="1" customWidth="1"/>
    <col min="7" max="7" width="22.140625" style="20" bestFit="1" customWidth="1"/>
    <col min="8" max="8" width="21" style="20" bestFit="1" customWidth="1"/>
    <col min="9" max="17" width="20.7109375" style="20" customWidth="1"/>
    <col min="18" max="18" width="34" style="20" customWidth="1"/>
    <col min="19" max="19" width="25.5703125" style="20" customWidth="1"/>
    <col min="20" max="20" width="21.85546875" style="20" bestFit="1" customWidth="1"/>
    <col min="21" max="21" width="19.7109375" style="20" customWidth="1"/>
    <col min="22" max="22" width="13.5703125" style="20" bestFit="1" customWidth="1"/>
    <col min="23" max="23" width="13.85546875" style="20" bestFit="1" customWidth="1"/>
    <col min="24" max="24" width="13.5703125" style="20" bestFit="1" customWidth="1"/>
    <col min="25" max="25" width="13.85546875" style="20" bestFit="1" customWidth="1"/>
    <col min="26" max="26" width="13.5703125" style="20" bestFit="1" customWidth="1"/>
    <col min="27" max="27" width="13.85546875" style="20" bestFit="1" customWidth="1"/>
    <col min="28" max="28" width="13.5703125" style="20" bestFit="1" customWidth="1"/>
    <col min="29" max="29" width="13.85546875" style="20" bestFit="1" customWidth="1"/>
    <col min="30" max="30" width="11.7109375" style="20" customWidth="1"/>
    <col min="31" max="31" width="9.140625" style="20"/>
    <col min="32" max="32" width="14.5703125" style="20" customWidth="1"/>
    <col min="33" max="33" width="12.42578125" style="20" bestFit="1" customWidth="1"/>
    <col min="34" max="34" width="17" style="20" customWidth="1"/>
    <col min="35" max="36" width="9.140625" style="20"/>
    <col min="37" max="37" width="12.42578125" style="20" bestFit="1" customWidth="1"/>
    <col min="38" max="40" width="9.140625" style="20"/>
    <col min="41" max="41" width="16.7109375" style="20" customWidth="1"/>
    <col min="42" max="43" width="17.5703125" style="20" customWidth="1"/>
    <col min="44" max="52" width="9.140625" style="20"/>
    <col min="53" max="53" width="34.5703125" style="20" customWidth="1"/>
    <col min="54" max="58" width="15.7109375" style="20" customWidth="1"/>
    <col min="59" max="59" width="24.5703125" style="20" customWidth="1"/>
    <col min="60" max="61" width="15.7109375" style="20" customWidth="1"/>
    <col min="62" max="62" width="17.85546875" style="20" customWidth="1"/>
    <col min="63" max="87" width="15.7109375" style="20" customWidth="1"/>
    <col min="88" max="103" width="9.140625" style="20"/>
    <col min="104" max="104" width="12.42578125" style="20" bestFit="1" customWidth="1"/>
    <col min="105" max="105" width="9.140625" style="20"/>
    <col min="106" max="106" width="15.7109375" style="20" customWidth="1"/>
    <col min="107" max="107" width="44.85546875" style="20" customWidth="1"/>
    <col min="108" max="108" width="15.7109375" style="20" customWidth="1"/>
    <col min="109" max="109" width="36.7109375" style="20" customWidth="1"/>
    <col min="110" max="111" width="15.7109375" style="20" customWidth="1"/>
    <col min="112" max="112" width="28.28515625" style="20" customWidth="1"/>
    <col min="113" max="130" width="15.7109375" style="20" customWidth="1"/>
    <col min="131" max="134" width="25.7109375" style="20" customWidth="1"/>
    <col min="135" max="136" width="15.7109375" style="20" customWidth="1"/>
    <col min="137" max="137" width="24.5703125" style="20" customWidth="1"/>
    <col min="138" max="138" width="26.28515625" style="20" customWidth="1"/>
    <col min="139" max="139" width="15.7109375" style="20" customWidth="1"/>
    <col min="140" max="140" width="15" style="20" customWidth="1"/>
    <col min="141" max="142" width="17.7109375" style="20" customWidth="1"/>
    <col min="143" max="16384" width="9.140625" style="20"/>
  </cols>
  <sheetData>
    <row r="1" spans="2:145" ht="15.75" thickBot="1" x14ac:dyDescent="0.3">
      <c r="B1" s="730" t="s">
        <v>474</v>
      </c>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Z1" s="470" t="s">
        <v>6172</v>
      </c>
      <c r="BB1" s="731" t="s">
        <v>16</v>
      </c>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DA1" s="470" t="s">
        <v>6172</v>
      </c>
      <c r="DB1" s="730" t="s">
        <v>29</v>
      </c>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J1" s="20" t="s">
        <v>6172</v>
      </c>
    </row>
    <row r="2" spans="2:145" x14ac:dyDescent="0.25">
      <c r="C2" s="475"/>
      <c r="AZ2" s="470" t="s">
        <v>6172</v>
      </c>
      <c r="DA2" s="470" t="s">
        <v>6172</v>
      </c>
      <c r="EL2" s="20" t="s">
        <v>6172</v>
      </c>
    </row>
    <row r="3" spans="2:145" x14ac:dyDescent="0.25">
      <c r="C3" s="475"/>
      <c r="AZ3" s="470" t="s">
        <v>6172</v>
      </c>
      <c r="BG3" s="514" t="s">
        <v>8288</v>
      </c>
      <c r="BH3" s="732" t="s">
        <v>6175</v>
      </c>
      <c r="DA3" s="470" t="s">
        <v>6172</v>
      </c>
      <c r="DB3" s="477" t="s">
        <v>8104</v>
      </c>
      <c r="DC3" s="477" t="s">
        <v>8294</v>
      </c>
      <c r="DG3" s="477" t="s">
        <v>8288</v>
      </c>
      <c r="DH3" s="732" t="s">
        <v>5582</v>
      </c>
      <c r="DN3" s="733" t="s">
        <v>7321</v>
      </c>
      <c r="DP3" s="528" t="s">
        <v>7660</v>
      </c>
      <c r="DQ3" s="734" t="s">
        <v>5733</v>
      </c>
      <c r="EL3" s="20" t="s">
        <v>6172</v>
      </c>
    </row>
    <row r="4" spans="2:145" x14ac:dyDescent="0.25">
      <c r="AZ4" s="470" t="s">
        <v>6172</v>
      </c>
      <c r="BG4" s="477" t="s">
        <v>8289</v>
      </c>
      <c r="BH4" s="735">
        <f>ROW('F&amp;Q'!AA20)</f>
        <v>20</v>
      </c>
      <c r="DA4" s="470" t="s">
        <v>6172</v>
      </c>
      <c r="DB4" s="22">
        <f t="shared" ref="DB4:DB10" ca="1" si="0">DW48</f>
        <v>0</v>
      </c>
      <c r="DC4" s="426" t="s">
        <v>6197</v>
      </c>
      <c r="DG4" s="477" t="s">
        <v>8363</v>
      </c>
      <c r="DH4" s="736" t="s">
        <v>5733</v>
      </c>
      <c r="DI4" s="509" t="s">
        <v>6222</v>
      </c>
      <c r="DJ4" s="509" t="s">
        <v>6133</v>
      </c>
      <c r="DO4" s="737" t="s">
        <v>30</v>
      </c>
      <c r="DP4" s="737" t="s">
        <v>6174</v>
      </c>
      <c r="DQ4" s="737" t="s">
        <v>6173</v>
      </c>
      <c r="DR4" s="737" t="s">
        <v>6029</v>
      </c>
      <c r="DS4" s="737" t="s">
        <v>218</v>
      </c>
      <c r="DT4" s="737" t="s">
        <v>6183</v>
      </c>
      <c r="DU4" s="737" t="s">
        <v>6184</v>
      </c>
      <c r="DV4" s="737" t="s">
        <v>31</v>
      </c>
      <c r="DW4" s="737" t="s">
        <v>5720</v>
      </c>
      <c r="DX4" s="737" t="s">
        <v>147</v>
      </c>
      <c r="DY4" s="737" t="s">
        <v>124</v>
      </c>
      <c r="DZ4" s="737" t="s">
        <v>86</v>
      </c>
      <c r="EA4" s="737" t="s">
        <v>192</v>
      </c>
      <c r="EB4" s="737" t="s">
        <v>87</v>
      </c>
      <c r="EC4" s="737" t="s">
        <v>148</v>
      </c>
      <c r="ED4" s="737" t="s">
        <v>349</v>
      </c>
      <c r="EE4" s="737" t="s">
        <v>351</v>
      </c>
      <c r="EF4" s="738" t="s">
        <v>293</v>
      </c>
      <c r="EG4" s="738" t="s">
        <v>301</v>
      </c>
      <c r="EH4" s="738" t="s">
        <v>302</v>
      </c>
      <c r="EI4" s="737" t="s">
        <v>6242</v>
      </c>
      <c r="EJ4" s="737" t="s">
        <v>143</v>
      </c>
      <c r="EK4" s="737" t="s">
        <v>6189</v>
      </c>
      <c r="EL4" s="738" t="s">
        <v>6187</v>
      </c>
    </row>
    <row r="5" spans="2:145" x14ac:dyDescent="0.25">
      <c r="B5" s="477" t="s">
        <v>8104</v>
      </c>
      <c r="C5" s="477" t="s">
        <v>8294</v>
      </c>
      <c r="F5" s="477" t="s">
        <v>8288</v>
      </c>
      <c r="G5" s="732" t="s">
        <v>6215</v>
      </c>
      <c r="AZ5" s="470" t="s">
        <v>6172</v>
      </c>
      <c r="BB5" s="477" t="s">
        <v>8104</v>
      </c>
      <c r="BC5" s="477" t="s">
        <v>8294</v>
      </c>
      <c r="BG5" s="477" t="s">
        <v>8290</v>
      </c>
      <c r="BH5" s="735">
        <f>ROW('F&amp;Q'!AA39)</f>
        <v>39</v>
      </c>
      <c r="DA5" s="470" t="s">
        <v>6172</v>
      </c>
      <c r="DB5" s="22">
        <f t="shared" ca="1" si="0"/>
        <v>0</v>
      </c>
      <c r="DC5" s="426" t="s">
        <v>6198</v>
      </c>
      <c r="DG5" s="739" t="s">
        <v>30</v>
      </c>
      <c r="DH5" s="740" t="s">
        <v>5798</v>
      </c>
      <c r="DI5" s="741">
        <f t="shared" ref="DI5:DI27" ca="1" si="1">COUNTA(INDIRECT($DH$3&amp;DH5,1))</f>
        <v>0</v>
      </c>
      <c r="DJ5" s="742" cm="1">
        <f t="array" aca="1" ref="DJ5" ca="1">INDIRECT($DH$3&amp;DH5,1)</f>
        <v>0</v>
      </c>
      <c r="DN5" s="597" t="s">
        <v>5778</v>
      </c>
      <c r="DO5" s="743" t="s">
        <v>5798</v>
      </c>
      <c r="DP5" s="743" t="s">
        <v>7661</v>
      </c>
      <c r="DQ5" s="744" t="s">
        <v>7335</v>
      </c>
      <c r="DR5" s="744" t="s">
        <v>7336</v>
      </c>
      <c r="DS5" s="744" t="s">
        <v>7662</v>
      </c>
      <c r="DT5" s="744" t="s">
        <v>5796</v>
      </c>
      <c r="DU5" s="745" t="s">
        <v>7663</v>
      </c>
      <c r="DV5" s="745" t="s">
        <v>7664</v>
      </c>
      <c r="DW5" s="744" t="s">
        <v>5797</v>
      </c>
      <c r="DX5" s="744" t="s">
        <v>7385</v>
      </c>
      <c r="DY5" s="744" t="s">
        <v>7406</v>
      </c>
      <c r="DZ5" s="744" t="s">
        <v>7389</v>
      </c>
      <c r="EA5" s="744" t="s">
        <v>7409</v>
      </c>
      <c r="EB5" s="744" t="s">
        <v>7410</v>
      </c>
      <c r="EC5" s="744" t="s">
        <v>7412</v>
      </c>
      <c r="ED5" s="744" t="s">
        <v>7665</v>
      </c>
      <c r="EE5" s="743" t="s">
        <v>7666</v>
      </c>
      <c r="EF5" s="746" t="s">
        <v>7613</v>
      </c>
      <c r="EG5" s="746" t="s">
        <v>7614</v>
      </c>
      <c r="EH5" s="746" t="s">
        <v>7615</v>
      </c>
      <c r="EI5" s="743" t="s">
        <v>5729</v>
      </c>
      <c r="EJ5" s="743" t="s">
        <v>7667</v>
      </c>
      <c r="EK5" s="743" t="s">
        <v>7668</v>
      </c>
      <c r="EL5" s="747" t="s">
        <v>6389</v>
      </c>
    </row>
    <row r="6" spans="2:145" x14ac:dyDescent="0.25">
      <c r="B6" s="456">
        <f ca="1">IF(AND(Respostas_usuario!G2=FALSE,I8&gt;0,I10=0),1,0)</f>
        <v>0</v>
      </c>
      <c r="C6" s="748" t="s">
        <v>7844</v>
      </c>
      <c r="F6" s="477" t="s">
        <v>8289</v>
      </c>
      <c r="G6" s="732">
        <f>ROW('PT&amp;IA'!Z11)</f>
        <v>11</v>
      </c>
      <c r="AZ6" s="470" t="s">
        <v>6172</v>
      </c>
      <c r="BB6" s="22">
        <f ca="1">BH35</f>
        <v>0</v>
      </c>
      <c r="BC6" s="450" t="s">
        <v>6066</v>
      </c>
      <c r="BG6" s="514" t="s">
        <v>391</v>
      </c>
      <c r="BH6" s="732" t="s">
        <v>6153</v>
      </c>
      <c r="BI6" s="735" t="str">
        <f>$BH$3&amp;BH6&amp;$BH$4&amp;":"&amp;BH6&amp;$BH$5</f>
        <v>'F&amp;Q'!F20:F39</v>
      </c>
      <c r="DA6" s="470" t="s">
        <v>6172</v>
      </c>
      <c r="DB6" s="22">
        <f t="shared" ca="1" si="0"/>
        <v>0</v>
      </c>
      <c r="DC6" s="426" t="s">
        <v>6199</v>
      </c>
      <c r="DG6" s="739" t="s">
        <v>6174</v>
      </c>
      <c r="DH6" s="740" t="s">
        <v>7661</v>
      </c>
      <c r="DI6" s="741">
        <f t="shared" ca="1" si="1"/>
        <v>0</v>
      </c>
      <c r="DJ6" s="742" cm="1">
        <f t="array" aca="1" ref="DJ6" ca="1">INDIRECT($DH$3&amp;DH6,1)</f>
        <v>0</v>
      </c>
      <c r="DN6" s="597" t="s">
        <v>6222</v>
      </c>
      <c r="DO6" s="744">
        <f t="shared" ref="DO6:EK6" ca="1" si="2">COUNTA(INDIRECT($DH$3&amp;DO5,1))</f>
        <v>0</v>
      </c>
      <c r="DP6" s="744">
        <f t="shared" ca="1" si="2"/>
        <v>0</v>
      </c>
      <c r="DQ6" s="744">
        <f t="shared" ca="1" si="2"/>
        <v>0</v>
      </c>
      <c r="DR6" s="744">
        <f t="shared" ca="1" si="2"/>
        <v>0</v>
      </c>
      <c r="DS6" s="744">
        <f t="shared" ca="1" si="2"/>
        <v>1</v>
      </c>
      <c r="DT6" s="744">
        <f t="shared" ca="1" si="2"/>
        <v>0</v>
      </c>
      <c r="DU6" s="744">
        <f t="shared" ca="1" si="2"/>
        <v>0</v>
      </c>
      <c r="DV6" s="744">
        <f t="shared" ca="1" si="2"/>
        <v>0</v>
      </c>
      <c r="DW6" s="744">
        <f t="shared" ca="1" si="2"/>
        <v>0</v>
      </c>
      <c r="DX6" s="744">
        <f t="shared" ca="1" si="2"/>
        <v>0</v>
      </c>
      <c r="DY6" s="744">
        <f t="shared" ca="1" si="2"/>
        <v>0</v>
      </c>
      <c r="DZ6" s="744">
        <f t="shared" ca="1" si="2"/>
        <v>0</v>
      </c>
      <c r="EA6" s="744">
        <f t="shared" ca="1" si="2"/>
        <v>0</v>
      </c>
      <c r="EB6" s="744">
        <f t="shared" ca="1" si="2"/>
        <v>0</v>
      </c>
      <c r="EC6" s="744">
        <f t="shared" ca="1" si="2"/>
        <v>0</v>
      </c>
      <c r="ED6" s="744">
        <f t="shared" ca="1" si="2"/>
        <v>0</v>
      </c>
      <c r="EE6" s="744">
        <f t="shared" ca="1" si="2"/>
        <v>0</v>
      </c>
      <c r="EF6" s="744">
        <f t="shared" ca="1" si="2"/>
        <v>0</v>
      </c>
      <c r="EG6" s="744">
        <f t="shared" ca="1" si="2"/>
        <v>0</v>
      </c>
      <c r="EH6" s="744">
        <f t="shared" ca="1" si="2"/>
        <v>0</v>
      </c>
      <c r="EI6" s="744">
        <f t="shared" ca="1" si="2"/>
        <v>0</v>
      </c>
      <c r="EJ6" s="744">
        <f t="shared" ca="1" si="2"/>
        <v>0</v>
      </c>
      <c r="EK6" s="744">
        <f t="shared" ca="1" si="2"/>
        <v>0</v>
      </c>
      <c r="EL6" s="747">
        <f t="shared" ref="EL6" ca="1" si="3">COUNTA(INDIRECT(EL5,1))</f>
        <v>1</v>
      </c>
    </row>
    <row r="7" spans="2:145" x14ac:dyDescent="0.25">
      <c r="B7" s="456">
        <f ca="1">IF(AND(Respostas_usuario!G2=FALSE,I8&gt;0,I11=0),1,0)</f>
        <v>0</v>
      </c>
      <c r="C7" s="748" t="s">
        <v>6063</v>
      </c>
      <c r="F7" s="477" t="s">
        <v>8290</v>
      </c>
      <c r="G7" s="732">
        <f>ROW('PT&amp;IA'!Z25)</f>
        <v>25</v>
      </c>
      <c r="I7" s="20" t="s">
        <v>8291</v>
      </c>
      <c r="AZ7" s="470" t="s">
        <v>6172</v>
      </c>
      <c r="BB7" s="22">
        <f ca="1">BH36</f>
        <v>0</v>
      </c>
      <c r="BC7" s="450" t="s">
        <v>7948</v>
      </c>
      <c r="BG7" s="514" t="s">
        <v>294</v>
      </c>
      <c r="BH7" s="732" t="s">
        <v>6154</v>
      </c>
      <c r="BI7" s="735" t="str">
        <f>$BH$3&amp;BH7&amp;$BH$4&amp;":"&amp;BH7&amp;$BH$5</f>
        <v>'F&amp;Q'!G20:G39</v>
      </c>
      <c r="DA7" s="470" t="s">
        <v>6172</v>
      </c>
      <c r="DB7" s="22">
        <f t="shared" ca="1" si="0"/>
        <v>0</v>
      </c>
      <c r="DC7" s="426" t="s">
        <v>6200</v>
      </c>
      <c r="DG7" s="739" t="s">
        <v>6173</v>
      </c>
      <c r="DH7" s="741" t="s">
        <v>7335</v>
      </c>
      <c r="DI7" s="741">
        <f t="shared" ca="1" si="1"/>
        <v>0</v>
      </c>
      <c r="DJ7" s="742" cm="1">
        <f t="array" aca="1" ref="DJ7" ca="1">INDIRECT($DH$3&amp;DH7,1)</f>
        <v>0</v>
      </c>
      <c r="DN7" s="597" t="s">
        <v>6133</v>
      </c>
      <c r="DO7" s="744" cm="1">
        <f t="array" aca="1" ref="DO7" ca="1">INDIRECT($DH$3&amp;DO5,1)</f>
        <v>0</v>
      </c>
      <c r="DP7" s="744" cm="1">
        <f t="array" aca="1" ref="DP7" ca="1">INDIRECT($DH$3&amp;DP5,1)</f>
        <v>0</v>
      </c>
      <c r="DQ7" s="744" cm="1">
        <f t="array" aca="1" ref="DQ7" ca="1">INDIRECT($DH$3&amp;DQ5,1)</f>
        <v>0</v>
      </c>
      <c r="DR7" s="744" cm="1">
        <f t="array" aca="1" ref="DR7" ca="1">INDIRECT($DH$3&amp;DR5,1)</f>
        <v>0</v>
      </c>
      <c r="DS7" s="744" t="str" cm="1">
        <f t="array" aca="1" ref="DS7" ca="1">INDIRECT($DH$3&amp;DS5,1)</f>
        <v>Nº 471: Bacterial Reverse Mutation Test (26/06/2020)</v>
      </c>
      <c r="DT7" s="744" cm="1">
        <f t="array" aca="1" ref="DT7" ca="1">INDIRECT($DH$3&amp;DT5,1)</f>
        <v>0</v>
      </c>
      <c r="DU7" s="744" cm="1">
        <f t="array" aca="1" ref="DU7" ca="1">INDIRECT($DH$3&amp;DU5,1)</f>
        <v>0</v>
      </c>
      <c r="DV7" s="744" cm="1">
        <f t="array" aca="1" ref="DV7" ca="1">INDIRECT($DH$3&amp;DV5,1)</f>
        <v>0</v>
      </c>
      <c r="DW7" s="744" cm="1">
        <f t="array" aca="1" ref="DW7" ca="1">INDIRECT($DH$3&amp;DW5,1)</f>
        <v>0</v>
      </c>
      <c r="DX7" s="744" cm="1">
        <f t="array" aca="1" ref="DX7" ca="1">INDIRECT($DH$3&amp;DX5,1)</f>
        <v>0</v>
      </c>
      <c r="DY7" s="744" cm="1">
        <f t="array" aca="1" ref="DY7" ca="1">INDIRECT($DH$3&amp;DY5,1)</f>
        <v>0</v>
      </c>
      <c r="DZ7" s="744" cm="1">
        <f t="array" aca="1" ref="DZ7" ca="1">INDIRECT($DH$3&amp;DZ5,1)</f>
        <v>0</v>
      </c>
      <c r="EA7" s="744" cm="1">
        <f t="array" aca="1" ref="EA7" ca="1">INDIRECT($DH$3&amp;EA5,1)</f>
        <v>0</v>
      </c>
      <c r="EB7" s="744" cm="1">
        <f t="array" aca="1" ref="EB7" ca="1">INDIRECT($DH$3&amp;EB5,1)</f>
        <v>0</v>
      </c>
      <c r="EC7" s="744" cm="1">
        <f t="array" aca="1" ref="EC7" ca="1">INDIRECT($DH$3&amp;EC5,1)</f>
        <v>0</v>
      </c>
      <c r="ED7" s="744" cm="1">
        <f t="array" aca="1" ref="ED7" ca="1">INDIRECT($DH$3&amp;ED5,1)</f>
        <v>0</v>
      </c>
      <c r="EE7" s="744" cm="1">
        <f t="array" aca="1" ref="EE7" ca="1">INDIRECT($DH$3&amp;EE5,1)</f>
        <v>0</v>
      </c>
      <c r="EF7" s="747"/>
      <c r="EG7" s="747"/>
      <c r="EH7" s="747"/>
      <c r="EI7" s="744" cm="1">
        <f t="array" aca="1" ref="EI7" ca="1">INDIRECT($DH$3&amp;EI5,1)</f>
        <v>0</v>
      </c>
      <c r="EJ7" s="744" cm="1">
        <f t="array" aca="1" ref="EJ7" ca="1">INDIRECT($DH$3&amp;EJ5,1)</f>
        <v>0</v>
      </c>
      <c r="EK7" s="744" cm="1">
        <f t="array" aca="1" ref="EK7" ca="1">INDIRECT($DH$3&amp;EK5,1)</f>
        <v>0</v>
      </c>
      <c r="EL7" s="744" cm="1">
        <f t="array" aca="1" ref="EL7" ca="1">INDIRECT(EL5,1)</f>
        <v>0</v>
      </c>
    </row>
    <row r="8" spans="2:145" x14ac:dyDescent="0.25">
      <c r="B8" s="456">
        <f ca="1">IF(AND(Respostas_usuario!G2=FALSE,I8&gt;0,I12=0),1,0)</f>
        <v>0</v>
      </c>
      <c r="C8" s="748" t="s">
        <v>6062</v>
      </c>
      <c r="F8" s="749" t="s">
        <v>7</v>
      </c>
      <c r="G8" s="732" t="s">
        <v>6153</v>
      </c>
      <c r="H8" s="735" t="str">
        <f t="shared" ref="H8:H13" si="4">$G$5&amp;G8&amp;$G$6&amp;":"&amp;G8&amp;$G$7</f>
        <v>'PT&amp;IA'!F11:F25</v>
      </c>
      <c r="I8" s="25">
        <f ca="1">COUNTA(INDIRECT(H8))</f>
        <v>0</v>
      </c>
      <c r="AZ8" s="470" t="s">
        <v>6172</v>
      </c>
      <c r="BB8" s="22"/>
      <c r="BC8" s="750" t="s">
        <v>8297</v>
      </c>
      <c r="BG8" s="514" t="s">
        <v>7987</v>
      </c>
      <c r="BH8" s="732" t="s">
        <v>6155</v>
      </c>
      <c r="BI8" s="735" t="str">
        <f>$BH$3&amp;BH8&amp;$BH$4&amp;":"&amp;BH8&amp;$BH$5</f>
        <v>'F&amp;Q'!H20:H39</v>
      </c>
      <c r="DA8" s="470" t="s">
        <v>6172</v>
      </c>
      <c r="DB8" s="22">
        <f t="shared" ca="1" si="0"/>
        <v>0</v>
      </c>
      <c r="DC8" s="426" t="s">
        <v>6201</v>
      </c>
      <c r="DG8" s="739" t="s">
        <v>6029</v>
      </c>
      <c r="DH8" s="741" t="s">
        <v>7336</v>
      </c>
      <c r="DI8" s="741">
        <f t="shared" ca="1" si="1"/>
        <v>0</v>
      </c>
      <c r="DJ8" s="742" cm="1">
        <f t="array" aca="1" ref="DJ8" ca="1">INDIRECT($DH$3&amp;DH8,1)</f>
        <v>0</v>
      </c>
    </row>
    <row r="9" spans="2:145" x14ac:dyDescent="0.25">
      <c r="B9" s="456">
        <f ca="1">IF(AND(Respostas_usuario!G2=FALSE,I8&gt;0,I13=0),1,0)</f>
        <v>0</v>
      </c>
      <c r="C9" s="748" t="s">
        <v>6061</v>
      </c>
      <c r="F9" s="749" t="s">
        <v>264</v>
      </c>
      <c r="G9" s="732" t="s">
        <v>6154</v>
      </c>
      <c r="H9" s="735" t="str">
        <f t="shared" si="4"/>
        <v>'PT&amp;IA'!G11:G25</v>
      </c>
      <c r="I9" s="25">
        <f ca="1">COUNTA(INDIRECT(H9))-COUNTIF(INDIRECT(H9),"")</f>
        <v>0</v>
      </c>
      <c r="AZ9" s="470" t="s">
        <v>6172</v>
      </c>
      <c r="BB9" s="22"/>
      <c r="BC9" s="750" t="s">
        <v>8297</v>
      </c>
      <c r="BG9" s="514" t="s">
        <v>7988</v>
      </c>
      <c r="BH9" s="732" t="s">
        <v>6156</v>
      </c>
      <c r="BI9" s="735" t="str">
        <f>$BH$3&amp;BH9&amp;$BH$4&amp;":"&amp;BH9&amp;$BH$5</f>
        <v>'F&amp;Q'!I20:I39</v>
      </c>
      <c r="DA9" s="470" t="s">
        <v>6172</v>
      </c>
      <c r="DB9" s="22">
        <f t="shared" ca="1" si="0"/>
        <v>0</v>
      </c>
      <c r="DC9" s="426" t="s">
        <v>6202</v>
      </c>
      <c r="DG9" s="739" t="s">
        <v>218</v>
      </c>
      <c r="DH9" s="741" t="s">
        <v>7662</v>
      </c>
      <c r="DI9" s="741">
        <f t="shared" ca="1" si="1"/>
        <v>1</v>
      </c>
      <c r="DJ9" s="742" t="str" cm="1">
        <f t="array" aca="1" ref="DJ9" ca="1">INDIRECT($DH$3&amp;DH9,1)</f>
        <v>Nº 471: Bacterial Reverse Mutation Test (26/06/2020)</v>
      </c>
      <c r="DM9" s="372"/>
      <c r="DN9" s="104"/>
      <c r="DO9" s="104"/>
      <c r="DP9" s="104" t="s">
        <v>6390</v>
      </c>
      <c r="DQ9" s="104"/>
      <c r="DR9" s="104"/>
      <c r="DS9" s="104"/>
      <c r="DT9" s="104" t="s">
        <v>6391</v>
      </c>
      <c r="DU9" s="104"/>
      <c r="DV9" s="104"/>
      <c r="DW9" s="104"/>
      <c r="DX9" s="104"/>
      <c r="DY9" s="104"/>
      <c r="DZ9" s="104"/>
      <c r="EA9" s="104"/>
      <c r="EB9" s="104"/>
      <c r="EC9" s="104"/>
      <c r="ED9" s="104"/>
      <c r="EE9" s="104"/>
      <c r="EF9" s="372"/>
      <c r="EG9" s="372"/>
    </row>
    <row r="10" spans="2:145" x14ac:dyDescent="0.25">
      <c r="B10" s="456">
        <f ca="1">IF(H22=1,1,0)</f>
        <v>0</v>
      </c>
      <c r="C10" s="748" t="s">
        <v>8295</v>
      </c>
      <c r="F10" s="749" t="s">
        <v>11</v>
      </c>
      <c r="G10" s="732" t="s">
        <v>6155</v>
      </c>
      <c r="H10" s="735" t="str">
        <f t="shared" si="4"/>
        <v>'PT&amp;IA'!H11:H25</v>
      </c>
      <c r="I10" s="25">
        <f ca="1">COUNTA(INDIRECT(H10))-COUNTIF(INDIRECT(H10),"")</f>
        <v>0</v>
      </c>
      <c r="AZ10" s="470" t="s">
        <v>6172</v>
      </c>
      <c r="BB10" s="22"/>
      <c r="BC10" s="750" t="s">
        <v>8297</v>
      </c>
      <c r="DA10" s="470" t="s">
        <v>6172</v>
      </c>
      <c r="DB10" s="22">
        <f t="shared" ca="1" si="0"/>
        <v>0</v>
      </c>
      <c r="DC10" s="426" t="s">
        <v>6203</v>
      </c>
      <c r="DG10" s="739" t="s">
        <v>6183</v>
      </c>
      <c r="DH10" s="741" t="s">
        <v>5796</v>
      </c>
      <c r="DI10" s="741">
        <f t="shared" ca="1" si="1"/>
        <v>0</v>
      </c>
      <c r="DJ10" s="742" cm="1">
        <f t="array" aca="1" ref="DJ10" ca="1">INDIRECT($DH$3&amp;DH10,1)</f>
        <v>0</v>
      </c>
      <c r="DM10" s="372"/>
      <c r="DN10" s="104"/>
      <c r="DO10" s="104"/>
      <c r="DP10" s="104" t="s">
        <v>6392</v>
      </c>
      <c r="DQ10" s="104"/>
      <c r="DR10" s="104"/>
      <c r="DS10" s="104"/>
      <c r="DT10" s="104"/>
      <c r="DU10" s="104"/>
      <c r="DV10" s="104"/>
      <c r="DW10" s="104"/>
      <c r="DX10" s="104" t="s">
        <v>6393</v>
      </c>
      <c r="DY10" s="104"/>
      <c r="DZ10" s="104"/>
      <c r="EA10" s="104"/>
      <c r="EB10" s="104"/>
      <c r="EC10" s="104"/>
      <c r="ED10" s="104"/>
      <c r="EE10" s="104"/>
      <c r="EF10" s="372"/>
      <c r="EG10" s="372"/>
    </row>
    <row r="11" spans="2:145" x14ac:dyDescent="0.25">
      <c r="B11" s="456">
        <f ca="1">IF(H23=1,1,0)</f>
        <v>0</v>
      </c>
      <c r="C11" s="748" t="s">
        <v>8296</v>
      </c>
      <c r="F11" s="749" t="s">
        <v>220</v>
      </c>
      <c r="G11" s="732" t="s">
        <v>6156</v>
      </c>
      <c r="H11" s="735" t="str">
        <f t="shared" si="4"/>
        <v>'PT&amp;IA'!I11:I25</v>
      </c>
      <c r="I11" s="25">
        <f ca="1">COUNTA(INDIRECT(H11))</f>
        <v>0</v>
      </c>
      <c r="AZ11" s="470" t="s">
        <v>6172</v>
      </c>
      <c r="BB11" s="22"/>
      <c r="BC11" s="750" t="s">
        <v>8297</v>
      </c>
      <c r="DA11" s="470" t="s">
        <v>6172</v>
      </c>
      <c r="DB11" s="22">
        <f t="shared" ref="DB11" ca="1" si="5">DW56</f>
        <v>0</v>
      </c>
      <c r="DC11" s="426" t="s">
        <v>6395</v>
      </c>
      <c r="DG11" s="739" t="s">
        <v>6184</v>
      </c>
      <c r="DH11" s="751" t="s">
        <v>7663</v>
      </c>
      <c r="DI11" s="741">
        <f t="shared" ca="1" si="1"/>
        <v>0</v>
      </c>
      <c r="DJ11" s="742" cm="1">
        <f t="array" aca="1" ref="DJ11" ca="1">INDIRECT($DH$3&amp;DH11,1)</f>
        <v>0</v>
      </c>
      <c r="DM11" s="372"/>
      <c r="DN11" s="104"/>
      <c r="DO11" s="737" t="s">
        <v>6372</v>
      </c>
      <c r="DP11" s="738" t="s">
        <v>6373</v>
      </c>
      <c r="DQ11" s="738" t="s">
        <v>6374</v>
      </c>
      <c r="DR11" s="738" t="s">
        <v>6375</v>
      </c>
      <c r="DS11" s="738" t="s">
        <v>6376</v>
      </c>
      <c r="DT11" s="738" t="s">
        <v>6381</v>
      </c>
      <c r="DU11" s="738" t="s">
        <v>6382</v>
      </c>
      <c r="DV11" s="738" t="s">
        <v>6383</v>
      </c>
      <c r="DW11" s="738" t="s">
        <v>6384</v>
      </c>
      <c r="DX11" s="738" t="s">
        <v>6377</v>
      </c>
      <c r="DY11" s="738" t="s">
        <v>6378</v>
      </c>
      <c r="DZ11" s="738" t="s">
        <v>6379</v>
      </c>
      <c r="EA11" s="738" t="s">
        <v>6380</v>
      </c>
      <c r="EB11" s="738" t="s">
        <v>6385</v>
      </c>
      <c r="EC11" s="738" t="s">
        <v>6386</v>
      </c>
      <c r="ED11" s="738" t="s">
        <v>6387</v>
      </c>
      <c r="EE11" s="738" t="s">
        <v>6388</v>
      </c>
      <c r="EF11" s="372"/>
      <c r="EG11" s="372"/>
    </row>
    <row r="12" spans="2:145" x14ac:dyDescent="0.25">
      <c r="B12" s="426"/>
      <c r="C12" s="752" t="s">
        <v>8297</v>
      </c>
      <c r="F12" s="749" t="s">
        <v>232</v>
      </c>
      <c r="G12" s="732" t="s">
        <v>5982</v>
      </c>
      <c r="H12" s="735" t="str">
        <f t="shared" si="4"/>
        <v>'PT&amp;IA'!J11:J25</v>
      </c>
      <c r="I12" s="25">
        <f ca="1">COUNTA(INDIRECT(H12))</f>
        <v>0</v>
      </c>
      <c r="AZ12" s="470" t="s">
        <v>6172</v>
      </c>
      <c r="BB12" s="22"/>
      <c r="BC12" s="750" t="s">
        <v>8297</v>
      </c>
      <c r="BG12" s="477" t="s">
        <v>391</v>
      </c>
      <c r="BH12" s="477" t="s">
        <v>294</v>
      </c>
      <c r="BI12" s="477" t="s">
        <v>7987</v>
      </c>
      <c r="BJ12" s="477" t="s">
        <v>7988</v>
      </c>
      <c r="BK12" s="753" t="s">
        <v>8327</v>
      </c>
      <c r="DA12" s="470" t="s">
        <v>6172</v>
      </c>
      <c r="DB12" s="22">
        <f ca="1">DW59</f>
        <v>0</v>
      </c>
      <c r="DC12" s="426" t="s">
        <v>6398</v>
      </c>
      <c r="DG12" s="739" t="s">
        <v>31</v>
      </c>
      <c r="DH12" s="751" t="s">
        <v>7664</v>
      </c>
      <c r="DI12" s="741">
        <f t="shared" ca="1" si="1"/>
        <v>0</v>
      </c>
      <c r="DJ12" s="742" cm="1">
        <f t="array" aca="1" ref="DJ12" ca="1">INDIRECT($DH$3&amp;DH12,1)</f>
        <v>0</v>
      </c>
      <c r="DN12" s="597" t="s">
        <v>5778</v>
      </c>
      <c r="DO12" s="743" t="s">
        <v>7539</v>
      </c>
      <c r="DP12" s="746" t="s">
        <v>7616</v>
      </c>
      <c r="DQ12" s="746" t="s">
        <v>7617</v>
      </c>
      <c r="DR12" s="746" t="s">
        <v>7618</v>
      </c>
      <c r="DS12" s="746" t="s">
        <v>7619</v>
      </c>
      <c r="DT12" s="746" t="s">
        <v>7620</v>
      </c>
      <c r="DU12" s="746" t="s">
        <v>7621</v>
      </c>
      <c r="DV12" s="746" t="s">
        <v>7622</v>
      </c>
      <c r="DW12" s="746" t="s">
        <v>7623</v>
      </c>
      <c r="DX12" s="746" t="s">
        <v>7624</v>
      </c>
      <c r="DY12" s="746" t="s">
        <v>7625</v>
      </c>
      <c r="DZ12" s="746" t="s">
        <v>7626</v>
      </c>
      <c r="EA12" s="746" t="s">
        <v>7627</v>
      </c>
      <c r="EB12" s="746" t="s">
        <v>7628</v>
      </c>
      <c r="EC12" s="746" t="s">
        <v>7629</v>
      </c>
      <c r="ED12" s="746" t="s">
        <v>7630</v>
      </c>
      <c r="EE12" s="746" t="s">
        <v>7631</v>
      </c>
      <c r="EF12" s="372"/>
      <c r="EG12" s="372"/>
      <c r="EH12" s="372"/>
      <c r="EI12" s="372"/>
      <c r="EJ12" s="372"/>
      <c r="EK12" s="372"/>
      <c r="EM12" s="372"/>
      <c r="EN12" s="372"/>
      <c r="EO12" s="372"/>
    </row>
    <row r="13" spans="2:145" x14ac:dyDescent="0.25">
      <c r="B13" s="426"/>
      <c r="C13" s="752" t="s">
        <v>8297</v>
      </c>
      <c r="F13" s="749" t="s">
        <v>6122</v>
      </c>
      <c r="G13" s="732" t="s">
        <v>6157</v>
      </c>
      <c r="H13" s="735" t="str">
        <f t="shared" si="4"/>
        <v>'PT&amp;IA'!K11:K25</v>
      </c>
      <c r="I13" s="25">
        <f ca="1">COUNTA(INDIRECT(H13))</f>
        <v>0</v>
      </c>
      <c r="AZ13" s="470" t="s">
        <v>6172</v>
      </c>
      <c r="BB13" s="22"/>
      <c r="BC13" s="750" t="s">
        <v>8297</v>
      </c>
      <c r="BF13" s="735">
        <f>BH4</f>
        <v>20</v>
      </c>
      <c r="BG13" s="754" t="str" cm="1">
        <f t="array" aca="1" ref="BG13:BG32" ca="1">INDIRECT(BI6)</f>
        <v>Aparência, cor, odor e estado físico</v>
      </c>
      <c r="BH13" s="754" cm="1">
        <f t="array" aca="1" ref="BH13" ca="1">INDIRECT($BH$3&amp;$BH$7&amp;BF13)</f>
        <v>0</v>
      </c>
      <c r="BI13" s="754" cm="1">
        <f t="array" aca="1" ref="BI13" ca="1">INDIRECT($BH$3&amp;$BH$8&amp;BF13)</f>
        <v>0</v>
      </c>
      <c r="BJ13" s="754" cm="1">
        <f t="array" aca="1" ref="BJ13" ca="1">INDIRECT($BH$3&amp;$BH$9&amp;BF13)</f>
        <v>0</v>
      </c>
      <c r="BK13" s="754">
        <f ca="1">IF(
OR(
 AND(BH13&lt;&gt;0,BI13&lt;&gt;0),
 BJ13&lt;&gt;0),
1,0)</f>
        <v>0</v>
      </c>
      <c r="BM13" s="755" t="s">
        <v>7946</v>
      </c>
      <c r="BN13" s="755" t="s">
        <v>7352</v>
      </c>
      <c r="DA13" s="470" t="s">
        <v>6172</v>
      </c>
      <c r="DB13" s="22">
        <f ca="1">DW60</f>
        <v>0</v>
      </c>
      <c r="DC13" s="426" t="s">
        <v>7911</v>
      </c>
      <c r="DG13" s="739" t="s">
        <v>5720</v>
      </c>
      <c r="DH13" s="741" t="s">
        <v>5797</v>
      </c>
      <c r="DI13" s="741">
        <f t="shared" ca="1" si="1"/>
        <v>0</v>
      </c>
      <c r="DJ13" s="742" cm="1">
        <f t="array" aca="1" ref="DJ13" ca="1">INDIRECT($DH$3&amp;DH13,1)</f>
        <v>0</v>
      </c>
      <c r="DN13" s="597" t="s">
        <v>6222</v>
      </c>
      <c r="DO13" s="744">
        <f t="shared" ref="DO13:EE13" ca="1" si="6">COUNTA(INDIRECT($DH$3&amp;DO12,1))</f>
        <v>0</v>
      </c>
      <c r="DP13" s="744">
        <f t="shared" ca="1" si="6"/>
        <v>0</v>
      </c>
      <c r="DQ13" s="744">
        <f t="shared" ca="1" si="6"/>
        <v>0</v>
      </c>
      <c r="DR13" s="744">
        <f t="shared" ca="1" si="6"/>
        <v>0</v>
      </c>
      <c r="DS13" s="744">
        <f t="shared" ca="1" si="6"/>
        <v>0</v>
      </c>
      <c r="DT13" s="744">
        <f t="shared" ca="1" si="6"/>
        <v>0</v>
      </c>
      <c r="DU13" s="744">
        <f t="shared" ca="1" si="6"/>
        <v>0</v>
      </c>
      <c r="DV13" s="744">
        <f t="shared" ca="1" si="6"/>
        <v>0</v>
      </c>
      <c r="DW13" s="744">
        <f t="shared" ca="1" si="6"/>
        <v>0</v>
      </c>
      <c r="DX13" s="744">
        <f t="shared" ca="1" si="6"/>
        <v>0</v>
      </c>
      <c r="DY13" s="744">
        <f t="shared" ca="1" si="6"/>
        <v>0</v>
      </c>
      <c r="DZ13" s="744">
        <f t="shared" ca="1" si="6"/>
        <v>0</v>
      </c>
      <c r="EA13" s="744">
        <f t="shared" ca="1" si="6"/>
        <v>0</v>
      </c>
      <c r="EB13" s="744">
        <f t="shared" ca="1" si="6"/>
        <v>0</v>
      </c>
      <c r="EC13" s="744">
        <f t="shared" ca="1" si="6"/>
        <v>0</v>
      </c>
      <c r="ED13" s="744">
        <f t="shared" ca="1" si="6"/>
        <v>0</v>
      </c>
      <c r="EE13" s="744">
        <f t="shared" ca="1" si="6"/>
        <v>0</v>
      </c>
      <c r="EF13" s="372"/>
      <c r="EG13" s="372"/>
      <c r="EH13" s="372"/>
      <c r="EI13" s="372"/>
      <c r="EJ13" s="372"/>
      <c r="EK13" s="372"/>
      <c r="EL13" s="372"/>
      <c r="EM13" s="372"/>
      <c r="EN13" s="372"/>
      <c r="EO13" s="372"/>
    </row>
    <row r="14" spans="2:145" x14ac:dyDescent="0.25">
      <c r="B14" s="426"/>
      <c r="C14" s="752" t="s">
        <v>8297</v>
      </c>
      <c r="AZ14" s="470" t="s">
        <v>6172</v>
      </c>
      <c r="BB14" s="22"/>
      <c r="BC14" s="750" t="s">
        <v>8297</v>
      </c>
      <c r="BF14" s="735">
        <f>BF13+1</f>
        <v>21</v>
      </c>
      <c r="BG14" s="754" t="str">
        <f ca="1"/>
        <v>Estabilidade térmica e ao ar</v>
      </c>
      <c r="BH14" s="754" cm="1">
        <f t="array" aca="1" ref="BH14" ca="1">INDIRECT($BH$3&amp;$BH$7&amp;BF14)</f>
        <v>0</v>
      </c>
      <c r="BI14" s="754" cm="1">
        <f t="array" aca="1" ref="BI14" ca="1">INDIRECT($BH$3&amp;$BH$8&amp;BF14)</f>
        <v>0</v>
      </c>
      <c r="BJ14" s="754" cm="1">
        <f t="array" aca="1" ref="BJ14" ca="1">INDIRECT($BH$3&amp;$BH$9&amp;BF14)</f>
        <v>0</v>
      </c>
      <c r="BK14" s="754">
        <f t="shared" ref="BK14:BK32" ca="1" si="7">IF(
OR(
 AND(BH14&lt;&gt;0,BI14&lt;&gt;0),
 BJ14&lt;&gt;0),
1,0)</f>
        <v>0</v>
      </c>
      <c r="BM14" s="754" t="s">
        <v>125</v>
      </c>
      <c r="BN14" s="754">
        <f t="shared" ref="BN14:BN22" ca="1" si="8">COUNTIF(_xlfn.ANCHORARRAY($BG$13),BM14)</f>
        <v>1</v>
      </c>
      <c r="DA14" s="470" t="s">
        <v>6172</v>
      </c>
      <c r="DB14" s="22">
        <f ca="1">DW61</f>
        <v>0</v>
      </c>
      <c r="DC14" s="426" t="s">
        <v>6399</v>
      </c>
      <c r="DG14" s="739" t="s">
        <v>147</v>
      </c>
      <c r="DH14" s="741" t="s">
        <v>7385</v>
      </c>
      <c r="DI14" s="741">
        <f t="shared" ca="1" si="1"/>
        <v>0</v>
      </c>
      <c r="DJ14" s="742" cm="1">
        <f t="array" aca="1" ref="DJ14" ca="1">INDIRECT($DH$3&amp;DH14,1)</f>
        <v>0</v>
      </c>
      <c r="DN14" s="597" t="s">
        <v>6133</v>
      </c>
      <c r="DO14" s="744" cm="1">
        <f t="array" aca="1" ref="DO14" ca="1">INDIRECT($DH$3&amp;DO12,1)</f>
        <v>0</v>
      </c>
      <c r="DP14" s="747"/>
      <c r="DQ14" s="747"/>
      <c r="DR14" s="747"/>
      <c r="DS14" s="747"/>
      <c r="DT14" s="747"/>
      <c r="DU14" s="747"/>
      <c r="DV14" s="747"/>
      <c r="DW14" s="747"/>
      <c r="DX14" s="747"/>
      <c r="DY14" s="747"/>
      <c r="DZ14" s="747"/>
      <c r="EA14" s="747"/>
      <c r="EB14" s="747"/>
      <c r="EC14" s="747"/>
      <c r="ED14" s="747"/>
      <c r="EE14" s="747"/>
      <c r="EF14" s="372"/>
      <c r="EG14" s="372"/>
      <c r="EH14" s="372"/>
      <c r="EI14" s="372"/>
      <c r="EJ14" s="372"/>
      <c r="EK14" s="372"/>
      <c r="EL14" s="372"/>
      <c r="EM14" s="372"/>
      <c r="EN14" s="372"/>
      <c r="EO14" s="372"/>
    </row>
    <row r="15" spans="2:145" x14ac:dyDescent="0.25">
      <c r="B15" s="426"/>
      <c r="C15" s="752" t="s">
        <v>8297</v>
      </c>
      <c r="AZ15" s="470" t="s">
        <v>6172</v>
      </c>
      <c r="BB15" s="22"/>
      <c r="BC15" s="750" t="s">
        <v>8297</v>
      </c>
      <c r="BF15" s="735">
        <f t="shared" ref="BF15:BF32" si="9">BF14+1</f>
        <v>22</v>
      </c>
      <c r="BG15" s="754" t="str">
        <f ca="1"/>
        <v>Ponto de fulgor</v>
      </c>
      <c r="BH15" s="754" cm="1">
        <f t="array" aca="1" ref="BH15" ca="1">INDIRECT($BH$3&amp;$BH$7&amp;BF15)</f>
        <v>0</v>
      </c>
      <c r="BI15" s="754" cm="1">
        <f t="array" aca="1" ref="BI15" ca="1">INDIRECT($BH$3&amp;$BH$8&amp;BF15)</f>
        <v>0</v>
      </c>
      <c r="BJ15" s="754" cm="1">
        <f t="array" aca="1" ref="BJ15" ca="1">INDIRECT($BH$3&amp;$BH$9&amp;BF15)</f>
        <v>0</v>
      </c>
      <c r="BK15" s="754">
        <f t="shared" ca="1" si="7"/>
        <v>0</v>
      </c>
      <c r="BM15" s="754" t="s">
        <v>19</v>
      </c>
      <c r="BN15" s="754">
        <f t="shared" ca="1" si="8"/>
        <v>1</v>
      </c>
      <c r="DA15" s="470" t="s">
        <v>6172</v>
      </c>
      <c r="DB15" s="22">
        <f ca="1">DW62</f>
        <v>0</v>
      </c>
      <c r="DC15" s="426" t="s">
        <v>6400</v>
      </c>
      <c r="DG15" s="739" t="s">
        <v>124</v>
      </c>
      <c r="DH15" s="741" t="s">
        <v>7406</v>
      </c>
      <c r="DI15" s="741">
        <f t="shared" ca="1" si="1"/>
        <v>0</v>
      </c>
      <c r="DJ15" s="742" cm="1">
        <f t="array" aca="1" ref="DJ15" ca="1">INDIRECT($DH$3&amp;DH15,1)</f>
        <v>0</v>
      </c>
      <c r="EF15" s="372"/>
      <c r="EL15" s="372"/>
      <c r="EM15" s="372"/>
      <c r="EN15" s="372"/>
      <c r="EO15" s="372"/>
    </row>
    <row r="16" spans="2:145" x14ac:dyDescent="0.25">
      <c r="G16" s="756" t="s">
        <v>6120</v>
      </c>
      <c r="H16" s="753" t="s">
        <v>6121</v>
      </c>
      <c r="AZ16" s="470" t="s">
        <v>6172</v>
      </c>
      <c r="BB16" s="22"/>
      <c r="BC16" s="750" t="s">
        <v>8297</v>
      </c>
      <c r="BF16" s="735">
        <f t="shared" si="9"/>
        <v>23</v>
      </c>
      <c r="BG16" s="754" t="str">
        <f ca="1"/>
        <v>Miscibilidade em água e outros solventes</v>
      </c>
      <c r="BH16" s="754" cm="1">
        <f t="array" aca="1" ref="BH16" ca="1">INDIRECT($BH$3&amp;$BH$7&amp;BF16)</f>
        <v>0</v>
      </c>
      <c r="BI16" s="754" cm="1">
        <f t="array" aca="1" ref="BI16" ca="1">INDIRECT($BH$3&amp;$BH$8&amp;BF16)</f>
        <v>0</v>
      </c>
      <c r="BJ16" s="754" cm="1">
        <f t="array" aca="1" ref="BJ16" ca="1">INDIRECT($BH$3&amp;$BH$9&amp;BF16)</f>
        <v>0</v>
      </c>
      <c r="BK16" s="754">
        <f t="shared" ca="1" si="7"/>
        <v>0</v>
      </c>
      <c r="BM16" s="754" t="s">
        <v>20</v>
      </c>
      <c r="BN16" s="754">
        <f t="shared" ca="1" si="8"/>
        <v>1</v>
      </c>
      <c r="DA16" s="470" t="s">
        <v>6172</v>
      </c>
      <c r="DB16" s="22">
        <f ca="1">DW63</f>
        <v>0</v>
      </c>
      <c r="DC16" s="426" t="s">
        <v>6401</v>
      </c>
      <c r="DG16" s="739" t="s">
        <v>86</v>
      </c>
      <c r="DH16" s="741" t="s">
        <v>7389</v>
      </c>
      <c r="DI16" s="741">
        <f t="shared" ca="1" si="1"/>
        <v>0</v>
      </c>
      <c r="DJ16" s="742" cm="1">
        <f t="array" aca="1" ref="DJ16" ca="1">INDIRECT($DH$3&amp;DH16,1)</f>
        <v>0</v>
      </c>
      <c r="EF16" s="372"/>
      <c r="EL16" s="372"/>
      <c r="EM16" s="372"/>
      <c r="EN16" s="372"/>
      <c r="EO16" s="372"/>
    </row>
    <row r="17" spans="2:145" x14ac:dyDescent="0.25">
      <c r="G17" s="426" t="s">
        <v>6123</v>
      </c>
      <c r="H17" s="525">
        <f ca="1">COUNTIF(INDIRECT($H$13,1),G17)</f>
        <v>0</v>
      </c>
      <c r="AZ17" s="470" t="s">
        <v>6172</v>
      </c>
      <c r="BB17" s="22"/>
      <c r="BC17" s="750" t="s">
        <v>8297</v>
      </c>
      <c r="BF17" s="735">
        <f t="shared" si="9"/>
        <v>24</v>
      </c>
      <c r="BG17" s="754" t="str">
        <f ca="1"/>
        <v>Potencial Hidrogeniônico (pH)</v>
      </c>
      <c r="BH17" s="754" cm="1">
        <f t="array" aca="1" ref="BH17" ca="1">INDIRECT($BH$3&amp;$BH$7&amp;BF17)</f>
        <v>0</v>
      </c>
      <c r="BI17" s="754" cm="1">
        <f t="array" aca="1" ref="BI17" ca="1">INDIRECT($BH$3&amp;$BH$8&amp;BF17)</f>
        <v>0</v>
      </c>
      <c r="BJ17" s="754" cm="1">
        <f t="array" aca="1" ref="BJ17" ca="1">INDIRECT($BH$3&amp;$BH$9&amp;BF17)</f>
        <v>0</v>
      </c>
      <c r="BK17" s="754">
        <f t="shared" ca="1" si="7"/>
        <v>0</v>
      </c>
      <c r="BM17" s="754" t="s">
        <v>234</v>
      </c>
      <c r="BN17" s="754">
        <f t="shared" ca="1" si="8"/>
        <v>1</v>
      </c>
      <c r="DA17" s="470" t="s">
        <v>6172</v>
      </c>
      <c r="DB17" s="22">
        <f ca="1">DW65</f>
        <v>0</v>
      </c>
      <c r="DC17" s="426" t="s">
        <v>8538</v>
      </c>
      <c r="DG17" s="739" t="s">
        <v>192</v>
      </c>
      <c r="DH17" s="741" t="s">
        <v>7409</v>
      </c>
      <c r="DI17" s="741">
        <f t="shared" ca="1" si="1"/>
        <v>0</v>
      </c>
      <c r="DJ17" s="742" cm="1">
        <f t="array" aca="1" ref="DJ17" ca="1">INDIRECT($DH$3&amp;DH17,1)</f>
        <v>0</v>
      </c>
      <c r="DN17" s="472"/>
      <c r="DO17" s="757" t="s">
        <v>6211</v>
      </c>
      <c r="DP17" s="525">
        <f ca="1">DW7</f>
        <v>0</v>
      </c>
      <c r="DS17" s="738" t="s">
        <v>6421</v>
      </c>
      <c r="DT17" s="738" t="s">
        <v>5724</v>
      </c>
      <c r="DU17" s="738" t="s">
        <v>6426</v>
      </c>
      <c r="DW17" s="738" t="s">
        <v>6001</v>
      </c>
      <c r="DZ17" s="469" t="s">
        <v>5744</v>
      </c>
      <c r="EA17" s="469" t="s">
        <v>6001</v>
      </c>
      <c r="EF17" s="2"/>
      <c r="EL17" s="2"/>
      <c r="EO17" s="372"/>
    </row>
    <row r="18" spans="2:145" x14ac:dyDescent="0.25">
      <c r="G18" s="426" t="s">
        <v>6124</v>
      </c>
      <c r="H18" s="525">
        <f ca="1">COUNTIF(INDIRECT($H$13,1),G18)</f>
        <v>0</v>
      </c>
      <c r="AZ18" s="470" t="s">
        <v>6172</v>
      </c>
      <c r="BB18" s="22"/>
      <c r="BC18" s="750" t="s">
        <v>8297</v>
      </c>
      <c r="BF18" s="735">
        <f t="shared" si="9"/>
        <v>25</v>
      </c>
      <c r="BG18" s="754" t="str">
        <f ca="1"/>
        <v>Densidade aparente ou específica</v>
      </c>
      <c r="BH18" s="754" cm="1">
        <f t="array" aca="1" ref="BH18" ca="1">INDIRECT($BH$3&amp;$BH$7&amp;BF18)</f>
        <v>0</v>
      </c>
      <c r="BI18" s="754" cm="1">
        <f t="array" aca="1" ref="BI18" ca="1">INDIRECT($BH$3&amp;$BH$8&amp;BF18)</f>
        <v>0</v>
      </c>
      <c r="BJ18" s="754" cm="1">
        <f t="array" aca="1" ref="BJ18" ca="1">INDIRECT($BH$3&amp;$BH$9&amp;BF18)</f>
        <v>0</v>
      </c>
      <c r="BK18" s="754">
        <f t="shared" ca="1" si="7"/>
        <v>0</v>
      </c>
      <c r="BM18" s="754" t="s">
        <v>21</v>
      </c>
      <c r="BN18" s="754">
        <f t="shared" ca="1" si="8"/>
        <v>1</v>
      </c>
      <c r="DA18" s="470" t="s">
        <v>6172</v>
      </c>
      <c r="DB18" s="22">
        <f ca="1">DW66</f>
        <v>0</v>
      </c>
      <c r="DC18" s="426" t="s">
        <v>6404</v>
      </c>
      <c r="DG18" s="739" t="s">
        <v>87</v>
      </c>
      <c r="DH18" s="741" t="s">
        <v>7410</v>
      </c>
      <c r="DI18" s="741">
        <f t="shared" ca="1" si="1"/>
        <v>0</v>
      </c>
      <c r="DJ18" s="742" cm="1">
        <f t="array" aca="1" ref="DJ18" ca="1">INDIRECT($DH$3&amp;DH18,1)</f>
        <v>0</v>
      </c>
      <c r="DN18" s="469"/>
      <c r="DO18" s="758" t="s">
        <v>6223</v>
      </c>
      <c r="DP18" s="759">
        <f ca="1">IF(DP17&lt;&gt;0,
IF(COUNTIF($M$65:$M$94,DP17)=0,1,0),0)</f>
        <v>0</v>
      </c>
      <c r="DQ18" s="20" t="s">
        <v>6212</v>
      </c>
      <c r="DS18" s="760" t="s">
        <v>5706</v>
      </c>
      <c r="DT18" s="760" t="s">
        <v>5721</v>
      </c>
      <c r="DU18" s="760" t="s">
        <v>5713</v>
      </c>
      <c r="DW18" s="761" t="s">
        <v>7675</v>
      </c>
      <c r="DY18" s="20" t="s">
        <v>6002</v>
      </c>
      <c r="DZ18" s="587">
        <f ca="1">DV7</f>
        <v>0</v>
      </c>
      <c r="EO18" s="372"/>
    </row>
    <row r="19" spans="2:145" x14ac:dyDescent="0.25">
      <c r="G19" s="426" t="s">
        <v>6125</v>
      </c>
      <c r="H19" s="525">
        <f ca="1">COUNTIF(INDIRECT($H$13,1),G19)</f>
        <v>0</v>
      </c>
      <c r="AZ19" s="470" t="s">
        <v>6172</v>
      </c>
      <c r="BB19" s="22"/>
      <c r="BC19" s="750" t="s">
        <v>8297</v>
      </c>
      <c r="BF19" s="735">
        <f t="shared" si="9"/>
        <v>26</v>
      </c>
      <c r="BG19" s="754" t="str">
        <f ca="1"/>
        <v>Volatilidade</v>
      </c>
      <c r="BH19" s="754" cm="1">
        <f t="array" aca="1" ref="BH19" ca="1">INDIRECT($BH$3&amp;$BH$7&amp;BF19)</f>
        <v>0</v>
      </c>
      <c r="BI19" s="754" cm="1">
        <f t="array" aca="1" ref="BI19" ca="1">INDIRECT($BH$3&amp;$BH$8&amp;BF19)</f>
        <v>0</v>
      </c>
      <c r="BJ19" s="754" cm="1">
        <f t="array" aca="1" ref="BJ19" ca="1">INDIRECT($BH$3&amp;$BH$9&amp;BF19)</f>
        <v>0</v>
      </c>
      <c r="BK19" s="754">
        <f t="shared" ca="1" si="7"/>
        <v>0</v>
      </c>
      <c r="BM19" s="754" t="s">
        <v>22</v>
      </c>
      <c r="BN19" s="754">
        <f t="shared" ca="1" si="8"/>
        <v>1</v>
      </c>
      <c r="DA19" s="470" t="s">
        <v>6172</v>
      </c>
      <c r="DB19" s="22">
        <f ca="1">DW67</f>
        <v>0</v>
      </c>
      <c r="DC19" s="426" t="s">
        <v>6405</v>
      </c>
      <c r="DG19" s="739" t="s">
        <v>148</v>
      </c>
      <c r="DH19" s="741" t="s">
        <v>7412</v>
      </c>
      <c r="DI19" s="741">
        <f t="shared" ca="1" si="1"/>
        <v>0</v>
      </c>
      <c r="DJ19" s="742" cm="1">
        <f t="array" aca="1" ref="DJ19" ca="1">INDIRECT($DH$3&amp;DH19,1)</f>
        <v>0</v>
      </c>
      <c r="DN19" s="472"/>
      <c r="DO19" s="757" t="s">
        <v>6178</v>
      </c>
      <c r="DP19" s="525">
        <f ca="1">IFERROR(VLOOKUP(DP17,$M$65:$P$94,4,0),0)</f>
        <v>0</v>
      </c>
      <c r="DS19" s="760" t="s">
        <v>5707</v>
      </c>
      <c r="DT19" s="760" t="s">
        <v>5722</v>
      </c>
      <c r="DU19" s="760" t="s">
        <v>5714</v>
      </c>
      <c r="DY19" s="20" t="s">
        <v>6000</v>
      </c>
      <c r="DZ19" s="501" t="str">
        <f ca="1">IF(DZ18&lt;&gt;"",IF(DZ18&lt;=EA19,"sim","não"),"")</f>
        <v>sim</v>
      </c>
      <c r="EA19" s="588">
        <v>40178</v>
      </c>
      <c r="EO19" s="372"/>
    </row>
    <row r="20" spans="2:145" x14ac:dyDescent="0.25">
      <c r="G20" s="426"/>
      <c r="H20" s="426"/>
      <c r="AZ20" s="470" t="s">
        <v>6172</v>
      </c>
      <c r="BF20" s="735">
        <f t="shared" si="9"/>
        <v>27</v>
      </c>
      <c r="BG20" s="754" t="str">
        <f ca="1"/>
        <v>Distribuição do tamanho das partículas</v>
      </c>
      <c r="BH20" s="754" cm="1">
        <f t="array" aca="1" ref="BH20" ca="1">INDIRECT($BH$3&amp;$BH$7&amp;BF20)</f>
        <v>0</v>
      </c>
      <c r="BI20" s="754" cm="1">
        <f t="array" aca="1" ref="BI20" ca="1">INDIRECT($BH$3&amp;$BH$8&amp;BF20)</f>
        <v>0</v>
      </c>
      <c r="BJ20" s="754" cm="1">
        <f t="array" aca="1" ref="BJ20" ca="1">INDIRECT($BH$3&amp;$BH$9&amp;BF20)</f>
        <v>0</v>
      </c>
      <c r="BK20" s="754">
        <f t="shared" ca="1" si="7"/>
        <v>0</v>
      </c>
      <c r="BM20" s="754" t="s">
        <v>23</v>
      </c>
      <c r="BN20" s="754">
        <f t="shared" ca="1" si="8"/>
        <v>1</v>
      </c>
      <c r="DA20" s="470" t="s">
        <v>6172</v>
      </c>
      <c r="DB20" s="22">
        <f t="shared" ref="DB20:DB30" si="10">EG18</f>
        <v>0</v>
      </c>
      <c r="DC20" s="426" t="s">
        <v>6406</v>
      </c>
      <c r="DG20" s="739" t="s">
        <v>349</v>
      </c>
      <c r="DH20" s="741" t="s">
        <v>7665</v>
      </c>
      <c r="DI20" s="741">
        <f t="shared" ca="1" si="1"/>
        <v>0</v>
      </c>
      <c r="DJ20" s="742" cm="1">
        <f t="array" aca="1" ref="DJ20" ca="1">INDIRECT($DH$3&amp;DH20,1)</f>
        <v>0</v>
      </c>
      <c r="DN20" s="472"/>
      <c r="DO20" s="757" t="s">
        <v>6213</v>
      </c>
      <c r="DP20" s="525">
        <f ca="1">DV7</f>
        <v>0</v>
      </c>
      <c r="DS20" s="762" t="s">
        <v>5708</v>
      </c>
      <c r="DT20" s="762" t="s">
        <v>5723</v>
      </c>
      <c r="DU20" s="762" t="s">
        <v>5715</v>
      </c>
      <c r="DV20" s="372"/>
      <c r="DW20" s="372"/>
      <c r="DX20" s="372"/>
      <c r="DY20" s="372"/>
      <c r="DZ20" s="372"/>
      <c r="EA20" s="372"/>
      <c r="EB20" s="372"/>
      <c r="EC20" s="372"/>
      <c r="ED20" s="372"/>
      <c r="EE20" s="372"/>
      <c r="EO20" s="372"/>
    </row>
    <row r="21" spans="2:145" x14ac:dyDescent="0.25">
      <c r="G21" s="426"/>
      <c r="H21" s="426"/>
      <c r="AZ21" s="470" t="s">
        <v>6172</v>
      </c>
      <c r="BF21" s="735">
        <f t="shared" si="9"/>
        <v>28</v>
      </c>
      <c r="BG21" s="754" t="str">
        <f ca="1"/>
        <v>Viscosidade em líquidos</v>
      </c>
      <c r="BH21" s="754" cm="1">
        <f t="array" aca="1" ref="BH21" ca="1">INDIRECT($BH$3&amp;$BH$7&amp;BF21)</f>
        <v>0</v>
      </c>
      <c r="BI21" s="754" cm="1">
        <f t="array" aca="1" ref="BI21" ca="1">INDIRECT($BH$3&amp;$BH$8&amp;BF21)</f>
        <v>0</v>
      </c>
      <c r="BJ21" s="754" cm="1">
        <f t="array" aca="1" ref="BJ21" ca="1">INDIRECT($BH$3&amp;$BH$9&amp;BF21)</f>
        <v>0</v>
      </c>
      <c r="BK21" s="754">
        <f t="shared" ca="1" si="7"/>
        <v>0</v>
      </c>
      <c r="BM21" s="754" t="s">
        <v>24</v>
      </c>
      <c r="BN21" s="754">
        <f t="shared" ca="1" si="8"/>
        <v>1</v>
      </c>
      <c r="DA21" s="470" t="s">
        <v>6172</v>
      </c>
      <c r="DB21" s="22">
        <f t="shared" si="10"/>
        <v>0</v>
      </c>
      <c r="DC21" s="426" t="s">
        <v>6407</v>
      </c>
      <c r="DG21" s="739" t="s">
        <v>351</v>
      </c>
      <c r="DH21" s="740" t="s">
        <v>7666</v>
      </c>
      <c r="DI21" s="741">
        <f t="shared" ca="1" si="1"/>
        <v>0</v>
      </c>
      <c r="DJ21" s="742" cm="1">
        <f t="array" aca="1" ref="DJ21" ca="1">INDIRECT($DH$3&amp;DH21,1)</f>
        <v>0</v>
      </c>
      <c r="DN21" s="469"/>
      <c r="DO21" s="758" t="s">
        <v>6179</v>
      </c>
      <c r="DP21" s="759">
        <f ca="1">IF(DP18&lt;&gt;1,
IF((DP19-DP20)&lt;0,1,0),
0)</f>
        <v>0</v>
      </c>
      <c r="DQ21" s="20" t="s">
        <v>6180</v>
      </c>
      <c r="DS21" s="372"/>
      <c r="DT21" s="372"/>
      <c r="DU21" s="372"/>
      <c r="DV21" s="372"/>
      <c r="DW21" s="372"/>
      <c r="DX21" s="372"/>
      <c r="DY21" s="372"/>
      <c r="DZ21" s="372"/>
      <c r="EA21" s="372"/>
      <c r="EB21" s="372"/>
      <c r="EC21" s="372"/>
      <c r="ED21" s="372"/>
      <c r="EE21" s="372"/>
      <c r="EO21" s="372"/>
    </row>
    <row r="22" spans="2:145" x14ac:dyDescent="0.25">
      <c r="F22" s="645"/>
      <c r="G22" s="763" t="s">
        <v>7841</v>
      </c>
      <c r="H22" s="759">
        <f ca="1">IF(COUNTIF(H17:H19,"&gt;0")&gt;0,1,0)</f>
        <v>0</v>
      </c>
      <c r="I22" s="20" t="s">
        <v>8292</v>
      </c>
      <c r="AZ22" s="470" t="s">
        <v>6172</v>
      </c>
      <c r="BF22" s="735">
        <f t="shared" si="9"/>
        <v>29</v>
      </c>
      <c r="BG22" s="754" t="str">
        <f ca="1"/>
        <v>Informar novo estudo</v>
      </c>
      <c r="BH22" s="754" cm="1">
        <f t="array" aca="1" ref="BH22" ca="1">INDIRECT($BH$3&amp;$BH$7&amp;BF22)</f>
        <v>0</v>
      </c>
      <c r="BI22" s="754" cm="1">
        <f t="array" aca="1" ref="BI22" ca="1">INDIRECT($BH$3&amp;$BH$8&amp;BF22)</f>
        <v>0</v>
      </c>
      <c r="BJ22" s="754" cm="1">
        <f t="array" aca="1" ref="BJ22" ca="1">INDIRECT($BH$3&amp;$BH$9&amp;BF22)</f>
        <v>0</v>
      </c>
      <c r="BK22" s="754">
        <f t="shared" ca="1" si="7"/>
        <v>0</v>
      </c>
      <c r="BM22" s="754" t="s">
        <v>25</v>
      </c>
      <c r="BN22" s="754">
        <f t="shared" ca="1" si="8"/>
        <v>1</v>
      </c>
      <c r="DA22" s="470" t="s">
        <v>6172</v>
      </c>
      <c r="DB22" s="22">
        <f t="shared" si="10"/>
        <v>0</v>
      </c>
      <c r="DC22" s="426" t="s">
        <v>6408</v>
      </c>
      <c r="DG22" s="764" t="s">
        <v>293</v>
      </c>
      <c r="DH22" s="765" t="s">
        <v>7613</v>
      </c>
      <c r="DI22" s="765">
        <f t="shared" ca="1" si="1"/>
        <v>0</v>
      </c>
      <c r="DJ22" s="766"/>
      <c r="DN22" s="469"/>
      <c r="DO22" s="758" t="s">
        <v>7354</v>
      </c>
      <c r="DP22" s="759">
        <f ca="1">IF(COUNTIFS($M$65:$M$94,DP17,$AA$65:$AA$94,2)&gt;0,1,0)</f>
        <v>0</v>
      </c>
      <c r="DQ22" s="20" t="s">
        <v>7355</v>
      </c>
      <c r="EL22" s="2"/>
      <c r="EM22" s="2"/>
      <c r="EN22" s="2"/>
    </row>
    <row r="23" spans="2:145" x14ac:dyDescent="0.25">
      <c r="F23" s="645"/>
      <c r="G23" s="763" t="s">
        <v>7842</v>
      </c>
      <c r="H23" s="759" cm="1">
        <f t="array" aca="1" ref="H23" ca="1">IF(I8&lt;&gt;SUM(COUNTIF(tb_ingredientes[ingrediente_ativo],INDIRECT(H8,1))),1,0)</f>
        <v>0</v>
      </c>
      <c r="I23" s="20" t="s">
        <v>8293</v>
      </c>
      <c r="AZ23" s="470" t="s">
        <v>6172</v>
      </c>
      <c r="BF23" s="735">
        <f t="shared" si="9"/>
        <v>30</v>
      </c>
      <c r="BG23" s="754" t="str">
        <f ca="1"/>
        <v>Informar novo estudo</v>
      </c>
      <c r="BH23" s="754" cm="1">
        <f t="array" aca="1" ref="BH23" ca="1">INDIRECT($BH$3&amp;$BH$7&amp;BF23)</f>
        <v>0</v>
      </c>
      <c r="BI23" s="754" cm="1">
        <f t="array" aca="1" ref="BI23" ca="1">INDIRECT($BH$3&amp;$BH$8&amp;BF23)</f>
        <v>0</v>
      </c>
      <c r="BJ23" s="754" cm="1">
        <f t="array" aca="1" ref="BJ23" ca="1">INDIRECT($BH$3&amp;$BH$9&amp;BF23)</f>
        <v>0</v>
      </c>
      <c r="BK23" s="754">
        <f t="shared" ca="1" si="7"/>
        <v>0</v>
      </c>
      <c r="DA23" s="470" t="s">
        <v>6172</v>
      </c>
      <c r="DB23" s="22">
        <f t="shared" si="10"/>
        <v>0</v>
      </c>
      <c r="DC23" s="426" t="s">
        <v>6409</v>
      </c>
      <c r="DG23" s="764" t="s">
        <v>301</v>
      </c>
      <c r="DH23" s="765" t="s">
        <v>7614</v>
      </c>
      <c r="DI23" s="765">
        <f t="shared" ca="1" si="1"/>
        <v>0</v>
      </c>
      <c r="DJ23" s="766"/>
      <c r="DN23" s="469"/>
      <c r="DO23" s="758" t="s">
        <v>7356</v>
      </c>
      <c r="DP23" s="767">
        <f ca="1">IF(DR7="Não",1,0)</f>
        <v>0</v>
      </c>
      <c r="DQ23" s="20" t="s">
        <v>7357</v>
      </c>
    </row>
    <row r="24" spans="2:145" x14ac:dyDescent="0.25">
      <c r="AZ24" s="470" t="s">
        <v>6172</v>
      </c>
      <c r="BF24" s="735">
        <f t="shared" si="9"/>
        <v>31</v>
      </c>
      <c r="BG24" s="754" t="str">
        <f ca="1"/>
        <v>Informar novo estudo</v>
      </c>
      <c r="BH24" s="754" cm="1">
        <f t="array" aca="1" ref="BH24" ca="1">INDIRECT($BH$3&amp;$BH$7&amp;BF24)</f>
        <v>0</v>
      </c>
      <c r="BI24" s="754" cm="1">
        <f t="array" aca="1" ref="BI24" ca="1">INDIRECT($BH$3&amp;$BH$8&amp;BF24)</f>
        <v>0</v>
      </c>
      <c r="BJ24" s="754" cm="1">
        <f t="array" aca="1" ref="BJ24" ca="1">INDIRECT($BH$3&amp;$BH$9&amp;BF24)</f>
        <v>0</v>
      </c>
      <c r="BK24" s="754">
        <f t="shared" ca="1" si="7"/>
        <v>0</v>
      </c>
      <c r="DA24" s="470" t="s">
        <v>6172</v>
      </c>
      <c r="DB24" s="22">
        <f t="shared" si="10"/>
        <v>0</v>
      </c>
      <c r="DC24" s="426" t="s">
        <v>6410</v>
      </c>
      <c r="DG24" s="764" t="s">
        <v>302</v>
      </c>
      <c r="DH24" s="765" t="s">
        <v>7615</v>
      </c>
      <c r="DI24" s="765">
        <f t="shared" ca="1" si="1"/>
        <v>0</v>
      </c>
      <c r="DJ24" s="766"/>
      <c r="DN24" s="469"/>
      <c r="DO24" s="758" t="s">
        <v>6067</v>
      </c>
      <c r="DP24" s="767">
        <f ca="1">IF(EL7=2,1,0)</f>
        <v>0</v>
      </c>
    </row>
    <row r="25" spans="2:145" x14ac:dyDescent="0.25">
      <c r="AZ25" s="470" t="s">
        <v>6172</v>
      </c>
      <c r="BF25" s="735">
        <f t="shared" si="9"/>
        <v>32</v>
      </c>
      <c r="BG25" s="754" t="str">
        <f ca="1"/>
        <v>Informar novo estudo</v>
      </c>
      <c r="BH25" s="754" cm="1">
        <f t="array" aca="1" ref="BH25" ca="1">INDIRECT($BH$3&amp;$BH$7&amp;BF25)</f>
        <v>0</v>
      </c>
      <c r="BI25" s="754" cm="1">
        <f t="array" aca="1" ref="BI25" ca="1">INDIRECT($BH$3&amp;$BH$8&amp;BF25)</f>
        <v>0</v>
      </c>
      <c r="BJ25" s="754" cm="1">
        <f t="array" aca="1" ref="BJ25" ca="1">INDIRECT($BH$3&amp;$BH$9&amp;BF25)</f>
        <v>0</v>
      </c>
      <c r="BK25" s="754">
        <f t="shared" ca="1" si="7"/>
        <v>0</v>
      </c>
      <c r="DA25" s="470" t="s">
        <v>6172</v>
      </c>
      <c r="DB25" s="22">
        <f t="shared" si="10"/>
        <v>0</v>
      </c>
      <c r="DC25" s="426" t="s">
        <v>6411</v>
      </c>
      <c r="DG25" s="739" t="s">
        <v>6242</v>
      </c>
      <c r="DH25" s="740" t="s">
        <v>5729</v>
      </c>
      <c r="DI25" s="741">
        <f t="shared" ca="1" si="1"/>
        <v>0</v>
      </c>
      <c r="DJ25" s="742" cm="1">
        <f t="array" aca="1" ref="DJ25" ca="1">INDIRECT($DH$3&amp;DH25,1)</f>
        <v>0</v>
      </c>
      <c r="DN25" s="469"/>
      <c r="DO25" s="758" t="s">
        <v>7360</v>
      </c>
      <c r="DP25" s="767">
        <f ca="1">IF(EL7=2,
IF(COUNTIF(INDIRECT(DH3&amp;EH5,1),"sim")&gt;0,1,0),
0)</f>
        <v>0</v>
      </c>
      <c r="DQ25" s="20" t="s">
        <v>7361</v>
      </c>
    </row>
    <row r="26" spans="2:145" x14ac:dyDescent="0.25">
      <c r="AZ26" s="470" t="s">
        <v>6172</v>
      </c>
      <c r="BF26" s="735">
        <f t="shared" si="9"/>
        <v>33</v>
      </c>
      <c r="BG26" s="754" t="str">
        <f ca="1"/>
        <v>Informar novo estudo</v>
      </c>
      <c r="BH26" s="754" cm="1">
        <f t="array" aca="1" ref="BH26" ca="1">INDIRECT($BH$3&amp;$BH$7&amp;BF26)</f>
        <v>0</v>
      </c>
      <c r="BI26" s="754" cm="1">
        <f t="array" aca="1" ref="BI26" ca="1">INDIRECT($BH$3&amp;$BH$8&amp;BF26)</f>
        <v>0</v>
      </c>
      <c r="BJ26" s="754" cm="1">
        <f t="array" aca="1" ref="BJ26" ca="1">INDIRECT($BH$3&amp;$BH$9&amp;BF26)</f>
        <v>0</v>
      </c>
      <c r="BK26" s="754">
        <f t="shared" ca="1" si="7"/>
        <v>0</v>
      </c>
      <c r="DA26" s="470" t="s">
        <v>6172</v>
      </c>
      <c r="DB26" s="22">
        <f t="shared" si="10"/>
        <v>0</v>
      </c>
      <c r="DC26" s="426" t="s">
        <v>6412</v>
      </c>
      <c r="DG26" s="739" t="s">
        <v>143</v>
      </c>
      <c r="DH26" s="740" t="s">
        <v>7667</v>
      </c>
      <c r="DI26" s="741">
        <f t="shared" ca="1" si="1"/>
        <v>0</v>
      </c>
      <c r="DJ26" s="742" cm="1">
        <f t="array" aca="1" ref="DJ26" ca="1">INDIRECT($DH$3&amp;DH26,1)</f>
        <v>0</v>
      </c>
    </row>
    <row r="27" spans="2:145" x14ac:dyDescent="0.25">
      <c r="AZ27" s="470" t="s">
        <v>6172</v>
      </c>
      <c r="BF27" s="735">
        <f t="shared" si="9"/>
        <v>34</v>
      </c>
      <c r="BG27" s="754" t="str">
        <f ca="1"/>
        <v>Informar novo estudo</v>
      </c>
      <c r="BH27" s="754" cm="1">
        <f t="array" aca="1" ref="BH27" ca="1">INDIRECT($BH$3&amp;$BH$7&amp;BF27)</f>
        <v>0</v>
      </c>
      <c r="BI27" s="754" cm="1">
        <f t="array" aca="1" ref="BI27" ca="1">INDIRECT($BH$3&amp;$BH$8&amp;BF27)</f>
        <v>0</v>
      </c>
      <c r="BJ27" s="754" cm="1">
        <f t="array" aca="1" ref="BJ27" ca="1">INDIRECT($BH$3&amp;$BH$9&amp;BF27)</f>
        <v>0</v>
      </c>
      <c r="BK27" s="754">
        <f t="shared" ca="1" si="7"/>
        <v>0</v>
      </c>
      <c r="DA27" s="470" t="s">
        <v>6172</v>
      </c>
      <c r="DB27" s="22">
        <f t="shared" si="10"/>
        <v>0</v>
      </c>
      <c r="DC27" s="426" t="s">
        <v>6414</v>
      </c>
      <c r="DG27" s="739" t="s">
        <v>6189</v>
      </c>
      <c r="DH27" s="740" t="s">
        <v>7668</v>
      </c>
      <c r="DI27" s="741">
        <f t="shared" ca="1" si="1"/>
        <v>0</v>
      </c>
      <c r="DJ27" s="742" cm="1">
        <f t="array" aca="1" ref="DJ27" ca="1">INDIRECT($DH$3&amp;DH27,1)</f>
        <v>0</v>
      </c>
      <c r="DS27" s="372"/>
      <c r="DT27" s="372"/>
      <c r="DU27" s="372"/>
      <c r="DV27" s="372"/>
      <c r="DW27" s="372"/>
      <c r="DX27" s="372"/>
      <c r="DY27" s="372"/>
      <c r="DZ27" s="372"/>
      <c r="EA27" s="372"/>
      <c r="EB27" s="372"/>
      <c r="EC27" s="372"/>
      <c r="ED27" s="372"/>
      <c r="EE27" s="372"/>
      <c r="EO27" s="372"/>
    </row>
    <row r="28" spans="2:145" x14ac:dyDescent="0.25">
      <c r="AZ28" s="470" t="s">
        <v>6172</v>
      </c>
      <c r="BF28" s="735">
        <f t="shared" si="9"/>
        <v>35</v>
      </c>
      <c r="BG28" s="754" t="str">
        <f ca="1"/>
        <v>Informar novo estudo</v>
      </c>
      <c r="BH28" s="754" cm="1">
        <f t="array" aca="1" ref="BH28" ca="1">INDIRECT($BH$3&amp;$BH$7&amp;BF28)</f>
        <v>0</v>
      </c>
      <c r="BI28" s="754" cm="1">
        <f t="array" aca="1" ref="BI28" ca="1">INDIRECT($BH$3&amp;$BH$8&amp;BF28)</f>
        <v>0</v>
      </c>
      <c r="BJ28" s="754" cm="1">
        <f t="array" aca="1" ref="BJ28" ca="1">INDIRECT($BH$3&amp;$BH$9&amp;BF28)</f>
        <v>0</v>
      </c>
      <c r="BK28" s="754">
        <f t="shared" ca="1" si="7"/>
        <v>0</v>
      </c>
      <c r="DA28" s="470" t="s">
        <v>6172</v>
      </c>
      <c r="DB28" s="22">
        <f t="shared" si="10"/>
        <v>0</v>
      </c>
      <c r="DC28" s="426" t="s">
        <v>6413</v>
      </c>
      <c r="DG28" s="768" t="s">
        <v>6187</v>
      </c>
      <c r="DH28" s="769" t="s">
        <v>6389</v>
      </c>
      <c r="DI28" s="769">
        <f ca="1">COUNTA(INDIRECT(DH28,1))</f>
        <v>1</v>
      </c>
      <c r="DJ28" s="766" cm="1">
        <f t="array" aca="1" ref="DJ28" ca="1">INDIRECT(DH28,1)</f>
        <v>0</v>
      </c>
      <c r="DN28" s="469"/>
      <c r="DO28" s="758" t="s">
        <v>7669</v>
      </c>
      <c r="DP28" s="767">
        <f ca="1">IF(AND(DP20&gt;0,DP20&lt;=DW18),1,0)</f>
        <v>0</v>
      </c>
      <c r="DQ28" s="20" t="s">
        <v>7670</v>
      </c>
      <c r="DS28" s="372"/>
      <c r="DT28" s="372"/>
      <c r="DU28" s="372"/>
      <c r="DV28" s="372"/>
      <c r="DW28" s="372"/>
      <c r="DX28" s="372"/>
      <c r="DY28" s="372"/>
      <c r="DZ28" s="372"/>
      <c r="EA28" s="372"/>
      <c r="EB28" s="372"/>
      <c r="EC28" s="372"/>
      <c r="ED28" s="372"/>
      <c r="EE28" s="372"/>
      <c r="EO28" s="372"/>
    </row>
    <row r="29" spans="2:145" x14ac:dyDescent="0.25">
      <c r="AZ29" s="470" t="s">
        <v>6172</v>
      </c>
      <c r="BF29" s="735">
        <f t="shared" si="9"/>
        <v>36</v>
      </c>
      <c r="BG29" s="754" t="str">
        <f ca="1"/>
        <v>Informar novo estudo</v>
      </c>
      <c r="BH29" s="754" cm="1">
        <f t="array" aca="1" ref="BH29" ca="1">INDIRECT($BH$3&amp;$BH$7&amp;BF29)</f>
        <v>0</v>
      </c>
      <c r="BI29" s="754" cm="1">
        <f t="array" aca="1" ref="BI29" ca="1">INDIRECT($BH$3&amp;$BH$8&amp;BF29)</f>
        <v>0</v>
      </c>
      <c r="BJ29" s="754" cm="1">
        <f t="array" aca="1" ref="BJ29" ca="1">INDIRECT($BH$3&amp;$BH$9&amp;BF29)</f>
        <v>0</v>
      </c>
      <c r="BK29" s="754">
        <f t="shared" ca="1" si="7"/>
        <v>0</v>
      </c>
      <c r="DA29" s="470" t="s">
        <v>6172</v>
      </c>
      <c r="DB29" s="22">
        <f t="shared" si="10"/>
        <v>0</v>
      </c>
      <c r="DC29" s="426" t="s">
        <v>6415</v>
      </c>
      <c r="DF29" s="552" t="s">
        <v>5741</v>
      </c>
      <c r="DG29" s="770" t="s">
        <v>89</v>
      </c>
      <c r="DH29" s="771" t="s">
        <v>7417</v>
      </c>
      <c r="DI29" s="741">
        <f t="shared" ref="DI29:DI55" ca="1" si="11">COUNTA(INDIRECT($DH$3&amp;DH29,1))</f>
        <v>0</v>
      </c>
      <c r="DJ29" s="742" cm="1">
        <f t="array" aca="1" ref="DJ29" ca="1">INDIRECT($DH$3&amp;DH29,1)</f>
        <v>0</v>
      </c>
    </row>
    <row r="30" spans="2:145" ht="15.75" thickBot="1" x14ac:dyDescent="0.3">
      <c r="B30" s="730" t="s">
        <v>6126</v>
      </c>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c r="AC30" s="730"/>
      <c r="AD30" s="730"/>
      <c r="AE30" s="730"/>
      <c r="AF30" s="730"/>
      <c r="AG30" s="730"/>
      <c r="AZ30" s="470" t="s">
        <v>6172</v>
      </c>
      <c r="BF30" s="735">
        <f t="shared" si="9"/>
        <v>37</v>
      </c>
      <c r="BG30" s="754" t="str">
        <f ca="1"/>
        <v>Informar novo estudo</v>
      </c>
      <c r="BH30" s="754" cm="1">
        <f t="array" aca="1" ref="BH30" ca="1">INDIRECT($BH$3&amp;$BH$7&amp;BF30)</f>
        <v>0</v>
      </c>
      <c r="BI30" s="754" cm="1">
        <f t="array" aca="1" ref="BI30" ca="1">INDIRECT($BH$3&amp;$BH$8&amp;BF30)</f>
        <v>0</v>
      </c>
      <c r="BJ30" s="754" cm="1">
        <f t="array" aca="1" ref="BJ30" ca="1">INDIRECT($BH$3&amp;$BH$9&amp;BF30)</f>
        <v>0</v>
      </c>
      <c r="BK30" s="754">
        <f t="shared" ca="1" si="7"/>
        <v>0</v>
      </c>
      <c r="DA30" s="470" t="s">
        <v>6172</v>
      </c>
      <c r="DB30" s="22">
        <f t="shared" si="10"/>
        <v>0</v>
      </c>
      <c r="DC30" s="426" t="s">
        <v>6416</v>
      </c>
      <c r="DF30" s="552" t="s">
        <v>5741</v>
      </c>
      <c r="DG30" s="772" t="s">
        <v>352</v>
      </c>
      <c r="DH30" s="771" t="s">
        <v>7632</v>
      </c>
      <c r="DI30" s="741">
        <f t="shared" ca="1" si="11"/>
        <v>0</v>
      </c>
      <c r="DJ30" s="742" cm="1">
        <f t="array" aca="1" ref="DJ30" ca="1">INDIRECT($DH$3&amp;DH30,1)</f>
        <v>0</v>
      </c>
    </row>
    <row r="31" spans="2:145" x14ac:dyDescent="0.25">
      <c r="AZ31" s="470" t="s">
        <v>6172</v>
      </c>
      <c r="BF31" s="735">
        <f t="shared" si="9"/>
        <v>38</v>
      </c>
      <c r="BG31" s="754" t="str">
        <f ca="1"/>
        <v>Informar novo estudo</v>
      </c>
      <c r="BH31" s="754" cm="1">
        <f t="array" aca="1" ref="BH31" ca="1">INDIRECT($BH$3&amp;$BH$7&amp;BF31)</f>
        <v>0</v>
      </c>
      <c r="BI31" s="754" cm="1">
        <f t="array" aca="1" ref="BI31" ca="1">INDIRECT($BH$3&amp;$BH$8&amp;BF31)</f>
        <v>0</v>
      </c>
      <c r="BJ31" s="754" cm="1">
        <f t="array" aca="1" ref="BJ31" ca="1">INDIRECT($BH$3&amp;$BH$9&amp;BF31)</f>
        <v>0</v>
      </c>
      <c r="BK31" s="754">
        <f t="shared" ca="1" si="7"/>
        <v>0</v>
      </c>
      <c r="DA31" s="470" t="s">
        <v>6172</v>
      </c>
      <c r="DB31" s="22">
        <f ca="1">DP49</f>
        <v>0</v>
      </c>
      <c r="DC31" s="426" t="s">
        <v>6417</v>
      </c>
      <c r="DF31" s="552" t="s">
        <v>5741</v>
      </c>
      <c r="DG31" s="772" t="s">
        <v>130</v>
      </c>
      <c r="DH31" s="771" t="s">
        <v>7547</v>
      </c>
      <c r="DI31" s="741">
        <f t="shared" ca="1" si="11"/>
        <v>0</v>
      </c>
      <c r="DJ31" s="742" cm="1">
        <f t="array" aca="1" ref="DJ31" ca="1">INDIRECT($DH$3&amp;DH31,1)</f>
        <v>0</v>
      </c>
      <c r="DP31" s="716" t="s">
        <v>88</v>
      </c>
      <c r="DQ31" s="716" t="s">
        <v>101</v>
      </c>
      <c r="DR31" s="716" t="s">
        <v>120</v>
      </c>
    </row>
    <row r="32" spans="2:145" x14ac:dyDescent="0.25">
      <c r="E32" s="773"/>
      <c r="O32" s="605" t="s">
        <v>8308</v>
      </c>
      <c r="T32" s="605" t="s">
        <v>8309</v>
      </c>
      <c r="AZ32" s="470" t="s">
        <v>6172</v>
      </c>
      <c r="BF32" s="735">
        <f t="shared" si="9"/>
        <v>39</v>
      </c>
      <c r="BG32" s="754" t="str">
        <f ca="1"/>
        <v>Informar novo estudo</v>
      </c>
      <c r="BH32" s="754" cm="1">
        <f t="array" aca="1" ref="BH32" ca="1">INDIRECT($BH$3&amp;$BH$7&amp;BF32)</f>
        <v>0</v>
      </c>
      <c r="BI32" s="754" cm="1">
        <f t="array" aca="1" ref="BI32" ca="1">INDIRECT($BH$3&amp;$BH$8&amp;BF32)</f>
        <v>0</v>
      </c>
      <c r="BJ32" s="754" cm="1">
        <f t="array" aca="1" ref="BJ32" ca="1">INDIRECT($BH$3&amp;$BH$9&amp;BF32)</f>
        <v>0</v>
      </c>
      <c r="BK32" s="754">
        <f t="shared" ca="1" si="7"/>
        <v>0</v>
      </c>
      <c r="DA32" s="470" t="s">
        <v>6172</v>
      </c>
      <c r="DB32" s="22">
        <f ca="1">DP50</f>
        <v>0</v>
      </c>
      <c r="DC32" s="426" t="s">
        <v>6418</v>
      </c>
      <c r="DF32" s="552" t="s">
        <v>5741</v>
      </c>
      <c r="DG32" s="772" t="s">
        <v>83</v>
      </c>
      <c r="DH32" s="771" t="s">
        <v>7548</v>
      </c>
      <c r="DI32" s="741">
        <f t="shared" ca="1" si="11"/>
        <v>0</v>
      </c>
      <c r="DJ32" s="742" cm="1">
        <f t="array" aca="1" ref="DJ32" ca="1">INDIRECT($DH$3&amp;DH32,1)</f>
        <v>0</v>
      </c>
      <c r="DO32" s="757" t="s">
        <v>7671</v>
      </c>
      <c r="DP32" s="597">
        <f ca="1">IF(OR(DJ29=DS19,DJ29=DS20),"Definitivo",IF(DJ29=DS18,"Preliminar",0))</f>
        <v>0</v>
      </c>
      <c r="DQ32" s="597">
        <f ca="1">IF(OR(DJ38=DS19,DJ38=DS20),"Definitivo",IF(DJ38=DS18,"Preliminar",0))</f>
        <v>0</v>
      </c>
      <c r="DR32" s="597">
        <f ca="1">IF(OR(DJ47=DS19,DJ47=DS20),"Definitivo",IF(DJ47=DS18,"Preliminar",0))</f>
        <v>0</v>
      </c>
      <c r="DS32" s="20" t="s">
        <v>7673</v>
      </c>
    </row>
    <row r="33" spans="2:143" x14ac:dyDescent="0.25">
      <c r="F33" s="477" t="s">
        <v>8288</v>
      </c>
      <c r="G33" s="732" t="s">
        <v>7064</v>
      </c>
      <c r="O33" s="501" t="s">
        <v>7065</v>
      </c>
      <c r="P33" s="501" t="s">
        <v>7066</v>
      </c>
      <c r="Q33" s="774" t="s">
        <v>7067</v>
      </c>
      <c r="R33" s="774" t="s">
        <v>7068</v>
      </c>
      <c r="T33" s="774" t="s">
        <v>8305</v>
      </c>
      <c r="U33" s="774" t="s">
        <v>8306</v>
      </c>
      <c r="V33" s="774" t="s">
        <v>8307</v>
      </c>
      <c r="W33" s="605" t="s">
        <v>8304</v>
      </c>
      <c r="AZ33" s="470" t="s">
        <v>6172</v>
      </c>
      <c r="DA33" s="470" t="s">
        <v>6172</v>
      </c>
      <c r="DB33" s="22">
        <f>DP51</f>
        <v>0</v>
      </c>
      <c r="DC33" s="426" t="s">
        <v>6419</v>
      </c>
      <c r="DF33" s="552" t="s">
        <v>5741</v>
      </c>
      <c r="DG33" s="772" t="s">
        <v>100</v>
      </c>
      <c r="DH33" s="771" t="s">
        <v>7455</v>
      </c>
      <c r="DI33" s="741">
        <f t="shared" ca="1" si="11"/>
        <v>0</v>
      </c>
      <c r="DJ33" s="742" cm="1">
        <f t="array" aca="1" ref="DJ33" ca="1">INDIRECT($DH$3&amp;DH33,1)</f>
        <v>0</v>
      </c>
      <c r="DO33" s="757" t="s">
        <v>7672</v>
      </c>
      <c r="DP33" s="643">
        <f ca="1">DJ30</f>
        <v>0</v>
      </c>
      <c r="DQ33" s="643">
        <f ca="1">DJ39</f>
        <v>0</v>
      </c>
      <c r="DR33" s="643">
        <f ca="1">DJ48</f>
        <v>0</v>
      </c>
      <c r="DS33" s="20" t="s">
        <v>7674</v>
      </c>
    </row>
    <row r="34" spans="2:143" x14ac:dyDescent="0.25">
      <c r="B34" s="477" t="s">
        <v>8104</v>
      </c>
      <c r="C34" s="477" t="s">
        <v>8294</v>
      </c>
      <c r="F34" s="477" t="s">
        <v>8289</v>
      </c>
      <c r="G34" s="735">
        <f>ROW(Composição!AA32)</f>
        <v>32</v>
      </c>
      <c r="O34" s="735">
        <v>32</v>
      </c>
      <c r="P34" s="735">
        <v>52</v>
      </c>
      <c r="Q34" s="525" t="str" cm="1">
        <f t="array" aca="1" ref="Q34" ca="1">IF(COUNTIF(INDIRECT($G$33&amp;$G$44&amp;O34),$G$52)&gt;0,INDIRECT($G$33&amp;$G$42&amp;O34),"")</f>
        <v/>
      </c>
      <c r="R34" s="525" t="str" cm="1">
        <f t="array" aca="1" ref="R34" ca="1">IF(COUNTIF(INDIRECT($G$33&amp;$G$44&amp;P34),$G$52)&gt;0,INDIRECT($G$33&amp;$G$42&amp;P34),"")</f>
        <v/>
      </c>
      <c r="T34" s="525" t="str" cm="1">
        <f t="array" aca="1" ref="T34:T48" ca="1">INDIRECT(H10)</f>
        <v/>
      </c>
      <c r="U34" s="525" t="str" cm="1">
        <f t="array" aca="1" ref="U34" ca="1">_xlfn.UNIQUE(_xlfn.ANCHORARRAY(T34),0,0)</f>
        <v/>
      </c>
      <c r="V34" s="525" t="str">
        <f ca="1">IF(U34="","",COUNTIF($Q$34:$R$53,"*"&amp;U34))</f>
        <v/>
      </c>
      <c r="W34" s="775">
        <f ca="1">IF(COUNTIF(V34:V48,0),1,0)</f>
        <v>0</v>
      </c>
      <c r="AZ34" s="470" t="s">
        <v>6172</v>
      </c>
      <c r="BG34" s="763" t="s">
        <v>7324</v>
      </c>
      <c r="BH34" s="754">
        <f ca="1">SUM(BK13:BK21)</f>
        <v>0</v>
      </c>
      <c r="DA34" s="470" t="s">
        <v>6172</v>
      </c>
      <c r="DB34" s="22">
        <f ca="1">DP52</f>
        <v>0</v>
      </c>
      <c r="DC34" s="426" t="s">
        <v>6420</v>
      </c>
      <c r="DF34" s="552" t="s">
        <v>5741</v>
      </c>
      <c r="DG34" s="772" t="s">
        <v>209</v>
      </c>
      <c r="DH34" s="771" t="s">
        <v>7635</v>
      </c>
      <c r="DI34" s="741">
        <f t="shared" ca="1" si="11"/>
        <v>0</v>
      </c>
      <c r="DJ34" s="742" cm="1">
        <f t="array" aca="1" ref="DJ34" ca="1">INDIRECT($DH$3&amp;DH34,1)</f>
        <v>0</v>
      </c>
      <c r="DO34" s="757" t="s">
        <v>7913</v>
      </c>
      <c r="DP34" s="767">
        <f ca="1">IF(AND(DP32="Definitivo",DP33&lt;&gt;$DT$20),1,0)</f>
        <v>0</v>
      </c>
      <c r="DQ34" s="767">
        <f ca="1">IF(AND(DQ32="Definitivo",DQ33&lt;&gt;$DT$20),1,0)</f>
        <v>0</v>
      </c>
      <c r="DR34" s="767">
        <f ca="1">IF(AND(DR32="Definitivo",DR33&lt;&gt;$DT$20),1,0)</f>
        <v>0</v>
      </c>
      <c r="DS34" s="20" t="s">
        <v>7912</v>
      </c>
    </row>
    <row r="35" spans="2:143" x14ac:dyDescent="0.25">
      <c r="B35" s="22">
        <f ca="1">IF(AND(I43&lt;&gt;0,H36=0),1,0)</f>
        <v>0</v>
      </c>
      <c r="C35" s="426" t="s">
        <v>6130</v>
      </c>
      <c r="F35" s="477" t="s">
        <v>8290</v>
      </c>
      <c r="G35" s="735">
        <f>ROW(Composição!AA71)</f>
        <v>71</v>
      </c>
      <c r="O35" s="735">
        <v>33</v>
      </c>
      <c r="P35" s="735">
        <v>53</v>
      </c>
      <c r="Q35" s="525" t="str" cm="1">
        <f t="array" aca="1" ref="Q35" ca="1">IF(COUNTIF(INDIRECT($G$33&amp;$G$44&amp;O35),$G$52)&gt;0,INDIRECT($G$33&amp;$G$42&amp;O35),"")</f>
        <v/>
      </c>
      <c r="R35" s="525" t="str" cm="1">
        <f t="array" aca="1" ref="R35" ca="1">IF(COUNTIF(INDIRECT($G$33&amp;$G$44&amp;P35),$G$52)&gt;0,INDIRECT($G$33&amp;$G$42&amp;P35),"")</f>
        <v/>
      </c>
      <c r="T35" s="525" t="str">
        <f ca="1"/>
        <v/>
      </c>
      <c r="U35" s="525"/>
      <c r="V35" s="525" t="str">
        <f t="shared" ref="V35:V48" si="12">IF(U35="","",COUNTIF($Q$34:$S$48,"*"&amp;U35))</f>
        <v/>
      </c>
      <c r="AZ35" s="470" t="s">
        <v>6172</v>
      </c>
      <c r="BG35" s="763" t="s">
        <v>8328</v>
      </c>
      <c r="BH35" s="759">
        <f ca="1">IF(AND(BH34&gt;0,BH34&lt;&gt;COUNTA(BM14:BM22)),1,0)</f>
        <v>0</v>
      </c>
      <c r="DA35" s="470" t="s">
        <v>6172</v>
      </c>
      <c r="DB35" s="22">
        <f ca="1">IF(AND(DI29&lt;&gt;0,DJ28=0),1,0)</f>
        <v>0</v>
      </c>
      <c r="DC35" s="426" t="s">
        <v>6209</v>
      </c>
      <c r="DF35" s="552" t="s">
        <v>5741</v>
      </c>
      <c r="DG35" s="772" t="s">
        <v>250</v>
      </c>
      <c r="DH35" s="771" t="s">
        <v>7636</v>
      </c>
      <c r="DI35" s="741">
        <f t="shared" ca="1" si="11"/>
        <v>0</v>
      </c>
      <c r="DJ35" s="742" cm="1">
        <f t="array" aca="1" ref="DJ35" ca="1">INDIRECT($DH$3&amp;DH35,1)</f>
        <v>0</v>
      </c>
      <c r="DO35" s="757" t="s">
        <v>7914</v>
      </c>
      <c r="DP35" s="597">
        <f ca="1">DO14</f>
        <v>0</v>
      </c>
    </row>
    <row r="36" spans="2:143" x14ac:dyDescent="0.25">
      <c r="B36" s="22">
        <f ca="1">IF(AND(I43&lt;&gt;0,G56=0),1,0)</f>
        <v>0</v>
      </c>
      <c r="C36" s="426" t="s">
        <v>6131</v>
      </c>
      <c r="F36" s="477" t="s">
        <v>221</v>
      </c>
      <c r="G36" s="735" t="s">
        <v>1406</v>
      </c>
      <c r="H36" s="776" cm="1">
        <f t="array" aca="1" ref="H36" ca="1">INDIRECT($G$33&amp;G36,1)</f>
        <v>0</v>
      </c>
      <c r="O36" s="735">
        <v>34</v>
      </c>
      <c r="P36" s="735">
        <v>54</v>
      </c>
      <c r="Q36" s="525" t="str" cm="1">
        <f t="array" aca="1" ref="Q36" ca="1">IF(COUNTIF(INDIRECT($G$33&amp;$G$44&amp;O36),$G$52)&gt;0,INDIRECT($G$33&amp;$G$42&amp;O36),"")</f>
        <v/>
      </c>
      <c r="R36" s="525" t="str" cm="1">
        <f t="array" aca="1" ref="R36" ca="1">IF(COUNTIF(INDIRECT($G$33&amp;$G$44&amp;P36),$G$52)&gt;0,INDIRECT($G$33&amp;$G$42&amp;P36),"")</f>
        <v/>
      </c>
      <c r="T36" s="525" t="str">
        <f ca="1"/>
        <v/>
      </c>
      <c r="U36" s="525"/>
      <c r="V36" s="525" t="str">
        <f t="shared" si="12"/>
        <v/>
      </c>
      <c r="W36" s="472"/>
      <c r="AZ36" s="470" t="s">
        <v>6172</v>
      </c>
      <c r="BG36" s="763" t="s">
        <v>7947</v>
      </c>
      <c r="BH36" s="759">
        <f ca="1">IF(COUNTIF(BN14:BN22,0)&gt;0,1,0)</f>
        <v>0</v>
      </c>
      <c r="DA36" s="470" t="s">
        <v>6172</v>
      </c>
      <c r="DB36" s="22"/>
      <c r="DC36" s="426"/>
      <c r="DF36" s="552" t="s">
        <v>5741</v>
      </c>
      <c r="DG36" s="772" t="s">
        <v>251</v>
      </c>
      <c r="DH36" s="771" t="s">
        <v>7637</v>
      </c>
      <c r="DI36" s="741">
        <f t="shared" ca="1" si="11"/>
        <v>0</v>
      </c>
      <c r="DJ36" s="742" cm="1">
        <f t="array" aca="1" ref="DJ36" ca="1">INDIRECT($DH$3&amp;DH36,1)</f>
        <v>0</v>
      </c>
      <c r="DO36" s="757" t="s">
        <v>7915</v>
      </c>
      <c r="DP36" s="643">
        <f ca="1">DJ32</f>
        <v>0</v>
      </c>
      <c r="DQ36" s="643">
        <f ca="1">DJ41</f>
        <v>0</v>
      </c>
      <c r="DR36" s="643">
        <f ca="1">DJ50</f>
        <v>0</v>
      </c>
    </row>
    <row r="37" spans="2:143" x14ac:dyDescent="0.25">
      <c r="B37" s="22">
        <f ca="1">IF(G54=1,1,0)</f>
        <v>0</v>
      </c>
      <c r="C37" s="426" t="s">
        <v>6064</v>
      </c>
      <c r="F37" s="477" t="s">
        <v>143</v>
      </c>
      <c r="G37" s="735" t="s">
        <v>1427</v>
      </c>
      <c r="H37" s="776">
        <f ca="1">COUNTA(INDIRECT(G33&amp;G37))</f>
        <v>0</v>
      </c>
      <c r="O37" s="735">
        <v>35</v>
      </c>
      <c r="P37" s="735">
        <v>55</v>
      </c>
      <c r="Q37" s="525" t="str" cm="1">
        <f t="array" aca="1" ref="Q37" ca="1">IF(COUNTIF(INDIRECT($G$33&amp;$G$44&amp;O37),$G$52)&gt;0,INDIRECT($G$33&amp;$G$42&amp;O37),"")</f>
        <v/>
      </c>
      <c r="R37" s="525" t="str" cm="1">
        <f t="array" aca="1" ref="R37" ca="1">IF(COUNTIF(INDIRECT($G$33&amp;$G$44&amp;P37),$G$52)&gt;0,INDIRECT($G$33&amp;$G$42&amp;P37),"")</f>
        <v/>
      </c>
      <c r="T37" s="525" t="str">
        <f ca="1"/>
        <v/>
      </c>
      <c r="U37" s="525"/>
      <c r="V37" s="525" t="str">
        <f t="shared" si="12"/>
        <v/>
      </c>
      <c r="W37" s="472"/>
      <c r="AZ37" s="470" t="s">
        <v>6172</v>
      </c>
      <c r="BJ37" s="645"/>
      <c r="DA37" s="470" t="s">
        <v>6172</v>
      </c>
      <c r="DB37" s="22">
        <f ca="1">DP55</f>
        <v>0</v>
      </c>
      <c r="DC37" s="426" t="s">
        <v>6196</v>
      </c>
      <c r="DF37" s="552" t="s">
        <v>5741</v>
      </c>
      <c r="DG37" s="772" t="s">
        <v>252</v>
      </c>
      <c r="DH37" s="771" t="s">
        <v>7638</v>
      </c>
      <c r="DI37" s="741">
        <f t="shared" ca="1" si="11"/>
        <v>0</v>
      </c>
      <c r="DJ37" s="742" cm="1">
        <f t="array" aca="1" ref="DJ37" ca="1">INDIRECT($DH$3&amp;DH37,1)</f>
        <v>0</v>
      </c>
      <c r="DO37" s="757" t="s">
        <v>7913</v>
      </c>
      <c r="DP37" s="767">
        <f ca="1">IF(DP36&lt;&gt;0,IF($DP$35=$DU$20,0,IF($DP$35&lt;&gt;DP36,1,0)),0)</f>
        <v>0</v>
      </c>
      <c r="DQ37" s="767">
        <f ca="1">IF(DQ36&lt;&gt;0,IF($DP$35=$DU$20,0,IF($DP$35&lt;&gt;DQ36,1,0)),0)</f>
        <v>0</v>
      </c>
      <c r="DR37" s="767">
        <f ca="1">IF(DR36&lt;&gt;0,IF($DP$35=$DU$20,0,IF($DP$35&lt;&gt;DR36,1,0)),0)</f>
        <v>0</v>
      </c>
      <c r="DS37" s="20" t="s">
        <v>7918</v>
      </c>
    </row>
    <row r="38" spans="2:143" ht="15" customHeight="1" x14ac:dyDescent="0.25">
      <c r="B38" s="22">
        <f ca="1">IF(G55=1,1,0)</f>
        <v>0</v>
      </c>
      <c r="C38" s="426" t="s">
        <v>6065</v>
      </c>
      <c r="F38" s="477" t="s">
        <v>6134</v>
      </c>
      <c r="G38" s="735" t="s">
        <v>8286</v>
      </c>
      <c r="O38" s="735">
        <v>36</v>
      </c>
      <c r="P38" s="735">
        <v>56</v>
      </c>
      <c r="Q38" s="525" t="str" cm="1">
        <f t="array" aca="1" ref="Q38" ca="1">IF(COUNTIF(INDIRECT($G$33&amp;$G$44&amp;O38),$G$52)&gt;0,INDIRECT($G$33&amp;$G$42&amp;O38),"")</f>
        <v/>
      </c>
      <c r="R38" s="525" t="str" cm="1">
        <f t="array" aca="1" ref="R38" ca="1">IF(COUNTIF(INDIRECT($G$33&amp;$G$44&amp;P38),$G$52)&gt;0,INDIRECT($G$33&amp;$G$42&amp;P38),"")</f>
        <v/>
      </c>
      <c r="T38" s="525" t="str">
        <f ca="1"/>
        <v/>
      </c>
      <c r="U38" s="525"/>
      <c r="V38" s="525" t="str">
        <f t="shared" si="12"/>
        <v/>
      </c>
      <c r="W38" s="472"/>
      <c r="AZ38" s="470" t="s">
        <v>6172</v>
      </c>
      <c r="DA38" s="470" t="s">
        <v>6172</v>
      </c>
      <c r="DB38" s="22">
        <f ca="1">DP23</f>
        <v>0</v>
      </c>
      <c r="DC38" s="426" t="s">
        <v>6071</v>
      </c>
      <c r="DF38" s="777" t="s">
        <v>5742</v>
      </c>
      <c r="DG38" s="778" t="s">
        <v>89</v>
      </c>
      <c r="DH38" s="779" t="s">
        <v>7639</v>
      </c>
      <c r="DI38" s="780">
        <f t="shared" ca="1" si="11"/>
        <v>0</v>
      </c>
      <c r="DJ38" s="781" cm="1">
        <f t="array" aca="1" ref="DJ38" ca="1">INDIRECT($DH$3&amp;DH38,1)</f>
        <v>0</v>
      </c>
      <c r="DO38" s="757" t="s">
        <v>7916</v>
      </c>
      <c r="DP38" s="767">
        <f>IF(DT25="sim",1,0)</f>
        <v>0</v>
      </c>
      <c r="DQ38" s="767">
        <f>IF(DT32="sim",1,0)</f>
        <v>0</v>
      </c>
      <c r="DR38" s="767">
        <f>IF(DT38="sim",1,0)</f>
        <v>0</v>
      </c>
      <c r="DS38" s="20" t="s">
        <v>7917</v>
      </c>
    </row>
    <row r="39" spans="2:143" x14ac:dyDescent="0.25">
      <c r="B39" s="22">
        <f ca="1">IF(I45&lt;I43,1,0)</f>
        <v>0</v>
      </c>
      <c r="C39" s="426" t="s">
        <v>6139</v>
      </c>
      <c r="O39" s="735">
        <v>37</v>
      </c>
      <c r="P39" s="735">
        <v>57</v>
      </c>
      <c r="Q39" s="525" t="str" cm="1">
        <f t="array" aca="1" ref="Q39" ca="1">IF(COUNTIF(INDIRECT($G$33&amp;$G$44&amp;O39),$G$52)&gt;0,INDIRECT($G$33&amp;$G$42&amp;O39),"")</f>
        <v/>
      </c>
      <c r="R39" s="525" t="str" cm="1">
        <f t="array" aca="1" ref="R39" ca="1">IF(COUNTIF(INDIRECT($G$33&amp;$G$44&amp;P39),$G$52)&gt;0,INDIRECT($G$33&amp;$G$42&amp;P39),"")</f>
        <v/>
      </c>
      <c r="T39" s="525" t="str">
        <f ca="1"/>
        <v/>
      </c>
      <c r="U39" s="525"/>
      <c r="V39" s="525" t="str">
        <f t="shared" si="12"/>
        <v/>
      </c>
      <c r="W39" s="472"/>
      <c r="AZ39" s="470" t="s">
        <v>6172</v>
      </c>
      <c r="BF39" s="645"/>
      <c r="DA39" s="470" t="s">
        <v>6172</v>
      </c>
      <c r="DB39" s="22">
        <f t="shared" ref="DB39:DB55" ca="1" si="13">DX82</f>
        <v>0</v>
      </c>
      <c r="DC39" s="426" t="s">
        <v>6099</v>
      </c>
      <c r="DF39" s="777" t="s">
        <v>5742</v>
      </c>
      <c r="DG39" s="778" t="s">
        <v>352</v>
      </c>
      <c r="DH39" s="779" t="s">
        <v>7640</v>
      </c>
      <c r="DI39" s="780">
        <f t="shared" ca="1" si="11"/>
        <v>0</v>
      </c>
      <c r="DJ39" s="781" cm="1">
        <f t="array" aca="1" ref="DJ39" ca="1">INDIRECT($DH$3&amp;DH39,1)</f>
        <v>0</v>
      </c>
      <c r="DO39" s="757" t="s">
        <v>5998</v>
      </c>
      <c r="DP39" s="767">
        <f>IF(DV25="alterada",1,0)</f>
        <v>0</v>
      </c>
      <c r="DQ39" s="767">
        <f>IF(DV32="alterada",1,0)</f>
        <v>0</v>
      </c>
      <c r="DR39" s="767">
        <f>IF(DV38="alterada",1,0)</f>
        <v>0</v>
      </c>
      <c r="DS39" s="20" t="s">
        <v>7919</v>
      </c>
      <c r="EL39" s="2"/>
      <c r="EM39" s="2"/>
    </row>
    <row r="40" spans="2:143" ht="15.75" customHeight="1" thickBot="1" x14ac:dyDescent="0.3">
      <c r="B40" s="22">
        <f ca="1">IF(I46&lt;I43,1,0)</f>
        <v>0</v>
      </c>
      <c r="C40" s="426" t="s">
        <v>6140</v>
      </c>
      <c r="H40" s="572"/>
      <c r="I40" s="20" t="s">
        <v>8291</v>
      </c>
      <c r="O40" s="735">
        <v>38</v>
      </c>
      <c r="P40" s="735">
        <v>58</v>
      </c>
      <c r="Q40" s="525" t="str" cm="1">
        <f t="array" aca="1" ref="Q40" ca="1">IF(COUNTIF(INDIRECT($G$33&amp;$G$44&amp;O40),$G$52)&gt;0,INDIRECT($G$33&amp;$G$42&amp;O40),"")</f>
        <v/>
      </c>
      <c r="R40" s="525" t="str" cm="1">
        <f t="array" aca="1" ref="R40" ca="1">IF(COUNTIF(INDIRECT($G$33&amp;$G$44&amp;P40),$G$52)&gt;0,INDIRECT($G$33&amp;$G$42&amp;P40),"")</f>
        <v/>
      </c>
      <c r="T40" s="525" t="str">
        <f ca="1"/>
        <v/>
      </c>
      <c r="U40" s="525"/>
      <c r="V40" s="525" t="str">
        <f t="shared" si="12"/>
        <v/>
      </c>
      <c r="W40" s="472"/>
      <c r="AZ40" s="470" t="s">
        <v>6172</v>
      </c>
      <c r="BB40" s="730" t="s">
        <v>6182</v>
      </c>
      <c r="BC40" s="730"/>
      <c r="BD40" s="730"/>
      <c r="BE40" s="730"/>
      <c r="BF40" s="730"/>
      <c r="BG40" s="730"/>
      <c r="BH40" s="730"/>
      <c r="BI40" s="730"/>
      <c r="BJ40" s="730"/>
      <c r="BK40" s="730"/>
      <c r="BL40" s="730"/>
      <c r="BM40" s="730"/>
      <c r="BN40" s="730"/>
      <c r="BO40" s="730"/>
      <c r="BP40" s="730"/>
      <c r="BQ40" s="730"/>
      <c r="BR40" s="730"/>
      <c r="BS40" s="730"/>
      <c r="BT40" s="730"/>
      <c r="BU40" s="730"/>
      <c r="BV40" s="730"/>
      <c r="BW40" s="730"/>
      <c r="BX40" s="730"/>
      <c r="BY40" s="730"/>
      <c r="BZ40" s="730"/>
      <c r="CA40" s="730"/>
      <c r="CB40" s="730"/>
      <c r="CC40" s="730"/>
      <c r="CD40" s="730"/>
      <c r="CE40" s="730"/>
      <c r="CF40" s="730"/>
      <c r="CG40" s="730"/>
      <c r="CH40" s="730"/>
      <c r="CI40" s="730"/>
      <c r="DA40" s="470" t="s">
        <v>6172</v>
      </c>
      <c r="DB40" s="22">
        <f t="shared" ca="1" si="13"/>
        <v>0</v>
      </c>
      <c r="DC40" s="426" t="s">
        <v>7958</v>
      </c>
      <c r="DF40" s="777" t="s">
        <v>5742</v>
      </c>
      <c r="DG40" s="778" t="s">
        <v>130</v>
      </c>
      <c r="DH40" s="779" t="s">
        <v>7641</v>
      </c>
      <c r="DI40" s="780">
        <f t="shared" ca="1" si="11"/>
        <v>0</v>
      </c>
      <c r="DJ40" s="781" cm="1">
        <f t="array" aca="1" ref="DJ40" ca="1">INDIRECT($DH$3&amp;DH40,1)</f>
        <v>0</v>
      </c>
      <c r="DT40" s="2"/>
      <c r="DU40" s="2"/>
      <c r="DV40" s="2"/>
      <c r="DW40" s="2"/>
      <c r="DX40" s="2"/>
      <c r="DY40" s="2"/>
      <c r="DZ40" s="2"/>
      <c r="EA40" s="2"/>
      <c r="EB40" s="2"/>
      <c r="EC40" s="2"/>
      <c r="ED40" s="2"/>
      <c r="EE40" s="2"/>
      <c r="EL40" s="2"/>
      <c r="EM40" s="2"/>
    </row>
    <row r="41" spans="2:143" x14ac:dyDescent="0.25">
      <c r="B41" s="22">
        <f ca="1">IF(I47&lt;I43,1,0)</f>
        <v>0</v>
      </c>
      <c r="C41" s="426" t="s">
        <v>6141</v>
      </c>
      <c r="F41" s="782" t="s">
        <v>7978</v>
      </c>
      <c r="G41" s="735" t="s">
        <v>6154</v>
      </c>
      <c r="H41" s="735" t="str">
        <f>$G$33&amp;G41&amp;$G$34&amp;":"&amp;G41&amp;$G$35</f>
        <v>Composição!G32:G71</v>
      </c>
      <c r="I41" s="25">
        <f ca="1">COUNTA(INDIRECT(H41))</f>
        <v>0</v>
      </c>
      <c r="O41" s="735">
        <v>39</v>
      </c>
      <c r="P41" s="735">
        <v>59</v>
      </c>
      <c r="Q41" s="525" t="str" cm="1">
        <f t="array" aca="1" ref="Q41" ca="1">IF(COUNTIF(INDIRECT($G$33&amp;$G$44&amp;O41),$G$52)&gt;0,INDIRECT($G$33&amp;$G$42&amp;O41),"")</f>
        <v/>
      </c>
      <c r="R41" s="525" t="str" cm="1">
        <f t="array" aca="1" ref="R41" ca="1">IF(COUNTIF(INDIRECT($G$33&amp;$G$44&amp;P41),$G$52)&gt;0,INDIRECT($G$33&amp;$G$42&amp;P41),"")</f>
        <v/>
      </c>
      <c r="T41" s="525" t="str">
        <f ca="1"/>
        <v/>
      </c>
      <c r="U41" s="525"/>
      <c r="V41" s="525" t="str">
        <f t="shared" si="12"/>
        <v/>
      </c>
      <c r="W41" s="472"/>
      <c r="AZ41" s="470" t="s">
        <v>6172</v>
      </c>
      <c r="BB41" s="25">
        <f ca="1">IF(AND(BF46&lt;&gt;0,BG46=0),1,0)</f>
        <v>0</v>
      </c>
      <c r="BC41" s="450" t="s">
        <v>6197</v>
      </c>
      <c r="DA41" s="470" t="s">
        <v>6172</v>
      </c>
      <c r="DB41" s="22">
        <f t="shared" ca="1" si="13"/>
        <v>0</v>
      </c>
      <c r="DC41" s="426" t="s">
        <v>6101</v>
      </c>
      <c r="DF41" s="777" t="s">
        <v>5742</v>
      </c>
      <c r="DG41" s="778" t="s">
        <v>83</v>
      </c>
      <c r="DH41" s="779" t="s">
        <v>7642</v>
      </c>
      <c r="DI41" s="780">
        <f t="shared" ca="1" si="11"/>
        <v>0</v>
      </c>
      <c r="DJ41" s="781" cm="1">
        <f t="array" aca="1" ref="DJ41" ca="1">INDIRECT($DH$3&amp;DH41,1)</f>
        <v>0</v>
      </c>
      <c r="DP41" s="732" t="s">
        <v>8370</v>
      </c>
      <c r="DQ41" s="732" t="s">
        <v>8371</v>
      </c>
      <c r="DR41" s="732" t="s">
        <v>8372</v>
      </c>
      <c r="DT41" s="2"/>
      <c r="DU41" s="2"/>
      <c r="DV41" s="2"/>
      <c r="DW41" s="2"/>
      <c r="DX41" s="2"/>
      <c r="DY41" s="2"/>
      <c r="DZ41" s="2"/>
      <c r="EA41" s="2"/>
      <c r="EB41" s="2"/>
      <c r="EC41" s="2"/>
      <c r="ED41" s="2"/>
      <c r="EE41" s="2"/>
      <c r="EL41" s="2"/>
      <c r="EM41" s="2"/>
    </row>
    <row r="42" spans="2:143" x14ac:dyDescent="0.25">
      <c r="B42" s="22">
        <f ca="1">IF(W34=1,1,0)</f>
        <v>0</v>
      </c>
      <c r="C42" s="426" t="s">
        <v>7843</v>
      </c>
      <c r="F42" s="782" t="s">
        <v>11</v>
      </c>
      <c r="G42" s="735" t="s">
        <v>6155</v>
      </c>
      <c r="H42" s="735" t="str">
        <f t="shared" ref="H42:H51" si="14">$G$33&amp;G42&amp;$G$34&amp;":"&amp;G42&amp;$G$35</f>
        <v>Composição!H32:H71</v>
      </c>
      <c r="I42" s="25">
        <f ca="1">COUNTA(INDIRECT(H42))</f>
        <v>0</v>
      </c>
      <c r="O42" s="735">
        <v>40</v>
      </c>
      <c r="P42" s="735">
        <v>60</v>
      </c>
      <c r="Q42" s="525" t="str" cm="1">
        <f t="array" aca="1" ref="Q42" ca="1">IF(COUNTIF(INDIRECT($G$33&amp;$G$44&amp;O42),$G$52)&gt;0,INDIRECT($G$33&amp;$G$42&amp;O42),"")</f>
        <v/>
      </c>
      <c r="R42" s="525" t="str" cm="1">
        <f t="array" aca="1" ref="R42" ca="1">IF(COUNTIF(INDIRECT($G$33&amp;$G$44&amp;P42),$G$52)&gt;0,INDIRECT($G$33&amp;$G$42&amp;P42),"")</f>
        <v/>
      </c>
      <c r="T42" s="525" t="str">
        <f ca="1"/>
        <v/>
      </c>
      <c r="U42" s="525"/>
      <c r="V42" s="525" t="str">
        <f t="shared" si="12"/>
        <v/>
      </c>
      <c r="W42" s="472"/>
      <c r="AZ42" s="470" t="s">
        <v>6172</v>
      </c>
      <c r="BB42" s="25">
        <f ca="1">IF(AND(BF46&lt;&gt;0,BH46=0),1,0)</f>
        <v>0</v>
      </c>
      <c r="BC42" s="450" t="s">
        <v>6198</v>
      </c>
      <c r="DA42" s="470" t="s">
        <v>6172</v>
      </c>
      <c r="DB42" s="22">
        <f t="shared" ca="1" si="13"/>
        <v>0</v>
      </c>
      <c r="DC42" s="426" t="s">
        <v>6102</v>
      </c>
      <c r="DF42" s="777" t="s">
        <v>5742</v>
      </c>
      <c r="DG42" s="778" t="s">
        <v>100</v>
      </c>
      <c r="DH42" s="779" t="s">
        <v>7643</v>
      </c>
      <c r="DI42" s="780">
        <f t="shared" ca="1" si="11"/>
        <v>0</v>
      </c>
      <c r="DJ42" s="781" cm="1">
        <f t="array" aca="1" ref="DJ42" ca="1">INDIRECT($DH$3&amp;DH42,1)</f>
        <v>0</v>
      </c>
      <c r="DO42" s="757" t="s">
        <v>7920</v>
      </c>
      <c r="DP42" s="767">
        <f ca="1">IF(COUNTIF(INDIRECT($DH$3&amp;DP41),"*Não*")&gt;0,1,0)</f>
        <v>0</v>
      </c>
      <c r="DQ42" s="767">
        <f ca="1">IF(COUNTIF(INDIRECT($DH$3&amp;DQ41),"*Não*")&gt;0,1,0)</f>
        <v>0</v>
      </c>
      <c r="DR42" s="767">
        <f ca="1">IF(COUNTIF(INDIRECT($DH$3&amp;DR41),"*Não*")&gt;0,1,0)</f>
        <v>0</v>
      </c>
      <c r="DS42" s="20" t="s">
        <v>7926</v>
      </c>
      <c r="DU42" s="2"/>
      <c r="DV42" s="2"/>
      <c r="DW42" s="2"/>
      <c r="DX42" s="2"/>
      <c r="EE42" s="2"/>
    </row>
    <row r="43" spans="2:143" x14ac:dyDescent="0.25">
      <c r="B43" s="426"/>
      <c r="C43" s="752" t="s">
        <v>8297</v>
      </c>
      <c r="F43" s="782" t="s">
        <v>8302</v>
      </c>
      <c r="G43" s="735" t="s">
        <v>6156</v>
      </c>
      <c r="H43" s="735" t="str">
        <f t="shared" si="14"/>
        <v>Composição!I32:I71</v>
      </c>
      <c r="I43" s="25">
        <f ca="1">COUNTA(INDIRECT(H43))- COUNTIF(INDIRECT(H43),"")</f>
        <v>0</v>
      </c>
      <c r="O43" s="735">
        <v>41</v>
      </c>
      <c r="P43" s="735">
        <v>61</v>
      </c>
      <c r="Q43" s="525" t="str" cm="1">
        <f t="array" aca="1" ref="Q43" ca="1">IF(COUNTIF(INDIRECT($G$33&amp;$G$44&amp;O43),$G$52)&gt;0,INDIRECT($G$33&amp;$G$42&amp;O43),"")</f>
        <v/>
      </c>
      <c r="R43" s="525" t="str" cm="1">
        <f t="array" aca="1" ref="R43" ca="1">IF(COUNTIF(INDIRECT($G$33&amp;$G$44&amp;P43),$G$52)&gt;0,INDIRECT($G$33&amp;$G$42&amp;P43),"")</f>
        <v/>
      </c>
      <c r="T43" s="525" t="str">
        <f ca="1"/>
        <v/>
      </c>
      <c r="U43" s="525"/>
      <c r="V43" s="525" t="str">
        <f t="shared" si="12"/>
        <v/>
      </c>
      <c r="W43" s="472"/>
      <c r="AZ43" s="470" t="s">
        <v>6172</v>
      </c>
      <c r="BB43" s="25">
        <f ca="1">IF(AND(BF46&lt;&gt;0,BI46=0),1,0)</f>
        <v>0</v>
      </c>
      <c r="BC43" s="450" t="s">
        <v>6199</v>
      </c>
      <c r="BF43" s="733" t="s">
        <v>7321</v>
      </c>
      <c r="BG43" s="783" t="s">
        <v>5566</v>
      </c>
      <c r="DA43" s="470" t="s">
        <v>6172</v>
      </c>
      <c r="DB43" s="22">
        <f t="shared" ca="1" si="13"/>
        <v>0</v>
      </c>
      <c r="DC43" s="426" t="s">
        <v>6103</v>
      </c>
      <c r="DF43" s="777" t="s">
        <v>5742</v>
      </c>
      <c r="DG43" s="778" t="s">
        <v>209</v>
      </c>
      <c r="DH43" s="779" t="s">
        <v>7647</v>
      </c>
      <c r="DI43" s="780">
        <f t="shared" ca="1" si="11"/>
        <v>0</v>
      </c>
      <c r="DJ43" s="781" cm="1">
        <f t="array" aca="1" ref="DJ43" ca="1">INDIRECT($DH$3&amp;DH43,1)</f>
        <v>0</v>
      </c>
      <c r="DO43" s="757" t="s">
        <v>7921</v>
      </c>
      <c r="DP43" s="784">
        <f ca="1">DO89</f>
        <v>0</v>
      </c>
      <c r="DQ43" s="767">
        <f ca="1">DO90</f>
        <v>0</v>
      </c>
      <c r="DR43" s="767">
        <f ca="1">DO91</f>
        <v>0</v>
      </c>
      <c r="DS43" s="20" t="s">
        <v>7925</v>
      </c>
    </row>
    <row r="44" spans="2:143" x14ac:dyDescent="0.25">
      <c r="B44" s="426"/>
      <c r="C44" s="752" t="s">
        <v>8297</v>
      </c>
      <c r="F44" s="782" t="s">
        <v>6127</v>
      </c>
      <c r="G44" s="735" t="s">
        <v>5982</v>
      </c>
      <c r="H44" s="735" t="str">
        <f t="shared" si="14"/>
        <v>Composição!J32:J71</v>
      </c>
      <c r="I44" s="25">
        <f ca="1">COUNTA(INDIRECT(H44))</f>
        <v>0</v>
      </c>
      <c r="O44" s="735">
        <v>42</v>
      </c>
      <c r="P44" s="735">
        <v>62</v>
      </c>
      <c r="Q44" s="525" t="str" cm="1">
        <f t="array" aca="1" ref="Q44" ca="1">IF(COUNTIF(INDIRECT($G$33&amp;$G$44&amp;O44),$G$52)&gt;0,INDIRECT($G$33&amp;$G$42&amp;O44),"")</f>
        <v/>
      </c>
      <c r="R44" s="525" t="str" cm="1">
        <f t="array" aca="1" ref="R44" ca="1">IF(COUNTIF(INDIRECT($G$33&amp;$G$44&amp;P44),$G$52)&gt;0,INDIRECT($G$33&amp;$G$42&amp;P44),"")</f>
        <v/>
      </c>
      <c r="T44" s="525" t="str">
        <f ca="1"/>
        <v/>
      </c>
      <c r="U44" s="525"/>
      <c r="V44" s="525" t="str">
        <f t="shared" si="12"/>
        <v/>
      </c>
      <c r="W44" s="472"/>
      <c r="AZ44" s="470" t="s">
        <v>6172</v>
      </c>
      <c r="BB44" s="25">
        <f ca="1">IF(AND(BF46&lt;&gt;0,BJ46=0),1,0)</f>
        <v>0</v>
      </c>
      <c r="BC44" s="450" t="s">
        <v>6200</v>
      </c>
      <c r="BF44" s="785" t="s">
        <v>30</v>
      </c>
      <c r="BG44" s="786" t="s">
        <v>6174</v>
      </c>
      <c r="BH44" s="785" t="s">
        <v>6173</v>
      </c>
      <c r="BI44" s="785" t="s">
        <v>6029</v>
      </c>
      <c r="BJ44" s="785" t="s">
        <v>218</v>
      </c>
      <c r="BK44" s="785" t="s">
        <v>6183</v>
      </c>
      <c r="BL44" s="785" t="s">
        <v>6184</v>
      </c>
      <c r="BM44" s="785" t="s">
        <v>31</v>
      </c>
      <c r="BN44" s="785" t="s">
        <v>5720</v>
      </c>
      <c r="BO44" s="785" t="s">
        <v>85</v>
      </c>
      <c r="BP44" s="785" t="s">
        <v>235</v>
      </c>
      <c r="BQ44" s="785" t="s">
        <v>144</v>
      </c>
      <c r="BR44" s="785" t="s">
        <v>6186</v>
      </c>
      <c r="BS44" s="785" t="s">
        <v>127</v>
      </c>
      <c r="BT44" s="785" t="s">
        <v>293</v>
      </c>
      <c r="BU44" s="785" t="s">
        <v>301</v>
      </c>
      <c r="BV44" s="785" t="s">
        <v>302</v>
      </c>
      <c r="BW44" s="785" t="s">
        <v>6242</v>
      </c>
      <c r="BX44" s="785" t="s">
        <v>143</v>
      </c>
      <c r="BY44" s="785" t="s">
        <v>33</v>
      </c>
      <c r="BZ44" s="785" t="s">
        <v>278</v>
      </c>
      <c r="CA44" s="785" t="s">
        <v>279</v>
      </c>
      <c r="CB44" s="785" t="s">
        <v>6189</v>
      </c>
      <c r="CC44" s="787" t="s">
        <v>6185</v>
      </c>
      <c r="CD44" s="787" t="s">
        <v>6187</v>
      </c>
      <c r="CE44" s="787" t="s">
        <v>6188</v>
      </c>
      <c r="DA44" s="470" t="s">
        <v>6172</v>
      </c>
      <c r="DB44" s="22">
        <f t="shared" si="13"/>
        <v>0</v>
      </c>
      <c r="DC44" s="426" t="s">
        <v>6104</v>
      </c>
      <c r="DF44" s="777" t="s">
        <v>5742</v>
      </c>
      <c r="DG44" s="778" t="s">
        <v>250</v>
      </c>
      <c r="DH44" s="779" t="s">
        <v>7648</v>
      </c>
      <c r="DI44" s="780">
        <f t="shared" ca="1" si="11"/>
        <v>0</v>
      </c>
      <c r="DJ44" s="781" cm="1">
        <f t="array" aca="1" ref="DJ44" ca="1">INDIRECT($DH$3&amp;DH44,1)</f>
        <v>0</v>
      </c>
      <c r="DO44" s="757" t="s">
        <v>7922</v>
      </c>
      <c r="DP44" s="784">
        <f ca="1">DP89</f>
        <v>0</v>
      </c>
      <c r="DQ44" s="767">
        <f ca="1">DP90</f>
        <v>0</v>
      </c>
      <c r="DR44" s="767">
        <f ca="1">DP91</f>
        <v>0</v>
      </c>
      <c r="DS44" s="20" t="s">
        <v>7925</v>
      </c>
    </row>
    <row r="45" spans="2:143" x14ac:dyDescent="0.25">
      <c r="B45" s="426"/>
      <c r="C45" s="752" t="s">
        <v>8297</v>
      </c>
      <c r="F45" s="782" t="s">
        <v>6128</v>
      </c>
      <c r="G45" s="735" t="s">
        <v>6157</v>
      </c>
      <c r="H45" s="735" t="str">
        <f t="shared" si="14"/>
        <v>Composição!K32:K71</v>
      </c>
      <c r="I45" s="25">
        <f ca="1">COUNTA(INDIRECT(H45))</f>
        <v>0</v>
      </c>
      <c r="O45" s="735">
        <v>43</v>
      </c>
      <c r="P45" s="735">
        <v>63</v>
      </c>
      <c r="Q45" s="525" t="str" cm="1">
        <f t="array" aca="1" ref="Q45" ca="1">IF(COUNTIF(INDIRECT($G$33&amp;$G$44&amp;O45),$G$52)&gt;0,INDIRECT($G$33&amp;$G$42&amp;O45),"")</f>
        <v/>
      </c>
      <c r="R45" s="525" t="str" cm="1">
        <f t="array" aca="1" ref="R45" ca="1">IF(COUNTIF(INDIRECT($G$33&amp;$G$44&amp;P45),$G$52)&gt;0,INDIRECT($G$33&amp;$G$42&amp;P45),"")</f>
        <v/>
      </c>
      <c r="T45" s="525" t="str">
        <f ca="1"/>
        <v/>
      </c>
      <c r="U45" s="525"/>
      <c r="V45" s="525" t="str">
        <f t="shared" si="12"/>
        <v/>
      </c>
      <c r="W45" s="472"/>
      <c r="AZ45" s="470" t="s">
        <v>6172</v>
      </c>
      <c r="BB45" s="25">
        <f ca="1">IF(AND(BF46&lt;&gt;0,BL46=0),1,0)</f>
        <v>0</v>
      </c>
      <c r="BC45" s="750" t="s">
        <v>6201</v>
      </c>
      <c r="BE45" s="506" t="s">
        <v>5778</v>
      </c>
      <c r="BF45" s="718" t="s">
        <v>1592</v>
      </c>
      <c r="BG45" s="718" t="s">
        <v>7333</v>
      </c>
      <c r="BH45" s="718" t="s">
        <v>7334</v>
      </c>
      <c r="BI45" s="718" t="s">
        <v>5798</v>
      </c>
      <c r="BJ45" s="718" t="s">
        <v>7335</v>
      </c>
      <c r="BK45" s="718" t="s">
        <v>7336</v>
      </c>
      <c r="BL45" s="718" t="s">
        <v>7337</v>
      </c>
      <c r="BM45" s="718" t="s">
        <v>7338</v>
      </c>
      <c r="BN45" s="718" t="s">
        <v>5796</v>
      </c>
      <c r="BO45" s="718" t="s">
        <v>7339</v>
      </c>
      <c r="BP45" s="718" t="s">
        <v>7340</v>
      </c>
      <c r="BQ45" s="718" t="s">
        <v>7341</v>
      </c>
      <c r="BR45" s="718" t="s">
        <v>7342</v>
      </c>
      <c r="BS45" s="718" t="s">
        <v>7343</v>
      </c>
      <c r="BT45" s="788" t="s">
        <v>7325</v>
      </c>
      <c r="BU45" s="788" t="s">
        <v>7326</v>
      </c>
      <c r="BV45" s="788" t="s">
        <v>7327</v>
      </c>
      <c r="BW45" s="718" t="s">
        <v>7302</v>
      </c>
      <c r="BX45" s="718" t="s">
        <v>7304</v>
      </c>
      <c r="BY45" s="718" t="s">
        <v>7344</v>
      </c>
      <c r="BZ45" s="718" t="s">
        <v>7345</v>
      </c>
      <c r="CA45" s="718" t="s">
        <v>7346</v>
      </c>
      <c r="CB45" s="718" t="s">
        <v>7347</v>
      </c>
      <c r="CC45" s="789" t="s">
        <v>8329</v>
      </c>
      <c r="CD45" s="789" t="s">
        <v>6192</v>
      </c>
      <c r="CE45" s="789" t="s">
        <v>6190</v>
      </c>
      <c r="DA45" s="470" t="s">
        <v>6172</v>
      </c>
      <c r="DB45" s="22">
        <f t="shared" si="13"/>
        <v>0</v>
      </c>
      <c r="DC45" s="426" t="s">
        <v>6105</v>
      </c>
      <c r="DF45" s="777" t="s">
        <v>5742</v>
      </c>
      <c r="DG45" s="778" t="s">
        <v>251</v>
      </c>
      <c r="DH45" s="779" t="s">
        <v>7649</v>
      </c>
      <c r="DI45" s="780">
        <f t="shared" ca="1" si="11"/>
        <v>0</v>
      </c>
      <c r="DJ45" s="781" cm="1">
        <f t="array" aca="1" ref="DJ45" ca="1">INDIRECT($DH$3&amp;DH45,1)</f>
        <v>0</v>
      </c>
      <c r="DO45" s="757" t="s">
        <v>7924</v>
      </c>
      <c r="DP45" s="784">
        <f ca="1">DQ89</f>
        <v>0</v>
      </c>
      <c r="DQ45" s="767">
        <f ca="1">DQ90</f>
        <v>0</v>
      </c>
      <c r="DR45" s="767">
        <f ca="1">DQ91</f>
        <v>0</v>
      </c>
      <c r="DS45" s="20" t="s">
        <v>7925</v>
      </c>
    </row>
    <row r="46" spans="2:143" x14ac:dyDescent="0.25">
      <c r="B46" s="426"/>
      <c r="C46" s="752" t="s">
        <v>8297</v>
      </c>
      <c r="F46" s="782" t="s">
        <v>6129</v>
      </c>
      <c r="G46" s="735" t="s">
        <v>5951</v>
      </c>
      <c r="H46" s="735" t="str">
        <f t="shared" si="14"/>
        <v>Composição!L32:L71</v>
      </c>
      <c r="I46" s="25">
        <f ca="1">COUNTA(INDIRECT(H46))</f>
        <v>0</v>
      </c>
      <c r="O46" s="735">
        <v>44</v>
      </c>
      <c r="P46" s="735">
        <v>64</v>
      </c>
      <c r="Q46" s="525" t="str" cm="1">
        <f t="array" aca="1" ref="Q46" ca="1">IF(COUNTIF(INDIRECT($G$33&amp;$G$44&amp;O46),$G$52)&gt;0,INDIRECT($G$33&amp;$G$42&amp;O46),"")</f>
        <v/>
      </c>
      <c r="R46" s="525" t="str" cm="1">
        <f t="array" aca="1" ref="R46" ca="1">IF(COUNTIF(INDIRECT($G$33&amp;$G$44&amp;P46),$G$52)&gt;0,INDIRECT($G$33&amp;$G$42&amp;P46),"")</f>
        <v/>
      </c>
      <c r="T46" s="525" t="str">
        <f ca="1"/>
        <v/>
      </c>
      <c r="U46" s="525"/>
      <c r="V46" s="525" t="str">
        <f t="shared" si="12"/>
        <v/>
      </c>
      <c r="W46" s="472"/>
      <c r="AZ46" s="470" t="s">
        <v>6172</v>
      </c>
      <c r="BB46" s="25">
        <f ca="1">IF(AND(BF46&lt;&gt;0,BM46=0),1,0)</f>
        <v>0</v>
      </c>
      <c r="BC46" s="750" t="s">
        <v>6202</v>
      </c>
      <c r="BE46" s="790" t="s">
        <v>6222</v>
      </c>
      <c r="BF46" s="597">
        <f t="shared" ref="BF46:CB46" ca="1" si="15">COUNTA(INDIRECT($BG$43&amp;BF45,1))</f>
        <v>0</v>
      </c>
      <c r="BG46" s="597">
        <f t="shared" ca="1" si="15"/>
        <v>0</v>
      </c>
      <c r="BH46" s="597">
        <f t="shared" ca="1" si="15"/>
        <v>0</v>
      </c>
      <c r="BI46" s="597">
        <f t="shared" ca="1" si="15"/>
        <v>0</v>
      </c>
      <c r="BJ46" s="597">
        <f t="shared" ca="1" si="15"/>
        <v>0</v>
      </c>
      <c r="BK46" s="597">
        <f t="shared" ca="1" si="15"/>
        <v>0</v>
      </c>
      <c r="BL46" s="597">
        <f t="shared" ca="1" si="15"/>
        <v>0</v>
      </c>
      <c r="BM46" s="597">
        <f t="shared" ca="1" si="15"/>
        <v>0</v>
      </c>
      <c r="BN46" s="597">
        <f t="shared" ca="1" si="15"/>
        <v>0</v>
      </c>
      <c r="BO46" s="597">
        <f t="shared" ca="1" si="15"/>
        <v>1</v>
      </c>
      <c r="BP46" s="597">
        <f t="shared" ca="1" si="15"/>
        <v>0</v>
      </c>
      <c r="BQ46" s="597">
        <f t="shared" ca="1" si="15"/>
        <v>0</v>
      </c>
      <c r="BR46" s="597">
        <f t="shared" ca="1" si="15"/>
        <v>0</v>
      </c>
      <c r="BS46" s="597">
        <f t="shared" ca="1" si="15"/>
        <v>0</v>
      </c>
      <c r="BT46" s="597">
        <f t="shared" ca="1" si="15"/>
        <v>0</v>
      </c>
      <c r="BU46" s="597">
        <f t="shared" ca="1" si="15"/>
        <v>0</v>
      </c>
      <c r="BV46" s="597">
        <f t="shared" ca="1" si="15"/>
        <v>0</v>
      </c>
      <c r="BW46" s="597">
        <f t="shared" ca="1" si="15"/>
        <v>0</v>
      </c>
      <c r="BX46" s="597">
        <f t="shared" ca="1" si="15"/>
        <v>0</v>
      </c>
      <c r="BY46" s="597">
        <f t="shared" ca="1" si="15"/>
        <v>0</v>
      </c>
      <c r="BZ46" s="597">
        <f t="shared" ca="1" si="15"/>
        <v>0</v>
      </c>
      <c r="CA46" s="597">
        <f t="shared" ca="1" si="15"/>
        <v>0</v>
      </c>
      <c r="CB46" s="597">
        <f t="shared" ca="1" si="15"/>
        <v>0</v>
      </c>
      <c r="CC46" s="597"/>
      <c r="CD46" s="597">
        <f ca="1">COUNTA(INDIRECT(CD45,1))</f>
        <v>1</v>
      </c>
      <c r="CE46" s="597">
        <f ca="1">COUNTA(INDIRECT(CE45,1))</f>
        <v>1</v>
      </c>
      <c r="DA46" s="470" t="s">
        <v>6172</v>
      </c>
      <c r="DB46" s="22">
        <f t="shared" si="13"/>
        <v>0</v>
      </c>
      <c r="DC46" s="426" t="s">
        <v>6109</v>
      </c>
      <c r="DF46" s="777" t="s">
        <v>5742</v>
      </c>
      <c r="DG46" s="778" t="s">
        <v>252</v>
      </c>
      <c r="DH46" s="779" t="s">
        <v>7650</v>
      </c>
      <c r="DI46" s="780">
        <f t="shared" ca="1" si="11"/>
        <v>0</v>
      </c>
      <c r="DJ46" s="781" cm="1">
        <f t="array" aca="1" ref="DJ46" ca="1">INDIRECT($DH$3&amp;DH46,1)</f>
        <v>0</v>
      </c>
      <c r="DO46" s="757" t="s">
        <v>7923</v>
      </c>
      <c r="DP46" s="784">
        <f ca="1">DR89</f>
        <v>0</v>
      </c>
      <c r="DQ46" s="784">
        <f ca="1">DR90</f>
        <v>0</v>
      </c>
      <c r="DR46" s="767">
        <f ca="1">DR91</f>
        <v>0</v>
      </c>
      <c r="DS46" s="20" t="s">
        <v>7925</v>
      </c>
    </row>
    <row r="47" spans="2:143" x14ac:dyDescent="0.25">
      <c r="B47" s="426"/>
      <c r="C47" s="752" t="s">
        <v>8297</v>
      </c>
      <c r="F47" s="782" t="s">
        <v>8298</v>
      </c>
      <c r="G47" s="735" t="s">
        <v>5780</v>
      </c>
      <c r="H47" s="735" t="str">
        <f t="shared" si="14"/>
        <v>Composição!M32:M71</v>
      </c>
      <c r="I47" s="25">
        <f ca="1">COUNTA(INDIRECT(H47))</f>
        <v>0</v>
      </c>
      <c r="O47" s="735">
        <v>45</v>
      </c>
      <c r="P47" s="735">
        <v>65</v>
      </c>
      <c r="Q47" s="525" t="str" cm="1">
        <f t="array" aca="1" ref="Q47" ca="1">IF(COUNTIF(INDIRECT($G$33&amp;$G$44&amp;O47),$G$52)&gt;0,INDIRECT($G$33&amp;$G$42&amp;O47),"")</f>
        <v/>
      </c>
      <c r="R47" s="525" t="str" cm="1">
        <f t="array" aca="1" ref="R47" ca="1">IF(COUNTIF(INDIRECT($G$33&amp;$G$44&amp;P47),$G$52)&gt;0,INDIRECT($G$33&amp;$G$42&amp;P47),"")</f>
        <v/>
      </c>
      <c r="T47" s="525" t="str">
        <f ca="1"/>
        <v/>
      </c>
      <c r="U47" s="525"/>
      <c r="V47" s="525" t="str">
        <f t="shared" si="12"/>
        <v/>
      </c>
      <c r="W47" s="472"/>
      <c r="AZ47" s="470" t="s">
        <v>6172</v>
      </c>
      <c r="BB47" s="25">
        <f ca="1">IF(AND(BF46&lt;&gt;0,BN46=0),1,0)</f>
        <v>0</v>
      </c>
      <c r="BC47" s="750" t="s">
        <v>6203</v>
      </c>
      <c r="BE47" s="790" t="s">
        <v>6133</v>
      </c>
      <c r="BF47" s="791" cm="1">
        <f t="array" aca="1" ref="BF47" ca="1">INDIRECT($BG$43&amp;BF45,1)</f>
        <v>0</v>
      </c>
      <c r="BG47" s="791" cm="1">
        <f t="array" aca="1" ref="BG47" ca="1">INDIRECT($BG$43&amp;BG45,1)</f>
        <v>0</v>
      </c>
      <c r="BH47" s="791" cm="1">
        <f t="array" aca="1" ref="BH47" ca="1">INDIRECT($BG$43&amp;BH45,1)</f>
        <v>0</v>
      </c>
      <c r="BI47" s="791" cm="1">
        <f t="array" aca="1" ref="BI47" ca="1">INDIRECT($BG$43&amp;BI45,1)</f>
        <v>0</v>
      </c>
      <c r="BJ47" s="791" cm="1">
        <f t="array" aca="1" ref="BJ47" ca="1">INDIRECT($BG$43&amp;BJ45,1)</f>
        <v>0</v>
      </c>
      <c r="BK47" s="791" cm="1">
        <f t="array" aca="1" ref="BK47" ca="1">INDIRECT($BG$43&amp;BK45,1)</f>
        <v>0</v>
      </c>
      <c r="BL47" s="791" cm="1">
        <f t="array" aca="1" ref="BL47" ca="1">INDIRECT($BG$43&amp;BL45,1)</f>
        <v>0</v>
      </c>
      <c r="BM47" s="791" cm="1">
        <f t="array" aca="1" ref="BM47" ca="1">INDIRECT($BG$43&amp;BM45,1)</f>
        <v>0</v>
      </c>
      <c r="BN47" s="791" cm="1">
        <f t="array" aca="1" ref="BN47" ca="1">INDIRECT($BG$43&amp;BN45,1)</f>
        <v>0</v>
      </c>
      <c r="BO47" s="791" t="str" cm="1">
        <f t="array" aca="1" ref="BO47" ca="1">INDIRECT($BG$43&amp;BO45,1)</f>
        <v>Rattus norvegicus</v>
      </c>
      <c r="BP47" s="791" cm="1">
        <f t="array" aca="1" ref="BP47" ca="1">INDIRECT($BG$43&amp;BP45,1)</f>
        <v>0</v>
      </c>
      <c r="BQ47" s="791" cm="1">
        <f t="array" aca="1" ref="BQ47" ca="1">INDIRECT($BG$43&amp;BQ45,1)</f>
        <v>0</v>
      </c>
      <c r="BR47" s="792" cm="1">
        <f t="array" aca="1" ref="BR47" ca="1">INDIRECT($BG$43&amp;BR45,1)</f>
        <v>0</v>
      </c>
      <c r="BS47" s="791" cm="1">
        <f t="array" aca="1" ref="BS47" ca="1">INDIRECT($BG$43&amp;BS45,1)</f>
        <v>0</v>
      </c>
      <c r="BT47" s="793"/>
      <c r="BU47" s="793"/>
      <c r="BV47" s="793"/>
      <c r="BW47" s="791" cm="1">
        <f t="array" aca="1" ref="BW47" ca="1">INDIRECT($BG$43&amp;BW45,1)</f>
        <v>0</v>
      </c>
      <c r="BX47" s="791" cm="1">
        <f t="array" aca="1" ref="BX47" ca="1">INDIRECT($BG$43&amp;BX45,1)</f>
        <v>0</v>
      </c>
      <c r="BY47" s="791" cm="1">
        <f t="array" aca="1" ref="BY47" ca="1">INDIRECT($BG$43&amp;BY45,1)</f>
        <v>0</v>
      </c>
      <c r="BZ47" s="791" cm="1">
        <f t="array" aca="1" ref="BZ47" ca="1">INDIRECT($BG$43&amp;BZ45,1)</f>
        <v>0</v>
      </c>
      <c r="CA47" s="791" cm="1">
        <f t="array" aca="1" ref="CA47" ca="1">INDIRECT($BG$43&amp;CA45,1)</f>
        <v>0</v>
      </c>
      <c r="CB47" s="791" cm="1">
        <f t="array" aca="1" ref="CB47" ca="1">INDIRECT($BG$43&amp;CB45,1)</f>
        <v>0</v>
      </c>
      <c r="CC47" s="793">
        <f ca="1">COUNTIF(INDIRECT(CC45),TRUE)</f>
        <v>0</v>
      </c>
      <c r="CD47" s="793" cm="1">
        <f t="array" aca="1" ref="CD47" ca="1">INDIRECT(CD45,1)</f>
        <v>0</v>
      </c>
      <c r="CE47" s="793" t="b" cm="1">
        <f t="array" aca="1" ref="CE47" ca="1">INDIRECT(CE45,1)</f>
        <v>0</v>
      </c>
      <c r="DA47" s="470" t="s">
        <v>6172</v>
      </c>
      <c r="DB47" s="22">
        <f t="shared" si="13"/>
        <v>0</v>
      </c>
      <c r="DC47" s="426" t="s">
        <v>6108</v>
      </c>
      <c r="DF47" s="552" t="s">
        <v>5743</v>
      </c>
      <c r="DG47" s="772" t="s">
        <v>89</v>
      </c>
      <c r="DH47" s="771" t="s">
        <v>7651</v>
      </c>
      <c r="DI47" s="741">
        <f t="shared" ca="1" si="11"/>
        <v>0</v>
      </c>
      <c r="DJ47" s="742" cm="1">
        <f t="array" aca="1" ref="DJ47" ca="1">INDIRECT($DH$3&amp;DH47,1)</f>
        <v>0</v>
      </c>
      <c r="DN47" s="469"/>
      <c r="DV47" s="2"/>
      <c r="DW47" s="504" t="s">
        <v>116</v>
      </c>
    </row>
    <row r="48" spans="2:143" x14ac:dyDescent="0.25">
      <c r="F48" s="782" t="s">
        <v>7980</v>
      </c>
      <c r="G48" s="735" t="s">
        <v>5734</v>
      </c>
      <c r="H48" s="735" t="str">
        <f t="shared" si="14"/>
        <v>Composição!N32:N71</v>
      </c>
      <c r="I48" s="25">
        <f ca="1">COUNTA(INDIRECT(H48))- COUNTIF(INDIRECT(H48),"")</f>
        <v>0</v>
      </c>
      <c r="O48" s="735">
        <v>46</v>
      </c>
      <c r="P48" s="735">
        <v>66</v>
      </c>
      <c r="Q48" s="525" t="str" cm="1">
        <f t="array" aca="1" ref="Q48" ca="1">IF(COUNTIF(INDIRECT($G$33&amp;$G$44&amp;O48),$G$52)&gt;0,INDIRECT($G$33&amp;$G$42&amp;O48),"")</f>
        <v/>
      </c>
      <c r="R48" s="525" t="str" cm="1">
        <f t="array" aca="1" ref="R48" ca="1">IF(COUNTIF(INDIRECT($G$33&amp;$G$44&amp;P48),$G$52)&gt;0,INDIRECT($G$33&amp;$G$42&amp;P48),"")</f>
        <v/>
      </c>
      <c r="T48" s="525" t="str">
        <f ca="1"/>
        <v/>
      </c>
      <c r="U48" s="525"/>
      <c r="V48" s="525" t="str">
        <f t="shared" si="12"/>
        <v/>
      </c>
      <c r="W48" s="472"/>
      <c r="AZ48" s="470" t="s">
        <v>6172</v>
      </c>
      <c r="BB48" s="25">
        <f ca="1">IF(AND(BF46&lt;&gt;0,BO46=0),1,0)</f>
        <v>0</v>
      </c>
      <c r="BC48" s="750" t="s">
        <v>6204</v>
      </c>
      <c r="BE48" s="790" t="s">
        <v>14</v>
      </c>
      <c r="BF48" s="597" t="s">
        <v>7328</v>
      </c>
      <c r="BG48" s="597" t="s">
        <v>7328</v>
      </c>
      <c r="BH48" s="597" t="s">
        <v>7328</v>
      </c>
      <c r="BI48" s="597" t="s">
        <v>7322</v>
      </c>
      <c r="BJ48" s="597" t="s">
        <v>7322</v>
      </c>
      <c r="BK48" s="597" t="s">
        <v>7328</v>
      </c>
      <c r="BL48" s="597" t="s">
        <v>7323</v>
      </c>
      <c r="BM48" s="597" t="s">
        <v>7323</v>
      </c>
      <c r="BN48" s="597" t="s">
        <v>7322</v>
      </c>
      <c r="BO48" s="597" t="s">
        <v>7328</v>
      </c>
      <c r="BP48" s="597" t="s">
        <v>7328</v>
      </c>
      <c r="BQ48" s="597" t="s">
        <v>7328</v>
      </c>
      <c r="BR48" s="597" t="s">
        <v>7322</v>
      </c>
      <c r="BS48" s="597" t="s">
        <v>7328</v>
      </c>
      <c r="BT48" s="597" t="s">
        <v>7328</v>
      </c>
      <c r="BU48" s="597" t="s">
        <v>7328</v>
      </c>
      <c r="BV48" s="597" t="s">
        <v>7322</v>
      </c>
      <c r="BW48" s="597" t="s">
        <v>7322</v>
      </c>
      <c r="BX48" s="597" t="s">
        <v>7328</v>
      </c>
      <c r="BY48" s="597" t="s">
        <v>7330</v>
      </c>
      <c r="BZ48" s="597" t="s">
        <v>7330</v>
      </c>
      <c r="CA48" s="597" t="s">
        <v>7330</v>
      </c>
      <c r="CB48" s="597" t="s">
        <v>7328</v>
      </c>
      <c r="CC48" s="535" t="s">
        <v>7322</v>
      </c>
      <c r="CD48" s="597" t="s">
        <v>7332</v>
      </c>
      <c r="CE48" s="597" t="s">
        <v>7331</v>
      </c>
      <c r="DA48" s="470" t="s">
        <v>6172</v>
      </c>
      <c r="DB48" s="22">
        <f t="shared" ca="1" si="13"/>
        <v>0</v>
      </c>
      <c r="DC48" s="426" t="s">
        <v>6106</v>
      </c>
      <c r="DF48" s="552" t="s">
        <v>5743</v>
      </c>
      <c r="DG48" s="772" t="s">
        <v>352</v>
      </c>
      <c r="DH48" s="771" t="s">
        <v>7652</v>
      </c>
      <c r="DI48" s="741">
        <f t="shared" ca="1" si="11"/>
        <v>0</v>
      </c>
      <c r="DJ48" s="742" cm="1">
        <f t="array" aca="1" ref="DJ48" ca="1">INDIRECT($DH$3&amp;DH48,1)</f>
        <v>0</v>
      </c>
      <c r="DN48" s="469"/>
      <c r="DV48" s="794" t="s">
        <v>6197</v>
      </c>
      <c r="DW48" s="795">
        <f ca="1">IF(DO6&lt;&gt;DP6,1,0)</f>
        <v>0</v>
      </c>
    </row>
    <row r="49" spans="2:131" x14ac:dyDescent="0.25">
      <c r="F49" s="782" t="s">
        <v>8299</v>
      </c>
      <c r="G49" s="735" t="s">
        <v>5735</v>
      </c>
      <c r="H49" s="735" t="str">
        <f t="shared" si="14"/>
        <v>Composição!O32:O71</v>
      </c>
      <c r="I49" s="25">
        <f ca="1">COUNTA(INDIRECT(H49))- COUNTIF(INDIRECT(H49),"")</f>
        <v>0</v>
      </c>
      <c r="O49" s="735">
        <v>47</v>
      </c>
      <c r="P49" s="735">
        <v>67</v>
      </c>
      <c r="Q49" s="525" t="str" cm="1">
        <f t="array" aca="1" ref="Q49" ca="1">IF(COUNTIF(INDIRECT($G$33&amp;$G$44&amp;O49),$G$52)&gt;0,INDIRECT($G$33&amp;$G$42&amp;O49),"")</f>
        <v/>
      </c>
      <c r="R49" s="525" t="str" cm="1">
        <f t="array" aca="1" ref="R49" ca="1">IF(COUNTIF(INDIRECT($G$33&amp;$G$44&amp;P49),$G$52)&gt;0,INDIRECT($G$33&amp;$G$42&amp;P49),"")</f>
        <v/>
      </c>
      <c r="AZ49" s="470" t="s">
        <v>6172</v>
      </c>
      <c r="BB49" s="25">
        <f ca="1">IF(AND(BF46&lt;&gt;0,BP46=0),1,0)</f>
        <v>0</v>
      </c>
      <c r="BC49" s="750" t="s">
        <v>7845</v>
      </c>
      <c r="DA49" s="470" t="s">
        <v>6172</v>
      </c>
      <c r="DB49" s="22">
        <f t="shared" ca="1" si="13"/>
        <v>0</v>
      </c>
      <c r="DC49" s="426" t="s">
        <v>6422</v>
      </c>
      <c r="DF49" s="552" t="s">
        <v>5743</v>
      </c>
      <c r="DG49" s="772" t="s">
        <v>130</v>
      </c>
      <c r="DH49" s="771" t="s">
        <v>7653</v>
      </c>
      <c r="DI49" s="741">
        <f t="shared" ca="1" si="11"/>
        <v>0</v>
      </c>
      <c r="DJ49" s="742" cm="1">
        <f t="array" aca="1" ref="DJ49" ca="1">INDIRECT($DH$3&amp;DH49,1)</f>
        <v>0</v>
      </c>
      <c r="DO49" s="794" t="s">
        <v>6417</v>
      </c>
      <c r="DP49" s="795">
        <f ca="1">IF(SUM(DQ49:DS49)&gt;0,1,0)</f>
        <v>0</v>
      </c>
      <c r="DQ49" s="795">
        <f ca="1">IF(DI29&lt;&gt;DI34,1,0)</f>
        <v>0</v>
      </c>
      <c r="DR49" s="795">
        <f ca="1">IF(DI38&lt;&gt;DI43,1,0)</f>
        <v>0</v>
      </c>
      <c r="DS49" s="795">
        <f ca="1">IF(DI47&lt;&gt;DI52,1,0)</f>
        <v>0</v>
      </c>
      <c r="DT49" s="796" t="str">
        <f ca="1">IF(DQ49=1,IF(SUM(DR49:DS49)=0,"Teste I","Teste I, "),"")&amp;
IF(DR49=1,IF(DS49=0,"Teste II","Teste II, "),"")&amp;
IF(DS49=1,"Teste III","")</f>
        <v/>
      </c>
      <c r="DV49" s="794" t="s">
        <v>6198</v>
      </c>
      <c r="DW49" s="795">
        <f ca="1">IF(DO6&lt;&gt;DQ6,1,0)</f>
        <v>0</v>
      </c>
    </row>
    <row r="50" spans="2:131" x14ac:dyDescent="0.25">
      <c r="F50" s="782" t="s">
        <v>8300</v>
      </c>
      <c r="G50" s="735" t="s">
        <v>5732</v>
      </c>
      <c r="H50" s="735" t="str">
        <f t="shared" si="14"/>
        <v>Composição!P32:P71</v>
      </c>
      <c r="I50" s="25">
        <f ca="1">COUNTA(INDIRECT(H50))</f>
        <v>0</v>
      </c>
      <c r="O50" s="735">
        <v>48</v>
      </c>
      <c r="P50" s="735">
        <v>68</v>
      </c>
      <c r="Q50" s="525" t="str" cm="1">
        <f t="array" aca="1" ref="Q50" ca="1">IF(COUNTIF(INDIRECT($G$33&amp;$G$44&amp;O50),$G$52)&gt;0,INDIRECT($G$33&amp;$G$42&amp;O50),"")</f>
        <v/>
      </c>
      <c r="R50" s="525" t="str" cm="1">
        <f t="array" aca="1" ref="R50" ca="1">IF(COUNTIF(INDIRECT($G$33&amp;$G$44&amp;P50),$G$52)&gt;0,INDIRECT($G$33&amp;$G$42&amp;P50),"")</f>
        <v/>
      </c>
      <c r="AZ50" s="470" t="s">
        <v>6172</v>
      </c>
      <c r="BB50" s="25">
        <f ca="1">IF(BF52&lt;&gt;BG52,1,0)</f>
        <v>0</v>
      </c>
      <c r="BC50" s="750" t="s">
        <v>6205</v>
      </c>
      <c r="BF50" s="675" t="s">
        <v>284</v>
      </c>
      <c r="BG50" s="675" t="s">
        <v>35</v>
      </c>
      <c r="BH50" s="675" t="s">
        <v>6191</v>
      </c>
      <c r="BI50" s="675" t="s">
        <v>268</v>
      </c>
      <c r="BJ50" s="675"/>
      <c r="DA50" s="470" t="s">
        <v>6172</v>
      </c>
      <c r="DB50" s="22">
        <f t="shared" ca="1" si="13"/>
        <v>0</v>
      </c>
      <c r="DC50" s="426" t="s">
        <v>6423</v>
      </c>
      <c r="DF50" s="552" t="s">
        <v>5743</v>
      </c>
      <c r="DG50" s="772" t="s">
        <v>83</v>
      </c>
      <c r="DH50" s="771" t="s">
        <v>7654</v>
      </c>
      <c r="DI50" s="741">
        <f t="shared" ca="1" si="11"/>
        <v>0</v>
      </c>
      <c r="DJ50" s="742" cm="1">
        <f t="array" aca="1" ref="DJ50" ca="1">INDIRECT($DH$3&amp;DH50,1)</f>
        <v>0</v>
      </c>
      <c r="DO50" s="794" t="s">
        <v>6418</v>
      </c>
      <c r="DP50" s="795">
        <f ca="1">IF(SUM(DQ50:DS50)&gt;0,1,0)</f>
        <v>0</v>
      </c>
      <c r="DQ50" s="795">
        <f ca="1">IF(DI29&lt;&gt;DI35,1,0)</f>
        <v>0</v>
      </c>
      <c r="DR50" s="795">
        <f ca="1">IF(DI38&lt;&gt;DI44,1,0)</f>
        <v>0</v>
      </c>
      <c r="DS50" s="795">
        <f ca="1">IF(DI47&lt;&gt;DI53,1,0)</f>
        <v>0</v>
      </c>
      <c r="DT50" s="796" t="str">
        <f ca="1">IF(DQ50=1,IF(SUM(DR50:DS50)=0,"Teste I","Teste I, "),"")&amp;
IF(DR50=1,IF(DS50=0,"Teste II","Teste II, "),"")&amp;
IF(DS50=1,"Teste III","")</f>
        <v/>
      </c>
      <c r="DV50" s="794" t="s">
        <v>6199</v>
      </c>
      <c r="DW50" s="795">
        <f ca="1">IF(DO6&lt;&gt;DR6,1,0)</f>
        <v>0</v>
      </c>
    </row>
    <row r="51" spans="2:131" x14ac:dyDescent="0.25">
      <c r="F51" s="782" t="s">
        <v>8301</v>
      </c>
      <c r="G51" s="735" t="s">
        <v>5736</v>
      </c>
      <c r="H51" s="735" t="str">
        <f t="shared" si="14"/>
        <v>Composição!Q32:Q71</v>
      </c>
      <c r="I51" s="25">
        <f ca="1">COUNTA(INDIRECT(H51))</f>
        <v>0</v>
      </c>
      <c r="O51" s="735">
        <v>49</v>
      </c>
      <c r="P51" s="735">
        <v>69</v>
      </c>
      <c r="Q51" s="525" t="str" cm="1">
        <f t="array" aca="1" ref="Q51" ca="1">IF(COUNTIF(INDIRECT($G$33&amp;$G$44&amp;O51),$G$52)&gt;0,INDIRECT($G$33&amp;$G$42&amp;O51),"")</f>
        <v/>
      </c>
      <c r="R51" s="525" t="str" cm="1">
        <f t="array" aca="1" ref="R51" ca="1">IF(COUNTIF(INDIRECT($G$33&amp;$G$44&amp;P51),$G$52)&gt;0,INDIRECT($G$33&amp;$G$42&amp;P51),"")</f>
        <v/>
      </c>
      <c r="AZ51" s="470" t="s">
        <v>6172</v>
      </c>
      <c r="BB51" s="25">
        <f ca="1">IF(BF52&lt;&gt;BH52,1,0)</f>
        <v>0</v>
      </c>
      <c r="BC51" s="750" t="s">
        <v>6206</v>
      </c>
      <c r="BE51" s="506" t="s">
        <v>5778</v>
      </c>
      <c r="BF51" s="797" t="s">
        <v>7047</v>
      </c>
      <c r="BG51" s="797" t="s">
        <v>7348</v>
      </c>
      <c r="BH51" s="797" t="s">
        <v>7349</v>
      </c>
      <c r="BI51" s="797" t="s">
        <v>7350</v>
      </c>
      <c r="BJ51" s="797"/>
      <c r="DA51" s="470" t="s">
        <v>6172</v>
      </c>
      <c r="DB51" s="22">
        <f t="shared" ca="1" si="13"/>
        <v>0</v>
      </c>
      <c r="DC51" s="426" t="s">
        <v>6424</v>
      </c>
      <c r="DF51" s="552" t="s">
        <v>5743</v>
      </c>
      <c r="DG51" s="772" t="s">
        <v>100</v>
      </c>
      <c r="DH51" s="771" t="s">
        <v>7655</v>
      </c>
      <c r="DI51" s="741">
        <f t="shared" ca="1" si="11"/>
        <v>0</v>
      </c>
      <c r="DJ51" s="742" cm="1">
        <f t="array" aca="1" ref="DJ51" ca="1">INDIRECT($DH$3&amp;DH51,1)</f>
        <v>0</v>
      </c>
      <c r="DV51" s="794" t="s">
        <v>6200</v>
      </c>
      <c r="DW51" s="795">
        <f ca="1">IF(AND(DO6=1,DS6=0),1,0)</f>
        <v>0</v>
      </c>
    </row>
    <row r="52" spans="2:131" x14ac:dyDescent="0.25">
      <c r="B52" s="472"/>
      <c r="F52" s="798" t="s">
        <v>8303</v>
      </c>
      <c r="G52" s="799" t="s">
        <v>8286</v>
      </c>
      <c r="O52" s="735">
        <v>50</v>
      </c>
      <c r="P52" s="735">
        <v>70</v>
      </c>
      <c r="Q52" s="525" t="str" cm="1">
        <f t="array" aca="1" ref="Q52" ca="1">IF(COUNTIF(INDIRECT($G$33&amp;$G$44&amp;O52),$G$52)&gt;0,INDIRECT($G$33&amp;$G$42&amp;O52),"")</f>
        <v/>
      </c>
      <c r="R52" s="525" t="str" cm="1">
        <f t="array" aca="1" ref="R52" ca="1">IF(COUNTIF(INDIRECT($G$33&amp;$G$44&amp;P52),$G$52)&gt;0,INDIRECT($G$33&amp;$G$42&amp;P52),"")</f>
        <v/>
      </c>
      <c r="AZ52" s="470" t="s">
        <v>6172</v>
      </c>
      <c r="BB52" s="25"/>
      <c r="BC52" s="750"/>
      <c r="BE52" s="790" t="s">
        <v>6222</v>
      </c>
      <c r="BF52" s="597">
        <f ca="1">COUNTA(INDIRECT($BG$43&amp;BF51,1))</f>
        <v>0</v>
      </c>
      <c r="BG52" s="597">
        <f ca="1">COUNTA(INDIRECT($BG$43&amp;BG51,1))</f>
        <v>0</v>
      </c>
      <c r="BH52" s="597">
        <f ca="1">COUNTA(INDIRECT($BG$43&amp;BH51,1))</f>
        <v>0</v>
      </c>
      <c r="BI52" s="597">
        <f ca="1">COUNTA(INDIRECT($BG$43&amp;BI51,1))</f>
        <v>0</v>
      </c>
      <c r="BJ52" s="597"/>
      <c r="DA52" s="470" t="s">
        <v>6172</v>
      </c>
      <c r="DB52" s="22">
        <f t="shared" ca="1" si="13"/>
        <v>0</v>
      </c>
      <c r="DC52" s="426" t="s">
        <v>6425</v>
      </c>
      <c r="DF52" s="552" t="s">
        <v>5743</v>
      </c>
      <c r="DG52" s="772" t="s">
        <v>209</v>
      </c>
      <c r="DH52" s="771" t="s">
        <v>7656</v>
      </c>
      <c r="DI52" s="741">
        <f t="shared" ca="1" si="11"/>
        <v>0</v>
      </c>
      <c r="DJ52" s="742" cm="1">
        <f t="array" aca="1" ref="DJ52" ca="1">INDIRECT($DH$3&amp;DH52,1)</f>
        <v>0</v>
      </c>
      <c r="DO52" s="794" t="s">
        <v>6420</v>
      </c>
      <c r="DP52" s="795">
        <f ca="1">IF(SUM(DQ52:DS52)&gt;0,1,0)</f>
        <v>0</v>
      </c>
      <c r="DQ52" s="795">
        <f ca="1">IF(AND(DJ35="sim",DI37=0),1,0)</f>
        <v>0</v>
      </c>
      <c r="DR52" s="795">
        <f ca="1">IF(AND(DJ44="sim",DI46=0),1,0)</f>
        <v>0</v>
      </c>
      <c r="DS52" s="795">
        <f ca="1">IF(AND(DJ53="sim",DI55=0),1,0)</f>
        <v>0</v>
      </c>
      <c r="DT52" s="796" t="str">
        <f ca="1">IF(DQ52=1,IF(SUM(DR52:DS52)=0,"Teste I","Teste I, "),"")&amp;
IF(DR52=1,IF(DS52=0,"Teste II","Teste II, "),"")&amp;
IF(DS52=1,"Teste III","")</f>
        <v/>
      </c>
      <c r="DV52" s="794" t="s">
        <v>6201</v>
      </c>
      <c r="DW52" s="795">
        <f ca="1">IF(DO6&lt;&gt;DU6,1,0)</f>
        <v>0</v>
      </c>
    </row>
    <row r="53" spans="2:131" x14ac:dyDescent="0.25">
      <c r="O53" s="735">
        <v>51</v>
      </c>
      <c r="P53" s="735">
        <v>71</v>
      </c>
      <c r="Q53" s="525" t="str" cm="1">
        <f t="array" aca="1" ref="Q53" ca="1">IF(COUNTIF(INDIRECT($G$33&amp;$G$44&amp;O53),$G$52)&gt;0,INDIRECT($G$33&amp;$G$42&amp;O53),"")</f>
        <v/>
      </c>
      <c r="R53" s="525" t="str" cm="1">
        <f t="array" aca="1" ref="R53" ca="1">IF(COUNTIF(INDIRECT($G$33&amp;$G$44&amp;P53),$G$52)&gt;0,INDIRECT($G$33&amp;$G$42&amp;P53),"")</f>
        <v/>
      </c>
      <c r="AZ53" s="470" t="s">
        <v>6172</v>
      </c>
      <c r="BB53" s="25"/>
      <c r="BC53" s="750"/>
      <c r="BE53" s="790" t="s">
        <v>6133</v>
      </c>
      <c r="BF53" s="791"/>
      <c r="BG53" s="791"/>
      <c r="BH53" s="791"/>
      <c r="BI53" s="791"/>
      <c r="BJ53" s="791"/>
      <c r="DA53" s="470" t="s">
        <v>6172</v>
      </c>
      <c r="DB53" s="22">
        <f t="shared" si="13"/>
        <v>0</v>
      </c>
      <c r="DC53" s="426" t="s">
        <v>6107</v>
      </c>
      <c r="DF53" s="552" t="s">
        <v>5743</v>
      </c>
      <c r="DG53" s="772" t="s">
        <v>250</v>
      </c>
      <c r="DH53" s="771" t="s">
        <v>7657</v>
      </c>
      <c r="DI53" s="741">
        <f t="shared" ca="1" si="11"/>
        <v>0</v>
      </c>
      <c r="DJ53" s="742" cm="1">
        <f t="array" aca="1" ref="DJ53" ca="1">INDIRECT($DH$3&amp;DH53,1)</f>
        <v>0</v>
      </c>
      <c r="DO53" s="794"/>
      <c r="DP53" s="795"/>
      <c r="DV53" s="794" t="s">
        <v>6202</v>
      </c>
      <c r="DW53" s="795">
        <f ca="1">IF(DO6&lt;&gt;DV6,1,0)</f>
        <v>0</v>
      </c>
    </row>
    <row r="54" spans="2:131" x14ac:dyDescent="0.25">
      <c r="F54" s="800" t="s">
        <v>6135</v>
      </c>
      <c r="G54" s="525">
        <f ca="1">IF(Calculos!S4&lt;&gt;"",1,0)</f>
        <v>0</v>
      </c>
      <c r="H54" s="20" t="s">
        <v>6136</v>
      </c>
      <c r="AZ54" s="470" t="s">
        <v>6172</v>
      </c>
      <c r="BB54" s="25">
        <f ca="1">BJ56</f>
        <v>0</v>
      </c>
      <c r="BC54" s="750" t="s">
        <v>6194</v>
      </c>
      <c r="BE54" s="790" t="s">
        <v>14</v>
      </c>
      <c r="BF54" s="597" t="s">
        <v>7328</v>
      </c>
      <c r="BG54" s="597"/>
      <c r="BH54" s="597"/>
      <c r="BI54" s="597"/>
      <c r="BJ54" s="597"/>
      <c r="DA54" s="470" t="s">
        <v>6172</v>
      </c>
      <c r="DB54" s="22">
        <f t="shared" si="13"/>
        <v>0</v>
      </c>
      <c r="DC54" s="426" t="s">
        <v>6110</v>
      </c>
      <c r="DF54" s="552" t="s">
        <v>5743</v>
      </c>
      <c r="DG54" s="772" t="s">
        <v>251</v>
      </c>
      <c r="DH54" s="771" t="s">
        <v>7658</v>
      </c>
      <c r="DI54" s="741">
        <f t="shared" ca="1" si="11"/>
        <v>0</v>
      </c>
      <c r="DJ54" s="742" cm="1">
        <f t="array" aca="1" ref="DJ54" ca="1">INDIRECT($DH$3&amp;DH54,1)</f>
        <v>0</v>
      </c>
      <c r="DO54" s="794"/>
      <c r="DP54" s="795"/>
      <c r="DV54" s="794" t="s">
        <v>6203</v>
      </c>
      <c r="DW54" s="795">
        <f ca="1">IF(DO6&lt;&gt;DW6,1,0)</f>
        <v>0</v>
      </c>
    </row>
    <row r="55" spans="2:131" x14ac:dyDescent="0.25">
      <c r="F55" s="756" t="s">
        <v>6138</v>
      </c>
      <c r="G55" s="525">
        <f ca="1">IF(I50&gt;0,1,0)</f>
        <v>0</v>
      </c>
      <c r="H55" s="20" t="s">
        <v>6137</v>
      </c>
      <c r="AZ55" s="470" t="s">
        <v>6172</v>
      </c>
      <c r="BB55" s="25">
        <f ca="1">BK72</f>
        <v>0</v>
      </c>
      <c r="BC55" s="750" t="s">
        <v>6208</v>
      </c>
      <c r="DA55" s="470" t="s">
        <v>6172</v>
      </c>
      <c r="DB55" s="22">
        <f t="shared" ca="1" si="13"/>
        <v>0</v>
      </c>
      <c r="DC55" s="426" t="s">
        <v>7080</v>
      </c>
      <c r="DF55" s="552" t="s">
        <v>5743</v>
      </c>
      <c r="DG55" s="772" t="s">
        <v>252</v>
      </c>
      <c r="DH55" s="771" t="s">
        <v>7659</v>
      </c>
      <c r="DI55" s="741">
        <f t="shared" ca="1" si="11"/>
        <v>0</v>
      </c>
      <c r="DJ55" s="742" cm="1">
        <f t="array" aca="1" ref="DJ55" ca="1">INDIRECT($DH$3&amp;DH55,1)</f>
        <v>0</v>
      </c>
      <c r="DO55" s="794" t="s">
        <v>6196</v>
      </c>
      <c r="DP55" s="795">
        <f ca="1">IF(DI29&lt;&gt;EK6,1,0)</f>
        <v>0</v>
      </c>
      <c r="DV55" s="801" t="s">
        <v>6394</v>
      </c>
      <c r="DW55" s="795">
        <f ca="1">IF(DO6&lt;&gt;DX6,1,0)</f>
        <v>0</v>
      </c>
    </row>
    <row r="56" spans="2:131" x14ac:dyDescent="0.25">
      <c r="F56" s="800" t="s">
        <v>6132</v>
      </c>
      <c r="G56" s="525">
        <f ca="1">COUNTIF(INDIRECT($H$44),G38)</f>
        <v>0</v>
      </c>
      <c r="AZ56" s="470" t="s">
        <v>6172</v>
      </c>
      <c r="BB56" s="25">
        <f ca="1">IF(AND(BK67=1,BS46=0),1,0)</f>
        <v>0</v>
      </c>
      <c r="BC56" s="426" t="s">
        <v>8287</v>
      </c>
      <c r="BI56" s="802" t="s">
        <v>6194</v>
      </c>
      <c r="BJ56" s="802">
        <f ca="1">IF(AND(BF46=1,BK71=1,BQ46=0),1,0)</f>
        <v>0</v>
      </c>
      <c r="DA56" s="470" t="s">
        <v>6172</v>
      </c>
      <c r="DB56" s="22">
        <f ca="1">DP24</f>
        <v>0</v>
      </c>
      <c r="DC56" s="426" t="s">
        <v>6067</v>
      </c>
      <c r="DH56" s="477" t="s">
        <v>8368</v>
      </c>
      <c r="DI56" s="732">
        <v>13</v>
      </c>
      <c r="DJ56" s="732">
        <v>359</v>
      </c>
      <c r="DK56" s="732">
        <v>705</v>
      </c>
      <c r="DV56" s="794" t="s">
        <v>6395</v>
      </c>
      <c r="DW56" s="795">
        <f ca="1">IF(DO6&lt;&gt;DY6,1,0)</f>
        <v>0</v>
      </c>
    </row>
    <row r="57" spans="2:131" x14ac:dyDescent="0.25">
      <c r="AZ57" s="470" t="s">
        <v>6172</v>
      </c>
      <c r="BB57" s="25">
        <f ca="1">IF(AND(BF46&lt;&gt;0,CD47=0),1,0)</f>
        <v>0</v>
      </c>
      <c r="BC57" s="426" t="s">
        <v>6209</v>
      </c>
      <c r="BI57" s="802"/>
      <c r="DA57" s="470" t="s">
        <v>6172</v>
      </c>
      <c r="DB57" s="22">
        <f ca="1">DP25</f>
        <v>0</v>
      </c>
      <c r="DC57" s="426" t="s">
        <v>6210</v>
      </c>
      <c r="DH57" s="477" t="s">
        <v>8364</v>
      </c>
      <c r="DI57" s="732">
        <v>11</v>
      </c>
      <c r="DO57" s="757" t="s">
        <v>7927</v>
      </c>
      <c r="DP57" s="767">
        <f>IF(ED25="sim",1,0)</f>
        <v>0</v>
      </c>
      <c r="DQ57" s="767">
        <f>IF(ED32="sim",1,0)</f>
        <v>0</v>
      </c>
      <c r="DR57" s="767">
        <f>IF(ED38="sim",1,0)</f>
        <v>0</v>
      </c>
      <c r="DS57" s="796" t="str">
        <f>IF(DP57=1,IF(SUM(DQ57:DR57)=0,"Teste I","Teste I, "),"")&amp;
IF(DQ57=1,IF(DR57=0,"Teste II","Teste II, "),"")&amp;
IF(DR57=1,"Teste III","")</f>
        <v/>
      </c>
      <c r="DV57" s="794" t="s">
        <v>6396</v>
      </c>
      <c r="DW57" s="795">
        <f ca="1">IF(DO6&lt;&gt;DZ6,1,0)</f>
        <v>0</v>
      </c>
    </row>
    <row r="58" spans="2:131" x14ac:dyDescent="0.25">
      <c r="AZ58" s="470" t="s">
        <v>6172</v>
      </c>
      <c r="BB58" s="25">
        <f ca="1">IF(AND(BF46&lt;&gt;0,BK69=1),1,0)</f>
        <v>0</v>
      </c>
      <c r="BC58" s="426" t="s">
        <v>6195</v>
      </c>
      <c r="BI58" s="802" t="s">
        <v>6216</v>
      </c>
      <c r="BJ58" s="802">
        <f ca="1">IF(AND(BF46=1,BK71=1),1,0)</f>
        <v>0</v>
      </c>
      <c r="DA58" s="470" t="s">
        <v>6172</v>
      </c>
      <c r="DB58" s="22">
        <f>DP27</f>
        <v>0</v>
      </c>
      <c r="DC58" s="426" t="s">
        <v>6070</v>
      </c>
      <c r="DH58" s="477" t="s">
        <v>8365</v>
      </c>
      <c r="DI58" s="732" t="s">
        <v>8369</v>
      </c>
      <c r="DO58" s="757" t="s">
        <v>7928</v>
      </c>
      <c r="DP58" s="767">
        <f>IF(EE25="sim",1,0)</f>
        <v>0</v>
      </c>
      <c r="DQ58" s="767">
        <f>IF(EE32="sim",1,0)</f>
        <v>0</v>
      </c>
      <c r="DR58" s="767">
        <f>IF(EE38="sim",1,0)</f>
        <v>0</v>
      </c>
      <c r="DS58" s="796" t="str">
        <f>IF(DP58=1,IF(SUM(DQ58:DR58)=0,"Teste I","Teste I, "),"")&amp;
IF(DQ58=1,IF(DR58=0,"Teste II","Teste II, "),"")&amp;
IF(DR58=1,"Teste III","")</f>
        <v/>
      </c>
      <c r="DV58" s="801" t="s">
        <v>6397</v>
      </c>
      <c r="DW58" s="795">
        <f ca="1">IF(DO6&lt;&gt;EA6,1,0)</f>
        <v>0</v>
      </c>
    </row>
    <row r="59" spans="2:131" x14ac:dyDescent="0.25">
      <c r="AZ59" s="470" t="s">
        <v>6172</v>
      </c>
      <c r="BB59" s="25">
        <f ca="1">IF(BF46&lt;&gt;CB46,1,0)</f>
        <v>0</v>
      </c>
      <c r="BC59" s="426" t="s">
        <v>6196</v>
      </c>
      <c r="DA59" s="470" t="s">
        <v>6172</v>
      </c>
      <c r="DB59" s="22">
        <f ca="1">DP18</f>
        <v>0</v>
      </c>
      <c r="DC59" s="426" t="s">
        <v>6243</v>
      </c>
      <c r="DH59" s="477" t="s">
        <v>8366</v>
      </c>
      <c r="DI59" s="732" t="s">
        <v>5734</v>
      </c>
      <c r="DO59" s="757" t="s">
        <v>7929</v>
      </c>
      <c r="DP59" s="767">
        <f ca="1">IF(DJ37="sim",1,0)</f>
        <v>0</v>
      </c>
      <c r="DQ59" s="767">
        <f ca="1">IF(DJ46="sim",1,0)</f>
        <v>0</v>
      </c>
      <c r="DR59" s="767">
        <f ca="1">IF(DJ55="sim",1,0)</f>
        <v>0</v>
      </c>
      <c r="DS59" s="796" t="str">
        <f ca="1">IF(DP59=1,IF(SUM(DQ59:DR59)=0,"Teste I","Teste I, "),"")&amp;
IF(DQ59=1,IF(DR59=0,"Teste II","Teste II, "),"")&amp;
IF(DR59=1,"Teste III","")</f>
        <v/>
      </c>
      <c r="DV59" s="794" t="s">
        <v>6398</v>
      </c>
      <c r="DW59" s="795">
        <f ca="1">IF(DO6&lt;&gt;EB6,1,0)</f>
        <v>0</v>
      </c>
    </row>
    <row r="60" spans="2:131" ht="15.75" thickBot="1" x14ac:dyDescent="0.3">
      <c r="B60" s="730" t="s">
        <v>6142</v>
      </c>
      <c r="C60" s="730"/>
      <c r="D60" s="730"/>
      <c r="E60" s="730"/>
      <c r="F60" s="730"/>
      <c r="G60" s="730"/>
      <c r="H60" s="730"/>
      <c r="I60" s="730"/>
      <c r="J60" s="730"/>
      <c r="K60" s="730"/>
      <c r="L60" s="730"/>
      <c r="M60" s="730"/>
      <c r="N60" s="730"/>
      <c r="O60" s="730"/>
      <c r="P60" s="730"/>
      <c r="Q60" s="730"/>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730"/>
      <c r="AO60" s="730"/>
      <c r="AP60" s="730"/>
      <c r="AQ60" s="730"/>
      <c r="AZ60" s="470" t="s">
        <v>6172</v>
      </c>
      <c r="BB60" s="25">
        <f ca="1">IF(BK66=1,1,0)</f>
        <v>0</v>
      </c>
      <c r="BC60" s="426" t="s">
        <v>6071</v>
      </c>
      <c r="BI60" s="472" t="s">
        <v>7352</v>
      </c>
      <c r="BJ60" s="757" t="s">
        <v>6211</v>
      </c>
      <c r="BK60" s="525">
        <f ca="1">BN47</f>
        <v>0</v>
      </c>
      <c r="DA60" s="470" t="s">
        <v>6172</v>
      </c>
      <c r="DB60" s="22">
        <f ca="1">DP21</f>
        <v>0</v>
      </c>
      <c r="DC60" s="426" t="s">
        <v>6068</v>
      </c>
      <c r="DH60" s="477" t="s">
        <v>8367</v>
      </c>
      <c r="DI60" s="732" t="s">
        <v>5737</v>
      </c>
      <c r="DV60" s="794" t="s">
        <v>7911</v>
      </c>
      <c r="DW60" s="795">
        <f ca="1">IF(DO6&lt;&gt;EB6,1,0)</f>
        <v>0</v>
      </c>
    </row>
    <row r="61" spans="2:131" x14ac:dyDescent="0.25">
      <c r="AZ61" s="470" t="s">
        <v>6172</v>
      </c>
      <c r="BB61" s="25">
        <f ca="1">BJ58</f>
        <v>0</v>
      </c>
      <c r="BC61" s="426" t="s">
        <v>6216</v>
      </c>
      <c r="BI61" s="469" t="s">
        <v>5448</v>
      </c>
      <c r="BJ61" s="758" t="s">
        <v>6223</v>
      </c>
      <c r="BK61" s="759" t="str">
        <f ca="1">IF(BK60&lt;&gt;0,
IF(COUNTIF($M$65:$M$94,BK60)=0,1,0),"")</f>
        <v/>
      </c>
      <c r="BL61" s="20" t="s">
        <v>6212</v>
      </c>
      <c r="DA61" s="470" t="s">
        <v>6172</v>
      </c>
      <c r="DB61" s="22">
        <f ca="1">DP22</f>
        <v>0</v>
      </c>
      <c r="DC61" s="426" t="s">
        <v>6069</v>
      </c>
      <c r="DH61" s="803" t="s">
        <v>10</v>
      </c>
      <c r="DI61" s="803" t="s">
        <v>10</v>
      </c>
      <c r="DJ61" s="469" t="s">
        <v>237</v>
      </c>
      <c r="DK61" s="469" t="s">
        <v>237</v>
      </c>
      <c r="DV61" s="794" t="s">
        <v>6399</v>
      </c>
      <c r="DW61" s="795">
        <f ca="1">IF(AND(EC7="sim",ED6=0),1,0)</f>
        <v>0</v>
      </c>
    </row>
    <row r="62" spans="2:131" x14ac:dyDescent="0.25">
      <c r="F62" s="477" t="s">
        <v>8288</v>
      </c>
      <c r="G62" s="732" t="s">
        <v>6158</v>
      </c>
      <c r="AZ62" s="470" t="s">
        <v>6172</v>
      </c>
      <c r="BB62" s="25">
        <f ca="1">IF(CD47=2,1,0)</f>
        <v>0</v>
      </c>
      <c r="BC62" s="426" t="s">
        <v>6067</v>
      </c>
      <c r="BI62" s="472" t="s">
        <v>7352</v>
      </c>
      <c r="BJ62" s="757" t="s">
        <v>6178</v>
      </c>
      <c r="BK62" s="525">
        <f ca="1">IFERROR(VLOOKUP(BK60,$M$65:$P$94,4,0),0)</f>
        <v>0</v>
      </c>
      <c r="DA62" s="470" t="s">
        <v>6172</v>
      </c>
      <c r="DB62" s="426"/>
      <c r="DC62" s="430" t="s">
        <v>8297</v>
      </c>
      <c r="DF62" s="608" t="s">
        <v>5741</v>
      </c>
      <c r="DG62" s="737" t="s">
        <v>90</v>
      </c>
      <c r="DH62" s="804">
        <f>$DI$56</f>
        <v>13</v>
      </c>
      <c r="DI62" s="804">
        <f t="shared" ref="DI62:DI91" si="16">DH62+$DI$57</f>
        <v>24</v>
      </c>
      <c r="DJ62" s="804">
        <f>DI62+6</f>
        <v>30</v>
      </c>
      <c r="DK62" s="804">
        <f t="shared" ref="DK62:DK91" si="17">DJ62+$DI$57</f>
        <v>41</v>
      </c>
      <c r="DV62" s="794" t="s">
        <v>6400</v>
      </c>
      <c r="DW62" s="795">
        <f ca="1">IF(AND(EC7="sim",EE6=0),1,0)</f>
        <v>0</v>
      </c>
    </row>
    <row r="63" spans="2:131" x14ac:dyDescent="0.25">
      <c r="F63" s="477" t="s">
        <v>8289</v>
      </c>
      <c r="G63" s="735">
        <f>ROW(Certificados!AA19)</f>
        <v>19</v>
      </c>
      <c r="L63" s="20" t="s">
        <v>8311</v>
      </c>
      <c r="S63" s="20" t="s">
        <v>8312</v>
      </c>
      <c r="U63" s="721"/>
      <c r="V63" s="721"/>
      <c r="AA63" s="20" t="s">
        <v>8317</v>
      </c>
      <c r="AC63" s="657" t="s">
        <v>8318</v>
      </c>
      <c r="AD63" s="805"/>
      <c r="AE63" s="805"/>
      <c r="AF63" s="805"/>
      <c r="AG63" s="659"/>
      <c r="AK63" s="20" t="s">
        <v>6171</v>
      </c>
      <c r="AM63" s="20" t="s">
        <v>7318</v>
      </c>
      <c r="AO63" s="20" t="s">
        <v>7320</v>
      </c>
      <c r="AZ63" s="470" t="s">
        <v>6172</v>
      </c>
      <c r="BB63" s="25">
        <f ca="1">IF(BK68=1,1,0)</f>
        <v>0</v>
      </c>
      <c r="BC63" s="426" t="s">
        <v>6210</v>
      </c>
      <c r="BI63" s="472" t="s">
        <v>7353</v>
      </c>
      <c r="BJ63" s="757" t="s">
        <v>6213</v>
      </c>
      <c r="BK63" s="525">
        <f ca="1">BM47</f>
        <v>0</v>
      </c>
      <c r="DA63" s="470" t="s">
        <v>6172</v>
      </c>
      <c r="DB63" s="426"/>
      <c r="DC63" s="430" t="s">
        <v>8297</v>
      </c>
      <c r="DF63" s="608" t="s">
        <v>5741</v>
      </c>
      <c r="DG63" s="737" t="s">
        <v>91</v>
      </c>
      <c r="DH63" s="806">
        <f t="shared" ref="DH63:DH71" si="18">DI62+$DI$58</f>
        <v>47</v>
      </c>
      <c r="DI63" s="807">
        <f t="shared" si="16"/>
        <v>58</v>
      </c>
      <c r="DJ63" s="806">
        <f t="shared" ref="DJ63:DJ71" si="19">DK62+$DI$58</f>
        <v>64</v>
      </c>
      <c r="DK63" s="807">
        <f t="shared" si="17"/>
        <v>75</v>
      </c>
      <c r="DV63" s="794" t="s">
        <v>6401</v>
      </c>
      <c r="DW63" s="795">
        <f ca="1">IF(DO6&lt;&gt;DO13,1,0)</f>
        <v>0</v>
      </c>
      <c r="DX63" s="504" t="s">
        <v>88</v>
      </c>
      <c r="DY63" s="504" t="s">
        <v>101</v>
      </c>
      <c r="DZ63" s="504" t="s">
        <v>120</v>
      </c>
      <c r="EA63" s="504" t="s">
        <v>7070</v>
      </c>
    </row>
    <row r="64" spans="2:131" x14ac:dyDescent="0.25">
      <c r="F64" s="477" t="s">
        <v>8290</v>
      </c>
      <c r="G64" s="735">
        <f>ROW(Certificados!$AA$48)</f>
        <v>48</v>
      </c>
      <c r="K64" s="572"/>
      <c r="L64" s="808" t="s">
        <v>13</v>
      </c>
      <c r="M64" s="808" t="s">
        <v>6143</v>
      </c>
      <c r="N64" s="808" t="s">
        <v>199</v>
      </c>
      <c r="O64" s="808" t="s">
        <v>6144</v>
      </c>
      <c r="P64" s="808" t="s">
        <v>6145</v>
      </c>
      <c r="Q64" s="808" t="s">
        <v>6146</v>
      </c>
      <c r="R64" s="808" t="s">
        <v>6147</v>
      </c>
      <c r="S64" s="809" t="s">
        <v>11</v>
      </c>
      <c r="T64" s="809" t="s">
        <v>108</v>
      </c>
      <c r="U64" s="809" t="s">
        <v>6159</v>
      </c>
      <c r="V64" s="809" t="s">
        <v>6160</v>
      </c>
      <c r="X64" s="809" t="s">
        <v>6162</v>
      </c>
      <c r="Y64" s="810" t="s">
        <v>6169</v>
      </c>
      <c r="Z64" s="809" t="s">
        <v>6170</v>
      </c>
      <c r="AA64" s="810" t="s">
        <v>6181</v>
      </c>
      <c r="AB64" s="810" t="s">
        <v>18</v>
      </c>
      <c r="AC64" s="810">
        <v>2</v>
      </c>
      <c r="AD64" s="810">
        <v>3</v>
      </c>
      <c r="AE64" s="810">
        <v>4</v>
      </c>
      <c r="AF64" s="810">
        <v>5</v>
      </c>
      <c r="AG64" s="810">
        <v>6</v>
      </c>
      <c r="AH64" s="811" t="s">
        <v>6168</v>
      </c>
      <c r="AI64" s="811" t="s">
        <v>8320</v>
      </c>
      <c r="AK64" s="811" t="s">
        <v>8321</v>
      </c>
      <c r="AL64" s="812" t="s">
        <v>7317</v>
      </c>
      <c r="AM64" s="812" t="s">
        <v>7319</v>
      </c>
      <c r="AO64" s="812" t="s">
        <v>6163</v>
      </c>
      <c r="AP64" s="812" t="s">
        <v>8322</v>
      </c>
      <c r="AQ64" s="811" t="s">
        <v>8325</v>
      </c>
      <c r="AZ64" s="470" t="s">
        <v>6172</v>
      </c>
      <c r="BB64" s="25">
        <f ca="1">IF(BK61=1,1,0)</f>
        <v>0</v>
      </c>
      <c r="BC64" s="426" t="s">
        <v>6243</v>
      </c>
      <c r="BI64" s="469" t="s">
        <v>5448</v>
      </c>
      <c r="BJ64" s="758" t="s">
        <v>6179</v>
      </c>
      <c r="BK64" s="759">
        <f ca="1">IF(BK61&lt;&gt;1,
IF((BK62-BK63)&lt;0,1,0),
0)</f>
        <v>0</v>
      </c>
      <c r="BL64" s="20" t="s">
        <v>6180</v>
      </c>
      <c r="DA64" s="470" t="s">
        <v>6172</v>
      </c>
      <c r="DB64" s="426"/>
      <c r="DC64" s="430" t="s">
        <v>8297</v>
      </c>
      <c r="DF64" s="608" t="s">
        <v>5741</v>
      </c>
      <c r="DG64" s="737" t="s">
        <v>92</v>
      </c>
      <c r="DH64" s="807">
        <f t="shared" si="18"/>
        <v>81</v>
      </c>
      <c r="DI64" s="807">
        <f t="shared" si="16"/>
        <v>92</v>
      </c>
      <c r="DJ64" s="807">
        <f t="shared" si="19"/>
        <v>98</v>
      </c>
      <c r="DK64" s="807">
        <f t="shared" si="17"/>
        <v>109</v>
      </c>
      <c r="DV64" s="794" t="s">
        <v>6402</v>
      </c>
      <c r="DW64" s="795">
        <f ca="1">IF(SUM(DX64:DZ64)&gt;0,1,0)</f>
        <v>0</v>
      </c>
      <c r="DX64" s="795">
        <f ca="1">IF(DI29&lt;&gt;DI30,1,0)</f>
        <v>0</v>
      </c>
      <c r="DY64" s="795">
        <f ca="1">IF(DI38&lt;&gt;DI39,1,0)</f>
        <v>0</v>
      </c>
      <c r="DZ64" s="795">
        <f ca="1">IF(DI47&lt;&gt;DI48,1,0)</f>
        <v>0</v>
      </c>
      <c r="EA64" s="796" t="str">
        <f ca="1">IF(DX64=1,IF(SUM(DY64:DZ64)=0,"Teste I","Teste I, "),"")&amp;
IF(DY64=1,IF(DZ64=0,"Teste II","Teste II, "),"")&amp;
IF(DZ64=1,"Teste III","")</f>
        <v/>
      </c>
    </row>
    <row r="65" spans="2:138" x14ac:dyDescent="0.25">
      <c r="B65" s="477" t="s">
        <v>8104</v>
      </c>
      <c r="C65" s="477" t="s">
        <v>8294</v>
      </c>
      <c r="D65" s="477" t="s">
        <v>143</v>
      </c>
      <c r="F65" s="477" t="s">
        <v>143</v>
      </c>
      <c r="G65" s="735" t="s">
        <v>8310</v>
      </c>
      <c r="H65" s="776">
        <f ca="1">COUNTA(INDIRECT(G62&amp;G65))</f>
        <v>0</v>
      </c>
      <c r="K65" s="525">
        <v>19</v>
      </c>
      <c r="L65" s="25" t="str" cm="1">
        <f t="array" aca="1" ref="L65" ca="1">IF(INDIRECT($G$62&amp;G$67&amp;$K65)&lt;&gt;0,INDIRECT($G$62&amp;G$67&amp;$K65),"")</f>
        <v/>
      </c>
      <c r="M65" s="25" t="str" cm="1">
        <f t="array" aca="1" ref="M65" ca="1">IF(INDIRECT($G$62&amp;G$68&amp;$K65)&lt;&gt;0,INDIRECT($G$62&amp;G$68&amp;$K65),"")</f>
        <v/>
      </c>
      <c r="N65" s="25" t="str" cm="1">
        <f t="array" aca="1" ref="N65" ca="1">IF(INDIRECT($G$62&amp;G$69&amp;$K65)&lt;&gt;0,INDIRECT($G$62&amp;G$69&amp;$K65),"")</f>
        <v/>
      </c>
      <c r="O65" s="25" t="str" cm="1">
        <f t="array" aca="1" ref="O65" ca="1">IF(INDIRECT($G$62&amp;G$70&amp;$K65)&lt;&gt;0,INDIRECT($G$62&amp;G$70&amp;$K65),"")</f>
        <v/>
      </c>
      <c r="P65" s="25" t="str" cm="1">
        <f t="array" aca="1" ref="P65" ca="1">IF(INDIRECT($G$62&amp;G$71&amp;$K65)&lt;&gt;0,INDIRECT($G$62&amp;G$71&amp;$K65),"")</f>
        <v/>
      </c>
      <c r="Q65" s="25" t="str" cm="1">
        <f t="array" aca="1" ref="Q65" ca="1">IF(INDIRECT($G$62&amp;G$72&amp;$K65)&lt;&gt;0,INDIRECT($G$62&amp;G$72&amp;$K65),"")</f>
        <v/>
      </c>
      <c r="R65" s="25" t="str" cm="1">
        <f t="array" aca="1" ref="R65" ca="1">IF(INDIRECT($G$62&amp;G$73&amp;$K65)&lt;&gt;0,INDIRECT($G$62&amp;G$73&amp;$K65),"")</f>
        <v/>
      </c>
      <c r="S65" s="525" t="str">
        <f t="shared" ref="S65:S94" ca="1" si="20">IFERROR(INDEX(INDIRECT($H$10),MATCH(L65,INDIRECT($H$8),0),1),"")</f>
        <v/>
      </c>
      <c r="T65" s="525" t="str">
        <f ca="1">IFERROR(INDEX(INDIRECT($H$45),MATCH(S65,INDIRECT($H$42),0),1),"")</f>
        <v/>
      </c>
      <c r="U65" s="525" t="str">
        <f ca="1">IFERROR(INDEX(INDIRECT($H$46),MATCH(S65,INDIRECT($H$42),0),1),"")</f>
        <v/>
      </c>
      <c r="V65" s="525" t="str">
        <f ca="1">IFERROR(INDEX(INDIRECT($H$47),MATCH(S65,INDIRECT($H$42),0),1),"")</f>
        <v/>
      </c>
      <c r="X65" s="525" t="str">
        <f ca="1">IF(L65="","",IF(P65="",$Y$99,$Y$98))</f>
        <v/>
      </c>
      <c r="Y65" s="525" t="str">
        <f ca="1">IF(L65="","",
IF(X65=$Y$99,$Y$96,
IF(P65&lt;Q65,$Y$97,$Y$100)))</f>
        <v/>
      </c>
      <c r="Z65" s="525" t="str">
        <f ca="1">IF(S65="","",
IF(AND(R65&gt;U65,R65&lt;V65),$Y$100,$Y$101))</f>
        <v/>
      </c>
      <c r="AA65" s="525" t="str">
        <f ca="1">IF(Z65=$Y$100,1,
IF(Z65=$Y$101,2,""))</f>
        <v/>
      </c>
      <c r="AB65" s="501" t="str">
        <f>IF(X6="","",
IF(AND(Y65=$Y$100,Z65=$Y$100),1,
IF(AND(Y65=$Y$97,Z65=$Y$100),2,
IF(AND(Y65=$Y$97,Z65=$Y$101),3,
IF(AND(Y65=$Y$96,Z65=$Y$100),4,
IF(AND(Y65=$Y$96,Z65=$Y$101),5,
IF(AND(Y65=$Y$100,Z65=$Y$101),6,
"")))))))</f>
        <v/>
      </c>
      <c r="AC65" s="501" t="str">
        <f>IF($AB65=AC$64,$M65&amp;"; ","")</f>
        <v/>
      </c>
      <c r="AD65" s="501" t="str">
        <f>IF($AB65=AD$64,$M65&amp;"; ","")</f>
        <v/>
      </c>
      <c r="AE65" s="501" t="str">
        <f>IF($AB65=AE$64,$M65&amp;"; ","")</f>
        <v/>
      </c>
      <c r="AF65" s="501" t="str">
        <f>IF($AB65=AF$64,$M65&amp;"; ","")</f>
        <v/>
      </c>
      <c r="AG65" s="501" t="str">
        <f>IF($AB65=AG$64,$M65&amp;"; ","")</f>
        <v/>
      </c>
      <c r="AH65" s="525" t="str">
        <f ca="1">IF(AND(O65&lt;&gt;"",P65&lt;&gt;""),
IF((P65-O65)&gt;$Y$102,1,0),"")</f>
        <v/>
      </c>
      <c r="AI65" s="525" t="str">
        <f ca="1">IF($AH65=1,$M65&amp;"; ","")</f>
        <v/>
      </c>
      <c r="AK65" s="496" t="str" cm="1">
        <f t="array" aca="1" ref="AK65" ca="1">IFERROR(
INDEX($M$65:$M$94,MATCH(0,INDEX(COUNTIF(AK$63:$AK64,$M$65:$M$94),),)),"")</f>
        <v/>
      </c>
      <c r="AL65" s="426" t="str">
        <f ca="1">IF(AK65="","",COUNTIF($M$65:$M$94,AK65))</f>
        <v/>
      </c>
      <c r="AM65" s="25" t="str">
        <f t="shared" ref="AM65:AM94" ca="1" si="21">IFERROR(MOD(AL65,$G$84),"")</f>
        <v/>
      </c>
      <c r="AO65" s="426" t="str">
        <f ca="1">IF(AK65="","",AM65&lt;&gt;0)</f>
        <v/>
      </c>
      <c r="AP65" s="813" t="str">
        <f ca="1">IF(AO65=TRUE,AK65&amp;"; ","")</f>
        <v/>
      </c>
      <c r="AQ65" s="496" t="str" cm="1">
        <f t="array" aca="1" ref="AQ65" ca="1">IFERROR(
INDEX($L$65:$L$94,MATCH(0,INDEX(COUNTIF($AQ$63:AQ64,$L$65:$L$94),),)),"")</f>
        <v/>
      </c>
      <c r="AZ65" s="470" t="s">
        <v>6172</v>
      </c>
      <c r="BB65" s="25">
        <f ca="1">IF(BK64=1,1,0)</f>
        <v>0</v>
      </c>
      <c r="BC65" s="426" t="s">
        <v>6068</v>
      </c>
      <c r="BI65" s="469" t="s">
        <v>5448</v>
      </c>
      <c r="BJ65" s="758" t="s">
        <v>7354</v>
      </c>
      <c r="BK65" s="759">
        <f ca="1">IF(COUNTIFS($M$65:$M$94,BK60,$AA$65:$AA$94,2)&gt;0,1,0)</f>
        <v>0</v>
      </c>
      <c r="BL65" s="20" t="s">
        <v>7355</v>
      </c>
      <c r="DA65" s="470" t="s">
        <v>6172</v>
      </c>
      <c r="DB65" s="426"/>
      <c r="DC65" s="430" t="s">
        <v>8297</v>
      </c>
      <c r="DF65" s="608" t="s">
        <v>5741</v>
      </c>
      <c r="DG65" s="737" t="s">
        <v>93</v>
      </c>
      <c r="DH65" s="807">
        <f t="shared" si="18"/>
        <v>115</v>
      </c>
      <c r="DI65" s="807">
        <f t="shared" si="16"/>
        <v>126</v>
      </c>
      <c r="DJ65" s="807">
        <f t="shared" si="19"/>
        <v>132</v>
      </c>
      <c r="DK65" s="807">
        <f t="shared" si="17"/>
        <v>143</v>
      </c>
      <c r="DV65" s="814" t="s">
        <v>6403</v>
      </c>
      <c r="DW65" s="795">
        <f ca="1">IF(SUM(DX65:DZ65)&gt;0,1,0)</f>
        <v>0</v>
      </c>
      <c r="DX65" s="795">
        <f ca="1">IF(AND(DP34=1,DI40=0),1,0)</f>
        <v>0</v>
      </c>
      <c r="DY65" s="795">
        <f ca="1">IF(AND(DQ34=1,DI40=0),1,0)</f>
        <v>0</v>
      </c>
      <c r="DZ65" s="795">
        <f ca="1">IF(AND(DR34=1,DI49=0),1,0)</f>
        <v>0</v>
      </c>
      <c r="EA65" s="796" t="str">
        <f ca="1">IF(DX65=1,IF(SUM(DY65:DZ65)=0,"Teste I","Teste I, "),"")&amp;
IF(DY65=1,IF(DZ65=0,"Teste II","Teste II, "),"")&amp;
IF(DZ65=1,"Teste III","")</f>
        <v/>
      </c>
    </row>
    <row r="66" spans="2:138" x14ac:dyDescent="0.25">
      <c r="B66" s="22">
        <f ca="1">IF(I67&lt;&gt;I70,1,0)</f>
        <v>0</v>
      </c>
      <c r="C66" s="450" t="s">
        <v>6149</v>
      </c>
      <c r="D66" s="572" t="s">
        <v>8297</v>
      </c>
      <c r="H66" s="572"/>
      <c r="I66" s="20" t="s">
        <v>8291</v>
      </c>
      <c r="K66" s="525">
        <v>20</v>
      </c>
      <c r="L66" s="25" t="str" cm="1">
        <f t="array" aca="1" ref="L66" ca="1">IF(INDIRECT($G$62&amp;G$67&amp;$K66)&lt;&gt;0,INDIRECT($G$62&amp;G$67&amp;$K66),"")</f>
        <v/>
      </c>
      <c r="M66" s="25" t="str" cm="1">
        <f t="array" aca="1" ref="M66" ca="1">IF(INDIRECT($G$62&amp;G$68&amp;$K66)&lt;&gt;0,INDIRECT($G$62&amp;G$68&amp;$K66),"")</f>
        <v/>
      </c>
      <c r="N66" s="25" t="str" cm="1">
        <f t="array" aca="1" ref="N66" ca="1">IF(INDIRECT($G$62&amp;G$69&amp;$K66)&lt;&gt;0,INDIRECT($G$62&amp;G$69&amp;$K66),"")</f>
        <v/>
      </c>
      <c r="O66" s="25" t="str" cm="1">
        <f t="array" aca="1" ref="O66" ca="1">IF(INDIRECT($G$62&amp;G$70&amp;$K66)&lt;&gt;0,INDIRECT($G$62&amp;G$70&amp;$K66),"")</f>
        <v/>
      </c>
      <c r="P66" s="25" t="str" cm="1">
        <f t="array" aca="1" ref="P66" ca="1">IF(INDIRECT($G$62&amp;G$71&amp;$K66)&lt;&gt;0,INDIRECT($G$62&amp;G$71&amp;$K66),"")</f>
        <v/>
      </c>
      <c r="Q66" s="25" t="str" cm="1">
        <f t="array" aca="1" ref="Q66" ca="1">IF(INDIRECT($G$62&amp;G$72&amp;$K66)&lt;&gt;0,INDIRECT($G$62&amp;G$72&amp;$K66),"")</f>
        <v/>
      </c>
      <c r="R66" s="25" t="str" cm="1">
        <f t="array" aca="1" ref="R66" ca="1">IF(INDIRECT($G$62&amp;G$73&amp;$K66)&lt;&gt;0,INDIRECT($G$62&amp;G$73&amp;$K66),"")</f>
        <v/>
      </c>
      <c r="S66" s="525" t="str">
        <f t="shared" ca="1" si="20"/>
        <v/>
      </c>
      <c r="T66" s="525" t="str">
        <f t="shared" ref="T66:T94" ca="1" si="22">IFERROR(INDEX(INDIRECT($H$45),MATCH(S66,INDIRECT($H$42),0),1),"")</f>
        <v/>
      </c>
      <c r="U66" s="525" t="str">
        <f t="shared" ref="U66:U94" ca="1" si="23">IFERROR(INDEX(INDIRECT($H$46),MATCH(S66,INDIRECT($H$42),0),1),"")</f>
        <v/>
      </c>
      <c r="V66" s="525" t="str">
        <f t="shared" ref="V66:V94" ca="1" si="24">IFERROR(INDEX(INDIRECT($H$47),MATCH(S66,INDIRECT($H$42),0),1),"")</f>
        <v/>
      </c>
      <c r="X66" s="525" t="str">
        <f t="shared" ref="X66:X94" ca="1" si="25">IF(L66="","",IF(P66="",$Y$99,$Y$98))</f>
        <v/>
      </c>
      <c r="Y66" s="525" t="str">
        <f ca="1">IF(L66="","",
IF(X66=$Y$99,$Y$96,
IF(P66&lt;Q66,$Y$97,$Y$100)))</f>
        <v/>
      </c>
      <c r="Z66" s="525" t="str">
        <f t="shared" ref="Z66:Z94" ca="1" si="26">IF(S66="","",
IF(AND(R66&gt;U66,R66&lt;V66),$Y$100,$Y$101))</f>
        <v/>
      </c>
      <c r="AA66" s="525" t="str">
        <f t="shared" ref="AA66:AA94" ca="1" si="27">IF(Z66="ok",1,
IF(Z66="fora",2,""))</f>
        <v/>
      </c>
      <c r="AB66" s="501" t="str">
        <f t="shared" ref="AB66:AB94" si="28">IF(X7="","",
IF(AND(Y66=$Y$100,Z66=$Y$100),1,
IF(AND(Y66=$Y$97,Z66=$Y$100),2,
IF(AND(Y66=$Y$97,Z66=$Y$101),3,
IF(AND(Y66=$Y$96,Z66=$Y$100),4,
IF(AND(Y66=$Y$96,Z66=$Y$101),5,
IF(AND(Y66=$Y$100,Z66=$Y$101),6,
"")))))))</f>
        <v/>
      </c>
      <c r="AC66" s="501" t="str">
        <f t="shared" ref="AC66:AG94" si="29">IF($AB66=AC$64,$M66&amp;"; ","")</f>
        <v/>
      </c>
      <c r="AD66" s="501" t="str">
        <f t="shared" si="29"/>
        <v/>
      </c>
      <c r="AE66" s="501" t="str">
        <f t="shared" si="29"/>
        <v/>
      </c>
      <c r="AF66" s="501" t="str">
        <f t="shared" si="29"/>
        <v/>
      </c>
      <c r="AG66" s="501" t="str">
        <f t="shared" si="29"/>
        <v/>
      </c>
      <c r="AH66" s="525" t="str">
        <f t="shared" ref="AH66:AH93" ca="1" si="30">IF(AND(O66&lt;&gt;"",P66&lt;&gt;""),
IF((P66-O66)&gt;$Y$102,1,0),"")</f>
        <v/>
      </c>
      <c r="AI66" s="525" t="str">
        <f t="shared" ref="AI66:AI94" ca="1" si="31">IF($AH66=1,$M66&amp;"; ","")</f>
        <v/>
      </c>
      <c r="AK66" s="496" t="str" cm="1">
        <f t="array" aca="1" ref="AK66" ca="1">IFERROR(
INDEX($M$65:$M$94,MATCH(0,INDEX(COUNTIF(AK$63:$AK65,$M$65:$M$94),),)),"")</f>
        <v/>
      </c>
      <c r="AL66" s="426" t="str">
        <f t="shared" ref="AL66:AL94" ca="1" si="32">IF(AK66="","",COUNTIF($M$65:$M$94,AK66))</f>
        <v/>
      </c>
      <c r="AM66" s="25" t="str">
        <f t="shared" ca="1" si="21"/>
        <v/>
      </c>
      <c r="AO66" s="426" t="str">
        <f t="shared" ref="AO66:AO94" ca="1" si="33">IF(AK66="","",AM66&lt;&gt;0)</f>
        <v/>
      </c>
      <c r="AP66" s="813" t="str">
        <f t="shared" ref="AP66:AP94" ca="1" si="34">IF(AO66=TRUE,AK66&amp;"; ","")</f>
        <v/>
      </c>
      <c r="AQ66" s="496" t="str" cm="1">
        <f t="array" aca="1" ref="AQ66" ca="1">IFERROR(
INDEX($L$65:$L$94,MATCH(0,INDEX(COUNTIF($AQ$63:AQ65,$L$65:$L$94),),)),"")</f>
        <v/>
      </c>
      <c r="AZ66" s="470" t="s">
        <v>6172</v>
      </c>
      <c r="BB66" s="25">
        <f ca="1">IF(BK65=1,1,0)</f>
        <v>0</v>
      </c>
      <c r="BC66" s="426" t="s">
        <v>6069</v>
      </c>
      <c r="BI66" s="469" t="s">
        <v>5448</v>
      </c>
      <c r="BJ66" s="758" t="s">
        <v>7356</v>
      </c>
      <c r="BK66" s="767">
        <f ca="1">IF(BI47="Não",1,0)</f>
        <v>0</v>
      </c>
      <c r="BL66" s="20" t="s">
        <v>7357</v>
      </c>
      <c r="DA66" s="470" t="s">
        <v>6172</v>
      </c>
      <c r="DB66" s="426"/>
      <c r="DC66" s="430" t="s">
        <v>8297</v>
      </c>
      <c r="DF66" s="608" t="s">
        <v>5741</v>
      </c>
      <c r="DG66" s="737" t="s">
        <v>94</v>
      </c>
      <c r="DH66" s="807">
        <f t="shared" si="18"/>
        <v>149</v>
      </c>
      <c r="DI66" s="807">
        <f t="shared" si="16"/>
        <v>160</v>
      </c>
      <c r="DJ66" s="807">
        <f t="shared" si="19"/>
        <v>166</v>
      </c>
      <c r="DK66" s="807">
        <f t="shared" si="17"/>
        <v>177</v>
      </c>
      <c r="DV66" s="801" t="s">
        <v>6404</v>
      </c>
      <c r="DW66" s="795">
        <f ca="1">IF(SUM(DX66:DZ66)&gt;0,1,0)</f>
        <v>0</v>
      </c>
      <c r="DX66" s="795">
        <f ca="1">IF(DI29&lt;&gt;DI32,1,0)</f>
        <v>0</v>
      </c>
      <c r="DY66" s="795">
        <f ca="1">IF(DI38&lt;&gt;DI41,1,0)</f>
        <v>0</v>
      </c>
      <c r="DZ66" s="795">
        <f ca="1">IF(DI47&lt;&gt;DI50,1,0)</f>
        <v>0</v>
      </c>
      <c r="EA66" s="796" t="str">
        <f ca="1">IF(DX66=1,IF(SUM(DY66:DZ66)=0,"Teste I","Teste I, "),"")&amp;
IF(DY66=1,IF(DZ66=0,"Teste II","Teste II, "),"")&amp;
IF(DZ66=1,"Teste III","")</f>
        <v/>
      </c>
    </row>
    <row r="67" spans="2:138" x14ac:dyDescent="0.25">
      <c r="B67" s="22">
        <f ca="1">IF(I67&lt;&gt;I71,1,0)</f>
        <v>0</v>
      </c>
      <c r="C67" s="450" t="s">
        <v>6148</v>
      </c>
      <c r="D67" s="572" t="s">
        <v>8297</v>
      </c>
      <c r="F67" s="782" t="s">
        <v>13</v>
      </c>
      <c r="G67" s="735" t="s">
        <v>6153</v>
      </c>
      <c r="H67" s="735" t="str">
        <f>$G$62&amp;G67&amp;$G$63&amp;":"&amp;G67&amp;$G$64</f>
        <v>Certificados!F19:F48</v>
      </c>
      <c r="I67" s="25">
        <f t="shared" ref="I67:I73" ca="1" si="35">COUNTA(INDIRECT(H67))</f>
        <v>0</v>
      </c>
      <c r="K67" s="525">
        <v>21</v>
      </c>
      <c r="L67" s="25" t="str" cm="1">
        <f t="array" aca="1" ref="L67" ca="1">IF(INDIRECT($G$62&amp;G$67&amp;$K67)&lt;&gt;0,INDIRECT($G$62&amp;G$67&amp;$K67),"")</f>
        <v/>
      </c>
      <c r="M67" s="25" t="str" cm="1">
        <f t="array" aca="1" ref="M67" ca="1">IF(INDIRECT($G$62&amp;G$68&amp;$K67)&lt;&gt;0,INDIRECT($G$62&amp;G$68&amp;$K67),"")</f>
        <v/>
      </c>
      <c r="N67" s="25" t="str" cm="1">
        <f t="array" aca="1" ref="N67" ca="1">IF(INDIRECT($G$62&amp;G$69&amp;$K67)&lt;&gt;0,INDIRECT($G$62&amp;G$69&amp;$K67),"")</f>
        <v/>
      </c>
      <c r="O67" s="25" t="str" cm="1">
        <f t="array" aca="1" ref="O67" ca="1">IF(INDIRECT($G$62&amp;G$70&amp;$K67)&lt;&gt;0,INDIRECT($G$62&amp;G$70&amp;$K67),"")</f>
        <v/>
      </c>
      <c r="P67" s="25" t="str" cm="1">
        <f t="array" aca="1" ref="P67" ca="1">IF(INDIRECT($G$62&amp;G$71&amp;$K67)&lt;&gt;0,INDIRECT($G$62&amp;G$71&amp;$K67),"")</f>
        <v/>
      </c>
      <c r="Q67" s="25" t="str" cm="1">
        <f t="array" aca="1" ref="Q67" ca="1">IF(INDIRECT($G$62&amp;G$72&amp;$K67)&lt;&gt;0,INDIRECT($G$62&amp;G$72&amp;$K67),"")</f>
        <v/>
      </c>
      <c r="R67" s="25" t="str" cm="1">
        <f t="array" aca="1" ref="R67" ca="1">IF(INDIRECT($G$62&amp;G$73&amp;$K67)&lt;&gt;0,INDIRECT($G$62&amp;G$73&amp;$K67),"")</f>
        <v/>
      </c>
      <c r="S67" s="525" t="str">
        <f t="shared" ca="1" si="20"/>
        <v/>
      </c>
      <c r="T67" s="525" t="str">
        <f t="shared" ca="1" si="22"/>
        <v/>
      </c>
      <c r="U67" s="525" t="str">
        <f t="shared" ca="1" si="23"/>
        <v/>
      </c>
      <c r="V67" s="525" t="str">
        <f t="shared" ca="1" si="24"/>
        <v/>
      </c>
      <c r="X67" s="525" t="str">
        <f t="shared" ca="1" si="25"/>
        <v/>
      </c>
      <c r="Y67" s="525" t="str">
        <f t="shared" ref="Y67:Y94" ca="1" si="36">IF(L67="","",
IF(X67=$Y$99,$Y$96,
IF(P67&lt;Q67,$Y$97,$Y$100)))</f>
        <v/>
      </c>
      <c r="Z67" s="525" t="str">
        <f t="shared" ca="1" si="26"/>
        <v/>
      </c>
      <c r="AA67" s="525" t="str">
        <f t="shared" ca="1" si="27"/>
        <v/>
      </c>
      <c r="AB67" s="501" t="str">
        <f t="shared" si="28"/>
        <v/>
      </c>
      <c r="AC67" s="501" t="str">
        <f t="shared" si="29"/>
        <v/>
      </c>
      <c r="AD67" s="501" t="str">
        <f t="shared" si="29"/>
        <v/>
      </c>
      <c r="AE67" s="501" t="str">
        <f t="shared" si="29"/>
        <v/>
      </c>
      <c r="AF67" s="501" t="str">
        <f t="shared" si="29"/>
        <v/>
      </c>
      <c r="AG67" s="501" t="str">
        <f t="shared" si="29"/>
        <v/>
      </c>
      <c r="AH67" s="525" t="str">
        <f t="shared" ca="1" si="30"/>
        <v/>
      </c>
      <c r="AI67" s="525" t="str">
        <f t="shared" ca="1" si="31"/>
        <v/>
      </c>
      <c r="AK67" s="496" t="str" cm="1">
        <f t="array" aca="1" ref="AK67" ca="1">IFERROR(
INDEX($M$65:$M$94,MATCH(0,INDEX(COUNTIF(AK$63:$AK66,$M$65:$M$94),),)),"")</f>
        <v/>
      </c>
      <c r="AL67" s="426" t="str">
        <f t="shared" ca="1" si="32"/>
        <v/>
      </c>
      <c r="AM67" s="25" t="str">
        <f t="shared" ca="1" si="21"/>
        <v/>
      </c>
      <c r="AO67" s="426" t="str">
        <f t="shared" ca="1" si="33"/>
        <v/>
      </c>
      <c r="AP67" s="813" t="str">
        <f t="shared" ca="1" si="34"/>
        <v/>
      </c>
      <c r="AQ67" s="496" t="str" cm="1">
        <f t="array" aca="1" ref="AQ67" ca="1">IFERROR(
INDEX($L$65:$L$94,MATCH(0,INDEX(COUNTIF($AQ$63:AQ66,$L$65:$L$94),),)),"")</f>
        <v/>
      </c>
      <c r="AZ67" s="470" t="s">
        <v>6172</v>
      </c>
      <c r="BB67" s="525">
        <f ca="1">IF(CC47&gt;0,1,0)</f>
        <v>0</v>
      </c>
      <c r="BC67" s="426" t="s">
        <v>8330</v>
      </c>
      <c r="BI67" s="469" t="s">
        <v>5448</v>
      </c>
      <c r="BJ67" s="758" t="s">
        <v>7358</v>
      </c>
      <c r="BK67" s="767">
        <f ca="1">IF(ISERROR(SEARCH("especificar",BR47,1)),0,1)</f>
        <v>0</v>
      </c>
      <c r="BL67" s="20" t="s">
        <v>7359</v>
      </c>
      <c r="DA67" s="470" t="s">
        <v>6172</v>
      </c>
      <c r="DB67" s="426"/>
      <c r="DC67" s="430" t="s">
        <v>8297</v>
      </c>
      <c r="DF67" s="608" t="s">
        <v>5741</v>
      </c>
      <c r="DG67" s="737" t="s">
        <v>95</v>
      </c>
      <c r="DH67" s="807">
        <f t="shared" si="18"/>
        <v>183</v>
      </c>
      <c r="DI67" s="807">
        <f t="shared" si="16"/>
        <v>194</v>
      </c>
      <c r="DJ67" s="807">
        <f t="shared" si="19"/>
        <v>200</v>
      </c>
      <c r="DK67" s="807">
        <f t="shared" si="17"/>
        <v>211</v>
      </c>
      <c r="DV67" s="794" t="s">
        <v>6405</v>
      </c>
      <c r="DW67" s="795">
        <f ca="1">IF(SUM(DX67:DZ67)&gt;0,1,0)</f>
        <v>0</v>
      </c>
      <c r="DX67" s="795">
        <f ca="1">IF(DI29&lt;&gt;DI33,1,0)</f>
        <v>0</v>
      </c>
      <c r="DY67" s="795">
        <f ca="1">IF(DI38&lt;&gt;DI42,1,0)</f>
        <v>0</v>
      </c>
      <c r="DZ67" s="795">
        <f ca="1">IF(DI47&lt;&gt;DI51,1,0)</f>
        <v>0</v>
      </c>
      <c r="EA67" s="796" t="str">
        <f ca="1">IF(DX67=1,IF(SUM(DY67:DZ67)=0,"Teste I","Teste I, "),"")&amp;
IF(DY67=1,IF(DZ67=0,"Teste II","Teste II, "),"")&amp;
IF(DZ67=1,"Teste III","")</f>
        <v/>
      </c>
    </row>
    <row r="68" spans="2:138" x14ac:dyDescent="0.25">
      <c r="B68" s="22">
        <f ca="1">IF(I67&lt;&gt;I72,1,0)</f>
        <v>0</v>
      </c>
      <c r="C68" s="450" t="s">
        <v>6150</v>
      </c>
      <c r="D68" s="572" t="s">
        <v>8297</v>
      </c>
      <c r="F68" s="782" t="s">
        <v>386</v>
      </c>
      <c r="G68" s="735" t="s">
        <v>6154</v>
      </c>
      <c r="H68" s="735" t="str">
        <f t="shared" ref="H68:H73" si="37">$G$62&amp;G68&amp;$G$63&amp;":"&amp;G68&amp;$G$64</f>
        <v>Certificados!G19:G48</v>
      </c>
      <c r="I68" s="25">
        <f t="shared" ca="1" si="35"/>
        <v>0</v>
      </c>
      <c r="K68" s="525">
        <v>22</v>
      </c>
      <c r="L68" s="25" t="str" cm="1">
        <f t="array" aca="1" ref="L68" ca="1">IF(INDIRECT($G$62&amp;G$67&amp;$K68)&lt;&gt;0,INDIRECT($G$62&amp;G$67&amp;$K68),"")</f>
        <v/>
      </c>
      <c r="M68" s="25" t="str" cm="1">
        <f t="array" aca="1" ref="M68" ca="1">IF(INDIRECT($G$62&amp;G$68&amp;$K68)&lt;&gt;0,INDIRECT($G$62&amp;G$68&amp;$K68),"")</f>
        <v/>
      </c>
      <c r="N68" s="25" t="str" cm="1">
        <f t="array" aca="1" ref="N68" ca="1">IF(INDIRECT($G$62&amp;G$69&amp;$K68)&lt;&gt;0,INDIRECT($G$62&amp;G$69&amp;$K68),"")</f>
        <v/>
      </c>
      <c r="O68" s="25" t="str" cm="1">
        <f t="array" aca="1" ref="O68" ca="1">IF(INDIRECT($G$62&amp;G$70&amp;$K68)&lt;&gt;0,INDIRECT($G$62&amp;G$70&amp;$K68),"")</f>
        <v/>
      </c>
      <c r="P68" s="25" t="str" cm="1">
        <f t="array" aca="1" ref="P68" ca="1">IF(INDIRECT($G$62&amp;G$71&amp;$K68)&lt;&gt;0,INDIRECT($G$62&amp;G$71&amp;$K68),"")</f>
        <v/>
      </c>
      <c r="Q68" s="25" t="str" cm="1">
        <f t="array" aca="1" ref="Q68" ca="1">IF(INDIRECT($G$62&amp;G$72&amp;$K68)&lt;&gt;0,INDIRECT($G$62&amp;G$72&amp;$K68),"")</f>
        <v/>
      </c>
      <c r="R68" s="25" t="str" cm="1">
        <f t="array" aca="1" ref="R68" ca="1">IF(INDIRECT($G$62&amp;G$73&amp;$K68)&lt;&gt;0,INDIRECT($G$62&amp;G$73&amp;$K68),"")</f>
        <v/>
      </c>
      <c r="S68" s="525" t="str">
        <f t="shared" ca="1" si="20"/>
        <v/>
      </c>
      <c r="T68" s="525" t="str">
        <f t="shared" ca="1" si="22"/>
        <v/>
      </c>
      <c r="U68" s="525" t="str">
        <f t="shared" ca="1" si="23"/>
        <v/>
      </c>
      <c r="V68" s="525" t="str">
        <f t="shared" ca="1" si="24"/>
        <v/>
      </c>
      <c r="X68" s="525" t="str">
        <f t="shared" ca="1" si="25"/>
        <v/>
      </c>
      <c r="Y68" s="525" t="str">
        <f t="shared" ca="1" si="36"/>
        <v/>
      </c>
      <c r="Z68" s="525" t="str">
        <f t="shared" ca="1" si="26"/>
        <v/>
      </c>
      <c r="AA68" s="525" t="str">
        <f t="shared" ca="1" si="27"/>
        <v/>
      </c>
      <c r="AB68" s="501" t="str">
        <f t="shared" si="28"/>
        <v/>
      </c>
      <c r="AC68" s="501" t="str">
        <f t="shared" si="29"/>
        <v/>
      </c>
      <c r="AD68" s="501" t="str">
        <f t="shared" si="29"/>
        <v/>
      </c>
      <c r="AE68" s="501" t="str">
        <f t="shared" si="29"/>
        <v/>
      </c>
      <c r="AF68" s="501" t="str">
        <f t="shared" si="29"/>
        <v/>
      </c>
      <c r="AG68" s="501" t="str">
        <f t="shared" si="29"/>
        <v/>
      </c>
      <c r="AH68" s="525" t="str">
        <f t="shared" ca="1" si="30"/>
        <v/>
      </c>
      <c r="AI68" s="525" t="str">
        <f t="shared" ca="1" si="31"/>
        <v/>
      </c>
      <c r="AK68" s="496" t="str" cm="1">
        <f t="array" aca="1" ref="AK68" ca="1">IFERROR(
INDEX($M$65:$M$94,MATCH(0,INDEX(COUNTIF(AK$63:$AK67,$M$65:$M$94),),)),"")</f>
        <v/>
      </c>
      <c r="AL68" s="426" t="str">
        <f t="shared" ca="1" si="32"/>
        <v/>
      </c>
      <c r="AM68" s="25" t="str">
        <f t="shared" ca="1" si="21"/>
        <v/>
      </c>
      <c r="AO68" s="426" t="str">
        <f t="shared" ca="1" si="33"/>
        <v/>
      </c>
      <c r="AP68" s="813" t="str">
        <f t="shared" ca="1" si="34"/>
        <v/>
      </c>
      <c r="AQ68" s="496" t="str" cm="1">
        <f t="array" aca="1" ref="AQ68" ca="1">IFERROR(
INDEX($L$65:$L$94,MATCH(0,INDEX(COUNTIF($AQ$63:AQ67,$L$65:$L$94),),)),"")</f>
        <v/>
      </c>
      <c r="AZ68" s="470" t="s">
        <v>6172</v>
      </c>
      <c r="BB68" s="426"/>
      <c r="BC68" s="752" t="s">
        <v>8297</v>
      </c>
      <c r="BI68" s="469" t="s">
        <v>5448</v>
      </c>
      <c r="BJ68" s="758" t="s">
        <v>7360</v>
      </c>
      <c r="BK68" s="767">
        <f ca="1">IF(CD47=2,
IF(COUNTIF(INDIRECT(BG43&amp;BV45,1),"sim")&gt;0,1,0),0)</f>
        <v>0</v>
      </c>
      <c r="BL68" s="20" t="s">
        <v>7361</v>
      </c>
      <c r="DA68" s="470" t="s">
        <v>6172</v>
      </c>
      <c r="DB68" s="426"/>
      <c r="DC68" s="430" t="s">
        <v>8297</v>
      </c>
      <c r="DF68" s="608" t="s">
        <v>5741</v>
      </c>
      <c r="DG68" s="737" t="s">
        <v>96</v>
      </c>
      <c r="DH68" s="807">
        <f t="shared" si="18"/>
        <v>217</v>
      </c>
      <c r="DI68" s="807">
        <f t="shared" si="16"/>
        <v>228</v>
      </c>
      <c r="DJ68" s="807">
        <f t="shared" si="19"/>
        <v>234</v>
      </c>
      <c r="DK68" s="807">
        <f t="shared" si="17"/>
        <v>245</v>
      </c>
    </row>
    <row r="69" spans="2:138" x14ac:dyDescent="0.25">
      <c r="B69" s="22">
        <f ca="1">IF(I67&lt;&gt;I73,1,0)</f>
        <v>0</v>
      </c>
      <c r="C69" s="450" t="s">
        <v>6151</v>
      </c>
      <c r="D69" s="572" t="s">
        <v>8297</v>
      </c>
      <c r="F69" s="782" t="s">
        <v>7299</v>
      </c>
      <c r="G69" s="735" t="s">
        <v>6155</v>
      </c>
      <c r="H69" s="735" t="str">
        <f t="shared" si="37"/>
        <v>Certificados!H19:H48</v>
      </c>
      <c r="I69" s="25">
        <f t="shared" ca="1" si="35"/>
        <v>0</v>
      </c>
      <c r="K69" s="525">
        <v>23</v>
      </c>
      <c r="L69" s="25" t="str" cm="1">
        <f t="array" aca="1" ref="L69" ca="1">IF(INDIRECT($G$62&amp;G$67&amp;$K69)&lt;&gt;0,INDIRECT($G$62&amp;G$67&amp;$K69),"")</f>
        <v/>
      </c>
      <c r="M69" s="25" t="str" cm="1">
        <f t="array" aca="1" ref="M69" ca="1">IF(INDIRECT($G$62&amp;G$68&amp;$K69)&lt;&gt;0,INDIRECT($G$62&amp;G$68&amp;$K69),"")</f>
        <v/>
      </c>
      <c r="N69" s="25" t="str" cm="1">
        <f t="array" aca="1" ref="N69" ca="1">IF(INDIRECT($G$62&amp;G$69&amp;$K69)&lt;&gt;0,INDIRECT($G$62&amp;G$69&amp;$K69),"")</f>
        <v/>
      </c>
      <c r="O69" s="25" t="str" cm="1">
        <f t="array" aca="1" ref="O69" ca="1">IF(INDIRECT($G$62&amp;G$70&amp;$K69)&lt;&gt;0,INDIRECT($G$62&amp;G$70&amp;$K69),"")</f>
        <v/>
      </c>
      <c r="P69" s="25" t="str" cm="1">
        <f t="array" aca="1" ref="P69" ca="1">IF(INDIRECT($G$62&amp;G$71&amp;$K69)&lt;&gt;0,INDIRECT($G$62&amp;G$71&amp;$K69),"")</f>
        <v/>
      </c>
      <c r="Q69" s="25" t="str" cm="1">
        <f t="array" aca="1" ref="Q69" ca="1">IF(INDIRECT($G$62&amp;G$72&amp;$K69)&lt;&gt;0,INDIRECT($G$62&amp;G$72&amp;$K69),"")</f>
        <v/>
      </c>
      <c r="R69" s="25" t="str" cm="1">
        <f t="array" aca="1" ref="R69" ca="1">IF(INDIRECT($G$62&amp;G$73&amp;$K69)&lt;&gt;0,INDIRECT($G$62&amp;G$73&amp;$K69),"")</f>
        <v/>
      </c>
      <c r="S69" s="525" t="str">
        <f t="shared" ca="1" si="20"/>
        <v/>
      </c>
      <c r="T69" s="525" t="str">
        <f t="shared" ca="1" si="22"/>
        <v/>
      </c>
      <c r="U69" s="525" t="str">
        <f t="shared" ca="1" si="23"/>
        <v/>
      </c>
      <c r="V69" s="525" t="str">
        <f t="shared" ca="1" si="24"/>
        <v/>
      </c>
      <c r="X69" s="525" t="str">
        <f t="shared" ca="1" si="25"/>
        <v/>
      </c>
      <c r="Y69" s="525" t="str">
        <f t="shared" ca="1" si="36"/>
        <v/>
      </c>
      <c r="Z69" s="525" t="str">
        <f t="shared" ca="1" si="26"/>
        <v/>
      </c>
      <c r="AA69" s="525" t="str">
        <f t="shared" ca="1" si="27"/>
        <v/>
      </c>
      <c r="AB69" s="501" t="str">
        <f t="shared" si="28"/>
        <v/>
      </c>
      <c r="AC69" s="501" t="str">
        <f t="shared" si="29"/>
        <v/>
      </c>
      <c r="AD69" s="501" t="str">
        <f t="shared" si="29"/>
        <v/>
      </c>
      <c r="AE69" s="501" t="str">
        <f t="shared" si="29"/>
        <v/>
      </c>
      <c r="AF69" s="501" t="str">
        <f t="shared" si="29"/>
        <v/>
      </c>
      <c r="AG69" s="501" t="str">
        <f t="shared" si="29"/>
        <v/>
      </c>
      <c r="AH69" s="525" t="str">
        <f t="shared" ca="1" si="30"/>
        <v/>
      </c>
      <c r="AI69" s="525" t="str">
        <f t="shared" ca="1" si="31"/>
        <v/>
      </c>
      <c r="AK69" s="496" t="str" cm="1">
        <f t="array" aca="1" ref="AK69" ca="1">IFERROR(
INDEX($M$65:$M$94,MATCH(0,INDEX(COUNTIF(AK$63:$AK68,$M$65:$M$94),),)),"")</f>
        <v/>
      </c>
      <c r="AL69" s="426" t="str">
        <f t="shared" ca="1" si="32"/>
        <v/>
      </c>
      <c r="AM69" s="25" t="str">
        <f t="shared" ca="1" si="21"/>
        <v/>
      </c>
      <c r="AO69" s="426" t="str">
        <f t="shared" ca="1" si="33"/>
        <v/>
      </c>
      <c r="AP69" s="813" t="str">
        <f t="shared" ca="1" si="34"/>
        <v/>
      </c>
      <c r="AQ69" s="496" t="str" cm="1">
        <f t="array" aca="1" ref="AQ69" ca="1">IFERROR(
INDEX($L$65:$L$94,MATCH(0,INDEX(COUNTIF($AQ$63:AQ68,$L$65:$L$94),),)),"")</f>
        <v/>
      </c>
      <c r="AZ69" s="470" t="s">
        <v>6172</v>
      </c>
      <c r="BB69" s="25"/>
      <c r="BC69" s="752" t="s">
        <v>8297</v>
      </c>
      <c r="BI69" s="469" t="s">
        <v>5448</v>
      </c>
      <c r="BJ69" s="758" t="s">
        <v>7362</v>
      </c>
      <c r="BK69" s="767">
        <f ca="1">IF(COUNTIF(BY46:BZ46,1)=0,1,0)</f>
        <v>1</v>
      </c>
      <c r="BL69" s="20" t="s">
        <v>7848</v>
      </c>
      <c r="DA69" s="470" t="s">
        <v>6172</v>
      </c>
      <c r="DB69" s="426"/>
      <c r="DC69" s="430" t="s">
        <v>8297</v>
      </c>
      <c r="DF69" s="608" t="s">
        <v>5741</v>
      </c>
      <c r="DG69" s="737" t="s">
        <v>97</v>
      </c>
      <c r="DH69" s="807">
        <f t="shared" si="18"/>
        <v>251</v>
      </c>
      <c r="DI69" s="807">
        <f t="shared" si="16"/>
        <v>262</v>
      </c>
      <c r="DJ69" s="807">
        <f t="shared" si="19"/>
        <v>268</v>
      </c>
      <c r="DK69" s="807">
        <f t="shared" si="17"/>
        <v>279</v>
      </c>
    </row>
    <row r="70" spans="2:138" x14ac:dyDescent="0.25">
      <c r="B70" s="22">
        <f t="shared" ref="B70:B75" si="38">IF(H77&gt;0,1,0)</f>
        <v>0</v>
      </c>
      <c r="C70" s="450" t="str">
        <f>"Possui certificado com amostra vencida, porém de acordo a DCQQ. "&amp; IF(D70&lt;&gt;"",CHAR(10) &amp; "("&amp;D70&amp;")")</f>
        <v>Possui certificado com amostra vencida, porém de acordo a DCQQ. FALSO</v>
      </c>
      <c r="D70" s="815" t="str">
        <f>_xlfn.CONCAT(AC65:AC94)</f>
        <v/>
      </c>
      <c r="F70" s="782" t="s">
        <v>387</v>
      </c>
      <c r="G70" s="735" t="s">
        <v>6156</v>
      </c>
      <c r="H70" s="735" t="str">
        <f t="shared" si="37"/>
        <v>Certificados!I19:I48</v>
      </c>
      <c r="I70" s="25">
        <f t="shared" ca="1" si="35"/>
        <v>0</v>
      </c>
      <c r="K70" s="525">
        <v>24</v>
      </c>
      <c r="L70" s="25" t="str" cm="1">
        <f t="array" aca="1" ref="L70" ca="1">IF(INDIRECT($G$62&amp;G$67&amp;$K70)&lt;&gt;0,INDIRECT($G$62&amp;G$67&amp;$K70),"")</f>
        <v/>
      </c>
      <c r="M70" s="25" t="str" cm="1">
        <f t="array" aca="1" ref="M70" ca="1">IF(INDIRECT($G$62&amp;G$68&amp;$K70)&lt;&gt;0,INDIRECT($G$62&amp;G$68&amp;$K70),"")</f>
        <v/>
      </c>
      <c r="N70" s="25" t="str" cm="1">
        <f t="array" aca="1" ref="N70" ca="1">IF(INDIRECT($G$62&amp;G$69&amp;$K70)&lt;&gt;0,INDIRECT($G$62&amp;G$69&amp;$K70),"")</f>
        <v/>
      </c>
      <c r="O70" s="25" t="str" cm="1">
        <f t="array" aca="1" ref="O70" ca="1">IF(INDIRECT($G$62&amp;G$70&amp;$K70)&lt;&gt;0,INDIRECT($G$62&amp;G$70&amp;$K70),"")</f>
        <v/>
      </c>
      <c r="P70" s="25" t="str" cm="1">
        <f t="array" aca="1" ref="P70" ca="1">IF(INDIRECT($G$62&amp;G$71&amp;$K70)&lt;&gt;0,INDIRECT($G$62&amp;G$71&amp;$K70),"")</f>
        <v/>
      </c>
      <c r="Q70" s="25" t="str" cm="1">
        <f t="array" aca="1" ref="Q70" ca="1">IF(INDIRECT($G$62&amp;G$72&amp;$K70)&lt;&gt;0,INDIRECT($G$62&amp;G$72&amp;$K70),"")</f>
        <v/>
      </c>
      <c r="R70" s="25" t="str" cm="1">
        <f t="array" aca="1" ref="R70" ca="1">IF(INDIRECT($G$62&amp;G$73&amp;$K70)&lt;&gt;0,INDIRECT($G$62&amp;G$73&amp;$K70),"")</f>
        <v/>
      </c>
      <c r="S70" s="525" t="str">
        <f t="shared" ca="1" si="20"/>
        <v/>
      </c>
      <c r="T70" s="525" t="str">
        <f t="shared" ca="1" si="22"/>
        <v/>
      </c>
      <c r="U70" s="525" t="str">
        <f t="shared" ca="1" si="23"/>
        <v/>
      </c>
      <c r="V70" s="525" t="str">
        <f t="shared" ca="1" si="24"/>
        <v/>
      </c>
      <c r="X70" s="525" t="str">
        <f t="shared" ca="1" si="25"/>
        <v/>
      </c>
      <c r="Y70" s="525" t="str">
        <f t="shared" ca="1" si="36"/>
        <v/>
      </c>
      <c r="Z70" s="525" t="str">
        <f t="shared" ca="1" si="26"/>
        <v/>
      </c>
      <c r="AA70" s="525" t="str">
        <f t="shared" ca="1" si="27"/>
        <v/>
      </c>
      <c r="AB70" s="501" t="str">
        <f t="shared" si="28"/>
        <v/>
      </c>
      <c r="AC70" s="501" t="str">
        <f t="shared" si="29"/>
        <v/>
      </c>
      <c r="AD70" s="501" t="str">
        <f t="shared" si="29"/>
        <v/>
      </c>
      <c r="AE70" s="501" t="str">
        <f t="shared" si="29"/>
        <v/>
      </c>
      <c r="AF70" s="501" t="str">
        <f t="shared" si="29"/>
        <v/>
      </c>
      <c r="AG70" s="501" t="str">
        <f t="shared" si="29"/>
        <v/>
      </c>
      <c r="AH70" s="525" t="str">
        <f t="shared" ca="1" si="30"/>
        <v/>
      </c>
      <c r="AI70" s="525" t="str">
        <f t="shared" ca="1" si="31"/>
        <v/>
      </c>
      <c r="AK70" s="496" t="str" cm="1">
        <f t="array" aca="1" ref="AK70" ca="1">IFERROR(
INDEX($M$65:$M$94,MATCH(0,INDEX(COUNTIF(AK$63:$AK69,$M$65:$M$94),),)),"")</f>
        <v/>
      </c>
      <c r="AL70" s="426" t="str">
        <f t="shared" ca="1" si="32"/>
        <v/>
      </c>
      <c r="AM70" s="25" t="str">
        <f t="shared" ca="1" si="21"/>
        <v/>
      </c>
      <c r="AO70" s="426" t="str">
        <f t="shared" ca="1" si="33"/>
        <v/>
      </c>
      <c r="AP70" s="813" t="str">
        <f t="shared" ca="1" si="34"/>
        <v/>
      </c>
      <c r="AQ70" s="496" t="str" cm="1">
        <f t="array" aca="1" ref="AQ70" ca="1">IFERROR(
INDEX($L$65:$L$94,MATCH(0,INDEX(COUNTIF($AQ$63:AQ69,$L$65:$L$94),),)),"")</f>
        <v/>
      </c>
      <c r="AZ70" s="470" t="s">
        <v>6172</v>
      </c>
      <c r="BB70" s="25"/>
      <c r="BC70" s="752" t="s">
        <v>8297</v>
      </c>
      <c r="BI70" s="469" t="s">
        <v>5448</v>
      </c>
      <c r="BJ70" s="758" t="s">
        <v>7363</v>
      </c>
      <c r="BK70" s="767">
        <f ca="1">IF(BW47="sim",1,0)</f>
        <v>0</v>
      </c>
      <c r="BL70" s="20" t="s">
        <v>7364</v>
      </c>
      <c r="DA70" s="470" t="s">
        <v>6172</v>
      </c>
      <c r="DB70" s="426"/>
      <c r="DC70" s="430" t="s">
        <v>8297</v>
      </c>
      <c r="DF70" s="608" t="s">
        <v>5741</v>
      </c>
      <c r="DG70" s="737" t="s">
        <v>98</v>
      </c>
      <c r="DH70" s="807">
        <f t="shared" si="18"/>
        <v>285</v>
      </c>
      <c r="DI70" s="807">
        <f t="shared" si="16"/>
        <v>296</v>
      </c>
      <c r="DJ70" s="807">
        <f t="shared" si="19"/>
        <v>302</v>
      </c>
      <c r="DK70" s="807">
        <f t="shared" si="17"/>
        <v>313</v>
      </c>
    </row>
    <row r="71" spans="2:138" x14ac:dyDescent="0.25">
      <c r="B71" s="22">
        <f t="shared" si="38"/>
        <v>0</v>
      </c>
      <c r="C71" s="450" t="str">
        <f>"Possui certificado com amostra vencida e em desacordo com a DCQQ. "&amp; IF(D71&lt;&gt;"",CHAR(10) &amp; "("&amp;D71&amp;")")</f>
        <v>Possui certificado com amostra vencida e em desacordo com a DCQQ. FALSO</v>
      </c>
      <c r="D71" s="815" t="str">
        <f>_xlfn.CONCAT(AD65:AD94)</f>
        <v/>
      </c>
      <c r="F71" s="782" t="s">
        <v>388</v>
      </c>
      <c r="G71" s="735" t="s">
        <v>5982</v>
      </c>
      <c r="H71" s="735" t="str">
        <f t="shared" si="37"/>
        <v>Certificados!J19:J48</v>
      </c>
      <c r="I71" s="25">
        <f t="shared" ca="1" si="35"/>
        <v>0</v>
      </c>
      <c r="K71" s="525">
        <v>25</v>
      </c>
      <c r="L71" s="25" t="str" cm="1">
        <f t="array" aca="1" ref="L71" ca="1">IF(INDIRECT($G$62&amp;G$67&amp;$K71)&lt;&gt;0,INDIRECT($G$62&amp;G$67&amp;$K71),"")</f>
        <v/>
      </c>
      <c r="M71" s="25" t="str" cm="1">
        <f t="array" aca="1" ref="M71" ca="1">IF(INDIRECT($G$62&amp;G$68&amp;$K71)&lt;&gt;0,INDIRECT($G$62&amp;G$68&amp;$K71),"")</f>
        <v/>
      </c>
      <c r="N71" s="25" t="str" cm="1">
        <f t="array" aca="1" ref="N71" ca="1">IF(INDIRECT($G$62&amp;G$69&amp;$K71)&lt;&gt;0,INDIRECT($G$62&amp;G$69&amp;$K71),"")</f>
        <v/>
      </c>
      <c r="O71" s="25" t="str" cm="1">
        <f t="array" aca="1" ref="O71" ca="1">IF(INDIRECT($G$62&amp;G$70&amp;$K71)&lt;&gt;0,INDIRECT($G$62&amp;G$70&amp;$K71),"")</f>
        <v/>
      </c>
      <c r="P71" s="25" t="str" cm="1">
        <f t="array" aca="1" ref="P71" ca="1">IF(INDIRECT($G$62&amp;G$71&amp;$K71)&lt;&gt;0,INDIRECT($G$62&amp;G$71&amp;$K71),"")</f>
        <v/>
      </c>
      <c r="Q71" s="25" t="str" cm="1">
        <f t="array" aca="1" ref="Q71" ca="1">IF(INDIRECT($G$62&amp;G$72&amp;$K71)&lt;&gt;0,INDIRECT($G$62&amp;G$72&amp;$K71),"")</f>
        <v/>
      </c>
      <c r="R71" s="25" t="str" cm="1">
        <f t="array" aca="1" ref="R71" ca="1">IF(INDIRECT($G$62&amp;G$73&amp;$K71)&lt;&gt;0,INDIRECT($G$62&amp;G$73&amp;$K71),"")</f>
        <v/>
      </c>
      <c r="S71" s="525" t="str">
        <f t="shared" ca="1" si="20"/>
        <v/>
      </c>
      <c r="T71" s="525" t="str">
        <f t="shared" ca="1" si="22"/>
        <v/>
      </c>
      <c r="U71" s="525" t="str">
        <f t="shared" ca="1" si="23"/>
        <v/>
      </c>
      <c r="V71" s="525" t="str">
        <f t="shared" ca="1" si="24"/>
        <v/>
      </c>
      <c r="X71" s="525" t="str">
        <f t="shared" ca="1" si="25"/>
        <v/>
      </c>
      <c r="Y71" s="525" t="str">
        <f t="shared" ca="1" si="36"/>
        <v/>
      </c>
      <c r="Z71" s="525" t="str">
        <f t="shared" ca="1" si="26"/>
        <v/>
      </c>
      <c r="AA71" s="525" t="str">
        <f t="shared" ca="1" si="27"/>
        <v/>
      </c>
      <c r="AB71" s="501" t="str">
        <f t="shared" si="28"/>
        <v/>
      </c>
      <c r="AC71" s="501" t="str">
        <f t="shared" si="29"/>
        <v/>
      </c>
      <c r="AD71" s="501" t="str">
        <f t="shared" si="29"/>
        <v/>
      </c>
      <c r="AE71" s="501" t="str">
        <f t="shared" si="29"/>
        <v/>
      </c>
      <c r="AF71" s="501" t="str">
        <f t="shared" si="29"/>
        <v/>
      </c>
      <c r="AG71" s="501" t="str">
        <f t="shared" si="29"/>
        <v/>
      </c>
      <c r="AH71" s="525" t="str">
        <f t="shared" ca="1" si="30"/>
        <v/>
      </c>
      <c r="AI71" s="525" t="str">
        <f t="shared" ca="1" si="31"/>
        <v/>
      </c>
      <c r="AK71" s="496" t="str" cm="1">
        <f t="array" aca="1" ref="AK71" ca="1">IFERROR(
INDEX($M$65:$M$94,MATCH(0,INDEX(COUNTIF(AK$63:$AK70,$M$65:$M$94),),)),"")</f>
        <v/>
      </c>
      <c r="AL71" s="426" t="str">
        <f t="shared" ca="1" si="32"/>
        <v/>
      </c>
      <c r="AM71" s="25" t="str">
        <f t="shared" ca="1" si="21"/>
        <v/>
      </c>
      <c r="AO71" s="426" t="str">
        <f t="shared" ca="1" si="33"/>
        <v/>
      </c>
      <c r="AP71" s="813" t="str">
        <f t="shared" ca="1" si="34"/>
        <v/>
      </c>
      <c r="AQ71" s="496" t="str" cm="1">
        <f t="array" aca="1" ref="AQ71" ca="1">IFERROR(
INDEX($L$65:$L$94,MATCH(0,INDEX(COUNTIF($AQ$63:AQ70,$L$65:$L$94),),)),"")</f>
        <v/>
      </c>
      <c r="AZ71" s="470" t="s">
        <v>6172</v>
      </c>
      <c r="BB71" s="25"/>
      <c r="BC71" s="752" t="s">
        <v>8297</v>
      </c>
      <c r="BI71" s="469" t="s">
        <v>5448</v>
      </c>
      <c r="BJ71" s="758" t="s">
        <v>7846</v>
      </c>
      <c r="BK71" s="759">
        <f ca="1">IF(COUNTIF(INDIRECT($BG$43&amp;BG51,1),"Macho")=BG52,1,0)</f>
        <v>1</v>
      </c>
      <c r="BL71" s="20" t="s">
        <v>7847</v>
      </c>
      <c r="DA71" s="470" t="s">
        <v>6172</v>
      </c>
      <c r="DB71" s="426"/>
      <c r="DC71" s="430" t="s">
        <v>8297</v>
      </c>
      <c r="DF71" s="608" t="s">
        <v>5741</v>
      </c>
      <c r="DG71" s="737" t="s">
        <v>99</v>
      </c>
      <c r="DH71" s="807">
        <f t="shared" si="18"/>
        <v>319</v>
      </c>
      <c r="DI71" s="807">
        <f t="shared" si="16"/>
        <v>330</v>
      </c>
      <c r="DJ71" s="807">
        <f t="shared" si="19"/>
        <v>336</v>
      </c>
      <c r="DK71" s="807">
        <f t="shared" si="17"/>
        <v>347</v>
      </c>
    </row>
    <row r="72" spans="2:138" x14ac:dyDescent="0.25">
      <c r="B72" s="22">
        <f t="shared" si="38"/>
        <v>0</v>
      </c>
      <c r="C72" s="450" t="str">
        <f>"Possui certificado sem validade, porém de acordo com a DCQQ. "&amp; IF(D72&lt;&gt;"",CHAR(10) &amp; "("&amp;D72&amp;")")</f>
        <v>Possui certificado sem validade, porém de acordo com a DCQQ. FALSO</v>
      </c>
      <c r="D72" s="815" t="str">
        <f>_xlfn.CONCAT(AE65:AE94)</f>
        <v/>
      </c>
      <c r="F72" s="782" t="s">
        <v>389</v>
      </c>
      <c r="G72" s="735" t="s">
        <v>6157</v>
      </c>
      <c r="H72" s="735" t="str">
        <f t="shared" si="37"/>
        <v>Certificados!K19:K48</v>
      </c>
      <c r="I72" s="25">
        <f t="shared" ca="1" si="35"/>
        <v>0</v>
      </c>
      <c r="K72" s="525">
        <v>26</v>
      </c>
      <c r="L72" s="25" t="str" cm="1">
        <f t="array" aca="1" ref="L72" ca="1">IF(INDIRECT($G$62&amp;G$67&amp;$K72)&lt;&gt;0,INDIRECT($G$62&amp;G$67&amp;$K72),"")</f>
        <v/>
      </c>
      <c r="M72" s="25" t="str" cm="1">
        <f t="array" aca="1" ref="M72" ca="1">IF(INDIRECT($G$62&amp;G$68&amp;$K72)&lt;&gt;0,INDIRECT($G$62&amp;G$68&amp;$K72),"")</f>
        <v/>
      </c>
      <c r="N72" s="25" t="str" cm="1">
        <f t="array" aca="1" ref="N72" ca="1">IF(INDIRECT($G$62&amp;G$69&amp;$K72)&lt;&gt;0,INDIRECT($G$62&amp;G$69&amp;$K72),"")</f>
        <v/>
      </c>
      <c r="O72" s="25" t="str" cm="1">
        <f t="array" aca="1" ref="O72" ca="1">IF(INDIRECT($G$62&amp;G$70&amp;$K72)&lt;&gt;0,INDIRECT($G$62&amp;G$70&amp;$K72),"")</f>
        <v/>
      </c>
      <c r="P72" s="25" t="str" cm="1">
        <f t="array" aca="1" ref="P72" ca="1">IF(INDIRECT($G$62&amp;G$71&amp;$K72)&lt;&gt;0,INDIRECT($G$62&amp;G$71&amp;$K72),"")</f>
        <v/>
      </c>
      <c r="Q72" s="25" t="str" cm="1">
        <f t="array" aca="1" ref="Q72" ca="1">IF(INDIRECT($G$62&amp;G$72&amp;$K72)&lt;&gt;0,INDIRECT($G$62&amp;G$72&amp;$K72),"")</f>
        <v/>
      </c>
      <c r="R72" s="25" t="str" cm="1">
        <f t="array" aca="1" ref="R72" ca="1">IF(INDIRECT($G$62&amp;G$73&amp;$K72)&lt;&gt;0,INDIRECT($G$62&amp;G$73&amp;$K72),"")</f>
        <v/>
      </c>
      <c r="S72" s="525" t="str">
        <f t="shared" ca="1" si="20"/>
        <v/>
      </c>
      <c r="T72" s="525" t="str">
        <f t="shared" ca="1" si="22"/>
        <v/>
      </c>
      <c r="U72" s="525" t="str">
        <f t="shared" ca="1" si="23"/>
        <v/>
      </c>
      <c r="V72" s="525" t="str">
        <f t="shared" ca="1" si="24"/>
        <v/>
      </c>
      <c r="X72" s="525" t="str">
        <f t="shared" ca="1" si="25"/>
        <v/>
      </c>
      <c r="Y72" s="525" t="str">
        <f t="shared" ca="1" si="36"/>
        <v/>
      </c>
      <c r="Z72" s="525" t="str">
        <f t="shared" ca="1" si="26"/>
        <v/>
      </c>
      <c r="AA72" s="525" t="str">
        <f t="shared" ca="1" si="27"/>
        <v/>
      </c>
      <c r="AB72" s="501" t="str">
        <f t="shared" si="28"/>
        <v/>
      </c>
      <c r="AC72" s="501" t="str">
        <f t="shared" si="29"/>
        <v/>
      </c>
      <c r="AD72" s="501" t="str">
        <f t="shared" si="29"/>
        <v/>
      </c>
      <c r="AE72" s="501" t="str">
        <f t="shared" si="29"/>
        <v/>
      </c>
      <c r="AF72" s="501" t="str">
        <f t="shared" si="29"/>
        <v/>
      </c>
      <c r="AG72" s="501" t="str">
        <f t="shared" si="29"/>
        <v/>
      </c>
      <c r="AH72" s="525" t="str">
        <f t="shared" ca="1" si="30"/>
        <v/>
      </c>
      <c r="AI72" s="525" t="str">
        <f t="shared" ca="1" si="31"/>
        <v/>
      </c>
      <c r="AK72" s="496" t="str" cm="1">
        <f t="array" aca="1" ref="AK72" ca="1">IFERROR(
INDEX($M$65:$M$94,MATCH(0,INDEX(COUNTIF(AK$63:$AK71,$M$65:$M$94),),)),"")</f>
        <v/>
      </c>
      <c r="AL72" s="426" t="str">
        <f t="shared" ca="1" si="32"/>
        <v/>
      </c>
      <c r="AM72" s="25" t="str">
        <f t="shared" ca="1" si="21"/>
        <v/>
      </c>
      <c r="AO72" s="426" t="str">
        <f t="shared" ca="1" si="33"/>
        <v/>
      </c>
      <c r="AP72" s="813" t="str">
        <f t="shared" ca="1" si="34"/>
        <v/>
      </c>
      <c r="AQ72" s="496" t="str" cm="1">
        <f t="array" aca="1" ref="AQ72" ca="1">IFERROR(
INDEX($L$65:$L$94,MATCH(0,INDEX(COUNTIF($AQ$63:AQ71,$L$65:$L$94),),)),"")</f>
        <v/>
      </c>
      <c r="AZ72" s="470" t="s">
        <v>6172</v>
      </c>
      <c r="BB72" s="25"/>
      <c r="BC72" s="752" t="s">
        <v>8297</v>
      </c>
      <c r="BI72" s="469" t="s">
        <v>5448</v>
      </c>
      <c r="BJ72" s="758" t="s">
        <v>7952</v>
      </c>
      <c r="BK72" s="759">
        <f ca="1">IF(AND(COUNTIF(BR47,"*especificar*")&gt;0,BS46=0),1,0)</f>
        <v>0</v>
      </c>
      <c r="DA72" s="470" t="s">
        <v>6172</v>
      </c>
      <c r="DB72" s="426"/>
      <c r="DC72" s="430" t="s">
        <v>8297</v>
      </c>
      <c r="DF72" s="699" t="s">
        <v>5742</v>
      </c>
      <c r="DG72" s="816" t="s">
        <v>90</v>
      </c>
      <c r="DH72" s="817">
        <f>$DJ$56</f>
        <v>359</v>
      </c>
      <c r="DI72" s="818">
        <f t="shared" si="16"/>
        <v>370</v>
      </c>
      <c r="DJ72" s="818">
        <f>DI72+6</f>
        <v>376</v>
      </c>
      <c r="DK72" s="818">
        <f t="shared" si="17"/>
        <v>387</v>
      </c>
    </row>
    <row r="73" spans="2:138" x14ac:dyDescent="0.25">
      <c r="B73" s="22">
        <f t="shared" si="38"/>
        <v>0</v>
      </c>
      <c r="C73" s="450" t="str">
        <f>"Possui certificado sem validade e em desacordo com a DCQQ. "&amp; IF(D73&lt;&gt;"",CHAR(10) &amp; "("&amp;D73&amp;")")</f>
        <v>Possui certificado sem validade e em desacordo com a DCQQ. FALSO</v>
      </c>
      <c r="D73" s="815" t="str">
        <f>_xlfn.CONCAT(AF65:AF94)</f>
        <v/>
      </c>
      <c r="F73" s="782" t="s">
        <v>390</v>
      </c>
      <c r="G73" s="735" t="s">
        <v>5951</v>
      </c>
      <c r="H73" s="735" t="str">
        <f t="shared" si="37"/>
        <v>Certificados!L19:L48</v>
      </c>
      <c r="I73" s="25">
        <f t="shared" ca="1" si="35"/>
        <v>0</v>
      </c>
      <c r="K73" s="525">
        <v>27</v>
      </c>
      <c r="L73" s="25" t="str" cm="1">
        <f t="array" aca="1" ref="L73" ca="1">IF(INDIRECT($G$62&amp;G$67&amp;$K73)&lt;&gt;0,INDIRECT($G$62&amp;G$67&amp;$K73),"")</f>
        <v/>
      </c>
      <c r="M73" s="25" t="str" cm="1">
        <f t="array" aca="1" ref="M73" ca="1">IF(INDIRECT($G$62&amp;G$68&amp;$K73)&lt;&gt;0,INDIRECT($G$62&amp;G$68&amp;$K73),"")</f>
        <v/>
      </c>
      <c r="N73" s="25" t="str" cm="1">
        <f t="array" aca="1" ref="N73" ca="1">IF(INDIRECT($G$62&amp;G$69&amp;$K73)&lt;&gt;0,INDIRECT($G$62&amp;G$69&amp;$K73),"")</f>
        <v/>
      </c>
      <c r="O73" s="25" t="str" cm="1">
        <f t="array" aca="1" ref="O73" ca="1">IF(INDIRECT($G$62&amp;G$70&amp;$K73)&lt;&gt;0,INDIRECT($G$62&amp;G$70&amp;$K73),"")</f>
        <v/>
      </c>
      <c r="P73" s="25" t="str" cm="1">
        <f t="array" aca="1" ref="P73" ca="1">IF(INDIRECT($G$62&amp;G$71&amp;$K73)&lt;&gt;0,INDIRECT($G$62&amp;G$71&amp;$K73),"")</f>
        <v/>
      </c>
      <c r="Q73" s="25" t="str" cm="1">
        <f t="array" aca="1" ref="Q73" ca="1">IF(INDIRECT($G$62&amp;G$72&amp;$K73)&lt;&gt;0,INDIRECT($G$62&amp;G$72&amp;$K73),"")</f>
        <v/>
      </c>
      <c r="R73" s="25" t="str" cm="1">
        <f t="array" aca="1" ref="R73" ca="1">IF(INDIRECT($G$62&amp;G$73&amp;$K73)&lt;&gt;0,INDIRECT($G$62&amp;G$73&amp;$K73),"")</f>
        <v/>
      </c>
      <c r="S73" s="525" t="str">
        <f t="shared" ca="1" si="20"/>
        <v/>
      </c>
      <c r="T73" s="525" t="str">
        <f t="shared" ca="1" si="22"/>
        <v/>
      </c>
      <c r="U73" s="525" t="str">
        <f t="shared" ca="1" si="23"/>
        <v/>
      </c>
      <c r="V73" s="525" t="str">
        <f t="shared" ca="1" si="24"/>
        <v/>
      </c>
      <c r="X73" s="525" t="str">
        <f t="shared" ca="1" si="25"/>
        <v/>
      </c>
      <c r="Y73" s="525" t="str">
        <f t="shared" ca="1" si="36"/>
        <v/>
      </c>
      <c r="Z73" s="525" t="str">
        <f t="shared" ca="1" si="26"/>
        <v/>
      </c>
      <c r="AA73" s="525" t="str">
        <f t="shared" ca="1" si="27"/>
        <v/>
      </c>
      <c r="AB73" s="501" t="str">
        <f t="shared" si="28"/>
        <v/>
      </c>
      <c r="AC73" s="501" t="str">
        <f t="shared" si="29"/>
        <v/>
      </c>
      <c r="AD73" s="501" t="str">
        <f t="shared" si="29"/>
        <v/>
      </c>
      <c r="AE73" s="501" t="str">
        <f t="shared" si="29"/>
        <v/>
      </c>
      <c r="AF73" s="501" t="str">
        <f t="shared" si="29"/>
        <v/>
      </c>
      <c r="AG73" s="501" t="str">
        <f t="shared" si="29"/>
        <v/>
      </c>
      <c r="AH73" s="525" t="str">
        <f t="shared" ca="1" si="30"/>
        <v/>
      </c>
      <c r="AI73" s="525" t="str">
        <f t="shared" ca="1" si="31"/>
        <v/>
      </c>
      <c r="AK73" s="496" t="str" cm="1">
        <f t="array" aca="1" ref="AK73" ca="1">IFERROR(
INDEX($M$65:$M$94,MATCH(0,INDEX(COUNTIF(AK$63:$AK72,$M$65:$M$94),),)),"")</f>
        <v/>
      </c>
      <c r="AL73" s="426" t="str">
        <f t="shared" ca="1" si="32"/>
        <v/>
      </c>
      <c r="AM73" s="25" t="str">
        <f t="shared" ca="1" si="21"/>
        <v/>
      </c>
      <c r="AO73" s="426" t="str">
        <f t="shared" ca="1" si="33"/>
        <v/>
      </c>
      <c r="AP73" s="813" t="str">
        <f t="shared" ca="1" si="34"/>
        <v/>
      </c>
      <c r="AQ73" s="496" t="str" cm="1">
        <f t="array" aca="1" ref="AQ73" ca="1">IFERROR(
INDEX($L$65:$L$94,MATCH(0,INDEX(COUNTIF($AQ$63:AQ72,$L$65:$L$94),),)),"")</f>
        <v/>
      </c>
      <c r="AZ73" s="470" t="s">
        <v>6172</v>
      </c>
      <c r="BB73" s="25"/>
      <c r="BC73" s="752" t="s">
        <v>8297</v>
      </c>
      <c r="DA73" s="470" t="s">
        <v>6172</v>
      </c>
      <c r="DB73" s="426"/>
      <c r="DC73" s="430" t="s">
        <v>8297</v>
      </c>
      <c r="DF73" s="699" t="s">
        <v>5742</v>
      </c>
      <c r="DG73" s="816" t="s">
        <v>91</v>
      </c>
      <c r="DH73" s="819">
        <f t="shared" ref="DH73:DH81" si="39">DI72+$DI$58</f>
        <v>393</v>
      </c>
      <c r="DI73" s="820">
        <f t="shared" si="16"/>
        <v>404</v>
      </c>
      <c r="DJ73" s="819">
        <f t="shared" ref="DJ73:DJ81" si="40">DK72+$DI$58</f>
        <v>410</v>
      </c>
      <c r="DK73" s="820">
        <f t="shared" si="17"/>
        <v>421</v>
      </c>
    </row>
    <row r="74" spans="2:138" x14ac:dyDescent="0.25">
      <c r="B74" s="22">
        <f t="shared" si="38"/>
        <v>0</v>
      </c>
      <c r="C74" s="450" t="str">
        <f>"Possui certificado em desacordo com a DCQQ. "&amp; IF(D74&lt;&gt;"",CHAR(10) &amp; "("&amp;D74&amp;")")</f>
        <v>Possui certificado em desacordo com a DCQQ. FALSO</v>
      </c>
      <c r="D74" s="815" t="str">
        <f>_xlfn.CONCAT(AG65:AG94)</f>
        <v/>
      </c>
      <c r="K74" s="525">
        <v>28</v>
      </c>
      <c r="L74" s="25" t="str" cm="1">
        <f t="array" aca="1" ref="L74" ca="1">IF(INDIRECT($G$62&amp;G$67&amp;$K74)&lt;&gt;0,INDIRECT($G$62&amp;G$67&amp;$K74),"")</f>
        <v/>
      </c>
      <c r="M74" s="25" t="str" cm="1">
        <f t="array" aca="1" ref="M74" ca="1">IF(INDIRECT($G$62&amp;G$68&amp;$K74)&lt;&gt;0,INDIRECT($G$62&amp;G$68&amp;$K74),"")</f>
        <v/>
      </c>
      <c r="N74" s="25" t="str" cm="1">
        <f t="array" aca="1" ref="N74" ca="1">IF(INDIRECT($G$62&amp;G$69&amp;$K74)&lt;&gt;0,INDIRECT($G$62&amp;G$69&amp;$K74),"")</f>
        <v/>
      </c>
      <c r="O74" s="25" t="str" cm="1">
        <f t="array" aca="1" ref="O74" ca="1">IF(INDIRECT($G$62&amp;G$70&amp;$K74)&lt;&gt;0,INDIRECT($G$62&amp;G$70&amp;$K74),"")</f>
        <v/>
      </c>
      <c r="P74" s="25" t="str" cm="1">
        <f t="array" aca="1" ref="P74" ca="1">IF(INDIRECT($G$62&amp;G$71&amp;$K74)&lt;&gt;0,INDIRECT($G$62&amp;G$71&amp;$K74),"")</f>
        <v/>
      </c>
      <c r="Q74" s="25" t="str" cm="1">
        <f t="array" aca="1" ref="Q74" ca="1">IF(INDIRECT($G$62&amp;G$72&amp;$K74)&lt;&gt;0,INDIRECT($G$62&amp;G$72&amp;$K74),"")</f>
        <v/>
      </c>
      <c r="R74" s="25" t="str" cm="1">
        <f t="array" aca="1" ref="R74" ca="1">IF(INDIRECT($G$62&amp;G$73&amp;$K74)&lt;&gt;0,INDIRECT($G$62&amp;G$73&amp;$K74),"")</f>
        <v/>
      </c>
      <c r="S74" s="525" t="str">
        <f t="shared" ca="1" si="20"/>
        <v/>
      </c>
      <c r="T74" s="525" t="str">
        <f t="shared" ca="1" si="22"/>
        <v/>
      </c>
      <c r="U74" s="525" t="str">
        <f t="shared" ca="1" si="23"/>
        <v/>
      </c>
      <c r="V74" s="525" t="str">
        <f t="shared" ca="1" si="24"/>
        <v/>
      </c>
      <c r="X74" s="525" t="str">
        <f t="shared" ca="1" si="25"/>
        <v/>
      </c>
      <c r="Y74" s="525" t="str">
        <f t="shared" ca="1" si="36"/>
        <v/>
      </c>
      <c r="Z74" s="525" t="str">
        <f t="shared" ca="1" si="26"/>
        <v/>
      </c>
      <c r="AA74" s="525" t="str">
        <f t="shared" ca="1" si="27"/>
        <v/>
      </c>
      <c r="AB74" s="501" t="str">
        <f t="shared" si="28"/>
        <v/>
      </c>
      <c r="AC74" s="501" t="str">
        <f t="shared" si="29"/>
        <v/>
      </c>
      <c r="AD74" s="501" t="str">
        <f t="shared" si="29"/>
        <v/>
      </c>
      <c r="AE74" s="501" t="str">
        <f t="shared" si="29"/>
        <v/>
      </c>
      <c r="AF74" s="501" t="str">
        <f t="shared" si="29"/>
        <v/>
      </c>
      <c r="AG74" s="501" t="str">
        <f t="shared" si="29"/>
        <v/>
      </c>
      <c r="AH74" s="525" t="str">
        <f t="shared" ca="1" si="30"/>
        <v/>
      </c>
      <c r="AI74" s="525" t="str">
        <f t="shared" ca="1" si="31"/>
        <v/>
      </c>
      <c r="AK74" s="496" t="str" cm="1">
        <f t="array" aca="1" ref="AK74" ca="1">IFERROR(
INDEX($M$65:$M$94,MATCH(0,INDEX(COUNTIF(AK$63:$AK73,$M$65:$M$94),),)),"")</f>
        <v/>
      </c>
      <c r="AL74" s="426" t="str">
        <f t="shared" ca="1" si="32"/>
        <v/>
      </c>
      <c r="AM74" s="25" t="str">
        <f t="shared" ca="1" si="21"/>
        <v/>
      </c>
      <c r="AO74" s="426" t="str">
        <f t="shared" ca="1" si="33"/>
        <v/>
      </c>
      <c r="AP74" s="813" t="str">
        <f t="shared" ca="1" si="34"/>
        <v/>
      </c>
      <c r="AQ74" s="496" t="str" cm="1">
        <f t="array" aca="1" ref="AQ74" ca="1">IFERROR(
INDEX($L$65:$L$94,MATCH(0,INDEX(COUNTIF($AQ$63:AQ73,$L$65:$L$94),),)),"")</f>
        <v/>
      </c>
      <c r="AZ74" s="470" t="s">
        <v>6172</v>
      </c>
      <c r="BB74" s="25"/>
      <c r="BC74" s="752" t="s">
        <v>8297</v>
      </c>
      <c r="DA74" s="470" t="s">
        <v>6172</v>
      </c>
      <c r="DF74" s="699" t="s">
        <v>5742</v>
      </c>
      <c r="DG74" s="816" t="s">
        <v>92</v>
      </c>
      <c r="DH74" s="820">
        <f t="shared" si="39"/>
        <v>427</v>
      </c>
      <c r="DI74" s="820">
        <f t="shared" si="16"/>
        <v>438</v>
      </c>
      <c r="DJ74" s="820">
        <f t="shared" si="40"/>
        <v>444</v>
      </c>
      <c r="DK74" s="820">
        <f t="shared" si="17"/>
        <v>455</v>
      </c>
      <c r="DO74" s="20" t="s">
        <v>6427</v>
      </c>
    </row>
    <row r="75" spans="2:138" ht="15.75" thickBot="1" x14ac:dyDescent="0.3">
      <c r="B75" s="22">
        <f t="shared" ca="1" si="38"/>
        <v>0</v>
      </c>
      <c r="C75" s="450" t="str">
        <f ca="1">"Possui certificado com tempo de validade superior ou igual a 2 anos. "&amp; IF(D75&lt;&gt;"",CHAR(10) &amp; "("&amp;D75&amp;")")</f>
        <v>Possui certificado com tempo de validade superior ou igual a 2 anos. FALSO</v>
      </c>
      <c r="D75" s="815" t="str">
        <f ca="1">_xlfn.CONCAT(AI65:AI94)</f>
        <v/>
      </c>
      <c r="K75" s="525">
        <v>29</v>
      </c>
      <c r="L75" s="25" t="str" cm="1">
        <f t="array" aca="1" ref="L75" ca="1">IF(INDIRECT($G$62&amp;G$67&amp;$K75)&lt;&gt;0,INDIRECT($G$62&amp;G$67&amp;$K75),"")</f>
        <v/>
      </c>
      <c r="M75" s="25" t="str" cm="1">
        <f t="array" aca="1" ref="M75" ca="1">IF(INDIRECT($G$62&amp;G$68&amp;$K75)&lt;&gt;0,INDIRECT($G$62&amp;G$68&amp;$K75),"")</f>
        <v/>
      </c>
      <c r="N75" s="25" t="str" cm="1">
        <f t="array" aca="1" ref="N75" ca="1">IF(INDIRECT($G$62&amp;G$69&amp;$K75)&lt;&gt;0,INDIRECT($G$62&amp;G$69&amp;$K75),"")</f>
        <v/>
      </c>
      <c r="O75" s="25" t="str" cm="1">
        <f t="array" aca="1" ref="O75" ca="1">IF(INDIRECT($G$62&amp;G$70&amp;$K75)&lt;&gt;0,INDIRECT($G$62&amp;G$70&amp;$K75),"")</f>
        <v/>
      </c>
      <c r="P75" s="25" t="str" cm="1">
        <f t="array" aca="1" ref="P75" ca="1">IF(INDIRECT($G$62&amp;G$71&amp;$K75)&lt;&gt;0,INDIRECT($G$62&amp;G$71&amp;$K75),"")</f>
        <v/>
      </c>
      <c r="Q75" s="25" t="str" cm="1">
        <f t="array" aca="1" ref="Q75" ca="1">IF(INDIRECT($G$62&amp;G$72&amp;$K75)&lt;&gt;0,INDIRECT($G$62&amp;G$72&amp;$K75),"")</f>
        <v/>
      </c>
      <c r="R75" s="25" t="str" cm="1">
        <f t="array" aca="1" ref="R75" ca="1">IF(INDIRECT($G$62&amp;G$73&amp;$K75)&lt;&gt;0,INDIRECT($G$62&amp;G$73&amp;$K75),"")</f>
        <v/>
      </c>
      <c r="S75" s="525" t="str">
        <f t="shared" ca="1" si="20"/>
        <v/>
      </c>
      <c r="T75" s="525" t="str">
        <f t="shared" ca="1" si="22"/>
        <v/>
      </c>
      <c r="U75" s="525" t="str">
        <f t="shared" ca="1" si="23"/>
        <v/>
      </c>
      <c r="V75" s="525" t="str">
        <f t="shared" ca="1" si="24"/>
        <v/>
      </c>
      <c r="X75" s="525" t="str">
        <f t="shared" ca="1" si="25"/>
        <v/>
      </c>
      <c r="Y75" s="525" t="str">
        <f t="shared" ca="1" si="36"/>
        <v/>
      </c>
      <c r="Z75" s="525" t="str">
        <f t="shared" ca="1" si="26"/>
        <v/>
      </c>
      <c r="AA75" s="525" t="str">
        <f t="shared" ca="1" si="27"/>
        <v/>
      </c>
      <c r="AB75" s="501" t="str">
        <f t="shared" si="28"/>
        <v/>
      </c>
      <c r="AC75" s="501" t="str">
        <f t="shared" si="29"/>
        <v/>
      </c>
      <c r="AD75" s="501" t="str">
        <f t="shared" si="29"/>
        <v/>
      </c>
      <c r="AE75" s="501" t="str">
        <f t="shared" si="29"/>
        <v/>
      </c>
      <c r="AF75" s="501" t="str">
        <f t="shared" si="29"/>
        <v/>
      </c>
      <c r="AG75" s="501" t="str">
        <f t="shared" si="29"/>
        <v/>
      </c>
      <c r="AH75" s="525" t="str">
        <f t="shared" ca="1" si="30"/>
        <v/>
      </c>
      <c r="AI75" s="525" t="str">
        <f t="shared" ca="1" si="31"/>
        <v/>
      </c>
      <c r="AK75" s="496" t="str" cm="1">
        <f t="array" aca="1" ref="AK75" ca="1">IFERROR(
INDEX($M$65:$M$94,MATCH(0,INDEX(COUNTIF(AK$63:$AK74,$M$65:$M$94),),)),"")</f>
        <v/>
      </c>
      <c r="AL75" s="426" t="str">
        <f t="shared" ca="1" si="32"/>
        <v/>
      </c>
      <c r="AM75" s="25" t="str">
        <f t="shared" ca="1" si="21"/>
        <v/>
      </c>
      <c r="AO75" s="426" t="str">
        <f t="shared" ca="1" si="33"/>
        <v/>
      </c>
      <c r="AP75" s="813" t="str">
        <f t="shared" ca="1" si="34"/>
        <v/>
      </c>
      <c r="AQ75" s="496" t="str" cm="1">
        <f t="array" aca="1" ref="AQ75" ca="1">IFERROR(
INDEX($L$65:$L$94,MATCH(0,INDEX(COUNTIF($AQ$63:AQ74,$L$65:$L$94),),)),"")</f>
        <v/>
      </c>
      <c r="AZ75" s="470" t="s">
        <v>6172</v>
      </c>
      <c r="BB75" s="821" t="s">
        <v>6214</v>
      </c>
      <c r="BC75" s="821"/>
      <c r="BD75" s="730"/>
      <c r="BE75" s="730"/>
      <c r="BF75" s="730"/>
      <c r="BG75" s="730"/>
      <c r="BH75" s="730"/>
      <c r="BI75" s="730"/>
      <c r="BJ75" s="730"/>
      <c r="BK75" s="730"/>
      <c r="BL75" s="730"/>
      <c r="BM75" s="730"/>
      <c r="BN75" s="730"/>
      <c r="BO75" s="730"/>
      <c r="BP75" s="730"/>
      <c r="BQ75" s="730"/>
      <c r="BR75" s="730"/>
      <c r="BS75" s="730"/>
      <c r="BT75" s="730"/>
      <c r="BU75" s="730"/>
      <c r="BV75" s="730"/>
      <c r="BW75" s="730"/>
      <c r="BX75" s="730"/>
      <c r="BY75" s="730"/>
      <c r="BZ75" s="730"/>
      <c r="CA75" s="730"/>
      <c r="CB75" s="730"/>
      <c r="CC75" s="730"/>
      <c r="CD75" s="730"/>
      <c r="CE75" s="730"/>
      <c r="CF75" s="730"/>
      <c r="CG75" s="730"/>
      <c r="CH75" s="730"/>
      <c r="CI75" s="730"/>
      <c r="DA75" s="470" t="s">
        <v>6172</v>
      </c>
      <c r="DF75" s="699" t="s">
        <v>5742</v>
      </c>
      <c r="DG75" s="816" t="s">
        <v>93</v>
      </c>
      <c r="DH75" s="820">
        <f t="shared" si="39"/>
        <v>461</v>
      </c>
      <c r="DI75" s="820">
        <f t="shared" si="16"/>
        <v>472</v>
      </c>
      <c r="DJ75" s="820">
        <f t="shared" si="40"/>
        <v>478</v>
      </c>
      <c r="DK75" s="820">
        <f t="shared" si="17"/>
        <v>489</v>
      </c>
      <c r="DO75" s="372" t="s">
        <v>90</v>
      </c>
      <c r="DP75" s="372" t="s">
        <v>90</v>
      </c>
      <c r="DQ75" s="372" t="s">
        <v>91</v>
      </c>
      <c r="DR75" s="372" t="s">
        <v>91</v>
      </c>
      <c r="DS75" s="372" t="s">
        <v>92</v>
      </c>
      <c r="DT75" s="372" t="s">
        <v>92</v>
      </c>
      <c r="DU75" s="372" t="s">
        <v>93</v>
      </c>
      <c r="DV75" s="372" t="s">
        <v>93</v>
      </c>
      <c r="DW75" s="372" t="s">
        <v>94</v>
      </c>
      <c r="DX75" s="372" t="s">
        <v>94</v>
      </c>
      <c r="DY75" s="372" t="s">
        <v>95</v>
      </c>
      <c r="DZ75" s="372" t="s">
        <v>95</v>
      </c>
      <c r="EA75" s="372" t="s">
        <v>96</v>
      </c>
      <c r="EB75" s="372" t="s">
        <v>96</v>
      </c>
      <c r="EC75" s="372" t="s">
        <v>97</v>
      </c>
      <c r="ED75" s="372" t="s">
        <v>97</v>
      </c>
      <c r="EE75" s="372" t="s">
        <v>99</v>
      </c>
      <c r="EF75" s="372" t="s">
        <v>99</v>
      </c>
      <c r="EG75" s="372" t="s">
        <v>99</v>
      </c>
      <c r="EH75" s="372" t="s">
        <v>99</v>
      </c>
    </row>
    <row r="76" spans="2:138" x14ac:dyDescent="0.25">
      <c r="B76" s="22">
        <f ca="1">IF(G86,0,1)</f>
        <v>0</v>
      </c>
      <c r="C76" s="450" t="str">
        <f ca="1">"Não foram apresentados os resultados para todos os IA. "&amp;IF(D76&lt;&gt;"",CHAR(10) &amp; "("&amp;D76&amp;")")</f>
        <v>Não foram apresentados os resultados para todos os IA. FALSO</v>
      </c>
      <c r="D76" s="815" t="str">
        <f ca="1">_xlfn.CONCAT(AP65:AP94)</f>
        <v/>
      </c>
      <c r="F76" s="525">
        <v>1</v>
      </c>
      <c r="G76" s="426" t="s">
        <v>8316</v>
      </c>
      <c r="H76" s="525">
        <f t="shared" ref="H76:H81" si="41">COUNTIF($AB$65:$AB$94,F76)</f>
        <v>0</v>
      </c>
      <c r="K76" s="525">
        <v>30</v>
      </c>
      <c r="L76" s="25" t="str" cm="1">
        <f t="array" aca="1" ref="L76" ca="1">IF(INDIRECT($G$62&amp;G$67&amp;$K76)&lt;&gt;0,INDIRECT($G$62&amp;G$67&amp;$K76),"")</f>
        <v/>
      </c>
      <c r="M76" s="25" t="str" cm="1">
        <f t="array" aca="1" ref="M76" ca="1">IF(INDIRECT($G$62&amp;G$68&amp;$K76)&lt;&gt;0,INDIRECT($G$62&amp;G$68&amp;$K76),"")</f>
        <v/>
      </c>
      <c r="N76" s="25" t="str" cm="1">
        <f t="array" aca="1" ref="N76" ca="1">IF(INDIRECT($G$62&amp;G$69&amp;$K76)&lt;&gt;0,INDIRECT($G$62&amp;G$69&amp;$K76),"")</f>
        <v/>
      </c>
      <c r="O76" s="25" t="str" cm="1">
        <f t="array" aca="1" ref="O76" ca="1">IF(INDIRECT($G$62&amp;G$70&amp;$K76)&lt;&gt;0,INDIRECT($G$62&amp;G$70&amp;$K76),"")</f>
        <v/>
      </c>
      <c r="P76" s="25" t="str" cm="1">
        <f t="array" aca="1" ref="P76" ca="1">IF(INDIRECT($G$62&amp;G$71&amp;$K76)&lt;&gt;0,INDIRECT($G$62&amp;G$71&amp;$K76),"")</f>
        <v/>
      </c>
      <c r="Q76" s="25" t="str" cm="1">
        <f t="array" aca="1" ref="Q76" ca="1">IF(INDIRECT($G$62&amp;G$72&amp;$K76)&lt;&gt;0,INDIRECT($G$62&amp;G$72&amp;$K76),"")</f>
        <v/>
      </c>
      <c r="R76" s="25" t="str" cm="1">
        <f t="array" aca="1" ref="R76" ca="1">IF(INDIRECT($G$62&amp;G$73&amp;$K76)&lt;&gt;0,INDIRECT($G$62&amp;G$73&amp;$K76),"")</f>
        <v/>
      </c>
      <c r="S76" s="525" t="str">
        <f t="shared" ca="1" si="20"/>
        <v/>
      </c>
      <c r="T76" s="525" t="str">
        <f t="shared" ca="1" si="22"/>
        <v/>
      </c>
      <c r="U76" s="525" t="str">
        <f t="shared" ca="1" si="23"/>
        <v/>
      </c>
      <c r="V76" s="525" t="str">
        <f t="shared" ca="1" si="24"/>
        <v/>
      </c>
      <c r="X76" s="525" t="str">
        <f t="shared" ca="1" si="25"/>
        <v/>
      </c>
      <c r="Y76" s="525" t="str">
        <f t="shared" ca="1" si="36"/>
        <v/>
      </c>
      <c r="Z76" s="525" t="str">
        <f t="shared" ca="1" si="26"/>
        <v/>
      </c>
      <c r="AA76" s="525" t="str">
        <f t="shared" ca="1" si="27"/>
        <v/>
      </c>
      <c r="AB76" s="501" t="str">
        <f t="shared" si="28"/>
        <v/>
      </c>
      <c r="AC76" s="501" t="str">
        <f t="shared" si="29"/>
        <v/>
      </c>
      <c r="AD76" s="501" t="str">
        <f t="shared" si="29"/>
        <v/>
      </c>
      <c r="AE76" s="501" t="str">
        <f t="shared" si="29"/>
        <v/>
      </c>
      <c r="AF76" s="501" t="str">
        <f t="shared" si="29"/>
        <v/>
      </c>
      <c r="AG76" s="501" t="str">
        <f t="shared" si="29"/>
        <v/>
      </c>
      <c r="AH76" s="525" t="str">
        <f t="shared" ca="1" si="30"/>
        <v/>
      </c>
      <c r="AI76" s="525" t="str">
        <f t="shared" ca="1" si="31"/>
        <v/>
      </c>
      <c r="AK76" s="496" t="str" cm="1">
        <f t="array" aca="1" ref="AK76" ca="1">IFERROR(
INDEX($M$65:$M$94,MATCH(0,INDEX(COUNTIF(AK$63:$AK75,$M$65:$M$94),),)),"")</f>
        <v/>
      </c>
      <c r="AL76" s="426" t="str">
        <f t="shared" ca="1" si="32"/>
        <v/>
      </c>
      <c r="AM76" s="25" t="str">
        <f t="shared" ca="1" si="21"/>
        <v/>
      </c>
      <c r="AO76" s="426" t="str">
        <f t="shared" ca="1" si="33"/>
        <v/>
      </c>
      <c r="AP76" s="813" t="str">
        <f t="shared" ca="1" si="34"/>
        <v/>
      </c>
      <c r="AQ76" s="496" t="str" cm="1">
        <f t="array" aca="1" ref="AQ76" ca="1">IFERROR(
INDEX($L$65:$L$94,MATCH(0,INDEX(COUNTIF($AQ$63:AQ75,$L$65:$L$94),),)),"")</f>
        <v/>
      </c>
      <c r="AZ76" s="470" t="s">
        <v>6172</v>
      </c>
      <c r="BB76" s="525">
        <f ca="1">IF(BG81&lt;&gt;BH81,1,0)</f>
        <v>0</v>
      </c>
      <c r="BC76" s="450" t="s">
        <v>6197</v>
      </c>
      <c r="DA76" s="470" t="s">
        <v>6172</v>
      </c>
      <c r="DF76" s="699" t="s">
        <v>5742</v>
      </c>
      <c r="DG76" s="816" t="s">
        <v>94</v>
      </c>
      <c r="DH76" s="820">
        <f t="shared" si="39"/>
        <v>495</v>
      </c>
      <c r="DI76" s="820">
        <f t="shared" si="16"/>
        <v>506</v>
      </c>
      <c r="DJ76" s="820">
        <f t="shared" si="40"/>
        <v>512</v>
      </c>
      <c r="DK76" s="820">
        <f t="shared" si="17"/>
        <v>523</v>
      </c>
      <c r="DN76" s="372"/>
      <c r="DO76" s="675" t="s">
        <v>10</v>
      </c>
      <c r="DP76" s="675" t="s">
        <v>237</v>
      </c>
      <c r="DQ76" s="675" t="s">
        <v>10</v>
      </c>
      <c r="DR76" s="675" t="s">
        <v>237</v>
      </c>
      <c r="DS76" s="675" t="s">
        <v>10</v>
      </c>
      <c r="DT76" s="675" t="s">
        <v>237</v>
      </c>
      <c r="DU76" s="675" t="s">
        <v>10</v>
      </c>
      <c r="DV76" s="675" t="s">
        <v>237</v>
      </c>
      <c r="DW76" s="675" t="s">
        <v>10</v>
      </c>
      <c r="DX76" s="675" t="s">
        <v>237</v>
      </c>
      <c r="DY76" s="675" t="s">
        <v>10</v>
      </c>
      <c r="DZ76" s="675" t="s">
        <v>237</v>
      </c>
      <c r="EA76" s="675" t="s">
        <v>10</v>
      </c>
      <c r="EB76" s="675" t="s">
        <v>237</v>
      </c>
      <c r="EC76" s="675" t="s">
        <v>10</v>
      </c>
      <c r="ED76" s="675" t="s">
        <v>237</v>
      </c>
      <c r="EE76" s="675" t="s">
        <v>10</v>
      </c>
      <c r="EF76" s="675" t="s">
        <v>237</v>
      </c>
      <c r="EG76" s="675" t="s">
        <v>10</v>
      </c>
      <c r="EH76" s="675" t="s">
        <v>237</v>
      </c>
    </row>
    <row r="77" spans="2:138" x14ac:dyDescent="0.25">
      <c r="B77" s="22"/>
      <c r="C77" s="750" t="s">
        <v>8297</v>
      </c>
      <c r="D77" s="572" t="s">
        <v>8297</v>
      </c>
      <c r="F77" s="525">
        <v>2</v>
      </c>
      <c r="G77" s="426" t="s">
        <v>6167</v>
      </c>
      <c r="H77" s="525">
        <f t="shared" si="41"/>
        <v>0</v>
      </c>
      <c r="K77" s="525">
        <v>31</v>
      </c>
      <c r="L77" s="25" t="str" cm="1">
        <f t="array" aca="1" ref="L77" ca="1">IF(INDIRECT($G$62&amp;G$67&amp;$K77)&lt;&gt;0,INDIRECT($G$62&amp;G$67&amp;$K77),"")</f>
        <v/>
      </c>
      <c r="M77" s="25" t="str" cm="1">
        <f t="array" aca="1" ref="M77" ca="1">IF(INDIRECT($G$62&amp;G$68&amp;$K77)&lt;&gt;0,INDIRECT($G$62&amp;G$68&amp;$K77),"")</f>
        <v/>
      </c>
      <c r="N77" s="25" t="str" cm="1">
        <f t="array" aca="1" ref="N77" ca="1">IF(INDIRECT($G$62&amp;G$69&amp;$K77)&lt;&gt;0,INDIRECT($G$62&amp;G$69&amp;$K77),"")</f>
        <v/>
      </c>
      <c r="O77" s="25" t="str" cm="1">
        <f t="array" aca="1" ref="O77" ca="1">IF(INDIRECT($G$62&amp;G$70&amp;$K77)&lt;&gt;0,INDIRECT($G$62&amp;G$70&amp;$K77),"")</f>
        <v/>
      </c>
      <c r="P77" s="25" t="str" cm="1">
        <f t="array" aca="1" ref="P77" ca="1">IF(INDIRECT($G$62&amp;G$71&amp;$K77)&lt;&gt;0,INDIRECT($G$62&amp;G$71&amp;$K77),"")</f>
        <v/>
      </c>
      <c r="Q77" s="25" t="str" cm="1">
        <f t="array" aca="1" ref="Q77" ca="1">IF(INDIRECT($G$62&amp;G$72&amp;$K77)&lt;&gt;0,INDIRECT($G$62&amp;G$72&amp;$K77),"")</f>
        <v/>
      </c>
      <c r="R77" s="25" t="str" cm="1">
        <f t="array" aca="1" ref="R77" ca="1">IF(INDIRECT($G$62&amp;G$73&amp;$K77)&lt;&gt;0,INDIRECT($G$62&amp;G$73&amp;$K77),"")</f>
        <v/>
      </c>
      <c r="S77" s="525" t="str">
        <f t="shared" ca="1" si="20"/>
        <v/>
      </c>
      <c r="T77" s="525" t="str">
        <f t="shared" ca="1" si="22"/>
        <v/>
      </c>
      <c r="U77" s="525" t="str">
        <f t="shared" ca="1" si="23"/>
        <v/>
      </c>
      <c r="V77" s="525" t="str">
        <f t="shared" ca="1" si="24"/>
        <v/>
      </c>
      <c r="X77" s="525" t="str">
        <f t="shared" ca="1" si="25"/>
        <v/>
      </c>
      <c r="Y77" s="525" t="str">
        <f t="shared" ca="1" si="36"/>
        <v/>
      </c>
      <c r="Z77" s="525" t="str">
        <f t="shared" ca="1" si="26"/>
        <v/>
      </c>
      <c r="AA77" s="525" t="str">
        <f t="shared" ca="1" si="27"/>
        <v/>
      </c>
      <c r="AB77" s="501" t="str">
        <f t="shared" si="28"/>
        <v/>
      </c>
      <c r="AC77" s="501" t="str">
        <f t="shared" si="29"/>
        <v/>
      </c>
      <c r="AD77" s="501" t="str">
        <f t="shared" si="29"/>
        <v/>
      </c>
      <c r="AE77" s="501" t="str">
        <f t="shared" si="29"/>
        <v/>
      </c>
      <c r="AF77" s="501" t="str">
        <f t="shared" si="29"/>
        <v/>
      </c>
      <c r="AG77" s="501" t="str">
        <f t="shared" si="29"/>
        <v/>
      </c>
      <c r="AH77" s="525" t="str">
        <f t="shared" ca="1" si="30"/>
        <v/>
      </c>
      <c r="AI77" s="525" t="str">
        <f t="shared" ca="1" si="31"/>
        <v/>
      </c>
      <c r="AK77" s="496" t="str" cm="1">
        <f t="array" aca="1" ref="AK77" ca="1">IFERROR(
INDEX($M$65:$M$94,MATCH(0,INDEX(COUNTIF(AK$63:$AK76,$M$65:$M$94),),)),"")</f>
        <v/>
      </c>
      <c r="AL77" s="426" t="str">
        <f t="shared" ca="1" si="32"/>
        <v/>
      </c>
      <c r="AM77" s="25" t="str">
        <f t="shared" ca="1" si="21"/>
        <v/>
      </c>
      <c r="AO77" s="426" t="str">
        <f t="shared" ca="1" si="33"/>
        <v/>
      </c>
      <c r="AP77" s="813" t="str">
        <f t="shared" ca="1" si="34"/>
        <v/>
      </c>
      <c r="AQ77" s="496" t="str" cm="1">
        <f t="array" aca="1" ref="AQ77" ca="1">IFERROR(
INDEX($L$65:$L$94,MATCH(0,INDEX(COUNTIF($AQ$63:AQ76,$L$65:$L$94),),)),"")</f>
        <v/>
      </c>
      <c r="AZ77" s="470" t="s">
        <v>6172</v>
      </c>
      <c r="BB77" s="525">
        <f ca="1">IF(BG81&lt;&gt;BI81,1,0)</f>
        <v>0</v>
      </c>
      <c r="BC77" s="450" t="s">
        <v>6198</v>
      </c>
      <c r="DA77" s="470" t="s">
        <v>6172</v>
      </c>
      <c r="DF77" s="699" t="s">
        <v>5742</v>
      </c>
      <c r="DG77" s="816" t="s">
        <v>95</v>
      </c>
      <c r="DH77" s="820">
        <f t="shared" si="39"/>
        <v>529</v>
      </c>
      <c r="DI77" s="820">
        <f t="shared" si="16"/>
        <v>540</v>
      </c>
      <c r="DJ77" s="820">
        <f t="shared" si="40"/>
        <v>546</v>
      </c>
      <c r="DK77" s="820">
        <f t="shared" si="17"/>
        <v>557</v>
      </c>
      <c r="DN77" s="470" t="s">
        <v>88</v>
      </c>
      <c r="DO77" s="822">
        <f ca="1">IF(COUNTIF(Calculos!BK372,"*Não*")&gt;0,1,0)</f>
        <v>0</v>
      </c>
      <c r="DP77" s="822">
        <f ca="1">IF(COUNTIF(Calculos!BL372,"*Não*")&gt;0,1,0)</f>
        <v>0</v>
      </c>
      <c r="DQ77" s="822">
        <f ca="1">IF(COUNTIF(Calculos!BM372,"*Não*")&gt;0,1,0)</f>
        <v>0</v>
      </c>
      <c r="DR77" s="822">
        <f ca="1">IF(COUNTIF(Calculos!BN372,"*Não*")&gt;0,1,0)</f>
        <v>0</v>
      </c>
      <c r="DS77" s="822">
        <f ca="1">IF(COUNTIF(Calculos!BO372,"*Não*")&gt;0,1,0)</f>
        <v>0</v>
      </c>
      <c r="DT77" s="822">
        <f ca="1">IF(COUNTIF(Calculos!BP372,"*Não*")&gt;0,1,0)</f>
        <v>0</v>
      </c>
      <c r="DU77" s="822">
        <f ca="1">IF(COUNTIF(Calculos!BQ372,"*Não*")&gt;0,1,0)</f>
        <v>0</v>
      </c>
      <c r="DV77" s="822">
        <f ca="1">IF(COUNTIF(Calculos!BR372,"*Não*")&gt;0,1,0)</f>
        <v>0</v>
      </c>
      <c r="DW77" s="822">
        <f ca="1">IF(COUNTIF(Calculos!BS372,"*Não*")&gt;0,1,0)</f>
        <v>0</v>
      </c>
      <c r="DX77" s="822">
        <f ca="1">IF(COUNTIF(Calculos!BT372,"*Não*")&gt;0,1,0)</f>
        <v>0</v>
      </c>
      <c r="DY77" s="822">
        <f ca="1">IF(COUNTIF(Calculos!BU372,"*Não*")&gt;0,1,0)</f>
        <v>0</v>
      </c>
      <c r="DZ77" s="822">
        <f ca="1">IF(COUNTIF(Calculos!BV372,"*Não*")&gt;0,1,0)</f>
        <v>0</v>
      </c>
      <c r="EA77" s="822">
        <f ca="1">IF(COUNTIF(Calculos!BW372,"*Não*")&gt;0,1,0)</f>
        <v>0</v>
      </c>
      <c r="EB77" s="822">
        <f ca="1">IF(COUNTIF(Calculos!BX372,"*Não*")&gt;0,1,0)</f>
        <v>0</v>
      </c>
      <c r="EC77" s="822">
        <f ca="1">IF(COUNTIF(Calculos!BY372,"*Não*")&gt;0,1,0)</f>
        <v>0</v>
      </c>
      <c r="ED77" s="822">
        <f ca="1">IF(COUNTIF(Calculos!BZ372,"*Não*")&gt;0,1,0)</f>
        <v>0</v>
      </c>
      <c r="EE77" s="822">
        <f ca="1">IF(COUNTIF(Calculos!CA372,"*Não*")&gt;0,1,0)</f>
        <v>0</v>
      </c>
      <c r="EF77" s="822">
        <f ca="1">IF(COUNTIF(Calculos!CB372,"*Não*")&gt;0,1,0)</f>
        <v>0</v>
      </c>
      <c r="EG77" s="822">
        <f ca="1">IF(COUNTIF(Calculos!CC372,"*Não*")&gt;0,1,0)</f>
        <v>0</v>
      </c>
      <c r="EH77" s="822">
        <f ca="1">IF(COUNTIF(Calculos!CD372,"*Não*")&gt;0,1,0)</f>
        <v>0</v>
      </c>
    </row>
    <row r="78" spans="2:138" x14ac:dyDescent="0.25">
      <c r="B78" s="22"/>
      <c r="C78" s="750" t="s">
        <v>8297</v>
      </c>
      <c r="D78" s="572" t="s">
        <v>8297</v>
      </c>
      <c r="F78" s="525">
        <v>3</v>
      </c>
      <c r="G78" s="426" t="s">
        <v>6164</v>
      </c>
      <c r="H78" s="525">
        <f t="shared" si="41"/>
        <v>0</v>
      </c>
      <c r="K78" s="525">
        <v>32</v>
      </c>
      <c r="L78" s="25" t="str" cm="1">
        <f t="array" aca="1" ref="L78" ca="1">IF(INDIRECT($G$62&amp;G$67&amp;$K78)&lt;&gt;0,INDIRECT($G$62&amp;G$67&amp;$K78),"")</f>
        <v/>
      </c>
      <c r="M78" s="25" t="str" cm="1">
        <f t="array" aca="1" ref="M78" ca="1">IF(INDIRECT($G$62&amp;G$68&amp;$K78)&lt;&gt;0,INDIRECT($G$62&amp;G$68&amp;$K78),"")</f>
        <v/>
      </c>
      <c r="N78" s="25" t="str" cm="1">
        <f t="array" aca="1" ref="N78" ca="1">IF(INDIRECT($G$62&amp;G$69&amp;$K78)&lt;&gt;0,INDIRECT($G$62&amp;G$69&amp;$K78),"")</f>
        <v/>
      </c>
      <c r="O78" s="25" t="str" cm="1">
        <f t="array" aca="1" ref="O78" ca="1">IF(INDIRECT($G$62&amp;G$70&amp;$K78)&lt;&gt;0,INDIRECT($G$62&amp;G$70&amp;$K78),"")</f>
        <v/>
      </c>
      <c r="P78" s="25" t="str" cm="1">
        <f t="array" aca="1" ref="P78" ca="1">IF(INDIRECT($G$62&amp;G$71&amp;$K78)&lt;&gt;0,INDIRECT($G$62&amp;G$71&amp;$K78),"")</f>
        <v/>
      </c>
      <c r="Q78" s="25" t="str" cm="1">
        <f t="array" aca="1" ref="Q78" ca="1">IF(INDIRECT($G$62&amp;G$72&amp;$K78)&lt;&gt;0,INDIRECT($G$62&amp;G$72&amp;$K78),"")</f>
        <v/>
      </c>
      <c r="R78" s="25" t="str" cm="1">
        <f t="array" aca="1" ref="R78" ca="1">IF(INDIRECT($G$62&amp;G$73&amp;$K78)&lt;&gt;0,INDIRECT($G$62&amp;G$73&amp;$K78),"")</f>
        <v/>
      </c>
      <c r="S78" s="525" t="str">
        <f t="shared" ca="1" si="20"/>
        <v/>
      </c>
      <c r="T78" s="525" t="str">
        <f t="shared" ca="1" si="22"/>
        <v/>
      </c>
      <c r="U78" s="525" t="str">
        <f t="shared" ca="1" si="23"/>
        <v/>
      </c>
      <c r="V78" s="525" t="str">
        <f t="shared" ca="1" si="24"/>
        <v/>
      </c>
      <c r="X78" s="525" t="str">
        <f t="shared" ca="1" si="25"/>
        <v/>
      </c>
      <c r="Y78" s="525" t="str">
        <f t="shared" ca="1" si="36"/>
        <v/>
      </c>
      <c r="Z78" s="525" t="str">
        <f t="shared" ca="1" si="26"/>
        <v/>
      </c>
      <c r="AA78" s="525" t="str">
        <f t="shared" ca="1" si="27"/>
        <v/>
      </c>
      <c r="AB78" s="501" t="str">
        <f t="shared" si="28"/>
        <v/>
      </c>
      <c r="AC78" s="501" t="str">
        <f t="shared" si="29"/>
        <v/>
      </c>
      <c r="AD78" s="501" t="str">
        <f t="shared" si="29"/>
        <v/>
      </c>
      <c r="AE78" s="501" t="str">
        <f t="shared" si="29"/>
        <v/>
      </c>
      <c r="AF78" s="501" t="str">
        <f t="shared" si="29"/>
        <v/>
      </c>
      <c r="AG78" s="501" t="str">
        <f t="shared" si="29"/>
        <v/>
      </c>
      <c r="AH78" s="525" t="str">
        <f t="shared" ca="1" si="30"/>
        <v/>
      </c>
      <c r="AI78" s="525" t="str">
        <f t="shared" ca="1" si="31"/>
        <v/>
      </c>
      <c r="AK78" s="496" t="str" cm="1">
        <f t="array" aca="1" ref="AK78" ca="1">IFERROR(
INDEX($M$65:$M$94,MATCH(0,INDEX(COUNTIF(AK$63:$AK77,$M$65:$M$94),),)),"")</f>
        <v/>
      </c>
      <c r="AL78" s="426" t="str">
        <f t="shared" ca="1" si="32"/>
        <v/>
      </c>
      <c r="AM78" s="25" t="str">
        <f t="shared" ca="1" si="21"/>
        <v/>
      </c>
      <c r="AO78" s="426" t="str">
        <f t="shared" ca="1" si="33"/>
        <v/>
      </c>
      <c r="AP78" s="813" t="str">
        <f t="shared" ca="1" si="34"/>
        <v/>
      </c>
      <c r="AQ78" s="496" t="str" cm="1">
        <f t="array" aca="1" ref="AQ78" ca="1">IFERROR(
INDEX($L$65:$L$94,MATCH(0,INDEX(COUNTIF($AQ$63:AQ77,$L$65:$L$94),),)),"")</f>
        <v/>
      </c>
      <c r="AZ78" s="470" t="s">
        <v>6172</v>
      </c>
      <c r="BB78" s="525">
        <f ca="1">IF(BG81&lt;&gt;BJ81,1,0)</f>
        <v>0</v>
      </c>
      <c r="BC78" s="450" t="s">
        <v>6199</v>
      </c>
      <c r="BG78" s="733" t="s">
        <v>7321</v>
      </c>
      <c r="BH78" s="797" t="s">
        <v>5568</v>
      </c>
      <c r="DA78" s="470" t="s">
        <v>6172</v>
      </c>
      <c r="DF78" s="699" t="s">
        <v>5742</v>
      </c>
      <c r="DG78" s="816" t="s">
        <v>96</v>
      </c>
      <c r="DH78" s="820">
        <f t="shared" si="39"/>
        <v>563</v>
      </c>
      <c r="DI78" s="820">
        <f t="shared" si="16"/>
        <v>574</v>
      </c>
      <c r="DJ78" s="820">
        <f t="shared" si="40"/>
        <v>580</v>
      </c>
      <c r="DK78" s="820">
        <f t="shared" si="17"/>
        <v>591</v>
      </c>
      <c r="DN78" s="470" t="s">
        <v>101</v>
      </c>
      <c r="DO78" s="822">
        <f ca="1">IF(COUNTIF(Calculos!BK373,"*Não*")&gt;0,1,0)</f>
        <v>0</v>
      </c>
      <c r="DP78" s="822">
        <f ca="1">IF(COUNTIF(Calculos!BL373,"*Não*")&gt;0,1,0)</f>
        <v>0</v>
      </c>
      <c r="DQ78" s="822">
        <f ca="1">IF(COUNTIF(Calculos!BM373,"*Não*")&gt;0,1,0)</f>
        <v>0</v>
      </c>
      <c r="DR78" s="822">
        <f ca="1">IF(COUNTIF(Calculos!BN373,"*Não*")&gt;0,1,0)</f>
        <v>0</v>
      </c>
      <c r="DS78" s="822">
        <f ca="1">IF(COUNTIF(Calculos!BO373,"*Não*")&gt;0,1,0)</f>
        <v>0</v>
      </c>
      <c r="DT78" s="822">
        <f ca="1">IF(COUNTIF(Calculos!BP373,"*Não*")&gt;0,1,0)</f>
        <v>0</v>
      </c>
      <c r="DU78" s="822">
        <f ca="1">IF(COUNTIF(Calculos!BQ373,"*Não*")&gt;0,1,0)</f>
        <v>0</v>
      </c>
      <c r="DV78" s="822">
        <f ca="1">IF(COUNTIF(Calculos!BR373,"*Não*")&gt;0,1,0)</f>
        <v>0</v>
      </c>
      <c r="DW78" s="822">
        <f ca="1">IF(COUNTIF(Calculos!BS373,"*Não*")&gt;0,1,0)</f>
        <v>0</v>
      </c>
      <c r="DX78" s="822">
        <f ca="1">IF(COUNTIF(Calculos!BT373,"*Não*")&gt;0,1,0)</f>
        <v>0</v>
      </c>
      <c r="DY78" s="822">
        <f ca="1">IF(COUNTIF(Calculos!BU373,"*Não*")&gt;0,1,0)</f>
        <v>0</v>
      </c>
      <c r="DZ78" s="822">
        <f ca="1">IF(COUNTIF(Calculos!BV373,"*Não*")&gt;0,1,0)</f>
        <v>0</v>
      </c>
      <c r="EA78" s="822">
        <f ca="1">IF(COUNTIF(Calculos!BW373,"*Não*")&gt;0,1,0)</f>
        <v>0</v>
      </c>
      <c r="EB78" s="822">
        <f ca="1">IF(COUNTIF(Calculos!BX373,"*Não*")&gt;0,1,0)</f>
        <v>0</v>
      </c>
      <c r="EC78" s="822">
        <f ca="1">IF(COUNTIF(Calculos!BY373,"*Não*")&gt;0,1,0)</f>
        <v>0</v>
      </c>
      <c r="ED78" s="822">
        <f ca="1">IF(COUNTIF(Calculos!BZ373,"*Não*")&gt;0,1,0)</f>
        <v>0</v>
      </c>
      <c r="EE78" s="822">
        <f ca="1">IF(COUNTIF(Calculos!CA373,"*Não*")&gt;0,1,0)</f>
        <v>0</v>
      </c>
      <c r="EF78" s="822">
        <f ca="1">IF(COUNTIF(Calculos!CB373,"*Não*")&gt;0,1,0)</f>
        <v>0</v>
      </c>
      <c r="EG78" s="822">
        <f ca="1">IF(COUNTIF(Calculos!CC373,"*Não*")&gt;0,1,0)</f>
        <v>0</v>
      </c>
      <c r="EH78" s="822">
        <f ca="1">IF(COUNTIF(Calculos!CD373,"*Não*")&gt;0,1,0)</f>
        <v>0</v>
      </c>
    </row>
    <row r="79" spans="2:138" x14ac:dyDescent="0.25">
      <c r="B79" s="22"/>
      <c r="C79" s="750" t="s">
        <v>8297</v>
      </c>
      <c r="D79" s="572" t="s">
        <v>8297</v>
      </c>
      <c r="F79" s="525">
        <v>4</v>
      </c>
      <c r="G79" s="426" t="s">
        <v>6166</v>
      </c>
      <c r="H79" s="525">
        <f t="shared" si="41"/>
        <v>0</v>
      </c>
      <c r="K79" s="525">
        <v>33</v>
      </c>
      <c r="L79" s="25" t="str" cm="1">
        <f t="array" aca="1" ref="L79" ca="1">IF(INDIRECT($G$62&amp;G$67&amp;$K79)&lt;&gt;0,INDIRECT($G$62&amp;G$67&amp;$K79),"")</f>
        <v/>
      </c>
      <c r="M79" s="25" t="str" cm="1">
        <f t="array" aca="1" ref="M79" ca="1">IF(INDIRECT($G$62&amp;G$68&amp;$K79)&lt;&gt;0,INDIRECT($G$62&amp;G$68&amp;$K79),"")</f>
        <v/>
      </c>
      <c r="N79" s="25" t="str" cm="1">
        <f t="array" aca="1" ref="N79" ca="1">IF(INDIRECT($G$62&amp;G$69&amp;$K79)&lt;&gt;0,INDIRECT($G$62&amp;G$69&amp;$K79),"")</f>
        <v/>
      </c>
      <c r="O79" s="25" t="str" cm="1">
        <f t="array" aca="1" ref="O79" ca="1">IF(INDIRECT($G$62&amp;G$70&amp;$K79)&lt;&gt;0,INDIRECT($G$62&amp;G$70&amp;$K79),"")</f>
        <v/>
      </c>
      <c r="P79" s="25" t="str" cm="1">
        <f t="array" aca="1" ref="P79" ca="1">IF(INDIRECT($G$62&amp;G$71&amp;$K79)&lt;&gt;0,INDIRECT($G$62&amp;G$71&amp;$K79),"")</f>
        <v/>
      </c>
      <c r="Q79" s="25" t="str" cm="1">
        <f t="array" aca="1" ref="Q79" ca="1">IF(INDIRECT($G$62&amp;G$72&amp;$K79)&lt;&gt;0,INDIRECT($G$62&amp;G$72&amp;$K79),"")</f>
        <v/>
      </c>
      <c r="R79" s="25" t="str" cm="1">
        <f t="array" aca="1" ref="R79" ca="1">IF(INDIRECT($G$62&amp;G$73&amp;$K79)&lt;&gt;0,INDIRECT($G$62&amp;G$73&amp;$K79),"")</f>
        <v/>
      </c>
      <c r="S79" s="525" t="str">
        <f t="shared" ca="1" si="20"/>
        <v/>
      </c>
      <c r="T79" s="525" t="str">
        <f t="shared" ca="1" si="22"/>
        <v/>
      </c>
      <c r="U79" s="525" t="str">
        <f t="shared" ca="1" si="23"/>
        <v/>
      </c>
      <c r="V79" s="525" t="str">
        <f t="shared" ca="1" si="24"/>
        <v/>
      </c>
      <c r="X79" s="525" t="str">
        <f t="shared" ca="1" si="25"/>
        <v/>
      </c>
      <c r="Y79" s="525" t="str">
        <f t="shared" ca="1" si="36"/>
        <v/>
      </c>
      <c r="Z79" s="525" t="str">
        <f t="shared" ca="1" si="26"/>
        <v/>
      </c>
      <c r="AA79" s="525" t="str">
        <f t="shared" ca="1" si="27"/>
        <v/>
      </c>
      <c r="AB79" s="501" t="str">
        <f t="shared" si="28"/>
        <v/>
      </c>
      <c r="AC79" s="501" t="str">
        <f t="shared" si="29"/>
        <v/>
      </c>
      <c r="AD79" s="501" t="str">
        <f t="shared" si="29"/>
        <v/>
      </c>
      <c r="AE79" s="501" t="str">
        <f t="shared" si="29"/>
        <v/>
      </c>
      <c r="AF79" s="501" t="str">
        <f t="shared" si="29"/>
        <v/>
      </c>
      <c r="AG79" s="501" t="str">
        <f t="shared" si="29"/>
        <v/>
      </c>
      <c r="AH79" s="525" t="str">
        <f t="shared" ca="1" si="30"/>
        <v/>
      </c>
      <c r="AI79" s="525" t="str">
        <f t="shared" ca="1" si="31"/>
        <v/>
      </c>
      <c r="AK79" s="496" t="str" cm="1">
        <f t="array" aca="1" ref="AK79" ca="1">IFERROR(
INDEX($M$65:$M$94,MATCH(0,INDEX(COUNTIF(AK$63:$AK78,$M$65:$M$94),),)),"")</f>
        <v/>
      </c>
      <c r="AL79" s="426" t="str">
        <f t="shared" ca="1" si="32"/>
        <v/>
      </c>
      <c r="AM79" s="25" t="str">
        <f t="shared" ca="1" si="21"/>
        <v/>
      </c>
      <c r="AO79" s="426" t="str">
        <f t="shared" ca="1" si="33"/>
        <v/>
      </c>
      <c r="AP79" s="813" t="str">
        <f t="shared" ca="1" si="34"/>
        <v/>
      </c>
      <c r="AQ79" s="496" t="str" cm="1">
        <f t="array" aca="1" ref="AQ79" ca="1">IFERROR(
INDEX($L$65:$L$94,MATCH(0,INDEX(COUNTIF($AQ$63:AQ78,$L$65:$L$94),),)),"")</f>
        <v/>
      </c>
      <c r="AZ79" s="470" t="s">
        <v>6172</v>
      </c>
      <c r="BB79" s="525">
        <f ca="1">IF(BG81&lt;&gt;BK81,1,0)</f>
        <v>0</v>
      </c>
      <c r="BC79" s="426" t="s">
        <v>6200</v>
      </c>
      <c r="BG79" s="737" t="s">
        <v>30</v>
      </c>
      <c r="BH79" s="823" t="s">
        <v>6174</v>
      </c>
      <c r="BI79" s="737" t="s">
        <v>6173</v>
      </c>
      <c r="BJ79" s="737" t="s">
        <v>6029</v>
      </c>
      <c r="BK79" s="737" t="s">
        <v>218</v>
      </c>
      <c r="BL79" s="737" t="s">
        <v>6183</v>
      </c>
      <c r="BM79" s="737" t="s">
        <v>6184</v>
      </c>
      <c r="BN79" s="737" t="s">
        <v>31</v>
      </c>
      <c r="BO79" s="737" t="s">
        <v>5720</v>
      </c>
      <c r="BP79" s="737" t="s">
        <v>85</v>
      </c>
      <c r="BQ79" s="737" t="s">
        <v>235</v>
      </c>
      <c r="BR79" s="589" t="s">
        <v>293</v>
      </c>
      <c r="BS79" s="589" t="s">
        <v>301</v>
      </c>
      <c r="BT79" s="589" t="s">
        <v>302</v>
      </c>
      <c r="BU79" s="589" t="s">
        <v>6242</v>
      </c>
      <c r="BV79" s="589" t="s">
        <v>143</v>
      </c>
      <c r="BW79" s="589" t="s">
        <v>6217</v>
      </c>
      <c r="BX79" s="589" t="s">
        <v>278</v>
      </c>
      <c r="BY79" s="589" t="s">
        <v>279</v>
      </c>
      <c r="BZ79" s="589" t="s">
        <v>6189</v>
      </c>
      <c r="CA79" s="824" t="s">
        <v>6185</v>
      </c>
      <c r="CB79" s="824" t="s">
        <v>6187</v>
      </c>
      <c r="CC79" s="824" t="s">
        <v>6188</v>
      </c>
      <c r="DA79" s="470" t="s">
        <v>6172</v>
      </c>
      <c r="DF79" s="699" t="s">
        <v>5742</v>
      </c>
      <c r="DG79" s="816" t="s">
        <v>97</v>
      </c>
      <c r="DH79" s="820">
        <f t="shared" si="39"/>
        <v>597</v>
      </c>
      <c r="DI79" s="820">
        <f t="shared" si="16"/>
        <v>608</v>
      </c>
      <c r="DJ79" s="820">
        <f t="shared" si="40"/>
        <v>614</v>
      </c>
      <c r="DK79" s="820">
        <f t="shared" si="17"/>
        <v>625</v>
      </c>
      <c r="DN79" s="470" t="s">
        <v>120</v>
      </c>
      <c r="DO79" s="822">
        <f ca="1">IF(COUNTIF(Calculos!BK374,"*Não*")&gt;0,1,0)</f>
        <v>0</v>
      </c>
      <c r="DP79" s="822">
        <f ca="1">IF(COUNTIF(Calculos!BL374,"*Não*")&gt;0,1,0)</f>
        <v>0</v>
      </c>
      <c r="DQ79" s="822">
        <f ca="1">IF(COUNTIF(Calculos!BM374,"*Não*")&gt;0,1,0)</f>
        <v>0</v>
      </c>
      <c r="DR79" s="822">
        <f ca="1">IF(COUNTIF(Calculos!BN374,"*Não*")&gt;0,1,0)</f>
        <v>0</v>
      </c>
      <c r="DS79" s="822">
        <f ca="1">IF(COUNTIF(Calculos!BO374,"*Não*")&gt;0,1,0)</f>
        <v>0</v>
      </c>
      <c r="DT79" s="822">
        <f ca="1">IF(COUNTIF(Calculos!BP374,"*Não*")&gt;0,1,0)</f>
        <v>0</v>
      </c>
      <c r="DU79" s="822">
        <f ca="1">IF(COUNTIF(Calculos!BQ374,"*Não*")&gt;0,1,0)</f>
        <v>0</v>
      </c>
      <c r="DV79" s="822">
        <f ca="1">IF(COUNTIF(Calculos!BR374,"*Não*")&gt;0,1,0)</f>
        <v>0</v>
      </c>
      <c r="DW79" s="822">
        <f ca="1">IF(COUNTIF(Calculos!BS374,"*Não*")&gt;0,1,0)</f>
        <v>0</v>
      </c>
      <c r="DX79" s="822">
        <f ca="1">IF(COUNTIF(Calculos!BT374,"*Não*")&gt;0,1,0)</f>
        <v>0</v>
      </c>
      <c r="DY79" s="822">
        <f ca="1">IF(COUNTIF(Calculos!BU374,"*Não*")&gt;0,1,0)</f>
        <v>0</v>
      </c>
      <c r="DZ79" s="822">
        <f ca="1">IF(COUNTIF(Calculos!BV374,"*Não*")&gt;0,1,0)</f>
        <v>0</v>
      </c>
      <c r="EA79" s="822">
        <f ca="1">IF(COUNTIF(Calculos!BW374,"*Não*")&gt;0,1,0)</f>
        <v>0</v>
      </c>
      <c r="EB79" s="822">
        <f ca="1">IF(COUNTIF(Calculos!BX374,"*Não*")&gt;0,1,0)</f>
        <v>0</v>
      </c>
      <c r="EC79" s="822">
        <f ca="1">IF(COUNTIF(Calculos!BY374,"*Não*")&gt;0,1,0)</f>
        <v>0</v>
      </c>
      <c r="ED79" s="822">
        <f ca="1">IF(COUNTIF(Calculos!BZ374,"*Não*")&gt;0,1,0)</f>
        <v>0</v>
      </c>
      <c r="EE79" s="822">
        <f ca="1">IF(COUNTIF(Calculos!CA374,"*Não*")&gt;0,1,0)</f>
        <v>0</v>
      </c>
      <c r="EF79" s="822">
        <f ca="1">IF(COUNTIF(Calculos!CB374,"*Não*")&gt;0,1,0)</f>
        <v>0</v>
      </c>
      <c r="EG79" s="822">
        <f ca="1">IF(COUNTIF(Calculos!CC374,"*Não*")&gt;0,1,0)</f>
        <v>0</v>
      </c>
      <c r="EH79" s="822">
        <f ca="1">IF(COUNTIF(Calculos!CD374,"*Não*")&gt;0,1,0)</f>
        <v>0</v>
      </c>
    </row>
    <row r="80" spans="2:138" x14ac:dyDescent="0.25">
      <c r="B80" s="22"/>
      <c r="C80" s="750" t="s">
        <v>8297</v>
      </c>
      <c r="D80" s="572" t="s">
        <v>8297</v>
      </c>
      <c r="F80" s="525">
        <v>5</v>
      </c>
      <c r="G80" s="426" t="s">
        <v>7316</v>
      </c>
      <c r="H80" s="525">
        <f t="shared" si="41"/>
        <v>0</v>
      </c>
      <c r="K80" s="525">
        <v>34</v>
      </c>
      <c r="L80" s="25" t="str" cm="1">
        <f t="array" aca="1" ref="L80" ca="1">IF(INDIRECT($G$62&amp;G$67&amp;$K80)&lt;&gt;0,INDIRECT($G$62&amp;G$67&amp;$K80),"")</f>
        <v/>
      </c>
      <c r="M80" s="25" t="str" cm="1">
        <f t="array" aca="1" ref="M80" ca="1">IF(INDIRECT($G$62&amp;G$68&amp;$K80)&lt;&gt;0,INDIRECT($G$62&amp;G$68&amp;$K80),"")</f>
        <v/>
      </c>
      <c r="N80" s="25" t="str" cm="1">
        <f t="array" aca="1" ref="N80" ca="1">IF(INDIRECT($G$62&amp;G$69&amp;$K80)&lt;&gt;0,INDIRECT($G$62&amp;G$69&amp;$K80),"")</f>
        <v/>
      </c>
      <c r="O80" s="25" t="str" cm="1">
        <f t="array" aca="1" ref="O80" ca="1">IF(INDIRECT($G$62&amp;G$70&amp;$K80)&lt;&gt;0,INDIRECT($G$62&amp;G$70&amp;$K80),"")</f>
        <v/>
      </c>
      <c r="P80" s="25" t="str" cm="1">
        <f t="array" aca="1" ref="P80" ca="1">IF(INDIRECT($G$62&amp;G$71&amp;$K80)&lt;&gt;0,INDIRECT($G$62&amp;G$71&amp;$K80),"")</f>
        <v/>
      </c>
      <c r="Q80" s="25" t="str" cm="1">
        <f t="array" aca="1" ref="Q80" ca="1">IF(INDIRECT($G$62&amp;G$72&amp;$K80)&lt;&gt;0,INDIRECT($G$62&amp;G$72&amp;$K80),"")</f>
        <v/>
      </c>
      <c r="R80" s="25" t="str" cm="1">
        <f t="array" aca="1" ref="R80" ca="1">IF(INDIRECT($G$62&amp;G$73&amp;$K80)&lt;&gt;0,INDIRECT($G$62&amp;G$73&amp;$K80),"")</f>
        <v/>
      </c>
      <c r="S80" s="525" t="str">
        <f t="shared" ca="1" si="20"/>
        <v/>
      </c>
      <c r="T80" s="525" t="str">
        <f t="shared" ca="1" si="22"/>
        <v/>
      </c>
      <c r="U80" s="525" t="str">
        <f t="shared" ca="1" si="23"/>
        <v/>
      </c>
      <c r="V80" s="525" t="str">
        <f t="shared" ca="1" si="24"/>
        <v/>
      </c>
      <c r="X80" s="525" t="str">
        <f t="shared" ca="1" si="25"/>
        <v/>
      </c>
      <c r="Y80" s="525" t="str">
        <f t="shared" ca="1" si="36"/>
        <v/>
      </c>
      <c r="Z80" s="525" t="str">
        <f t="shared" ca="1" si="26"/>
        <v/>
      </c>
      <c r="AA80" s="525" t="str">
        <f t="shared" ca="1" si="27"/>
        <v/>
      </c>
      <c r="AB80" s="501" t="str">
        <f t="shared" si="28"/>
        <v/>
      </c>
      <c r="AC80" s="501" t="str">
        <f t="shared" si="29"/>
        <v/>
      </c>
      <c r="AD80" s="501" t="str">
        <f t="shared" si="29"/>
        <v/>
      </c>
      <c r="AE80" s="501" t="str">
        <f t="shared" si="29"/>
        <v/>
      </c>
      <c r="AF80" s="501" t="str">
        <f t="shared" si="29"/>
        <v/>
      </c>
      <c r="AG80" s="501" t="str">
        <f t="shared" si="29"/>
        <v/>
      </c>
      <c r="AH80" s="525" t="str">
        <f t="shared" ca="1" si="30"/>
        <v/>
      </c>
      <c r="AI80" s="525" t="str">
        <f t="shared" ca="1" si="31"/>
        <v/>
      </c>
      <c r="AK80" s="496" t="str" cm="1">
        <f t="array" aca="1" ref="AK80" ca="1">IFERROR(
INDEX($M$65:$M$94,MATCH(0,INDEX(COUNTIF(AK$63:$AK79,$M$65:$M$94),),)),"")</f>
        <v/>
      </c>
      <c r="AL80" s="426" t="str">
        <f t="shared" ca="1" si="32"/>
        <v/>
      </c>
      <c r="AM80" s="25" t="str">
        <f t="shared" ca="1" si="21"/>
        <v/>
      </c>
      <c r="AO80" s="426" t="str">
        <f t="shared" ca="1" si="33"/>
        <v/>
      </c>
      <c r="AP80" s="813" t="str">
        <f t="shared" ca="1" si="34"/>
        <v/>
      </c>
      <c r="AQ80" s="496" t="str" cm="1">
        <f t="array" aca="1" ref="AQ80" ca="1">IFERROR(
INDEX($L$65:$L$94,MATCH(0,INDEX(COUNTIF($AQ$63:AQ79,$L$65:$L$94),),)),"")</f>
        <v/>
      </c>
      <c r="AZ80" s="470" t="s">
        <v>6172</v>
      </c>
      <c r="BB80" s="525">
        <f ca="1">IF(BG81&lt;&gt;BM81,1,0)</f>
        <v>0</v>
      </c>
      <c r="BC80" s="426" t="s">
        <v>6201</v>
      </c>
      <c r="BF80" s="790" t="s">
        <v>5778</v>
      </c>
      <c r="BG80" s="743" t="s">
        <v>1592</v>
      </c>
      <c r="BH80" s="743" t="s">
        <v>7333</v>
      </c>
      <c r="BI80" s="743" t="s">
        <v>7334</v>
      </c>
      <c r="BJ80" s="744" t="s">
        <v>5798</v>
      </c>
      <c r="BK80" s="744" t="s">
        <v>7335</v>
      </c>
      <c r="BL80" s="744" t="s">
        <v>7336</v>
      </c>
      <c r="BM80" s="745" t="s">
        <v>7337</v>
      </c>
      <c r="BN80" s="745" t="s">
        <v>7338</v>
      </c>
      <c r="BO80" s="744" t="s">
        <v>5796</v>
      </c>
      <c r="BP80" s="744" t="s">
        <v>5796</v>
      </c>
      <c r="BQ80" s="744" t="s">
        <v>7340</v>
      </c>
      <c r="BR80" s="746" t="s">
        <v>7365</v>
      </c>
      <c r="BS80" s="746" t="s">
        <v>7366</v>
      </c>
      <c r="BT80" s="746" t="s">
        <v>7367</v>
      </c>
      <c r="BU80" s="743" t="s">
        <v>7303</v>
      </c>
      <c r="BV80" s="743" t="s">
        <v>7375</v>
      </c>
      <c r="BW80" s="825" t="s">
        <v>7376</v>
      </c>
      <c r="BX80" s="825" t="s">
        <v>7377</v>
      </c>
      <c r="BY80" s="825" t="s">
        <v>7378</v>
      </c>
      <c r="BZ80" s="743" t="s">
        <v>7304</v>
      </c>
      <c r="CA80" s="826" t="s">
        <v>8332</v>
      </c>
      <c r="CB80" s="826" t="s">
        <v>6218</v>
      </c>
      <c r="CC80" s="826" t="s">
        <v>6219</v>
      </c>
      <c r="DA80" s="470" t="s">
        <v>6172</v>
      </c>
      <c r="DF80" s="699" t="s">
        <v>5742</v>
      </c>
      <c r="DG80" s="816" t="s">
        <v>98</v>
      </c>
      <c r="DH80" s="820">
        <f t="shared" si="39"/>
        <v>631</v>
      </c>
      <c r="DI80" s="820">
        <f t="shared" si="16"/>
        <v>642</v>
      </c>
      <c r="DJ80" s="820">
        <f t="shared" si="40"/>
        <v>648</v>
      </c>
      <c r="DK80" s="820">
        <f t="shared" si="17"/>
        <v>659</v>
      </c>
    </row>
    <row r="81" spans="2:129" x14ac:dyDescent="0.25">
      <c r="B81" s="22"/>
      <c r="C81" s="750" t="s">
        <v>8297</v>
      </c>
      <c r="D81" s="572" t="s">
        <v>8297</v>
      </c>
      <c r="F81" s="525">
        <v>6</v>
      </c>
      <c r="G81" s="426" t="s">
        <v>6165</v>
      </c>
      <c r="H81" s="525">
        <f t="shared" si="41"/>
        <v>0</v>
      </c>
      <c r="K81" s="525">
        <v>35</v>
      </c>
      <c r="L81" s="25" t="str" cm="1">
        <f t="array" aca="1" ref="L81" ca="1">IF(INDIRECT($G$62&amp;G$67&amp;$K81)&lt;&gt;0,INDIRECT($G$62&amp;G$67&amp;$K81),"")</f>
        <v/>
      </c>
      <c r="M81" s="25" t="str" cm="1">
        <f t="array" aca="1" ref="M81" ca="1">IF(INDIRECT($G$62&amp;G$68&amp;$K81)&lt;&gt;0,INDIRECT($G$62&amp;G$68&amp;$K81),"")</f>
        <v/>
      </c>
      <c r="N81" s="25" t="str" cm="1">
        <f t="array" aca="1" ref="N81" ca="1">IF(INDIRECT($G$62&amp;G$69&amp;$K81)&lt;&gt;0,INDIRECT($G$62&amp;G$69&amp;$K81),"")</f>
        <v/>
      </c>
      <c r="O81" s="25" t="str" cm="1">
        <f t="array" aca="1" ref="O81" ca="1">IF(INDIRECT($G$62&amp;G$70&amp;$K81)&lt;&gt;0,INDIRECT($G$62&amp;G$70&amp;$K81),"")</f>
        <v/>
      </c>
      <c r="P81" s="25" t="str" cm="1">
        <f t="array" aca="1" ref="P81" ca="1">IF(INDIRECT($G$62&amp;G$71&amp;$K81)&lt;&gt;0,INDIRECT($G$62&amp;G$71&amp;$K81),"")</f>
        <v/>
      </c>
      <c r="Q81" s="25" t="str" cm="1">
        <f t="array" aca="1" ref="Q81" ca="1">IF(INDIRECT($G$62&amp;G$72&amp;$K81)&lt;&gt;0,INDIRECT($G$62&amp;G$72&amp;$K81),"")</f>
        <v/>
      </c>
      <c r="R81" s="25" t="str" cm="1">
        <f t="array" aca="1" ref="R81" ca="1">IF(INDIRECT($G$62&amp;G$73&amp;$K81)&lt;&gt;0,INDIRECT($G$62&amp;G$73&amp;$K81),"")</f>
        <v/>
      </c>
      <c r="S81" s="525" t="str">
        <f t="shared" ca="1" si="20"/>
        <v/>
      </c>
      <c r="T81" s="525" t="str">
        <f t="shared" ca="1" si="22"/>
        <v/>
      </c>
      <c r="U81" s="525" t="str">
        <f t="shared" ca="1" si="23"/>
        <v/>
      </c>
      <c r="V81" s="525" t="str">
        <f t="shared" ca="1" si="24"/>
        <v/>
      </c>
      <c r="X81" s="525" t="str">
        <f t="shared" ca="1" si="25"/>
        <v/>
      </c>
      <c r="Y81" s="525" t="str">
        <f t="shared" ca="1" si="36"/>
        <v/>
      </c>
      <c r="Z81" s="525" t="str">
        <f t="shared" ca="1" si="26"/>
        <v/>
      </c>
      <c r="AA81" s="525" t="str">
        <f t="shared" ca="1" si="27"/>
        <v/>
      </c>
      <c r="AB81" s="501" t="str">
        <f t="shared" si="28"/>
        <v/>
      </c>
      <c r="AC81" s="501" t="str">
        <f t="shared" si="29"/>
        <v/>
      </c>
      <c r="AD81" s="501" t="str">
        <f t="shared" si="29"/>
        <v/>
      </c>
      <c r="AE81" s="501" t="str">
        <f t="shared" si="29"/>
        <v/>
      </c>
      <c r="AF81" s="501" t="str">
        <f t="shared" si="29"/>
        <v/>
      </c>
      <c r="AG81" s="501" t="str">
        <f t="shared" si="29"/>
        <v/>
      </c>
      <c r="AH81" s="525" t="str">
        <f t="shared" ca="1" si="30"/>
        <v/>
      </c>
      <c r="AI81" s="525" t="str">
        <f t="shared" ca="1" si="31"/>
        <v/>
      </c>
      <c r="AK81" s="496" t="str" cm="1">
        <f t="array" aca="1" ref="AK81" ca="1">IFERROR(
INDEX($M$65:$M$94,MATCH(0,INDEX(COUNTIF(AK$63:$AK80,$M$65:$M$94),),)),"")</f>
        <v/>
      </c>
      <c r="AL81" s="426" t="str">
        <f t="shared" ca="1" si="32"/>
        <v/>
      </c>
      <c r="AM81" s="25" t="str">
        <f t="shared" ca="1" si="21"/>
        <v/>
      </c>
      <c r="AO81" s="426" t="str">
        <f t="shared" ca="1" si="33"/>
        <v/>
      </c>
      <c r="AP81" s="813" t="str">
        <f t="shared" ca="1" si="34"/>
        <v/>
      </c>
      <c r="AQ81" s="496" t="str" cm="1">
        <f t="array" aca="1" ref="AQ81" ca="1">IFERROR(
INDEX($L$65:$L$94,MATCH(0,INDEX(COUNTIF($AQ$63:AQ80,$L$65:$L$94),),)),"")</f>
        <v/>
      </c>
      <c r="AZ81" s="470" t="s">
        <v>6172</v>
      </c>
      <c r="BB81" s="525">
        <f ca="1">IF(BG81&lt;&gt;BN81,1,0)</f>
        <v>0</v>
      </c>
      <c r="BC81" s="426" t="s">
        <v>6202</v>
      </c>
      <c r="BF81" s="790" t="s">
        <v>6222</v>
      </c>
      <c r="BG81" s="827">
        <f t="shared" ref="BG81:BZ81" ca="1" si="42">COUNTA(INDIRECT($BH$78&amp;BG80,1))</f>
        <v>0</v>
      </c>
      <c r="BH81" s="827">
        <f t="shared" ca="1" si="42"/>
        <v>0</v>
      </c>
      <c r="BI81" s="827">
        <f t="shared" ca="1" si="42"/>
        <v>0</v>
      </c>
      <c r="BJ81" s="827">
        <f t="shared" ca="1" si="42"/>
        <v>0</v>
      </c>
      <c r="BK81" s="827">
        <f t="shared" ca="1" si="42"/>
        <v>0</v>
      </c>
      <c r="BL81" s="827">
        <f t="shared" ca="1" si="42"/>
        <v>0</v>
      </c>
      <c r="BM81" s="827">
        <f t="shared" ca="1" si="42"/>
        <v>0</v>
      </c>
      <c r="BN81" s="827">
        <f t="shared" ca="1" si="42"/>
        <v>0</v>
      </c>
      <c r="BO81" s="827">
        <f t="shared" ca="1" si="42"/>
        <v>0</v>
      </c>
      <c r="BP81" s="827">
        <f t="shared" ca="1" si="42"/>
        <v>0</v>
      </c>
      <c r="BQ81" s="827">
        <f t="shared" ca="1" si="42"/>
        <v>0</v>
      </c>
      <c r="BR81" s="827">
        <f t="shared" ca="1" si="42"/>
        <v>0</v>
      </c>
      <c r="BS81" s="827">
        <f t="shared" ca="1" si="42"/>
        <v>0</v>
      </c>
      <c r="BT81" s="827">
        <f t="shared" ca="1" si="42"/>
        <v>0</v>
      </c>
      <c r="BU81" s="827">
        <f t="shared" ca="1" si="42"/>
        <v>0</v>
      </c>
      <c r="BV81" s="827">
        <f t="shared" ca="1" si="42"/>
        <v>0</v>
      </c>
      <c r="BW81" s="827">
        <f t="shared" ca="1" si="42"/>
        <v>0</v>
      </c>
      <c r="BX81" s="827">
        <f t="shared" ca="1" si="42"/>
        <v>0</v>
      </c>
      <c r="BY81" s="827">
        <f t="shared" ca="1" si="42"/>
        <v>0</v>
      </c>
      <c r="BZ81" s="827">
        <f t="shared" ca="1" si="42"/>
        <v>0</v>
      </c>
      <c r="CA81" s="827"/>
      <c r="CB81" s="827">
        <f ca="1">COUNTA(INDIRECT(CB80,1))</f>
        <v>1</v>
      </c>
      <c r="CC81" s="827">
        <f ca="1">COUNTA(INDIRECT(CC80,1))</f>
        <v>1</v>
      </c>
      <c r="DA81" s="470" t="s">
        <v>6172</v>
      </c>
      <c r="DF81" s="699" t="s">
        <v>5742</v>
      </c>
      <c r="DG81" s="816" t="s">
        <v>99</v>
      </c>
      <c r="DH81" s="820">
        <f t="shared" si="39"/>
        <v>665</v>
      </c>
      <c r="DI81" s="820">
        <f t="shared" si="16"/>
        <v>676</v>
      </c>
      <c r="DJ81" s="820">
        <f t="shared" si="40"/>
        <v>682</v>
      </c>
      <c r="DK81" s="820">
        <f t="shared" si="17"/>
        <v>693</v>
      </c>
      <c r="DY81" s="504" t="s">
        <v>7070</v>
      </c>
    </row>
    <row r="82" spans="2:129" x14ac:dyDescent="0.25">
      <c r="F82" s="525">
        <v>7</v>
      </c>
      <c r="G82" s="426" t="s">
        <v>6168</v>
      </c>
      <c r="H82" s="525">
        <f ca="1">COUNTIF(AH65:AH94,"&gt;0")</f>
        <v>0</v>
      </c>
      <c r="K82" s="525">
        <v>36</v>
      </c>
      <c r="L82" s="25" t="str" cm="1">
        <f t="array" aca="1" ref="L82" ca="1">IF(INDIRECT($G$62&amp;G$67&amp;$K82)&lt;&gt;0,INDIRECT($G$62&amp;G$67&amp;$K82),"")</f>
        <v/>
      </c>
      <c r="M82" s="25" t="str" cm="1">
        <f t="array" aca="1" ref="M82" ca="1">IF(INDIRECT($G$62&amp;G$68&amp;$K82)&lt;&gt;0,INDIRECT($G$62&amp;G$68&amp;$K82),"")</f>
        <v/>
      </c>
      <c r="N82" s="25" t="str" cm="1">
        <f t="array" aca="1" ref="N82" ca="1">IF(INDIRECT($G$62&amp;G$69&amp;$K82)&lt;&gt;0,INDIRECT($G$62&amp;G$69&amp;$K82),"")</f>
        <v/>
      </c>
      <c r="O82" s="25" t="str" cm="1">
        <f t="array" aca="1" ref="O82" ca="1">IF(INDIRECT($G$62&amp;G$70&amp;$K82)&lt;&gt;0,INDIRECT($G$62&amp;G$70&amp;$K82),"")</f>
        <v/>
      </c>
      <c r="P82" s="25" t="str" cm="1">
        <f t="array" aca="1" ref="P82" ca="1">IF(INDIRECT($G$62&amp;G$71&amp;$K82)&lt;&gt;0,INDIRECT($G$62&amp;G$71&amp;$K82),"")</f>
        <v/>
      </c>
      <c r="Q82" s="25" t="str" cm="1">
        <f t="array" aca="1" ref="Q82" ca="1">IF(INDIRECT($G$62&amp;G$72&amp;$K82)&lt;&gt;0,INDIRECT($G$62&amp;G$72&amp;$K82),"")</f>
        <v/>
      </c>
      <c r="R82" s="25" t="str" cm="1">
        <f t="array" aca="1" ref="R82" ca="1">IF(INDIRECT($G$62&amp;G$73&amp;$K82)&lt;&gt;0,INDIRECT($G$62&amp;G$73&amp;$K82),"")</f>
        <v/>
      </c>
      <c r="S82" s="525" t="str">
        <f t="shared" ca="1" si="20"/>
        <v/>
      </c>
      <c r="T82" s="525" t="str">
        <f t="shared" ca="1" si="22"/>
        <v/>
      </c>
      <c r="U82" s="525" t="str">
        <f t="shared" ca="1" si="23"/>
        <v/>
      </c>
      <c r="V82" s="525" t="str">
        <f t="shared" ca="1" si="24"/>
        <v/>
      </c>
      <c r="X82" s="525" t="str">
        <f t="shared" ca="1" si="25"/>
        <v/>
      </c>
      <c r="Y82" s="525" t="str">
        <f t="shared" ca="1" si="36"/>
        <v/>
      </c>
      <c r="Z82" s="525" t="str">
        <f t="shared" ca="1" si="26"/>
        <v/>
      </c>
      <c r="AA82" s="525" t="str">
        <f t="shared" ca="1" si="27"/>
        <v/>
      </c>
      <c r="AB82" s="501" t="str">
        <f t="shared" si="28"/>
        <v/>
      </c>
      <c r="AC82" s="501" t="str">
        <f t="shared" si="29"/>
        <v/>
      </c>
      <c r="AD82" s="501" t="str">
        <f t="shared" si="29"/>
        <v/>
      </c>
      <c r="AE82" s="501" t="str">
        <f t="shared" si="29"/>
        <v/>
      </c>
      <c r="AF82" s="501" t="str">
        <f t="shared" si="29"/>
        <v/>
      </c>
      <c r="AG82" s="501" t="str">
        <f t="shared" si="29"/>
        <v/>
      </c>
      <c r="AH82" s="525" t="str">
        <f t="shared" ca="1" si="30"/>
        <v/>
      </c>
      <c r="AI82" s="525" t="str">
        <f t="shared" ca="1" si="31"/>
        <v/>
      </c>
      <c r="AK82" s="496" t="str" cm="1">
        <f t="array" aca="1" ref="AK82" ca="1">IFERROR(
INDEX($M$65:$M$94,MATCH(0,INDEX(COUNTIF(AK$63:$AK81,$M$65:$M$94),),)),"")</f>
        <v/>
      </c>
      <c r="AL82" s="426" t="str">
        <f t="shared" ca="1" si="32"/>
        <v/>
      </c>
      <c r="AM82" s="25" t="str">
        <f t="shared" ca="1" si="21"/>
        <v/>
      </c>
      <c r="AO82" s="426" t="str">
        <f t="shared" ca="1" si="33"/>
        <v/>
      </c>
      <c r="AP82" s="813" t="str">
        <f t="shared" ca="1" si="34"/>
        <v/>
      </c>
      <c r="AQ82" s="496" t="str" cm="1">
        <f t="array" aca="1" ref="AQ82" ca="1">IFERROR(
INDEX($L$65:$L$94,MATCH(0,INDEX(COUNTIF($AQ$63:AQ81,$L$65:$L$94),),)),"")</f>
        <v/>
      </c>
      <c r="AZ82" s="470" t="s">
        <v>6172</v>
      </c>
      <c r="BB82" s="525">
        <f ca="1">IF(BG81&lt;&gt;BO81,1,0)</f>
        <v>0</v>
      </c>
      <c r="BC82" s="426" t="s">
        <v>6203</v>
      </c>
      <c r="BF82" s="790" t="s">
        <v>6133</v>
      </c>
      <c r="BG82" s="828" cm="1">
        <f t="array" aca="1" ref="BG82" ca="1">INDIRECT($BH$78&amp;BG80,1)</f>
        <v>0</v>
      </c>
      <c r="BH82" s="828" cm="1">
        <f t="array" aca="1" ref="BH82" ca="1">INDIRECT($BH$78&amp;BH80,1)</f>
        <v>0</v>
      </c>
      <c r="BI82" s="828" cm="1">
        <f t="array" aca="1" ref="BI82" ca="1">INDIRECT($BH$78&amp;BI80,1)</f>
        <v>0</v>
      </c>
      <c r="BJ82" s="828" cm="1">
        <f t="array" aca="1" ref="BJ82" ca="1">INDIRECT($BH$78&amp;BJ80,1)</f>
        <v>0</v>
      </c>
      <c r="BK82" s="828" cm="1">
        <f t="array" aca="1" ref="BK82" ca="1">INDIRECT($BH$78&amp;BK80,1)</f>
        <v>0</v>
      </c>
      <c r="BL82" s="828" cm="1">
        <f t="array" aca="1" ref="BL82" ca="1">INDIRECT($BH$78&amp;BL80,1)</f>
        <v>0</v>
      </c>
      <c r="BM82" s="828" cm="1">
        <f t="array" aca="1" ref="BM82" ca="1">INDIRECT($BH$78&amp;BM80,1)</f>
        <v>0</v>
      </c>
      <c r="BN82" s="828" cm="1">
        <f t="array" aca="1" ref="BN82" ca="1">INDIRECT($BH$78&amp;BN80,1)</f>
        <v>0</v>
      </c>
      <c r="BO82" s="828" cm="1">
        <f t="array" aca="1" ref="BO82" ca="1">INDIRECT($BH$78&amp;BO80,1)</f>
        <v>0</v>
      </c>
      <c r="BP82" s="828" cm="1">
        <f t="array" aca="1" ref="BP82" ca="1">INDIRECT($BH$78&amp;BP80,1)</f>
        <v>0</v>
      </c>
      <c r="BQ82" s="828" cm="1">
        <f t="array" aca="1" ref="BQ82" ca="1">INDIRECT($BH$78&amp;BQ80,1)</f>
        <v>0</v>
      </c>
      <c r="BR82" s="829"/>
      <c r="BS82" s="829"/>
      <c r="BT82" s="829"/>
      <c r="BU82" s="828" cm="1">
        <f t="array" aca="1" ref="BU82" ca="1">INDIRECT($BH$78&amp;BU80,1)</f>
        <v>0</v>
      </c>
      <c r="BV82" s="828" cm="1">
        <f t="array" aca="1" ref="BV82" ca="1">INDIRECT($BH$78&amp;BV80,1)</f>
        <v>0</v>
      </c>
      <c r="BW82" s="828" cm="1">
        <f t="array" aca="1" ref="BW82" ca="1">INDIRECT($BH$78&amp;BW80,1)</f>
        <v>0</v>
      </c>
      <c r="BX82" s="828" cm="1">
        <f t="array" aca="1" ref="BX82" ca="1">INDIRECT($BH$78&amp;BX80,1)</f>
        <v>0</v>
      </c>
      <c r="BY82" s="828" cm="1">
        <f t="array" aca="1" ref="BY82" ca="1">INDIRECT($BH$78&amp;BY80,1)</f>
        <v>0</v>
      </c>
      <c r="BZ82" s="828" cm="1">
        <f t="array" aca="1" ref="BZ82" ca="1">INDIRECT($BH$78&amp;BZ80,1)</f>
        <v>0</v>
      </c>
      <c r="CA82" s="793">
        <f ca="1">COUNTIF(INDIRECT(CA80),TRUE)</f>
        <v>0</v>
      </c>
      <c r="CB82" s="828" cm="1">
        <f t="array" aca="1" ref="CB82" ca="1">INDIRECT(CB80,1)</f>
        <v>0</v>
      </c>
      <c r="CC82" s="828" t="b" cm="1">
        <f t="array" aca="1" ref="CC82" ca="1">INDIRECT(CC80,1)</f>
        <v>0</v>
      </c>
      <c r="DA82" s="470" t="s">
        <v>6172</v>
      </c>
      <c r="DF82" s="608" t="s">
        <v>5743</v>
      </c>
      <c r="DG82" s="737" t="s">
        <v>90</v>
      </c>
      <c r="DH82" s="806">
        <f>$DK$56</f>
        <v>705</v>
      </c>
      <c r="DI82" s="807">
        <f t="shared" si="16"/>
        <v>716</v>
      </c>
      <c r="DJ82" s="807">
        <f>DI82+6</f>
        <v>722</v>
      </c>
      <c r="DK82" s="807">
        <f t="shared" si="17"/>
        <v>733</v>
      </c>
      <c r="DN82" s="470" t="s">
        <v>6283</v>
      </c>
      <c r="DO82" s="472" t="s">
        <v>6429</v>
      </c>
      <c r="DP82" s="472" t="s">
        <v>6430</v>
      </c>
      <c r="DQ82" s="472" t="s">
        <v>6431</v>
      </c>
      <c r="DR82" s="472" t="s">
        <v>6432</v>
      </c>
      <c r="DV82" s="469"/>
      <c r="DW82" s="758" t="s">
        <v>6099</v>
      </c>
      <c r="DX82" s="767">
        <f ca="1">IF(DZ7="Não",1,0)</f>
        <v>0</v>
      </c>
    </row>
    <row r="83" spans="2:129" x14ac:dyDescent="0.25">
      <c r="K83" s="525">
        <v>37</v>
      </c>
      <c r="L83" s="25" t="str" cm="1">
        <f t="array" aca="1" ref="L83" ca="1">IF(INDIRECT($G$62&amp;G$67&amp;$K83)&lt;&gt;0,INDIRECT($G$62&amp;G$67&amp;$K83),"")</f>
        <v/>
      </c>
      <c r="M83" s="25" t="str" cm="1">
        <f t="array" aca="1" ref="M83" ca="1">IF(INDIRECT($G$62&amp;G$68&amp;$K83)&lt;&gt;0,INDIRECT($G$62&amp;G$68&amp;$K83),"")</f>
        <v/>
      </c>
      <c r="N83" s="25" t="str" cm="1">
        <f t="array" aca="1" ref="N83" ca="1">IF(INDIRECT($G$62&amp;G$69&amp;$K83)&lt;&gt;0,INDIRECT($G$62&amp;G$69&amp;$K83),"")</f>
        <v/>
      </c>
      <c r="O83" s="25" t="str" cm="1">
        <f t="array" aca="1" ref="O83" ca="1">IF(INDIRECT($G$62&amp;G$70&amp;$K83)&lt;&gt;0,INDIRECT($G$62&amp;G$70&amp;$K83),"")</f>
        <v/>
      </c>
      <c r="P83" s="25" t="str" cm="1">
        <f t="array" aca="1" ref="P83" ca="1">IF(INDIRECT($G$62&amp;G$71&amp;$K83)&lt;&gt;0,INDIRECT($G$62&amp;G$71&amp;$K83),"")</f>
        <v/>
      </c>
      <c r="Q83" s="25" t="str" cm="1">
        <f t="array" aca="1" ref="Q83" ca="1">IF(INDIRECT($G$62&amp;G$72&amp;$K83)&lt;&gt;0,INDIRECT($G$62&amp;G$72&amp;$K83),"")</f>
        <v/>
      </c>
      <c r="R83" s="25" t="str" cm="1">
        <f t="array" aca="1" ref="R83" ca="1">IF(INDIRECT($G$62&amp;G$73&amp;$K83)&lt;&gt;0,INDIRECT($G$62&amp;G$73&amp;$K83),"")</f>
        <v/>
      </c>
      <c r="S83" s="525" t="str">
        <f t="shared" ca="1" si="20"/>
        <v/>
      </c>
      <c r="T83" s="525" t="str">
        <f t="shared" ca="1" si="22"/>
        <v/>
      </c>
      <c r="U83" s="525" t="str">
        <f t="shared" ca="1" si="23"/>
        <v/>
      </c>
      <c r="V83" s="525" t="str">
        <f t="shared" ca="1" si="24"/>
        <v/>
      </c>
      <c r="X83" s="525" t="str">
        <f t="shared" ca="1" si="25"/>
        <v/>
      </c>
      <c r="Y83" s="525" t="str">
        <f t="shared" ca="1" si="36"/>
        <v/>
      </c>
      <c r="Z83" s="525" t="str">
        <f t="shared" ca="1" si="26"/>
        <v/>
      </c>
      <c r="AA83" s="525" t="str">
        <f t="shared" ca="1" si="27"/>
        <v/>
      </c>
      <c r="AB83" s="501" t="str">
        <f t="shared" si="28"/>
        <v/>
      </c>
      <c r="AC83" s="501" t="str">
        <f t="shared" si="29"/>
        <v/>
      </c>
      <c r="AD83" s="501" t="str">
        <f t="shared" si="29"/>
        <v/>
      </c>
      <c r="AE83" s="501" t="str">
        <f t="shared" si="29"/>
        <v/>
      </c>
      <c r="AF83" s="501" t="str">
        <f t="shared" si="29"/>
        <v/>
      </c>
      <c r="AG83" s="501" t="str">
        <f t="shared" si="29"/>
        <v/>
      </c>
      <c r="AH83" s="525" t="str">
        <f t="shared" ca="1" si="30"/>
        <v/>
      </c>
      <c r="AI83" s="525" t="str">
        <f t="shared" ca="1" si="31"/>
        <v/>
      </c>
      <c r="AK83" s="496" t="str" cm="1">
        <f t="array" aca="1" ref="AK83" ca="1">IFERROR(
INDEX($M$65:$M$94,MATCH(0,INDEX(COUNTIF(AK$63:$AK82,$M$65:$M$94),),)),"")</f>
        <v/>
      </c>
      <c r="AL83" s="426" t="str">
        <f t="shared" ca="1" si="32"/>
        <v/>
      </c>
      <c r="AM83" s="25" t="str">
        <f t="shared" ca="1" si="21"/>
        <v/>
      </c>
      <c r="AO83" s="426" t="str">
        <f t="shared" ca="1" si="33"/>
        <v/>
      </c>
      <c r="AP83" s="813" t="str">
        <f t="shared" ca="1" si="34"/>
        <v/>
      </c>
      <c r="AQ83" s="496" t="str" cm="1">
        <f t="array" aca="1" ref="AQ83" ca="1">IFERROR(
INDEX($L$65:$L$94,MATCH(0,INDEX(COUNTIF($AQ$63:AQ82,$L$65:$L$94),),)),"")</f>
        <v/>
      </c>
      <c r="AZ83" s="470" t="s">
        <v>6172</v>
      </c>
      <c r="BB83" s="525">
        <f ca="1">IF(BG81&lt;&gt;BP81,1,0)</f>
        <v>0</v>
      </c>
      <c r="BC83" s="426" t="s">
        <v>6204</v>
      </c>
      <c r="DA83" s="470" t="s">
        <v>6172</v>
      </c>
      <c r="DF83" s="608" t="s">
        <v>5743</v>
      </c>
      <c r="DG83" s="737" t="s">
        <v>91</v>
      </c>
      <c r="DH83" s="806">
        <f t="shared" ref="DH83:DH91" si="43">DI82+$DI$58</f>
        <v>739</v>
      </c>
      <c r="DI83" s="807">
        <f t="shared" si="16"/>
        <v>750</v>
      </c>
      <c r="DJ83" s="806">
        <f t="shared" ref="DJ83:DJ91" si="44">DK82+$DI$58</f>
        <v>756</v>
      </c>
      <c r="DK83" s="807">
        <f t="shared" si="17"/>
        <v>767</v>
      </c>
      <c r="DO83" s="785" t="s">
        <v>6422</v>
      </c>
      <c r="DP83" s="785" t="s">
        <v>6423</v>
      </c>
      <c r="DQ83" s="785" t="s">
        <v>6424</v>
      </c>
      <c r="DR83" s="785" t="s">
        <v>6425</v>
      </c>
      <c r="DV83" s="469"/>
      <c r="DW83" s="758" t="s">
        <v>6100</v>
      </c>
      <c r="DX83" s="767">
        <f ca="1">IF(EA7="Não",1,0)</f>
        <v>0</v>
      </c>
    </row>
    <row r="84" spans="2:129" x14ac:dyDescent="0.25">
      <c r="F84" s="812" t="s">
        <v>8324</v>
      </c>
      <c r="G84" s="525">
        <f ca="1">$G$56</f>
        <v>0</v>
      </c>
      <c r="K84" s="525">
        <v>38</v>
      </c>
      <c r="L84" s="25" t="str" cm="1">
        <f t="array" aca="1" ref="L84" ca="1">IF(INDIRECT($G$62&amp;G$67&amp;$K84)&lt;&gt;0,INDIRECT($G$62&amp;G$67&amp;$K84),"")</f>
        <v/>
      </c>
      <c r="M84" s="25" t="str" cm="1">
        <f t="array" aca="1" ref="M84" ca="1">IF(INDIRECT($G$62&amp;G$68&amp;$K84)&lt;&gt;0,INDIRECT($G$62&amp;G$68&amp;$K84),"")</f>
        <v/>
      </c>
      <c r="N84" s="25" t="str" cm="1">
        <f t="array" aca="1" ref="N84" ca="1">IF(INDIRECT($G$62&amp;G$69&amp;$K84)&lt;&gt;0,INDIRECT($G$62&amp;G$69&amp;$K84),"")</f>
        <v/>
      </c>
      <c r="O84" s="25" t="str" cm="1">
        <f t="array" aca="1" ref="O84" ca="1">IF(INDIRECT($G$62&amp;G$70&amp;$K84)&lt;&gt;0,INDIRECT($G$62&amp;G$70&amp;$K84),"")</f>
        <v/>
      </c>
      <c r="P84" s="25" t="str" cm="1">
        <f t="array" aca="1" ref="P84" ca="1">IF(INDIRECT($G$62&amp;G$71&amp;$K84)&lt;&gt;0,INDIRECT($G$62&amp;G$71&amp;$K84),"")</f>
        <v/>
      </c>
      <c r="Q84" s="25" t="str" cm="1">
        <f t="array" aca="1" ref="Q84" ca="1">IF(INDIRECT($G$62&amp;G$72&amp;$K84)&lt;&gt;0,INDIRECT($G$62&amp;G$72&amp;$K84),"")</f>
        <v/>
      </c>
      <c r="R84" s="25" t="str" cm="1">
        <f t="array" aca="1" ref="R84" ca="1">IF(INDIRECT($G$62&amp;G$73&amp;$K84)&lt;&gt;0,INDIRECT($G$62&amp;G$73&amp;$K84),"")</f>
        <v/>
      </c>
      <c r="S84" s="525" t="str">
        <f t="shared" ca="1" si="20"/>
        <v/>
      </c>
      <c r="T84" s="525" t="str">
        <f t="shared" ca="1" si="22"/>
        <v/>
      </c>
      <c r="U84" s="525" t="str">
        <f t="shared" ca="1" si="23"/>
        <v/>
      </c>
      <c r="V84" s="525" t="str">
        <f t="shared" ca="1" si="24"/>
        <v/>
      </c>
      <c r="X84" s="525" t="str">
        <f t="shared" ca="1" si="25"/>
        <v/>
      </c>
      <c r="Y84" s="525" t="str">
        <f t="shared" ca="1" si="36"/>
        <v/>
      </c>
      <c r="Z84" s="525" t="str">
        <f t="shared" ca="1" si="26"/>
        <v/>
      </c>
      <c r="AA84" s="525" t="str">
        <f t="shared" ca="1" si="27"/>
        <v/>
      </c>
      <c r="AB84" s="501" t="str">
        <f t="shared" si="28"/>
        <v/>
      </c>
      <c r="AC84" s="501" t="str">
        <f t="shared" si="29"/>
        <v/>
      </c>
      <c r="AD84" s="501" t="str">
        <f t="shared" si="29"/>
        <v/>
      </c>
      <c r="AE84" s="501" t="str">
        <f t="shared" si="29"/>
        <v/>
      </c>
      <c r="AF84" s="501" t="str">
        <f t="shared" si="29"/>
        <v/>
      </c>
      <c r="AG84" s="501" t="str">
        <f t="shared" si="29"/>
        <v/>
      </c>
      <c r="AH84" s="525" t="str">
        <f t="shared" ca="1" si="30"/>
        <v/>
      </c>
      <c r="AI84" s="525" t="str">
        <f t="shared" ca="1" si="31"/>
        <v/>
      </c>
      <c r="AK84" s="496" t="str" cm="1">
        <f t="array" aca="1" ref="AK84" ca="1">IFERROR(
INDEX($M$65:$M$94,MATCH(0,INDEX(COUNTIF(AK$63:$AK83,$M$65:$M$94),),)),"")</f>
        <v/>
      </c>
      <c r="AL84" s="426" t="str">
        <f t="shared" ca="1" si="32"/>
        <v/>
      </c>
      <c r="AM84" s="25" t="str">
        <f t="shared" ca="1" si="21"/>
        <v/>
      </c>
      <c r="AO84" s="426" t="str">
        <f t="shared" ca="1" si="33"/>
        <v/>
      </c>
      <c r="AP84" s="813" t="str">
        <f t="shared" ca="1" si="34"/>
        <v/>
      </c>
      <c r="AQ84" s="496" t="str" cm="1">
        <f t="array" aca="1" ref="AQ84" ca="1">IFERROR(
INDEX($L$65:$L$94,MATCH(0,INDEX(COUNTIF($AQ$63:AQ83,$L$65:$L$94),),)),"")</f>
        <v/>
      </c>
      <c r="AZ84" s="470" t="s">
        <v>6172</v>
      </c>
      <c r="BB84" s="525">
        <f ca="1">IF(BI89&gt;BJ89,1,0)</f>
        <v>0</v>
      </c>
      <c r="BC84" s="426" t="s">
        <v>6220</v>
      </c>
      <c r="DA84" s="470" t="s">
        <v>6172</v>
      </c>
      <c r="DF84" s="608" t="s">
        <v>5743</v>
      </c>
      <c r="DG84" s="737" t="s">
        <v>92</v>
      </c>
      <c r="DH84" s="807">
        <f t="shared" si="43"/>
        <v>773</v>
      </c>
      <c r="DI84" s="807">
        <f t="shared" si="16"/>
        <v>784</v>
      </c>
      <c r="DJ84" s="807">
        <f t="shared" si="44"/>
        <v>790</v>
      </c>
      <c r="DK84" s="807">
        <f t="shared" si="17"/>
        <v>801</v>
      </c>
      <c r="DN84" s="470" t="s">
        <v>88</v>
      </c>
      <c r="DO84" s="723">
        <f ca="1">COUNTIF(Calculos!BP414:BP423,"&gt;"&amp;0)</f>
        <v>0</v>
      </c>
      <c r="DP84" s="822">
        <f ca="1">COUNTIF(Calculos!BQ414:BQ423,"&gt;"&amp;0)</f>
        <v>0</v>
      </c>
      <c r="DQ84" s="723">
        <f ca="1">COUNTIF(Calculos!CA414:CA423,"&gt;"&amp;0)</f>
        <v>0</v>
      </c>
      <c r="DR84" s="723">
        <f ca="1">COUNTIF(Calculos!CB414:CB423,"&gt;"&amp;0)</f>
        <v>0</v>
      </c>
      <c r="DV84" s="469"/>
      <c r="DW84" s="758" t="s">
        <v>6101</v>
      </c>
      <c r="DX84" s="767">
        <f ca="1">IF(EB7="Não",1,0)</f>
        <v>0</v>
      </c>
    </row>
    <row r="85" spans="2:129" x14ac:dyDescent="0.25">
      <c r="F85" s="812" t="s">
        <v>8326</v>
      </c>
      <c r="G85" s="525">
        <f ca="1">COUNTA($AQ$65:$AQ$94)-COUNTIF($AQ$65:$AQ$94,"")</f>
        <v>0</v>
      </c>
      <c r="K85" s="525">
        <v>39</v>
      </c>
      <c r="L85" s="25" t="str" cm="1">
        <f t="array" aca="1" ref="L85" ca="1">IF(INDIRECT($G$62&amp;G$67&amp;$K85)&lt;&gt;0,INDIRECT($G$62&amp;G$67&amp;$K85),"")</f>
        <v/>
      </c>
      <c r="M85" s="25" t="str" cm="1">
        <f t="array" aca="1" ref="M85" ca="1">IF(INDIRECT($G$62&amp;G$68&amp;$K85)&lt;&gt;0,INDIRECT($G$62&amp;G$68&amp;$K85),"")</f>
        <v/>
      </c>
      <c r="N85" s="25" t="str" cm="1">
        <f t="array" aca="1" ref="N85" ca="1">IF(INDIRECT($G$62&amp;G$69&amp;$K85)&lt;&gt;0,INDIRECT($G$62&amp;G$69&amp;$K85),"")</f>
        <v/>
      </c>
      <c r="O85" s="25" t="str" cm="1">
        <f t="array" aca="1" ref="O85" ca="1">IF(INDIRECT($G$62&amp;G$70&amp;$K85)&lt;&gt;0,INDIRECT($G$62&amp;G$70&amp;$K85),"")</f>
        <v/>
      </c>
      <c r="P85" s="25" t="str" cm="1">
        <f t="array" aca="1" ref="P85" ca="1">IF(INDIRECT($G$62&amp;G$71&amp;$K85)&lt;&gt;0,INDIRECT($G$62&amp;G$71&amp;$K85),"")</f>
        <v/>
      </c>
      <c r="Q85" s="25" t="str" cm="1">
        <f t="array" aca="1" ref="Q85" ca="1">IF(INDIRECT($G$62&amp;G$72&amp;$K85)&lt;&gt;0,INDIRECT($G$62&amp;G$72&amp;$K85),"")</f>
        <v/>
      </c>
      <c r="R85" s="25" t="str" cm="1">
        <f t="array" aca="1" ref="R85" ca="1">IF(INDIRECT($G$62&amp;G$73&amp;$K85)&lt;&gt;0,INDIRECT($G$62&amp;G$73&amp;$K85),"")</f>
        <v/>
      </c>
      <c r="S85" s="525" t="str">
        <f t="shared" ca="1" si="20"/>
        <v/>
      </c>
      <c r="T85" s="525" t="str">
        <f t="shared" ca="1" si="22"/>
        <v/>
      </c>
      <c r="U85" s="525" t="str">
        <f t="shared" ca="1" si="23"/>
        <v/>
      </c>
      <c r="V85" s="525" t="str">
        <f t="shared" ca="1" si="24"/>
        <v/>
      </c>
      <c r="X85" s="525" t="str">
        <f t="shared" ca="1" si="25"/>
        <v/>
      </c>
      <c r="Y85" s="525" t="str">
        <f t="shared" ca="1" si="36"/>
        <v/>
      </c>
      <c r="Z85" s="525" t="str">
        <f t="shared" ca="1" si="26"/>
        <v/>
      </c>
      <c r="AA85" s="525" t="str">
        <f t="shared" ca="1" si="27"/>
        <v/>
      </c>
      <c r="AB85" s="501" t="str">
        <f t="shared" si="28"/>
        <v/>
      </c>
      <c r="AC85" s="501" t="str">
        <f t="shared" si="29"/>
        <v/>
      </c>
      <c r="AD85" s="501" t="str">
        <f t="shared" si="29"/>
        <v/>
      </c>
      <c r="AE85" s="501" t="str">
        <f t="shared" si="29"/>
        <v/>
      </c>
      <c r="AF85" s="501" t="str">
        <f t="shared" si="29"/>
        <v/>
      </c>
      <c r="AG85" s="501" t="str">
        <f t="shared" si="29"/>
        <v/>
      </c>
      <c r="AH85" s="525" t="str">
        <f t="shared" ca="1" si="30"/>
        <v/>
      </c>
      <c r="AI85" s="525" t="str">
        <f t="shared" ca="1" si="31"/>
        <v/>
      </c>
      <c r="AK85" s="496" t="str" cm="1">
        <f t="array" aca="1" ref="AK85" ca="1">IFERROR(
INDEX($M$65:$M$94,MATCH(0,INDEX(COUNTIF(AK$63:$AK84,$M$65:$M$94),),)),"")</f>
        <v/>
      </c>
      <c r="AL85" s="426" t="str">
        <f t="shared" ca="1" si="32"/>
        <v/>
      </c>
      <c r="AM85" s="25" t="str">
        <f t="shared" ca="1" si="21"/>
        <v/>
      </c>
      <c r="AO85" s="426" t="str">
        <f t="shared" ca="1" si="33"/>
        <v/>
      </c>
      <c r="AP85" s="813" t="str">
        <f t="shared" ca="1" si="34"/>
        <v/>
      </c>
      <c r="AQ85" s="496" t="str" cm="1">
        <f t="array" aca="1" ref="AQ85" ca="1">IFERROR(
INDEX($L$65:$L$94,MATCH(0,INDEX(COUNTIF($AQ$63:AQ84,$L$65:$L$94),),)),"")</f>
        <v/>
      </c>
      <c r="AZ85" s="470" t="s">
        <v>6172</v>
      </c>
      <c r="BB85" s="525">
        <f ca="1">IF(BK89&gt;BL89,1,0)</f>
        <v>0</v>
      </c>
      <c r="BC85" s="426" t="s">
        <v>6221</v>
      </c>
      <c r="DA85" s="470" t="s">
        <v>6172</v>
      </c>
      <c r="DF85" s="608" t="s">
        <v>5743</v>
      </c>
      <c r="DG85" s="737" t="s">
        <v>93</v>
      </c>
      <c r="DH85" s="807">
        <f t="shared" si="43"/>
        <v>807</v>
      </c>
      <c r="DI85" s="807">
        <f t="shared" si="16"/>
        <v>818</v>
      </c>
      <c r="DJ85" s="807">
        <f t="shared" si="44"/>
        <v>824</v>
      </c>
      <c r="DK85" s="807">
        <f t="shared" si="17"/>
        <v>835</v>
      </c>
      <c r="DN85" s="470" t="s">
        <v>101</v>
      </c>
      <c r="DO85" s="822">
        <f ca="1">COUNTIF(Calculos!BP430:BP439,"&gt;"&amp;0)</f>
        <v>0</v>
      </c>
      <c r="DP85" s="822">
        <f ca="1">COUNTIF(Calculos!BQ430:BQ439,"&gt;"&amp;0)</f>
        <v>0</v>
      </c>
      <c r="DQ85" s="822">
        <f ca="1">COUNTIF(Calculos!CA430:CA439,"&gt;"&amp;0)</f>
        <v>0</v>
      </c>
      <c r="DR85" s="822">
        <f ca="1">COUNTIF(Calculos!CB430:CB439,"&gt;"&amp;0)</f>
        <v>0</v>
      </c>
      <c r="DV85" s="469"/>
      <c r="DW85" s="758" t="s">
        <v>6102</v>
      </c>
      <c r="DX85" s="767">
        <f ca="1">IF(AND(EB7="sim",EC7="Não"),1,0)</f>
        <v>0</v>
      </c>
    </row>
    <row r="86" spans="2:129" x14ac:dyDescent="0.25">
      <c r="F86" s="812" t="s">
        <v>8323</v>
      </c>
      <c r="G86" s="830" t="b">
        <f ca="1">G84=G85</f>
        <v>1</v>
      </c>
      <c r="K86" s="525">
        <v>40</v>
      </c>
      <c r="L86" s="25" t="str" cm="1">
        <f t="array" aca="1" ref="L86" ca="1">IF(INDIRECT($G$62&amp;G$67&amp;$K86)&lt;&gt;0,INDIRECT($G$62&amp;G$67&amp;$K86),"")</f>
        <v/>
      </c>
      <c r="M86" s="25" t="str" cm="1">
        <f t="array" aca="1" ref="M86" ca="1">IF(INDIRECT($G$62&amp;G$68&amp;$K86)&lt;&gt;0,INDIRECT($G$62&amp;G$68&amp;$K86),"")</f>
        <v/>
      </c>
      <c r="N86" s="25" t="str" cm="1">
        <f t="array" aca="1" ref="N86" ca="1">IF(INDIRECT($G$62&amp;G$69&amp;$K86)&lt;&gt;0,INDIRECT($G$62&amp;G$69&amp;$K86),"")</f>
        <v/>
      </c>
      <c r="O86" s="25" t="str" cm="1">
        <f t="array" aca="1" ref="O86" ca="1">IF(INDIRECT($G$62&amp;G$70&amp;$K86)&lt;&gt;0,INDIRECT($G$62&amp;G$70&amp;$K86),"")</f>
        <v/>
      </c>
      <c r="P86" s="25" t="str" cm="1">
        <f t="array" aca="1" ref="P86" ca="1">IF(INDIRECT($G$62&amp;G$71&amp;$K86)&lt;&gt;0,INDIRECT($G$62&amp;G$71&amp;$K86),"")</f>
        <v/>
      </c>
      <c r="Q86" s="25" t="str" cm="1">
        <f t="array" aca="1" ref="Q86" ca="1">IF(INDIRECT($G$62&amp;G$72&amp;$K86)&lt;&gt;0,INDIRECT($G$62&amp;G$72&amp;$K86),"")</f>
        <v/>
      </c>
      <c r="R86" s="25" t="str" cm="1">
        <f t="array" aca="1" ref="R86" ca="1">IF(INDIRECT($G$62&amp;G$73&amp;$K86)&lt;&gt;0,INDIRECT($G$62&amp;G$73&amp;$K86),"")</f>
        <v/>
      </c>
      <c r="S86" s="525" t="str">
        <f t="shared" ca="1" si="20"/>
        <v/>
      </c>
      <c r="T86" s="525" t="str">
        <f t="shared" ca="1" si="22"/>
        <v/>
      </c>
      <c r="U86" s="525" t="str">
        <f t="shared" ca="1" si="23"/>
        <v/>
      </c>
      <c r="V86" s="525" t="str">
        <f t="shared" ca="1" si="24"/>
        <v/>
      </c>
      <c r="X86" s="525" t="str">
        <f t="shared" ca="1" si="25"/>
        <v/>
      </c>
      <c r="Y86" s="525" t="str">
        <f t="shared" ca="1" si="36"/>
        <v/>
      </c>
      <c r="Z86" s="525" t="str">
        <f t="shared" ca="1" si="26"/>
        <v/>
      </c>
      <c r="AA86" s="525" t="str">
        <f t="shared" ca="1" si="27"/>
        <v/>
      </c>
      <c r="AB86" s="501" t="str">
        <f t="shared" si="28"/>
        <v/>
      </c>
      <c r="AC86" s="501" t="str">
        <f t="shared" si="29"/>
        <v/>
      </c>
      <c r="AD86" s="501" t="str">
        <f t="shared" si="29"/>
        <v/>
      </c>
      <c r="AE86" s="501" t="str">
        <f t="shared" si="29"/>
        <v/>
      </c>
      <c r="AF86" s="501" t="str">
        <f t="shared" si="29"/>
        <v/>
      </c>
      <c r="AG86" s="501" t="str">
        <f t="shared" si="29"/>
        <v/>
      </c>
      <c r="AH86" s="525" t="str">
        <f t="shared" ca="1" si="30"/>
        <v/>
      </c>
      <c r="AI86" s="525" t="str">
        <f t="shared" ca="1" si="31"/>
        <v/>
      </c>
      <c r="AK86" s="496" t="str" cm="1">
        <f t="array" aca="1" ref="AK86" ca="1">IFERROR(
INDEX($M$65:$M$94,MATCH(0,INDEX(COUNTIF(AK$63:$AK85,$M$65:$M$94),),)),"")</f>
        <v/>
      </c>
      <c r="AL86" s="426" t="str">
        <f t="shared" ca="1" si="32"/>
        <v/>
      </c>
      <c r="AM86" s="25" t="str">
        <f t="shared" ca="1" si="21"/>
        <v/>
      </c>
      <c r="AO86" s="426" t="str">
        <f t="shared" ca="1" si="33"/>
        <v/>
      </c>
      <c r="AP86" s="813" t="str">
        <f t="shared" ca="1" si="34"/>
        <v/>
      </c>
      <c r="AQ86" s="496" t="str" cm="1">
        <f t="array" aca="1" ref="AQ86" ca="1">IFERROR(
INDEX($L$65:$L$94,MATCH(0,INDEX(COUNTIF($AQ$63:AQ85,$L$65:$L$94),),)),"")</f>
        <v/>
      </c>
      <c r="AZ86" s="470" t="s">
        <v>6172</v>
      </c>
      <c r="BB86" s="525">
        <f ca="1">IF(AND(BG81&lt;&gt;0,CB82=0),1,0)</f>
        <v>0</v>
      </c>
      <c r="BC86" s="426" t="s">
        <v>6209</v>
      </c>
      <c r="BG86" s="831" t="s">
        <v>298</v>
      </c>
      <c r="BH86" s="831" t="s">
        <v>284</v>
      </c>
      <c r="BI86" s="831" t="s">
        <v>246</v>
      </c>
      <c r="BJ86" s="831" t="s">
        <v>289</v>
      </c>
      <c r="BK86" s="831" t="s">
        <v>247</v>
      </c>
      <c r="BL86" s="831" t="s">
        <v>285</v>
      </c>
      <c r="BM86" s="831" t="s">
        <v>268</v>
      </c>
      <c r="BN86" s="831"/>
      <c r="DA86" s="470" t="s">
        <v>6172</v>
      </c>
      <c r="DF86" s="608" t="s">
        <v>5743</v>
      </c>
      <c r="DG86" s="737" t="s">
        <v>94</v>
      </c>
      <c r="DH86" s="807">
        <f t="shared" si="43"/>
        <v>841</v>
      </c>
      <c r="DI86" s="807">
        <f t="shared" si="16"/>
        <v>852</v>
      </c>
      <c r="DJ86" s="807">
        <f t="shared" si="44"/>
        <v>858</v>
      </c>
      <c r="DK86" s="807">
        <f t="shared" si="17"/>
        <v>869</v>
      </c>
      <c r="DN86" s="470" t="s">
        <v>120</v>
      </c>
      <c r="DO86" s="822">
        <f ca="1">COUNTIF(Calculos!BP446:BP455,"&gt;"&amp;0)</f>
        <v>0</v>
      </c>
      <c r="DP86" s="822">
        <f ca="1">COUNTIF(Calculos!BQ446:PQ455,"&gt;"&amp;0)</f>
        <v>0</v>
      </c>
      <c r="DQ86" s="822">
        <f ca="1">COUNTIF(Calculos!CA446:CA455,"&gt;"&amp;0)</f>
        <v>0</v>
      </c>
      <c r="DR86" s="822">
        <f ca="1">COUNTIF(Calculos!CB446:CB455,"&gt;"&amp;0)</f>
        <v>0</v>
      </c>
      <c r="DV86" s="469"/>
      <c r="DW86" s="758" t="s">
        <v>6103</v>
      </c>
      <c r="DX86" s="767">
        <f t="shared" ref="DX86:DX94" ca="1" si="45">IF(SUM(DP37:DR37)&gt;0,1,0)</f>
        <v>0</v>
      </c>
      <c r="DY86" s="796" t="str">
        <f t="shared" ref="DY86:DY95" ca="1" si="46">IF(DP37=1,IF(SUM(DQ37:DR37)=0,"Teste I","Teste I, "),"")&amp;
IF(DQ37=1,IF(DR37=0,"Teste II","Teste II, "),"")&amp;
IF(DR37=1,"Teste III","")</f>
        <v/>
      </c>
    </row>
    <row r="87" spans="2:129" x14ac:dyDescent="0.25">
      <c r="K87" s="525">
        <v>41</v>
      </c>
      <c r="L87" s="25" t="str" cm="1">
        <f t="array" aca="1" ref="L87" ca="1">IF(INDIRECT($G$62&amp;G$67&amp;$K87)&lt;&gt;0,INDIRECT($G$62&amp;G$67&amp;$K87),"")</f>
        <v/>
      </c>
      <c r="M87" s="25" t="str" cm="1">
        <f t="array" aca="1" ref="M87" ca="1">IF(INDIRECT($G$62&amp;G$68&amp;$K87)&lt;&gt;0,INDIRECT($G$62&amp;G$68&amp;$K87),"")</f>
        <v/>
      </c>
      <c r="N87" s="25" t="str" cm="1">
        <f t="array" aca="1" ref="N87" ca="1">IF(INDIRECT($G$62&amp;G$69&amp;$K87)&lt;&gt;0,INDIRECT($G$62&amp;G$69&amp;$K87),"")</f>
        <v/>
      </c>
      <c r="O87" s="25" t="str" cm="1">
        <f t="array" aca="1" ref="O87" ca="1">IF(INDIRECT($G$62&amp;G$70&amp;$K87)&lt;&gt;0,INDIRECT($G$62&amp;G$70&amp;$K87),"")</f>
        <v/>
      </c>
      <c r="P87" s="25" t="str" cm="1">
        <f t="array" aca="1" ref="P87" ca="1">IF(INDIRECT($G$62&amp;G$71&amp;$K87)&lt;&gt;0,INDIRECT($G$62&amp;G$71&amp;$K87),"")</f>
        <v/>
      </c>
      <c r="Q87" s="25" t="str" cm="1">
        <f t="array" aca="1" ref="Q87" ca="1">IF(INDIRECT($G$62&amp;G$72&amp;$K87)&lt;&gt;0,INDIRECT($G$62&amp;G$72&amp;$K87),"")</f>
        <v/>
      </c>
      <c r="R87" s="25" t="str" cm="1">
        <f t="array" aca="1" ref="R87" ca="1">IF(INDIRECT($G$62&amp;G$73&amp;$K87)&lt;&gt;0,INDIRECT($G$62&amp;G$73&amp;$K87),"")</f>
        <v/>
      </c>
      <c r="S87" s="525" t="str">
        <f t="shared" ca="1" si="20"/>
        <v/>
      </c>
      <c r="T87" s="525" t="str">
        <f t="shared" ca="1" si="22"/>
        <v/>
      </c>
      <c r="U87" s="525" t="str">
        <f t="shared" ca="1" si="23"/>
        <v/>
      </c>
      <c r="V87" s="525" t="str">
        <f t="shared" ca="1" si="24"/>
        <v/>
      </c>
      <c r="X87" s="525" t="str">
        <f t="shared" ca="1" si="25"/>
        <v/>
      </c>
      <c r="Y87" s="525" t="str">
        <f t="shared" ca="1" si="36"/>
        <v/>
      </c>
      <c r="Z87" s="525" t="str">
        <f t="shared" ca="1" si="26"/>
        <v/>
      </c>
      <c r="AA87" s="525" t="str">
        <f t="shared" ca="1" si="27"/>
        <v/>
      </c>
      <c r="AB87" s="501" t="str">
        <f t="shared" si="28"/>
        <v/>
      </c>
      <c r="AC87" s="501" t="str">
        <f t="shared" si="29"/>
        <v/>
      </c>
      <c r="AD87" s="501" t="str">
        <f t="shared" si="29"/>
        <v/>
      </c>
      <c r="AE87" s="501" t="str">
        <f t="shared" si="29"/>
        <v/>
      </c>
      <c r="AF87" s="501" t="str">
        <f t="shared" si="29"/>
        <v/>
      </c>
      <c r="AG87" s="501" t="str">
        <f t="shared" si="29"/>
        <v/>
      </c>
      <c r="AH87" s="525" t="str">
        <f t="shared" ca="1" si="30"/>
        <v/>
      </c>
      <c r="AI87" s="525" t="str">
        <f t="shared" ca="1" si="31"/>
        <v/>
      </c>
      <c r="AK87" s="496" t="str" cm="1">
        <f t="array" aca="1" ref="AK87" ca="1">IFERROR(
INDEX($M$65:$M$94,MATCH(0,INDEX(COUNTIF(AK$63:$AK86,$M$65:$M$94),),)),"")</f>
        <v/>
      </c>
      <c r="AL87" s="426" t="str">
        <f t="shared" ca="1" si="32"/>
        <v/>
      </c>
      <c r="AM87" s="25" t="str">
        <f t="shared" ca="1" si="21"/>
        <v/>
      </c>
      <c r="AO87" s="426" t="str">
        <f t="shared" ca="1" si="33"/>
        <v/>
      </c>
      <c r="AP87" s="813" t="str">
        <f t="shared" ca="1" si="34"/>
        <v/>
      </c>
      <c r="AQ87" s="496" t="str" cm="1">
        <f t="array" aca="1" ref="AQ87" ca="1">IFERROR(
INDEX($L$65:$L$94,MATCH(0,INDEX(COUNTIF($AQ$63:AQ86,$L$65:$L$94),),)),"")</f>
        <v/>
      </c>
      <c r="AZ87" s="470" t="s">
        <v>6172</v>
      </c>
      <c r="BB87" s="525">
        <f ca="1">IF(AND(BG81=1,BH103=1),1,0)</f>
        <v>0</v>
      </c>
      <c r="BC87" s="426" t="s">
        <v>6195</v>
      </c>
      <c r="BF87" s="790" t="s">
        <v>5778</v>
      </c>
      <c r="BG87" s="597" t="s">
        <v>7368</v>
      </c>
      <c r="BH87" s="590" t="s">
        <v>7048</v>
      </c>
      <c r="BI87" s="832" t="s">
        <v>7369</v>
      </c>
      <c r="BJ87" s="832" t="s">
        <v>7370</v>
      </c>
      <c r="BK87" s="832" t="s">
        <v>7371</v>
      </c>
      <c r="BL87" s="832" t="s">
        <v>7372</v>
      </c>
      <c r="BM87" s="833" t="s">
        <v>7373</v>
      </c>
      <c r="BN87" s="833"/>
      <c r="DA87" s="470" t="s">
        <v>6172</v>
      </c>
      <c r="DF87" s="608" t="s">
        <v>5743</v>
      </c>
      <c r="DG87" s="737" t="s">
        <v>95</v>
      </c>
      <c r="DH87" s="807">
        <f t="shared" si="43"/>
        <v>875</v>
      </c>
      <c r="DI87" s="807">
        <f t="shared" si="16"/>
        <v>886</v>
      </c>
      <c r="DJ87" s="807">
        <f t="shared" si="44"/>
        <v>892</v>
      </c>
      <c r="DK87" s="807">
        <f t="shared" si="17"/>
        <v>903</v>
      </c>
      <c r="DO87" s="20" t="s">
        <v>6428</v>
      </c>
      <c r="DV87" s="469"/>
      <c r="DW87" s="758" t="s">
        <v>6104</v>
      </c>
      <c r="DX87" s="767">
        <f t="shared" si="45"/>
        <v>0</v>
      </c>
      <c r="DY87" s="796" t="str">
        <f t="shared" si="46"/>
        <v/>
      </c>
    </row>
    <row r="88" spans="2:129" x14ac:dyDescent="0.25">
      <c r="K88" s="525">
        <v>42</v>
      </c>
      <c r="L88" s="25" t="str" cm="1">
        <f t="array" aca="1" ref="L88" ca="1">IF(INDIRECT($G$62&amp;G$67&amp;$K88)&lt;&gt;0,INDIRECT($G$62&amp;G$67&amp;$K88),"")</f>
        <v/>
      </c>
      <c r="M88" s="25" t="str" cm="1">
        <f t="array" aca="1" ref="M88" ca="1">IF(INDIRECT($G$62&amp;G$68&amp;$K88)&lt;&gt;0,INDIRECT($G$62&amp;G$68&amp;$K88),"")</f>
        <v/>
      </c>
      <c r="N88" s="25" t="str" cm="1">
        <f t="array" aca="1" ref="N88" ca="1">IF(INDIRECT($G$62&amp;G$69&amp;$K88)&lt;&gt;0,INDIRECT($G$62&amp;G$69&amp;$K88),"")</f>
        <v/>
      </c>
      <c r="O88" s="25" t="str" cm="1">
        <f t="array" aca="1" ref="O88" ca="1">IF(INDIRECT($G$62&amp;G$70&amp;$K88)&lt;&gt;0,INDIRECT($G$62&amp;G$70&amp;$K88),"")</f>
        <v/>
      </c>
      <c r="P88" s="25" t="str" cm="1">
        <f t="array" aca="1" ref="P88" ca="1">IF(INDIRECT($G$62&amp;G$71&amp;$K88)&lt;&gt;0,INDIRECT($G$62&amp;G$71&amp;$K88),"")</f>
        <v/>
      </c>
      <c r="Q88" s="25" t="str" cm="1">
        <f t="array" aca="1" ref="Q88" ca="1">IF(INDIRECT($G$62&amp;G$72&amp;$K88)&lt;&gt;0,INDIRECT($G$62&amp;G$72&amp;$K88),"")</f>
        <v/>
      </c>
      <c r="R88" s="25" t="str" cm="1">
        <f t="array" aca="1" ref="R88" ca="1">IF(INDIRECT($G$62&amp;G$73&amp;$K88)&lt;&gt;0,INDIRECT($G$62&amp;G$73&amp;$K88),"")</f>
        <v/>
      </c>
      <c r="S88" s="525" t="str">
        <f t="shared" ca="1" si="20"/>
        <v/>
      </c>
      <c r="T88" s="525" t="str">
        <f t="shared" ca="1" si="22"/>
        <v/>
      </c>
      <c r="U88" s="525" t="str">
        <f t="shared" ca="1" si="23"/>
        <v/>
      </c>
      <c r="V88" s="525" t="str">
        <f t="shared" ca="1" si="24"/>
        <v/>
      </c>
      <c r="X88" s="525" t="str">
        <f t="shared" ca="1" si="25"/>
        <v/>
      </c>
      <c r="Y88" s="525" t="str">
        <f t="shared" ca="1" si="36"/>
        <v/>
      </c>
      <c r="Z88" s="525" t="str">
        <f t="shared" ca="1" si="26"/>
        <v/>
      </c>
      <c r="AA88" s="525" t="str">
        <f t="shared" ca="1" si="27"/>
        <v/>
      </c>
      <c r="AB88" s="501" t="str">
        <f t="shared" si="28"/>
        <v/>
      </c>
      <c r="AC88" s="501" t="str">
        <f t="shared" si="29"/>
        <v/>
      </c>
      <c r="AD88" s="501" t="str">
        <f t="shared" si="29"/>
        <v/>
      </c>
      <c r="AE88" s="501" t="str">
        <f t="shared" si="29"/>
        <v/>
      </c>
      <c r="AF88" s="501" t="str">
        <f t="shared" si="29"/>
        <v/>
      </c>
      <c r="AG88" s="501" t="str">
        <f t="shared" si="29"/>
        <v/>
      </c>
      <c r="AH88" s="525" t="str">
        <f t="shared" ca="1" si="30"/>
        <v/>
      </c>
      <c r="AI88" s="525" t="str">
        <f t="shared" ca="1" si="31"/>
        <v/>
      </c>
      <c r="AK88" s="496" t="str" cm="1">
        <f t="array" aca="1" ref="AK88" ca="1">IFERROR(
INDEX($M$65:$M$94,MATCH(0,INDEX(COUNTIF(AK$63:$AK87,$M$65:$M$94),),)),"")</f>
        <v/>
      </c>
      <c r="AL88" s="426" t="str">
        <f t="shared" ca="1" si="32"/>
        <v/>
      </c>
      <c r="AM88" s="25" t="str">
        <f t="shared" ca="1" si="21"/>
        <v/>
      </c>
      <c r="AO88" s="426" t="str">
        <f t="shared" ca="1" si="33"/>
        <v/>
      </c>
      <c r="AP88" s="813" t="str">
        <f t="shared" ca="1" si="34"/>
        <v/>
      </c>
      <c r="AQ88" s="496" t="str" cm="1">
        <f t="array" aca="1" ref="AQ88" ca="1">IFERROR(
INDEX($L$65:$L$94,MATCH(0,INDEX(COUNTIF($AQ$63:AQ87,$L$65:$L$94),),)),"")</f>
        <v/>
      </c>
      <c r="AZ88" s="470" t="s">
        <v>6172</v>
      </c>
      <c r="BB88" s="525">
        <f ca="1">IF(BG81&lt;&gt;BZ81,1,0)</f>
        <v>0</v>
      </c>
      <c r="BC88" s="426" t="s">
        <v>6196</v>
      </c>
      <c r="BF88" s="790" t="s">
        <v>6222</v>
      </c>
      <c r="BG88" s="827">
        <f t="shared" ref="BG88:BM88" ca="1" si="47">COUNTA(INDIRECT($BH$78&amp;BG87,1))</f>
        <v>15</v>
      </c>
      <c r="BH88" s="827">
        <f t="shared" ca="1" si="47"/>
        <v>0</v>
      </c>
      <c r="BI88" s="827">
        <f t="shared" ca="1" si="47"/>
        <v>0</v>
      </c>
      <c r="BJ88" s="827">
        <f t="shared" ca="1" si="47"/>
        <v>0</v>
      </c>
      <c r="BK88" s="827">
        <f t="shared" ca="1" si="47"/>
        <v>0</v>
      </c>
      <c r="BL88" s="827">
        <f t="shared" ca="1" si="47"/>
        <v>0</v>
      </c>
      <c r="BM88" s="827">
        <f t="shared" ca="1" si="47"/>
        <v>0</v>
      </c>
      <c r="BN88" s="827"/>
      <c r="DA88" s="470" t="s">
        <v>6172</v>
      </c>
      <c r="DF88" s="608" t="s">
        <v>5743</v>
      </c>
      <c r="DG88" s="737" t="s">
        <v>96</v>
      </c>
      <c r="DH88" s="807">
        <f t="shared" si="43"/>
        <v>909</v>
      </c>
      <c r="DI88" s="807">
        <f t="shared" si="16"/>
        <v>920</v>
      </c>
      <c r="DJ88" s="807">
        <f t="shared" si="44"/>
        <v>926</v>
      </c>
      <c r="DK88" s="807">
        <f t="shared" si="17"/>
        <v>937</v>
      </c>
      <c r="DO88" s="785" t="s">
        <v>6300</v>
      </c>
      <c r="DP88" s="785" t="s">
        <v>6300</v>
      </c>
      <c r="DQ88" s="785" t="s">
        <v>6300</v>
      </c>
      <c r="DR88" s="785" t="s">
        <v>6300</v>
      </c>
      <c r="DV88" s="469"/>
      <c r="DW88" s="758" t="s">
        <v>6105</v>
      </c>
      <c r="DX88" s="767">
        <f t="shared" si="45"/>
        <v>0</v>
      </c>
      <c r="DY88" s="796" t="str">
        <f t="shared" si="46"/>
        <v/>
      </c>
    </row>
    <row r="89" spans="2:129" x14ac:dyDescent="0.25">
      <c r="K89" s="525">
        <v>43</v>
      </c>
      <c r="L89" s="25" t="str" cm="1">
        <f t="array" aca="1" ref="L89" ca="1">IF(INDIRECT($G$62&amp;G$67&amp;$K89)&lt;&gt;0,INDIRECT($G$62&amp;G$67&amp;$K89),"")</f>
        <v/>
      </c>
      <c r="M89" s="25" t="str" cm="1">
        <f t="array" aca="1" ref="M89" ca="1">IF(INDIRECT($G$62&amp;G$68&amp;$K89)&lt;&gt;0,INDIRECT($G$62&amp;G$68&amp;$K89),"")</f>
        <v/>
      </c>
      <c r="N89" s="25" t="str" cm="1">
        <f t="array" aca="1" ref="N89" ca="1">IF(INDIRECT($G$62&amp;G$69&amp;$K89)&lt;&gt;0,INDIRECT($G$62&amp;G$69&amp;$K89),"")</f>
        <v/>
      </c>
      <c r="O89" s="25" t="str" cm="1">
        <f t="array" aca="1" ref="O89" ca="1">IF(INDIRECT($G$62&amp;G$70&amp;$K89)&lt;&gt;0,INDIRECT($G$62&amp;G$70&amp;$K89),"")</f>
        <v/>
      </c>
      <c r="P89" s="25" t="str" cm="1">
        <f t="array" aca="1" ref="P89" ca="1">IF(INDIRECT($G$62&amp;G$71&amp;$K89)&lt;&gt;0,INDIRECT($G$62&amp;G$71&amp;$K89),"")</f>
        <v/>
      </c>
      <c r="Q89" s="25" t="str" cm="1">
        <f t="array" aca="1" ref="Q89" ca="1">IF(INDIRECT($G$62&amp;G$72&amp;$K89)&lt;&gt;0,INDIRECT($G$62&amp;G$72&amp;$K89),"")</f>
        <v/>
      </c>
      <c r="R89" s="25" t="str" cm="1">
        <f t="array" aca="1" ref="R89" ca="1">IF(INDIRECT($G$62&amp;G$73&amp;$K89)&lt;&gt;0,INDIRECT($G$62&amp;G$73&amp;$K89),"")</f>
        <v/>
      </c>
      <c r="S89" s="525" t="str">
        <f t="shared" ca="1" si="20"/>
        <v/>
      </c>
      <c r="T89" s="525" t="str">
        <f t="shared" ca="1" si="22"/>
        <v/>
      </c>
      <c r="U89" s="525" t="str">
        <f t="shared" ca="1" si="23"/>
        <v/>
      </c>
      <c r="V89" s="525" t="str">
        <f t="shared" ca="1" si="24"/>
        <v/>
      </c>
      <c r="X89" s="525" t="str">
        <f t="shared" ca="1" si="25"/>
        <v/>
      </c>
      <c r="Y89" s="525" t="str">
        <f t="shared" ca="1" si="36"/>
        <v/>
      </c>
      <c r="Z89" s="525" t="str">
        <f t="shared" ca="1" si="26"/>
        <v/>
      </c>
      <c r="AA89" s="525" t="str">
        <f t="shared" ca="1" si="27"/>
        <v/>
      </c>
      <c r="AB89" s="501" t="str">
        <f t="shared" si="28"/>
        <v/>
      </c>
      <c r="AC89" s="501" t="str">
        <f t="shared" si="29"/>
        <v/>
      </c>
      <c r="AD89" s="501" t="str">
        <f t="shared" si="29"/>
        <v/>
      </c>
      <c r="AE89" s="501" t="str">
        <f t="shared" si="29"/>
        <v/>
      </c>
      <c r="AF89" s="501" t="str">
        <f t="shared" si="29"/>
        <v/>
      </c>
      <c r="AG89" s="501" t="str">
        <f t="shared" si="29"/>
        <v/>
      </c>
      <c r="AH89" s="525" t="str">
        <f t="shared" ca="1" si="30"/>
        <v/>
      </c>
      <c r="AI89" s="525" t="str">
        <f t="shared" ca="1" si="31"/>
        <v/>
      </c>
      <c r="AK89" s="496" t="str" cm="1">
        <f t="array" aca="1" ref="AK89" ca="1">IFERROR(
INDEX($M$65:$M$94,MATCH(0,INDEX(COUNTIF(AK$63:$AK88,$M$65:$M$94),),)),"")</f>
        <v/>
      </c>
      <c r="AL89" s="426" t="str">
        <f t="shared" ca="1" si="32"/>
        <v/>
      </c>
      <c r="AM89" s="25" t="str">
        <f t="shared" ca="1" si="21"/>
        <v/>
      </c>
      <c r="AO89" s="426" t="str">
        <f t="shared" ca="1" si="33"/>
        <v/>
      </c>
      <c r="AP89" s="813" t="str">
        <f t="shared" ca="1" si="34"/>
        <v/>
      </c>
      <c r="AQ89" s="496" t="str" cm="1">
        <f t="array" aca="1" ref="AQ89" ca="1">IFERROR(
INDEX($L$65:$L$94,MATCH(0,INDEX(COUNTIF($AQ$63:AQ88,$L$65:$L$94),),)),"")</f>
        <v/>
      </c>
      <c r="AZ89" s="470" t="s">
        <v>6172</v>
      </c>
      <c r="BB89" s="25">
        <f ca="1">IF(BJ82="Não",1,0)</f>
        <v>0</v>
      </c>
      <c r="BC89" s="426" t="s">
        <v>6071</v>
      </c>
      <c r="BF89" s="790" t="s">
        <v>6133</v>
      </c>
      <c r="BG89" s="828"/>
      <c r="BH89" s="828"/>
      <c r="BI89" s="828">
        <f ca="1">COUNTIF(INDIRECT($BH$78&amp;BI87,1),"&gt;0")</f>
        <v>0</v>
      </c>
      <c r="BJ89" s="828">
        <f ca="1">COUNTIF(INDIRECT($BH$78&amp;BJ87,1),"&gt;=0")</f>
        <v>0</v>
      </c>
      <c r="BK89" s="828">
        <f ca="1">COUNTIF(INDIRECT($BH$78&amp;BK87,1),"&gt;0")</f>
        <v>0</v>
      </c>
      <c r="BL89" s="828">
        <f ca="1">COUNTIF(INDIRECT($BH$78&amp;BL87,1),"&gt;=0")</f>
        <v>0</v>
      </c>
      <c r="BM89" s="828"/>
      <c r="BN89" s="828"/>
      <c r="DA89" s="470" t="s">
        <v>6172</v>
      </c>
      <c r="DF89" s="608" t="s">
        <v>5743</v>
      </c>
      <c r="DG89" s="737" t="s">
        <v>97</v>
      </c>
      <c r="DH89" s="807">
        <f t="shared" si="43"/>
        <v>943</v>
      </c>
      <c r="DI89" s="807">
        <f t="shared" si="16"/>
        <v>954</v>
      </c>
      <c r="DJ89" s="807">
        <f t="shared" si="44"/>
        <v>960</v>
      </c>
      <c r="DK89" s="807">
        <f t="shared" si="17"/>
        <v>971</v>
      </c>
      <c r="DN89" s="470" t="s">
        <v>88</v>
      </c>
      <c r="DO89" s="784">
        <f ca="1">IF(DO84&gt;0,1,0)</f>
        <v>0</v>
      </c>
      <c r="DP89" s="784">
        <f t="shared" ref="DP89:DR89" ca="1" si="48">IF(DP84&gt;0,1,0)</f>
        <v>0</v>
      </c>
      <c r="DQ89" s="784">
        <f t="shared" ca="1" si="48"/>
        <v>0</v>
      </c>
      <c r="DR89" s="784">
        <f t="shared" ca="1" si="48"/>
        <v>0</v>
      </c>
      <c r="DV89" s="469"/>
      <c r="DW89" s="758" t="s">
        <v>6109</v>
      </c>
      <c r="DX89" s="767">
        <f t="shared" si="45"/>
        <v>0</v>
      </c>
      <c r="DY89" s="796" t="str">
        <f t="shared" si="46"/>
        <v/>
      </c>
    </row>
    <row r="90" spans="2:129" x14ac:dyDescent="0.25">
      <c r="K90" s="525">
        <v>44</v>
      </c>
      <c r="L90" s="25" t="str" cm="1">
        <f t="array" aca="1" ref="L90" ca="1">IF(INDIRECT($G$62&amp;G$67&amp;$K90)&lt;&gt;0,INDIRECT($G$62&amp;G$67&amp;$K90),"")</f>
        <v/>
      </c>
      <c r="M90" s="25" t="str" cm="1">
        <f t="array" aca="1" ref="M90" ca="1">IF(INDIRECT($G$62&amp;G$68&amp;$K90)&lt;&gt;0,INDIRECT($G$62&amp;G$68&amp;$K90),"")</f>
        <v/>
      </c>
      <c r="N90" s="25" t="str" cm="1">
        <f t="array" aca="1" ref="N90" ca="1">IF(INDIRECT($G$62&amp;G$69&amp;$K90)&lt;&gt;0,INDIRECT($G$62&amp;G$69&amp;$K90),"")</f>
        <v/>
      </c>
      <c r="O90" s="25" t="str" cm="1">
        <f t="array" aca="1" ref="O90" ca="1">IF(INDIRECT($G$62&amp;G$70&amp;$K90)&lt;&gt;0,INDIRECT($G$62&amp;G$70&amp;$K90),"")</f>
        <v/>
      </c>
      <c r="P90" s="25" t="str" cm="1">
        <f t="array" aca="1" ref="P90" ca="1">IF(INDIRECT($G$62&amp;G$71&amp;$K90)&lt;&gt;0,INDIRECT($G$62&amp;G$71&amp;$K90),"")</f>
        <v/>
      </c>
      <c r="Q90" s="25" t="str" cm="1">
        <f t="array" aca="1" ref="Q90" ca="1">IF(INDIRECT($G$62&amp;G$72&amp;$K90)&lt;&gt;0,INDIRECT($G$62&amp;G$72&amp;$K90),"")</f>
        <v/>
      </c>
      <c r="R90" s="25" t="str" cm="1">
        <f t="array" aca="1" ref="R90" ca="1">IF(INDIRECT($G$62&amp;G$73&amp;$K90)&lt;&gt;0,INDIRECT($G$62&amp;G$73&amp;$K90),"")</f>
        <v/>
      </c>
      <c r="S90" s="525" t="str">
        <f t="shared" ca="1" si="20"/>
        <v/>
      </c>
      <c r="T90" s="525" t="str">
        <f t="shared" ca="1" si="22"/>
        <v/>
      </c>
      <c r="U90" s="525" t="str">
        <f t="shared" ca="1" si="23"/>
        <v/>
      </c>
      <c r="V90" s="525" t="str">
        <f t="shared" ca="1" si="24"/>
        <v/>
      </c>
      <c r="X90" s="525" t="str">
        <f t="shared" ca="1" si="25"/>
        <v/>
      </c>
      <c r="Y90" s="525" t="str">
        <f t="shared" ca="1" si="36"/>
        <v/>
      </c>
      <c r="Z90" s="525" t="str">
        <f t="shared" ca="1" si="26"/>
        <v/>
      </c>
      <c r="AA90" s="525" t="str">
        <f t="shared" ca="1" si="27"/>
        <v/>
      </c>
      <c r="AB90" s="501" t="str">
        <f t="shared" si="28"/>
        <v/>
      </c>
      <c r="AC90" s="501" t="str">
        <f t="shared" si="29"/>
        <v/>
      </c>
      <c r="AD90" s="501" t="str">
        <f t="shared" si="29"/>
        <v/>
      </c>
      <c r="AE90" s="501" t="str">
        <f t="shared" si="29"/>
        <v/>
      </c>
      <c r="AF90" s="501" t="str">
        <f t="shared" si="29"/>
        <v/>
      </c>
      <c r="AG90" s="501" t="str">
        <f t="shared" si="29"/>
        <v/>
      </c>
      <c r="AH90" s="525" t="str">
        <f t="shared" ca="1" si="30"/>
        <v/>
      </c>
      <c r="AI90" s="525" t="str">
        <f t="shared" ca="1" si="31"/>
        <v/>
      </c>
      <c r="AK90" s="496" t="str" cm="1">
        <f t="array" aca="1" ref="AK90" ca="1">IFERROR(
INDEX($M$65:$M$94,MATCH(0,INDEX(COUNTIF(AK$63:$AK89,$M$65:$M$94),),)),"")</f>
        <v/>
      </c>
      <c r="AL90" s="426" t="str">
        <f t="shared" ca="1" si="32"/>
        <v/>
      </c>
      <c r="AM90" s="25" t="str">
        <f t="shared" ca="1" si="21"/>
        <v/>
      </c>
      <c r="AO90" s="426" t="str">
        <f t="shared" ca="1" si="33"/>
        <v/>
      </c>
      <c r="AP90" s="813" t="str">
        <f t="shared" ca="1" si="34"/>
        <v/>
      </c>
      <c r="AQ90" s="496" t="str" cm="1">
        <f t="array" aca="1" ref="AQ90" ca="1">IFERROR(
INDEX($L$65:$L$94,MATCH(0,INDEX(COUNTIF($AQ$63:AQ89,$L$65:$L$94),),)),"")</f>
        <v/>
      </c>
      <c r="AZ90" s="470" t="s">
        <v>6172</v>
      </c>
      <c r="BB90" s="25">
        <f ca="1">BH105</f>
        <v>0</v>
      </c>
      <c r="BC90" s="426" t="s">
        <v>6067</v>
      </c>
      <c r="DA90" s="470" t="s">
        <v>6172</v>
      </c>
      <c r="DF90" s="608" t="s">
        <v>5743</v>
      </c>
      <c r="DG90" s="737" t="s">
        <v>98</v>
      </c>
      <c r="DH90" s="807">
        <f t="shared" si="43"/>
        <v>977</v>
      </c>
      <c r="DI90" s="807">
        <f t="shared" si="16"/>
        <v>988</v>
      </c>
      <c r="DJ90" s="807">
        <f t="shared" si="44"/>
        <v>994</v>
      </c>
      <c r="DK90" s="807">
        <f t="shared" si="17"/>
        <v>1005</v>
      </c>
      <c r="DN90" s="470" t="s">
        <v>101</v>
      </c>
      <c r="DO90" s="784">
        <f t="shared" ref="DO90:DR91" ca="1" si="49">IF(DO85&gt;0,1,0)</f>
        <v>0</v>
      </c>
      <c r="DP90" s="784">
        <f t="shared" ca="1" si="49"/>
        <v>0</v>
      </c>
      <c r="DQ90" s="784">
        <f t="shared" ca="1" si="49"/>
        <v>0</v>
      </c>
      <c r="DR90" s="784">
        <f ca="1">IF(DR85&gt;0,1,0)</f>
        <v>0</v>
      </c>
      <c r="DV90" s="469"/>
      <c r="DW90" s="758" t="s">
        <v>6108</v>
      </c>
      <c r="DX90" s="767">
        <f t="shared" si="45"/>
        <v>0</v>
      </c>
      <c r="DY90" s="796" t="str">
        <f t="shared" si="46"/>
        <v/>
      </c>
    </row>
    <row r="91" spans="2:129" x14ac:dyDescent="0.25">
      <c r="K91" s="525">
        <v>45</v>
      </c>
      <c r="L91" s="25" t="str" cm="1">
        <f t="array" aca="1" ref="L91" ca="1">IF(INDIRECT($G$62&amp;G$67&amp;$K91)&lt;&gt;0,INDIRECT($G$62&amp;G$67&amp;$K91),"")</f>
        <v/>
      </c>
      <c r="M91" s="25" t="str" cm="1">
        <f t="array" aca="1" ref="M91" ca="1">IF(INDIRECT($G$62&amp;G$68&amp;$K91)&lt;&gt;0,INDIRECT($G$62&amp;G$68&amp;$K91),"")</f>
        <v/>
      </c>
      <c r="N91" s="25" t="str" cm="1">
        <f t="array" aca="1" ref="N91" ca="1">IF(INDIRECT($G$62&amp;G$69&amp;$K91)&lt;&gt;0,INDIRECT($G$62&amp;G$69&amp;$K91),"")</f>
        <v/>
      </c>
      <c r="O91" s="25" t="str" cm="1">
        <f t="array" aca="1" ref="O91" ca="1">IF(INDIRECT($G$62&amp;G$70&amp;$K91)&lt;&gt;0,INDIRECT($G$62&amp;G$70&amp;$K91),"")</f>
        <v/>
      </c>
      <c r="P91" s="25" t="str" cm="1">
        <f t="array" aca="1" ref="P91" ca="1">IF(INDIRECT($G$62&amp;G$71&amp;$K91)&lt;&gt;0,INDIRECT($G$62&amp;G$71&amp;$K91),"")</f>
        <v/>
      </c>
      <c r="Q91" s="25" t="str" cm="1">
        <f t="array" aca="1" ref="Q91" ca="1">IF(INDIRECT($G$62&amp;G$72&amp;$K91)&lt;&gt;0,INDIRECT($G$62&amp;G$72&amp;$K91),"")</f>
        <v/>
      </c>
      <c r="R91" s="25" t="str" cm="1">
        <f t="array" aca="1" ref="R91" ca="1">IF(INDIRECT($G$62&amp;G$73&amp;$K91)&lt;&gt;0,INDIRECT($G$62&amp;G$73&amp;$K91),"")</f>
        <v/>
      </c>
      <c r="S91" s="525" t="str">
        <f t="shared" ca="1" si="20"/>
        <v/>
      </c>
      <c r="T91" s="525" t="str">
        <f t="shared" ca="1" si="22"/>
        <v/>
      </c>
      <c r="U91" s="525" t="str">
        <f t="shared" ca="1" si="23"/>
        <v/>
      </c>
      <c r="V91" s="525" t="str">
        <f t="shared" ca="1" si="24"/>
        <v/>
      </c>
      <c r="X91" s="525" t="str">
        <f t="shared" ca="1" si="25"/>
        <v/>
      </c>
      <c r="Y91" s="525" t="str">
        <f t="shared" ca="1" si="36"/>
        <v/>
      </c>
      <c r="Z91" s="525" t="str">
        <f t="shared" ca="1" si="26"/>
        <v/>
      </c>
      <c r="AA91" s="525" t="str">
        <f t="shared" ca="1" si="27"/>
        <v/>
      </c>
      <c r="AB91" s="501" t="str">
        <f t="shared" si="28"/>
        <v/>
      </c>
      <c r="AC91" s="501" t="str">
        <f t="shared" si="29"/>
        <v/>
      </c>
      <c r="AD91" s="501" t="str">
        <f t="shared" si="29"/>
        <v/>
      </c>
      <c r="AE91" s="501" t="str">
        <f t="shared" si="29"/>
        <v/>
      </c>
      <c r="AF91" s="501" t="str">
        <f t="shared" si="29"/>
        <v/>
      </c>
      <c r="AG91" s="501" t="str">
        <f t="shared" si="29"/>
        <v/>
      </c>
      <c r="AH91" s="525" t="str">
        <f t="shared" ca="1" si="30"/>
        <v/>
      </c>
      <c r="AI91" s="525" t="str">
        <f t="shared" ca="1" si="31"/>
        <v/>
      </c>
      <c r="AK91" s="496" t="str" cm="1">
        <f t="array" aca="1" ref="AK91" ca="1">IFERROR(
INDEX($M$65:$M$94,MATCH(0,INDEX(COUNTIF(AK$63:$AK90,$M$65:$M$94),),)),"")</f>
        <v/>
      </c>
      <c r="AL91" s="426" t="str">
        <f t="shared" ca="1" si="32"/>
        <v/>
      </c>
      <c r="AM91" s="25" t="str">
        <f t="shared" ca="1" si="21"/>
        <v/>
      </c>
      <c r="AO91" s="426" t="str">
        <f t="shared" ca="1" si="33"/>
        <v/>
      </c>
      <c r="AP91" s="813" t="str">
        <f t="shared" ca="1" si="34"/>
        <v/>
      </c>
      <c r="AQ91" s="496" t="str" cm="1">
        <f t="array" aca="1" ref="AQ91" ca="1">IFERROR(
INDEX($L$65:$L$94,MATCH(0,INDEX(COUNTIF($AQ$63:AQ90,$L$65:$L$94),),)),"")</f>
        <v/>
      </c>
      <c r="AZ91" s="470" t="s">
        <v>6172</v>
      </c>
      <c r="BB91" s="25">
        <f>BH101</f>
        <v>0</v>
      </c>
      <c r="BC91" s="426" t="s">
        <v>6210</v>
      </c>
      <c r="DA91" s="470" t="s">
        <v>6172</v>
      </c>
      <c r="DF91" s="608" t="s">
        <v>5743</v>
      </c>
      <c r="DG91" s="737" t="s">
        <v>99</v>
      </c>
      <c r="DH91" s="807">
        <f t="shared" si="43"/>
        <v>1011</v>
      </c>
      <c r="DI91" s="807">
        <f t="shared" si="16"/>
        <v>1022</v>
      </c>
      <c r="DJ91" s="807">
        <f t="shared" si="44"/>
        <v>1028</v>
      </c>
      <c r="DK91" s="807">
        <f t="shared" si="17"/>
        <v>1039</v>
      </c>
      <c r="DN91" s="470" t="s">
        <v>120</v>
      </c>
      <c r="DO91" s="784">
        <f t="shared" ca="1" si="49"/>
        <v>0</v>
      </c>
      <c r="DP91" s="784">
        <f t="shared" ca="1" si="49"/>
        <v>0</v>
      </c>
      <c r="DQ91" s="784">
        <f t="shared" ca="1" si="49"/>
        <v>0</v>
      </c>
      <c r="DR91" s="784">
        <f t="shared" ca="1" si="49"/>
        <v>0</v>
      </c>
      <c r="DV91" s="469"/>
      <c r="DW91" s="758" t="s">
        <v>6106</v>
      </c>
      <c r="DX91" s="767">
        <f t="shared" ca="1" si="45"/>
        <v>0</v>
      </c>
      <c r="DY91" s="796" t="str">
        <f t="shared" ca="1" si="46"/>
        <v/>
      </c>
    </row>
    <row r="92" spans="2:129" x14ac:dyDescent="0.25">
      <c r="K92" s="525">
        <v>46</v>
      </c>
      <c r="L92" s="25" t="str" cm="1">
        <f t="array" aca="1" ref="L92" ca="1">IF(INDIRECT($G$62&amp;G$67&amp;$K92)&lt;&gt;0,INDIRECT($G$62&amp;G$67&amp;$K92),"")</f>
        <v/>
      </c>
      <c r="M92" s="25" t="str" cm="1">
        <f t="array" aca="1" ref="M92" ca="1">IF(INDIRECT($G$62&amp;G$68&amp;$K92)&lt;&gt;0,INDIRECT($G$62&amp;G$68&amp;$K92),"")</f>
        <v/>
      </c>
      <c r="N92" s="25" t="str" cm="1">
        <f t="array" aca="1" ref="N92" ca="1">IF(INDIRECT($G$62&amp;G$69&amp;$K92)&lt;&gt;0,INDIRECT($G$62&amp;G$69&amp;$K92),"")</f>
        <v/>
      </c>
      <c r="O92" s="25" t="str" cm="1">
        <f t="array" aca="1" ref="O92" ca="1">IF(INDIRECT($G$62&amp;G$70&amp;$K92)&lt;&gt;0,INDIRECT($G$62&amp;G$70&amp;$K92),"")</f>
        <v/>
      </c>
      <c r="P92" s="25" t="str" cm="1">
        <f t="array" aca="1" ref="P92" ca="1">IF(INDIRECT($G$62&amp;G$71&amp;$K92)&lt;&gt;0,INDIRECT($G$62&amp;G$71&amp;$K92),"")</f>
        <v/>
      </c>
      <c r="Q92" s="25" t="str" cm="1">
        <f t="array" aca="1" ref="Q92" ca="1">IF(INDIRECT($G$62&amp;G$72&amp;$K92)&lt;&gt;0,INDIRECT($G$62&amp;G$72&amp;$K92),"")</f>
        <v/>
      </c>
      <c r="R92" s="25" t="str" cm="1">
        <f t="array" aca="1" ref="R92" ca="1">IF(INDIRECT($G$62&amp;G$73&amp;$K92)&lt;&gt;0,INDIRECT($G$62&amp;G$73&amp;$K92),"")</f>
        <v/>
      </c>
      <c r="S92" s="525" t="str">
        <f t="shared" ca="1" si="20"/>
        <v/>
      </c>
      <c r="T92" s="525" t="str">
        <f t="shared" ca="1" si="22"/>
        <v/>
      </c>
      <c r="U92" s="525" t="str">
        <f t="shared" ca="1" si="23"/>
        <v/>
      </c>
      <c r="V92" s="525" t="str">
        <f t="shared" ca="1" si="24"/>
        <v/>
      </c>
      <c r="X92" s="525" t="str">
        <f t="shared" ca="1" si="25"/>
        <v/>
      </c>
      <c r="Y92" s="525" t="str">
        <f t="shared" ca="1" si="36"/>
        <v/>
      </c>
      <c r="Z92" s="525" t="str">
        <f t="shared" ca="1" si="26"/>
        <v/>
      </c>
      <c r="AA92" s="525" t="str">
        <f t="shared" ca="1" si="27"/>
        <v/>
      </c>
      <c r="AB92" s="501" t="str">
        <f t="shared" si="28"/>
        <v/>
      </c>
      <c r="AC92" s="501" t="str">
        <f t="shared" si="29"/>
        <v/>
      </c>
      <c r="AD92" s="501" t="str">
        <f t="shared" si="29"/>
        <v/>
      </c>
      <c r="AE92" s="501" t="str">
        <f t="shared" si="29"/>
        <v/>
      </c>
      <c r="AF92" s="501" t="str">
        <f t="shared" si="29"/>
        <v/>
      </c>
      <c r="AG92" s="501" t="str">
        <f t="shared" si="29"/>
        <v/>
      </c>
      <c r="AH92" s="525" t="str">
        <f t="shared" ca="1" si="30"/>
        <v/>
      </c>
      <c r="AI92" s="525" t="str">
        <f t="shared" ca="1" si="31"/>
        <v/>
      </c>
      <c r="AK92" s="496" t="str" cm="1">
        <f t="array" aca="1" ref="AK92" ca="1">IFERROR(
INDEX($M$65:$M$94,MATCH(0,INDEX(COUNTIF(AK$63:$AK91,$M$65:$M$94),),)),"")</f>
        <v/>
      </c>
      <c r="AL92" s="426" t="str">
        <f t="shared" ca="1" si="32"/>
        <v/>
      </c>
      <c r="AM92" s="25" t="str">
        <f t="shared" ca="1" si="21"/>
        <v/>
      </c>
      <c r="AO92" s="426" t="str">
        <f t="shared" ca="1" si="33"/>
        <v/>
      </c>
      <c r="AP92" s="813" t="str">
        <f t="shared" ca="1" si="34"/>
        <v/>
      </c>
      <c r="AQ92" s="496" t="str" cm="1">
        <f t="array" aca="1" ref="AQ92" ca="1">IFERROR(
INDEX($L$65:$L$94,MATCH(0,INDEX(COUNTIF($AQ$63:AQ91,$L$65:$L$94),),)),"")</f>
        <v/>
      </c>
      <c r="AZ92" s="470" t="s">
        <v>6172</v>
      </c>
      <c r="BB92" s="25">
        <f ca="1">BH95</f>
        <v>0</v>
      </c>
      <c r="BC92" s="426" t="s">
        <v>6243</v>
      </c>
      <c r="DA92" s="470" t="s">
        <v>6172</v>
      </c>
      <c r="DV92" s="469"/>
      <c r="DW92" s="758" t="s">
        <v>6422</v>
      </c>
      <c r="DX92" s="767">
        <f t="shared" ca="1" si="45"/>
        <v>0</v>
      </c>
      <c r="DY92" s="796" t="str">
        <f t="shared" ca="1" si="46"/>
        <v/>
      </c>
    </row>
    <row r="93" spans="2:129" x14ac:dyDescent="0.25">
      <c r="K93" s="525">
        <v>47</v>
      </c>
      <c r="L93" s="25" t="str" cm="1">
        <f t="array" aca="1" ref="L93" ca="1">IF(INDIRECT($G$62&amp;G$67&amp;$K93)&lt;&gt;0,INDIRECT($G$62&amp;G$67&amp;$K93),"")</f>
        <v/>
      </c>
      <c r="M93" s="25" t="str" cm="1">
        <f t="array" aca="1" ref="M93" ca="1">IF(INDIRECT($G$62&amp;G$68&amp;$K93)&lt;&gt;0,INDIRECT($G$62&amp;G$68&amp;$K93),"")</f>
        <v/>
      </c>
      <c r="N93" s="25" t="str" cm="1">
        <f t="array" aca="1" ref="N93" ca="1">IF(INDIRECT($G$62&amp;G$69&amp;$K93)&lt;&gt;0,INDIRECT($G$62&amp;G$69&amp;$K93),"")</f>
        <v/>
      </c>
      <c r="O93" s="25" t="str" cm="1">
        <f t="array" aca="1" ref="O93" ca="1">IF(INDIRECT($G$62&amp;G$70&amp;$K93)&lt;&gt;0,INDIRECT($G$62&amp;G$70&amp;$K93),"")</f>
        <v/>
      </c>
      <c r="P93" s="25" t="str" cm="1">
        <f t="array" aca="1" ref="P93" ca="1">IF(INDIRECT($G$62&amp;G$71&amp;$K93)&lt;&gt;0,INDIRECT($G$62&amp;G$71&amp;$K93),"")</f>
        <v/>
      </c>
      <c r="Q93" s="25" t="str" cm="1">
        <f t="array" aca="1" ref="Q93" ca="1">IF(INDIRECT($G$62&amp;G$72&amp;$K93)&lt;&gt;0,INDIRECT($G$62&amp;G$72&amp;$K93),"")</f>
        <v/>
      </c>
      <c r="R93" s="25" t="str" cm="1">
        <f t="array" aca="1" ref="R93" ca="1">IF(INDIRECT($G$62&amp;G$73&amp;$K93)&lt;&gt;0,INDIRECT($G$62&amp;G$73&amp;$K93),"")</f>
        <v/>
      </c>
      <c r="S93" s="525" t="str">
        <f t="shared" ca="1" si="20"/>
        <v/>
      </c>
      <c r="T93" s="525" t="str">
        <f t="shared" ca="1" si="22"/>
        <v/>
      </c>
      <c r="U93" s="525" t="str">
        <f t="shared" ca="1" si="23"/>
        <v/>
      </c>
      <c r="V93" s="525" t="str">
        <f t="shared" ca="1" si="24"/>
        <v/>
      </c>
      <c r="X93" s="525" t="str">
        <f t="shared" ca="1" si="25"/>
        <v/>
      </c>
      <c r="Y93" s="525" t="str">
        <f t="shared" ca="1" si="36"/>
        <v/>
      </c>
      <c r="Z93" s="525" t="str">
        <f t="shared" ca="1" si="26"/>
        <v/>
      </c>
      <c r="AA93" s="525" t="str">
        <f t="shared" ca="1" si="27"/>
        <v/>
      </c>
      <c r="AB93" s="501" t="str">
        <f t="shared" si="28"/>
        <v/>
      </c>
      <c r="AC93" s="501" t="str">
        <f t="shared" si="29"/>
        <v/>
      </c>
      <c r="AD93" s="501" t="str">
        <f t="shared" si="29"/>
        <v/>
      </c>
      <c r="AE93" s="501" t="str">
        <f t="shared" si="29"/>
        <v/>
      </c>
      <c r="AF93" s="501" t="str">
        <f t="shared" si="29"/>
        <v/>
      </c>
      <c r="AG93" s="501" t="str">
        <f t="shared" si="29"/>
        <v/>
      </c>
      <c r="AH93" s="525" t="str">
        <f t="shared" ca="1" si="30"/>
        <v/>
      </c>
      <c r="AI93" s="525" t="str">
        <f t="shared" ca="1" si="31"/>
        <v/>
      </c>
      <c r="AK93" s="496" t="str" cm="1">
        <f t="array" aca="1" ref="AK93" ca="1">IFERROR(
INDEX($M$65:$M$94,MATCH(0,INDEX(COUNTIF(AK$63:$AK92,$M$65:$M$94),),)),"")</f>
        <v/>
      </c>
      <c r="AL93" s="426" t="str">
        <f t="shared" ca="1" si="32"/>
        <v/>
      </c>
      <c r="AM93" s="25" t="str">
        <f t="shared" ca="1" si="21"/>
        <v/>
      </c>
      <c r="AO93" s="426" t="str">
        <f t="shared" ca="1" si="33"/>
        <v/>
      </c>
      <c r="AP93" s="813" t="str">
        <f t="shared" ca="1" si="34"/>
        <v/>
      </c>
      <c r="AQ93" s="496" t="str" cm="1">
        <f t="array" aca="1" ref="AQ93" ca="1">IFERROR(
INDEX($L$65:$L$94,MATCH(0,INDEX(COUNTIF($AQ$63:AQ92,$L$65:$L$94),),)),"")</f>
        <v/>
      </c>
      <c r="AZ93" s="470" t="s">
        <v>6172</v>
      </c>
      <c r="BB93" s="25">
        <f ca="1">BH98</f>
        <v>0</v>
      </c>
      <c r="BC93" s="426" t="s">
        <v>6068</v>
      </c>
      <c r="BF93" s="472"/>
      <c r="BG93" s="757" t="s">
        <v>7850</v>
      </c>
      <c r="BH93" s="525">
        <f ca="1">IF(BG81&gt;0,1,0)</f>
        <v>0</v>
      </c>
      <c r="BI93" s="20" t="s">
        <v>7851</v>
      </c>
      <c r="DA93" s="470" t="s">
        <v>6172</v>
      </c>
      <c r="DV93" s="469"/>
      <c r="DW93" s="758" t="s">
        <v>6423</v>
      </c>
      <c r="DX93" s="767">
        <f t="shared" ca="1" si="45"/>
        <v>0</v>
      </c>
      <c r="DY93" s="796" t="str">
        <f t="shared" ca="1" si="46"/>
        <v/>
      </c>
    </row>
    <row r="94" spans="2:129" x14ac:dyDescent="0.25">
      <c r="K94" s="525">
        <v>48</v>
      </c>
      <c r="L94" s="25" t="str" cm="1">
        <f t="array" aca="1" ref="L94" ca="1">IF(INDIRECT($G$62&amp;G$67&amp;$K94)&lt;&gt;0,INDIRECT($G$62&amp;G$67&amp;$K94),"")</f>
        <v/>
      </c>
      <c r="M94" s="25" t="str" cm="1">
        <f t="array" aca="1" ref="M94" ca="1">IF(INDIRECT($G$62&amp;G$68&amp;$K94)&lt;&gt;0,INDIRECT($G$62&amp;G$68&amp;$K94),"")</f>
        <v/>
      </c>
      <c r="N94" s="25" t="str" cm="1">
        <f t="array" aca="1" ref="N94" ca="1">IF(INDIRECT($G$62&amp;G$69&amp;$K94)&lt;&gt;0,INDIRECT($G$62&amp;G$69&amp;$K94),"")</f>
        <v/>
      </c>
      <c r="O94" s="25" t="str" cm="1">
        <f t="array" aca="1" ref="O94" ca="1">IF(INDIRECT($G$62&amp;G$70&amp;$K94)&lt;&gt;0,INDIRECT($G$62&amp;G$70&amp;$K94),"")</f>
        <v/>
      </c>
      <c r="P94" s="25" t="str" cm="1">
        <f t="array" aca="1" ref="P94" ca="1">IF(INDIRECT($G$62&amp;G$71&amp;$K94)&lt;&gt;0,INDIRECT($G$62&amp;G$71&amp;$K94),"")</f>
        <v/>
      </c>
      <c r="Q94" s="25" t="str" cm="1">
        <f t="array" aca="1" ref="Q94" ca="1">IF(INDIRECT($G$62&amp;G$72&amp;$K94)&lt;&gt;0,INDIRECT($G$62&amp;G$72&amp;$K94),"")</f>
        <v/>
      </c>
      <c r="R94" s="25" t="str" cm="1">
        <f t="array" aca="1" ref="R94" ca="1">IF(INDIRECT($G$62&amp;G$73&amp;$K94)&lt;&gt;0,INDIRECT($G$62&amp;G$73&amp;$K94),"")</f>
        <v/>
      </c>
      <c r="S94" s="525" t="str">
        <f t="shared" ca="1" si="20"/>
        <v/>
      </c>
      <c r="T94" s="525" t="str">
        <f t="shared" ca="1" si="22"/>
        <v/>
      </c>
      <c r="U94" s="525" t="str">
        <f t="shared" ca="1" si="23"/>
        <v/>
      </c>
      <c r="V94" s="525" t="str">
        <f t="shared" ca="1" si="24"/>
        <v/>
      </c>
      <c r="X94" s="525" t="str">
        <f t="shared" ca="1" si="25"/>
        <v/>
      </c>
      <c r="Y94" s="525" t="str">
        <f t="shared" ca="1" si="36"/>
        <v/>
      </c>
      <c r="Z94" s="525" t="str">
        <f t="shared" ca="1" si="26"/>
        <v/>
      </c>
      <c r="AA94" s="525" t="str">
        <f t="shared" ca="1" si="27"/>
        <v/>
      </c>
      <c r="AB94" s="501" t="str">
        <f t="shared" si="28"/>
        <v/>
      </c>
      <c r="AC94" s="501" t="str">
        <f t="shared" si="29"/>
        <v/>
      </c>
      <c r="AD94" s="501" t="str">
        <f t="shared" si="29"/>
        <v/>
      </c>
      <c r="AE94" s="501" t="str">
        <f t="shared" si="29"/>
        <v/>
      </c>
      <c r="AF94" s="501" t="str">
        <f t="shared" si="29"/>
        <v/>
      </c>
      <c r="AG94" s="501" t="str">
        <f t="shared" si="29"/>
        <v/>
      </c>
      <c r="AH94" s="525" t="str">
        <f ca="1">IF(AND(O94&lt;&gt;"",P94&lt;&gt;""),
IF((P94-O94)&gt;$Y$102,1,0),"")</f>
        <v/>
      </c>
      <c r="AI94" s="525" t="str">
        <f t="shared" ca="1" si="31"/>
        <v/>
      </c>
      <c r="AK94" s="496" t="str" cm="1">
        <f t="array" aca="1" ref="AK94" ca="1">IFERROR(
INDEX($M$65:$M$94,MATCH(0,INDEX(COUNTIF(AK$63:$AK93,$M$65:$M$94),),)),"")</f>
        <v/>
      </c>
      <c r="AL94" s="426" t="str">
        <f t="shared" ca="1" si="32"/>
        <v/>
      </c>
      <c r="AM94" s="25" t="str">
        <f t="shared" ca="1" si="21"/>
        <v/>
      </c>
      <c r="AO94" s="426" t="str">
        <f t="shared" ca="1" si="33"/>
        <v/>
      </c>
      <c r="AP94" s="813" t="str">
        <f t="shared" ca="1" si="34"/>
        <v/>
      </c>
      <c r="AQ94" s="496" t="str" cm="1">
        <f t="array" aca="1" ref="AQ94" ca="1">IFERROR(
INDEX($L$65:$L$94,MATCH(0,INDEX(COUNTIF($AQ$63:AQ93,$L$65:$L$94),),)),"")</f>
        <v/>
      </c>
      <c r="AZ94" s="470" t="s">
        <v>6172</v>
      </c>
      <c r="BB94" s="25">
        <f ca="1">BH99</f>
        <v>0</v>
      </c>
      <c r="BC94" s="426" t="s">
        <v>6069</v>
      </c>
      <c r="BF94" s="472"/>
      <c r="BG94" s="757" t="s">
        <v>6211</v>
      </c>
      <c r="BH94" s="525">
        <f ca="1">BO82</f>
        <v>0</v>
      </c>
      <c r="DA94" s="470" t="s">
        <v>6172</v>
      </c>
      <c r="DV94" s="469"/>
      <c r="DW94" s="758" t="s">
        <v>6424</v>
      </c>
      <c r="DX94" s="767">
        <f t="shared" ca="1" si="45"/>
        <v>0</v>
      </c>
      <c r="DY94" s="796" t="str">
        <f t="shared" ca="1" si="46"/>
        <v/>
      </c>
    </row>
    <row r="95" spans="2:129" x14ac:dyDescent="0.25">
      <c r="AZ95" s="470" t="s">
        <v>6172</v>
      </c>
      <c r="BB95" s="525">
        <f ca="1">IF(CA82&gt;0,1,0)</f>
        <v>0</v>
      </c>
      <c r="BC95" s="426" t="s">
        <v>8330</v>
      </c>
      <c r="BF95" s="469"/>
      <c r="BG95" s="758" t="s">
        <v>6223</v>
      </c>
      <c r="BH95" s="759">
        <f ca="1">IF(BH94&lt;&gt;0,
IF(COUNTIF($M$65:$M$94,BH94)=0,1,0),0)</f>
        <v>0</v>
      </c>
      <c r="BI95" s="20" t="s">
        <v>6212</v>
      </c>
      <c r="DA95" s="470" t="s">
        <v>6172</v>
      </c>
      <c r="DV95" s="469"/>
      <c r="DW95" s="758" t="s">
        <v>6425</v>
      </c>
      <c r="DX95" s="767">
        <f ca="1">IF(SUM(DP46:DR46)&gt;0,1,0)</f>
        <v>0</v>
      </c>
      <c r="DY95" s="796" t="str">
        <f t="shared" ca="1" si="46"/>
        <v/>
      </c>
    </row>
    <row r="96" spans="2:129" x14ac:dyDescent="0.25">
      <c r="X96" s="552" t="s">
        <v>5558</v>
      </c>
      <c r="Y96" s="426" t="s">
        <v>8313</v>
      </c>
      <c r="AZ96" s="470" t="s">
        <v>6172</v>
      </c>
      <c r="BB96" s="525"/>
      <c r="BC96" s="752" t="s">
        <v>8297</v>
      </c>
      <c r="BF96" s="472"/>
      <c r="BG96" s="757" t="s">
        <v>6178</v>
      </c>
      <c r="BH96" s="525">
        <f ca="1">IFERROR(VLOOKUP(BH94,$M$65:$P$94,4,0),0)</f>
        <v>0</v>
      </c>
      <c r="DA96" s="470" t="s">
        <v>6172</v>
      </c>
      <c r="DV96" s="469"/>
      <c r="DW96" s="758" t="s">
        <v>6107</v>
      </c>
      <c r="DX96" s="767">
        <f>IF(SUM(DP57:DR57)&gt;0,1,0)</f>
        <v>0</v>
      </c>
      <c r="DY96" s="796" t="str">
        <f>IF(DP57=1,IF(SUM(DQ57:DR57)=0,"Teste I","Teste I, "),"")&amp;
IF(DQ57=1,IF(DR57=0,"Teste II","Teste II, "),"")&amp;
IF(DR57=1,"Teste III","")</f>
        <v/>
      </c>
    </row>
    <row r="97" spans="2:140" x14ac:dyDescent="0.25">
      <c r="X97" s="552" t="s">
        <v>5558</v>
      </c>
      <c r="Y97" s="426" t="s">
        <v>8315</v>
      </c>
      <c r="AZ97" s="470" t="s">
        <v>6172</v>
      </c>
      <c r="BB97" s="25"/>
      <c r="BC97" s="752" t="s">
        <v>8297</v>
      </c>
      <c r="BF97" s="472"/>
      <c r="BG97" s="757" t="s">
        <v>6213</v>
      </c>
      <c r="BH97" s="525">
        <f ca="1">BN82</f>
        <v>0</v>
      </c>
      <c r="DA97" s="470" t="s">
        <v>6172</v>
      </c>
      <c r="DV97" s="469"/>
      <c r="DW97" s="758" t="s">
        <v>6110</v>
      </c>
      <c r="DX97" s="767">
        <f>IF(SUM(DP58:DR58)&gt;0,1,0)</f>
        <v>0</v>
      </c>
      <c r="DY97" s="796" t="str">
        <f>IF(DP58=1,IF(SUM(DQ58:DR58)=0,"Teste I","Teste I, "),"")&amp;
IF(DQ58=1,IF(DR58=0,"Teste II","Teste II, "),"")&amp;
IF(DR58=1,"Teste III","")</f>
        <v/>
      </c>
    </row>
    <row r="98" spans="2:140" x14ac:dyDescent="0.25">
      <c r="X98" s="552" t="s">
        <v>5558</v>
      </c>
      <c r="Y98" s="426" t="s">
        <v>2043</v>
      </c>
      <c r="AZ98" s="470" t="s">
        <v>6172</v>
      </c>
      <c r="BB98" s="25"/>
      <c r="BC98" s="752" t="s">
        <v>8297</v>
      </c>
      <c r="BF98" s="469"/>
      <c r="BG98" s="758" t="s">
        <v>6179</v>
      </c>
      <c r="BH98" s="759">
        <f ca="1">IF(BH95&lt;&gt;1,
IF((BH96-BH97)&lt;0,1,0),
0)</f>
        <v>0</v>
      </c>
      <c r="BI98" s="20" t="s">
        <v>6180</v>
      </c>
      <c r="DA98" s="470" t="s">
        <v>6172</v>
      </c>
      <c r="DV98" s="469"/>
      <c r="DW98" s="758" t="s">
        <v>7080</v>
      </c>
      <c r="DX98" s="767">
        <f ca="1">IF(SUM(DP59:DR59)&gt;0,1,0)</f>
        <v>0</v>
      </c>
      <c r="DY98" s="796" t="str">
        <f ca="1">IF(DP59=1,IF(SUM(DQ59:DR59)=0,"Teste I","Teste I, "),"")&amp;
IF(DQ59=1,IF(DR59=0,"Teste II","Teste II, "),"")&amp;
IF(DR59=1,"Teste III","")</f>
        <v/>
      </c>
    </row>
    <row r="99" spans="2:140" x14ac:dyDescent="0.25">
      <c r="X99" s="552" t="s">
        <v>5558</v>
      </c>
      <c r="Y99" s="426" t="s">
        <v>2044</v>
      </c>
      <c r="AZ99" s="470" t="s">
        <v>6172</v>
      </c>
      <c r="BB99" s="25"/>
      <c r="BC99" s="752" t="s">
        <v>8297</v>
      </c>
      <c r="BF99" s="469"/>
      <c r="BG99" s="758" t="s">
        <v>7354</v>
      </c>
      <c r="BH99" s="759">
        <f ca="1">IF(COUNTIFS($M$65:$M$94,BH94,$AA$65:$AA$94,2)&gt;0,1,0)</f>
        <v>0</v>
      </c>
      <c r="BI99" s="20" t="s">
        <v>7355</v>
      </c>
      <c r="DA99" s="470" t="s">
        <v>6172</v>
      </c>
    </row>
    <row r="100" spans="2:140" ht="15.75" thickBot="1" x14ac:dyDescent="0.3">
      <c r="X100" s="552" t="s">
        <v>5558</v>
      </c>
      <c r="Y100" s="426" t="s">
        <v>8316</v>
      </c>
      <c r="Z100" s="834">
        <v>1</v>
      </c>
      <c r="AZ100" s="470" t="s">
        <v>6172</v>
      </c>
      <c r="BB100" s="25"/>
      <c r="BC100" s="752" t="s">
        <v>8297</v>
      </c>
      <c r="BF100" s="469"/>
      <c r="BG100" s="758" t="s">
        <v>7356</v>
      </c>
      <c r="BH100" s="767">
        <f ca="1">IF(BJ82="Não",1,0)</f>
        <v>0</v>
      </c>
      <c r="BI100" s="20" t="s">
        <v>7357</v>
      </c>
      <c r="DA100" s="470" t="s">
        <v>6172</v>
      </c>
      <c r="DB100" s="730" t="s">
        <v>6111</v>
      </c>
      <c r="DC100" s="730"/>
      <c r="DD100" s="730"/>
      <c r="DE100" s="730"/>
      <c r="DF100" s="730"/>
      <c r="DG100" s="730"/>
      <c r="DH100" s="730"/>
      <c r="DI100" s="730"/>
      <c r="DJ100" s="730"/>
      <c r="DK100" s="730"/>
      <c r="DL100" s="730"/>
      <c r="DM100" s="730"/>
      <c r="DN100" s="730"/>
      <c r="DO100" s="730"/>
      <c r="DP100" s="730"/>
      <c r="DQ100" s="730"/>
      <c r="DR100" s="730"/>
      <c r="DS100" s="730"/>
      <c r="DT100" s="730"/>
      <c r="DU100" s="730"/>
      <c r="DV100" s="730"/>
      <c r="DW100" s="730"/>
      <c r="DX100" s="730"/>
      <c r="DY100" s="730"/>
      <c r="DZ100" s="730"/>
      <c r="EA100" s="730"/>
      <c r="EB100" s="730"/>
      <c r="EC100" s="730"/>
      <c r="ED100" s="730"/>
      <c r="EE100" s="730"/>
      <c r="EF100" s="730"/>
      <c r="EG100" s="730"/>
      <c r="EH100" s="730"/>
      <c r="EI100" s="730"/>
      <c r="EJ100" s="730"/>
    </row>
    <row r="101" spans="2:140" x14ac:dyDescent="0.25">
      <c r="X101" s="552" t="s">
        <v>5558</v>
      </c>
      <c r="Y101" s="426" t="s">
        <v>8314</v>
      </c>
      <c r="Z101" s="834">
        <v>2</v>
      </c>
      <c r="AZ101" s="470" t="s">
        <v>6172</v>
      </c>
      <c r="BB101" s="25"/>
      <c r="BC101" s="752" t="s">
        <v>8297</v>
      </c>
      <c r="BF101" s="469"/>
      <c r="DA101" s="470" t="s">
        <v>6172</v>
      </c>
    </row>
    <row r="102" spans="2:140" x14ac:dyDescent="0.25">
      <c r="X102" s="552" t="s">
        <v>8319</v>
      </c>
      <c r="Y102" s="25">
        <v>732</v>
      </c>
      <c r="AZ102" s="470" t="s">
        <v>6172</v>
      </c>
      <c r="BB102" s="25"/>
      <c r="BC102" s="752" t="s">
        <v>8297</v>
      </c>
      <c r="BF102" s="469"/>
      <c r="BG102" s="758" t="s">
        <v>7360</v>
      </c>
      <c r="BH102" s="767">
        <f ca="1">IF(CB82=2,
IF(COUNTIF(INDIRECT(BH78&amp;BT80,1),"sim")&gt;0,1,0),
0)</f>
        <v>0</v>
      </c>
      <c r="BI102" s="20" t="s">
        <v>7361</v>
      </c>
      <c r="DA102" s="470" t="s">
        <v>6172</v>
      </c>
      <c r="DB102" s="477" t="s">
        <v>8104</v>
      </c>
      <c r="DC102" s="477" t="s">
        <v>8294</v>
      </c>
      <c r="DG102" s="733" t="s">
        <v>7321</v>
      </c>
      <c r="DH102" s="835" t="s">
        <v>5584</v>
      </c>
      <c r="DI102" s="836" t="s">
        <v>7660</v>
      </c>
      <c r="DJ102" s="837" t="s">
        <v>5783</v>
      </c>
    </row>
    <row r="103" spans="2:140" x14ac:dyDescent="0.25">
      <c r="AZ103" s="470" t="s">
        <v>6172</v>
      </c>
      <c r="BB103" s="25"/>
      <c r="BC103" s="752" t="s">
        <v>8297</v>
      </c>
      <c r="BF103" s="469"/>
      <c r="BG103" s="758" t="s">
        <v>7362</v>
      </c>
      <c r="BH103" s="767">
        <f ca="1">IF(COUNTIF(BW81:BX81,1)&gt;0,0,1)</f>
        <v>1</v>
      </c>
      <c r="BI103" s="20" t="s">
        <v>7848</v>
      </c>
      <c r="DA103" s="470" t="s">
        <v>6172</v>
      </c>
      <c r="DB103" s="25">
        <f t="shared" ref="DB103:DB122" ca="1" si="50">DH227</f>
        <v>0</v>
      </c>
      <c r="DC103" s="426" t="s">
        <v>6197</v>
      </c>
      <c r="DG103" s="737" t="s">
        <v>30</v>
      </c>
      <c r="DH103" s="737" t="s">
        <v>6174</v>
      </c>
      <c r="DI103" s="737" t="s">
        <v>6173</v>
      </c>
      <c r="DJ103" s="737" t="s">
        <v>6029</v>
      </c>
      <c r="DK103" s="737" t="s">
        <v>218</v>
      </c>
      <c r="DL103" s="737" t="s">
        <v>6183</v>
      </c>
      <c r="DM103" s="737" t="s">
        <v>6184</v>
      </c>
      <c r="DN103" s="737" t="s">
        <v>31</v>
      </c>
      <c r="DO103" s="737" t="s">
        <v>5720</v>
      </c>
      <c r="DP103" s="737" t="s">
        <v>147</v>
      </c>
      <c r="DQ103" s="737" t="s">
        <v>235</v>
      </c>
      <c r="DR103" s="737" t="s">
        <v>102</v>
      </c>
      <c r="DS103" s="737" t="s">
        <v>103</v>
      </c>
      <c r="DT103" s="737" t="s">
        <v>230</v>
      </c>
      <c r="DU103" s="737" t="s">
        <v>217</v>
      </c>
      <c r="DV103" s="737" t="s">
        <v>364</v>
      </c>
      <c r="DW103" s="737" t="s">
        <v>365</v>
      </c>
      <c r="DX103" s="737" t="s">
        <v>363</v>
      </c>
      <c r="DY103" s="737" t="s">
        <v>241</v>
      </c>
      <c r="DZ103" s="737" t="s">
        <v>6433</v>
      </c>
      <c r="EA103" s="737" t="s">
        <v>240</v>
      </c>
      <c r="EB103" s="737" t="s">
        <v>104</v>
      </c>
      <c r="EC103" s="737" t="s">
        <v>255</v>
      </c>
      <c r="ED103" s="838" t="s">
        <v>293</v>
      </c>
      <c r="EE103" s="838" t="s">
        <v>301</v>
      </c>
      <c r="EF103" s="838" t="s">
        <v>302</v>
      </c>
      <c r="EG103" s="589" t="s">
        <v>6242</v>
      </c>
      <c r="EH103" s="589" t="s">
        <v>143</v>
      </c>
      <c r="EI103" s="589" t="s">
        <v>6189</v>
      </c>
      <c r="EJ103" s="838" t="s">
        <v>6187</v>
      </c>
    </row>
    <row r="104" spans="2:140" x14ac:dyDescent="0.25">
      <c r="AZ104" s="470" t="s">
        <v>6172</v>
      </c>
      <c r="BB104" s="25"/>
      <c r="BC104" s="752" t="s">
        <v>8297</v>
      </c>
      <c r="BF104" s="469"/>
      <c r="BG104" s="758"/>
      <c r="BH104" s="767"/>
      <c r="DA104" s="470" t="s">
        <v>6172</v>
      </c>
      <c r="DB104" s="25">
        <f t="shared" ca="1" si="50"/>
        <v>0</v>
      </c>
      <c r="DC104" s="426" t="s">
        <v>6198</v>
      </c>
      <c r="DF104" s="597" t="s">
        <v>5778</v>
      </c>
      <c r="DG104" s="743" t="s">
        <v>1592</v>
      </c>
      <c r="DH104" s="744" t="s">
        <v>7333</v>
      </c>
      <c r="DI104" s="743" t="s">
        <v>7334</v>
      </c>
      <c r="DJ104" s="744" t="s">
        <v>5798</v>
      </c>
      <c r="DK104" s="743" t="s">
        <v>7335</v>
      </c>
      <c r="DL104" s="743" t="s">
        <v>7336</v>
      </c>
      <c r="DM104" s="745" t="s">
        <v>7337</v>
      </c>
      <c r="DN104" s="745" t="s">
        <v>7338</v>
      </c>
      <c r="DO104" s="744" t="s">
        <v>5796</v>
      </c>
      <c r="DP104" s="744" t="s">
        <v>7339</v>
      </c>
      <c r="DQ104" s="744" t="s">
        <v>7340</v>
      </c>
      <c r="DR104" s="744" t="s">
        <v>5797</v>
      </c>
      <c r="DS104" s="744" t="s">
        <v>7384</v>
      </c>
      <c r="DT104" s="744" t="s">
        <v>7385</v>
      </c>
      <c r="DU104" s="744" t="s">
        <v>7388</v>
      </c>
      <c r="DV104" s="744" t="s">
        <v>7698</v>
      </c>
      <c r="DW104" s="744" t="s">
        <v>7699</v>
      </c>
      <c r="DX104" s="744" t="s">
        <v>7389</v>
      </c>
      <c r="DY104" s="744" t="s">
        <v>7410</v>
      </c>
      <c r="DZ104" s="744" t="s">
        <v>7700</v>
      </c>
      <c r="EA104" s="744" t="s">
        <v>7412</v>
      </c>
      <c r="EB104" s="825" t="s">
        <v>7701</v>
      </c>
      <c r="EC104" s="744" t="s">
        <v>7538</v>
      </c>
      <c r="ED104" s="839" t="s">
        <v>7680</v>
      </c>
      <c r="EE104" s="839" t="s">
        <v>7681</v>
      </c>
      <c r="EF104" s="839" t="s">
        <v>7682</v>
      </c>
      <c r="EG104" s="840" t="s">
        <v>5773</v>
      </c>
      <c r="EH104" s="841" t="s">
        <v>7702</v>
      </c>
      <c r="EI104" s="841" t="s">
        <v>7703</v>
      </c>
      <c r="EJ104" s="839" t="s">
        <v>6456</v>
      </c>
    </row>
    <row r="105" spans="2:140" x14ac:dyDescent="0.25">
      <c r="AZ105" s="470" t="s">
        <v>6172</v>
      </c>
      <c r="BB105" s="426"/>
      <c r="BC105" s="752" t="s">
        <v>8297</v>
      </c>
      <c r="BF105" s="469"/>
      <c r="BG105" s="758" t="s">
        <v>6067</v>
      </c>
      <c r="BH105" s="767">
        <f ca="1">IF(CB82=2,1,0)</f>
        <v>0</v>
      </c>
      <c r="DA105" s="470" t="s">
        <v>6172</v>
      </c>
      <c r="DB105" s="25">
        <f t="shared" ca="1" si="50"/>
        <v>0</v>
      </c>
      <c r="DC105" s="426" t="s">
        <v>6199</v>
      </c>
      <c r="DF105" s="597" t="s">
        <v>6222</v>
      </c>
      <c r="DG105" s="716">
        <f t="shared" ref="DG105:EI105" ca="1" si="51">COUNTA(INDIRECT($DH$102&amp;DG104,1))</f>
        <v>0</v>
      </c>
      <c r="DH105" s="716">
        <f t="shared" ca="1" si="51"/>
        <v>0</v>
      </c>
      <c r="DI105" s="716">
        <f t="shared" ca="1" si="51"/>
        <v>0</v>
      </c>
      <c r="DJ105" s="716">
        <f t="shared" ca="1" si="51"/>
        <v>0</v>
      </c>
      <c r="DK105" s="716">
        <f t="shared" ca="1" si="51"/>
        <v>0</v>
      </c>
      <c r="DL105" s="716">
        <f t="shared" ca="1" si="51"/>
        <v>0</v>
      </c>
      <c r="DM105" s="716">
        <f t="shared" ca="1" si="51"/>
        <v>0</v>
      </c>
      <c r="DN105" s="716">
        <f t="shared" ca="1" si="51"/>
        <v>0</v>
      </c>
      <c r="DO105" s="716">
        <f t="shared" ca="1" si="51"/>
        <v>0</v>
      </c>
      <c r="DP105" s="716">
        <f t="shared" ca="1" si="51"/>
        <v>0</v>
      </c>
      <c r="DQ105" s="716">
        <f t="shared" ca="1" si="51"/>
        <v>0</v>
      </c>
      <c r="DR105" s="716">
        <f t="shared" ca="1" si="51"/>
        <v>0</v>
      </c>
      <c r="DS105" s="716">
        <f t="shared" ca="1" si="51"/>
        <v>0</v>
      </c>
      <c r="DT105" s="716">
        <f t="shared" ca="1" si="51"/>
        <v>0</v>
      </c>
      <c r="DU105" s="716">
        <f t="shared" ca="1" si="51"/>
        <v>0</v>
      </c>
      <c r="DV105" s="716">
        <f t="shared" ca="1" si="51"/>
        <v>0</v>
      </c>
      <c r="DW105" s="716">
        <f t="shared" ca="1" si="51"/>
        <v>0</v>
      </c>
      <c r="DX105" s="716">
        <f t="shared" ca="1" si="51"/>
        <v>0</v>
      </c>
      <c r="DY105" s="716">
        <f t="shared" ca="1" si="51"/>
        <v>0</v>
      </c>
      <c r="DZ105" s="716">
        <f t="shared" ca="1" si="51"/>
        <v>0</v>
      </c>
      <c r="EA105" s="716">
        <f t="shared" ca="1" si="51"/>
        <v>0</v>
      </c>
      <c r="EB105" s="716">
        <f t="shared" ca="1" si="51"/>
        <v>0</v>
      </c>
      <c r="EC105" s="716">
        <f t="shared" ca="1" si="51"/>
        <v>0</v>
      </c>
      <c r="ED105" s="716">
        <f t="shared" ca="1" si="51"/>
        <v>0</v>
      </c>
      <c r="EE105" s="716">
        <f t="shared" ca="1" si="51"/>
        <v>0</v>
      </c>
      <c r="EF105" s="716">
        <f t="shared" ca="1" si="51"/>
        <v>0</v>
      </c>
      <c r="EG105" s="716">
        <f t="shared" ca="1" si="51"/>
        <v>0</v>
      </c>
      <c r="EH105" s="716">
        <f t="shared" ca="1" si="51"/>
        <v>0</v>
      </c>
      <c r="EI105" s="716">
        <f t="shared" ca="1" si="51"/>
        <v>0</v>
      </c>
      <c r="EJ105" s="716">
        <f ca="1">COUNTA(INDIRECT(EJ104,1))</f>
        <v>1</v>
      </c>
    </row>
    <row r="106" spans="2:140" x14ac:dyDescent="0.25">
      <c r="AZ106" s="470" t="s">
        <v>6172</v>
      </c>
      <c r="DA106" s="470" t="s">
        <v>6172</v>
      </c>
      <c r="DB106" s="25">
        <f t="shared" ca="1" si="50"/>
        <v>0</v>
      </c>
      <c r="DC106" s="426" t="s">
        <v>6200</v>
      </c>
      <c r="DF106" s="597" t="s">
        <v>6133</v>
      </c>
      <c r="DG106" s="643" cm="1">
        <f t="array" aca="1" ref="DG106" ca="1">INDIRECT($DH$102&amp;DG104,1)</f>
        <v>0</v>
      </c>
      <c r="DH106" s="643" cm="1">
        <f t="array" aca="1" ref="DH106" ca="1">INDIRECT($DH$102&amp;DH104,1)</f>
        <v>0</v>
      </c>
      <c r="DI106" s="643" cm="1">
        <f t="array" aca="1" ref="DI106" ca="1">INDIRECT($DH$102&amp;DI104,1)</f>
        <v>0</v>
      </c>
      <c r="DJ106" s="643" cm="1">
        <f t="array" aca="1" ref="DJ106" ca="1">INDIRECT($DH$102&amp;DJ104,1)</f>
        <v>0</v>
      </c>
      <c r="DK106" s="664" cm="1">
        <f t="array" aca="1" ref="DK106" ca="1">INDIRECT($DH$102&amp;DK104,1)</f>
        <v>0</v>
      </c>
      <c r="DL106" s="643" cm="1">
        <f t="array" aca="1" ref="DL106" ca="1">INDIRECT($DH$102&amp;DL104,1)</f>
        <v>0</v>
      </c>
      <c r="DM106" s="643" cm="1">
        <f t="array" aca="1" ref="DM106" ca="1">INDIRECT($DH$102&amp;DM104,1)</f>
        <v>0</v>
      </c>
      <c r="DN106" s="643" cm="1">
        <f t="array" aca="1" ref="DN106" ca="1">INDIRECT($DH$102&amp;DN104,1)</f>
        <v>0</v>
      </c>
      <c r="DO106" s="643" cm="1">
        <f t="array" aca="1" ref="DO106" ca="1">INDIRECT($DH$102&amp;DO104,1)</f>
        <v>0</v>
      </c>
      <c r="DP106" s="643" cm="1">
        <f t="array" aca="1" ref="DP106" ca="1">INDIRECT($DH$102&amp;DP104,1)</f>
        <v>0</v>
      </c>
      <c r="DQ106" s="643" cm="1">
        <f t="array" aca="1" ref="DQ106" ca="1">INDIRECT($DH$102&amp;DQ104,1)</f>
        <v>0</v>
      </c>
      <c r="DR106" s="643" cm="1">
        <f t="array" aca="1" ref="DR106" ca="1">INDIRECT($DH$102&amp;DR104,1)</f>
        <v>0</v>
      </c>
      <c r="DS106" s="643" cm="1">
        <f t="array" aca="1" ref="DS106" ca="1">INDIRECT($DH$102&amp;DS104,1)</f>
        <v>0</v>
      </c>
      <c r="DT106" s="643" cm="1">
        <f t="array" aca="1" ref="DT106" ca="1">INDIRECT($DH$102&amp;DT104,1)</f>
        <v>0</v>
      </c>
      <c r="DU106" s="643" cm="1">
        <f t="array" aca="1" ref="DU106" ca="1">INDIRECT($DH$102&amp;DU104,1)</f>
        <v>0</v>
      </c>
      <c r="DV106" s="643" cm="1">
        <f t="array" aca="1" ref="DV106" ca="1">INDIRECT($DH$102&amp;DV104,1)</f>
        <v>0</v>
      </c>
      <c r="DW106" s="643" cm="1">
        <f t="array" aca="1" ref="DW106" ca="1">INDIRECT($DH$102&amp;DW104,1)</f>
        <v>0</v>
      </c>
      <c r="DX106" s="643" cm="1">
        <f t="array" aca="1" ref="DX106" ca="1">INDIRECT($DH$102&amp;DX104,1)</f>
        <v>0</v>
      </c>
      <c r="DY106" s="643" cm="1">
        <f t="array" aca="1" ref="DY106" ca="1">INDIRECT($DH$102&amp;DY104,1)</f>
        <v>0</v>
      </c>
      <c r="DZ106" s="643" cm="1">
        <f t="array" aca="1" ref="DZ106" ca="1">INDIRECT($DH$102&amp;DZ104,1)</f>
        <v>0</v>
      </c>
      <c r="EA106" s="643" cm="1">
        <f t="array" aca="1" ref="EA106" ca="1">INDIRECT($DH$102&amp;EA104,1)</f>
        <v>0</v>
      </c>
      <c r="EB106" s="643" cm="1">
        <f t="array" aca="1" ref="EB106" ca="1">INDIRECT($DH$102&amp;EB104,1)</f>
        <v>0</v>
      </c>
      <c r="EC106" s="643" cm="1">
        <f t="array" aca="1" ref="EC106" ca="1">INDIRECT($DH$102&amp;EC104,1)</f>
        <v>0</v>
      </c>
      <c r="ED106" s="713"/>
      <c r="EE106" s="713"/>
      <c r="EF106" s="713"/>
      <c r="EG106" s="643" cm="1">
        <f t="array" aca="1" ref="EG106" ca="1">INDIRECT($DH$102&amp;EG104,1)</f>
        <v>0</v>
      </c>
      <c r="EH106" s="643" cm="1">
        <f t="array" aca="1" ref="EH106" ca="1">INDIRECT($DH$102&amp;EH104,1)</f>
        <v>0</v>
      </c>
      <c r="EI106" s="643" cm="1">
        <f t="array" aca="1" ref="EI106" ca="1">INDIRECT($DH$102&amp;EI104,1)</f>
        <v>0</v>
      </c>
      <c r="EJ106" s="643" cm="1">
        <f t="array" aca="1" ref="EJ106" ca="1">INDIRECT(EJ104,1)</f>
        <v>0</v>
      </c>
    </row>
    <row r="107" spans="2:140" x14ac:dyDescent="0.25">
      <c r="AZ107" s="470" t="s">
        <v>6172</v>
      </c>
      <c r="DA107" s="470" t="s">
        <v>6172</v>
      </c>
      <c r="DB107" s="25">
        <f t="shared" ca="1" si="50"/>
        <v>0</v>
      </c>
      <c r="DC107" s="426" t="s">
        <v>6201</v>
      </c>
      <c r="DF107" s="597" t="s">
        <v>14</v>
      </c>
    </row>
    <row r="108" spans="2:140" x14ac:dyDescent="0.25">
      <c r="AZ108" s="470" t="s">
        <v>6172</v>
      </c>
      <c r="DA108" s="470" t="s">
        <v>6172</v>
      </c>
      <c r="DB108" s="25">
        <f t="shared" ca="1" si="50"/>
        <v>0</v>
      </c>
      <c r="DC108" s="426" t="s">
        <v>6202</v>
      </c>
    </row>
    <row r="109" spans="2:140" x14ac:dyDescent="0.25">
      <c r="AZ109" s="470" t="s">
        <v>6172</v>
      </c>
      <c r="DA109" s="470" t="s">
        <v>6172</v>
      </c>
      <c r="DB109" s="25">
        <f t="shared" ca="1" si="50"/>
        <v>0</v>
      </c>
      <c r="DC109" s="426" t="s">
        <v>6203</v>
      </c>
      <c r="DG109" s="516" t="s">
        <v>7677</v>
      </c>
    </row>
    <row r="110" spans="2:140" ht="15.75" thickBot="1" x14ac:dyDescent="0.3">
      <c r="B110" s="730" t="s">
        <v>6538</v>
      </c>
      <c r="C110" s="730"/>
      <c r="D110" s="730"/>
      <c r="E110" s="730"/>
      <c r="F110" s="730"/>
      <c r="G110" s="730"/>
      <c r="H110" s="730"/>
      <c r="I110" s="730"/>
      <c r="J110" s="730"/>
      <c r="K110" s="730"/>
      <c r="L110" s="730"/>
      <c r="M110" s="730"/>
      <c r="N110" s="730"/>
      <c r="O110" s="730"/>
      <c r="P110" s="730"/>
      <c r="Q110" s="730"/>
      <c r="R110" s="730"/>
      <c r="S110" s="730"/>
      <c r="T110" s="730"/>
      <c r="U110" s="730"/>
      <c r="V110" s="730"/>
      <c r="W110" s="730"/>
      <c r="X110" s="730"/>
      <c r="Y110" s="730"/>
      <c r="Z110" s="730"/>
      <c r="AA110" s="730"/>
      <c r="AB110" s="730"/>
      <c r="AC110" s="730"/>
      <c r="AD110" s="730"/>
      <c r="AE110" s="730"/>
      <c r="AF110" s="730"/>
      <c r="AG110" s="730"/>
      <c r="AH110" s="730"/>
      <c r="AI110" s="730"/>
      <c r="AJ110" s="730"/>
      <c r="AK110" s="730"/>
      <c r="AL110" s="730"/>
      <c r="AM110" s="730"/>
      <c r="AN110" s="730"/>
      <c r="AO110" s="730"/>
      <c r="AP110" s="730"/>
      <c r="AQ110" s="730"/>
      <c r="AZ110" s="470" t="s">
        <v>6172</v>
      </c>
      <c r="DA110" s="470" t="s">
        <v>6172</v>
      </c>
      <c r="DB110" s="25">
        <f t="shared" ca="1" si="50"/>
        <v>0</v>
      </c>
      <c r="DC110" s="426" t="s">
        <v>6394</v>
      </c>
      <c r="DG110" s="737" t="s">
        <v>7676</v>
      </c>
      <c r="DH110" s="737" t="s">
        <v>7271</v>
      </c>
    </row>
    <row r="111" spans="2:140" x14ac:dyDescent="0.25">
      <c r="AZ111" s="470" t="s">
        <v>6172</v>
      </c>
      <c r="DA111" s="470" t="s">
        <v>6172</v>
      </c>
      <c r="DB111" s="25">
        <f t="shared" ca="1" si="50"/>
        <v>0</v>
      </c>
      <c r="DC111" s="426" t="s">
        <v>6457</v>
      </c>
      <c r="DF111" s="597" t="s">
        <v>5778</v>
      </c>
      <c r="DG111" s="643" t="s">
        <v>1984</v>
      </c>
      <c r="DH111" s="643" t="s">
        <v>7270</v>
      </c>
    </row>
    <row r="112" spans="2:140" x14ac:dyDescent="0.25">
      <c r="E112" s="516" t="s">
        <v>7810</v>
      </c>
      <c r="AZ112" s="470" t="s">
        <v>6172</v>
      </c>
      <c r="DA112" s="470" t="s">
        <v>6172</v>
      </c>
      <c r="DB112" s="25">
        <f t="shared" ca="1" si="50"/>
        <v>0</v>
      </c>
      <c r="DC112" s="426" t="s">
        <v>6494</v>
      </c>
      <c r="DF112" s="597" t="s">
        <v>6222</v>
      </c>
      <c r="DG112" s="716">
        <f ca="1">COUNTA(INDIRECT($DH$102&amp;DG111,1))</f>
        <v>0</v>
      </c>
      <c r="DH112" s="716">
        <f ca="1">COUNTA(INDIRECT($DH$102&amp;DH111,1))</f>
        <v>0</v>
      </c>
    </row>
    <row r="113" spans="2:141" x14ac:dyDescent="0.25">
      <c r="B113" s="516" t="s">
        <v>6152</v>
      </c>
      <c r="C113" s="516" t="s">
        <v>7817</v>
      </c>
      <c r="D113" s="516" t="s">
        <v>7818</v>
      </c>
      <c r="E113" s="516" t="s">
        <v>7811</v>
      </c>
      <c r="AZ113" s="470" t="s">
        <v>6172</v>
      </c>
      <c r="DA113" s="470" t="s">
        <v>6172</v>
      </c>
      <c r="DB113" s="25">
        <f t="shared" ca="1" si="50"/>
        <v>0</v>
      </c>
      <c r="DC113" s="426" t="s">
        <v>6458</v>
      </c>
      <c r="DF113" s="597" t="s">
        <v>6133</v>
      </c>
      <c r="DG113" s="643" cm="1">
        <f t="array" aca="1" ref="DG113" ca="1">INDIRECT($DH$102&amp;DG111,1)</f>
        <v>0</v>
      </c>
      <c r="DH113" s="643" cm="1">
        <f t="array" aca="1" ref="DH113" ca="1">INDIRECT($DH$102&amp;DH111,1)</f>
        <v>0</v>
      </c>
    </row>
    <row r="114" spans="2:141" x14ac:dyDescent="0.25">
      <c r="B114" s="477" t="s">
        <v>116</v>
      </c>
      <c r="C114" s="842" t="s">
        <v>6025</v>
      </c>
      <c r="D114" s="843" t="s">
        <v>6025</v>
      </c>
      <c r="E114" s="753" t="s">
        <v>6025</v>
      </c>
      <c r="F114" s="753" t="s">
        <v>8218</v>
      </c>
      <c r="AZ114" s="470" t="s">
        <v>6172</v>
      </c>
      <c r="DA114" s="470" t="s">
        <v>6172</v>
      </c>
      <c r="DB114" s="25">
        <f t="shared" ca="1" si="50"/>
        <v>0</v>
      </c>
      <c r="DC114" s="426" t="s">
        <v>6459</v>
      </c>
      <c r="DF114" s="597" t="s">
        <v>14</v>
      </c>
    </row>
    <row r="115" spans="2:141" x14ac:dyDescent="0.25">
      <c r="B115" s="426" t="s">
        <v>5538</v>
      </c>
      <c r="C115" s="525" t="str">
        <f ca="1">Calculos!GS6</f>
        <v>-</v>
      </c>
      <c r="D115" s="525" t="str">
        <f ca="1">Calculos!GU6</f>
        <v>-</v>
      </c>
      <c r="E115" s="759">
        <f ca="1">IF(C115&lt;&gt;D115,1,0)</f>
        <v>0</v>
      </c>
      <c r="F115" s="802" t="str">
        <f>B115&amp;" - Classificação ajustada pela Empresa"</f>
        <v>Up&amp;Down(1) - Classificação ajustada pela Empresa</v>
      </c>
      <c r="AZ115" s="470" t="s">
        <v>6172</v>
      </c>
      <c r="DA115" s="470" t="s">
        <v>6172</v>
      </c>
      <c r="DB115" s="25">
        <f t="shared" ca="1" si="50"/>
        <v>0</v>
      </c>
      <c r="DC115" s="426" t="s">
        <v>6460</v>
      </c>
    </row>
    <row r="116" spans="2:141" x14ac:dyDescent="0.25">
      <c r="B116" s="426" t="s">
        <v>5539</v>
      </c>
      <c r="C116" s="525" t="str">
        <f ca="1">Calculos!GS7</f>
        <v>-</v>
      </c>
      <c r="D116" s="525" t="str">
        <f ca="1">Calculos!GU7</f>
        <v>-</v>
      </c>
      <c r="E116" s="759">
        <f t="shared" ref="E116:E134" ca="1" si="52">IF(C116&lt;&gt;D116,1,0)</f>
        <v>0</v>
      </c>
      <c r="F116" s="802" t="str">
        <f t="shared" ref="F116:F134" si="53">B116&amp;" - Classificação ajustada pela Empresa"</f>
        <v>Up&amp;Down(2) - Classificação ajustada pela Empresa</v>
      </c>
      <c r="AZ116" s="470" t="s">
        <v>6172</v>
      </c>
      <c r="DA116" s="470" t="s">
        <v>6172</v>
      </c>
      <c r="DB116" s="25">
        <f t="shared" ca="1" si="50"/>
        <v>0</v>
      </c>
      <c r="DC116" s="426" t="s">
        <v>6461</v>
      </c>
      <c r="DG116" s="516" t="s">
        <v>358</v>
      </c>
    </row>
    <row r="117" spans="2:141" x14ac:dyDescent="0.25">
      <c r="B117" s="426" t="s">
        <v>5540</v>
      </c>
      <c r="C117" s="525" t="str">
        <f ca="1">Calculos!GS8</f>
        <v>-</v>
      </c>
      <c r="D117" s="525" t="str">
        <f ca="1">Calculos!GU8</f>
        <v>-</v>
      </c>
      <c r="E117" s="759">
        <f t="shared" ca="1" si="52"/>
        <v>0</v>
      </c>
      <c r="F117" s="802" t="str">
        <f t="shared" si="53"/>
        <v>Dl50_Oral(1) - Classificação ajustada pela Empresa</v>
      </c>
      <c r="AZ117" s="470" t="s">
        <v>6172</v>
      </c>
      <c r="DA117" s="470" t="s">
        <v>6172</v>
      </c>
      <c r="DB117" s="25">
        <f t="shared" ca="1" si="50"/>
        <v>0</v>
      </c>
      <c r="DC117" s="426" t="s">
        <v>6462</v>
      </c>
      <c r="DG117" s="737" t="s">
        <v>6434</v>
      </c>
      <c r="DH117" s="738" t="s">
        <v>6435</v>
      </c>
      <c r="DI117" s="738" t="s">
        <v>6436</v>
      </c>
      <c r="DJ117" s="738" t="s">
        <v>6437</v>
      </c>
      <c r="DK117" s="738" t="s">
        <v>6438</v>
      </c>
      <c r="DL117" s="737" t="s">
        <v>6443</v>
      </c>
      <c r="DM117" s="737" t="s">
        <v>6444</v>
      </c>
      <c r="DN117" s="737" t="s">
        <v>6445</v>
      </c>
      <c r="DO117" s="737" t="s">
        <v>6446</v>
      </c>
      <c r="DP117" s="738" t="s">
        <v>6439</v>
      </c>
      <c r="DQ117" s="738" t="s">
        <v>6440</v>
      </c>
      <c r="DR117" s="738" t="s">
        <v>6441</v>
      </c>
      <c r="DS117" s="738" t="s">
        <v>6442</v>
      </c>
      <c r="DT117" s="737" t="s">
        <v>262</v>
      </c>
    </row>
    <row r="118" spans="2:141" x14ac:dyDescent="0.25">
      <c r="B118" s="426" t="s">
        <v>5541</v>
      </c>
      <c r="C118" s="525" t="str">
        <f ca="1">Calculos!GS9</f>
        <v>-</v>
      </c>
      <c r="D118" s="525" t="str">
        <f ca="1">Calculos!GU9</f>
        <v>-</v>
      </c>
      <c r="E118" s="759">
        <f t="shared" ca="1" si="52"/>
        <v>0</v>
      </c>
      <c r="F118" s="802" t="str">
        <f t="shared" si="53"/>
        <v>Dl50_Oral(2) - Classificação ajustada pela Empresa</v>
      </c>
      <c r="AZ118" s="470" t="s">
        <v>6172</v>
      </c>
      <c r="DA118" s="470" t="s">
        <v>6172</v>
      </c>
      <c r="DB118" s="25">
        <f t="shared" ca="1" si="50"/>
        <v>0</v>
      </c>
      <c r="DC118" s="426" t="s">
        <v>6463</v>
      </c>
      <c r="DF118" s="597" t="s">
        <v>5778</v>
      </c>
      <c r="DG118" s="743" t="s">
        <v>7704</v>
      </c>
      <c r="DH118" s="746" t="s">
        <v>7683</v>
      </c>
      <c r="DI118" s="746" t="s">
        <v>7684</v>
      </c>
      <c r="DJ118" s="746" t="s">
        <v>7685</v>
      </c>
      <c r="DK118" s="746" t="s">
        <v>7686</v>
      </c>
      <c r="DL118" s="743" t="s">
        <v>7705</v>
      </c>
      <c r="DM118" s="743" t="s">
        <v>1692</v>
      </c>
      <c r="DN118" s="743" t="s">
        <v>7706</v>
      </c>
      <c r="DO118" s="743" t="s">
        <v>7707</v>
      </c>
      <c r="DP118" s="746" t="s">
        <v>7687</v>
      </c>
      <c r="DQ118" s="746" t="s">
        <v>7688</v>
      </c>
      <c r="DR118" s="746" t="s">
        <v>7689</v>
      </c>
      <c r="DS118" s="746" t="s">
        <v>7690</v>
      </c>
      <c r="DT118" s="743" t="s">
        <v>7708</v>
      </c>
    </row>
    <row r="119" spans="2:141" x14ac:dyDescent="0.25">
      <c r="B119" s="426" t="s">
        <v>5542</v>
      </c>
      <c r="C119" s="525" t="str">
        <f ca="1">Calculos!GS10</f>
        <v>-</v>
      </c>
      <c r="D119" s="525" t="str">
        <f ca="1">Calculos!GU10</f>
        <v>-</v>
      </c>
      <c r="E119" s="759">
        <f t="shared" ca="1" si="52"/>
        <v>0</v>
      </c>
      <c r="F119" s="802" t="str">
        <f t="shared" si="53"/>
        <v>DL50_Cutanea(1) - Classificação ajustada pela Empresa</v>
      </c>
      <c r="AZ119" s="470" t="s">
        <v>6172</v>
      </c>
      <c r="DA119" s="470" t="s">
        <v>6172</v>
      </c>
      <c r="DB119" s="25">
        <f t="shared" ca="1" si="50"/>
        <v>0</v>
      </c>
      <c r="DC119" s="426" t="s">
        <v>6464</v>
      </c>
      <c r="DF119" s="597" t="s">
        <v>6222</v>
      </c>
      <c r="DG119" s="717">
        <f t="shared" ref="DG119:DT119" ca="1" si="54">COUNTA(INDIRECT($DH$102&amp;DG118,1))</f>
        <v>0</v>
      </c>
      <c r="DH119" s="717">
        <f t="shared" ca="1" si="54"/>
        <v>0</v>
      </c>
      <c r="DI119" s="717">
        <f t="shared" ca="1" si="54"/>
        <v>0</v>
      </c>
      <c r="DJ119" s="717">
        <f t="shared" ca="1" si="54"/>
        <v>0</v>
      </c>
      <c r="DK119" s="717">
        <f t="shared" ca="1" si="54"/>
        <v>0</v>
      </c>
      <c r="DL119" s="717">
        <f t="shared" ca="1" si="54"/>
        <v>0</v>
      </c>
      <c r="DM119" s="717">
        <f t="shared" ca="1" si="54"/>
        <v>0</v>
      </c>
      <c r="DN119" s="717">
        <f t="shared" ca="1" si="54"/>
        <v>0</v>
      </c>
      <c r="DO119" s="717">
        <f t="shared" ca="1" si="54"/>
        <v>0</v>
      </c>
      <c r="DP119" s="709">
        <f t="shared" ca="1" si="54"/>
        <v>0</v>
      </c>
      <c r="DQ119" s="709">
        <f t="shared" ca="1" si="54"/>
        <v>0</v>
      </c>
      <c r="DR119" s="709">
        <f t="shared" ca="1" si="54"/>
        <v>0</v>
      </c>
      <c r="DS119" s="709">
        <f t="shared" ca="1" si="54"/>
        <v>0</v>
      </c>
      <c r="DT119" s="717">
        <f t="shared" ca="1" si="54"/>
        <v>0</v>
      </c>
    </row>
    <row r="120" spans="2:141" ht="15.75" thickBot="1" x14ac:dyDescent="0.3">
      <c r="B120" s="426" t="s">
        <v>5543</v>
      </c>
      <c r="C120" s="525" t="str">
        <f ca="1">Calculos!GS11</f>
        <v>-</v>
      </c>
      <c r="D120" s="525" t="str">
        <f ca="1">Calculos!GU11</f>
        <v>-</v>
      </c>
      <c r="E120" s="759">
        <f t="shared" ca="1" si="52"/>
        <v>0</v>
      </c>
      <c r="F120" s="802" t="str">
        <f t="shared" si="53"/>
        <v>DL50_Cutanea(2) - Classificação ajustada pela Empresa</v>
      </c>
      <c r="AZ120" s="470" t="s">
        <v>6172</v>
      </c>
      <c r="BB120" s="730" t="s">
        <v>6072</v>
      </c>
      <c r="BC120" s="730"/>
      <c r="BD120" s="730"/>
      <c r="BE120" s="730"/>
      <c r="BF120" s="730"/>
      <c r="BG120" s="730"/>
      <c r="BH120" s="730"/>
      <c r="BI120" s="730"/>
      <c r="BJ120" s="730"/>
      <c r="BK120" s="730"/>
      <c r="BL120" s="730"/>
      <c r="BM120" s="730"/>
      <c r="BN120" s="730"/>
      <c r="BO120" s="730"/>
      <c r="BP120" s="730"/>
      <c r="BQ120" s="730"/>
      <c r="BR120" s="730"/>
      <c r="BS120" s="730"/>
      <c r="BT120" s="730"/>
      <c r="BU120" s="730"/>
      <c r="BV120" s="730"/>
      <c r="BW120" s="730"/>
      <c r="BX120" s="730"/>
      <c r="BY120" s="730"/>
      <c r="BZ120" s="730"/>
      <c r="CA120" s="730"/>
      <c r="CB120" s="730"/>
      <c r="CC120" s="730"/>
      <c r="CD120" s="730"/>
      <c r="CE120" s="730"/>
      <c r="CF120" s="730"/>
      <c r="CG120" s="730"/>
      <c r="CH120" s="730"/>
      <c r="CI120" s="730"/>
      <c r="DA120" s="470" t="s">
        <v>6172</v>
      </c>
      <c r="DB120" s="25">
        <f t="shared" ca="1" si="50"/>
        <v>0</v>
      </c>
      <c r="DC120" s="426" t="s">
        <v>6465</v>
      </c>
      <c r="DF120" s="597" t="s">
        <v>6133</v>
      </c>
      <c r="DG120" s="597" cm="1">
        <f t="array" aca="1" ref="DG120" ca="1">INDIRECT($DH$102&amp;DG118,1)</f>
        <v>0</v>
      </c>
      <c r="DH120" s="709"/>
      <c r="DI120" s="709"/>
      <c r="DJ120" s="709"/>
      <c r="DK120" s="709"/>
      <c r="DL120" s="597" cm="1">
        <f t="array" aca="1" ref="DL120" ca="1">INDIRECT($DH$102&amp;DL118,1)</f>
        <v>0</v>
      </c>
      <c r="DM120" s="597" cm="1">
        <f t="array" aca="1" ref="DM120" ca="1">INDIRECT($DH$102&amp;DM118,1)</f>
        <v>0</v>
      </c>
      <c r="DN120" s="597" cm="1">
        <f t="array" aca="1" ref="DN120" ca="1">INDIRECT($DH$102&amp;DN118,1)</f>
        <v>0</v>
      </c>
      <c r="DO120" s="597" cm="1">
        <f t="array" aca="1" ref="DO120" ca="1">INDIRECT($DH$102&amp;DO118,1)</f>
        <v>0</v>
      </c>
      <c r="DP120" s="709"/>
      <c r="DQ120" s="709"/>
      <c r="DR120" s="709"/>
      <c r="DS120" s="709"/>
      <c r="DT120" s="597" cm="1">
        <f t="array" aca="1" ref="DT120" ca="1">INDIRECT($DH$102&amp;DT118,1)</f>
        <v>0</v>
      </c>
    </row>
    <row r="121" spans="2:141" x14ac:dyDescent="0.25">
      <c r="B121" s="426" t="s">
        <v>5544</v>
      </c>
      <c r="C121" s="525" t="str">
        <f ca="1">Calculos!GS12</f>
        <v>-</v>
      </c>
      <c r="D121" s="525" t="str">
        <f ca="1">Calculos!GU12</f>
        <v>-</v>
      </c>
      <c r="E121" s="759">
        <f t="shared" ca="1" si="52"/>
        <v>0</v>
      </c>
      <c r="F121" s="802" t="str">
        <f t="shared" si="53"/>
        <v>CL50(1) - Classificação ajustada pela Empresa</v>
      </c>
      <c r="AZ121" s="470" t="s">
        <v>6172</v>
      </c>
      <c r="BB121" s="477" t="s">
        <v>8104</v>
      </c>
      <c r="BC121" s="477" t="s">
        <v>8294</v>
      </c>
      <c r="DA121" s="470" t="s">
        <v>6172</v>
      </c>
      <c r="DB121" s="25">
        <f t="shared" ca="1" si="50"/>
        <v>0</v>
      </c>
      <c r="DC121" s="426" t="s">
        <v>6466</v>
      </c>
      <c r="DF121" s="597" t="s">
        <v>14</v>
      </c>
    </row>
    <row r="122" spans="2:141" x14ac:dyDescent="0.25">
      <c r="B122" s="426" t="s">
        <v>5545</v>
      </c>
      <c r="C122" s="525" t="str">
        <f ca="1">Calculos!GS13</f>
        <v>-</v>
      </c>
      <c r="D122" s="525" t="str">
        <f ca="1">Calculos!GU13</f>
        <v>-</v>
      </c>
      <c r="E122" s="759">
        <f t="shared" ca="1" si="52"/>
        <v>0</v>
      </c>
      <c r="F122" s="802" t="str">
        <f t="shared" si="53"/>
        <v>CL50(2) - Classificação ajustada pela Empresa</v>
      </c>
      <c r="AZ122" s="470" t="s">
        <v>6172</v>
      </c>
      <c r="BB122" s="844">
        <f ca="1">IF(BH127="Sim",0,IF(BH126&lt;&gt;BJ126,1,0))</f>
        <v>0</v>
      </c>
      <c r="BC122" s="450" t="s">
        <v>6197</v>
      </c>
      <c r="DA122" s="470" t="s">
        <v>6172</v>
      </c>
      <c r="DB122" s="25">
        <f t="shared" ca="1" si="50"/>
        <v>0</v>
      </c>
      <c r="DC122" s="426" t="s">
        <v>6467</v>
      </c>
    </row>
    <row r="123" spans="2:141" x14ac:dyDescent="0.25">
      <c r="B123" s="426" t="s">
        <v>5546</v>
      </c>
      <c r="C123" s="525" t="str">
        <f ca="1">Calculos!GS14</f>
        <v>-</v>
      </c>
      <c r="D123" s="525" t="str">
        <f ca="1">Calculos!GU14</f>
        <v>-</v>
      </c>
      <c r="E123" s="759">
        <f t="shared" ca="1" si="52"/>
        <v>0</v>
      </c>
      <c r="F123" s="802" t="str">
        <f t="shared" si="53"/>
        <v>Irritacao_Ocular(1) - Classificação ajustada pela Empresa</v>
      </c>
      <c r="AZ123" s="470" t="s">
        <v>6172</v>
      </c>
      <c r="BB123" s="844">
        <f ca="1">IF(AND(BH127="Não",BI126=0),1,0)</f>
        <v>0</v>
      </c>
      <c r="BC123" s="450" t="s">
        <v>6274</v>
      </c>
      <c r="BH123" s="733" t="s">
        <v>7321</v>
      </c>
      <c r="BI123" s="797" t="s">
        <v>7379</v>
      </c>
      <c r="DA123" s="470" t="s">
        <v>6172</v>
      </c>
      <c r="DB123" s="25">
        <f ca="1">DH253</f>
        <v>0</v>
      </c>
      <c r="DC123" s="426" t="s">
        <v>6313</v>
      </c>
    </row>
    <row r="124" spans="2:141" x14ac:dyDescent="0.25">
      <c r="B124" s="426" t="s">
        <v>5547</v>
      </c>
      <c r="C124" s="525" t="str">
        <f ca="1">Calculos!GS15</f>
        <v>-</v>
      </c>
      <c r="D124" s="525" t="str">
        <f ca="1">Calculos!GU15</f>
        <v>-</v>
      </c>
      <c r="E124" s="759">
        <f t="shared" ca="1" si="52"/>
        <v>0</v>
      </c>
      <c r="F124" s="802" t="str">
        <f t="shared" si="53"/>
        <v>Irritacao_Ocular(2) - Classificação ajustada pela Empresa</v>
      </c>
      <c r="AZ124" s="470" t="s">
        <v>6172</v>
      </c>
      <c r="BB124" s="844">
        <f ca="1">IF(BH127="Sim",0,IF(BH126&lt;&gt;BK126,1,0))</f>
        <v>0</v>
      </c>
      <c r="BC124" s="450" t="s">
        <v>6198</v>
      </c>
      <c r="BH124" s="737" t="s">
        <v>5589</v>
      </c>
      <c r="BI124" s="737" t="s">
        <v>30</v>
      </c>
      <c r="BJ124" s="737" t="s">
        <v>6174</v>
      </c>
      <c r="BK124" s="737" t="s">
        <v>6173</v>
      </c>
      <c r="BL124" s="737" t="s">
        <v>6029</v>
      </c>
      <c r="BM124" s="737" t="s">
        <v>218</v>
      </c>
      <c r="BN124" s="737" t="s">
        <v>6183</v>
      </c>
      <c r="BO124" s="737" t="s">
        <v>6184</v>
      </c>
      <c r="BP124" s="737" t="s">
        <v>31</v>
      </c>
      <c r="BQ124" s="737" t="s">
        <v>5720</v>
      </c>
      <c r="BR124" s="737" t="s">
        <v>85</v>
      </c>
      <c r="BS124" s="737" t="s">
        <v>235</v>
      </c>
      <c r="BT124" s="838" t="s">
        <v>293</v>
      </c>
      <c r="BU124" s="838" t="s">
        <v>301</v>
      </c>
      <c r="BV124" s="838" t="s">
        <v>302</v>
      </c>
      <c r="BW124" s="589" t="s">
        <v>6242</v>
      </c>
      <c r="BX124" s="589" t="s">
        <v>143</v>
      </c>
      <c r="BY124" s="589" t="s">
        <v>6217</v>
      </c>
      <c r="BZ124" s="589" t="s">
        <v>278</v>
      </c>
      <c r="CA124" s="589" t="s">
        <v>279</v>
      </c>
      <c r="CB124" s="589" t="s">
        <v>6189</v>
      </c>
      <c r="CC124" s="824" t="s">
        <v>6185</v>
      </c>
      <c r="CD124" s="824" t="s">
        <v>6187</v>
      </c>
      <c r="CE124" s="824" t="s">
        <v>6188</v>
      </c>
      <c r="DA124" s="470" t="s">
        <v>6172</v>
      </c>
      <c r="DB124" s="25">
        <f ca="1">DH254</f>
        <v>0</v>
      </c>
      <c r="DC124" s="426" t="s">
        <v>6474</v>
      </c>
      <c r="DG124" s="516" t="s">
        <v>6447</v>
      </c>
    </row>
    <row r="125" spans="2:141" x14ac:dyDescent="0.25">
      <c r="B125" s="426" t="s">
        <v>5548</v>
      </c>
      <c r="C125" s="525" t="str">
        <f ca="1">Calculos!GS16</f>
        <v>-</v>
      </c>
      <c r="D125" s="525" t="str">
        <f ca="1">Calculos!GU16</f>
        <v>-</v>
      </c>
      <c r="E125" s="759">
        <f t="shared" ca="1" si="52"/>
        <v>0</v>
      </c>
      <c r="F125" s="802" t="str">
        <f t="shared" si="53"/>
        <v>Irritacao_Cutanea(1) - Classificação ajustada pela Empresa</v>
      </c>
      <c r="AZ125" s="470" t="s">
        <v>6172</v>
      </c>
      <c r="BB125" s="844">
        <f ca="1">IF(BH127="Sim",0,IF(BH126&lt;&gt;BL126,1,0))</f>
        <v>0</v>
      </c>
      <c r="BC125" s="450" t="s">
        <v>6199</v>
      </c>
      <c r="BG125" s="790" t="s">
        <v>5778</v>
      </c>
      <c r="BH125" s="761" t="s">
        <v>5873</v>
      </c>
      <c r="BI125" s="761" t="s">
        <v>5796</v>
      </c>
      <c r="BJ125" s="761" t="s">
        <v>7383</v>
      </c>
      <c r="BK125" s="761" t="s">
        <v>7339</v>
      </c>
      <c r="BL125" s="827" t="s">
        <v>5797</v>
      </c>
      <c r="BM125" s="827" t="s">
        <v>7384</v>
      </c>
      <c r="BN125" s="827" t="s">
        <v>7385</v>
      </c>
      <c r="BO125" s="845" t="s">
        <v>7386</v>
      </c>
      <c r="BP125" s="845" t="s">
        <v>7387</v>
      </c>
      <c r="BQ125" s="827" t="s">
        <v>7388</v>
      </c>
      <c r="BR125" s="827" t="s">
        <v>7389</v>
      </c>
      <c r="BS125" s="827" t="s">
        <v>7390</v>
      </c>
      <c r="BT125" s="846" t="s">
        <v>7380</v>
      </c>
      <c r="BU125" s="846" t="s">
        <v>7381</v>
      </c>
      <c r="BV125" s="846" t="s">
        <v>7382</v>
      </c>
      <c r="BW125" s="761" t="s">
        <v>7304</v>
      </c>
      <c r="BX125" s="761" t="s">
        <v>7391</v>
      </c>
      <c r="BY125" s="847" t="s">
        <v>7392</v>
      </c>
      <c r="BZ125" s="847" t="s">
        <v>7393</v>
      </c>
      <c r="CA125" s="847" t="s">
        <v>7394</v>
      </c>
      <c r="CB125" s="847" t="s">
        <v>7395</v>
      </c>
      <c r="CC125" s="827" t="s">
        <v>8334</v>
      </c>
      <c r="CD125" s="827" t="s">
        <v>6224</v>
      </c>
      <c r="CE125" s="827" t="s">
        <v>6225</v>
      </c>
      <c r="DA125" s="470" t="s">
        <v>6172</v>
      </c>
      <c r="DB125" s="25">
        <f ca="1">DH255</f>
        <v>0</v>
      </c>
      <c r="DC125" s="426" t="s">
        <v>6473</v>
      </c>
      <c r="DG125" s="737" t="s">
        <v>74</v>
      </c>
      <c r="DH125" s="738" t="s">
        <v>104</v>
      </c>
      <c r="DI125" s="738" t="s">
        <v>210</v>
      </c>
      <c r="DJ125" s="738" t="s">
        <v>38</v>
      </c>
      <c r="DK125" s="738" t="s">
        <v>211</v>
      </c>
      <c r="DL125" s="738" t="s">
        <v>39</v>
      </c>
      <c r="DM125" s="738" t="s">
        <v>195</v>
      </c>
      <c r="DN125" s="737" t="s">
        <v>105</v>
      </c>
      <c r="DO125" s="737" t="s">
        <v>6506</v>
      </c>
      <c r="DP125" s="737" t="s">
        <v>212</v>
      </c>
      <c r="DQ125" s="737" t="s">
        <v>259</v>
      </c>
      <c r="DR125" s="737" t="s">
        <v>216</v>
      </c>
      <c r="DS125" s="737" t="s">
        <v>213</v>
      </c>
      <c r="DT125" s="737" t="s">
        <v>214</v>
      </c>
      <c r="DU125" s="737" t="s">
        <v>5770</v>
      </c>
      <c r="DV125" s="737" t="s">
        <v>244</v>
      </c>
      <c r="DW125" s="737" t="s">
        <v>243</v>
      </c>
      <c r="DX125" s="737" t="s">
        <v>245</v>
      </c>
      <c r="DY125" s="737" t="s">
        <v>5771</v>
      </c>
      <c r="DZ125" s="737" t="s">
        <v>6449</v>
      </c>
      <c r="EA125" s="737" t="s">
        <v>6450</v>
      </c>
      <c r="EB125" s="737" t="s">
        <v>6451</v>
      </c>
      <c r="EC125" s="738" t="s">
        <v>6448</v>
      </c>
    </row>
    <row r="126" spans="2:141" x14ac:dyDescent="0.25">
      <c r="B126" s="426" t="s">
        <v>5549</v>
      </c>
      <c r="C126" s="525" t="str">
        <f ca="1">Calculos!GS17</f>
        <v>-</v>
      </c>
      <c r="D126" s="525" t="str">
        <f ca="1">Calculos!GU17</f>
        <v>-</v>
      </c>
      <c r="E126" s="759">
        <f t="shared" ca="1" si="52"/>
        <v>0</v>
      </c>
      <c r="F126" s="802" t="str">
        <f t="shared" si="53"/>
        <v>Irritacao_Cutanea(2) - Classificação ajustada pela Empresa</v>
      </c>
      <c r="AZ126" s="470" t="s">
        <v>6172</v>
      </c>
      <c r="BB126" s="844">
        <f ca="1">IF(BH127="Sim",0,IF(BH126&lt;&gt;BM126,1,0))</f>
        <v>0</v>
      </c>
      <c r="BC126" s="450" t="s">
        <v>6200</v>
      </c>
      <c r="BG126" s="790" t="s">
        <v>6222</v>
      </c>
      <c r="BH126" s="827">
        <f t="shared" ref="BH126:CB126" ca="1" si="55">COUNTA(INDIRECT($BI$123&amp;BH125,1))</f>
        <v>0</v>
      </c>
      <c r="BI126" s="827">
        <f t="shared" ca="1" si="55"/>
        <v>0</v>
      </c>
      <c r="BJ126" s="827">
        <f t="shared" ca="1" si="55"/>
        <v>0</v>
      </c>
      <c r="BK126" s="827">
        <f t="shared" ca="1" si="55"/>
        <v>0</v>
      </c>
      <c r="BL126" s="827">
        <f t="shared" ca="1" si="55"/>
        <v>0</v>
      </c>
      <c r="BM126" s="827">
        <f t="shared" ca="1" si="55"/>
        <v>0</v>
      </c>
      <c r="BN126" s="827">
        <f t="shared" ca="1" si="55"/>
        <v>0</v>
      </c>
      <c r="BO126" s="827">
        <f t="shared" ca="1" si="55"/>
        <v>0</v>
      </c>
      <c r="BP126" s="827">
        <f t="shared" ca="1" si="55"/>
        <v>0</v>
      </c>
      <c r="BQ126" s="827">
        <f t="shared" ca="1" si="55"/>
        <v>0</v>
      </c>
      <c r="BR126" s="827">
        <f t="shared" ca="1" si="55"/>
        <v>1</v>
      </c>
      <c r="BS126" s="827">
        <f t="shared" ca="1" si="55"/>
        <v>0</v>
      </c>
      <c r="BT126" s="827">
        <f t="shared" ca="1" si="55"/>
        <v>0</v>
      </c>
      <c r="BU126" s="827">
        <f t="shared" ca="1" si="55"/>
        <v>0</v>
      </c>
      <c r="BV126" s="827">
        <f t="shared" ca="1" si="55"/>
        <v>0</v>
      </c>
      <c r="BW126" s="827">
        <f t="shared" ca="1" si="55"/>
        <v>0</v>
      </c>
      <c r="BX126" s="827">
        <f t="shared" ca="1" si="55"/>
        <v>0</v>
      </c>
      <c r="BY126" s="827">
        <f t="shared" ca="1" si="55"/>
        <v>0</v>
      </c>
      <c r="BZ126" s="827">
        <f t="shared" ca="1" si="55"/>
        <v>0</v>
      </c>
      <c r="CA126" s="827">
        <f t="shared" ca="1" si="55"/>
        <v>0</v>
      </c>
      <c r="CB126" s="827">
        <f t="shared" ca="1" si="55"/>
        <v>0</v>
      </c>
      <c r="CC126" s="827"/>
      <c r="CD126" s="827">
        <f ca="1">COUNTA(INDIRECT(CD125,1))</f>
        <v>1</v>
      </c>
      <c r="CE126" s="827">
        <f ca="1">COUNTA(INDIRECT(CE125,1))</f>
        <v>1</v>
      </c>
      <c r="DA126" s="470" t="s">
        <v>6172</v>
      </c>
      <c r="DB126" s="25"/>
      <c r="DC126" s="426"/>
      <c r="DF126" s="597" t="s">
        <v>5778</v>
      </c>
      <c r="DG126" s="761" t="s">
        <v>7395</v>
      </c>
      <c r="DH126" s="846" t="s">
        <v>7691</v>
      </c>
      <c r="DI126" s="846" t="s">
        <v>7692</v>
      </c>
      <c r="DJ126" s="846" t="s">
        <v>7693</v>
      </c>
      <c r="DK126" s="846" t="s">
        <v>7694</v>
      </c>
      <c r="DL126" s="846" t="s">
        <v>7695</v>
      </c>
      <c r="DM126" s="846" t="s">
        <v>7696</v>
      </c>
      <c r="DN126" s="761" t="s">
        <v>7456</v>
      </c>
      <c r="DO126" s="761" t="s">
        <v>7549</v>
      </c>
      <c r="DP126" s="761" t="s">
        <v>7050</v>
      </c>
      <c r="DQ126" s="761" t="s">
        <v>7633</v>
      </c>
      <c r="DR126" s="761" t="s">
        <v>7709</v>
      </c>
      <c r="DS126" s="761" t="s">
        <v>7634</v>
      </c>
      <c r="DT126" s="761" t="s">
        <v>7710</v>
      </c>
      <c r="DU126" s="761" t="s">
        <v>7306</v>
      </c>
      <c r="DV126" s="761" t="s">
        <v>7711</v>
      </c>
      <c r="DW126" s="761" t="s">
        <v>7712</v>
      </c>
      <c r="DX126" s="761" t="s">
        <v>7713</v>
      </c>
      <c r="DY126" s="761" t="s">
        <v>7457</v>
      </c>
      <c r="DZ126" s="761" t="s">
        <v>7714</v>
      </c>
      <c r="EA126" s="761" t="s">
        <v>7715</v>
      </c>
      <c r="EB126" s="761" t="s">
        <v>7716</v>
      </c>
      <c r="EC126" s="846" t="s">
        <v>6455</v>
      </c>
    </row>
    <row r="127" spans="2:141" x14ac:dyDescent="0.25">
      <c r="B127" s="426" t="s">
        <v>5550</v>
      </c>
      <c r="C127" s="525" t="str">
        <f ca="1">Calculos!GS18</f>
        <v>-</v>
      </c>
      <c r="D127" s="525" t="str">
        <f ca="1">Calculos!GU18</f>
        <v>-</v>
      </c>
      <c r="E127" s="759">
        <f t="shared" ca="1" si="52"/>
        <v>0</v>
      </c>
      <c r="F127" s="802" t="str">
        <f t="shared" si="53"/>
        <v>LLNA(1) - Classificação ajustada pela Empresa</v>
      </c>
      <c r="AZ127" s="470" t="s">
        <v>6172</v>
      </c>
      <c r="BB127" s="844">
        <f ca="1">IF(BH127="Sim",0,IF(BH126&lt;&gt;BO126,1,0))</f>
        <v>0</v>
      </c>
      <c r="BC127" s="450" t="s">
        <v>6201</v>
      </c>
      <c r="BG127" s="790" t="s">
        <v>6133</v>
      </c>
      <c r="BH127" s="827" cm="1">
        <f t="array" aca="1" ref="BH127" ca="1">INDIRECT($BI$123&amp;BH125,1)</f>
        <v>0</v>
      </c>
      <c r="BI127" s="827" cm="1">
        <f t="array" aca="1" ref="BI127" ca="1">INDIRECT($BI$123&amp;BI125,1)</f>
        <v>0</v>
      </c>
      <c r="BJ127" s="827" cm="1">
        <f t="array" aca="1" ref="BJ127" ca="1">INDIRECT($BI$123&amp;BJ125,1)</f>
        <v>0</v>
      </c>
      <c r="BK127" s="827" cm="1">
        <f t="array" aca="1" ref="BK127" ca="1">INDIRECT($BI$123&amp;BK125,1)</f>
        <v>0</v>
      </c>
      <c r="BL127" s="827" cm="1">
        <f t="array" aca="1" ref="BL127" ca="1">INDIRECT($BI$123&amp;BL125,1)</f>
        <v>0</v>
      </c>
      <c r="BM127" s="827" cm="1">
        <f t="array" aca="1" ref="BM127" ca="1">INDIRECT($BI$123&amp;BM125,1)</f>
        <v>0</v>
      </c>
      <c r="BN127" s="827" cm="1">
        <f t="array" aca="1" ref="BN127" ca="1">INDIRECT($BI$123&amp;BN125,1)</f>
        <v>0</v>
      </c>
      <c r="BO127" s="827" cm="1">
        <f t="array" aca="1" ref="BO127" ca="1">INDIRECT($BI$123&amp;BO125,1)</f>
        <v>0</v>
      </c>
      <c r="BP127" s="827" cm="1">
        <f t="array" aca="1" ref="BP127" ca="1">INDIRECT($BI$123&amp;BP125,1)</f>
        <v>0</v>
      </c>
      <c r="BQ127" s="827" cm="1">
        <f t="array" aca="1" ref="BQ127" ca="1">INDIRECT($BI$123&amp;BQ125,1)</f>
        <v>0</v>
      </c>
      <c r="BR127" s="827" t="str" cm="1">
        <f t="array" aca="1" ref="BR127" ca="1">INDIRECT($BI$123&amp;BR125,1)</f>
        <v>Rattus norvegicus</v>
      </c>
      <c r="BS127" s="827" cm="1">
        <f t="array" aca="1" ref="BS127" ca="1">INDIRECT($BI$123&amp;BS125,1)</f>
        <v>0</v>
      </c>
      <c r="BT127" s="829"/>
      <c r="BU127" s="829"/>
      <c r="BV127" s="829"/>
      <c r="BW127" s="827" cm="1">
        <f t="array" aca="1" ref="BW127" ca="1">INDIRECT($BI$123&amp;BW125,1)</f>
        <v>0</v>
      </c>
      <c r="BX127" s="827" cm="1">
        <f t="array" aca="1" ref="BX127" ca="1">INDIRECT($BI$123&amp;BX125,1)</f>
        <v>0</v>
      </c>
      <c r="BY127" s="827" cm="1">
        <f t="array" aca="1" ref="BY127" ca="1">INDIRECT($BI$123&amp;BY125,1)</f>
        <v>0</v>
      </c>
      <c r="BZ127" s="827" cm="1">
        <f t="array" aca="1" ref="BZ127" ca="1">INDIRECT($BI$123&amp;BZ125,1)</f>
        <v>0</v>
      </c>
      <c r="CA127" s="827" cm="1">
        <f t="array" aca="1" ref="CA127" ca="1">INDIRECT($BI$123&amp;CA125,1)</f>
        <v>0</v>
      </c>
      <c r="CB127" s="827" cm="1">
        <f t="array" aca="1" ref="CB127" ca="1">INDIRECT($BI$123&amp;CB125,1)</f>
        <v>0</v>
      </c>
      <c r="CC127" s="793">
        <f ca="1">COUNTIF(INDIRECT(CC125),TRUE)</f>
        <v>0</v>
      </c>
      <c r="CD127" s="829" cm="1">
        <f t="array" aca="1" ref="CD127" ca="1">INDIRECT(CD125,1)</f>
        <v>0</v>
      </c>
      <c r="CE127" s="829" t="b" cm="1">
        <f t="array" aca="1" ref="CE127" ca="1">INDIRECT(CE125,1)</f>
        <v>0</v>
      </c>
      <c r="DA127" s="470" t="s">
        <v>6172</v>
      </c>
      <c r="DB127" s="25">
        <f ca="1">IF(AND(DG128="sim",DN127=0),1,0)</f>
        <v>0</v>
      </c>
      <c r="DC127" s="426" t="s">
        <v>6476</v>
      </c>
      <c r="DF127" s="597" t="s">
        <v>6222</v>
      </c>
      <c r="DG127" s="717">
        <f t="shared" ref="DG127:EC127" ca="1" si="56">COUNTA(INDIRECT($DH$102&amp;DG126,1))</f>
        <v>0</v>
      </c>
      <c r="DH127" s="717">
        <f t="shared" ca="1" si="56"/>
        <v>0</v>
      </c>
      <c r="DI127" s="717">
        <f t="shared" ca="1" si="56"/>
        <v>0</v>
      </c>
      <c r="DJ127" s="717">
        <f t="shared" ca="1" si="56"/>
        <v>0</v>
      </c>
      <c r="DK127" s="717">
        <f t="shared" ca="1" si="56"/>
        <v>0</v>
      </c>
      <c r="DL127" s="717">
        <f t="shared" ca="1" si="56"/>
        <v>0</v>
      </c>
      <c r="DM127" s="717">
        <f t="shared" ca="1" si="56"/>
        <v>0</v>
      </c>
      <c r="DN127" s="717">
        <f t="shared" ca="1" si="56"/>
        <v>0</v>
      </c>
      <c r="DO127" s="717">
        <f t="shared" ca="1" si="56"/>
        <v>0</v>
      </c>
      <c r="DP127" s="717">
        <f t="shared" ca="1" si="56"/>
        <v>0</v>
      </c>
      <c r="DQ127" s="717">
        <f t="shared" ca="1" si="56"/>
        <v>0</v>
      </c>
      <c r="DR127" s="717">
        <f t="shared" ca="1" si="56"/>
        <v>0</v>
      </c>
      <c r="DS127" s="717">
        <f t="shared" ca="1" si="56"/>
        <v>0</v>
      </c>
      <c r="DT127" s="717">
        <f t="shared" ca="1" si="56"/>
        <v>0</v>
      </c>
      <c r="DU127" s="717">
        <f t="shared" ca="1" si="56"/>
        <v>0</v>
      </c>
      <c r="DV127" s="717">
        <f t="shared" ca="1" si="56"/>
        <v>0</v>
      </c>
      <c r="DW127" s="717">
        <f t="shared" ca="1" si="56"/>
        <v>0</v>
      </c>
      <c r="DX127" s="717">
        <f t="shared" ca="1" si="56"/>
        <v>0</v>
      </c>
      <c r="DY127" s="717">
        <f t="shared" ca="1" si="56"/>
        <v>0</v>
      </c>
      <c r="DZ127" s="717">
        <f t="shared" ca="1" si="56"/>
        <v>0</v>
      </c>
      <c r="EA127" s="717">
        <f t="shared" ca="1" si="56"/>
        <v>0</v>
      </c>
      <c r="EB127" s="717">
        <f t="shared" ca="1" si="56"/>
        <v>0</v>
      </c>
      <c r="EC127" s="709">
        <f t="shared" ca="1" si="56"/>
        <v>1</v>
      </c>
    </row>
    <row r="128" spans="2:141" x14ac:dyDescent="0.25">
      <c r="B128" s="426" t="s">
        <v>5551</v>
      </c>
      <c r="C128" s="525" t="str">
        <f ca="1">Calculos!GS19</f>
        <v>-</v>
      </c>
      <c r="D128" s="525" t="str">
        <f ca="1">Calculos!GU19</f>
        <v>-</v>
      </c>
      <c r="E128" s="759">
        <f t="shared" ca="1" si="52"/>
        <v>0</v>
      </c>
      <c r="F128" s="802" t="str">
        <f t="shared" si="53"/>
        <v>LLNA(2) - Classificação ajustada pela Empresa</v>
      </c>
      <c r="AZ128" s="470" t="s">
        <v>6172</v>
      </c>
      <c r="BB128" s="844">
        <f ca="1">IF(BH127="Sim",0,IF(BH126&lt;&gt;BP126,1,0))</f>
        <v>0</v>
      </c>
      <c r="BC128" s="450" t="s">
        <v>6202</v>
      </c>
      <c r="BG128" s="790"/>
      <c r="BH128" s="643"/>
      <c r="BI128" s="643"/>
      <c r="BJ128" s="643"/>
      <c r="BK128" s="643"/>
      <c r="BL128" s="643"/>
      <c r="BM128" s="643"/>
      <c r="BN128" s="643"/>
      <c r="BO128" s="643"/>
      <c r="BP128" s="643"/>
      <c r="BQ128" s="643"/>
      <c r="BR128" s="643"/>
      <c r="BS128" s="643"/>
      <c r="BT128" s="643"/>
      <c r="BU128" s="643"/>
      <c r="BV128" s="643"/>
      <c r="BW128" s="643"/>
      <c r="BX128" s="643"/>
      <c r="BY128" s="643"/>
      <c r="BZ128" s="643"/>
      <c r="CA128" s="643"/>
      <c r="CB128" s="643"/>
      <c r="CC128" s="643"/>
      <c r="CD128" s="643"/>
      <c r="CE128" s="643"/>
      <c r="DA128" s="470" t="s">
        <v>6172</v>
      </c>
      <c r="DB128" s="25">
        <f ca="1">IF(AND(DG128="sim",DO127=0),1,0)</f>
        <v>0</v>
      </c>
      <c r="DC128" s="426" t="s">
        <v>6497</v>
      </c>
      <c r="DF128" s="597" t="s">
        <v>6133</v>
      </c>
      <c r="DG128" s="597" cm="1">
        <f t="array" aca="1" ref="DG128" ca="1">INDIRECT($DH$102&amp;DG126,1)</f>
        <v>0</v>
      </c>
      <c r="DH128" s="709"/>
      <c r="DI128" s="709"/>
      <c r="DJ128" s="709"/>
      <c r="DK128" s="709"/>
      <c r="DL128" s="709"/>
      <c r="DM128" s="709"/>
      <c r="DN128" s="597" cm="1">
        <f t="array" aca="1" ref="DN128" ca="1">INDIRECT($DH$102&amp;DN126,1)</f>
        <v>0</v>
      </c>
      <c r="DO128" s="597" cm="1">
        <f t="array" aca="1" ref="DO128" ca="1">INDIRECT($DH$102&amp;DO126,1)</f>
        <v>0</v>
      </c>
      <c r="DP128" s="597" cm="1">
        <f t="array" aca="1" ref="DP128" ca="1">IF(DN128="Não",DO128,INDIRECT($DH$102&amp;DP126,1))</f>
        <v>0</v>
      </c>
      <c r="DQ128" s="597" cm="1">
        <f t="array" aca="1" ref="DQ128" ca="1">INDIRECT($DH$102&amp;DQ126,1)</f>
        <v>0</v>
      </c>
      <c r="DR128" s="597" cm="1">
        <f t="array" aca="1" ref="DR128" ca="1">INDIRECT($DH$102&amp;DR126,1)</f>
        <v>0</v>
      </c>
      <c r="DS128" s="597" cm="1">
        <f t="array" aca="1" ref="DS128" ca="1">INDIRECT($DH$102&amp;DS126,1)</f>
        <v>0</v>
      </c>
      <c r="DT128" s="597" cm="1">
        <f t="array" aca="1" ref="DT128" ca="1">INDIRECT($DH$102&amp;DT126,1)</f>
        <v>0</v>
      </c>
      <c r="DU128" s="597" cm="1">
        <f t="array" aca="1" ref="DU128" ca="1">INDIRECT($DH$102&amp;DU126,1)</f>
        <v>0</v>
      </c>
      <c r="DV128" s="597" cm="1">
        <f t="array" aca="1" ref="DV128" ca="1">INDIRECT($DH$102&amp;DV126,1)</f>
        <v>0</v>
      </c>
      <c r="DW128" s="597" cm="1">
        <f t="array" aca="1" ref="DW128" ca="1">INDIRECT($DH$102&amp;DW126,1)</f>
        <v>0</v>
      </c>
      <c r="DX128" s="597" cm="1">
        <f t="array" aca="1" ref="DX128" ca="1">INDIRECT($DH$102&amp;DX126,1)</f>
        <v>0</v>
      </c>
      <c r="DY128" s="597" cm="1">
        <f t="array" aca="1" ref="DY128" ca="1">INDIRECT($DH$102&amp;DY126,1)</f>
        <v>0</v>
      </c>
      <c r="DZ128" s="597" cm="1">
        <f t="array" aca="1" ref="DZ128" ca="1">INDIRECT($DH$102&amp;DZ126,1)</f>
        <v>0</v>
      </c>
      <c r="EA128" s="597" cm="1">
        <f t="array" aca="1" ref="EA128" ca="1">INDIRECT($DH$102&amp;EA126,1)</f>
        <v>0</v>
      </c>
      <c r="EB128" s="597" cm="1">
        <f t="array" aca="1" ref="EB128" ca="1">INDIRECT($DH$102&amp;EB126,1)</f>
        <v>0</v>
      </c>
      <c r="EC128" s="709" t="b" cm="1">
        <f t="array" aca="1" ref="EC128" ca="1">INDIRECT(EC126,1)</f>
        <v>0</v>
      </c>
      <c r="EE128" s="2"/>
      <c r="EF128" s="2"/>
      <c r="EG128" s="2"/>
      <c r="EH128" s="2"/>
      <c r="EI128" s="2"/>
      <c r="EJ128" s="2"/>
      <c r="EK128" s="2"/>
    </row>
    <row r="129" spans="2:147" x14ac:dyDescent="0.25">
      <c r="B129" s="426" t="s">
        <v>5552</v>
      </c>
      <c r="C129" s="525" t="str">
        <f ca="1">Calculos!GS20</f>
        <v>-</v>
      </c>
      <c r="D129" s="525" t="str">
        <f ca="1">Calculos!GU20</f>
        <v>-</v>
      </c>
      <c r="E129" s="759">
        <f t="shared" ca="1" si="52"/>
        <v>0</v>
      </c>
      <c r="F129" s="802" t="str">
        <f t="shared" si="53"/>
        <v>Sensibilizacao(1) - Classificação ajustada pela Empresa</v>
      </c>
      <c r="AZ129" s="470" t="s">
        <v>6172</v>
      </c>
      <c r="BB129" s="844">
        <f ca="1">IF(BH127="Sim",0,IF(BH126&lt;&gt;BQ126,1,0))</f>
        <v>0</v>
      </c>
      <c r="BC129" s="450" t="s">
        <v>6203</v>
      </c>
      <c r="DA129" s="470" t="s">
        <v>6172</v>
      </c>
      <c r="DB129" s="25">
        <f ca="1">IF(AND(DN128="sim",DP127=0),1,0)</f>
        <v>0</v>
      </c>
      <c r="DC129" s="426" t="s">
        <v>6477</v>
      </c>
      <c r="DF129" s="597" t="s">
        <v>14</v>
      </c>
      <c r="DU129" s="2"/>
      <c r="DV129" s="2"/>
      <c r="DW129" s="2"/>
      <c r="DX129" s="2"/>
      <c r="DY129" s="2"/>
      <c r="DZ129" s="2"/>
      <c r="EA129" s="2"/>
      <c r="EB129" s="2"/>
      <c r="EC129" s="2"/>
      <c r="ED129" s="2"/>
      <c r="EE129" s="2"/>
      <c r="EF129" s="2"/>
      <c r="EG129" s="2"/>
      <c r="EH129" s="2"/>
      <c r="EI129" s="2"/>
      <c r="EJ129" s="2"/>
      <c r="EK129" s="2"/>
    </row>
    <row r="130" spans="2:147" x14ac:dyDescent="0.25">
      <c r="B130" s="426" t="s">
        <v>5553</v>
      </c>
      <c r="C130" s="525" t="str">
        <f ca="1">Calculos!GS21</f>
        <v>-</v>
      </c>
      <c r="D130" s="525" t="str">
        <f ca="1">Calculos!GU21</f>
        <v>-</v>
      </c>
      <c r="E130" s="759">
        <f t="shared" ca="1" si="52"/>
        <v>0</v>
      </c>
      <c r="F130" s="802" t="str">
        <f t="shared" si="53"/>
        <v>Sensibilizacao(2) - Classificação ajustada pela Empresa</v>
      </c>
      <c r="AZ130" s="470" t="s">
        <v>6172</v>
      </c>
      <c r="BB130" s="844">
        <f ca="1">IF(BH127="Sim",0,IF(AND(BH126=1,BR126=0),1,0))</f>
        <v>0</v>
      </c>
      <c r="BC130" s="450" t="s">
        <v>6204</v>
      </c>
      <c r="DA130" s="470" t="s">
        <v>6172</v>
      </c>
      <c r="DB130" s="25">
        <f ca="1">IF(AND(EC128=TRUE,DP127=0),1,0)</f>
        <v>0</v>
      </c>
      <c r="DC130" s="426" t="s">
        <v>6478</v>
      </c>
      <c r="DU130" s="2"/>
      <c r="DV130" s="2"/>
      <c r="DW130" s="2"/>
      <c r="DX130" s="2"/>
      <c r="DY130" s="2"/>
      <c r="DZ130" s="2"/>
      <c r="EA130" s="2"/>
      <c r="EB130" s="2"/>
      <c r="EC130" s="2"/>
      <c r="ED130" s="2"/>
      <c r="EE130" s="2"/>
      <c r="EF130" s="2"/>
      <c r="EG130" s="2"/>
      <c r="EH130" s="2"/>
      <c r="EI130" s="2"/>
      <c r="EJ130" s="2"/>
    </row>
    <row r="131" spans="2:147" x14ac:dyDescent="0.25">
      <c r="B131" s="426" t="s">
        <v>5554</v>
      </c>
      <c r="C131" s="525" t="str">
        <f ca="1">Calculos!GS22</f>
        <v>-</v>
      </c>
      <c r="D131" s="525" t="str">
        <f ca="1">Calculos!GU22</f>
        <v>-</v>
      </c>
      <c r="E131" s="759">
        <f t="shared" ca="1" si="52"/>
        <v>0</v>
      </c>
      <c r="F131" s="802" t="str">
        <f t="shared" si="53"/>
        <v>Ames(1) - Classificação ajustada pela Empresa</v>
      </c>
      <c r="AZ131" s="470" t="s">
        <v>6172</v>
      </c>
      <c r="BB131" s="844">
        <f ca="1">IF(BH127="Sim",0,IF(BJ134&gt;BK134,1,0))</f>
        <v>0</v>
      </c>
      <c r="BC131" s="450" t="s">
        <v>6220</v>
      </c>
      <c r="BH131" s="518" t="s">
        <v>298</v>
      </c>
      <c r="BI131" s="518" t="s">
        <v>284</v>
      </c>
      <c r="BJ131" s="518" t="s">
        <v>246</v>
      </c>
      <c r="BK131" s="518" t="s">
        <v>289</v>
      </c>
      <c r="BL131" s="518" t="s">
        <v>247</v>
      </c>
      <c r="BM131" s="518" t="s">
        <v>285</v>
      </c>
      <c r="BN131" s="518" t="s">
        <v>7998</v>
      </c>
      <c r="DA131" s="470" t="s">
        <v>6172</v>
      </c>
      <c r="DB131" s="25">
        <f ca="1">IF(AND(DQ128="não",DR127=0),1,0)</f>
        <v>0</v>
      </c>
      <c r="DC131" s="426" t="s">
        <v>6485</v>
      </c>
      <c r="DU131" s="2"/>
      <c r="DV131" s="2"/>
      <c r="DW131" s="2"/>
      <c r="DX131" s="2"/>
      <c r="DY131" s="2"/>
      <c r="DZ131" s="2"/>
      <c r="EA131" s="2"/>
      <c r="EB131" s="2"/>
      <c r="EC131" s="2"/>
      <c r="ED131" s="2"/>
      <c r="EE131" s="2"/>
      <c r="EF131" s="2"/>
      <c r="EG131" s="2"/>
      <c r="EH131" s="2"/>
      <c r="EI131" s="2"/>
      <c r="EJ131" s="2"/>
    </row>
    <row r="132" spans="2:147" x14ac:dyDescent="0.25">
      <c r="B132" s="426" t="s">
        <v>5555</v>
      </c>
      <c r="C132" s="525" t="str">
        <f ca="1">Calculos!GS23</f>
        <v>-</v>
      </c>
      <c r="D132" s="525" t="str">
        <f ca="1">Calculos!GU23</f>
        <v>-</v>
      </c>
      <c r="E132" s="759">
        <f t="shared" ca="1" si="52"/>
        <v>0</v>
      </c>
      <c r="F132" s="802" t="str">
        <f t="shared" si="53"/>
        <v>Ames(2) - Classificação ajustada pela Empresa</v>
      </c>
      <c r="AZ132" s="470" t="s">
        <v>6172</v>
      </c>
      <c r="BB132" s="844">
        <f ca="1">IF(BH127="Sim",0,IF(BL134&gt;BM134,1,0))</f>
        <v>0</v>
      </c>
      <c r="BC132" s="450" t="s">
        <v>6221</v>
      </c>
      <c r="BG132" s="790" t="s">
        <v>5778</v>
      </c>
      <c r="BH132" s="776" t="s">
        <v>7396</v>
      </c>
      <c r="BI132" s="848" t="s">
        <v>7397</v>
      </c>
      <c r="BJ132" s="849" t="s">
        <v>7398</v>
      </c>
      <c r="BK132" s="849" t="s">
        <v>7399</v>
      </c>
      <c r="BL132" s="849" t="s">
        <v>7400</v>
      </c>
      <c r="BM132" s="849" t="s">
        <v>7401</v>
      </c>
      <c r="BN132" s="850" t="s">
        <v>7540</v>
      </c>
      <c r="DA132" s="470" t="s">
        <v>6172</v>
      </c>
      <c r="DB132" s="25">
        <f ca="1">IF(AND(DQ128="Sim",DS127=0),1,0)</f>
        <v>0</v>
      </c>
      <c r="DC132" s="426" t="s">
        <v>6479</v>
      </c>
      <c r="DG132" s="516" t="s">
        <v>77</v>
      </c>
    </row>
    <row r="133" spans="2:147" x14ac:dyDescent="0.25">
      <c r="B133" s="426" t="s">
        <v>5556</v>
      </c>
      <c r="C133" s="525" t="str">
        <f ca="1">Calculos!GS24</f>
        <v>-</v>
      </c>
      <c r="D133" s="525" t="str">
        <f ca="1">Calculos!GU24</f>
        <v>-</v>
      </c>
      <c r="E133" s="759">
        <f t="shared" ca="1" si="52"/>
        <v>0</v>
      </c>
      <c r="F133" s="802" t="str">
        <f t="shared" si="53"/>
        <v>Micronucleo(1) - Classificação ajustada pela Empresa</v>
      </c>
      <c r="AZ133" s="470" t="s">
        <v>6172</v>
      </c>
      <c r="BB133" s="844">
        <f ca="1">IF(BH127="Sim",0,IF(AND(BH126&lt;&gt;0,CD127=0),1,0))</f>
        <v>0</v>
      </c>
      <c r="BC133" s="450" t="s">
        <v>6209</v>
      </c>
      <c r="BG133" s="790" t="s">
        <v>6222</v>
      </c>
      <c r="BH133" s="851">
        <f t="shared" ref="BH133:BM133" ca="1" si="57">COUNTA(INDIRECT($BI$123&amp;BH132,1))</f>
        <v>15</v>
      </c>
      <c r="BI133" s="851">
        <f t="shared" ca="1" si="57"/>
        <v>0</v>
      </c>
      <c r="BJ133" s="851">
        <f t="shared" ca="1" si="57"/>
        <v>0</v>
      </c>
      <c r="BK133" s="851">
        <f t="shared" ca="1" si="57"/>
        <v>0</v>
      </c>
      <c r="BL133" s="851">
        <f t="shared" ca="1" si="57"/>
        <v>0</v>
      </c>
      <c r="BM133" s="851">
        <f t="shared" ca="1" si="57"/>
        <v>0</v>
      </c>
      <c r="BN133" s="851">
        <f ca="1">COUNTA(INDIRECT($BI$123&amp;BN132,1))</f>
        <v>0</v>
      </c>
      <c r="DA133" s="470" t="s">
        <v>6172</v>
      </c>
      <c r="DB133" s="25">
        <f ca="1">IF(AND(DQ128="Sim",DT127=0),1,0)</f>
        <v>0</v>
      </c>
      <c r="DC133" s="426" t="s">
        <v>6480</v>
      </c>
      <c r="DG133" s="737" t="s">
        <v>168</v>
      </c>
      <c r="DH133" s="852"/>
      <c r="DI133" s="737" t="s">
        <v>6452</v>
      </c>
      <c r="DJ133" s="737" t="s">
        <v>6453</v>
      </c>
      <c r="DK133" s="853" t="s">
        <v>8627</v>
      </c>
      <c r="DL133" s="853" t="s">
        <v>8633</v>
      </c>
      <c r="DM133" s="853" t="s">
        <v>8114</v>
      </c>
      <c r="DN133" s="853" t="s">
        <v>8113</v>
      </c>
      <c r="DO133" s="737" t="s">
        <v>6454</v>
      </c>
    </row>
    <row r="134" spans="2:147" x14ac:dyDescent="0.25">
      <c r="B134" s="426" t="s">
        <v>5557</v>
      </c>
      <c r="C134" s="525" t="str">
        <f ca="1">Calculos!GS25</f>
        <v>-</v>
      </c>
      <c r="D134" s="525" t="str">
        <f ca="1">Calculos!GU25</f>
        <v>-</v>
      </c>
      <c r="E134" s="759">
        <f t="shared" ca="1" si="52"/>
        <v>0</v>
      </c>
      <c r="F134" s="802" t="str">
        <f t="shared" si="53"/>
        <v>Micronucleo(2) - Classificação ajustada pela Empresa</v>
      </c>
      <c r="AZ134" s="470" t="s">
        <v>6172</v>
      </c>
      <c r="BB134" s="844"/>
      <c r="BC134" s="750" t="s">
        <v>8297</v>
      </c>
      <c r="BG134" s="790" t="s">
        <v>6133</v>
      </c>
      <c r="BH134" s="535"/>
      <c r="BI134" s="535"/>
      <c r="BJ134" s="828">
        <f ca="1">COUNTIF(INDIRECT($BI$123&amp;BJ132,1),"&gt;0")</f>
        <v>0</v>
      </c>
      <c r="BK134" s="828">
        <f ca="1">COUNTIF(INDIRECT($BI$123&amp;BK132,1),"&gt;=0")</f>
        <v>0</v>
      </c>
      <c r="BL134" s="828">
        <f ca="1">COUNTIF(INDIRECT($BI$123&amp;BL132,1),"&gt;0")</f>
        <v>0</v>
      </c>
      <c r="BM134" s="828">
        <f ca="1">COUNTIF(INDIRECT($BI$123&amp;BM132,1),"&gt;=0")</f>
        <v>0</v>
      </c>
      <c r="BN134" s="535"/>
      <c r="DA134" s="470" t="s">
        <v>6172</v>
      </c>
      <c r="DB134" s="25">
        <f ca="1">IF(AND(DQ128="sim",DU127=0),1,0)</f>
        <v>0</v>
      </c>
      <c r="DC134" s="426" t="s">
        <v>6498</v>
      </c>
      <c r="DF134" s="597" t="s">
        <v>5778</v>
      </c>
      <c r="DG134" s="761" t="s">
        <v>7717</v>
      </c>
      <c r="DH134" s="854"/>
      <c r="DI134" s="761" t="s">
        <v>7643</v>
      </c>
      <c r="DJ134" s="761" t="s">
        <v>7644</v>
      </c>
      <c r="DK134" s="761" t="s">
        <v>7645</v>
      </c>
      <c r="DL134" s="761" t="s">
        <v>8625</v>
      </c>
      <c r="DM134" s="761" t="s">
        <v>7646</v>
      </c>
      <c r="DN134" s="761" t="s">
        <v>8233</v>
      </c>
      <c r="DO134" s="761" t="s">
        <v>7718</v>
      </c>
    </row>
    <row r="135" spans="2:147" x14ac:dyDescent="0.25">
      <c r="AZ135" s="470" t="s">
        <v>6172</v>
      </c>
      <c r="BB135" s="844">
        <f ca="1">IF(BH127="Sim",0,IF(BH126&lt;&gt;CB126,1,0))</f>
        <v>0</v>
      </c>
      <c r="BC135" s="450" t="s">
        <v>7852</v>
      </c>
      <c r="BG135" s="790"/>
      <c r="BH135" s="597"/>
      <c r="BI135" s="597"/>
      <c r="BJ135" s="597"/>
      <c r="BK135" s="597"/>
      <c r="BL135" s="597"/>
      <c r="BM135" s="597"/>
      <c r="BN135" s="597"/>
      <c r="DA135" s="470" t="s">
        <v>6172</v>
      </c>
      <c r="DB135" s="25">
        <f ca="1">IF(AND(DQ128="sim",DV127=0),1,0)</f>
        <v>0</v>
      </c>
      <c r="DC135" s="426" t="s">
        <v>6499</v>
      </c>
      <c r="DF135" s="597" t="s">
        <v>6222</v>
      </c>
      <c r="DG135" s="717">
        <f t="shared" ref="DG135:DK135" ca="1" si="58">COUNTA(INDIRECT($DH$102&amp;DG134,1))</f>
        <v>0</v>
      </c>
      <c r="DH135" s="855"/>
      <c r="DI135" s="717">
        <f t="shared" ca="1" si="58"/>
        <v>0</v>
      </c>
      <c r="DJ135" s="717">
        <f t="shared" ca="1" si="58"/>
        <v>0</v>
      </c>
      <c r="DK135" s="717">
        <f t="shared" ca="1" si="58"/>
        <v>0</v>
      </c>
      <c r="DL135" s="717">
        <f ca="1">COUNTA(INDIRECT($DH$102&amp;DL134,1))</f>
        <v>0</v>
      </c>
      <c r="DM135" s="717">
        <f ca="1">COUNTA(INDIRECT($DH$102&amp;DM134,1))</f>
        <v>0</v>
      </c>
      <c r="DN135" s="717">
        <f t="shared" ref="DN135" ca="1" si="59">COUNTA(INDIRECT($DH$102&amp;DN134,1))</f>
        <v>0</v>
      </c>
      <c r="DO135" s="717">
        <f ca="1">COUNTA(INDIRECT($DH$102&amp;DO134,1))</f>
        <v>0</v>
      </c>
    </row>
    <row r="136" spans="2:147" x14ac:dyDescent="0.25">
      <c r="AZ136" s="470" t="s">
        <v>6172</v>
      </c>
      <c r="BB136" s="25">
        <f ca="1">BB135</f>
        <v>0</v>
      </c>
      <c r="BC136" s="450" t="s">
        <v>6196</v>
      </c>
      <c r="DA136" s="470" t="s">
        <v>6172</v>
      </c>
      <c r="DB136" s="25">
        <f ca="1">IF(AND(DQ128="sim",DW127=0),1,0)</f>
        <v>0</v>
      </c>
      <c r="DC136" s="426" t="s">
        <v>6500</v>
      </c>
      <c r="DF136" s="597" t="s">
        <v>6133</v>
      </c>
      <c r="DG136" s="597" cm="1">
        <f t="array" aca="1" ref="DG136" ca="1">INDIRECT($DH$102&amp;DG134,1)</f>
        <v>0</v>
      </c>
      <c r="DH136" s="855"/>
      <c r="DI136" s="597" cm="1">
        <f t="array" aca="1" ref="DI136" ca="1">INDIRECT($DH$102&amp;DI134,1)</f>
        <v>0</v>
      </c>
      <c r="DJ136" s="597" cm="1">
        <f t="array" aca="1" ref="DJ136" ca="1">INDIRECT($DH$102&amp;DJ134,1)</f>
        <v>0</v>
      </c>
      <c r="DK136" s="597" cm="1">
        <f t="array" aca="1" ref="DK136" ca="1">INDIRECT($DH$102&amp;DK134,1)</f>
        <v>0</v>
      </c>
      <c r="DL136" s="597" cm="1">
        <f t="array" aca="1" ref="DL136" ca="1">INDIRECT($DH$102&amp;DL134,1)</f>
        <v>0</v>
      </c>
      <c r="DM136" s="597" cm="1">
        <f t="array" aca="1" ref="DM136" ca="1">INDIRECT($DH$102&amp;DM134,1)</f>
        <v>0</v>
      </c>
      <c r="DN136" s="597" cm="1">
        <f t="array" aca="1" ref="DN136" ca="1">INDIRECT($DH$102&amp;DN134,1)</f>
        <v>0</v>
      </c>
      <c r="DO136" s="597" cm="1">
        <f t="array" aca="1" ref="DO136" ca="1">INDIRECT($DH$102&amp;DO134,1)</f>
        <v>0</v>
      </c>
    </row>
    <row r="137" spans="2:147" x14ac:dyDescent="0.25">
      <c r="AZ137" s="470" t="s">
        <v>6172</v>
      </c>
      <c r="BB137" s="25">
        <f ca="1">IF(BI150=1,1,0)</f>
        <v>0</v>
      </c>
      <c r="BC137" s="450" t="s">
        <v>6226</v>
      </c>
      <c r="DA137" s="470" t="s">
        <v>6172</v>
      </c>
      <c r="DB137" s="25">
        <f ca="1">IF(AND(DQ128="sim",DX127=0),1,0)</f>
        <v>0</v>
      </c>
      <c r="DC137" s="426" t="s">
        <v>6501</v>
      </c>
      <c r="DF137" s="597" t="s">
        <v>14</v>
      </c>
      <c r="DH137" s="572"/>
      <c r="ED137" s="2"/>
    </row>
    <row r="138" spans="2:147" x14ac:dyDescent="0.25">
      <c r="AZ138" s="470" t="s">
        <v>6172</v>
      </c>
      <c r="BB138" s="25">
        <f ca="1">IF(BL127="Não",1,0)</f>
        <v>0</v>
      </c>
      <c r="BC138" s="450" t="s">
        <v>6071</v>
      </c>
      <c r="BG138" s="472"/>
      <c r="BH138" s="757" t="s">
        <v>7850</v>
      </c>
      <c r="BI138" s="525">
        <f ca="1">IF(BI126=1,1,0)</f>
        <v>0</v>
      </c>
      <c r="BJ138" s="20" t="s">
        <v>7851</v>
      </c>
      <c r="DA138" s="470" t="s">
        <v>6172</v>
      </c>
      <c r="DB138" s="25">
        <f ca="1">IF(AND(DQ128="sim",DN128="Sim",DY127=0),1,0)</f>
        <v>0</v>
      </c>
      <c r="DC138" s="426" t="s">
        <v>6481</v>
      </c>
      <c r="DG138" s="856" t="s">
        <v>5780</v>
      </c>
      <c r="DH138" s="856" t="s">
        <v>5735</v>
      </c>
      <c r="DI138" s="856" t="s">
        <v>5736</v>
      </c>
      <c r="DJ138" s="856" t="s">
        <v>5738</v>
      </c>
      <c r="DK138" s="856" t="s">
        <v>5740</v>
      </c>
      <c r="DL138" s="856" t="s">
        <v>6321</v>
      </c>
      <c r="DM138" s="856" t="s">
        <v>5740</v>
      </c>
      <c r="DN138" s="856" t="s">
        <v>6321</v>
      </c>
      <c r="DY138" s="516" t="s">
        <v>6222</v>
      </c>
      <c r="ED138" s="2"/>
    </row>
    <row r="139" spans="2:147" x14ac:dyDescent="0.25">
      <c r="AZ139" s="470" t="s">
        <v>6172</v>
      </c>
      <c r="BB139" s="25">
        <f ca="1">IF(BI151=1,1,0)</f>
        <v>0</v>
      </c>
      <c r="BC139" s="450" t="s">
        <v>6067</v>
      </c>
      <c r="BG139" s="472"/>
      <c r="BH139" s="757" t="s">
        <v>6211</v>
      </c>
      <c r="BI139" s="525">
        <f ca="1">BQ127</f>
        <v>0</v>
      </c>
      <c r="DA139" s="470" t="s">
        <v>6172</v>
      </c>
      <c r="DB139" s="25">
        <f ca="1">IF(AND(DQ128="sim",DN128="Sim",DZ127=0),1,0)</f>
        <v>0</v>
      </c>
      <c r="DC139" s="426" t="s">
        <v>6482</v>
      </c>
      <c r="DG139" s="857" t="s">
        <v>36</v>
      </c>
      <c r="DH139" s="857" t="s">
        <v>37</v>
      </c>
      <c r="DI139" s="857" t="s">
        <v>36</v>
      </c>
      <c r="DJ139" s="857" t="s">
        <v>37</v>
      </c>
      <c r="DK139" s="857" t="s">
        <v>36</v>
      </c>
      <c r="DL139" s="857" t="s">
        <v>37</v>
      </c>
      <c r="DM139" s="857" t="s">
        <v>36</v>
      </c>
      <c r="DN139" s="857" t="s">
        <v>37</v>
      </c>
      <c r="DU139" s="857" t="s">
        <v>36</v>
      </c>
      <c r="DV139" s="857" t="s">
        <v>37</v>
      </c>
      <c r="DY139" s="857" t="s">
        <v>36</v>
      </c>
      <c r="DZ139" s="857" t="s">
        <v>37</v>
      </c>
      <c r="EA139" s="857" t="s">
        <v>36</v>
      </c>
      <c r="EB139" s="857" t="s">
        <v>37</v>
      </c>
      <c r="EC139" s="857" t="s">
        <v>36</v>
      </c>
      <c r="ED139" s="857" t="s">
        <v>37</v>
      </c>
      <c r="EE139" s="857" t="s">
        <v>36</v>
      </c>
      <c r="EF139" s="857" t="s">
        <v>37</v>
      </c>
      <c r="EG139" s="857" t="s">
        <v>36</v>
      </c>
      <c r="EH139" s="857" t="s">
        <v>37</v>
      </c>
    </row>
    <row r="140" spans="2:147" x14ac:dyDescent="0.25">
      <c r="AZ140" s="470" t="s">
        <v>6172</v>
      </c>
      <c r="BB140" s="25">
        <f ca="1">IF(BI147=1,1,0)</f>
        <v>0</v>
      </c>
      <c r="BC140" s="450" t="s">
        <v>6210</v>
      </c>
      <c r="BG140" s="469"/>
      <c r="BH140" s="758" t="s">
        <v>6223</v>
      </c>
      <c r="BI140" s="759" t="str">
        <f ca="1">IF(BI139&lt;&gt;0,
IF(COUNTIF($M$65:$M$94,BI139)=0,1,0),"")</f>
        <v/>
      </c>
      <c r="BJ140" s="20" t="s">
        <v>6212</v>
      </c>
      <c r="DA140" s="470" t="s">
        <v>6172</v>
      </c>
      <c r="DB140" s="25">
        <f ca="1">IF(AND(DQ128="sim",DN128="Sim",EA127=0),1,0)</f>
        <v>0</v>
      </c>
      <c r="DC140" s="426" t="s">
        <v>6483</v>
      </c>
      <c r="DG140" s="858" t="s">
        <v>8375</v>
      </c>
      <c r="DH140" s="858" t="s">
        <v>8376</v>
      </c>
      <c r="DI140" s="858" t="s">
        <v>8377</v>
      </c>
      <c r="DJ140" s="858" t="s">
        <v>8378</v>
      </c>
      <c r="DK140" s="858" t="s">
        <v>8379</v>
      </c>
      <c r="DL140" s="858" t="s">
        <v>8380</v>
      </c>
      <c r="DM140" s="858" t="s">
        <v>194</v>
      </c>
      <c r="DN140" s="858" t="s">
        <v>194</v>
      </c>
      <c r="DU140" s="858" t="s">
        <v>6328</v>
      </c>
      <c r="DV140" s="858" t="s">
        <v>6328</v>
      </c>
      <c r="DY140" s="858" t="s">
        <v>8375</v>
      </c>
      <c r="DZ140" s="858" t="s">
        <v>8376</v>
      </c>
      <c r="EA140" s="858" t="s">
        <v>8377</v>
      </c>
      <c r="EB140" s="858" t="s">
        <v>8378</v>
      </c>
      <c r="EC140" s="858" t="s">
        <v>8379</v>
      </c>
      <c r="ED140" s="858" t="s">
        <v>8380</v>
      </c>
      <c r="EE140" s="858" t="s">
        <v>194</v>
      </c>
      <c r="EF140" s="858" t="s">
        <v>194</v>
      </c>
      <c r="EG140" s="858" t="s">
        <v>6328</v>
      </c>
      <c r="EH140" s="858" t="s">
        <v>6328</v>
      </c>
    </row>
    <row r="141" spans="2:147" x14ac:dyDescent="0.25">
      <c r="AZ141" s="470" t="s">
        <v>6172</v>
      </c>
      <c r="BB141" s="25">
        <f ca="1">IF(BI140=1,1,0)</f>
        <v>0</v>
      </c>
      <c r="BC141" s="450" t="s">
        <v>6243</v>
      </c>
      <c r="BG141" s="472"/>
      <c r="BH141" s="757" t="s">
        <v>6178</v>
      </c>
      <c r="BI141" s="525">
        <f ca="1">IFERROR(VLOOKUP(BI139,$M$65:$P$94,4,0),0)</f>
        <v>0</v>
      </c>
      <c r="DA141" s="470" t="s">
        <v>6172</v>
      </c>
      <c r="DB141" s="25">
        <f ca="1">IF(AND(DQ128="sim",DN128="Sim",EB127=0),1,0)</f>
        <v>0</v>
      </c>
      <c r="DC141" s="426" t="s">
        <v>6484</v>
      </c>
      <c r="DF141" s="506" t="s">
        <v>5774</v>
      </c>
      <c r="DG141" s="859" t="s">
        <v>7697</v>
      </c>
      <c r="DH141" s="859" t="s">
        <v>8388</v>
      </c>
      <c r="DI141" s="859" t="s">
        <v>8396</v>
      </c>
      <c r="DJ141" s="859" t="s">
        <v>8404</v>
      </c>
      <c r="DK141" s="859" t="s">
        <v>8412</v>
      </c>
      <c r="DL141" s="859" t="s">
        <v>8420</v>
      </c>
      <c r="DM141" s="859" t="s">
        <v>8428</v>
      </c>
      <c r="DN141" s="859" t="s">
        <v>8436</v>
      </c>
      <c r="DU141" s="860" t="s">
        <v>7733</v>
      </c>
      <c r="DV141" s="860" t="s">
        <v>7733</v>
      </c>
      <c r="DX141" s="506" t="s">
        <v>5774</v>
      </c>
      <c r="DY141" s="861">
        <f t="shared" ref="DY141:EF148" ca="1" si="60">COUNTA(INDIRECT($DJ$102&amp;DG141,1))</f>
        <v>0</v>
      </c>
      <c r="DZ141" s="861">
        <f t="shared" ca="1" si="60"/>
        <v>0</v>
      </c>
      <c r="EA141" s="861">
        <f t="shared" ca="1" si="60"/>
        <v>0</v>
      </c>
      <c r="EB141" s="861">
        <f t="shared" ca="1" si="60"/>
        <v>0</v>
      </c>
      <c r="EC141" s="861">
        <f t="shared" ca="1" si="60"/>
        <v>0</v>
      </c>
      <c r="ED141" s="861">
        <f t="shared" ca="1" si="60"/>
        <v>0</v>
      </c>
      <c r="EE141" s="861">
        <f t="shared" ca="1" si="60"/>
        <v>10</v>
      </c>
      <c r="EF141" s="861">
        <f t="shared" ca="1" si="60"/>
        <v>20</v>
      </c>
      <c r="EG141" s="861">
        <f t="shared" ref="EG141:EH148" ca="1" si="61">COUNTA(INDIRECT($DJ$102&amp;DU141,1))</f>
        <v>0</v>
      </c>
      <c r="EH141" s="861">
        <f t="shared" ca="1" si="61"/>
        <v>0</v>
      </c>
    </row>
    <row r="142" spans="2:147" x14ac:dyDescent="0.25">
      <c r="AZ142" s="470" t="s">
        <v>6172</v>
      </c>
      <c r="BB142" s="25">
        <f ca="1">IF(BI143=1,1,0)</f>
        <v>0</v>
      </c>
      <c r="BC142" s="450" t="s">
        <v>6068</v>
      </c>
      <c r="BG142" s="472"/>
      <c r="BH142" s="757" t="s">
        <v>6213</v>
      </c>
      <c r="BI142" s="525">
        <f ca="1">BP127</f>
        <v>0</v>
      </c>
      <c r="DA142" s="470" t="s">
        <v>6172</v>
      </c>
      <c r="DB142" s="25">
        <f ca="1">IF(AND(DI152=0,DG105&lt;&gt;DG135),1,0)</f>
        <v>0</v>
      </c>
      <c r="DC142" s="426" t="s">
        <v>6486</v>
      </c>
      <c r="DF142" s="506" t="s">
        <v>5775</v>
      </c>
      <c r="DG142" s="859" t="s">
        <v>8381</v>
      </c>
      <c r="DH142" s="859" t="s">
        <v>8389</v>
      </c>
      <c r="DI142" s="859" t="s">
        <v>8397</v>
      </c>
      <c r="DJ142" s="859" t="s">
        <v>8405</v>
      </c>
      <c r="DK142" s="859" t="s">
        <v>8413</v>
      </c>
      <c r="DL142" s="859" t="s">
        <v>8421</v>
      </c>
      <c r="DM142" s="859" t="s">
        <v>8429</v>
      </c>
      <c r="DN142" s="859" t="s">
        <v>8437</v>
      </c>
      <c r="DU142" s="860" t="s">
        <v>1538</v>
      </c>
      <c r="DV142" s="860" t="s">
        <v>1538</v>
      </c>
      <c r="DX142" s="506" t="s">
        <v>5775</v>
      </c>
      <c r="DY142" s="861">
        <f t="shared" ca="1" si="60"/>
        <v>0</v>
      </c>
      <c r="DZ142" s="861">
        <f t="shared" ca="1" si="60"/>
        <v>0</v>
      </c>
      <c r="EA142" s="861">
        <f t="shared" ca="1" si="60"/>
        <v>0</v>
      </c>
      <c r="EB142" s="861">
        <f t="shared" ca="1" si="60"/>
        <v>0</v>
      </c>
      <c r="EC142" s="861">
        <f t="shared" ca="1" si="60"/>
        <v>0</v>
      </c>
      <c r="ED142" s="861">
        <f t="shared" ca="1" si="60"/>
        <v>0</v>
      </c>
      <c r="EE142" s="861">
        <f t="shared" ca="1" si="60"/>
        <v>10</v>
      </c>
      <c r="EF142" s="861">
        <f t="shared" ca="1" si="60"/>
        <v>20</v>
      </c>
      <c r="EG142" s="861">
        <f t="shared" ca="1" si="61"/>
        <v>1</v>
      </c>
      <c r="EH142" s="861">
        <f t="shared" ca="1" si="61"/>
        <v>1</v>
      </c>
      <c r="EO142" s="2"/>
      <c r="EP142" s="2"/>
      <c r="EQ142" s="2"/>
    </row>
    <row r="143" spans="2:147" x14ac:dyDescent="0.25">
      <c r="AZ143" s="470" t="s">
        <v>6172</v>
      </c>
      <c r="BB143" s="25">
        <f ca="1">IF(BI144=1,1,0)</f>
        <v>0</v>
      </c>
      <c r="BC143" s="450" t="s">
        <v>6069</v>
      </c>
      <c r="BG143" s="469"/>
      <c r="BH143" s="758" t="s">
        <v>6179</v>
      </c>
      <c r="BI143" s="759">
        <f ca="1">IF(BI140&lt;&gt;1,
IF((BI141-BI142)&lt;0,1,0),
0)</f>
        <v>0</v>
      </c>
      <c r="BJ143" s="20" t="s">
        <v>6180</v>
      </c>
      <c r="DA143" s="470" t="s">
        <v>6172</v>
      </c>
      <c r="DB143" s="25">
        <f ca="1">IF(AND(DI183=1,DI135=0),1,0)</f>
        <v>0</v>
      </c>
      <c r="DC143" s="426" t="s">
        <v>6488</v>
      </c>
      <c r="DF143" s="506" t="s">
        <v>134</v>
      </c>
      <c r="DG143" s="859" t="s">
        <v>8382</v>
      </c>
      <c r="DH143" s="859" t="s">
        <v>8390</v>
      </c>
      <c r="DI143" s="859" t="s">
        <v>8398</v>
      </c>
      <c r="DJ143" s="859" t="s">
        <v>8406</v>
      </c>
      <c r="DK143" s="859" t="s">
        <v>8414</v>
      </c>
      <c r="DL143" s="859" t="s">
        <v>8422</v>
      </c>
      <c r="DM143" s="859" t="s">
        <v>8430</v>
      </c>
      <c r="DN143" s="859" t="s">
        <v>8438</v>
      </c>
      <c r="DU143" s="860" t="s">
        <v>7735</v>
      </c>
      <c r="DV143" s="860" t="s">
        <v>7735</v>
      </c>
      <c r="DX143" s="506" t="s">
        <v>134</v>
      </c>
      <c r="DY143" s="861">
        <f t="shared" ca="1" si="60"/>
        <v>0</v>
      </c>
      <c r="DZ143" s="861">
        <f t="shared" ca="1" si="60"/>
        <v>0</v>
      </c>
      <c r="EA143" s="861">
        <f t="shared" ca="1" si="60"/>
        <v>0</v>
      </c>
      <c r="EB143" s="861">
        <f t="shared" ca="1" si="60"/>
        <v>0</v>
      </c>
      <c r="EC143" s="861">
        <f t="shared" ca="1" si="60"/>
        <v>0</v>
      </c>
      <c r="ED143" s="861">
        <f t="shared" ca="1" si="60"/>
        <v>0</v>
      </c>
      <c r="EE143" s="861">
        <f t="shared" ca="1" si="60"/>
        <v>10</v>
      </c>
      <c r="EF143" s="861">
        <f t="shared" ca="1" si="60"/>
        <v>20</v>
      </c>
      <c r="EG143" s="861">
        <f t="shared" ca="1" si="61"/>
        <v>0</v>
      </c>
      <c r="EH143" s="861">
        <f t="shared" ca="1" si="61"/>
        <v>0</v>
      </c>
      <c r="EO143" s="2"/>
      <c r="EP143" s="2"/>
      <c r="EQ143" s="2"/>
    </row>
    <row r="144" spans="2:147" x14ac:dyDescent="0.25">
      <c r="AZ144" s="470" t="s">
        <v>6172</v>
      </c>
      <c r="BB144" s="525">
        <f ca="1">IF(CC127&gt;0,1,0)</f>
        <v>0</v>
      </c>
      <c r="BC144" s="426" t="s">
        <v>8330</v>
      </c>
      <c r="BG144" s="469"/>
      <c r="BH144" s="758" t="s">
        <v>7354</v>
      </c>
      <c r="BI144" s="759">
        <f ca="1">IF(COUNTIFS($M$65:$M$94,BI139,$AA$65:$AA$94,2)&gt;0,1,0)</f>
        <v>0</v>
      </c>
      <c r="BJ144" s="20" t="s">
        <v>7355</v>
      </c>
      <c r="DA144" s="470" t="s">
        <v>6172</v>
      </c>
      <c r="DB144" s="25">
        <f ca="1">IF(AND(DI152=0,DG105&lt;&gt;0,DJ135=0),1,0)</f>
        <v>0</v>
      </c>
      <c r="DC144" s="426" t="s">
        <v>6489</v>
      </c>
      <c r="DF144" s="506" t="s">
        <v>136</v>
      </c>
      <c r="DG144" s="859" t="s">
        <v>8383</v>
      </c>
      <c r="DH144" s="859" t="s">
        <v>8391</v>
      </c>
      <c r="DI144" s="859" t="s">
        <v>8399</v>
      </c>
      <c r="DJ144" s="859" t="s">
        <v>8407</v>
      </c>
      <c r="DK144" s="859" t="s">
        <v>8415</v>
      </c>
      <c r="DL144" s="859" t="s">
        <v>8423</v>
      </c>
      <c r="DM144" s="859" t="s">
        <v>8431</v>
      </c>
      <c r="DN144" s="859" t="s">
        <v>8439</v>
      </c>
      <c r="DU144" s="860" t="s">
        <v>7736</v>
      </c>
      <c r="DV144" s="860" t="s">
        <v>7736</v>
      </c>
      <c r="DX144" s="506" t="s">
        <v>136</v>
      </c>
      <c r="DY144" s="861">
        <f t="shared" ca="1" si="60"/>
        <v>0</v>
      </c>
      <c r="DZ144" s="861">
        <f t="shared" ca="1" si="60"/>
        <v>0</v>
      </c>
      <c r="EA144" s="861">
        <f t="shared" ca="1" si="60"/>
        <v>0</v>
      </c>
      <c r="EB144" s="861">
        <f t="shared" ca="1" si="60"/>
        <v>0</v>
      </c>
      <c r="EC144" s="861">
        <f t="shared" ca="1" si="60"/>
        <v>0</v>
      </c>
      <c r="ED144" s="861">
        <f t="shared" ca="1" si="60"/>
        <v>0</v>
      </c>
      <c r="EE144" s="861">
        <f t="shared" ca="1" si="60"/>
        <v>10</v>
      </c>
      <c r="EF144" s="861">
        <f t="shared" ca="1" si="60"/>
        <v>20</v>
      </c>
      <c r="EG144" s="861">
        <f t="shared" ca="1" si="61"/>
        <v>0</v>
      </c>
      <c r="EH144" s="861">
        <f t="shared" ca="1" si="61"/>
        <v>0</v>
      </c>
      <c r="EO144" s="2"/>
      <c r="EP144" s="2"/>
      <c r="EQ144" s="2"/>
    </row>
    <row r="145" spans="52:147" x14ac:dyDescent="0.25">
      <c r="AZ145" s="470" t="s">
        <v>6172</v>
      </c>
      <c r="BB145" s="426"/>
      <c r="BC145" s="752" t="s">
        <v>8297</v>
      </c>
      <c r="BG145" s="469"/>
      <c r="BH145" s="758" t="s">
        <v>7356</v>
      </c>
      <c r="BI145" s="767">
        <f ca="1">IF(BL127="Não",1,0)</f>
        <v>0</v>
      </c>
      <c r="BJ145" s="20" t="s">
        <v>7357</v>
      </c>
      <c r="DA145" s="470" t="s">
        <v>6172</v>
      </c>
      <c r="DB145" s="25">
        <f ca="1">IF(AND(DI152=0,DG105&lt;&gt;0,DK135=0),1,0)</f>
        <v>0</v>
      </c>
      <c r="DC145" s="426" t="s">
        <v>8628</v>
      </c>
      <c r="DF145" s="506" t="s">
        <v>137</v>
      </c>
      <c r="DG145" s="859" t="s">
        <v>8384</v>
      </c>
      <c r="DH145" s="859" t="s">
        <v>8392</v>
      </c>
      <c r="DI145" s="859" t="s">
        <v>8400</v>
      </c>
      <c r="DJ145" s="859" t="s">
        <v>8408</v>
      </c>
      <c r="DK145" s="859" t="s">
        <v>8416</v>
      </c>
      <c r="DL145" s="859" t="s">
        <v>8424</v>
      </c>
      <c r="DM145" s="859" t="s">
        <v>8432</v>
      </c>
      <c r="DN145" s="859" t="s">
        <v>8440</v>
      </c>
      <c r="DU145" s="860" t="s">
        <v>7737</v>
      </c>
      <c r="DV145" s="860" t="s">
        <v>7737</v>
      </c>
      <c r="DX145" s="506" t="s">
        <v>137</v>
      </c>
      <c r="DY145" s="861">
        <f t="shared" ca="1" si="60"/>
        <v>0</v>
      </c>
      <c r="DZ145" s="861">
        <f t="shared" ca="1" si="60"/>
        <v>0</v>
      </c>
      <c r="EA145" s="861">
        <f t="shared" ca="1" si="60"/>
        <v>0</v>
      </c>
      <c r="EB145" s="861">
        <f t="shared" ca="1" si="60"/>
        <v>0</v>
      </c>
      <c r="EC145" s="861">
        <f t="shared" ca="1" si="60"/>
        <v>0</v>
      </c>
      <c r="ED145" s="861">
        <f t="shared" ca="1" si="60"/>
        <v>0</v>
      </c>
      <c r="EE145" s="861">
        <f t="shared" ca="1" si="60"/>
        <v>10</v>
      </c>
      <c r="EF145" s="861">
        <f t="shared" ca="1" si="60"/>
        <v>20</v>
      </c>
      <c r="EG145" s="861">
        <f t="shared" ca="1" si="61"/>
        <v>0</v>
      </c>
      <c r="EH145" s="861">
        <f t="shared" ca="1" si="61"/>
        <v>0</v>
      </c>
      <c r="EO145" s="2"/>
      <c r="EP145" s="2"/>
      <c r="EQ145" s="2"/>
    </row>
    <row r="146" spans="52:147" x14ac:dyDescent="0.25">
      <c r="AZ146" s="470" t="s">
        <v>6172</v>
      </c>
      <c r="BB146" s="426"/>
      <c r="BC146" s="752" t="s">
        <v>8297</v>
      </c>
      <c r="BG146" s="469"/>
      <c r="DA146" s="470" t="s">
        <v>6172</v>
      </c>
      <c r="DB146" s="25">
        <f ca="1">IF(AND(DI152=0,DG105&lt;&gt;0,DL135=0),1,0)</f>
        <v>0</v>
      </c>
      <c r="DC146" s="426" t="s">
        <v>8630</v>
      </c>
      <c r="DF146" s="506" t="s">
        <v>138</v>
      </c>
      <c r="DG146" s="859" t="s">
        <v>8385</v>
      </c>
      <c r="DH146" s="859" t="s">
        <v>8393</v>
      </c>
      <c r="DI146" s="859" t="s">
        <v>8401</v>
      </c>
      <c r="DJ146" s="859" t="s">
        <v>8409</v>
      </c>
      <c r="DK146" s="859" t="s">
        <v>8417</v>
      </c>
      <c r="DL146" s="859" t="s">
        <v>8425</v>
      </c>
      <c r="DM146" s="859" t="s">
        <v>8433</v>
      </c>
      <c r="DN146" s="859" t="s">
        <v>8441</v>
      </c>
      <c r="DU146" s="860" t="s">
        <v>7738</v>
      </c>
      <c r="DV146" s="860" t="s">
        <v>7738</v>
      </c>
      <c r="DX146" s="506" t="s">
        <v>138</v>
      </c>
      <c r="DY146" s="861">
        <f t="shared" ca="1" si="60"/>
        <v>0</v>
      </c>
      <c r="DZ146" s="861">
        <f t="shared" ca="1" si="60"/>
        <v>0</v>
      </c>
      <c r="EA146" s="861">
        <f t="shared" ca="1" si="60"/>
        <v>0</v>
      </c>
      <c r="EB146" s="861">
        <f t="shared" ca="1" si="60"/>
        <v>0</v>
      </c>
      <c r="EC146" s="861">
        <f t="shared" ca="1" si="60"/>
        <v>0</v>
      </c>
      <c r="ED146" s="861">
        <f t="shared" ca="1" si="60"/>
        <v>0</v>
      </c>
      <c r="EE146" s="861">
        <f t="shared" ca="1" si="60"/>
        <v>10</v>
      </c>
      <c r="EF146" s="861">
        <f t="shared" ca="1" si="60"/>
        <v>20</v>
      </c>
      <c r="EG146" s="861">
        <f t="shared" ca="1" si="61"/>
        <v>0</v>
      </c>
      <c r="EH146" s="861">
        <f t="shared" ca="1" si="61"/>
        <v>0</v>
      </c>
    </row>
    <row r="147" spans="52:147" x14ac:dyDescent="0.25">
      <c r="AZ147" s="470" t="s">
        <v>6172</v>
      </c>
      <c r="BB147" s="426"/>
      <c r="BC147" s="752" t="s">
        <v>8297</v>
      </c>
      <c r="BG147" s="469"/>
      <c r="BH147" s="758" t="s">
        <v>7360</v>
      </c>
      <c r="BI147" s="767" t="str">
        <f ca="1">IF(CD127=2,
IF(COUNTIF(INDIRECT(BI123&amp;BV125,1),"sim")&gt;0,1,0),
"")</f>
        <v/>
      </c>
      <c r="BJ147" s="20" t="s">
        <v>7361</v>
      </c>
      <c r="DA147" s="470" t="s">
        <v>6172</v>
      </c>
      <c r="DB147" s="25">
        <f ca="1">IF(AND(DL136="Não",DM135=0),1,0)</f>
        <v>0</v>
      </c>
      <c r="DC147" s="426" t="s">
        <v>8629</v>
      </c>
      <c r="DF147" s="506" t="s">
        <v>7678</v>
      </c>
      <c r="DG147" s="859" t="s">
        <v>8386</v>
      </c>
      <c r="DH147" s="859" t="s">
        <v>8394</v>
      </c>
      <c r="DI147" s="859" t="s">
        <v>8402</v>
      </c>
      <c r="DJ147" s="859" t="s">
        <v>8410</v>
      </c>
      <c r="DK147" s="859" t="s">
        <v>8418</v>
      </c>
      <c r="DL147" s="859" t="s">
        <v>8426</v>
      </c>
      <c r="DM147" s="859" t="s">
        <v>8434</v>
      </c>
      <c r="DN147" s="859" t="s">
        <v>8442</v>
      </c>
      <c r="DU147" s="860" t="s">
        <v>7739</v>
      </c>
      <c r="DV147" s="860" t="s">
        <v>7739</v>
      </c>
      <c r="DX147" s="506" t="s">
        <v>7678</v>
      </c>
      <c r="DY147" s="861">
        <f t="shared" ca="1" si="60"/>
        <v>0</v>
      </c>
      <c r="DZ147" s="861">
        <f t="shared" ca="1" si="60"/>
        <v>0</v>
      </c>
      <c r="EA147" s="861">
        <f t="shared" ca="1" si="60"/>
        <v>0</v>
      </c>
      <c r="EB147" s="861">
        <f t="shared" ca="1" si="60"/>
        <v>0</v>
      </c>
      <c r="EC147" s="861">
        <f t="shared" ca="1" si="60"/>
        <v>0</v>
      </c>
      <c r="ED147" s="861">
        <f t="shared" ca="1" si="60"/>
        <v>0</v>
      </c>
      <c r="EE147" s="861">
        <f t="shared" ca="1" si="60"/>
        <v>10</v>
      </c>
      <c r="EF147" s="861">
        <f t="shared" ca="1" si="60"/>
        <v>20</v>
      </c>
      <c r="EG147" s="861">
        <f t="shared" ca="1" si="61"/>
        <v>0</v>
      </c>
      <c r="EH147" s="861">
        <f t="shared" ca="1" si="61"/>
        <v>0</v>
      </c>
    </row>
    <row r="148" spans="52:147" x14ac:dyDescent="0.25">
      <c r="AZ148" s="470" t="s">
        <v>6172</v>
      </c>
      <c r="BB148" s="25"/>
      <c r="BC148" s="752" t="s">
        <v>8297</v>
      </c>
      <c r="BG148" s="469"/>
      <c r="BH148" s="758" t="s">
        <v>7362</v>
      </c>
      <c r="BI148" s="767">
        <f ca="1">IF(COUNTIF(BY126:BZ126,1)=0,1,0)</f>
        <v>1</v>
      </c>
      <c r="BJ148" s="20" t="s">
        <v>7848</v>
      </c>
      <c r="DA148" s="470" t="s">
        <v>6172</v>
      </c>
      <c r="DB148" s="25">
        <f ca="1">IF(AND(DM136="Sim",DN135=0),1,0)</f>
        <v>0</v>
      </c>
      <c r="DC148" s="426" t="s">
        <v>8631</v>
      </c>
      <c r="DF148" s="506" t="s">
        <v>7679</v>
      </c>
      <c r="DG148" s="859" t="s">
        <v>8387</v>
      </c>
      <c r="DH148" s="859" t="s">
        <v>8395</v>
      </c>
      <c r="DI148" s="859" t="s">
        <v>8403</v>
      </c>
      <c r="DJ148" s="859" t="s">
        <v>8411</v>
      </c>
      <c r="DK148" s="859" t="s">
        <v>8419</v>
      </c>
      <c r="DL148" s="859" t="s">
        <v>8427</v>
      </c>
      <c r="DM148" s="859" t="s">
        <v>8435</v>
      </c>
      <c r="DN148" s="859" t="s">
        <v>8443</v>
      </c>
      <c r="DU148" s="860" t="s">
        <v>7740</v>
      </c>
      <c r="DV148" s="860" t="s">
        <v>7740</v>
      </c>
      <c r="DX148" s="506" t="s">
        <v>7679</v>
      </c>
      <c r="DY148" s="861">
        <f t="shared" ca="1" si="60"/>
        <v>0</v>
      </c>
      <c r="DZ148" s="861">
        <f t="shared" ca="1" si="60"/>
        <v>0</v>
      </c>
      <c r="EA148" s="861">
        <f t="shared" ca="1" si="60"/>
        <v>0</v>
      </c>
      <c r="EB148" s="861">
        <f t="shared" ca="1" si="60"/>
        <v>0</v>
      </c>
      <c r="EC148" s="861">
        <f t="shared" ca="1" si="60"/>
        <v>0</v>
      </c>
      <c r="ED148" s="861">
        <f t="shared" ca="1" si="60"/>
        <v>0</v>
      </c>
      <c r="EE148" s="861">
        <f t="shared" ca="1" si="60"/>
        <v>10</v>
      </c>
      <c r="EF148" s="861">
        <f t="shared" ca="1" si="60"/>
        <v>20</v>
      </c>
      <c r="EG148" s="861">
        <f t="shared" ca="1" si="61"/>
        <v>0</v>
      </c>
      <c r="EH148" s="861">
        <f t="shared" ca="1" si="61"/>
        <v>0</v>
      </c>
    </row>
    <row r="149" spans="52:147" x14ac:dyDescent="0.25">
      <c r="AZ149" s="470" t="s">
        <v>6172</v>
      </c>
      <c r="BB149" s="25"/>
      <c r="BC149" s="752" t="s">
        <v>8297</v>
      </c>
      <c r="BG149" s="469"/>
      <c r="BH149" s="758" t="s">
        <v>7363</v>
      </c>
      <c r="BI149" s="767">
        <f ca="1">IF(BW127="sim",1,0)</f>
        <v>0</v>
      </c>
      <c r="BJ149" s="20" t="s">
        <v>7364</v>
      </c>
      <c r="DA149" s="470" t="s">
        <v>6172</v>
      </c>
      <c r="DB149" s="25">
        <f ca="1">IF(AND(DI152=0,DG105&lt;&gt;0,DL135=0),1,0)</f>
        <v>0</v>
      </c>
      <c r="DC149" s="426" t="s">
        <v>6492</v>
      </c>
      <c r="DF149" s="597" t="s">
        <v>14</v>
      </c>
      <c r="DG149" s="535"/>
      <c r="DH149" s="535"/>
      <c r="DI149" s="535"/>
      <c r="DJ149" s="535"/>
      <c r="DK149" s="535"/>
      <c r="DL149" s="535"/>
      <c r="DM149" s="535"/>
      <c r="DN149" s="535"/>
      <c r="DU149" s="535"/>
      <c r="DV149" s="535"/>
    </row>
    <row r="150" spans="52:147" x14ac:dyDescent="0.25">
      <c r="AZ150" s="470" t="s">
        <v>6172</v>
      </c>
      <c r="BB150" s="25"/>
      <c r="BC150" s="752" t="s">
        <v>8297</v>
      </c>
      <c r="BG150" s="469"/>
      <c r="BH150" s="758" t="s">
        <v>6226</v>
      </c>
      <c r="BI150" s="767">
        <f ca="1">IF(BH127="Sim",1,0)</f>
        <v>0</v>
      </c>
      <c r="BJ150" s="20" t="s">
        <v>7853</v>
      </c>
      <c r="DA150" s="470" t="s">
        <v>6172</v>
      </c>
      <c r="DB150" s="25">
        <f ca="1">IF(AND(DI152=0,DG105&lt;&gt;0,DO135=0),1,0)</f>
        <v>0</v>
      </c>
      <c r="DC150" s="426" t="s">
        <v>6493</v>
      </c>
      <c r="DY150" s="472" t="s">
        <v>6152</v>
      </c>
    </row>
    <row r="151" spans="52:147" x14ac:dyDescent="0.25">
      <c r="AZ151" s="470" t="s">
        <v>6172</v>
      </c>
      <c r="BB151" s="25"/>
      <c r="BC151" s="752" t="s">
        <v>8297</v>
      </c>
      <c r="BG151" s="469"/>
      <c r="BH151" s="758" t="s">
        <v>6067</v>
      </c>
      <c r="BI151" s="767">
        <f ca="1">IF(CD127=2,1,0)</f>
        <v>0</v>
      </c>
      <c r="DA151" s="470" t="s">
        <v>6172</v>
      </c>
      <c r="DB151" s="25">
        <f ca="1">IF(AND(DI152=0,DG105&lt;&gt;0,EJ106=0),1,0)</f>
        <v>0</v>
      </c>
      <c r="DC151" s="426" t="s">
        <v>6209</v>
      </c>
      <c r="DY151" s="857" t="s">
        <v>36</v>
      </c>
      <c r="DZ151" s="857" t="s">
        <v>37</v>
      </c>
    </row>
    <row r="152" spans="52:147" x14ac:dyDescent="0.25">
      <c r="AZ152" s="470" t="s">
        <v>6172</v>
      </c>
      <c r="BB152" s="25"/>
      <c r="BC152" s="752" t="s">
        <v>8297</v>
      </c>
      <c r="DA152" s="470" t="s">
        <v>6172</v>
      </c>
      <c r="DB152" s="25">
        <f ca="1">IF(AND(DI152=0,DG105&lt;&gt;0,EI105=0),1,0)</f>
        <v>0</v>
      </c>
      <c r="DC152" s="426" t="s">
        <v>6196</v>
      </c>
      <c r="DG152" s="472"/>
      <c r="DH152" s="757" t="s">
        <v>7930</v>
      </c>
      <c r="DI152" s="525">
        <f ca="1">IF(COUNTIF(DK106,"*vitro*")&gt;0,1,0)</f>
        <v>0</v>
      </c>
      <c r="DL152" s="650"/>
      <c r="DY152" s="858" t="s">
        <v>6328</v>
      </c>
      <c r="DZ152" s="858" t="s">
        <v>6328</v>
      </c>
    </row>
    <row r="153" spans="52:147" x14ac:dyDescent="0.25">
      <c r="AZ153" s="470" t="s">
        <v>6172</v>
      </c>
      <c r="DA153" s="470" t="s">
        <v>6172</v>
      </c>
      <c r="DB153" s="25">
        <f ca="1">IF(AND(DI152=1,DH112=0),1,0)</f>
        <v>0</v>
      </c>
      <c r="DC153" s="426" t="s">
        <v>7276</v>
      </c>
      <c r="DG153" s="472"/>
      <c r="DH153" s="757" t="s">
        <v>6211</v>
      </c>
      <c r="DI153" s="525">
        <f ca="1">DO106</f>
        <v>0</v>
      </c>
      <c r="DO153" s="20" t="s">
        <v>7743</v>
      </c>
      <c r="DR153" s="2" t="s">
        <v>7744</v>
      </c>
      <c r="DU153" s="2" t="s">
        <v>7749</v>
      </c>
      <c r="DX153" s="506" t="s">
        <v>5774</v>
      </c>
      <c r="DY153" s="861" cm="1">
        <f t="array" aca="1" ref="DY153" ca="1">INDIRECT($DJ$102&amp;DU141)</f>
        <v>0</v>
      </c>
      <c r="DZ153" s="861" cm="1">
        <f t="array" aca="1" ref="DZ153" ca="1">INDIRECT($DJ$102&amp;DV141)</f>
        <v>0</v>
      </c>
    </row>
    <row r="154" spans="52:147" x14ac:dyDescent="0.25">
      <c r="AZ154" s="470" t="s">
        <v>6172</v>
      </c>
      <c r="BN154" s="794"/>
      <c r="BO154" s="844"/>
      <c r="DA154" s="470" t="s">
        <v>6172</v>
      </c>
      <c r="DB154" s="25">
        <f ca="1">DI159</f>
        <v>0</v>
      </c>
      <c r="DC154" s="426" t="s">
        <v>6071</v>
      </c>
      <c r="DG154" s="469"/>
      <c r="DH154" s="758" t="s">
        <v>6223</v>
      </c>
      <c r="DI154" s="759">
        <f ca="1">IF(DI153&lt;&gt;0,
IF(COUNTIF($M$65:$M$94,DI153)=0,1,0),0)</f>
        <v>0</v>
      </c>
      <c r="DK154" s="2"/>
      <c r="DL154" s="838" t="s">
        <v>6507</v>
      </c>
      <c r="DM154" s="838" t="s">
        <v>6508</v>
      </c>
      <c r="DO154" s="738" t="s">
        <v>6507</v>
      </c>
      <c r="DP154" s="738" t="s">
        <v>6508</v>
      </c>
      <c r="DQ154" s="472"/>
      <c r="DR154" s="738" t="s">
        <v>6507</v>
      </c>
      <c r="DS154" s="738" t="s">
        <v>6508</v>
      </c>
      <c r="DU154" s="738" t="s">
        <v>6507</v>
      </c>
      <c r="DV154" s="738" t="s">
        <v>6508</v>
      </c>
      <c r="DX154" s="506" t="s">
        <v>5775</v>
      </c>
      <c r="DY154" s="861" cm="1">
        <f t="array" aca="1" ref="DY154" ca="1">INDIRECT($DJ$102&amp;DU142)</f>
        <v>0</v>
      </c>
      <c r="DZ154" s="861" cm="1">
        <f t="array" aca="1" ref="DZ154" ca="1">INDIRECT($DJ$102&amp;DV142)</f>
        <v>0</v>
      </c>
    </row>
    <row r="155" spans="52:147" x14ac:dyDescent="0.25">
      <c r="AZ155" s="470" t="s">
        <v>6172</v>
      </c>
      <c r="DA155" s="470" t="s">
        <v>6172</v>
      </c>
      <c r="DB155" s="25">
        <f ca="1">DI173</f>
        <v>0</v>
      </c>
      <c r="DC155" s="426" t="s">
        <v>7931</v>
      </c>
      <c r="DD155" s="796" t="str">
        <f ca="1">IF(DI173=1,"Estudo: mín. "&amp;DI169&amp;"h máx. "&amp;DI170&amp;"h. Protocolo: mín. "&amp;DI171&amp;"h máx. "&amp;DI172&amp;"h","")</f>
        <v/>
      </c>
      <c r="DG155" s="472"/>
      <c r="DH155" s="757" t="s">
        <v>6178</v>
      </c>
      <c r="DI155" s="525">
        <f ca="1">IFERROR(VLOOKUP(DI153,$M$65:$P$94,4,0),0)</f>
        <v>0</v>
      </c>
      <c r="DK155" s="2" t="s">
        <v>6509</v>
      </c>
      <c r="DL155" s="827">
        <f ca="1">DO128</f>
        <v>0</v>
      </c>
      <c r="DM155" s="827">
        <f ca="1">DP128</f>
        <v>0</v>
      </c>
      <c r="DN155" s="2" t="s">
        <v>6509</v>
      </c>
      <c r="DO155" s="827">
        <f ca="1">IF(AND(DL155&gt;0,COUNTIF($DY$155:$DY$160,"&gt;0")&gt;0),
IF(COUNTIF($DY$155:$DY$160,DL155)=0,1,0),0)</f>
        <v>0</v>
      </c>
      <c r="DP155" s="827">
        <f ca="1">IF(AND(DM155&gt;0,COUNTIF($DZ$155:$DZ$160,"&gt;0")&gt;0),
IF(COUNTIF($DZ$155:$DZ$160,DM155)=0,1,0),0)</f>
        <v>0</v>
      </c>
      <c r="DQ155" s="2" t="s">
        <v>6514</v>
      </c>
      <c r="DR155" s="829">
        <f ca="1">DU128</f>
        <v>0</v>
      </c>
      <c r="DS155" s="829">
        <f ca="1">DY128</f>
        <v>0</v>
      </c>
      <c r="DU155" s="666"/>
      <c r="DV155" s="666"/>
      <c r="DX155" s="506" t="s">
        <v>134</v>
      </c>
      <c r="DY155" s="861" cm="1">
        <f t="array" aca="1" ref="DY155" ca="1">INDIRECT($DJ$102&amp;DU143)</f>
        <v>0</v>
      </c>
      <c r="DZ155" s="861" cm="1">
        <f t="array" aca="1" ref="DZ155" ca="1">INDIRECT($DJ$102&amp;DV143)</f>
        <v>0</v>
      </c>
    </row>
    <row r="156" spans="52:147" x14ac:dyDescent="0.25">
      <c r="AZ156" s="470" t="s">
        <v>6172</v>
      </c>
      <c r="DA156" s="470" t="s">
        <v>6172</v>
      </c>
      <c r="DB156" s="25">
        <f ca="1">IF(DZ106="sim",1,0)</f>
        <v>0</v>
      </c>
      <c r="DC156" s="426" t="s">
        <v>6113</v>
      </c>
      <c r="DG156" s="472"/>
      <c r="DH156" s="757" t="s">
        <v>6213</v>
      </c>
      <c r="DI156" s="525">
        <f ca="1">DN106</f>
        <v>0</v>
      </c>
      <c r="DK156" s="2" t="s">
        <v>6510</v>
      </c>
      <c r="DL156" s="827">
        <f ca="1">DV128</f>
        <v>0</v>
      </c>
      <c r="DM156" s="827">
        <f ca="1">DZ128</f>
        <v>0</v>
      </c>
      <c r="DN156" s="2" t="s">
        <v>6510</v>
      </c>
      <c r="DO156" s="827">
        <f ca="1">IF(AND(DL156&gt;0,COUNTIF($DY$155:$DY$160,"&gt;0")&gt;0),
IF(COUNTIF($DY$155:$DY$160,DL156)=0,1,0),0)</f>
        <v>0</v>
      </c>
      <c r="DP156" s="827">
        <f ca="1">IF(AND(DM156&gt;0,COUNTIF($DZ$155:$DZ$160,"&gt;0")&gt;0),
IF(COUNTIF($DZ$155:$DZ$160,DM156)=0,1,0),0)</f>
        <v>0</v>
      </c>
      <c r="DQ156" s="2" t="s">
        <v>6510</v>
      </c>
      <c r="DR156" s="827">
        <f t="shared" ref="DR156:DS158" ca="1" si="62">IFERROR(DL156/DR$155,0)</f>
        <v>0</v>
      </c>
      <c r="DS156" s="827">
        <f t="shared" ca="1" si="62"/>
        <v>0</v>
      </c>
      <c r="DT156" s="2">
        <v>0.25</v>
      </c>
      <c r="DU156" s="827">
        <f t="shared" ref="DU156:DV158" ca="1" si="63">IF(OR(DR$155=0,DR156=$DT156),0,1)</f>
        <v>0</v>
      </c>
      <c r="DV156" s="827">
        <f t="shared" ca="1" si="63"/>
        <v>0</v>
      </c>
      <c r="DX156" s="506" t="s">
        <v>136</v>
      </c>
      <c r="DY156" s="861" cm="1">
        <f t="array" aca="1" ref="DY156" ca="1">INDIRECT($DJ$102&amp;DU144)</f>
        <v>0</v>
      </c>
      <c r="DZ156" s="861" cm="1">
        <f t="array" aca="1" ref="DZ156" ca="1">INDIRECT($DJ$102&amp;DV144)</f>
        <v>0</v>
      </c>
    </row>
    <row r="157" spans="52:147" x14ac:dyDescent="0.25">
      <c r="AZ157" s="470" t="s">
        <v>6172</v>
      </c>
      <c r="DA157" s="470" t="s">
        <v>6172</v>
      </c>
      <c r="DB157" s="25"/>
      <c r="DC157" s="426"/>
      <c r="DG157" s="469"/>
      <c r="DH157" s="758" t="s">
        <v>6179</v>
      </c>
      <c r="DI157" s="759">
        <f ca="1">IF(DI154&lt;&gt;1,
IF((DI155-DI156)&lt;0,1,0),
0)</f>
        <v>0</v>
      </c>
      <c r="DK157" s="2" t="s">
        <v>6511</v>
      </c>
      <c r="DL157" s="827">
        <f ca="1">DW128</f>
        <v>0</v>
      </c>
      <c r="DM157" s="827">
        <f ca="1">EA128</f>
        <v>0</v>
      </c>
      <c r="DN157" s="2" t="s">
        <v>6511</v>
      </c>
      <c r="DO157" s="827">
        <f ca="1">IF(AND(DL157&gt;0,COUNTIF($DY$155:$DY$160,"&gt;0")&gt;0),
IF(COUNTIF($DY$155:$DY$160,DL157)=0,1,0),0)</f>
        <v>0</v>
      </c>
      <c r="DP157" s="827">
        <f ca="1">IF(AND(DM157&gt;0,COUNTIF($DZ$155:$DZ$160,"&gt;0")&gt;0),
IF(COUNTIF($DZ$155:$DZ$160,DM157)=0,1,0),0)</f>
        <v>0</v>
      </c>
      <c r="DQ157" s="2" t="s">
        <v>6511</v>
      </c>
      <c r="DR157" s="827">
        <f t="shared" ca="1" si="62"/>
        <v>0</v>
      </c>
      <c r="DS157" s="827">
        <f t="shared" ca="1" si="62"/>
        <v>0</v>
      </c>
      <c r="DT157" s="2">
        <v>0.5</v>
      </c>
      <c r="DU157" s="827">
        <f t="shared" ca="1" si="63"/>
        <v>0</v>
      </c>
      <c r="DV157" s="827">
        <f t="shared" ca="1" si="63"/>
        <v>0</v>
      </c>
      <c r="DX157" s="506" t="s">
        <v>137</v>
      </c>
      <c r="DY157" s="861" cm="1">
        <f t="array" aca="1" ref="DY157" ca="1">INDIRECT($DJ$102&amp;DU145)</f>
        <v>0</v>
      </c>
      <c r="DZ157" s="861" cm="1">
        <f t="array" aca="1" ref="DZ157" ca="1">INDIRECT($DJ$102&amp;DV145)</f>
        <v>0</v>
      </c>
    </row>
    <row r="158" spans="52:147" x14ac:dyDescent="0.25">
      <c r="AZ158" s="470" t="s">
        <v>6172</v>
      </c>
      <c r="DA158" s="470" t="s">
        <v>6172</v>
      </c>
      <c r="DB158" s="25">
        <f ca="1">IF(AND(DG128="Não",DI205=1),1,0)</f>
        <v>0</v>
      </c>
      <c r="DC158" s="426" t="s">
        <v>7932</v>
      </c>
      <c r="DG158" s="469"/>
      <c r="DH158" s="758" t="s">
        <v>7354</v>
      </c>
      <c r="DI158" s="759">
        <f ca="1">IF(COUNTIFS($M$65:$M$94,DI153,$AA$65:$AA$94,2)&gt;0,1,0)</f>
        <v>0</v>
      </c>
      <c r="DK158" s="2" t="s">
        <v>6512</v>
      </c>
      <c r="DL158" s="827">
        <f ca="1">DX128</f>
        <v>0</v>
      </c>
      <c r="DM158" s="827">
        <f ca="1">EB128</f>
        <v>0</v>
      </c>
      <c r="DN158" s="2" t="s">
        <v>6512</v>
      </c>
      <c r="DO158" s="827">
        <f ca="1">IF(AND(DL158&gt;0,COUNTIF($DY$155:$DY$160,"&gt;0")&gt;0),
IF(COUNTIF($DY$155:$DY$160,DL158)=0,1,0),0)</f>
        <v>0</v>
      </c>
      <c r="DP158" s="827">
        <f ca="1">IF(AND(DM158&gt;0,COUNTIF($DZ$155:$DZ$160,"&gt;0")&gt;0),
IF(COUNTIF($DZ$155:$DZ$160,DM158)=0,1,0),0)</f>
        <v>0</v>
      </c>
      <c r="DQ158" s="2" t="s">
        <v>6512</v>
      </c>
      <c r="DR158" s="827">
        <f t="shared" ca="1" si="62"/>
        <v>0</v>
      </c>
      <c r="DS158" s="827">
        <f t="shared" ca="1" si="62"/>
        <v>0</v>
      </c>
      <c r="DT158" s="2">
        <v>0.8</v>
      </c>
      <c r="DU158" s="827">
        <f t="shared" ca="1" si="63"/>
        <v>0</v>
      </c>
      <c r="DV158" s="827">
        <f t="shared" ca="1" si="63"/>
        <v>0</v>
      </c>
      <c r="DX158" s="506" t="s">
        <v>138</v>
      </c>
      <c r="DY158" s="861" cm="1">
        <f t="array" aca="1" ref="DY158" ca="1">INDIRECT($DJ$102&amp;DU146)</f>
        <v>0</v>
      </c>
      <c r="DZ158" s="861" cm="1">
        <f t="array" aca="1" ref="DZ158" ca="1">INDIRECT($DJ$102&amp;DV146)</f>
        <v>0</v>
      </c>
    </row>
    <row r="159" spans="52:147" x14ac:dyDescent="0.25">
      <c r="AZ159" s="470" t="s">
        <v>6172</v>
      </c>
      <c r="DA159" s="470" t="s">
        <v>6172</v>
      </c>
      <c r="DB159" s="25">
        <f ca="1">IF(AND(EC128=TRUE,DQ128="Não"),1,0)</f>
        <v>0</v>
      </c>
      <c r="DC159" s="426" t="s">
        <v>7933</v>
      </c>
      <c r="DG159" s="469"/>
      <c r="DH159" s="758" t="s">
        <v>7356</v>
      </c>
      <c r="DI159" s="767">
        <f ca="1">IF(DJ106="Não",1,0)</f>
        <v>0</v>
      </c>
      <c r="DX159" s="506" t="s">
        <v>7678</v>
      </c>
      <c r="DY159" s="861" cm="1">
        <f t="array" aca="1" ref="DY159" ca="1">INDIRECT($DJ$102&amp;DU147)</f>
        <v>0</v>
      </c>
      <c r="DZ159" s="861" cm="1">
        <f t="array" aca="1" ref="DZ159" ca="1">INDIRECT($DJ$102&amp;DV147)</f>
        <v>0</v>
      </c>
    </row>
    <row r="160" spans="52:147" ht="15.75" thickBot="1" x14ac:dyDescent="0.3">
      <c r="AZ160" s="470" t="s">
        <v>6172</v>
      </c>
      <c r="BB160" s="862" t="s">
        <v>6074</v>
      </c>
      <c r="BC160" s="862"/>
      <c r="BD160" s="730"/>
      <c r="BE160" s="730"/>
      <c r="BF160" s="730"/>
      <c r="BG160" s="730"/>
      <c r="BH160" s="730"/>
      <c r="BI160" s="730"/>
      <c r="BJ160" s="730"/>
      <c r="BK160" s="730"/>
      <c r="BL160" s="730"/>
      <c r="BM160" s="730"/>
      <c r="BN160" s="730"/>
      <c r="BO160" s="730"/>
      <c r="BP160" s="730"/>
      <c r="BQ160" s="730"/>
      <c r="BR160" s="730"/>
      <c r="BS160" s="730"/>
      <c r="BT160" s="730"/>
      <c r="BU160" s="730"/>
      <c r="BV160" s="730"/>
      <c r="BW160" s="730"/>
      <c r="BX160" s="730"/>
      <c r="BY160" s="730"/>
      <c r="BZ160" s="730"/>
      <c r="CA160" s="730"/>
      <c r="CB160" s="730"/>
      <c r="CC160" s="730"/>
      <c r="CD160" s="730"/>
      <c r="CE160" s="730"/>
      <c r="CF160" s="730"/>
      <c r="CG160" s="730"/>
      <c r="CH160" s="730"/>
      <c r="CI160" s="730"/>
      <c r="DA160" s="470" t="s">
        <v>6172</v>
      </c>
      <c r="DB160" s="25">
        <f ca="1">IF(AND(DQ128="sim",DS128="não"),1,0)</f>
        <v>0</v>
      </c>
      <c r="DC160" s="426" t="s">
        <v>6114</v>
      </c>
      <c r="DG160" s="469"/>
      <c r="DH160" s="758" t="s">
        <v>6067</v>
      </c>
      <c r="DI160" s="767">
        <f ca="1">IF(EJ106=2,1,0)</f>
        <v>0</v>
      </c>
      <c r="DX160" s="506" t="s">
        <v>7679</v>
      </c>
      <c r="DY160" s="861" cm="1">
        <f t="array" aca="1" ref="DY160" ca="1">INDIRECT($DJ$102&amp;DU148)</f>
        <v>0</v>
      </c>
      <c r="DZ160" s="861" cm="1">
        <f t="array" aca="1" ref="DZ160" ca="1">INDIRECT($DJ$102&amp;DV148)</f>
        <v>0</v>
      </c>
    </row>
    <row r="161" spans="52:123" x14ac:dyDescent="0.25">
      <c r="AZ161" s="470" t="s">
        <v>6172</v>
      </c>
      <c r="BB161" s="844">
        <f ca="1">IF(
AND(BI166="Sim",CE166="Não"),1,0)</f>
        <v>0</v>
      </c>
      <c r="BC161" s="449" t="s">
        <v>6075</v>
      </c>
      <c r="DA161" s="470" t="s">
        <v>6172</v>
      </c>
      <c r="DB161" s="25">
        <f ca="1">IF(AND(DQ128="sim",DT128&lt;&gt;DG136),1,0)</f>
        <v>0</v>
      </c>
      <c r="DC161" s="426" t="s">
        <v>6115</v>
      </c>
      <c r="DG161" s="469"/>
      <c r="DH161" s="758" t="s">
        <v>7360</v>
      </c>
      <c r="DI161" s="767">
        <f ca="1">IF(EJ106=2,
IF(COUNTIF(INDIRECT(DH102&amp;EF104,1),"sim")&gt;0,1,0),
0)</f>
        <v>0</v>
      </c>
    </row>
    <row r="162" spans="52:123" x14ac:dyDescent="0.25">
      <c r="AZ162" s="470" t="s">
        <v>6172</v>
      </c>
      <c r="BB162" s="844">
        <f ca="1">IF(AND(BI166="Não",BJ165=0),1,0)</f>
        <v>0</v>
      </c>
      <c r="BC162" s="450" t="s">
        <v>6274</v>
      </c>
      <c r="BI162" s="733" t="s">
        <v>7321</v>
      </c>
      <c r="BJ162" s="797" t="s">
        <v>5572</v>
      </c>
      <c r="DA162" s="470" t="s">
        <v>6172</v>
      </c>
      <c r="DB162" s="25">
        <f ca="1">IF(SUM(DI177:DI178)&gt;0,1,0)</f>
        <v>0</v>
      </c>
      <c r="DC162" s="426" t="s">
        <v>6116</v>
      </c>
    </row>
    <row r="163" spans="52:123" x14ac:dyDescent="0.25">
      <c r="AZ163" s="470" t="s">
        <v>6172</v>
      </c>
      <c r="BB163" s="844">
        <f ca="1">IF(BJ165&lt;&gt;BK165,1,0)</f>
        <v>0</v>
      </c>
      <c r="BC163" s="426" t="s">
        <v>6197</v>
      </c>
      <c r="BI163" s="863" t="s">
        <v>5589</v>
      </c>
      <c r="BJ163" s="863" t="s">
        <v>30</v>
      </c>
      <c r="BK163" s="864" t="s">
        <v>6174</v>
      </c>
      <c r="BL163" s="864" t="s">
        <v>6173</v>
      </c>
      <c r="BM163" s="864" t="s">
        <v>6029</v>
      </c>
      <c r="BN163" s="864" t="s">
        <v>218</v>
      </c>
      <c r="BO163" s="864" t="s">
        <v>6183</v>
      </c>
      <c r="BP163" s="864" t="s">
        <v>6184</v>
      </c>
      <c r="BQ163" s="864" t="s">
        <v>31</v>
      </c>
      <c r="BR163" s="864" t="s">
        <v>5720</v>
      </c>
      <c r="BS163" s="864" t="s">
        <v>85</v>
      </c>
      <c r="BT163" s="864" t="s">
        <v>235</v>
      </c>
      <c r="BU163" s="864" t="s">
        <v>6232</v>
      </c>
      <c r="BV163" s="738" t="s">
        <v>293</v>
      </c>
      <c r="BW163" s="738" t="s">
        <v>301</v>
      </c>
      <c r="BX163" s="738" t="s">
        <v>302</v>
      </c>
      <c r="BY163" s="864" t="s">
        <v>6242</v>
      </c>
      <c r="BZ163" s="864" t="s">
        <v>143</v>
      </c>
      <c r="CA163" s="864" t="s">
        <v>7404</v>
      </c>
      <c r="CB163" s="864" t="s">
        <v>278</v>
      </c>
      <c r="CC163" s="864" t="s">
        <v>279</v>
      </c>
      <c r="CD163" s="864" t="s">
        <v>6189</v>
      </c>
      <c r="CE163" s="865" t="s">
        <v>6231</v>
      </c>
      <c r="CF163" s="865" t="s">
        <v>6185</v>
      </c>
      <c r="CG163" s="865" t="s">
        <v>6187</v>
      </c>
      <c r="CH163" s="865" t="s">
        <v>6188</v>
      </c>
      <c r="DA163" s="470" t="s">
        <v>6172</v>
      </c>
      <c r="DB163" s="25"/>
      <c r="DC163" s="426"/>
      <c r="DG163" s="469"/>
      <c r="DH163" s="758" t="s">
        <v>7363</v>
      </c>
      <c r="DI163" s="767">
        <f ca="1">IF(EG106="sim",1,0)</f>
        <v>0</v>
      </c>
    </row>
    <row r="164" spans="52:123" x14ac:dyDescent="0.25">
      <c r="AZ164" s="470" t="s">
        <v>6172</v>
      </c>
      <c r="BB164" s="844">
        <f ca="1">IF(BJ165&lt;&gt;BL165,1,0)</f>
        <v>0</v>
      </c>
      <c r="BC164" s="426" t="s">
        <v>6198</v>
      </c>
      <c r="BH164" s="790" t="s">
        <v>5778</v>
      </c>
      <c r="BI164" s="840" t="s">
        <v>1592</v>
      </c>
      <c r="BJ164" s="840" t="s">
        <v>5797</v>
      </c>
      <c r="BK164" s="840" t="s">
        <v>7405</v>
      </c>
      <c r="BL164" s="840" t="s">
        <v>7384</v>
      </c>
      <c r="BM164" s="841" t="s">
        <v>7385</v>
      </c>
      <c r="BN164" s="841" t="s">
        <v>7406</v>
      </c>
      <c r="BO164" s="841" t="s">
        <v>7388</v>
      </c>
      <c r="BP164" s="866" t="s">
        <v>7407</v>
      </c>
      <c r="BQ164" s="866" t="s">
        <v>7408</v>
      </c>
      <c r="BR164" s="841" t="s">
        <v>7409</v>
      </c>
      <c r="BS164" s="841" t="s">
        <v>7410</v>
      </c>
      <c r="BT164" s="841" t="s">
        <v>7411</v>
      </c>
      <c r="BU164" s="841" t="s">
        <v>7412</v>
      </c>
      <c r="BV164" s="840" t="s">
        <v>8640</v>
      </c>
      <c r="BW164" s="840" t="s">
        <v>8641</v>
      </c>
      <c r="BX164" s="840" t="s">
        <v>8642</v>
      </c>
      <c r="BY164" s="840" t="s">
        <v>7305</v>
      </c>
      <c r="BZ164" s="840" t="s">
        <v>7413</v>
      </c>
      <c r="CA164" s="867" t="s">
        <v>7414</v>
      </c>
      <c r="CB164" s="867" t="s">
        <v>7415</v>
      </c>
      <c r="CC164" s="867" t="s">
        <v>7416</v>
      </c>
      <c r="CD164" s="867" t="s">
        <v>7417</v>
      </c>
      <c r="CE164" s="840" t="s">
        <v>6235</v>
      </c>
      <c r="CF164" s="841" t="s">
        <v>8336</v>
      </c>
      <c r="CG164" s="841" t="s">
        <v>6233</v>
      </c>
      <c r="CH164" s="841" t="s">
        <v>6234</v>
      </c>
      <c r="DA164" s="470" t="s">
        <v>6172</v>
      </c>
      <c r="DB164" s="25">
        <f ca="1">DI174</f>
        <v>0</v>
      </c>
      <c r="DC164" s="426" t="s">
        <v>6118</v>
      </c>
      <c r="DG164" s="472"/>
      <c r="DH164" s="757" t="s">
        <v>7719</v>
      </c>
      <c r="DI164" s="525">
        <f ca="1">IF(DN128="Sim",1,0)</f>
        <v>0</v>
      </c>
      <c r="DJ164" s="20" t="s">
        <v>7720</v>
      </c>
    </row>
    <row r="165" spans="52:123" x14ac:dyDescent="0.25">
      <c r="AZ165" s="470" t="s">
        <v>6172</v>
      </c>
      <c r="BB165" s="844">
        <f ca="1">IF(BJ165&lt;&gt;BM165,1,0)</f>
        <v>0</v>
      </c>
      <c r="BC165" s="426" t="s">
        <v>6199</v>
      </c>
      <c r="BH165" s="790" t="s">
        <v>6222</v>
      </c>
      <c r="BI165" s="827">
        <f t="shared" ref="BI165:CD165" ca="1" si="64">COUNTA(INDIRECT($BJ$162&amp;BI164,1))</f>
        <v>0</v>
      </c>
      <c r="BJ165" s="827">
        <f t="shared" ca="1" si="64"/>
        <v>0</v>
      </c>
      <c r="BK165" s="827">
        <f t="shared" ca="1" si="64"/>
        <v>0</v>
      </c>
      <c r="BL165" s="827">
        <f t="shared" ca="1" si="64"/>
        <v>0</v>
      </c>
      <c r="BM165" s="827">
        <f t="shared" ca="1" si="64"/>
        <v>0</v>
      </c>
      <c r="BN165" s="827">
        <f t="shared" ca="1" si="64"/>
        <v>0</v>
      </c>
      <c r="BO165" s="827">
        <f t="shared" ca="1" si="64"/>
        <v>0</v>
      </c>
      <c r="BP165" s="827">
        <f t="shared" ca="1" si="64"/>
        <v>0</v>
      </c>
      <c r="BQ165" s="827">
        <f t="shared" ca="1" si="64"/>
        <v>0</v>
      </c>
      <c r="BR165" s="827">
        <f t="shared" ca="1" si="64"/>
        <v>0</v>
      </c>
      <c r="BS165" s="827">
        <f t="shared" ca="1" si="64"/>
        <v>1</v>
      </c>
      <c r="BT165" s="827">
        <f t="shared" ca="1" si="64"/>
        <v>0</v>
      </c>
      <c r="BU165" s="827">
        <f t="shared" ca="1" si="64"/>
        <v>0</v>
      </c>
      <c r="BV165" s="827">
        <f ca="1">COUNTA(INDIRECT($BJ$162&amp;BV164,1))</f>
        <v>0</v>
      </c>
      <c r="BW165" s="827">
        <f t="shared" ca="1" si="64"/>
        <v>0</v>
      </c>
      <c r="BX165" s="827">
        <f t="shared" ca="1" si="64"/>
        <v>0</v>
      </c>
      <c r="BY165" s="827">
        <f t="shared" ca="1" si="64"/>
        <v>0</v>
      </c>
      <c r="BZ165" s="827">
        <f t="shared" ca="1" si="64"/>
        <v>0</v>
      </c>
      <c r="CA165" s="827">
        <f t="shared" ca="1" si="64"/>
        <v>0</v>
      </c>
      <c r="CB165" s="827">
        <f t="shared" ca="1" si="64"/>
        <v>0</v>
      </c>
      <c r="CC165" s="827">
        <f t="shared" ca="1" si="64"/>
        <v>0</v>
      </c>
      <c r="CD165" s="827">
        <f t="shared" ca="1" si="64"/>
        <v>0</v>
      </c>
      <c r="CE165" s="827">
        <f ca="1">COUNTA(INDIRECT(CE164,1))</f>
        <v>0</v>
      </c>
      <c r="CF165" s="827"/>
      <c r="CG165" s="827">
        <f t="shared" ref="CG165:CH165" ca="1" si="65">COUNTA(INDIRECT(CG164,1))</f>
        <v>1</v>
      </c>
      <c r="CH165" s="827">
        <f t="shared" ca="1" si="65"/>
        <v>1</v>
      </c>
      <c r="DA165" s="470" t="s">
        <v>6172</v>
      </c>
      <c r="DB165" s="25">
        <f ca="1">DI166</f>
        <v>0</v>
      </c>
      <c r="DC165" s="426" t="s">
        <v>6513</v>
      </c>
      <c r="DG165" s="472"/>
      <c r="DH165" s="757" t="s">
        <v>7721</v>
      </c>
      <c r="DI165" s="525">
        <f ca="1">IF(DG136="Machos e Fêmeas",0,1)</f>
        <v>1</v>
      </c>
      <c r="DJ165" s="20" t="s">
        <v>7723</v>
      </c>
    </row>
    <row r="166" spans="52:123" x14ac:dyDescent="0.25">
      <c r="AZ166" s="470" t="s">
        <v>6172</v>
      </c>
      <c r="BB166" s="844">
        <f ca="1">IF(BJ165&lt;&gt;BN165,1,0)</f>
        <v>0</v>
      </c>
      <c r="BC166" s="426" t="s">
        <v>6200</v>
      </c>
      <c r="BH166" s="790" t="s">
        <v>6133</v>
      </c>
      <c r="BI166" s="827" cm="1">
        <f t="array" aca="1" ref="BI166" ca="1">INDIRECT($BJ$162&amp;BI164,1)</f>
        <v>0</v>
      </c>
      <c r="BJ166" s="827" cm="1">
        <f t="array" aca="1" ref="BJ166" ca="1">INDIRECT($BJ$162&amp;BJ164,1)</f>
        <v>0</v>
      </c>
      <c r="BK166" s="827" cm="1">
        <f t="array" aca="1" ref="BK166" ca="1">INDIRECT($BJ$162&amp;BK164,1)</f>
        <v>0</v>
      </c>
      <c r="BL166" s="827" cm="1">
        <f t="array" aca="1" ref="BL166" ca="1">INDIRECT($BJ$162&amp;BL164,1)</f>
        <v>0</v>
      </c>
      <c r="BM166" s="827" cm="1">
        <f t="array" aca="1" ref="BM166" ca="1">INDIRECT($BJ$162&amp;BM164,1)</f>
        <v>0</v>
      </c>
      <c r="BN166" s="827" cm="1">
        <f t="array" aca="1" ref="BN166" ca="1">INDIRECT($BJ$162&amp;BN164,1)</f>
        <v>0</v>
      </c>
      <c r="BO166" s="827" cm="1">
        <f t="array" aca="1" ref="BO166" ca="1">INDIRECT($BJ$162&amp;BO164,1)</f>
        <v>0</v>
      </c>
      <c r="BP166" s="827" cm="1">
        <f t="array" aca="1" ref="BP166" ca="1">INDIRECT($BJ$162&amp;BP164,1)</f>
        <v>0</v>
      </c>
      <c r="BQ166" s="827" cm="1">
        <f t="array" aca="1" ref="BQ166" ca="1">INDIRECT($BJ$162&amp;BQ164,1)</f>
        <v>0</v>
      </c>
      <c r="BR166" s="827" cm="1">
        <f t="array" aca="1" ref="BR166" ca="1">INDIRECT($BJ$162&amp;BR164,1)</f>
        <v>0</v>
      </c>
      <c r="BS166" s="827" t="str" cm="1">
        <f t="array" aca="1" ref="BS166" ca="1">INDIRECT($BJ$162&amp;BS164,1)</f>
        <v>Rattus norvegicus</v>
      </c>
      <c r="BT166" s="827" cm="1">
        <f t="array" aca="1" ref="BT166" ca="1">INDIRECT($BJ$162&amp;BT164,1)</f>
        <v>0</v>
      </c>
      <c r="BU166" s="827" cm="1">
        <f t="array" aca="1" ref="BU166" ca="1">INDIRECT($BJ$162&amp;BU164,1)</f>
        <v>0</v>
      </c>
      <c r="BV166" s="829"/>
      <c r="BW166" s="829"/>
      <c r="BX166" s="829"/>
      <c r="BY166" s="827" cm="1">
        <f t="array" aca="1" ref="BY166" ca="1">INDIRECT($BJ$162&amp;BY164,1)</f>
        <v>0</v>
      </c>
      <c r="BZ166" s="827" cm="1">
        <f t="array" aca="1" ref="BZ166" ca="1">INDIRECT($BJ$162&amp;BZ164,1)</f>
        <v>0</v>
      </c>
      <c r="CA166" s="827" cm="1">
        <f t="array" aca="1" ref="CA166" ca="1">INDIRECT($BJ$162&amp;CA164,1)</f>
        <v>0</v>
      </c>
      <c r="CB166" s="827" cm="1">
        <f t="array" aca="1" ref="CB166" ca="1">INDIRECT($BJ$162&amp;CB164,1)</f>
        <v>0</v>
      </c>
      <c r="CC166" s="827" cm="1">
        <f t="array" aca="1" ref="CC166" ca="1">INDIRECT($BJ$162&amp;CC164,1)</f>
        <v>0</v>
      </c>
      <c r="CD166" s="827" cm="1">
        <f t="array" aca="1" ref="CD166" ca="1">INDIRECT($BJ$162&amp;CD164,1)</f>
        <v>0</v>
      </c>
      <c r="CE166" s="827" cm="1">
        <f t="array" aca="1" ref="CE166" ca="1">INDIRECT(CE164,1)</f>
        <v>0</v>
      </c>
      <c r="CF166" s="793">
        <f ca="1">COUNTIF(INDIRECT(CF164),TRUE)</f>
        <v>0</v>
      </c>
      <c r="CG166" s="829" cm="1">
        <f t="array" aca="1" ref="CG166" ca="1">INDIRECT(CG164,1)</f>
        <v>0</v>
      </c>
      <c r="CH166" s="829" t="b" cm="1">
        <f t="array" aca="1" ref="CH166" ca="1">INDIRECT(CH164,1)</f>
        <v>0</v>
      </c>
      <c r="DA166" s="470" t="s">
        <v>6172</v>
      </c>
      <c r="DB166" s="25">
        <f ca="1">DI205</f>
        <v>0</v>
      </c>
      <c r="DC166" s="426" t="s">
        <v>6112</v>
      </c>
      <c r="DG166" s="469"/>
      <c r="DH166" s="758" t="s">
        <v>7943</v>
      </c>
      <c r="DI166" s="759">
        <f ca="1">IF(AND(DI164=1,DI165=1),1,0)</f>
        <v>0</v>
      </c>
      <c r="DJ166" s="20" t="s">
        <v>7722</v>
      </c>
      <c r="DL166" s="516" t="s">
        <v>7791</v>
      </c>
      <c r="DR166" s="20" t="s">
        <v>7750</v>
      </c>
    </row>
    <row r="167" spans="52:123" x14ac:dyDescent="0.25">
      <c r="AZ167" s="470" t="s">
        <v>6172</v>
      </c>
      <c r="BB167" s="844">
        <f ca="1">IF(BJ165&lt;&gt;BP165,1,0)</f>
        <v>0</v>
      </c>
      <c r="BC167" s="426" t="s">
        <v>6201</v>
      </c>
      <c r="DA167" s="470" t="s">
        <v>6172</v>
      </c>
      <c r="DB167" s="25">
        <f ca="1">IF(SUM(DI179:DI180)&gt;0,1,0)</f>
        <v>0</v>
      </c>
      <c r="DC167" s="426" t="s">
        <v>6117</v>
      </c>
      <c r="DG167" s="472"/>
      <c r="DH167" s="757" t="s">
        <v>7728</v>
      </c>
      <c r="DI167" s="525">
        <f ca="1">DR106</f>
        <v>0</v>
      </c>
      <c r="DL167" s="738" t="s">
        <v>6502</v>
      </c>
      <c r="DM167" s="738" t="s">
        <v>6503</v>
      </c>
      <c r="DN167" s="738" t="s">
        <v>6504</v>
      </c>
      <c r="DO167" s="738" t="s">
        <v>6505</v>
      </c>
      <c r="DR167" s="738" t="s">
        <v>36</v>
      </c>
      <c r="DS167" s="738" t="s">
        <v>37</v>
      </c>
    </row>
    <row r="168" spans="52:123" x14ac:dyDescent="0.25">
      <c r="AZ168" s="470" t="s">
        <v>6172</v>
      </c>
      <c r="BB168" s="844">
        <f ca="1">IF(BJ165&lt;&gt;BQ165,1,0)</f>
        <v>0</v>
      </c>
      <c r="BC168" s="426" t="s">
        <v>6202</v>
      </c>
      <c r="DA168" s="470" t="s">
        <v>6172</v>
      </c>
      <c r="DB168" s="25"/>
      <c r="DC168" s="426"/>
      <c r="DG168" s="472"/>
      <c r="DH168" s="757" t="s">
        <v>7731</v>
      </c>
      <c r="DI168" s="525">
        <f ca="1">DT106</f>
        <v>0</v>
      </c>
      <c r="DL168" s="840" t="s">
        <v>5752</v>
      </c>
      <c r="DM168" s="761">
        <v>1</v>
      </c>
      <c r="DN168" s="761">
        <v>24</v>
      </c>
      <c r="DO168" s="761">
        <v>48</v>
      </c>
      <c r="DQ168" s="506" t="s">
        <v>5774</v>
      </c>
      <c r="DR168" s="861">
        <f t="shared" ref="DR168:DS175" ca="1" si="66">COUNTA(INDIRECT($DJ$102&amp;DG141,1))</f>
        <v>0</v>
      </c>
      <c r="DS168" s="861">
        <f t="shared" ca="1" si="66"/>
        <v>0</v>
      </c>
    </row>
    <row r="169" spans="52:123" x14ac:dyDescent="0.25">
      <c r="AZ169" s="470" t="s">
        <v>6172</v>
      </c>
      <c r="BB169" s="844">
        <f ca="1">IF(BJ165&lt;&gt;BR165,1,0)</f>
        <v>0</v>
      </c>
      <c r="BC169" s="426" t="s">
        <v>6203</v>
      </c>
      <c r="DA169" s="470" t="s">
        <v>6172</v>
      </c>
      <c r="DB169" s="25">
        <f ca="1">IF(DK136="Não",1,0)</f>
        <v>0</v>
      </c>
      <c r="DC169" s="426" t="s">
        <v>8635</v>
      </c>
      <c r="DG169" s="472"/>
      <c r="DH169" s="757" t="s">
        <v>7724</v>
      </c>
      <c r="DI169" s="525">
        <f ca="1">IF(DV106&lt;&gt;0,DV106,DX106)</f>
        <v>0</v>
      </c>
      <c r="DL169" s="840" t="s">
        <v>5752</v>
      </c>
      <c r="DM169" s="761">
        <v>2</v>
      </c>
      <c r="DN169" s="761">
        <v>18</v>
      </c>
      <c r="DO169" s="761">
        <v>24</v>
      </c>
      <c r="DQ169" s="506" t="s">
        <v>5775</v>
      </c>
      <c r="DR169" s="861">
        <f t="shared" ca="1" si="66"/>
        <v>0</v>
      </c>
      <c r="DS169" s="861">
        <f t="shared" ca="1" si="66"/>
        <v>0</v>
      </c>
    </row>
    <row r="170" spans="52:123" x14ac:dyDescent="0.25">
      <c r="AZ170" s="470" t="s">
        <v>6172</v>
      </c>
      <c r="BB170" s="844">
        <f ca="1">IF(AND(BJ165=1,BS165=0),1,0)</f>
        <v>0</v>
      </c>
      <c r="BC170" s="426" t="s">
        <v>6204</v>
      </c>
      <c r="BI170" s="863" t="s">
        <v>265</v>
      </c>
      <c r="BJ170" s="863" t="s">
        <v>246</v>
      </c>
      <c r="BK170" s="863" t="s">
        <v>289</v>
      </c>
      <c r="BL170" s="863" t="s">
        <v>247</v>
      </c>
      <c r="BM170" s="863" t="s">
        <v>285</v>
      </c>
      <c r="BN170" s="863" t="s">
        <v>7311</v>
      </c>
      <c r="BO170" s="868" t="s">
        <v>7312</v>
      </c>
      <c r="BP170" s="863" t="s">
        <v>7313</v>
      </c>
      <c r="BQ170" s="863" t="s">
        <v>7314</v>
      </c>
      <c r="BR170" s="863" t="s">
        <v>7998</v>
      </c>
      <c r="DA170" s="470" t="s">
        <v>6172</v>
      </c>
      <c r="DB170" s="25">
        <f ca="1">IF(DL136="Não",1,0)</f>
        <v>0</v>
      </c>
      <c r="DC170" s="426" t="s">
        <v>8636</v>
      </c>
      <c r="DG170" s="472"/>
      <c r="DH170" s="757" t="s">
        <v>7725</v>
      </c>
      <c r="DI170" s="525">
        <f ca="1">IF(DW106&lt;&gt;0,DW106,DX106)</f>
        <v>0</v>
      </c>
      <c r="DL170" s="840" t="s">
        <v>5752</v>
      </c>
      <c r="DM170" s="761">
        <v>3</v>
      </c>
      <c r="DN170" s="761">
        <v>0</v>
      </c>
      <c r="DO170" s="761">
        <v>24</v>
      </c>
      <c r="DQ170" s="506" t="s">
        <v>134</v>
      </c>
      <c r="DR170" s="861">
        <f t="shared" ca="1" si="66"/>
        <v>0</v>
      </c>
      <c r="DS170" s="861">
        <f t="shared" ca="1" si="66"/>
        <v>0</v>
      </c>
    </row>
    <row r="171" spans="52:123" x14ac:dyDescent="0.25">
      <c r="AZ171" s="470" t="s">
        <v>6172</v>
      </c>
      <c r="BB171" s="844">
        <f ca="1">IF(BJ165&lt;&gt;BU165,1,0)</f>
        <v>0</v>
      </c>
      <c r="BC171" s="426" t="s">
        <v>6228</v>
      </c>
      <c r="BH171" s="790" t="s">
        <v>5778</v>
      </c>
      <c r="BI171" s="869" t="s">
        <v>7418</v>
      </c>
      <c r="BJ171" s="869" t="s">
        <v>7419</v>
      </c>
      <c r="BK171" s="869" t="s">
        <v>7420</v>
      </c>
      <c r="BL171" s="869" t="s">
        <v>7421</v>
      </c>
      <c r="BM171" s="869" t="s">
        <v>7422</v>
      </c>
      <c r="BN171" s="869" t="s">
        <v>7423</v>
      </c>
      <c r="BO171" s="870" t="s">
        <v>7424</v>
      </c>
      <c r="BP171" s="869" t="s">
        <v>7425</v>
      </c>
      <c r="BQ171" s="870" t="s">
        <v>7426</v>
      </c>
      <c r="BR171" s="869" t="s">
        <v>8574</v>
      </c>
      <c r="DA171" s="470" t="s">
        <v>6172</v>
      </c>
      <c r="DB171" s="25">
        <f ca="1">IF(DM136="sim",1,0)</f>
        <v>0</v>
      </c>
      <c r="DC171" s="426" t="s">
        <v>8637</v>
      </c>
      <c r="DG171" s="472"/>
      <c r="DH171" s="757" t="s">
        <v>7729</v>
      </c>
      <c r="DI171" s="525">
        <f ca="1">IFERROR(IF(DI167&lt;&gt;0,IF(DI167=DL168,VLOOKUP(DI168,DM168:DO172,2,0),VLOOKUP(DI168,DM173:DO177,2,0)),0),0)</f>
        <v>0</v>
      </c>
      <c r="DL171" s="840" t="s">
        <v>5752</v>
      </c>
      <c r="DM171" s="761">
        <v>4</v>
      </c>
      <c r="DN171" s="761">
        <v>0</v>
      </c>
      <c r="DO171" s="761">
        <v>24</v>
      </c>
      <c r="DQ171" s="506" t="s">
        <v>136</v>
      </c>
      <c r="DR171" s="861">
        <f t="shared" ca="1" si="66"/>
        <v>0</v>
      </c>
      <c r="DS171" s="861">
        <f t="shared" ca="1" si="66"/>
        <v>0</v>
      </c>
    </row>
    <row r="172" spans="52:123" x14ac:dyDescent="0.25">
      <c r="AZ172" s="470" t="s">
        <v>6172</v>
      </c>
      <c r="BB172" s="844">
        <f ca="1">IF(BJ173&gt;BK173,1,0)</f>
        <v>0</v>
      </c>
      <c r="BC172" s="426" t="s">
        <v>6236</v>
      </c>
      <c r="BH172" s="790" t="s">
        <v>6222</v>
      </c>
      <c r="BI172" s="827">
        <f t="shared" ref="BI172:BR172" ca="1" si="67">COUNTA(INDIRECT($BJ$162&amp;BI171,1))</f>
        <v>0</v>
      </c>
      <c r="BJ172" s="827">
        <f t="shared" ca="1" si="67"/>
        <v>0</v>
      </c>
      <c r="BK172" s="827">
        <f t="shared" ca="1" si="67"/>
        <v>0</v>
      </c>
      <c r="BL172" s="827">
        <f t="shared" ca="1" si="67"/>
        <v>0</v>
      </c>
      <c r="BM172" s="827">
        <f t="shared" ca="1" si="67"/>
        <v>0</v>
      </c>
      <c r="BN172" s="827">
        <f t="shared" ca="1" si="67"/>
        <v>0</v>
      </c>
      <c r="BO172" s="827">
        <f t="shared" ca="1" si="67"/>
        <v>0</v>
      </c>
      <c r="BP172" s="827">
        <f t="shared" ca="1" si="67"/>
        <v>0</v>
      </c>
      <c r="BQ172" s="827">
        <f t="shared" ca="1" si="67"/>
        <v>0</v>
      </c>
      <c r="BR172" s="827">
        <f t="shared" ca="1" si="67"/>
        <v>0</v>
      </c>
      <c r="DA172" s="470" t="s">
        <v>6172</v>
      </c>
      <c r="DB172" s="25">
        <f ca="1">IF(DN136="sim",1,0)</f>
        <v>0</v>
      </c>
      <c r="DC172" s="426" t="s">
        <v>8638</v>
      </c>
      <c r="DG172" s="472"/>
      <c r="DH172" s="757" t="s">
        <v>7730</v>
      </c>
      <c r="DI172" s="525">
        <f ca="1">IFERROR(IF(DI167&lt;&gt;0,IF(DI167=DL168,VLOOKUP(DI168,DM168:DO172,3,0),VLOOKUP(DI168,DM173:DO177,3,0)),0),0)</f>
        <v>0</v>
      </c>
      <c r="DL172" s="840" t="s">
        <v>5752</v>
      </c>
      <c r="DM172" s="761">
        <v>5</v>
      </c>
      <c r="DN172" s="761">
        <v>0</v>
      </c>
      <c r="DO172" s="761">
        <v>24</v>
      </c>
      <c r="DQ172" s="506" t="s">
        <v>137</v>
      </c>
      <c r="DR172" s="861">
        <f t="shared" ca="1" si="66"/>
        <v>0</v>
      </c>
      <c r="DS172" s="861">
        <f t="shared" ca="1" si="66"/>
        <v>0</v>
      </c>
    </row>
    <row r="173" spans="52:123" x14ac:dyDescent="0.25">
      <c r="AZ173" s="470" t="s">
        <v>6172</v>
      </c>
      <c r="BB173" s="844">
        <f ca="1">IF(BL173&gt;BM173,1,0)</f>
        <v>0</v>
      </c>
      <c r="BC173" s="426" t="s">
        <v>6237</v>
      </c>
      <c r="BH173" s="790" t="s">
        <v>6133</v>
      </c>
      <c r="BI173" s="535"/>
      <c r="BJ173" s="828">
        <f ca="1">COUNTIF(INDIRECT($BJ$162&amp;BJ171,1),"&gt;0")</f>
        <v>0</v>
      </c>
      <c r="BK173" s="828">
        <f ca="1">COUNTIF(INDIRECT($BJ$162&amp;BK171,1),"&gt;=0")</f>
        <v>0</v>
      </c>
      <c r="BL173" s="828">
        <f ca="1">COUNTIF(INDIRECT($BJ$162&amp;BL171,1),"&gt;0")</f>
        <v>0</v>
      </c>
      <c r="BM173" s="828">
        <f ca="1">COUNTIF(INDIRECT($BJ$162&amp;BM171,1),"&gt;=0")</f>
        <v>0</v>
      </c>
      <c r="BN173" s="535"/>
      <c r="BO173" s="535"/>
      <c r="BP173" s="535"/>
      <c r="BQ173" s="535"/>
      <c r="BR173" s="535"/>
      <c r="DA173" s="470" t="s">
        <v>6172</v>
      </c>
      <c r="DB173" s="25"/>
      <c r="DC173" s="426"/>
      <c r="DG173" s="469"/>
      <c r="DH173" s="758" t="s">
        <v>7726</v>
      </c>
      <c r="DI173" s="759">
        <f ca="1">IF(DI167&lt;&gt;0,IF(AND(DI169&gt;=DI171,DI170&lt;=DI172),0,1),0)</f>
        <v>0</v>
      </c>
      <c r="DJ173" s="20" t="s">
        <v>7727</v>
      </c>
      <c r="DL173" s="840" t="s">
        <v>5751</v>
      </c>
      <c r="DM173" s="761">
        <v>1</v>
      </c>
      <c r="DN173" s="761">
        <v>36</v>
      </c>
      <c r="DO173" s="761">
        <v>72</v>
      </c>
      <c r="DQ173" s="506" t="s">
        <v>138</v>
      </c>
      <c r="DR173" s="861">
        <f t="shared" ca="1" si="66"/>
        <v>0</v>
      </c>
      <c r="DS173" s="861">
        <f t="shared" ca="1" si="66"/>
        <v>0</v>
      </c>
    </row>
    <row r="174" spans="52:123" x14ac:dyDescent="0.25">
      <c r="AZ174" s="470" t="s">
        <v>6172</v>
      </c>
      <c r="BB174" s="844">
        <f ca="1">IF(
OR(BI172&lt;&gt;BN172,BI172&lt;&gt;BO172),1,0)</f>
        <v>0</v>
      </c>
      <c r="BC174" s="426" t="s">
        <v>6229</v>
      </c>
      <c r="DA174" s="470" t="s">
        <v>6172</v>
      </c>
      <c r="DB174" s="25">
        <f ca="1">IF(SUM(DI201:DI204)&gt;0,1,0)</f>
        <v>0</v>
      </c>
      <c r="DC174" s="426" t="s">
        <v>7940</v>
      </c>
      <c r="DG174" s="469"/>
      <c r="DH174" s="758" t="s">
        <v>7741</v>
      </c>
      <c r="DI174" s="759">
        <f ca="1">IF(COUNTIF(DO155:DP158,1)&gt;0,1,0)</f>
        <v>0</v>
      </c>
      <c r="DJ174" s="20" t="s">
        <v>7742</v>
      </c>
      <c r="DL174" s="840" t="s">
        <v>5751</v>
      </c>
      <c r="DM174" s="761">
        <v>2</v>
      </c>
      <c r="DN174" s="761">
        <v>36</v>
      </c>
      <c r="DO174" s="761">
        <v>48</v>
      </c>
      <c r="DQ174" s="506" t="s">
        <v>7678</v>
      </c>
      <c r="DR174" s="861">
        <f t="shared" ca="1" si="66"/>
        <v>0</v>
      </c>
      <c r="DS174" s="861">
        <f t="shared" ca="1" si="66"/>
        <v>0</v>
      </c>
    </row>
    <row r="175" spans="52:123" x14ac:dyDescent="0.25">
      <c r="AZ175" s="470" t="s">
        <v>6172</v>
      </c>
      <c r="BB175" s="844">
        <f ca="1">IF(
OR(BI172&lt;&gt;BP172,BI172&lt;&gt;BQ172),1,0)</f>
        <v>0</v>
      </c>
      <c r="BC175" s="426" t="s">
        <v>6230</v>
      </c>
      <c r="DA175" s="470" t="s">
        <v>6172</v>
      </c>
      <c r="DB175" s="25">
        <f>IF(SUM(DI199:DJ199)&gt;0,1,0)</f>
        <v>0</v>
      </c>
      <c r="DC175" s="426" t="s">
        <v>7941</v>
      </c>
      <c r="DG175" s="469"/>
      <c r="DH175" s="758" t="s">
        <v>7934</v>
      </c>
      <c r="DI175" s="759">
        <f ca="1">IF(AND(DQ128="sim",DG136&lt;&gt;DT128),1,0)</f>
        <v>0</v>
      </c>
      <c r="DJ175" s="20" t="s">
        <v>7935</v>
      </c>
      <c r="DL175" s="840" t="s">
        <v>5751</v>
      </c>
      <c r="DM175" s="761">
        <v>3</v>
      </c>
      <c r="DN175" s="761">
        <v>0</v>
      </c>
      <c r="DO175" s="761">
        <v>40</v>
      </c>
      <c r="DQ175" s="506" t="s">
        <v>7679</v>
      </c>
      <c r="DR175" s="861">
        <f t="shared" ca="1" si="66"/>
        <v>0</v>
      </c>
      <c r="DS175" s="861">
        <f t="shared" ca="1" si="66"/>
        <v>0</v>
      </c>
    </row>
    <row r="176" spans="52:123" x14ac:dyDescent="0.25">
      <c r="AZ176" s="470" t="s">
        <v>6172</v>
      </c>
      <c r="BB176" s="844">
        <f ca="1">IF(AND(BJ165&lt;&gt;0,CG166=0),1,0)</f>
        <v>0</v>
      </c>
      <c r="BC176" s="426" t="s">
        <v>6209</v>
      </c>
      <c r="DA176" s="470" t="s">
        <v>6172</v>
      </c>
      <c r="DB176" s="25">
        <f>DI200</f>
        <v>0</v>
      </c>
      <c r="DC176" s="426" t="s">
        <v>7942</v>
      </c>
      <c r="DG176" s="469"/>
      <c r="DL176" s="840" t="s">
        <v>5751</v>
      </c>
      <c r="DM176" s="761">
        <v>4</v>
      </c>
      <c r="DN176" s="761">
        <v>0</v>
      </c>
      <c r="DO176" s="761">
        <v>40</v>
      </c>
    </row>
    <row r="177" spans="52:120" x14ac:dyDescent="0.25">
      <c r="AZ177" s="470" t="s">
        <v>6172</v>
      </c>
      <c r="BB177" s="844">
        <f ca="1">IF(AND(BI166="Não",BJ187=1),1,0)</f>
        <v>0</v>
      </c>
      <c r="BC177" s="426" t="s">
        <v>7854</v>
      </c>
      <c r="DA177" s="470" t="s">
        <v>6172</v>
      </c>
      <c r="DB177" s="25">
        <f ca="1">DI175</f>
        <v>0</v>
      </c>
      <c r="DC177" s="426" t="s">
        <v>7936</v>
      </c>
      <c r="DG177" s="469"/>
      <c r="DH177" s="758" t="s">
        <v>7745</v>
      </c>
      <c r="DI177" s="759">
        <f ca="1">IF(SUM(DU156:DU158)&gt;0,1,0)</f>
        <v>0</v>
      </c>
      <c r="DJ177" s="20" t="s">
        <v>7746</v>
      </c>
      <c r="DL177" s="840" t="s">
        <v>5751</v>
      </c>
      <c r="DM177" s="761">
        <v>5</v>
      </c>
      <c r="DN177" s="761">
        <v>0</v>
      </c>
      <c r="DO177" s="761">
        <v>40</v>
      </c>
    </row>
    <row r="178" spans="52:120" x14ac:dyDescent="0.25">
      <c r="AZ178" s="470" t="s">
        <v>6172</v>
      </c>
      <c r="BB178" s="844">
        <f ca="1">IF(AND(BI166="Não",CD165=0),1,0)</f>
        <v>0</v>
      </c>
      <c r="BC178" s="426" t="s">
        <v>6196</v>
      </c>
      <c r="BH178" s="472"/>
      <c r="BI178" s="871" t="s">
        <v>6211</v>
      </c>
      <c r="BJ178" s="525">
        <f ca="1">BR166</f>
        <v>0</v>
      </c>
      <c r="DA178" s="470" t="s">
        <v>6172</v>
      </c>
      <c r="DB178" s="25">
        <f ca="1">DI160</f>
        <v>0</v>
      </c>
      <c r="DC178" s="426" t="s">
        <v>6067</v>
      </c>
      <c r="DG178" s="469"/>
      <c r="DH178" s="758" t="s">
        <v>7747</v>
      </c>
      <c r="DI178" s="759">
        <f ca="1">IF(SUM(DV156:DV158)&gt;0,1,0)</f>
        <v>0</v>
      </c>
      <c r="DJ178" s="20" t="s">
        <v>7748</v>
      </c>
    </row>
    <row r="179" spans="52:120" x14ac:dyDescent="0.25">
      <c r="AZ179" s="470" t="s">
        <v>6172</v>
      </c>
      <c r="BB179" s="25">
        <f ca="1">IF(BI166="Sim",1,0)</f>
        <v>0</v>
      </c>
      <c r="BC179" s="426" t="s">
        <v>6073</v>
      </c>
      <c r="BH179" s="469"/>
      <c r="BI179" s="872" t="s">
        <v>6223</v>
      </c>
      <c r="BJ179" s="759">
        <f ca="1">IF(BJ178&lt;&gt;0,
IF(COUNTIF($M$65:$M$94,BJ178)=0,1,0),0)</f>
        <v>0</v>
      </c>
      <c r="BL179" s="2"/>
      <c r="BM179" s="2"/>
      <c r="BP179" s="2"/>
      <c r="BQ179" s="2"/>
      <c r="BR179" s="2"/>
      <c r="BS179" s="2"/>
      <c r="BT179" s="2"/>
      <c r="BU179" s="2"/>
      <c r="BV179" s="2"/>
      <c r="BW179" s="2"/>
      <c r="BX179" s="2"/>
      <c r="BY179" s="2"/>
      <c r="BZ179" s="2"/>
      <c r="CA179" s="2"/>
      <c r="CB179" s="2"/>
      <c r="CC179" s="2"/>
      <c r="CD179" s="2"/>
      <c r="CE179" s="2"/>
      <c r="CF179" s="2"/>
      <c r="CG179" s="2"/>
      <c r="CH179" s="2"/>
      <c r="DA179" s="470" t="s">
        <v>6172</v>
      </c>
      <c r="DB179" s="25">
        <f ca="1">DI161</f>
        <v>0</v>
      </c>
      <c r="DC179" s="426" t="s">
        <v>6210</v>
      </c>
      <c r="DG179" s="469"/>
      <c r="DH179" s="758" t="s">
        <v>7751</v>
      </c>
      <c r="DI179" s="759">
        <f ca="1">IF(COUNTIFS(DR168:DR175,"&gt;0",DR168:DR175,"&lt;5")&gt;0,1,0)</f>
        <v>0</v>
      </c>
      <c r="DJ179" s="20" t="s">
        <v>7752</v>
      </c>
    </row>
    <row r="180" spans="52:120" x14ac:dyDescent="0.25">
      <c r="AZ180" s="470" t="s">
        <v>6172</v>
      </c>
      <c r="BB180" s="25">
        <f ca="1">BJ184</f>
        <v>0</v>
      </c>
      <c r="BC180" s="426" t="s">
        <v>6071</v>
      </c>
      <c r="BH180" s="472"/>
      <c r="BI180" s="871" t="s">
        <v>6178</v>
      </c>
      <c r="BJ180" s="525">
        <f ca="1">IFERROR(VLOOKUP(BJ178,$M$65:$P$94,4,0),0)</f>
        <v>0</v>
      </c>
      <c r="BL180" s="2"/>
      <c r="BM180" s="2"/>
      <c r="BP180" s="2"/>
      <c r="BQ180" s="2"/>
      <c r="BR180" s="2"/>
      <c r="BS180" s="2"/>
      <c r="BT180" s="2"/>
      <c r="BU180" s="2"/>
      <c r="BV180" s="2"/>
      <c r="BW180" s="2"/>
      <c r="BX180" s="2"/>
      <c r="BY180" s="2"/>
      <c r="BZ180" s="2"/>
      <c r="CA180" s="2"/>
      <c r="CB180" s="2"/>
      <c r="CC180" s="2"/>
      <c r="CD180" s="2"/>
      <c r="CE180" s="2"/>
      <c r="CF180" s="2"/>
      <c r="CG180" s="2"/>
      <c r="CH180" s="2"/>
      <c r="DA180" s="470" t="s">
        <v>6172</v>
      </c>
      <c r="DB180" s="25">
        <f ca="1">DI154</f>
        <v>0</v>
      </c>
      <c r="DC180" s="426" t="s">
        <v>6243</v>
      </c>
      <c r="DG180" s="469"/>
      <c r="DH180" s="758" t="s">
        <v>7753</v>
      </c>
      <c r="DI180" s="759">
        <f ca="1">IF(COUNTIFS(DS168:DS175,"&gt;0",DS168:DS175,"&lt;5")&gt;0,1,0)</f>
        <v>0</v>
      </c>
      <c r="DJ180" s="20" t="s">
        <v>7754</v>
      </c>
    </row>
    <row r="181" spans="52:120" x14ac:dyDescent="0.25">
      <c r="AZ181" s="470" t="s">
        <v>6172</v>
      </c>
      <c r="BB181" s="25">
        <f ca="1">BJ194</f>
        <v>0</v>
      </c>
      <c r="BC181" s="426" t="s">
        <v>6080</v>
      </c>
      <c r="BH181" s="472"/>
      <c r="BI181" s="871" t="s">
        <v>6213</v>
      </c>
      <c r="BJ181" s="525">
        <f ca="1">BQ166</f>
        <v>0</v>
      </c>
      <c r="BT181" s="2"/>
      <c r="BU181" s="2"/>
      <c r="BV181" s="2"/>
      <c r="BW181" s="2"/>
      <c r="BX181" s="2"/>
      <c r="BY181" s="2"/>
      <c r="BZ181" s="2"/>
      <c r="CA181" s="2"/>
      <c r="CB181" s="2"/>
      <c r="CC181" s="2"/>
      <c r="CD181" s="2"/>
      <c r="CE181" s="2"/>
      <c r="CF181" s="2"/>
      <c r="CG181" s="2"/>
      <c r="CH181" s="2"/>
      <c r="DA181" s="470" t="s">
        <v>6172</v>
      </c>
      <c r="DB181" s="25">
        <f ca="1">DI157</f>
        <v>0</v>
      </c>
      <c r="DC181" s="426" t="s">
        <v>6068</v>
      </c>
      <c r="DG181" s="472"/>
      <c r="DH181" s="757" t="s">
        <v>7756</v>
      </c>
      <c r="DI181" s="525">
        <f ca="1">DS106</f>
        <v>0</v>
      </c>
    </row>
    <row r="182" spans="52:120" x14ac:dyDescent="0.25">
      <c r="AZ182" s="470" t="s">
        <v>6172</v>
      </c>
      <c r="BB182" s="25">
        <f ca="1">BJ189</f>
        <v>0</v>
      </c>
      <c r="BC182" s="426" t="s">
        <v>6076</v>
      </c>
      <c r="BH182" s="469"/>
      <c r="BI182" s="872" t="s">
        <v>6179</v>
      </c>
      <c r="BJ182" s="759">
        <f ca="1">IF(BJ179&lt;&gt;1,
IF((BJ180-BJ181)&lt;0,1,0),
0)</f>
        <v>0</v>
      </c>
      <c r="BU182" s="2"/>
      <c r="BV182" s="2"/>
      <c r="CA182" s="2"/>
      <c r="CB182" s="2"/>
      <c r="CC182" s="2"/>
      <c r="CD182" s="2"/>
      <c r="CE182" s="2"/>
      <c r="CF182" s="2"/>
      <c r="CG182" s="2"/>
      <c r="CH182" s="2"/>
      <c r="DA182" s="470" t="s">
        <v>6172</v>
      </c>
      <c r="DB182" s="25">
        <f ca="1">DI158</f>
        <v>0</v>
      </c>
      <c r="DC182" s="426" t="s">
        <v>6069</v>
      </c>
      <c r="DF182" s="873"/>
      <c r="DG182" s="472"/>
      <c r="DH182" s="757" t="s">
        <v>7757</v>
      </c>
      <c r="DI182" s="525">
        <f ca="1">COUNTIF(DK106,"*1997*")</f>
        <v>0</v>
      </c>
      <c r="DJ182" s="20" t="s">
        <v>7758</v>
      </c>
    </row>
    <row r="183" spans="52:120" x14ac:dyDescent="0.25">
      <c r="AZ183" s="470" t="s">
        <v>6172</v>
      </c>
      <c r="BB183" s="25">
        <f ca="1">BJ190</f>
        <v>0</v>
      </c>
      <c r="BC183" s="426" t="s">
        <v>6077</v>
      </c>
      <c r="BH183" s="469"/>
      <c r="BI183" s="872" t="s">
        <v>7354</v>
      </c>
      <c r="BJ183" s="759">
        <f ca="1">IF(COUNTIFS($M$65:$M$94,BJ178,$AA$65:$AA$94,2)&gt;0,1,0)</f>
        <v>0</v>
      </c>
      <c r="DA183" s="470" t="s">
        <v>6172</v>
      </c>
      <c r="DB183" s="25"/>
      <c r="DC183" s="752" t="s">
        <v>8297</v>
      </c>
      <c r="DG183" s="469"/>
      <c r="DH183" s="758" t="s">
        <v>7755</v>
      </c>
      <c r="DI183" s="759">
        <f ca="1">IF(OR(DI181=0,DI181="Intravenosa",DI182=1),0,1)</f>
        <v>0</v>
      </c>
      <c r="DJ183" s="20" t="s">
        <v>7759</v>
      </c>
      <c r="DK183" s="20" t="s">
        <v>7072</v>
      </c>
      <c r="DL183" s="516" t="s">
        <v>7791</v>
      </c>
    </row>
    <row r="184" spans="52:120" x14ac:dyDescent="0.25">
      <c r="AZ184" s="470" t="s">
        <v>6172</v>
      </c>
      <c r="BB184" s="25">
        <f ca="1">BJ191</f>
        <v>0</v>
      </c>
      <c r="BC184" s="426" t="s">
        <v>6078</v>
      </c>
      <c r="BH184" s="469"/>
      <c r="BI184" s="872" t="s">
        <v>7356</v>
      </c>
      <c r="BJ184" s="767">
        <f ca="1">IF(BM166="Não",1,0)</f>
        <v>0</v>
      </c>
      <c r="DA184" s="470" t="s">
        <v>6172</v>
      </c>
      <c r="DB184" s="22"/>
      <c r="DC184" s="752" t="s">
        <v>8297</v>
      </c>
      <c r="DG184" s="472"/>
      <c r="DH184" s="757" t="s">
        <v>7728</v>
      </c>
      <c r="DI184" s="525">
        <f ca="1">DR106</f>
        <v>0</v>
      </c>
      <c r="DL184" s="738" t="s">
        <v>6502</v>
      </c>
      <c r="DM184" s="738" t="s">
        <v>6519</v>
      </c>
      <c r="DN184" s="738" t="s">
        <v>6522</v>
      </c>
      <c r="DO184" s="738" t="s">
        <v>6523</v>
      </c>
      <c r="DP184" s="738" t="s">
        <v>6524</v>
      </c>
    </row>
    <row r="185" spans="52:120" x14ac:dyDescent="0.25">
      <c r="AZ185" s="470" t="s">
        <v>6172</v>
      </c>
      <c r="BB185" s="25">
        <f ca="1">BJ192</f>
        <v>0</v>
      </c>
      <c r="BC185" s="426" t="s">
        <v>6079</v>
      </c>
      <c r="BH185" s="469"/>
      <c r="DA185" s="470" t="s">
        <v>6172</v>
      </c>
      <c r="DB185" s="22"/>
      <c r="DC185" s="752" t="s">
        <v>8297</v>
      </c>
      <c r="DG185" s="472"/>
      <c r="DH185" s="757" t="s">
        <v>6519</v>
      </c>
      <c r="DI185" s="525">
        <f ca="1">DK106</f>
        <v>0</v>
      </c>
      <c r="DL185" s="840" t="s">
        <v>5752</v>
      </c>
      <c r="DM185" s="840" t="s">
        <v>6521</v>
      </c>
      <c r="DN185" s="841">
        <v>200</v>
      </c>
      <c r="DO185" s="841">
        <v>2000</v>
      </c>
      <c r="DP185" s="840" t="s">
        <v>5747</v>
      </c>
    </row>
    <row r="186" spans="52:120" x14ac:dyDescent="0.25">
      <c r="AZ186" s="470" t="s">
        <v>6172</v>
      </c>
      <c r="BB186" s="25">
        <f ca="1">BJ195</f>
        <v>0</v>
      </c>
      <c r="BC186" s="426" t="s">
        <v>6067</v>
      </c>
      <c r="BH186" s="469"/>
      <c r="BI186" s="872" t="s">
        <v>7360</v>
      </c>
      <c r="BJ186" s="767">
        <f ca="1">IF(CG166=2,
IF(COUNTIF(INDIRECT(BJ162&amp;BX164,1),"sim")&gt;0,1,0),
0)</f>
        <v>0</v>
      </c>
      <c r="DA186" s="470" t="s">
        <v>6172</v>
      </c>
      <c r="DB186" s="22"/>
      <c r="DC186" s="752" t="s">
        <v>8297</v>
      </c>
      <c r="DG186" s="472"/>
      <c r="DH186" s="757" t="s">
        <v>7938</v>
      </c>
      <c r="DI186" s="874" cm="1">
        <f t="array" aca="1" ref="DI186" ca="1">IFERROR(INDEX(DN185:DN190,MATCH(DI184&amp;DI185,DL185:DL190&amp;DP185:DP190,0),1),0)</f>
        <v>0</v>
      </c>
      <c r="DJ186" s="20" t="s">
        <v>7760</v>
      </c>
      <c r="DL186" s="840" t="s">
        <v>5752</v>
      </c>
      <c r="DM186" s="840" t="s">
        <v>6520</v>
      </c>
      <c r="DN186" s="841">
        <v>500</v>
      </c>
      <c r="DO186" s="841">
        <v>4000</v>
      </c>
      <c r="DP186" s="840" t="s">
        <v>5748</v>
      </c>
    </row>
    <row r="187" spans="52:120" x14ac:dyDescent="0.25">
      <c r="AZ187" s="470" t="s">
        <v>6172</v>
      </c>
      <c r="BB187" s="25">
        <f ca="1">BJ186</f>
        <v>0</v>
      </c>
      <c r="BC187" s="426" t="s">
        <v>6210</v>
      </c>
      <c r="BH187" s="469"/>
      <c r="BI187" s="872" t="s">
        <v>7429</v>
      </c>
      <c r="BJ187" s="767">
        <f ca="1">IF(COUNTIF(CA165:CB165,1)=0,1,0)</f>
        <v>1</v>
      </c>
      <c r="DA187" s="470" t="s">
        <v>6172</v>
      </c>
      <c r="DB187" s="22"/>
      <c r="DC187" s="752" t="s">
        <v>8297</v>
      </c>
      <c r="DG187" s="472"/>
      <c r="DH187" s="757" t="s">
        <v>7939</v>
      </c>
      <c r="DI187" s="875" cm="1">
        <f t="array" aca="1" ref="DI187" ca="1">IFERROR(INDEX(DO185:DO190,MATCH(DI184&amp;DI185,DL185:DL190&amp;DP185:DP190,0),1),0)</f>
        <v>0</v>
      </c>
      <c r="DJ187" s="20" t="s">
        <v>7763</v>
      </c>
      <c r="DL187" s="840" t="s">
        <v>5752</v>
      </c>
      <c r="DM187" s="840" t="s">
        <v>6520</v>
      </c>
      <c r="DN187" s="841">
        <v>500</v>
      </c>
      <c r="DO187" s="841">
        <v>4000</v>
      </c>
      <c r="DP187" s="840" t="s">
        <v>5749</v>
      </c>
    </row>
    <row r="188" spans="52:120" x14ac:dyDescent="0.25">
      <c r="AZ188" s="470" t="s">
        <v>6172</v>
      </c>
      <c r="BB188" s="25">
        <f ca="1">BJ179</f>
        <v>0</v>
      </c>
      <c r="BC188" s="426" t="s">
        <v>6243</v>
      </c>
      <c r="BH188" s="469"/>
      <c r="BI188" s="872" t="s">
        <v>7363</v>
      </c>
      <c r="BJ188" s="767">
        <f ca="1">IF(BY166="sim",1,0)</f>
        <v>0</v>
      </c>
      <c r="DA188" s="470" t="s">
        <v>6172</v>
      </c>
      <c r="DB188" s="22"/>
      <c r="DC188" s="752" t="s">
        <v>8297</v>
      </c>
      <c r="DG188" s="469"/>
      <c r="DH188" s="757" t="s">
        <v>7761</v>
      </c>
      <c r="DI188" s="759">
        <f ca="1">IF(COUNTIFS(EK167:EL246,"&gt;0",EK167:EL246,"&lt;"&amp;DI186)&gt;0,1,0)</f>
        <v>0</v>
      </c>
      <c r="DJ188" s="20" t="s">
        <v>7937</v>
      </c>
      <c r="DL188" s="840" t="s">
        <v>5751</v>
      </c>
      <c r="DM188" s="840" t="s">
        <v>6521</v>
      </c>
      <c r="DN188" s="841">
        <v>1000</v>
      </c>
      <c r="DO188" s="841">
        <v>2000</v>
      </c>
      <c r="DP188" s="840" t="s">
        <v>5747</v>
      </c>
    </row>
    <row r="189" spans="52:120" x14ac:dyDescent="0.25">
      <c r="AZ189" s="470" t="s">
        <v>6172</v>
      </c>
      <c r="BB189" s="25">
        <f ca="1">BJ182</f>
        <v>0</v>
      </c>
      <c r="BC189" s="426" t="s">
        <v>6068</v>
      </c>
      <c r="BH189" s="469"/>
      <c r="BI189" s="872" t="s">
        <v>6238</v>
      </c>
      <c r="BJ189" s="767">
        <f ca="1">IF(COUNTIF(INDIRECT($BJ$162&amp;BN171,1),"&lt;1")&gt;0,1,0)</f>
        <v>0</v>
      </c>
      <c r="DA189" s="470" t="s">
        <v>6172</v>
      </c>
      <c r="DB189" s="22"/>
      <c r="DC189" s="752" t="s">
        <v>8297</v>
      </c>
      <c r="DG189" s="469"/>
      <c r="DH189" s="757" t="s">
        <v>7762</v>
      </c>
      <c r="DI189" s="759">
        <f ca="1">IF(COUNTIFS(EE167:EF246,"&gt;0",EE167:EF246,"&lt;"&amp;DI187)&gt;0,1,0)</f>
        <v>0</v>
      </c>
      <c r="DJ189" s="20" t="s">
        <v>7773</v>
      </c>
      <c r="DL189" s="840" t="s">
        <v>5751</v>
      </c>
      <c r="DM189" s="840" t="s">
        <v>6520</v>
      </c>
      <c r="DN189" s="841">
        <v>2000</v>
      </c>
      <c r="DO189" s="841">
        <v>4000</v>
      </c>
      <c r="DP189" s="840" t="s">
        <v>5748</v>
      </c>
    </row>
    <row r="190" spans="52:120" x14ac:dyDescent="0.25">
      <c r="AZ190" s="470" t="s">
        <v>6172</v>
      </c>
      <c r="BB190" s="25">
        <f ca="1">BJ183</f>
        <v>0</v>
      </c>
      <c r="BC190" s="426" t="s">
        <v>6069</v>
      </c>
      <c r="BH190" s="469"/>
      <c r="BI190" s="872" t="s">
        <v>6239</v>
      </c>
      <c r="BJ190" s="767">
        <f ca="1">IF(COUNTIF(INDIRECT($BJ$162&amp;BO171,1),"&gt;4")&gt;0,1,0)</f>
        <v>0</v>
      </c>
      <c r="DA190" s="470" t="s">
        <v>6172</v>
      </c>
      <c r="DB190" s="22"/>
      <c r="DC190" s="752" t="s">
        <v>8297</v>
      </c>
      <c r="DL190" s="840" t="s">
        <v>5751</v>
      </c>
      <c r="DM190" s="840" t="s">
        <v>6520</v>
      </c>
      <c r="DN190" s="841">
        <v>2000</v>
      </c>
      <c r="DO190" s="841">
        <v>4000</v>
      </c>
      <c r="DP190" s="840" t="s">
        <v>5749</v>
      </c>
    </row>
    <row r="191" spans="52:120" x14ac:dyDescent="0.25">
      <c r="AZ191" s="470" t="s">
        <v>6172</v>
      </c>
      <c r="BB191" s="525">
        <f ca="1">IF(CF166&gt;0,1,0)</f>
        <v>0</v>
      </c>
      <c r="BC191" s="426" t="s">
        <v>8330</v>
      </c>
      <c r="BH191" s="469"/>
      <c r="BI191" s="872" t="s">
        <v>6240</v>
      </c>
      <c r="BJ191" s="767">
        <f ca="1">IF(COUNTIF(INDIRECT($BJ$162&amp;BP171,1),"&lt;1,5")&gt;0,1,0)</f>
        <v>0</v>
      </c>
      <c r="DA191" s="470" t="s">
        <v>6172</v>
      </c>
      <c r="DB191" s="22"/>
      <c r="DC191" s="752" t="s">
        <v>8297</v>
      </c>
    </row>
    <row r="192" spans="52:120" x14ac:dyDescent="0.25">
      <c r="AZ192" s="470" t="s">
        <v>6172</v>
      </c>
      <c r="BB192" s="426"/>
      <c r="BC192" s="752" t="s">
        <v>8297</v>
      </c>
      <c r="BH192" s="469"/>
      <c r="BI192" s="872" t="s">
        <v>6241</v>
      </c>
      <c r="BJ192" s="767">
        <f ca="1">IF(COUNTIF(INDIRECT($BJ$162&amp;BQ171,1),"&gt;3"),1,0)</f>
        <v>0</v>
      </c>
      <c r="DA192" s="470" t="s">
        <v>6172</v>
      </c>
      <c r="DB192" s="22"/>
      <c r="DC192" s="752" t="s">
        <v>8297</v>
      </c>
      <c r="DG192" s="472"/>
      <c r="DH192" s="757" t="s">
        <v>7768</v>
      </c>
      <c r="DI192" s="525">
        <f ca="1">EC106</f>
        <v>0</v>
      </c>
      <c r="DL192" s="738" t="s">
        <v>5764</v>
      </c>
      <c r="DM192" s="738" t="s">
        <v>6515</v>
      </c>
      <c r="DN192" s="738" t="s">
        <v>6516</v>
      </c>
    </row>
    <row r="193" spans="52:119" x14ac:dyDescent="0.25">
      <c r="AZ193" s="470" t="s">
        <v>6172</v>
      </c>
      <c r="BB193" s="426"/>
      <c r="BC193" s="752" t="s">
        <v>8297</v>
      </c>
      <c r="BH193" s="469"/>
      <c r="BI193" s="758"/>
      <c r="BJ193" s="767"/>
      <c r="DA193" s="470" t="s">
        <v>6172</v>
      </c>
      <c r="DB193" s="22"/>
      <c r="DC193" s="752" t="s">
        <v>8297</v>
      </c>
      <c r="DG193" s="472"/>
      <c r="DH193" s="757" t="s">
        <v>7766</v>
      </c>
      <c r="DI193" s="525">
        <f ca="1">IFERROR(VLOOKUP(DI192,DL193:DM194,2,0),0)</f>
        <v>0</v>
      </c>
      <c r="DJ193" s="20" t="s">
        <v>7767</v>
      </c>
      <c r="DL193" s="790" t="s">
        <v>5766</v>
      </c>
      <c r="DM193" s="876">
        <v>0.2</v>
      </c>
      <c r="DN193" s="643">
        <f ca="1">EC106</f>
        <v>0</v>
      </c>
    </row>
    <row r="194" spans="52:119" x14ac:dyDescent="0.25">
      <c r="AZ194" s="470" t="s">
        <v>6172</v>
      </c>
      <c r="BB194" s="426"/>
      <c r="BC194" s="752" t="s">
        <v>8297</v>
      </c>
      <c r="BH194" s="469"/>
      <c r="BI194" s="872" t="s">
        <v>7856</v>
      </c>
      <c r="BJ194" s="767">
        <f ca="1">IF(BU166="Não",1,0)</f>
        <v>0</v>
      </c>
      <c r="DA194" s="470" t="s">
        <v>6172</v>
      </c>
      <c r="DB194" s="22"/>
      <c r="DC194" s="752" t="s">
        <v>8297</v>
      </c>
      <c r="DG194" s="469"/>
      <c r="DH194" s="758" t="s">
        <v>7769</v>
      </c>
      <c r="DI194" s="877">
        <f ca="1">IF(COUNTIF(EM187:EN246,"&gt;"&amp;DI193)&gt;0,1,0)</f>
        <v>0</v>
      </c>
      <c r="DJ194" s="20" t="s">
        <v>7770</v>
      </c>
      <c r="DL194" s="643" t="s">
        <v>5765</v>
      </c>
      <c r="DM194" s="878">
        <v>0.05</v>
      </c>
    </row>
    <row r="195" spans="52:119" x14ac:dyDescent="0.25">
      <c r="AZ195" s="470" t="s">
        <v>6172</v>
      </c>
      <c r="BB195" s="426"/>
      <c r="BC195" s="752" t="s">
        <v>8297</v>
      </c>
      <c r="BH195" s="469"/>
      <c r="BI195" s="758" t="s">
        <v>6067</v>
      </c>
      <c r="BJ195" s="767">
        <f ca="1">IF(CG166=2,1,0)</f>
        <v>0</v>
      </c>
      <c r="DA195" s="470" t="s">
        <v>6172</v>
      </c>
      <c r="DB195" s="22"/>
      <c r="DC195" s="752" t="s">
        <v>8297</v>
      </c>
      <c r="DG195" s="469"/>
      <c r="DH195" s="758" t="s">
        <v>7771</v>
      </c>
      <c r="DI195" s="877">
        <f ca="1">IF(COUNTIF(EM177:EN186,"&gt;"&amp;DI193)&gt;0,1,0)</f>
        <v>0</v>
      </c>
      <c r="DJ195" s="20" t="s">
        <v>7772</v>
      </c>
    </row>
    <row r="196" spans="52:119" x14ac:dyDescent="0.25">
      <c r="AZ196" s="470" t="s">
        <v>6172</v>
      </c>
      <c r="BB196" s="25"/>
      <c r="BC196" s="752" t="s">
        <v>8297</v>
      </c>
      <c r="BN196" s="794"/>
      <c r="BO196" s="844">
        <f ca="1">IF(BJ165&lt;&gt;BY165,1,0)</f>
        <v>0</v>
      </c>
      <c r="DA196" s="470" t="s">
        <v>6172</v>
      </c>
      <c r="DB196" s="25"/>
      <c r="DC196" s="752" t="s">
        <v>8297</v>
      </c>
      <c r="DG196" s="472"/>
      <c r="DH196" s="757" t="s">
        <v>7776</v>
      </c>
      <c r="DI196" s="525">
        <f>EI153</f>
        <v>0</v>
      </c>
      <c r="DJ196" s="525">
        <f>EJ153</f>
        <v>0</v>
      </c>
      <c r="DK196" s="20" t="s">
        <v>7777</v>
      </c>
    </row>
    <row r="197" spans="52:119" x14ac:dyDescent="0.25">
      <c r="AZ197" s="470" t="s">
        <v>6172</v>
      </c>
      <c r="BB197" s="25"/>
      <c r="BC197" s="752" t="s">
        <v>8297</v>
      </c>
      <c r="DA197" s="470" t="s">
        <v>6172</v>
      </c>
      <c r="DB197" s="25"/>
      <c r="DC197" s="752" t="s">
        <v>8297</v>
      </c>
      <c r="DG197" s="472"/>
      <c r="DH197" s="757" t="s">
        <v>7775</v>
      </c>
      <c r="DI197" s="525">
        <f>EI154</f>
        <v>0</v>
      </c>
      <c r="DJ197" s="525">
        <f>EJ154</f>
        <v>0</v>
      </c>
      <c r="DK197" s="20" t="s">
        <v>7778</v>
      </c>
      <c r="DL197" s="516" t="s">
        <v>6528</v>
      </c>
    </row>
    <row r="198" spans="52:119" x14ac:dyDescent="0.25">
      <c r="AZ198" s="470" t="s">
        <v>6172</v>
      </c>
      <c r="BB198" s="25"/>
      <c r="BC198" s="752" t="s">
        <v>8297</v>
      </c>
      <c r="DA198" s="470" t="s">
        <v>6172</v>
      </c>
      <c r="DB198" s="25"/>
      <c r="DC198" s="752" t="s">
        <v>8297</v>
      </c>
      <c r="DG198" s="472"/>
      <c r="DH198" s="757" t="s">
        <v>7774</v>
      </c>
      <c r="DI198" s="525"/>
      <c r="DJ198" s="525"/>
      <c r="DK198" s="20" t="s">
        <v>7777</v>
      </c>
      <c r="DL198" s="838" t="s">
        <v>6525</v>
      </c>
      <c r="DM198" s="838" t="s">
        <v>6526</v>
      </c>
      <c r="DN198" s="838" t="s">
        <v>6527</v>
      </c>
      <c r="DO198" s="838" t="s">
        <v>6529</v>
      </c>
    </row>
    <row r="199" spans="52:119" x14ac:dyDescent="0.25">
      <c r="AZ199" s="470" t="s">
        <v>6172</v>
      </c>
      <c r="BB199" s="25"/>
      <c r="BC199" s="752" t="s">
        <v>8297</v>
      </c>
      <c r="DA199" s="470" t="s">
        <v>6172</v>
      </c>
      <c r="DB199" s="25"/>
      <c r="DC199" s="752" t="s">
        <v>8297</v>
      </c>
      <c r="DG199" s="469"/>
      <c r="DH199" s="758" t="s">
        <v>7780</v>
      </c>
      <c r="DI199" s="759">
        <f>IF(DI196&lt;&gt;0,IF(DI196&gt;=DI197,1,0),0)</f>
        <v>0</v>
      </c>
      <c r="DJ199" s="759">
        <f>IF(DJ196&lt;&gt;0,IF(DJ196&gt;=DJ197,1,0),0)</f>
        <v>0</v>
      </c>
      <c r="DK199" s="20" t="s">
        <v>7781</v>
      </c>
      <c r="DL199" s="776">
        <f ca="1">IFERROR(SMALL(INDIRECT($DH$102&amp;DH118,1),1),0)</f>
        <v>0</v>
      </c>
      <c r="DM199" s="776">
        <f ca="1">IFERROR(SMALL(INDIRECT($DH$102&amp;DI118,1),1),0)</f>
        <v>0</v>
      </c>
      <c r="DN199" s="776">
        <f ca="1">IFERROR(SMALL(INDIRECT($DH$102&amp;DJ118,1),1),0)</f>
        <v>0</v>
      </c>
      <c r="DO199" s="776">
        <f ca="1">IFERROR(SMALL(INDIRECT($DH$102&amp;DK118,1),1),0)</f>
        <v>0</v>
      </c>
    </row>
    <row r="200" spans="52:119" x14ac:dyDescent="0.25">
      <c r="AZ200" s="470" t="s">
        <v>6172</v>
      </c>
      <c r="BB200" s="25"/>
      <c r="BC200" s="752" t="s">
        <v>8297</v>
      </c>
      <c r="DA200" s="470" t="s">
        <v>6172</v>
      </c>
      <c r="DB200" s="25"/>
      <c r="DC200" s="752" t="s">
        <v>8297</v>
      </c>
      <c r="DG200" s="469"/>
      <c r="DH200" s="758" t="s">
        <v>7779</v>
      </c>
      <c r="DI200" s="759">
        <f>IF(DI197&lt;&gt;0,IF(DI198&gt;=DI197,1,0),0)</f>
        <v>0</v>
      </c>
      <c r="DJ200" s="759">
        <f>IF(DJ197&lt;&gt;0,IF(DJ198&gt;=DJ197,1,0),0)</f>
        <v>0</v>
      </c>
      <c r="DK200" s="20" t="s">
        <v>7782</v>
      </c>
      <c r="DL200" s="776">
        <f ca="1">IFERROR(LARGE(INDIRECT($DH$102&amp;DH118,1),1),0)</f>
        <v>0</v>
      </c>
      <c r="DM200" s="776">
        <f ca="1">IFERROR(LARGE(INDIRECT($DH$102&amp;DI118,1),1),0)</f>
        <v>0</v>
      </c>
      <c r="DN200" s="776">
        <f ca="1">IFERROR(LARGE(INDIRECT($DH$102&amp;DJ118,1),1),0)</f>
        <v>0</v>
      </c>
      <c r="DO200" s="776">
        <f ca="1">IFERROR(LARGE(INDIRECT($DH$102&amp;DK118,1),1),0)</f>
        <v>0</v>
      </c>
    </row>
    <row r="201" spans="52:119" ht="15.75" thickBot="1" x14ac:dyDescent="0.3">
      <c r="AZ201" s="470" t="s">
        <v>6172</v>
      </c>
      <c r="BB201" s="821" t="s">
        <v>27</v>
      </c>
      <c r="BC201" s="821"/>
      <c r="BD201" s="730"/>
      <c r="BE201" s="730"/>
      <c r="BF201" s="730"/>
      <c r="BG201" s="730"/>
      <c r="BH201" s="730"/>
      <c r="BI201" s="730"/>
      <c r="BJ201" s="730"/>
      <c r="BK201" s="730"/>
      <c r="BL201" s="730"/>
      <c r="BM201" s="730"/>
      <c r="BN201" s="730"/>
      <c r="BO201" s="730"/>
      <c r="BP201" s="730"/>
      <c r="BQ201" s="730"/>
      <c r="BR201" s="730"/>
      <c r="BS201" s="730"/>
      <c r="BT201" s="730"/>
      <c r="BU201" s="730"/>
      <c r="BV201" s="730"/>
      <c r="BW201" s="730"/>
      <c r="BX201" s="730"/>
      <c r="BY201" s="730"/>
      <c r="BZ201" s="730"/>
      <c r="CA201" s="730"/>
      <c r="CB201" s="730"/>
      <c r="CC201" s="730"/>
      <c r="CD201" s="730"/>
      <c r="CE201" s="730"/>
      <c r="CF201" s="730"/>
      <c r="CG201" s="730"/>
      <c r="CH201" s="730"/>
      <c r="CI201" s="730"/>
      <c r="DA201" s="470" t="s">
        <v>6172</v>
      </c>
      <c r="DB201" s="25"/>
      <c r="DC201" s="752" t="s">
        <v>8297</v>
      </c>
      <c r="DG201" s="469"/>
      <c r="DH201" s="758" t="s">
        <v>7783</v>
      </c>
      <c r="DI201" s="759">
        <f ca="1">IF(DL212=1,1,0)</f>
        <v>0</v>
      </c>
      <c r="DJ201" s="20" t="s">
        <v>7787</v>
      </c>
    </row>
    <row r="202" spans="52:119" x14ac:dyDescent="0.25">
      <c r="AZ202" s="470" t="s">
        <v>6172</v>
      </c>
      <c r="BB202" s="477" t="s">
        <v>8104</v>
      </c>
      <c r="BC202" s="477" t="s">
        <v>8294</v>
      </c>
      <c r="BI202" s="733" t="s">
        <v>7321</v>
      </c>
      <c r="BJ202" s="797" t="s">
        <v>5574</v>
      </c>
      <c r="BO202" s="475"/>
      <c r="BP202" s="475"/>
      <c r="BQ202" s="475"/>
      <c r="BR202" s="475"/>
      <c r="BS202" s="475"/>
      <c r="BT202" s="475"/>
      <c r="BU202" s="475"/>
      <c r="BV202" s="475"/>
      <c r="BW202" s="475"/>
      <c r="BX202" s="475"/>
      <c r="BY202" s="475"/>
      <c r="BZ202" s="475"/>
      <c r="CA202" s="475"/>
      <c r="CB202" s="475"/>
      <c r="CC202" s="475"/>
      <c r="CD202" s="475"/>
      <c r="CE202" s="475"/>
      <c r="CF202" s="475"/>
      <c r="CG202" s="475"/>
      <c r="DA202" s="470" t="s">
        <v>6172</v>
      </c>
      <c r="DB202" s="25"/>
      <c r="DC202" s="752" t="s">
        <v>8297</v>
      </c>
      <c r="DG202" s="469"/>
      <c r="DH202" s="758" t="s">
        <v>7784</v>
      </c>
      <c r="DI202" s="759">
        <f ca="1">IF(DM212=1,1,0)</f>
        <v>0</v>
      </c>
      <c r="DJ202" s="20" t="s">
        <v>7788</v>
      </c>
      <c r="DL202" s="516" t="s">
        <v>5759</v>
      </c>
    </row>
    <row r="203" spans="52:119" x14ac:dyDescent="0.25">
      <c r="AZ203" s="470" t="s">
        <v>6172</v>
      </c>
      <c r="BB203" s="844">
        <f ca="1">IF(
AND(BN206="Sim",CN206="Não"),1,0)</f>
        <v>0</v>
      </c>
      <c r="BC203" s="426" t="s">
        <v>6075</v>
      </c>
      <c r="BI203" s="863" t="s">
        <v>7434</v>
      </c>
      <c r="BJ203" s="863" t="s">
        <v>6519</v>
      </c>
      <c r="BK203" s="863" t="s">
        <v>6537</v>
      </c>
      <c r="BL203" s="863" t="s">
        <v>6538</v>
      </c>
      <c r="BM203" s="863" t="s">
        <v>143</v>
      </c>
      <c r="BN203" s="863" t="s">
        <v>5589</v>
      </c>
      <c r="BO203" s="864" t="s">
        <v>30</v>
      </c>
      <c r="BP203" s="864" t="s">
        <v>6174</v>
      </c>
      <c r="BQ203" s="864" t="s">
        <v>6173</v>
      </c>
      <c r="BR203" s="864" t="s">
        <v>6029</v>
      </c>
      <c r="BS203" s="864" t="s">
        <v>218</v>
      </c>
      <c r="BT203" s="864" t="s">
        <v>6183</v>
      </c>
      <c r="BU203" s="864" t="s">
        <v>6184</v>
      </c>
      <c r="BV203" s="864" t="s">
        <v>31</v>
      </c>
      <c r="BW203" s="864" t="s">
        <v>5720</v>
      </c>
      <c r="BX203" s="864" t="s">
        <v>85</v>
      </c>
      <c r="BY203" s="864" t="s">
        <v>235</v>
      </c>
      <c r="BZ203" s="879" t="s">
        <v>312</v>
      </c>
      <c r="CA203" s="879" t="s">
        <v>6244</v>
      </c>
      <c r="CB203" s="879" t="s">
        <v>60</v>
      </c>
      <c r="CC203" s="879" t="s">
        <v>322</v>
      </c>
      <c r="CD203" s="879" t="s">
        <v>309</v>
      </c>
      <c r="CE203" s="879" t="s">
        <v>305</v>
      </c>
      <c r="CF203" s="879" t="s">
        <v>6246</v>
      </c>
      <c r="CG203" s="879" t="s">
        <v>6247</v>
      </c>
      <c r="CH203" s="738" t="s">
        <v>293</v>
      </c>
      <c r="CI203" s="738" t="s">
        <v>301</v>
      </c>
      <c r="CJ203" s="738" t="s">
        <v>302</v>
      </c>
      <c r="CK203" s="864"/>
      <c r="CL203" s="864" t="s">
        <v>143</v>
      </c>
      <c r="CM203" s="864" t="s">
        <v>6189</v>
      </c>
      <c r="CN203" s="738" t="s">
        <v>6231</v>
      </c>
      <c r="CO203" s="880" t="s">
        <v>6245</v>
      </c>
      <c r="CP203" s="738" t="s">
        <v>6187</v>
      </c>
      <c r="DA203" s="470" t="s">
        <v>6172</v>
      </c>
      <c r="DB203" s="25"/>
      <c r="DC203" s="752" t="s">
        <v>8297</v>
      </c>
      <c r="DG203" s="469"/>
      <c r="DH203" s="758" t="s">
        <v>7785</v>
      </c>
      <c r="DI203" s="759">
        <f ca="1">IF(DN212=1,1,0)</f>
        <v>0</v>
      </c>
      <c r="DJ203" s="20" t="s">
        <v>7789</v>
      </c>
      <c r="DL203" s="838" t="s">
        <v>6525</v>
      </c>
      <c r="DM203" s="838" t="s">
        <v>6526</v>
      </c>
      <c r="DN203" s="838" t="s">
        <v>6527</v>
      </c>
      <c r="DO203" s="838" t="s">
        <v>6529</v>
      </c>
    </row>
    <row r="204" spans="52:119" x14ac:dyDescent="0.25">
      <c r="AZ204" s="470" t="s">
        <v>6172</v>
      </c>
      <c r="BB204" s="844">
        <f ca="1">IF(BO205&lt;&gt;BP205,1,0)</f>
        <v>0</v>
      </c>
      <c r="BC204" s="426" t="s">
        <v>6197</v>
      </c>
      <c r="BH204" s="790" t="s">
        <v>5778</v>
      </c>
      <c r="BI204" s="597" t="s">
        <v>1592</v>
      </c>
      <c r="BJ204" s="881" t="s">
        <v>7435</v>
      </c>
      <c r="BK204" s="881" t="s">
        <v>7436</v>
      </c>
      <c r="BL204" s="709" t="s">
        <v>7437</v>
      </c>
      <c r="BM204" s="833" t="s">
        <v>1223</v>
      </c>
      <c r="BN204" s="882" t="s">
        <v>6553</v>
      </c>
      <c r="BO204" s="882" t="s">
        <v>6552</v>
      </c>
      <c r="BP204" s="882" t="s">
        <v>7441</v>
      </c>
      <c r="BQ204" s="882" t="s">
        <v>7442</v>
      </c>
      <c r="BR204" s="883" t="s">
        <v>7443</v>
      </c>
      <c r="BS204" s="882" t="s">
        <v>7444</v>
      </c>
      <c r="BT204" s="882" t="s">
        <v>7445</v>
      </c>
      <c r="BU204" s="884" t="s">
        <v>7446</v>
      </c>
      <c r="BV204" s="884" t="s">
        <v>7447</v>
      </c>
      <c r="BW204" s="883" t="s">
        <v>7341</v>
      </c>
      <c r="BX204" s="882" t="s">
        <v>7342</v>
      </c>
      <c r="BY204" s="883" t="s">
        <v>7448</v>
      </c>
      <c r="BZ204" s="885" t="s">
        <v>7449</v>
      </c>
      <c r="CA204" s="886" t="s">
        <v>7450</v>
      </c>
      <c r="CB204" s="887" t="s">
        <v>7451</v>
      </c>
      <c r="CC204" s="885" t="s">
        <v>7452</v>
      </c>
      <c r="CD204" s="886" t="s">
        <v>7453</v>
      </c>
      <c r="CE204" s="885" t="s">
        <v>7454</v>
      </c>
      <c r="CF204" s="886" t="s">
        <v>8539</v>
      </c>
      <c r="CG204" s="886" t="s">
        <v>7456</v>
      </c>
      <c r="CH204" s="888" t="s">
        <v>7438</v>
      </c>
      <c r="CI204" s="888" t="s">
        <v>7439</v>
      </c>
      <c r="CJ204" s="888" t="s">
        <v>7440</v>
      </c>
      <c r="CK204" s="886"/>
      <c r="CL204" s="886" t="s">
        <v>7457</v>
      </c>
      <c r="CM204" s="886" t="s">
        <v>7458</v>
      </c>
      <c r="CN204" s="746" t="s">
        <v>6248</v>
      </c>
      <c r="CO204" s="709" t="s">
        <v>7944</v>
      </c>
      <c r="CP204" s="709" t="s">
        <v>6249</v>
      </c>
      <c r="DA204" s="470" t="s">
        <v>6172</v>
      </c>
      <c r="DB204" s="25"/>
      <c r="DC204" s="752" t="s">
        <v>8297</v>
      </c>
      <c r="DG204" s="469"/>
      <c r="DH204" s="758" t="s">
        <v>7786</v>
      </c>
      <c r="DI204" s="759">
        <f ca="1">IF(DO212=1,1,0)</f>
        <v>0</v>
      </c>
      <c r="DJ204" s="20" t="s">
        <v>7790</v>
      </c>
      <c r="DK204" s="20" t="s">
        <v>260</v>
      </c>
      <c r="DL204" s="776">
        <f ca="1">IFERROR(SMALL(INDIRECT($DH$102&amp;DP118,1),1),0)</f>
        <v>0</v>
      </c>
      <c r="DM204" s="776">
        <f ca="1">IFERROR(SMALL(INDIRECT($DH$102&amp;DQ118,1),1),0)</f>
        <v>0</v>
      </c>
      <c r="DN204" s="776">
        <f ca="1">IFERROR(SMALL(INDIRECT($DH$102&amp;DR118,1),1),0)</f>
        <v>0</v>
      </c>
      <c r="DO204" s="776">
        <f ca="1">IFERROR(SMALL(INDIRECT($DH$102&amp;DS118,1),1),0)</f>
        <v>0</v>
      </c>
    </row>
    <row r="205" spans="52:119" x14ac:dyDescent="0.25">
      <c r="AZ205" s="470" t="s">
        <v>6172</v>
      </c>
      <c r="BB205" s="844">
        <f ca="1">IF(BO205&lt;&gt;BQ205,1,0)</f>
        <v>0</v>
      </c>
      <c r="BC205" s="426" t="s">
        <v>6198</v>
      </c>
      <c r="BH205" s="889" t="s">
        <v>6222</v>
      </c>
      <c r="BI205" s="597">
        <f t="shared" ref="BI205:CM205" ca="1" si="68">COUNTA(INDIRECT($BJ$202&amp;BI204,1))</f>
        <v>0</v>
      </c>
      <c r="BJ205" s="597">
        <f t="shared" ca="1" si="68"/>
        <v>0</v>
      </c>
      <c r="BK205" s="597">
        <f t="shared" ca="1" si="68"/>
        <v>0</v>
      </c>
      <c r="BL205" s="597">
        <f t="shared" ca="1" si="68"/>
        <v>0</v>
      </c>
      <c r="BM205" s="597">
        <f t="shared" ca="1" si="68"/>
        <v>0</v>
      </c>
      <c r="BN205" s="597">
        <f t="shared" ca="1" si="68"/>
        <v>0</v>
      </c>
      <c r="BO205" s="597">
        <f t="shared" ca="1" si="68"/>
        <v>0</v>
      </c>
      <c r="BP205" s="597">
        <f t="shared" ca="1" si="68"/>
        <v>0</v>
      </c>
      <c r="BQ205" s="597">
        <f t="shared" ca="1" si="68"/>
        <v>0</v>
      </c>
      <c r="BR205" s="597">
        <f t="shared" ca="1" si="68"/>
        <v>0</v>
      </c>
      <c r="BS205" s="597">
        <f t="shared" ca="1" si="68"/>
        <v>0</v>
      </c>
      <c r="BT205" s="597">
        <f t="shared" ca="1" si="68"/>
        <v>0</v>
      </c>
      <c r="BU205" s="597">
        <f t="shared" ca="1" si="68"/>
        <v>0</v>
      </c>
      <c r="BV205" s="597">
        <f t="shared" ca="1" si="68"/>
        <v>0</v>
      </c>
      <c r="BW205" s="597">
        <f t="shared" ca="1" si="68"/>
        <v>0</v>
      </c>
      <c r="BX205" s="597">
        <f t="shared" ca="1" si="68"/>
        <v>1</v>
      </c>
      <c r="BY205" s="597">
        <f t="shared" ca="1" si="68"/>
        <v>0</v>
      </c>
      <c r="BZ205" s="597">
        <f t="shared" ca="1" si="68"/>
        <v>0</v>
      </c>
      <c r="CA205" s="597">
        <f t="shared" ca="1" si="68"/>
        <v>0</v>
      </c>
      <c r="CB205" s="597">
        <f t="shared" ca="1" si="68"/>
        <v>0</v>
      </c>
      <c r="CC205" s="597">
        <f t="shared" ca="1" si="68"/>
        <v>0</v>
      </c>
      <c r="CD205" s="597">
        <f t="shared" ca="1" si="68"/>
        <v>0</v>
      </c>
      <c r="CE205" s="597">
        <f t="shared" ca="1" si="68"/>
        <v>0</v>
      </c>
      <c r="CF205" s="597">
        <f t="shared" ca="1" si="68"/>
        <v>0</v>
      </c>
      <c r="CG205" s="597">
        <f t="shared" ca="1" si="68"/>
        <v>0</v>
      </c>
      <c r="CH205" s="597">
        <f t="shared" ca="1" si="68"/>
        <v>0</v>
      </c>
      <c r="CI205" s="597">
        <f t="shared" ca="1" si="68"/>
        <v>0</v>
      </c>
      <c r="CJ205" s="597">
        <f t="shared" ca="1" si="68"/>
        <v>0</v>
      </c>
      <c r="CK205" s="597"/>
      <c r="CL205" s="597">
        <f t="shared" ca="1" si="68"/>
        <v>0</v>
      </c>
      <c r="CM205" s="597">
        <f t="shared" ca="1" si="68"/>
        <v>0</v>
      </c>
      <c r="CN205" s="597">
        <f ca="1">COUNTA(INDIRECT(CN204,1))</f>
        <v>0</v>
      </c>
      <c r="CO205" s="597">
        <f ca="1">COUNTIF(INDIRECT(CO204),TRUE)</f>
        <v>0</v>
      </c>
      <c r="CP205" s="597">
        <f t="shared" ref="CP205" ca="1" si="69">COUNTA(INDIRECT(CP204,1))</f>
        <v>1</v>
      </c>
      <c r="DA205" s="470" t="s">
        <v>6172</v>
      </c>
      <c r="DB205" s="25"/>
      <c r="DC205" s="752" t="s">
        <v>8297</v>
      </c>
      <c r="DG205" s="469"/>
      <c r="DH205" s="758" t="s">
        <v>7959</v>
      </c>
      <c r="DI205" s="759">
        <f ca="1">IF(
          AND(DG105=1,DI152=0,
              COUNTIF(DY155:DZ160,"&gt;2000")&gt;0),
1,0)</f>
        <v>0</v>
      </c>
      <c r="DJ205" s="20" t="s">
        <v>7792</v>
      </c>
      <c r="DK205" s="20" t="s">
        <v>261</v>
      </c>
      <c r="DL205" s="776">
        <f ca="1">IFERROR(LARGE(INDIRECT($DH$102&amp;DP118,1),1),0)</f>
        <v>0</v>
      </c>
      <c r="DM205" s="776">
        <f ca="1">IFERROR(LARGE(INDIRECT($DH$102&amp;DQ118,1),1),0)</f>
        <v>0</v>
      </c>
      <c r="DN205" s="776">
        <f ca="1">IFERROR(LARGE(INDIRECT($DH$102&amp;DR118,1),1),0)</f>
        <v>0</v>
      </c>
      <c r="DO205" s="776">
        <f ca="1">IFERROR(LARGE(INDIRECT($DH$102&amp;DS118,1),1),0)</f>
        <v>0</v>
      </c>
    </row>
    <row r="206" spans="52:119" x14ac:dyDescent="0.25">
      <c r="AZ206" s="470" t="s">
        <v>6172</v>
      </c>
      <c r="BB206" s="844">
        <f ca="1">IF(BO205&lt;&gt;BR205,1,0)</f>
        <v>0</v>
      </c>
      <c r="BC206" s="426" t="s">
        <v>6199</v>
      </c>
      <c r="BH206" s="790" t="s">
        <v>6133</v>
      </c>
      <c r="BI206" s="597" cm="1">
        <f t="array" aca="1" ref="BI206" ca="1">INDIRECT($BJ$202&amp;BI204,1)</f>
        <v>0</v>
      </c>
      <c r="BJ206" s="709"/>
      <c r="BK206" s="709"/>
      <c r="BL206" s="709"/>
      <c r="BM206" s="597" cm="1">
        <f t="array" aca="1" ref="BM206" ca="1">INDIRECT($BJ$202&amp;BM204,1)</f>
        <v>0</v>
      </c>
      <c r="BN206" s="597" cm="1">
        <f t="array" aca="1" ref="BN206" ca="1">INDIRECT($BJ$202&amp;BN204,1)</f>
        <v>0</v>
      </c>
      <c r="BO206" s="597" cm="1">
        <f t="array" aca="1" ref="BO206" ca="1">INDIRECT($BJ$202&amp;BO204,1)</f>
        <v>0</v>
      </c>
      <c r="BP206" s="597" cm="1">
        <f t="array" aca="1" ref="BP206" ca="1">INDIRECT($BJ$202&amp;BP204,1)</f>
        <v>0</v>
      </c>
      <c r="BQ206" s="597" cm="1">
        <f t="array" aca="1" ref="BQ206" ca="1">INDIRECT($BJ$202&amp;BQ204,1)</f>
        <v>0</v>
      </c>
      <c r="BR206" s="597" cm="1">
        <f t="array" aca="1" ref="BR206" ca="1">INDIRECT($BJ$202&amp;BR204,1)</f>
        <v>0</v>
      </c>
      <c r="BS206" s="597" cm="1">
        <f t="array" aca="1" ref="BS206" ca="1">INDIRECT($BJ$202&amp;BS204,1)</f>
        <v>0</v>
      </c>
      <c r="BT206" s="597" cm="1">
        <f t="array" aca="1" ref="BT206" ca="1">INDIRECT($BJ$202&amp;BT204,1)</f>
        <v>0</v>
      </c>
      <c r="BU206" s="597" cm="1">
        <f t="array" aca="1" ref="BU206" ca="1">INDIRECT($BJ$202&amp;BU204,1)</f>
        <v>0</v>
      </c>
      <c r="BV206" s="597" cm="1">
        <f t="array" aca="1" ref="BV206" ca="1">INDIRECT($BJ$202&amp;BV204,1)</f>
        <v>0</v>
      </c>
      <c r="BW206" s="597" cm="1">
        <f t="array" aca="1" ref="BW206" ca="1">INDIRECT($BJ$202&amp;BW204,1)</f>
        <v>0</v>
      </c>
      <c r="BX206" s="597" t="str" cm="1">
        <f t="array" aca="1" ref="BX206" ca="1">INDIRECT($BJ$202&amp;BX204,1)</f>
        <v>Oryctolagus cuniculus</v>
      </c>
      <c r="BY206" s="597" cm="1">
        <f t="array" aca="1" ref="BY206" ca="1">INDIRECT($BJ$202&amp;BY204,1)</f>
        <v>0</v>
      </c>
      <c r="BZ206" s="597" cm="1">
        <f t="array" aca="1" ref="BZ206" ca="1">INDIRECT($BJ$202&amp;BZ204,1)</f>
        <v>0</v>
      </c>
      <c r="CA206" s="597" cm="1">
        <f t="array" aca="1" ref="CA206" ca="1">INDIRECT($BJ$202&amp;CA204,1)</f>
        <v>0</v>
      </c>
      <c r="CB206" s="597" cm="1">
        <f t="array" aca="1" ref="CB206" ca="1">INDIRECT($BJ$202&amp;CB204,1)</f>
        <v>0</v>
      </c>
      <c r="CC206" s="597" cm="1">
        <f t="array" aca="1" ref="CC206" ca="1">INDIRECT($BJ$202&amp;CC204,1)</f>
        <v>0</v>
      </c>
      <c r="CD206" s="597" cm="1">
        <f t="array" aca="1" ref="CD206" ca="1">INDIRECT($BJ$202&amp;CD204,1)</f>
        <v>0</v>
      </c>
      <c r="CE206" s="597" cm="1">
        <f t="array" aca="1" ref="CE206" ca="1">INDIRECT($BJ$202&amp;CE204,1)</f>
        <v>0</v>
      </c>
      <c r="CF206" s="597" cm="1">
        <f t="array" aca="1" ref="CF206" ca="1">INDIRECT($BJ$202&amp;CF204,1)</f>
        <v>0</v>
      </c>
      <c r="CG206" s="597" cm="1">
        <f t="array" aca="1" ref="CG206" ca="1">INDIRECT($BJ$202&amp;CG204,1)</f>
        <v>0</v>
      </c>
      <c r="CH206" s="709"/>
      <c r="CI206" s="709"/>
      <c r="CJ206" s="709"/>
      <c r="CK206" s="597"/>
      <c r="CL206" s="597" cm="1">
        <f t="array" aca="1" ref="CL206" ca="1">INDIRECT($BJ$202&amp;CL204,1)</f>
        <v>0</v>
      </c>
      <c r="CM206" s="597" cm="1">
        <f t="array" aca="1" ref="CM206" ca="1">INDIRECT($BJ$202&amp;CM204,1)</f>
        <v>0</v>
      </c>
      <c r="CN206" s="597" cm="1">
        <f t="array" aca="1" ref="CN206" ca="1">INDIRECT(CN204,1)</f>
        <v>0</v>
      </c>
      <c r="CO206" s="597"/>
      <c r="CP206" s="597" cm="1">
        <f t="array" aca="1" ref="CP206" ca="1">INDIRECT(CP204,1)</f>
        <v>0</v>
      </c>
      <c r="DA206" s="470" t="s">
        <v>6172</v>
      </c>
      <c r="DB206" s="25"/>
      <c r="DC206" s="752" t="s">
        <v>8297</v>
      </c>
    </row>
    <row r="207" spans="52:119" x14ac:dyDescent="0.25">
      <c r="AZ207" s="470" t="s">
        <v>6172</v>
      </c>
      <c r="BB207" s="844">
        <f ca="1">IF(BO205&lt;&gt;BS205,1,0)</f>
        <v>0</v>
      </c>
      <c r="BC207" s="426" t="s">
        <v>6200</v>
      </c>
      <c r="DA207" s="470" t="s">
        <v>6172</v>
      </c>
      <c r="DB207" s="25"/>
      <c r="DC207" s="752" t="s">
        <v>8297</v>
      </c>
      <c r="DL207" s="516" t="s">
        <v>5972</v>
      </c>
    </row>
    <row r="208" spans="52:119" x14ac:dyDescent="0.25">
      <c r="AZ208" s="470" t="s">
        <v>6172</v>
      </c>
      <c r="BB208" s="844">
        <f ca="1">IF(BO205&lt;&gt;BU205,1,0)</f>
        <v>0</v>
      </c>
      <c r="BC208" s="426" t="s">
        <v>6201</v>
      </c>
      <c r="DA208" s="470" t="s">
        <v>6172</v>
      </c>
      <c r="DL208" s="838" t="s">
        <v>6525</v>
      </c>
      <c r="DM208" s="838" t="s">
        <v>6526</v>
      </c>
      <c r="DN208" s="838" t="s">
        <v>6527</v>
      </c>
      <c r="DO208" s="838" t="s">
        <v>6529</v>
      </c>
    </row>
    <row r="209" spans="52:123" x14ac:dyDescent="0.25">
      <c r="AZ209" s="470" t="s">
        <v>6172</v>
      </c>
      <c r="BB209" s="844">
        <f ca="1">IF(BO205&lt;&gt;BV205,1,0)</f>
        <v>0</v>
      </c>
      <c r="BC209" s="426" t="s">
        <v>6202</v>
      </c>
      <c r="DA209" s="470" t="s">
        <v>6172</v>
      </c>
      <c r="DK209" s="20" t="s">
        <v>260</v>
      </c>
      <c r="DL209" s="890">
        <f t="shared" ref="DL209:DO210" ca="1" si="70">IF(DL199&lt;&gt;0,DL199,
IF(DL204&lt;&gt;0,DL204,0))</f>
        <v>0</v>
      </c>
      <c r="DM209" s="890">
        <f t="shared" ca="1" si="70"/>
        <v>0</v>
      </c>
      <c r="DN209" s="890">
        <f t="shared" ca="1" si="70"/>
        <v>0</v>
      </c>
      <c r="DO209" s="890">
        <f t="shared" ca="1" si="70"/>
        <v>0</v>
      </c>
    </row>
    <row r="210" spans="52:123" x14ac:dyDescent="0.25">
      <c r="AZ210" s="470" t="s">
        <v>6172</v>
      </c>
      <c r="BB210" s="844">
        <f ca="1">IF(BO205&lt;&gt;BW205,1,0)</f>
        <v>0</v>
      </c>
      <c r="BC210" s="426" t="s">
        <v>6203</v>
      </c>
      <c r="BI210" s="863" t="s">
        <v>6250</v>
      </c>
      <c r="BJ210" s="863" t="s">
        <v>6251</v>
      </c>
      <c r="BK210" s="863" t="s">
        <v>6252</v>
      </c>
      <c r="BL210" s="863" t="s">
        <v>6253</v>
      </c>
      <c r="BM210" s="863" t="s">
        <v>6255</v>
      </c>
      <c r="BN210" s="863" t="s">
        <v>6256</v>
      </c>
      <c r="BO210" s="863" t="s">
        <v>6257</v>
      </c>
      <c r="BP210" s="863" t="s">
        <v>6258</v>
      </c>
      <c r="BQ210" s="863" t="s">
        <v>6254</v>
      </c>
      <c r="BR210" s="863" t="s">
        <v>6259</v>
      </c>
      <c r="BS210" s="863" t="s">
        <v>6260</v>
      </c>
      <c r="BT210" s="863" t="s">
        <v>6261</v>
      </c>
      <c r="BU210" s="863" t="s">
        <v>6262</v>
      </c>
      <c r="BV210" s="863" t="s">
        <v>6263</v>
      </c>
      <c r="BW210" s="863" t="s">
        <v>6264</v>
      </c>
      <c r="DA210" s="470" t="s">
        <v>6172</v>
      </c>
      <c r="DK210" s="20" t="s">
        <v>261</v>
      </c>
      <c r="DL210" s="890">
        <f t="shared" ca="1" si="70"/>
        <v>0</v>
      </c>
      <c r="DM210" s="890">
        <f t="shared" ca="1" si="70"/>
        <v>0</v>
      </c>
      <c r="DN210" s="890">
        <f t="shared" ca="1" si="70"/>
        <v>0</v>
      </c>
      <c r="DO210" s="890">
        <f t="shared" ca="1" si="70"/>
        <v>0</v>
      </c>
    </row>
    <row r="211" spans="52:123" x14ac:dyDescent="0.25">
      <c r="AZ211" s="470" t="s">
        <v>6172</v>
      </c>
      <c r="BB211" s="844">
        <f ca="1">IF(AND(BO205=1,BX205=0),1,0)</f>
        <v>0</v>
      </c>
      <c r="BC211" s="426" t="s">
        <v>6204</v>
      </c>
      <c r="BH211" s="790" t="s">
        <v>5778</v>
      </c>
      <c r="BI211" s="743" t="s">
        <v>7376</v>
      </c>
      <c r="BJ211" s="743" t="s">
        <v>7461</v>
      </c>
      <c r="BK211" s="743" t="s">
        <v>7462</v>
      </c>
      <c r="BL211" s="743" t="s">
        <v>7966</v>
      </c>
      <c r="BM211" s="743" t="s">
        <v>7967</v>
      </c>
      <c r="BN211" s="743" t="s">
        <v>7968</v>
      </c>
      <c r="BO211" s="743" t="s">
        <v>7969</v>
      </c>
      <c r="BP211" s="743" t="s">
        <v>7970</v>
      </c>
      <c r="BQ211" s="743" t="s">
        <v>7971</v>
      </c>
      <c r="BR211" s="743" t="s">
        <v>7972</v>
      </c>
      <c r="BS211" s="743" t="s">
        <v>7973</v>
      </c>
      <c r="BT211" s="743" t="s">
        <v>7974</v>
      </c>
      <c r="BU211" s="743" t="s">
        <v>7975</v>
      </c>
      <c r="BV211" s="743" t="s">
        <v>7976</v>
      </c>
      <c r="BW211" s="743" t="s">
        <v>7977</v>
      </c>
      <c r="DA211" s="470" t="s">
        <v>6172</v>
      </c>
      <c r="DK211" s="20" t="s">
        <v>6530</v>
      </c>
      <c r="DL211" s="891">
        <f>IFERROR(SUM(EG167:EG176)/SUM(EE167:EE176),0)</f>
        <v>0</v>
      </c>
      <c r="DM211" s="891">
        <f>IFERROR(SUM(EH167:EH176)/SUM(EF167:EF176),0)</f>
        <v>0</v>
      </c>
      <c r="DN211" s="891">
        <f>IFERROR(SUM(EG177:EG186)/SUM(EE177:EE186),0)</f>
        <v>0</v>
      </c>
      <c r="DO211" s="891">
        <f>IFERROR(SUM(EH177:EH186)/SUM(EF177:EF186),0)</f>
        <v>0</v>
      </c>
    </row>
    <row r="212" spans="52:123" x14ac:dyDescent="0.25">
      <c r="AZ212" s="470" t="s">
        <v>6172</v>
      </c>
      <c r="BB212" s="844">
        <f ca="1">IF(BO205&lt;&gt;BZ205,1,0)</f>
        <v>0</v>
      </c>
      <c r="BC212" s="426" t="s">
        <v>6266</v>
      </c>
      <c r="BH212" s="889" t="s">
        <v>6222</v>
      </c>
      <c r="BI212" s="597">
        <f t="shared" ref="BI212:BW212" ca="1" si="71">COUNTA(INDIRECT($BJ$202&amp;BI211,1))</f>
        <v>0</v>
      </c>
      <c r="BJ212" s="597">
        <f t="shared" ca="1" si="71"/>
        <v>0</v>
      </c>
      <c r="BK212" s="597">
        <f t="shared" ca="1" si="71"/>
        <v>0</v>
      </c>
      <c r="BL212" s="597">
        <f t="shared" ca="1" si="71"/>
        <v>0</v>
      </c>
      <c r="BM212" s="597">
        <f t="shared" ca="1" si="71"/>
        <v>0</v>
      </c>
      <c r="BN212" s="597">
        <f t="shared" ca="1" si="71"/>
        <v>0</v>
      </c>
      <c r="BO212" s="597">
        <f t="shared" ca="1" si="71"/>
        <v>0</v>
      </c>
      <c r="BP212" s="597">
        <f t="shared" ca="1" si="71"/>
        <v>0</v>
      </c>
      <c r="BQ212" s="597">
        <f t="shared" ca="1" si="71"/>
        <v>0</v>
      </c>
      <c r="BR212" s="597">
        <f t="shared" ca="1" si="71"/>
        <v>0</v>
      </c>
      <c r="BS212" s="597">
        <f t="shared" ca="1" si="71"/>
        <v>0</v>
      </c>
      <c r="BT212" s="597">
        <f t="shared" ca="1" si="71"/>
        <v>0</v>
      </c>
      <c r="BU212" s="597">
        <f t="shared" ca="1" si="71"/>
        <v>0</v>
      </c>
      <c r="BV212" s="597">
        <f t="shared" ca="1" si="71"/>
        <v>0</v>
      </c>
      <c r="BW212" s="597">
        <f t="shared" ca="1" si="71"/>
        <v>0</v>
      </c>
      <c r="DA212" s="470" t="s">
        <v>6172</v>
      </c>
      <c r="DK212" s="20" t="s">
        <v>18</v>
      </c>
      <c r="DL212" s="643">
        <f ca="1">IF(AND(DL209&lt;&gt;0,DL211&lt;&gt;0),
IF(OR(DL211&lt;DL209,DL211&gt;DL210),1,0),0)</f>
        <v>0</v>
      </c>
      <c r="DM212" s="643">
        <f ca="1">IF(AND(DM209&lt;&gt;0,DM211&lt;&gt;0),
IF(OR(DM211&lt;DM209,DM211&gt;DM210),1,0),0)</f>
        <v>0</v>
      </c>
      <c r="DN212" s="643">
        <f ca="1">IF(AND(DN209&lt;&gt;0,DN211&lt;&gt;0),
IF(OR(DN211&lt;DN209,DN211&gt;DN210),1,0),0)</f>
        <v>0</v>
      </c>
      <c r="DO212" s="643">
        <f ca="1">IF(AND(DO209&lt;&gt;0,DO211&lt;&gt;0),
IF(OR(DO211&lt;DO209,DO211&gt;DO210),1,0),0)</f>
        <v>0</v>
      </c>
    </row>
    <row r="213" spans="52:123" x14ac:dyDescent="0.25">
      <c r="AZ213" s="470" t="s">
        <v>6172</v>
      </c>
      <c r="BB213" s="844">
        <f ca="1">IF(BZ205&lt;&gt;CA205,1,0)</f>
        <v>0</v>
      </c>
      <c r="BC213" s="426" t="s">
        <v>6267</v>
      </c>
      <c r="BH213" s="790" t="s">
        <v>6133</v>
      </c>
      <c r="BI213" s="535"/>
      <c r="BJ213" s="535"/>
      <c r="BK213" s="535"/>
      <c r="BL213" s="535"/>
      <c r="BM213" s="535"/>
      <c r="BN213" s="535"/>
      <c r="BO213" s="535"/>
      <c r="BP213" s="535"/>
      <c r="BQ213" s="535"/>
      <c r="BR213" s="535"/>
      <c r="BS213" s="535"/>
      <c r="BT213" s="535"/>
      <c r="BU213" s="535"/>
      <c r="BV213" s="535"/>
      <c r="BW213" s="535"/>
      <c r="DA213" s="470" t="s">
        <v>6172</v>
      </c>
    </row>
    <row r="214" spans="52:123" x14ac:dyDescent="0.25">
      <c r="AZ214" s="470" t="s">
        <v>6172</v>
      </c>
      <c r="BB214" s="844">
        <f ca="1">IF(BO205&lt;&gt;CB205,1,0)</f>
        <v>0</v>
      </c>
      <c r="BC214" s="426" t="s">
        <v>6268</v>
      </c>
      <c r="DA214" s="470" t="s">
        <v>6172</v>
      </c>
      <c r="DL214" s="472"/>
      <c r="DM214" s="472"/>
      <c r="DN214" s="472"/>
      <c r="DO214" s="472"/>
    </row>
    <row r="215" spans="52:123" x14ac:dyDescent="0.25">
      <c r="AZ215" s="470" t="s">
        <v>6172</v>
      </c>
      <c r="BB215" s="844">
        <f ca="1">IF(AND(CB206="sim",CC205=0),1,0)</f>
        <v>0</v>
      </c>
      <c r="BC215" s="426" t="s">
        <v>6269</v>
      </c>
      <c r="DA215" s="470" t="s">
        <v>6172</v>
      </c>
      <c r="DL215" s="472" t="s">
        <v>7831</v>
      </c>
      <c r="DM215" s="472"/>
      <c r="DN215" s="472"/>
      <c r="DO215" s="472"/>
    </row>
    <row r="216" spans="52:123" x14ac:dyDescent="0.25">
      <c r="AZ216" s="470" t="s">
        <v>6172</v>
      </c>
      <c r="BB216" s="844">
        <f ca="1">IF(BO205&lt;&gt;CE205,1,0)</f>
        <v>0</v>
      </c>
      <c r="BC216" s="426" t="s">
        <v>6270</v>
      </c>
      <c r="DA216" s="470" t="s">
        <v>6172</v>
      </c>
      <c r="DL216" s="472" t="s">
        <v>123</v>
      </c>
      <c r="DM216" s="472"/>
      <c r="DN216" s="472" t="s">
        <v>7832</v>
      </c>
      <c r="DO216" s="472"/>
      <c r="DP216" s="605" t="s">
        <v>7839</v>
      </c>
    </row>
    <row r="217" spans="52:123" x14ac:dyDescent="0.25">
      <c r="AZ217" s="470" t="s">
        <v>6172</v>
      </c>
      <c r="BB217" s="844">
        <f ca="1">IF(OR(
AND(BI212=0,BL212&gt;0),
AND(BJ212=0,BP212&gt;0),
AND(BK212=0,BT212&gt;0)),
1,0)</f>
        <v>0</v>
      </c>
      <c r="BC217" s="426" t="s">
        <v>6271</v>
      </c>
      <c r="BH217" s="472"/>
      <c r="BI217" s="757" t="s">
        <v>7850</v>
      </c>
      <c r="BJ217" s="525">
        <f ca="1">IF(BO205=1,1,0)</f>
        <v>0</v>
      </c>
      <c r="DA217" s="470" t="s">
        <v>6172</v>
      </c>
      <c r="DK217" s="506"/>
      <c r="DL217" s="892" t="s">
        <v>36</v>
      </c>
      <c r="DM217" s="892" t="s">
        <v>37</v>
      </c>
      <c r="DN217" s="892" t="s">
        <v>36</v>
      </c>
      <c r="DO217" s="892" t="s">
        <v>37</v>
      </c>
      <c r="DP217" s="893" t="s">
        <v>36</v>
      </c>
      <c r="DQ217" s="893"/>
      <c r="DR217" s="893" t="s">
        <v>37</v>
      </c>
      <c r="DS217" s="893"/>
    </row>
    <row r="218" spans="52:123" x14ac:dyDescent="0.25">
      <c r="AZ218" s="470" t="s">
        <v>6172</v>
      </c>
      <c r="BB218" s="844">
        <f ca="1">BJ231</f>
        <v>0</v>
      </c>
      <c r="BC218" s="426" t="s">
        <v>6272</v>
      </c>
      <c r="BH218" s="472"/>
      <c r="BI218" s="871" t="s">
        <v>6211</v>
      </c>
      <c r="BJ218" s="525">
        <f ca="1">BW206</f>
        <v>0</v>
      </c>
      <c r="DA218" s="470" t="s">
        <v>6172</v>
      </c>
      <c r="DK218" s="645" t="s">
        <v>134</v>
      </c>
      <c r="DL218" s="525" t="s">
        <v>7825</v>
      </c>
      <c r="DM218" s="525" t="s">
        <v>7833</v>
      </c>
      <c r="DN218" s="525" cm="1">
        <f t="array" aca="1" ref="DN218" ca="1">INDIRECT($DH$102&amp;DL218,1)</f>
        <v>0</v>
      </c>
      <c r="DO218" s="525" cm="1">
        <f t="array" aca="1" ref="DO218" ca="1">INDIRECT($DH$102&amp;DM218,1)</f>
        <v>0</v>
      </c>
      <c r="DP218" s="759">
        <f t="shared" ref="DP218:DP223" ca="1" si="72">IF(DN218&lt;&gt;"-",IF(OR(DN218&lt;$DL$209,DN218&gt;$DL$210),1,0),0)</f>
        <v>0</v>
      </c>
      <c r="DQ218" s="759"/>
      <c r="DR218" s="759">
        <f t="shared" ref="DR218:DR223" ca="1" si="73">IF(DO218&lt;&gt;"-",IF(OR(DO218&lt;$DM$209,DO218&gt;$DM$210),1,0),0)</f>
        <v>0</v>
      </c>
      <c r="DS218" s="759"/>
    </row>
    <row r="219" spans="52:123" x14ac:dyDescent="0.25">
      <c r="AZ219" s="470" t="s">
        <v>6172</v>
      </c>
      <c r="BB219" s="844">
        <f ca="1">IF(AND(BO205=1,CO205=0),1,0)</f>
        <v>0</v>
      </c>
      <c r="BC219" s="426" t="s">
        <v>6284</v>
      </c>
      <c r="BH219" s="469"/>
      <c r="BI219" s="872" t="s">
        <v>6223</v>
      </c>
      <c r="BJ219" s="759">
        <f ca="1">IF(BJ218&lt;&gt;0,
IF(COUNTIF($M$65:$M$94,BJ218)=0,1,0),0)</f>
        <v>0</v>
      </c>
      <c r="DA219" s="470" t="s">
        <v>6172</v>
      </c>
      <c r="DK219" s="645" t="s">
        <v>136</v>
      </c>
      <c r="DL219" s="525" t="s">
        <v>7826</v>
      </c>
      <c r="DM219" s="525" t="s">
        <v>7834</v>
      </c>
      <c r="DN219" s="525" cm="1">
        <f t="array" aca="1" ref="DN219" ca="1">INDIRECT($DH$102&amp;DL219,1)</f>
        <v>0</v>
      </c>
      <c r="DO219" s="525" cm="1">
        <f t="array" aca="1" ref="DO219" ca="1">INDIRECT($DH$102&amp;DM219,1)</f>
        <v>0</v>
      </c>
      <c r="DP219" s="759">
        <f t="shared" ca="1" si="72"/>
        <v>0</v>
      </c>
      <c r="DQ219" s="759"/>
      <c r="DR219" s="759">
        <f t="shared" ca="1" si="73"/>
        <v>0</v>
      </c>
      <c r="DS219" s="759"/>
    </row>
    <row r="220" spans="52:123" x14ac:dyDescent="0.25">
      <c r="AZ220" s="470" t="s">
        <v>6172</v>
      </c>
      <c r="BB220" s="844">
        <f ca="1">IF(BO205&lt;&gt;CF205,1,0)</f>
        <v>0</v>
      </c>
      <c r="BC220" s="426" t="s">
        <v>6273</v>
      </c>
      <c r="BH220" s="472"/>
      <c r="BI220" s="871" t="s">
        <v>6178</v>
      </c>
      <c r="BJ220" s="525">
        <f ca="1">IFERROR(VLOOKUP(BJ218,$M$65:$P$94,4,0),0)</f>
        <v>0</v>
      </c>
      <c r="DA220" s="470" t="s">
        <v>6172</v>
      </c>
      <c r="DK220" s="645" t="s">
        <v>137</v>
      </c>
      <c r="DL220" s="525" t="s">
        <v>7827</v>
      </c>
      <c r="DM220" s="525" t="s">
        <v>7835</v>
      </c>
      <c r="DN220" s="525" cm="1">
        <f t="array" aca="1" ref="DN220" ca="1">INDIRECT($DH$102&amp;DL220,1)</f>
        <v>0</v>
      </c>
      <c r="DO220" s="525" cm="1">
        <f t="array" aca="1" ref="DO220" ca="1">INDIRECT($DH$102&amp;DM220,1)</f>
        <v>0</v>
      </c>
      <c r="DP220" s="759">
        <f t="shared" ca="1" si="72"/>
        <v>0</v>
      </c>
      <c r="DQ220" s="759"/>
      <c r="DR220" s="759">
        <f t="shared" ca="1" si="73"/>
        <v>0</v>
      </c>
      <c r="DS220" s="759"/>
    </row>
    <row r="221" spans="52:123" x14ac:dyDescent="0.25">
      <c r="AZ221" s="470" t="s">
        <v>6172</v>
      </c>
      <c r="BB221" s="844">
        <f ca="1">IF(AND(BO205&lt;&gt;0,CP206=0),1,0)</f>
        <v>0</v>
      </c>
      <c r="BC221" s="426" t="s">
        <v>6209</v>
      </c>
      <c r="BH221" s="472"/>
      <c r="BI221" s="871" t="s">
        <v>6213</v>
      </c>
      <c r="BJ221" s="525">
        <f ca="1">BV206</f>
        <v>0</v>
      </c>
      <c r="DA221" s="470" t="s">
        <v>6172</v>
      </c>
      <c r="DK221" s="645" t="s">
        <v>138</v>
      </c>
      <c r="DL221" s="525" t="s">
        <v>7828</v>
      </c>
      <c r="DM221" s="525" t="s">
        <v>7836</v>
      </c>
      <c r="DN221" s="525" cm="1">
        <f t="array" aca="1" ref="DN221" ca="1">INDIRECT($DH$102&amp;DL221,1)</f>
        <v>0</v>
      </c>
      <c r="DO221" s="525" cm="1">
        <f t="array" aca="1" ref="DO221" ca="1">INDIRECT($DH$102&amp;DM221,1)</f>
        <v>0</v>
      </c>
      <c r="DP221" s="759">
        <f t="shared" ca="1" si="72"/>
        <v>0</v>
      </c>
      <c r="DQ221" s="759"/>
      <c r="DR221" s="759">
        <f t="shared" ca="1" si="73"/>
        <v>0</v>
      </c>
      <c r="DS221" s="759"/>
    </row>
    <row r="222" spans="52:123" x14ac:dyDescent="0.25">
      <c r="AZ222" s="470" t="s">
        <v>6172</v>
      </c>
      <c r="BB222" s="844">
        <f ca="1">IF(BO205&lt;&gt;CM205,1,0)</f>
        <v>0</v>
      </c>
      <c r="BC222" s="426" t="s">
        <v>6196</v>
      </c>
      <c r="BH222" s="469"/>
      <c r="BI222" s="872" t="s">
        <v>6179</v>
      </c>
      <c r="BJ222" s="759">
        <f ca="1">IF(BJ219&lt;&gt;1,
IF((BJ220-BJ221)&lt;0,1,0),
0)</f>
        <v>0</v>
      </c>
      <c r="DA222" s="470" t="s">
        <v>6172</v>
      </c>
      <c r="DK222" s="645" t="s">
        <v>7678</v>
      </c>
      <c r="DL222" s="525" t="s">
        <v>7829</v>
      </c>
      <c r="DM222" s="525" t="s">
        <v>7837</v>
      </c>
      <c r="DN222" s="525" cm="1">
        <f t="array" aca="1" ref="DN222" ca="1">INDIRECT($DH$102&amp;DL222,1)</f>
        <v>0</v>
      </c>
      <c r="DO222" s="525" cm="1">
        <f t="array" aca="1" ref="DO222" ca="1">INDIRECT($DH$102&amp;DM222,1)</f>
        <v>0</v>
      </c>
      <c r="DP222" s="759">
        <f t="shared" ca="1" si="72"/>
        <v>0</v>
      </c>
      <c r="DQ222" s="759"/>
      <c r="DR222" s="759">
        <f t="shared" ca="1" si="73"/>
        <v>0</v>
      </c>
      <c r="DS222" s="759"/>
    </row>
    <row r="223" spans="52:123" x14ac:dyDescent="0.25">
      <c r="AZ223" s="470" t="s">
        <v>6172</v>
      </c>
      <c r="BB223" s="25">
        <f ca="1">BJ239</f>
        <v>0</v>
      </c>
      <c r="BC223" s="426" t="s">
        <v>6073</v>
      </c>
      <c r="BH223" s="469"/>
      <c r="BI223" s="872" t="s">
        <v>7354</v>
      </c>
      <c r="BJ223" s="759">
        <f ca="1">IF(COUNTIFS($M$65:$M$94,BJ218,$AA$65:$AA$94,2)&gt;0,1,0)</f>
        <v>0</v>
      </c>
      <c r="DA223" s="470" t="s">
        <v>6172</v>
      </c>
      <c r="DK223" s="645" t="s">
        <v>7679</v>
      </c>
      <c r="DL223" s="525" t="s">
        <v>7830</v>
      </c>
      <c r="DM223" s="525" t="s">
        <v>7838</v>
      </c>
      <c r="DN223" s="525" cm="1">
        <f t="array" aca="1" ref="DN223" ca="1">INDIRECT($DH$102&amp;DL223,1)</f>
        <v>0</v>
      </c>
      <c r="DO223" s="525" cm="1">
        <f t="array" aca="1" ref="DO223" ca="1">INDIRECT($DH$102&amp;DM223,1)</f>
        <v>0</v>
      </c>
      <c r="DP223" s="894">
        <f t="shared" ca="1" si="72"/>
        <v>0</v>
      </c>
      <c r="DQ223" s="895"/>
      <c r="DR223" s="894">
        <f t="shared" ca="1" si="73"/>
        <v>0</v>
      </c>
      <c r="DS223" s="896"/>
    </row>
    <row r="224" spans="52:123" x14ac:dyDescent="0.25">
      <c r="AZ224" s="470" t="s">
        <v>6172</v>
      </c>
      <c r="BA224" s="897"/>
      <c r="BB224" s="25">
        <f ca="1">IF(BR206="Não",1,0)</f>
        <v>0</v>
      </c>
      <c r="BC224" s="426" t="s">
        <v>6071</v>
      </c>
      <c r="BH224" s="469"/>
      <c r="BI224" s="872" t="s">
        <v>7356</v>
      </c>
      <c r="BJ224" s="767"/>
      <c r="DA224" s="470" t="s">
        <v>6172</v>
      </c>
    </row>
    <row r="225" spans="52:115" x14ac:dyDescent="0.25">
      <c r="AZ225" s="470" t="s">
        <v>6172</v>
      </c>
      <c r="BA225" s="897"/>
      <c r="BB225" s="25">
        <f ca="1">IF(CB206="Não relatado",1,0)</f>
        <v>0</v>
      </c>
      <c r="BC225" s="426" t="s">
        <v>6282</v>
      </c>
      <c r="BH225" s="469"/>
      <c r="BI225" s="758" t="s">
        <v>6067</v>
      </c>
      <c r="BJ225" s="767"/>
      <c r="DA225" s="470" t="s">
        <v>6172</v>
      </c>
    </row>
    <row r="226" spans="52:115" x14ac:dyDescent="0.25">
      <c r="AZ226" s="470" t="s">
        <v>6172</v>
      </c>
      <c r="BB226" s="25">
        <f ca="1">IF(BO205=1,
         IF(CB206="Sim",
               IF(CC206&lt;VLOOKUP(BJ232,BN234:BO236,2,0),1,0),
         0),
0)</f>
        <v>0</v>
      </c>
      <c r="BC226" s="426" t="s">
        <v>7858</v>
      </c>
      <c r="BH226" s="469"/>
      <c r="BI226" s="872" t="s">
        <v>7360</v>
      </c>
      <c r="BJ226" s="767"/>
      <c r="DA226" s="470" t="s">
        <v>6172</v>
      </c>
      <c r="DK226" s="506"/>
    </row>
    <row r="227" spans="52:115" x14ac:dyDescent="0.25">
      <c r="AZ227" s="470" t="s">
        <v>6172</v>
      </c>
      <c r="BB227" s="25">
        <f ca="1">IF(CP206=2,1,0)</f>
        <v>0</v>
      </c>
      <c r="BC227" s="426" t="s">
        <v>6067</v>
      </c>
      <c r="BH227" s="469"/>
      <c r="DA227" s="470" t="s">
        <v>6172</v>
      </c>
      <c r="DG227" s="794" t="s">
        <v>6197</v>
      </c>
      <c r="DH227" s="844">
        <f ca="1">IF(DG105&lt;&gt;DH105,1,0)</f>
        <v>0</v>
      </c>
    </row>
    <row r="228" spans="52:115" x14ac:dyDescent="0.25">
      <c r="AZ228" s="470" t="s">
        <v>6172</v>
      </c>
      <c r="BB228" s="25">
        <f ca="1">IF(CP206=2,
IF(COUNTIF(INDIRECT(BJ202&amp;CJ204,1),"sim")&gt;0,1,0),
0)</f>
        <v>0</v>
      </c>
      <c r="BC228" s="426" t="s">
        <v>6210</v>
      </c>
      <c r="BH228" s="469"/>
      <c r="BI228" s="872" t="s">
        <v>7363</v>
      </c>
      <c r="BJ228" s="767">
        <f>IF(CK206="sim",1,0)</f>
        <v>0</v>
      </c>
      <c r="BN228" s="898" t="s">
        <v>7496</v>
      </c>
      <c r="DA228" s="470" t="s">
        <v>6172</v>
      </c>
      <c r="DG228" s="794" t="s">
        <v>6198</v>
      </c>
      <c r="DH228" s="844">
        <f ca="1">IF(DG105&lt;&gt;DI105,1,0)</f>
        <v>0</v>
      </c>
    </row>
    <row r="229" spans="52:115" x14ac:dyDescent="0.25">
      <c r="AZ229" s="470" t="s">
        <v>6172</v>
      </c>
      <c r="BB229" s="25">
        <f ca="1">BJ219</f>
        <v>0</v>
      </c>
      <c r="BC229" s="426" t="s">
        <v>6243</v>
      </c>
      <c r="BH229" s="472"/>
      <c r="BI229" s="871" t="s">
        <v>7464</v>
      </c>
      <c r="BJ229" s="717">
        <v>48</v>
      </c>
      <c r="BN229" s="899" t="s">
        <v>7493</v>
      </c>
      <c r="DA229" s="470" t="s">
        <v>6172</v>
      </c>
      <c r="DG229" s="794" t="s">
        <v>6199</v>
      </c>
      <c r="DH229" s="844">
        <f ca="1">IF(DG105&lt;&gt;DJ105,1,0)</f>
        <v>0</v>
      </c>
    </row>
    <row r="230" spans="52:115" x14ac:dyDescent="0.25">
      <c r="AZ230" s="470" t="s">
        <v>6172</v>
      </c>
      <c r="BB230" s="25">
        <f ca="1">BJ222</f>
        <v>0</v>
      </c>
      <c r="BC230" s="426" t="s">
        <v>6068</v>
      </c>
      <c r="BH230" s="472"/>
      <c r="BI230" s="871" t="s">
        <v>7463</v>
      </c>
      <c r="BJ230" s="717">
        <f ca="1">COUNTBLANK(INDIRECT($BJ$202&amp;BN229))+COUNTBLANK(INDIRECT($BJ$202&amp;BN230))</f>
        <v>96</v>
      </c>
      <c r="BN230" s="643" t="s">
        <v>7494</v>
      </c>
      <c r="DA230" s="470" t="s">
        <v>6172</v>
      </c>
      <c r="DG230" s="794" t="s">
        <v>6200</v>
      </c>
      <c r="DH230" s="844">
        <f ca="1">IF(DG105&lt;&gt;DK105,1,0)</f>
        <v>0</v>
      </c>
    </row>
    <row r="231" spans="52:115" x14ac:dyDescent="0.25">
      <c r="AZ231" s="470" t="s">
        <v>6172</v>
      </c>
      <c r="BB231" s="25">
        <f ca="1">BJ223</f>
        <v>0</v>
      </c>
      <c r="BC231" s="426" t="s">
        <v>6069</v>
      </c>
      <c r="BH231" s="469"/>
      <c r="BI231" s="872" t="s">
        <v>7465</v>
      </c>
      <c r="BJ231" s="767">
        <f ca="1">IF(AND(BJ230&lt;&gt;96,BJ229&lt;&gt;BJ230),1,0)</f>
        <v>0</v>
      </c>
      <c r="DA231" s="470" t="s">
        <v>6172</v>
      </c>
      <c r="DG231" s="794" t="s">
        <v>6201</v>
      </c>
      <c r="DH231" s="844">
        <f ca="1">IF(DG105&lt;&gt;DM105,1,0)</f>
        <v>0</v>
      </c>
    </row>
    <row r="232" spans="52:115" x14ac:dyDescent="0.25">
      <c r="AZ232" s="470" t="s">
        <v>6172</v>
      </c>
      <c r="BB232" s="25">
        <f ca="1">IF(AND(BO205&lt;&gt;0,BJ236&lt;&gt;BJ237),1,0)</f>
        <v>0</v>
      </c>
      <c r="BC232" s="426" t="s">
        <v>6082</v>
      </c>
      <c r="BH232" s="472"/>
      <c r="BI232" s="871" t="s">
        <v>7466</v>
      </c>
      <c r="BJ232" s="717" cm="1">
        <f t="array" aca="1" ref="BJ232" ca="1">INDIRECT("Composição!I15",1)</f>
        <v>0</v>
      </c>
      <c r="BP232" s="20" t="s">
        <v>6279</v>
      </c>
      <c r="DA232" s="470" t="s">
        <v>6172</v>
      </c>
      <c r="DG232" s="794" t="s">
        <v>6202</v>
      </c>
      <c r="DH232" s="844">
        <f ca="1">IF(DG105&lt;&gt;DN105,1,0)</f>
        <v>0</v>
      </c>
    </row>
    <row r="233" spans="52:115" x14ac:dyDescent="0.25">
      <c r="AZ233" s="470" t="s">
        <v>6172</v>
      </c>
      <c r="BB233" s="25">
        <f ca="1">IF(COUNTIF(INDIRECT(CO204),TRUE)&gt;1,1,0)</f>
        <v>0</v>
      </c>
      <c r="BC233" s="426" t="s">
        <v>6081</v>
      </c>
      <c r="BH233" s="469"/>
      <c r="BI233" s="872" t="s">
        <v>7468</v>
      </c>
      <c r="BJ233" s="900"/>
      <c r="BN233" s="901"/>
      <c r="BO233" s="901" t="s">
        <v>6278</v>
      </c>
      <c r="BP233" s="901" t="s">
        <v>14</v>
      </c>
      <c r="DA233" s="470" t="s">
        <v>6172</v>
      </c>
      <c r="DG233" s="794" t="s">
        <v>6203</v>
      </c>
      <c r="DH233" s="844">
        <f ca="1">IF(DG105&lt;&gt;DO105,1,0)</f>
        <v>0</v>
      </c>
    </row>
    <row r="234" spans="52:115" x14ac:dyDescent="0.25">
      <c r="AZ234" s="470" t="s">
        <v>6172</v>
      </c>
      <c r="BB234" s="426"/>
      <c r="BC234" s="752" t="s">
        <v>8297</v>
      </c>
      <c r="BH234" s="472"/>
      <c r="BI234" s="871" t="s">
        <v>7470</v>
      </c>
      <c r="BJ234" s="902" t="str">
        <f ca="1">LEFT(CD206,2)</f>
        <v>0</v>
      </c>
      <c r="BN234" s="525">
        <v>0</v>
      </c>
      <c r="BO234" s="525">
        <v>0</v>
      </c>
      <c r="BP234" s="525" t="s">
        <v>6275</v>
      </c>
      <c r="DA234" s="470" t="s">
        <v>6172</v>
      </c>
      <c r="DG234" s="794" t="s">
        <v>6394</v>
      </c>
      <c r="DH234" s="844">
        <f ca="1">IF(AND(DI152=0,DG105&lt;&gt;DP105),1,0)</f>
        <v>0</v>
      </c>
    </row>
    <row r="235" spans="52:115" x14ac:dyDescent="0.25">
      <c r="AZ235" s="470" t="s">
        <v>6172</v>
      </c>
      <c r="BB235" s="426"/>
      <c r="BC235" s="752" t="s">
        <v>8297</v>
      </c>
      <c r="BH235" s="469"/>
      <c r="BI235" s="872" t="s">
        <v>7469</v>
      </c>
      <c r="BJ235" s="900">
        <f ca="1">IF(OR(BJ234="24",BJ234="48"),1,0)</f>
        <v>0</v>
      </c>
      <c r="BN235" s="525" t="s">
        <v>2035</v>
      </c>
      <c r="BO235" s="525">
        <v>1</v>
      </c>
      <c r="BP235" s="525" t="s">
        <v>6276</v>
      </c>
      <c r="DA235" s="470" t="s">
        <v>6172</v>
      </c>
      <c r="DG235" s="794" t="s">
        <v>6457</v>
      </c>
      <c r="DH235" s="844">
        <f ca="1">IF(AND(DI152=0,DG105&lt;&gt;DR105),1,0)</f>
        <v>0</v>
      </c>
    </row>
    <row r="236" spans="52:115" x14ac:dyDescent="0.25">
      <c r="AZ236" s="470" t="s">
        <v>6172</v>
      </c>
      <c r="BB236" s="426"/>
      <c r="BC236" s="752" t="s">
        <v>8297</v>
      </c>
      <c r="BH236" s="472"/>
      <c r="BI236" s="871" t="s">
        <v>7471</v>
      </c>
      <c r="BJ236" s="903">
        <f ca="1">Calculos!$I$152</f>
        <v>0</v>
      </c>
      <c r="BN236" s="525" t="s">
        <v>2034</v>
      </c>
      <c r="BO236" s="525">
        <v>24</v>
      </c>
      <c r="BP236" s="525" t="s">
        <v>6277</v>
      </c>
      <c r="DA236" s="470" t="s">
        <v>6172</v>
      </c>
      <c r="DG236" s="794" t="s">
        <v>6494</v>
      </c>
      <c r="DH236" s="844">
        <f ca="1">IF(AND(DI152=0,DG105&lt;&gt;DS105),1,0)</f>
        <v>0</v>
      </c>
    </row>
    <row r="237" spans="52:115" x14ac:dyDescent="0.25">
      <c r="AZ237" s="470" t="s">
        <v>6172</v>
      </c>
      <c r="BB237" s="426"/>
      <c r="BC237" s="752" t="s">
        <v>8297</v>
      </c>
      <c r="BH237" s="472"/>
      <c r="BI237" s="871" t="s">
        <v>7472</v>
      </c>
      <c r="BJ237" s="904">
        <f ca="1">IFERROR(MATCH(TRUE,INDIRECT(CO204),0),0)</f>
        <v>0</v>
      </c>
      <c r="BL237" s="506"/>
      <c r="DA237" s="470" t="s">
        <v>6172</v>
      </c>
      <c r="DG237" s="794" t="s">
        <v>6458</v>
      </c>
      <c r="DH237" s="844">
        <f ca="1">IF(AND(DI152=0,DG105&lt;&gt;DT105),1,0)</f>
        <v>0</v>
      </c>
    </row>
    <row r="238" spans="52:115" x14ac:dyDescent="0.25">
      <c r="AZ238" s="470" t="s">
        <v>6172</v>
      </c>
      <c r="BB238" s="426"/>
      <c r="BC238" s="752" t="s">
        <v>8297</v>
      </c>
      <c r="BH238" s="469"/>
      <c r="BI238" s="872" t="s">
        <v>7473</v>
      </c>
      <c r="BJ238" s="900"/>
      <c r="DA238" s="470" t="s">
        <v>6172</v>
      </c>
      <c r="DG238" s="794" t="s">
        <v>6459</v>
      </c>
      <c r="DH238" s="844">
        <f ca="1">IF(AND(DI152=0,DG105&lt;&gt;DU105),1,0)</f>
        <v>0</v>
      </c>
    </row>
    <row r="239" spans="52:115" x14ac:dyDescent="0.25">
      <c r="AZ239" s="470" t="s">
        <v>6172</v>
      </c>
      <c r="BB239" s="25"/>
      <c r="BC239" s="752" t="s">
        <v>8297</v>
      </c>
      <c r="BH239" s="469"/>
      <c r="BI239" s="758" t="s">
        <v>6226</v>
      </c>
      <c r="BJ239" s="767">
        <f ca="1">IF(BN206="Sim",1,0)</f>
        <v>0</v>
      </c>
      <c r="DA239" s="470" t="s">
        <v>6172</v>
      </c>
      <c r="DG239" s="794" t="s">
        <v>6460</v>
      </c>
      <c r="DH239" s="844">
        <f ca="1">IF(AND(DU106="informar faixa para o tempo de coleta",DV105=0),1,0)</f>
        <v>0</v>
      </c>
    </row>
    <row r="240" spans="52:115" x14ac:dyDescent="0.25">
      <c r="AZ240" s="470" t="s">
        <v>6172</v>
      </c>
      <c r="BB240" s="25"/>
      <c r="BC240" s="752" t="s">
        <v>8297</v>
      </c>
      <c r="BH240" s="469"/>
      <c r="BI240" s="758" t="s">
        <v>7857</v>
      </c>
      <c r="BJ240" s="767"/>
      <c r="DA240" s="470" t="s">
        <v>6172</v>
      </c>
      <c r="DG240" s="794" t="s">
        <v>6461</v>
      </c>
      <c r="DH240" s="844">
        <f ca="1">IF(AND(DU106="informar faixa para o tempo de coleta",DW105=0),1,0)</f>
        <v>0</v>
      </c>
    </row>
    <row r="241" spans="52:112" x14ac:dyDescent="0.25">
      <c r="AZ241" s="470" t="s">
        <v>6172</v>
      </c>
      <c r="BB241" s="25"/>
      <c r="BC241" s="752" t="s">
        <v>8297</v>
      </c>
      <c r="BH241" s="469"/>
      <c r="BI241" s="872" t="s">
        <v>7859</v>
      </c>
      <c r="BJ241" s="900"/>
      <c r="BN241" s="880" t="s">
        <v>7860</v>
      </c>
      <c r="DA241" s="470" t="s">
        <v>6172</v>
      </c>
      <c r="DG241" s="794" t="s">
        <v>6462</v>
      </c>
      <c r="DH241" s="844">
        <f ca="1">IF(AND(DU106="Informar valor único",DX105=0),1,0)</f>
        <v>0</v>
      </c>
    </row>
    <row r="242" spans="52:112" x14ac:dyDescent="0.25">
      <c r="AZ242" s="470" t="s">
        <v>6172</v>
      </c>
      <c r="BB242" s="25"/>
      <c r="BC242" s="752" t="s">
        <v>8297</v>
      </c>
      <c r="BN242" s="905" t="s">
        <v>7944</v>
      </c>
      <c r="DA242" s="470" t="s">
        <v>6172</v>
      </c>
      <c r="DG242" s="794" t="s">
        <v>6463</v>
      </c>
      <c r="DH242" s="844">
        <f ca="1">IF(AND(DI152=0,DG105&lt;&gt;DY105),1,0)</f>
        <v>0</v>
      </c>
    </row>
    <row r="243" spans="52:112" x14ac:dyDescent="0.25">
      <c r="AZ243" s="470" t="s">
        <v>6172</v>
      </c>
      <c r="BB243" s="25"/>
      <c r="BC243" s="752" t="s">
        <v>8297</v>
      </c>
      <c r="DA243" s="470" t="s">
        <v>6172</v>
      </c>
      <c r="DG243" s="794" t="s">
        <v>6464</v>
      </c>
      <c r="DH243" s="844">
        <f ca="1">IF(AND(DI152=0,DG105&lt;&gt;DZ105),1,0)</f>
        <v>0</v>
      </c>
    </row>
    <row r="244" spans="52:112" x14ac:dyDescent="0.25">
      <c r="AZ244" s="470" t="s">
        <v>6172</v>
      </c>
      <c r="BB244" s="25"/>
      <c r="BC244" s="752" t="s">
        <v>8297</v>
      </c>
      <c r="DA244" s="470" t="s">
        <v>6172</v>
      </c>
      <c r="DG244" s="794" t="s">
        <v>6465</v>
      </c>
      <c r="DH244" s="844">
        <f ca="1">IF(AND(DI152=0,DG105&lt;&gt;EA105),1,0)</f>
        <v>0</v>
      </c>
    </row>
    <row r="245" spans="52:112" x14ac:dyDescent="0.25">
      <c r="AZ245" s="470" t="s">
        <v>6172</v>
      </c>
      <c r="DA245" s="470" t="s">
        <v>6172</v>
      </c>
      <c r="DG245" s="794" t="s">
        <v>6466</v>
      </c>
      <c r="DH245" s="844">
        <f ca="1">IF(EA105&lt;&gt;EB105,1,0)</f>
        <v>0</v>
      </c>
    </row>
    <row r="246" spans="52:112" x14ac:dyDescent="0.25">
      <c r="AZ246" s="470" t="s">
        <v>6172</v>
      </c>
      <c r="DA246" s="470" t="s">
        <v>6172</v>
      </c>
      <c r="DG246" s="794" t="s">
        <v>6467</v>
      </c>
      <c r="DH246" s="844">
        <f ca="1">IF(AND(DI152=0,DG105&lt;&gt;EC105),1,0)</f>
        <v>0</v>
      </c>
    </row>
    <row r="247" spans="52:112" x14ac:dyDescent="0.25">
      <c r="AZ247" s="470" t="s">
        <v>6172</v>
      </c>
      <c r="DA247" s="470" t="s">
        <v>6172</v>
      </c>
      <c r="DG247" s="794" t="s">
        <v>6468</v>
      </c>
      <c r="DH247" s="844">
        <f ca="1">IF(AND(DI152=0,DG105&lt;&gt;DG119),1,0)</f>
        <v>0</v>
      </c>
    </row>
    <row r="248" spans="52:112" x14ac:dyDescent="0.25">
      <c r="AZ248" s="470" t="s">
        <v>6172</v>
      </c>
      <c r="DA248" s="470" t="s">
        <v>6172</v>
      </c>
      <c r="DG248" s="794" t="s">
        <v>6495</v>
      </c>
      <c r="DH248" s="844">
        <f ca="1">IF(AND(DG105=1,DI152=0,
SUM(DH119:DK119,DP119:DS119)=0),1,0)</f>
        <v>0</v>
      </c>
    </row>
    <row r="249" spans="52:112" x14ac:dyDescent="0.25">
      <c r="AZ249" s="470" t="s">
        <v>6172</v>
      </c>
      <c r="DA249" s="470" t="s">
        <v>6172</v>
      </c>
      <c r="DG249" s="794" t="s">
        <v>6496</v>
      </c>
      <c r="DH249" s="844">
        <f ca="1">IF(AND(SUM(DH119:DK119)&gt;0,SUM(DL119:DM119)=0),1,0)</f>
        <v>0</v>
      </c>
    </row>
    <row r="250" spans="52:112" ht="15.75" thickBot="1" x14ac:dyDescent="0.3">
      <c r="AZ250" s="470" t="s">
        <v>6172</v>
      </c>
      <c r="BB250" s="862" t="s">
        <v>26</v>
      </c>
      <c r="BC250" s="862"/>
      <c r="BD250" s="730"/>
      <c r="BE250" s="730"/>
      <c r="BF250" s="730"/>
      <c r="BG250" s="730"/>
      <c r="BH250" s="730"/>
      <c r="BI250" s="730"/>
      <c r="BJ250" s="730"/>
      <c r="BK250" s="730"/>
      <c r="BL250" s="730"/>
      <c r="BM250" s="730"/>
      <c r="BN250" s="730"/>
      <c r="BO250" s="730"/>
      <c r="BP250" s="730"/>
      <c r="BQ250" s="730"/>
      <c r="BR250" s="730"/>
      <c r="BS250" s="730"/>
      <c r="BT250" s="730"/>
      <c r="BU250" s="730"/>
      <c r="BV250" s="730"/>
      <c r="BW250" s="730"/>
      <c r="BX250" s="730"/>
      <c r="BY250" s="730"/>
      <c r="BZ250" s="730"/>
      <c r="CA250" s="730"/>
      <c r="CB250" s="730"/>
      <c r="CC250" s="730"/>
      <c r="CD250" s="730"/>
      <c r="CE250" s="730"/>
      <c r="CF250" s="730"/>
      <c r="CG250" s="730"/>
      <c r="CH250" s="730"/>
      <c r="CI250" s="730"/>
      <c r="DA250" s="470" t="s">
        <v>6172</v>
      </c>
      <c r="DG250" s="794" t="s">
        <v>6469</v>
      </c>
      <c r="DH250" s="844">
        <f ca="1">IF(AND(SUM(DH119:DK119)&gt;0,DN119=0),1,0)</f>
        <v>0</v>
      </c>
    </row>
    <row r="251" spans="52:112" x14ac:dyDescent="0.25">
      <c r="AZ251" s="470" t="s">
        <v>6172</v>
      </c>
      <c r="BB251" s="477" t="s">
        <v>8104</v>
      </c>
      <c r="BC251" s="477" t="s">
        <v>8294</v>
      </c>
      <c r="DA251" s="470" t="s">
        <v>6172</v>
      </c>
      <c r="DG251" s="794" t="s">
        <v>6470</v>
      </c>
      <c r="DH251" s="844">
        <f ca="1">IF(AND(SUM(DH119:DK119)&gt;0,DO119=0),1,0)</f>
        <v>0</v>
      </c>
    </row>
    <row r="252" spans="52:112" x14ac:dyDescent="0.25">
      <c r="AZ252" s="470" t="s">
        <v>6172</v>
      </c>
      <c r="BB252" s="844">
        <f ca="1">IF(
AND(BN257="Sim",CN257="Não"),1,0)</f>
        <v>0</v>
      </c>
      <c r="BC252" s="426" t="s">
        <v>6075</v>
      </c>
      <c r="DA252" s="470" t="s">
        <v>6172</v>
      </c>
      <c r="DG252" s="794" t="s">
        <v>6471</v>
      </c>
      <c r="DH252" s="844">
        <f ca="1">IF(AND(SUM(DP119:DS119)&gt;0,DT119=0),1,0)</f>
        <v>0</v>
      </c>
    </row>
    <row r="253" spans="52:112" x14ac:dyDescent="0.25">
      <c r="AZ253" s="470" t="s">
        <v>6172</v>
      </c>
      <c r="BB253" s="844">
        <f ca="1">IF(BO256&lt;&gt;BP256,1,0)</f>
        <v>0</v>
      </c>
      <c r="BC253" s="426" t="s">
        <v>6197</v>
      </c>
      <c r="BI253" s="733" t="s">
        <v>7321</v>
      </c>
      <c r="BJ253" s="797" t="s">
        <v>5576</v>
      </c>
      <c r="DA253" s="470" t="s">
        <v>6172</v>
      </c>
      <c r="DG253" s="794" t="s">
        <v>6313</v>
      </c>
      <c r="DH253" s="844">
        <f ca="1">IF(AND(DI152=0,DG105&lt;&gt;DG127),1,0)</f>
        <v>0</v>
      </c>
    </row>
    <row r="254" spans="52:112" x14ac:dyDescent="0.25">
      <c r="AZ254" s="470" t="s">
        <v>6172</v>
      </c>
      <c r="BB254" s="844">
        <f ca="1">IF(BO256&lt;&gt;BQ256,1,0)</f>
        <v>0</v>
      </c>
      <c r="BC254" s="426" t="s">
        <v>6198</v>
      </c>
      <c r="BI254" s="864" t="s">
        <v>7434</v>
      </c>
      <c r="BJ254" s="738" t="s">
        <v>6519</v>
      </c>
      <c r="BK254" s="738" t="s">
        <v>6537</v>
      </c>
      <c r="BL254" s="738" t="s">
        <v>6538</v>
      </c>
      <c r="BM254" s="864" t="s">
        <v>143</v>
      </c>
      <c r="BN254" s="864" t="s">
        <v>5589</v>
      </c>
      <c r="BO254" s="864" t="s">
        <v>30</v>
      </c>
      <c r="BP254" s="864" t="s">
        <v>6174</v>
      </c>
      <c r="BQ254" s="864" t="s">
        <v>6173</v>
      </c>
      <c r="BR254" s="864" t="s">
        <v>6029</v>
      </c>
      <c r="BS254" s="864" t="s">
        <v>218</v>
      </c>
      <c r="BT254" s="864" t="s">
        <v>6183</v>
      </c>
      <c r="BU254" s="864" t="s">
        <v>6184</v>
      </c>
      <c r="BV254" s="864" t="s">
        <v>31</v>
      </c>
      <c r="BW254" s="864" t="s">
        <v>5720</v>
      </c>
      <c r="BX254" s="864" t="s">
        <v>85</v>
      </c>
      <c r="BY254" s="864" t="s">
        <v>235</v>
      </c>
      <c r="BZ254" s="864" t="s">
        <v>6285</v>
      </c>
      <c r="CA254" s="864" t="s">
        <v>128</v>
      </c>
      <c r="CB254" s="864" t="s">
        <v>129</v>
      </c>
      <c r="CC254" s="864" t="s">
        <v>226</v>
      </c>
      <c r="CD254" s="864" t="s">
        <v>322</v>
      </c>
      <c r="CE254" s="864" t="s">
        <v>145</v>
      </c>
      <c r="CF254" s="879" t="s">
        <v>6246</v>
      </c>
      <c r="CG254" s="879" t="s">
        <v>6247</v>
      </c>
      <c r="CH254" s="738" t="s">
        <v>293</v>
      </c>
      <c r="CI254" s="738" t="s">
        <v>301</v>
      </c>
      <c r="CJ254" s="738" t="s">
        <v>302</v>
      </c>
      <c r="CK254" s="864" t="s">
        <v>6242</v>
      </c>
      <c r="CL254" s="864" t="s">
        <v>143</v>
      </c>
      <c r="CM254" s="864" t="s">
        <v>6189</v>
      </c>
      <c r="CN254" s="738" t="s">
        <v>6231</v>
      </c>
      <c r="CO254" s="880" t="s">
        <v>6245</v>
      </c>
      <c r="CP254" s="738" t="s">
        <v>6187</v>
      </c>
      <c r="DA254" s="470" t="s">
        <v>6172</v>
      </c>
      <c r="DG254" s="794" t="s">
        <v>6474</v>
      </c>
      <c r="DH254" s="844">
        <f ca="1">IF(DI127&lt;&gt;DJ127,1,0)</f>
        <v>0</v>
      </c>
    </row>
    <row r="255" spans="52:112" x14ac:dyDescent="0.25">
      <c r="AZ255" s="470" t="s">
        <v>6172</v>
      </c>
      <c r="BB255" s="844">
        <f ca="1">IF(BO256&lt;&gt;BR256,1,0)</f>
        <v>0</v>
      </c>
      <c r="BC255" s="426" t="s">
        <v>6199</v>
      </c>
      <c r="BH255" s="790" t="s">
        <v>5778</v>
      </c>
      <c r="BI255" s="597" t="s">
        <v>1592</v>
      </c>
      <c r="BJ255" s="881" t="s">
        <v>7474</v>
      </c>
      <c r="BK255" s="906" t="s">
        <v>7475</v>
      </c>
      <c r="BL255" s="713" t="s">
        <v>7476</v>
      </c>
      <c r="BM255" s="486" t="s">
        <v>1223</v>
      </c>
      <c r="BN255" s="761" t="s">
        <v>6553</v>
      </c>
      <c r="BO255" s="761" t="s">
        <v>6552</v>
      </c>
      <c r="BP255" s="761" t="s">
        <v>7441</v>
      </c>
      <c r="BQ255" s="761" t="s">
        <v>7442</v>
      </c>
      <c r="BR255" s="827" t="s">
        <v>7443</v>
      </c>
      <c r="BS255" s="761" t="s">
        <v>7444</v>
      </c>
      <c r="BT255" s="761" t="s">
        <v>7445</v>
      </c>
      <c r="BU255" s="845" t="s">
        <v>7446</v>
      </c>
      <c r="BV255" s="845" t="s">
        <v>7447</v>
      </c>
      <c r="BW255" s="827" t="s">
        <v>7341</v>
      </c>
      <c r="BX255" s="761" t="s">
        <v>7342</v>
      </c>
      <c r="BY255" s="827" t="s">
        <v>7448</v>
      </c>
      <c r="BZ255" s="907" t="s">
        <v>7449</v>
      </c>
      <c r="CA255" s="908" t="s">
        <v>7451</v>
      </c>
      <c r="CB255" s="908" t="s">
        <v>7452</v>
      </c>
      <c r="CC255" s="907" t="s">
        <v>7453</v>
      </c>
      <c r="CD255" s="908" t="s">
        <v>7480</v>
      </c>
      <c r="CE255" s="907" t="s">
        <v>7481</v>
      </c>
      <c r="CF255" s="908" t="s">
        <v>8539</v>
      </c>
      <c r="CG255" s="908" t="s">
        <v>7051</v>
      </c>
      <c r="CH255" s="909" t="s">
        <v>7477</v>
      </c>
      <c r="CI255" s="909" t="s">
        <v>7478</v>
      </c>
      <c r="CJ255" s="909" t="s">
        <v>7479</v>
      </c>
      <c r="CK255" s="908" t="s">
        <v>7052</v>
      </c>
      <c r="CL255" s="908" t="s">
        <v>7037</v>
      </c>
      <c r="CM255" s="908" t="s">
        <v>7482</v>
      </c>
      <c r="CN255" s="846" t="s">
        <v>6294</v>
      </c>
      <c r="CO255" s="910" t="s">
        <v>7861</v>
      </c>
      <c r="CP255" s="910" t="s">
        <v>6295</v>
      </c>
      <c r="DA255" s="470" t="s">
        <v>6172</v>
      </c>
      <c r="DG255" s="794" t="s">
        <v>6473</v>
      </c>
      <c r="DH255" s="844">
        <f ca="1">IF(DK127&lt;&gt;DL127,1,0)</f>
        <v>0</v>
      </c>
    </row>
    <row r="256" spans="52:112" x14ac:dyDescent="0.25">
      <c r="AZ256" s="470" t="s">
        <v>6172</v>
      </c>
      <c r="BB256" s="844">
        <f ca="1">IF(BO256&lt;&gt;BS256,1,0)</f>
        <v>0</v>
      </c>
      <c r="BC256" s="426" t="s">
        <v>6200</v>
      </c>
      <c r="BH256" s="790" t="s">
        <v>6222</v>
      </c>
      <c r="BI256" s="597">
        <f t="shared" ref="BI256:CM256" ca="1" si="74">COUNTA(INDIRECT($BJ$253&amp;BI255,1))</f>
        <v>0</v>
      </c>
      <c r="BJ256" s="597">
        <f t="shared" ca="1" si="74"/>
        <v>0</v>
      </c>
      <c r="BK256" s="597">
        <f t="shared" ca="1" si="74"/>
        <v>0</v>
      </c>
      <c r="BL256" s="597">
        <f t="shared" ca="1" si="74"/>
        <v>0</v>
      </c>
      <c r="BM256" s="597">
        <f t="shared" ca="1" si="74"/>
        <v>0</v>
      </c>
      <c r="BN256" s="597">
        <f t="shared" ca="1" si="74"/>
        <v>0</v>
      </c>
      <c r="BO256" s="597">
        <f t="shared" ca="1" si="74"/>
        <v>0</v>
      </c>
      <c r="BP256" s="597">
        <f t="shared" ca="1" si="74"/>
        <v>0</v>
      </c>
      <c r="BQ256" s="597">
        <f t="shared" ca="1" si="74"/>
        <v>0</v>
      </c>
      <c r="BR256" s="597">
        <f t="shared" ca="1" si="74"/>
        <v>0</v>
      </c>
      <c r="BS256" s="597">
        <f t="shared" ca="1" si="74"/>
        <v>0</v>
      </c>
      <c r="BT256" s="597">
        <f t="shared" ca="1" si="74"/>
        <v>0</v>
      </c>
      <c r="BU256" s="597">
        <f t="shared" ca="1" si="74"/>
        <v>0</v>
      </c>
      <c r="BV256" s="597">
        <f t="shared" ca="1" si="74"/>
        <v>0</v>
      </c>
      <c r="BW256" s="597">
        <f t="shared" ca="1" si="74"/>
        <v>0</v>
      </c>
      <c r="BX256" s="597">
        <f t="shared" ca="1" si="74"/>
        <v>1</v>
      </c>
      <c r="BY256" s="597">
        <f t="shared" ca="1" si="74"/>
        <v>0</v>
      </c>
      <c r="BZ256" s="597">
        <f t="shared" ca="1" si="74"/>
        <v>0</v>
      </c>
      <c r="CA256" s="597">
        <f t="shared" ca="1" si="74"/>
        <v>0</v>
      </c>
      <c r="CB256" s="597">
        <f t="shared" ca="1" si="74"/>
        <v>0</v>
      </c>
      <c r="CC256" s="597">
        <f t="shared" ca="1" si="74"/>
        <v>0</v>
      </c>
      <c r="CD256" s="597">
        <f t="shared" ca="1" si="74"/>
        <v>0</v>
      </c>
      <c r="CE256" s="597">
        <f t="shared" ca="1" si="74"/>
        <v>0</v>
      </c>
      <c r="CF256" s="597">
        <f t="shared" ca="1" si="74"/>
        <v>0</v>
      </c>
      <c r="CG256" s="597">
        <f t="shared" ca="1" si="74"/>
        <v>0</v>
      </c>
      <c r="CH256" s="597">
        <f t="shared" ca="1" si="74"/>
        <v>0</v>
      </c>
      <c r="CI256" s="597">
        <f t="shared" ca="1" si="74"/>
        <v>0</v>
      </c>
      <c r="CJ256" s="597">
        <f t="shared" ca="1" si="74"/>
        <v>0</v>
      </c>
      <c r="CK256" s="597">
        <f t="shared" ca="1" si="74"/>
        <v>0</v>
      </c>
      <c r="CL256" s="597">
        <f t="shared" ca="1" si="74"/>
        <v>0</v>
      </c>
      <c r="CM256" s="597">
        <f t="shared" ca="1" si="74"/>
        <v>0</v>
      </c>
      <c r="CN256" s="709">
        <f ca="1">COUNTA(INDIRECT(CN255,1))</f>
        <v>0</v>
      </c>
      <c r="CO256" s="709">
        <f ca="1">COUNTIF(INDIRECT(CO255),TRUE)</f>
        <v>0</v>
      </c>
      <c r="CP256" s="709">
        <f ca="1">COUNTA(INDIRECT(CP255,1))</f>
        <v>1</v>
      </c>
      <c r="DA256" s="470" t="s">
        <v>6172</v>
      </c>
      <c r="DG256" s="794" t="s">
        <v>6472</v>
      </c>
      <c r="DH256" s="844">
        <f ca="1">IF(DH127&lt;&gt;DM127,1,0)</f>
        <v>0</v>
      </c>
    </row>
    <row r="257" spans="52:105" x14ac:dyDescent="0.25">
      <c r="AZ257" s="470" t="s">
        <v>6172</v>
      </c>
      <c r="BB257" s="844">
        <f ca="1">IF(BO256&lt;&gt;BU256,1,0)</f>
        <v>0</v>
      </c>
      <c r="BC257" s="426" t="s">
        <v>6201</v>
      </c>
      <c r="BH257" s="790" t="s">
        <v>6133</v>
      </c>
      <c r="BI257" s="597" cm="1">
        <f t="array" aca="1" ref="BI257" ca="1">INDIRECT($BJ$253&amp;BI255,1)</f>
        <v>0</v>
      </c>
      <c r="BJ257" s="709"/>
      <c r="BK257" s="709"/>
      <c r="BL257" s="709"/>
      <c r="BM257" s="597" cm="1">
        <f t="array" aca="1" ref="BM257" ca="1">INDIRECT($BJ$253&amp;BM255,1)</f>
        <v>0</v>
      </c>
      <c r="BN257" s="597" cm="1">
        <f t="array" aca="1" ref="BN257" ca="1">INDIRECT($BJ$253&amp;BN255,1)</f>
        <v>0</v>
      </c>
      <c r="BO257" s="597" cm="1">
        <f t="array" aca="1" ref="BO257" ca="1">INDIRECT($BJ$253&amp;BO255,1)</f>
        <v>0</v>
      </c>
      <c r="BP257" s="597" cm="1">
        <f t="array" aca="1" ref="BP257" ca="1">INDIRECT($BJ$253&amp;BP255,1)</f>
        <v>0</v>
      </c>
      <c r="BQ257" s="597" cm="1">
        <f t="array" aca="1" ref="BQ257" ca="1">INDIRECT($BJ$253&amp;BQ255,1)</f>
        <v>0</v>
      </c>
      <c r="BR257" s="597" cm="1">
        <f t="array" aca="1" ref="BR257" ca="1">INDIRECT($BJ$253&amp;BR255,1)</f>
        <v>0</v>
      </c>
      <c r="BS257" s="597" cm="1">
        <f t="array" aca="1" ref="BS257" ca="1">INDIRECT($BJ$253&amp;BS255,1)</f>
        <v>0</v>
      </c>
      <c r="BT257" s="597" cm="1">
        <f t="array" aca="1" ref="BT257" ca="1">INDIRECT($BJ$253&amp;BT255,1)</f>
        <v>0</v>
      </c>
      <c r="BU257" s="597" cm="1">
        <f t="array" aca="1" ref="BU257" ca="1">INDIRECT($BJ$253&amp;BU255,1)</f>
        <v>0</v>
      </c>
      <c r="BV257" s="597" cm="1">
        <f t="array" aca="1" ref="BV257" ca="1">INDIRECT($BJ$253&amp;BV255,1)</f>
        <v>0</v>
      </c>
      <c r="BW257" s="597" cm="1">
        <f t="array" aca="1" ref="BW257" ca="1">INDIRECT($BJ$253&amp;BW255,1)</f>
        <v>0</v>
      </c>
      <c r="BX257" s="597" t="str" cm="1">
        <f t="array" aca="1" ref="BX257" ca="1">INDIRECT($BJ$253&amp;BX255,1)</f>
        <v>Oryctolagus cuniculus</v>
      </c>
      <c r="BY257" s="597" cm="1">
        <f t="array" aca="1" ref="BY257" ca="1">INDIRECT($BJ$253&amp;BY255,1)</f>
        <v>0</v>
      </c>
      <c r="BZ257" s="597" cm="1">
        <f t="array" aca="1" ref="BZ257" ca="1">INDIRECT($BJ$253&amp;BZ255,1)</f>
        <v>0</v>
      </c>
      <c r="CA257" s="597" cm="1">
        <f t="array" aca="1" ref="CA257" ca="1">INDIRECT($BJ$253&amp;CA255,1)</f>
        <v>0</v>
      </c>
      <c r="CB257" s="597" cm="1">
        <f t="array" aca="1" ref="CB257" ca="1">INDIRECT($BJ$253&amp;CB255,1)</f>
        <v>0</v>
      </c>
      <c r="CC257" s="597" cm="1">
        <f t="array" aca="1" ref="CC257" ca="1">INDIRECT($BJ$253&amp;CC255,1)</f>
        <v>0</v>
      </c>
      <c r="CD257" s="597" cm="1">
        <f t="array" aca="1" ref="CD257" ca="1">INDIRECT($BJ$253&amp;CD255,1)</f>
        <v>0</v>
      </c>
      <c r="CE257" s="597" cm="1">
        <f t="array" aca="1" ref="CE257" ca="1">INDIRECT($BJ$253&amp;CE255,1)</f>
        <v>0</v>
      </c>
      <c r="CF257" s="597" cm="1">
        <f t="array" aca="1" ref="CF257" ca="1">INDIRECT($BJ$253&amp;CF255,1)</f>
        <v>0</v>
      </c>
      <c r="CG257" s="597" cm="1">
        <f t="array" aca="1" ref="CG257" ca="1">INDIRECT($BJ$253&amp;CG255,1)</f>
        <v>0</v>
      </c>
      <c r="CH257" s="709"/>
      <c r="CI257" s="709"/>
      <c r="CJ257" s="709"/>
      <c r="CK257" s="597" cm="1">
        <f t="array" aca="1" ref="CK257" ca="1">INDIRECT($BJ$253&amp;CK255,1)</f>
        <v>0</v>
      </c>
      <c r="CL257" s="597" cm="1">
        <f t="array" aca="1" ref="CL257" ca="1">INDIRECT($BJ$253&amp;CL255,1)</f>
        <v>0</v>
      </c>
      <c r="CM257" s="597" cm="1">
        <f t="array" aca="1" ref="CM257" ca="1">INDIRECT($BJ$253&amp;CM255,1)</f>
        <v>0</v>
      </c>
      <c r="CN257" s="709" cm="1">
        <f t="array" aca="1" ref="CN257" ca="1">INDIRECT(CN255,1)</f>
        <v>0</v>
      </c>
      <c r="CO257" s="709"/>
      <c r="CP257" s="709" cm="1">
        <f t="array" aca="1" ref="CP257" ca="1">INDIRECT(CP255,1)</f>
        <v>0</v>
      </c>
      <c r="DA257" s="470" t="s">
        <v>6172</v>
      </c>
    </row>
    <row r="258" spans="52:105" x14ac:dyDescent="0.25">
      <c r="AZ258" s="470" t="s">
        <v>6172</v>
      </c>
      <c r="BB258" s="844">
        <f ca="1">IF(BO256&lt;&gt;BV256,1,0)</f>
        <v>0</v>
      </c>
      <c r="BC258" s="426" t="s">
        <v>6202</v>
      </c>
      <c r="DA258" s="470" t="s">
        <v>6172</v>
      </c>
    </row>
    <row r="259" spans="52:105" x14ac:dyDescent="0.25">
      <c r="AZ259" s="470" t="s">
        <v>6172</v>
      </c>
      <c r="BB259" s="844">
        <f ca="1">IF(BO256&lt;&gt;BW256,1,0)</f>
        <v>0</v>
      </c>
      <c r="BC259" s="426" t="s">
        <v>6203</v>
      </c>
      <c r="DA259" s="470" t="s">
        <v>6172</v>
      </c>
    </row>
    <row r="260" spans="52:105" x14ac:dyDescent="0.25">
      <c r="AZ260" s="470" t="s">
        <v>6172</v>
      </c>
      <c r="BB260" s="844">
        <f ca="1">IF(AND(BO256=1,BX256=0),1,0)</f>
        <v>0</v>
      </c>
      <c r="BC260" s="426" t="s">
        <v>6204</v>
      </c>
      <c r="DA260" s="470" t="s">
        <v>6172</v>
      </c>
    </row>
    <row r="261" spans="52:105" x14ac:dyDescent="0.25">
      <c r="AZ261" s="470" t="s">
        <v>6172</v>
      </c>
      <c r="BB261" s="844">
        <f ca="1">IF(BO256&lt;&gt;BZ256,1,0)</f>
        <v>0</v>
      </c>
      <c r="BC261" s="426" t="s">
        <v>6266</v>
      </c>
      <c r="BI261" s="863" t="s">
        <v>35</v>
      </c>
      <c r="BJ261" s="863" t="s">
        <v>6286</v>
      </c>
      <c r="BK261" s="863" t="s">
        <v>6287</v>
      </c>
      <c r="BL261" s="863" t="s">
        <v>6288</v>
      </c>
      <c r="BM261" s="863" t="s">
        <v>6289</v>
      </c>
      <c r="BN261" s="863" t="s">
        <v>6290</v>
      </c>
      <c r="BO261" s="863" t="s">
        <v>6291</v>
      </c>
      <c r="BP261" s="863" t="s">
        <v>6292</v>
      </c>
      <c r="BQ261" s="863" t="s">
        <v>6293</v>
      </c>
      <c r="DA261" s="470" t="s">
        <v>6172</v>
      </c>
    </row>
    <row r="262" spans="52:105" x14ac:dyDescent="0.25">
      <c r="AZ262" s="470" t="s">
        <v>6172</v>
      </c>
      <c r="BB262" s="844">
        <f ca="1">IF(BZ256&lt;&gt;CA256,1,0)</f>
        <v>0</v>
      </c>
      <c r="BC262" s="426" t="s">
        <v>6297</v>
      </c>
      <c r="BH262" s="643" t="s">
        <v>5778</v>
      </c>
      <c r="BI262" s="597" t="s">
        <v>7483</v>
      </c>
      <c r="BJ262" s="597" t="s">
        <v>7484</v>
      </c>
      <c r="BK262" s="597" t="s">
        <v>7485</v>
      </c>
      <c r="BL262" s="597" t="s">
        <v>7486</v>
      </c>
      <c r="BM262" s="597" t="s">
        <v>7487</v>
      </c>
      <c r="BN262" s="597" t="s">
        <v>7488</v>
      </c>
      <c r="BO262" s="597" t="s">
        <v>7489</v>
      </c>
      <c r="BP262" s="597" t="s">
        <v>7490</v>
      </c>
      <c r="BQ262" s="597" t="s">
        <v>7491</v>
      </c>
      <c r="DA262" s="470" t="s">
        <v>6172</v>
      </c>
    </row>
    <row r="263" spans="52:105" x14ac:dyDescent="0.25">
      <c r="AZ263" s="470" t="s">
        <v>6172</v>
      </c>
      <c r="BB263" s="844">
        <f ca="1">IF(AND(CA257="Sim",CB256=0),1,0)</f>
        <v>0</v>
      </c>
      <c r="BC263" s="426" t="s">
        <v>6298</v>
      </c>
      <c r="BH263" s="643" t="s">
        <v>6222</v>
      </c>
      <c r="BI263" s="643">
        <f t="shared" ref="BI263:BQ263" ca="1" si="75">COUNTA(INDIRECT($BJ$253&amp;BI262,1))</f>
        <v>0</v>
      </c>
      <c r="BJ263" s="643">
        <f t="shared" ca="1" si="75"/>
        <v>0</v>
      </c>
      <c r="BK263" s="643">
        <f t="shared" ca="1" si="75"/>
        <v>0</v>
      </c>
      <c r="BL263" s="643">
        <f t="shared" ca="1" si="75"/>
        <v>0</v>
      </c>
      <c r="BM263" s="643">
        <f t="shared" ca="1" si="75"/>
        <v>0</v>
      </c>
      <c r="BN263" s="643">
        <f t="shared" ca="1" si="75"/>
        <v>0</v>
      </c>
      <c r="BO263" s="643">
        <f t="shared" ca="1" si="75"/>
        <v>0</v>
      </c>
      <c r="BP263" s="643">
        <f t="shared" ca="1" si="75"/>
        <v>10</v>
      </c>
      <c r="BQ263" s="643">
        <f t="shared" ca="1" si="75"/>
        <v>10</v>
      </c>
      <c r="DA263" s="470" t="s">
        <v>6172</v>
      </c>
    </row>
    <row r="264" spans="52:105" x14ac:dyDescent="0.25">
      <c r="AZ264" s="470" t="s">
        <v>6172</v>
      </c>
      <c r="BB264" s="844">
        <f ca="1">IF(BO256&lt;&gt;CC256,1,0)</f>
        <v>0</v>
      </c>
      <c r="BC264" s="426" t="s">
        <v>6299</v>
      </c>
      <c r="BH264" s="643" t="s">
        <v>6133</v>
      </c>
      <c r="BI264" s="643"/>
      <c r="BJ264" s="643"/>
      <c r="BK264" s="643"/>
      <c r="BL264" s="643"/>
      <c r="BM264" s="643"/>
      <c r="BN264" s="643"/>
      <c r="BO264" s="643"/>
      <c r="BP264" s="643"/>
      <c r="BQ264" s="643"/>
      <c r="DA264" s="470" t="s">
        <v>6172</v>
      </c>
    </row>
    <row r="265" spans="52:105" x14ac:dyDescent="0.25">
      <c r="AZ265" s="470" t="s">
        <v>6172</v>
      </c>
      <c r="BB265" s="844">
        <f ca="1">IF(BO256&lt;&gt;CD256,1,0)</f>
        <v>0</v>
      </c>
      <c r="BC265" s="426" t="s">
        <v>6269</v>
      </c>
      <c r="BH265" s="643" t="s">
        <v>14</v>
      </c>
      <c r="BI265" s="643" t="s">
        <v>7322</v>
      </c>
      <c r="BJ265" s="643" t="s">
        <v>7329</v>
      </c>
      <c r="BK265" s="643" t="s">
        <v>7329</v>
      </c>
      <c r="BL265" s="643" t="s">
        <v>7329</v>
      </c>
      <c r="BM265" s="643" t="s">
        <v>7329</v>
      </c>
      <c r="BN265" s="643" t="s">
        <v>7329</v>
      </c>
      <c r="BO265" s="643" t="s">
        <v>7329</v>
      </c>
      <c r="BP265" s="643" t="s">
        <v>7329</v>
      </c>
      <c r="BQ265" s="643" t="s">
        <v>7329</v>
      </c>
      <c r="DA265" s="470" t="s">
        <v>6172</v>
      </c>
    </row>
    <row r="266" spans="52:105" x14ac:dyDescent="0.25">
      <c r="AZ266" s="470" t="s">
        <v>6172</v>
      </c>
      <c r="BB266" s="844">
        <f ca="1">BJ282</f>
        <v>0</v>
      </c>
      <c r="BC266" s="426" t="s">
        <v>6272</v>
      </c>
      <c r="DA266" s="470" t="s">
        <v>6172</v>
      </c>
    </row>
    <row r="267" spans="52:105" x14ac:dyDescent="0.25">
      <c r="AZ267" s="470" t="s">
        <v>6172</v>
      </c>
      <c r="BB267" s="844">
        <f ca="1">IF(AND(BO256=1,CO256=0),1,0)</f>
        <v>0</v>
      </c>
      <c r="BC267" s="426" t="s">
        <v>6284</v>
      </c>
      <c r="DA267" s="470" t="s">
        <v>6172</v>
      </c>
    </row>
    <row r="268" spans="52:105" x14ac:dyDescent="0.25">
      <c r="AZ268" s="470" t="s">
        <v>6172</v>
      </c>
      <c r="BB268" s="844">
        <f ca="1">IF(BO256&lt;&gt;CF256,1,0)</f>
        <v>0</v>
      </c>
      <c r="BC268" s="426" t="s">
        <v>6273</v>
      </c>
      <c r="BH268" s="472"/>
      <c r="BI268" s="757" t="s">
        <v>7850</v>
      </c>
      <c r="BJ268" s="525">
        <f ca="1">IF(BO256=1,1,0)</f>
        <v>0</v>
      </c>
      <c r="DA268" s="470" t="s">
        <v>6172</v>
      </c>
    </row>
    <row r="269" spans="52:105" x14ac:dyDescent="0.25">
      <c r="AZ269" s="470" t="s">
        <v>6172</v>
      </c>
      <c r="BB269" s="844">
        <f ca="1">IF(AND(BO256&lt;&gt;0,CP257=0),1,0)</f>
        <v>0</v>
      </c>
      <c r="BC269" s="426" t="s">
        <v>6209</v>
      </c>
      <c r="BH269" s="472"/>
      <c r="BI269" s="871" t="s">
        <v>6211</v>
      </c>
      <c r="BJ269" s="525">
        <f ca="1">BW257</f>
        <v>0</v>
      </c>
      <c r="BL269" s="2"/>
      <c r="BM269" s="2"/>
      <c r="BN269" s="2"/>
      <c r="BO269" s="2"/>
      <c r="BP269" s="2"/>
      <c r="BQ269" s="2"/>
      <c r="BV269" s="2"/>
      <c r="BW269" s="2"/>
      <c r="BX269" s="2"/>
      <c r="BY269" s="2"/>
      <c r="BZ269" s="2"/>
      <c r="CA269" s="2"/>
      <c r="CB269" s="2"/>
      <c r="CC269" s="2"/>
      <c r="CD269" s="2"/>
      <c r="CE269" s="2"/>
      <c r="CF269" s="2"/>
      <c r="CG269" s="2"/>
      <c r="CH269" s="2"/>
      <c r="CI269" s="2"/>
      <c r="CJ269" s="2"/>
      <c r="CK269" s="2"/>
      <c r="DA269" s="470" t="s">
        <v>6172</v>
      </c>
    </row>
    <row r="270" spans="52:105" x14ac:dyDescent="0.25">
      <c r="AZ270" s="470" t="s">
        <v>6172</v>
      </c>
      <c r="BB270" s="844">
        <f ca="1">IF(AND(BO256&lt;&gt;0,CM256=0),1,0)</f>
        <v>0</v>
      </c>
      <c r="BC270" s="426" t="s">
        <v>6196</v>
      </c>
      <c r="BH270" s="469"/>
      <c r="BI270" s="872" t="s">
        <v>6223</v>
      </c>
      <c r="BJ270" s="759">
        <f ca="1">IF(BJ269&lt;&gt;0,
IF(COUNTIF($M$65:$M$94,BJ269)=0,1,0),0)</f>
        <v>0</v>
      </c>
      <c r="DA270" s="470" t="s">
        <v>6172</v>
      </c>
    </row>
    <row r="271" spans="52:105" x14ac:dyDescent="0.25">
      <c r="AZ271" s="470" t="s">
        <v>6172</v>
      </c>
      <c r="BB271" s="25">
        <f ca="1">IF(CC257="Não relatado",1,0)</f>
        <v>0</v>
      </c>
      <c r="BC271" s="426" t="s">
        <v>6301</v>
      </c>
      <c r="BH271" s="472"/>
      <c r="BI271" s="871" t="s">
        <v>6178</v>
      </c>
      <c r="BJ271" s="525">
        <f ca="1">IFERROR(VLOOKUP(BJ269,$M$65:$P$94,4,0),0)</f>
        <v>0</v>
      </c>
      <c r="DA271" s="470" t="s">
        <v>6172</v>
      </c>
    </row>
    <row r="272" spans="52:105" x14ac:dyDescent="0.25">
      <c r="AZ272" s="470" t="s">
        <v>6172</v>
      </c>
      <c r="BB272" s="25">
        <f ca="1">IF(AND(CC257="Sim",CD257&lt;4),1,0)</f>
        <v>0</v>
      </c>
      <c r="BC272" s="426" t="s">
        <v>6302</v>
      </c>
      <c r="BH272" s="472"/>
      <c r="BI272" s="871" t="s">
        <v>6213</v>
      </c>
      <c r="BJ272" s="525">
        <f ca="1">BV257</f>
        <v>0</v>
      </c>
      <c r="DA272" s="470" t="s">
        <v>6172</v>
      </c>
    </row>
    <row r="273" spans="52:105" x14ac:dyDescent="0.25">
      <c r="AZ273" s="470" t="s">
        <v>6172</v>
      </c>
      <c r="BB273" s="25">
        <f ca="1">IF(CP257=2,1,0)</f>
        <v>0</v>
      </c>
      <c r="BC273" s="426" t="s">
        <v>6067</v>
      </c>
      <c r="BH273" s="469"/>
      <c r="BI273" s="872" t="s">
        <v>6179</v>
      </c>
      <c r="BJ273" s="759">
        <f ca="1">IF(BJ270&lt;&gt;1,
IF((BJ271-BJ272)&lt;0,1,0),
0)</f>
        <v>0</v>
      </c>
      <c r="DA273" s="470" t="s">
        <v>6172</v>
      </c>
    </row>
    <row r="274" spans="52:105" x14ac:dyDescent="0.25">
      <c r="AZ274" s="470" t="s">
        <v>6172</v>
      </c>
      <c r="BB274" s="25">
        <f ca="1">BJ277</f>
        <v>0</v>
      </c>
      <c r="BC274" s="426" t="s">
        <v>6210</v>
      </c>
      <c r="BH274" s="469"/>
      <c r="BI274" s="872" t="s">
        <v>7354</v>
      </c>
      <c r="BJ274" s="759">
        <f ca="1">IF(COUNTIFS($M$65:$M$94,BJ269,$AA$65:$AA$94,2)&gt;0,1,0)</f>
        <v>0</v>
      </c>
      <c r="DA274" s="470" t="s">
        <v>6172</v>
      </c>
    </row>
    <row r="275" spans="52:105" x14ac:dyDescent="0.25">
      <c r="AZ275" s="470" t="s">
        <v>6172</v>
      </c>
      <c r="BB275" s="25">
        <f ca="1">BJ270</f>
        <v>0</v>
      </c>
      <c r="BC275" s="426" t="s">
        <v>6243</v>
      </c>
      <c r="BH275" s="469"/>
      <c r="BI275" s="872" t="s">
        <v>7356</v>
      </c>
      <c r="BJ275" s="767">
        <f ca="1">IF(BR257="Não",1,0)</f>
        <v>0</v>
      </c>
      <c r="DA275" s="470" t="s">
        <v>6172</v>
      </c>
    </row>
    <row r="276" spans="52:105" x14ac:dyDescent="0.25">
      <c r="AZ276" s="470" t="s">
        <v>6172</v>
      </c>
      <c r="BB276" s="25">
        <f ca="1">BJ273</f>
        <v>0</v>
      </c>
      <c r="BC276" s="426" t="s">
        <v>6068</v>
      </c>
      <c r="BH276" s="469"/>
      <c r="BI276" s="758" t="s">
        <v>6067</v>
      </c>
      <c r="BJ276" s="767"/>
      <c r="DA276" s="470" t="s">
        <v>6172</v>
      </c>
    </row>
    <row r="277" spans="52:105" x14ac:dyDescent="0.25">
      <c r="AZ277" s="470" t="s">
        <v>6172</v>
      </c>
      <c r="BB277" s="25">
        <f ca="1">BJ274</f>
        <v>0</v>
      </c>
      <c r="BC277" s="426" t="s">
        <v>6069</v>
      </c>
      <c r="BH277" s="469"/>
      <c r="BI277" s="872" t="s">
        <v>7360</v>
      </c>
      <c r="BJ277" s="767">
        <f ca="1">IF(CP257=2,
IF(COUNTIF(INDIRECT(BJ253&amp;CJ255,1),"sim")&gt;0,1,0),
0)</f>
        <v>0</v>
      </c>
      <c r="DA277" s="470" t="s">
        <v>6172</v>
      </c>
    </row>
    <row r="278" spans="52:105" x14ac:dyDescent="0.25">
      <c r="AZ278" s="470" t="s">
        <v>6172</v>
      </c>
      <c r="BB278" s="25">
        <f ca="1">BJ289</f>
        <v>0</v>
      </c>
      <c r="BC278" s="426" t="s">
        <v>6082</v>
      </c>
      <c r="BH278" s="469"/>
      <c r="DA278" s="470" t="s">
        <v>6172</v>
      </c>
    </row>
    <row r="279" spans="52:105" x14ac:dyDescent="0.25">
      <c r="AZ279" s="470" t="s">
        <v>6172</v>
      </c>
      <c r="BB279" s="25">
        <f ca="1">BJ291</f>
        <v>0</v>
      </c>
      <c r="BC279" s="426" t="s">
        <v>6081</v>
      </c>
      <c r="BH279" s="469"/>
      <c r="BI279" s="872" t="s">
        <v>7363</v>
      </c>
      <c r="BJ279" s="767">
        <f ca="1">IF(CK257="sim",1,0)</f>
        <v>0</v>
      </c>
      <c r="DA279" s="470" t="s">
        <v>6172</v>
      </c>
    </row>
    <row r="280" spans="52:105" x14ac:dyDescent="0.25">
      <c r="AZ280" s="470" t="s">
        <v>6172</v>
      </c>
      <c r="BB280" s="25"/>
      <c r="BC280" s="426"/>
      <c r="BH280" s="472"/>
      <c r="BI280" s="871" t="s">
        <v>7492</v>
      </c>
      <c r="BJ280" s="717">
        <v>6</v>
      </c>
      <c r="BN280" s="898" t="s">
        <v>7496</v>
      </c>
      <c r="DA280" s="470" t="s">
        <v>6172</v>
      </c>
    </row>
    <row r="281" spans="52:105" x14ac:dyDescent="0.25">
      <c r="AZ281" s="470" t="s">
        <v>6172</v>
      </c>
      <c r="BB281" s="25"/>
      <c r="BC281" s="426"/>
      <c r="BH281" s="472"/>
      <c r="BI281" s="871" t="s">
        <v>7463</v>
      </c>
      <c r="BJ281" s="717">
        <f ca="1">COUNTBLANK(INDIRECT($BJ$253&amp;BN281,1))</f>
        <v>12</v>
      </c>
      <c r="BN281" s="899" t="s">
        <v>8338</v>
      </c>
      <c r="DA281" s="470" t="s">
        <v>6172</v>
      </c>
    </row>
    <row r="282" spans="52:105" x14ac:dyDescent="0.25">
      <c r="AZ282" s="470" t="s">
        <v>6172</v>
      </c>
      <c r="BB282" s="25"/>
      <c r="BC282" s="426"/>
      <c r="BH282" s="469"/>
      <c r="BI282" s="872" t="s">
        <v>7465</v>
      </c>
      <c r="BJ282" s="767">
        <f ca="1">IF(BJ268=1,
IF(BJ280=BJ281,0,1),0)</f>
        <v>0</v>
      </c>
      <c r="DA282" s="470" t="s">
        <v>6172</v>
      </c>
    </row>
    <row r="283" spans="52:105" x14ac:dyDescent="0.25">
      <c r="AZ283" s="470" t="s">
        <v>6172</v>
      </c>
      <c r="BB283" s="25"/>
      <c r="BC283" s="426"/>
      <c r="BH283" s="469"/>
      <c r="BI283" s="872" t="s">
        <v>7495</v>
      </c>
      <c r="BJ283" s="767"/>
      <c r="DA283" s="470" t="s">
        <v>6172</v>
      </c>
    </row>
    <row r="284" spans="52:105" x14ac:dyDescent="0.25">
      <c r="AZ284" s="470" t="s">
        <v>6172</v>
      </c>
      <c r="BB284" s="25"/>
      <c r="BC284" s="426"/>
      <c r="BH284" s="469"/>
      <c r="BI284" s="872"/>
      <c r="BJ284" s="900"/>
      <c r="DA284" s="470" t="s">
        <v>6172</v>
      </c>
    </row>
    <row r="285" spans="52:105" x14ac:dyDescent="0.25">
      <c r="AZ285" s="470" t="s">
        <v>6172</v>
      </c>
      <c r="BB285" s="25"/>
      <c r="BC285" s="426"/>
      <c r="BH285" s="472"/>
      <c r="BI285" s="871"/>
      <c r="BJ285" s="902"/>
      <c r="DA285" s="470" t="s">
        <v>6172</v>
      </c>
    </row>
    <row r="286" spans="52:105" x14ac:dyDescent="0.25">
      <c r="AZ286" s="470" t="s">
        <v>6172</v>
      </c>
      <c r="BB286" s="25"/>
      <c r="BC286" s="426"/>
      <c r="BH286" s="469"/>
      <c r="BI286" s="872"/>
      <c r="BJ286" s="900"/>
      <c r="DA286" s="470" t="s">
        <v>6172</v>
      </c>
    </row>
    <row r="287" spans="52:105" x14ac:dyDescent="0.25">
      <c r="AZ287" s="470" t="s">
        <v>6172</v>
      </c>
      <c r="BB287" s="25"/>
      <c r="BC287" s="426"/>
      <c r="BH287" s="472"/>
      <c r="BI287" s="871" t="s">
        <v>7471</v>
      </c>
      <c r="BJ287" s="903">
        <f ca="1">IF(Calculos!J192=1,2,IF(Calculos!J193=1,5,0))</f>
        <v>0</v>
      </c>
      <c r="DA287" s="470" t="s">
        <v>6172</v>
      </c>
    </row>
    <row r="288" spans="52:105" x14ac:dyDescent="0.25">
      <c r="AZ288" s="470" t="s">
        <v>6172</v>
      </c>
      <c r="BB288" s="25"/>
      <c r="BC288" s="426"/>
      <c r="BH288" s="472"/>
      <c r="BI288" s="871" t="s">
        <v>7472</v>
      </c>
      <c r="BJ288" s="904">
        <f ca="1">IFERROR(MATCH(TRUE,INDIRECT(CO255),0),0)</f>
        <v>0</v>
      </c>
      <c r="DA288" s="470" t="s">
        <v>6172</v>
      </c>
    </row>
    <row r="289" spans="52:105" x14ac:dyDescent="0.25">
      <c r="AZ289" s="470" t="s">
        <v>6172</v>
      </c>
      <c r="BB289" s="25"/>
      <c r="BC289" s="426"/>
      <c r="BH289" s="469"/>
      <c r="BI289" s="872" t="s">
        <v>7473</v>
      </c>
      <c r="BJ289" s="900">
        <f ca="1">IF(AND(BJ287&lt;&gt;0,BJ287&lt;&gt;BJ288),1,0)</f>
        <v>0</v>
      </c>
      <c r="DA289" s="470" t="s">
        <v>6172</v>
      </c>
    </row>
    <row r="290" spans="52:105" x14ac:dyDescent="0.25">
      <c r="AZ290" s="470" t="s">
        <v>6172</v>
      </c>
      <c r="BB290" s="25"/>
      <c r="BC290" s="426"/>
      <c r="BH290" s="469"/>
      <c r="BI290" s="758" t="s">
        <v>6226</v>
      </c>
      <c r="BJ290" s="767">
        <f ca="1">IF(BN257="Sim",1,0)</f>
        <v>0</v>
      </c>
      <c r="DA290" s="470" t="s">
        <v>6172</v>
      </c>
    </row>
    <row r="291" spans="52:105" x14ac:dyDescent="0.25">
      <c r="AZ291" s="470" t="s">
        <v>6172</v>
      </c>
      <c r="BB291" s="25"/>
      <c r="BC291" s="426"/>
      <c r="BH291" s="469"/>
      <c r="BI291" s="872" t="s">
        <v>7859</v>
      </c>
      <c r="BJ291" s="900">
        <f ca="1">IF(COUNTIF(INDIRECT(BN292,1),TRUE)&gt;1,1,0)</f>
        <v>0</v>
      </c>
      <c r="BN291" s="880" t="s">
        <v>7860</v>
      </c>
      <c r="DA291" s="470" t="s">
        <v>6172</v>
      </c>
    </row>
    <row r="292" spans="52:105" x14ac:dyDescent="0.25">
      <c r="AZ292" s="470" t="s">
        <v>6172</v>
      </c>
      <c r="BB292" s="25"/>
      <c r="BC292" s="426"/>
      <c r="BH292" s="469"/>
      <c r="BI292" s="758" t="s">
        <v>7863</v>
      </c>
      <c r="BJ292" s="767">
        <f ca="1">IF(CA257="Não relatado",1,0)</f>
        <v>0</v>
      </c>
      <c r="BN292" s="905" t="s">
        <v>7861</v>
      </c>
      <c r="DA292" s="470" t="s">
        <v>6172</v>
      </c>
    </row>
    <row r="293" spans="52:105" x14ac:dyDescent="0.25">
      <c r="AZ293" s="470" t="s">
        <v>6172</v>
      </c>
      <c r="BB293" s="25"/>
      <c r="BC293" s="426"/>
      <c r="BH293" s="469"/>
      <c r="BI293" s="758" t="s">
        <v>7862</v>
      </c>
      <c r="BJ293" s="767"/>
      <c r="DA293" s="470" t="s">
        <v>6172</v>
      </c>
    </row>
    <row r="294" spans="52:105" x14ac:dyDescent="0.25">
      <c r="AZ294" s="470" t="s">
        <v>6172</v>
      </c>
      <c r="DA294" s="470" t="s">
        <v>6172</v>
      </c>
    </row>
    <row r="295" spans="52:105" ht="15.75" thickBot="1" x14ac:dyDescent="0.3">
      <c r="AZ295" s="470" t="s">
        <v>6172</v>
      </c>
      <c r="BB295" s="730" t="s">
        <v>6119</v>
      </c>
      <c r="BC295" s="730"/>
      <c r="BD295" s="730"/>
      <c r="BE295" s="730"/>
      <c r="BF295" s="730"/>
      <c r="BG295" s="730"/>
      <c r="BH295" s="730"/>
      <c r="BI295" s="730"/>
      <c r="BJ295" s="730"/>
      <c r="BK295" s="730"/>
      <c r="BL295" s="730"/>
      <c r="BM295" s="730"/>
      <c r="BN295" s="730"/>
      <c r="BO295" s="730"/>
      <c r="BP295" s="730"/>
      <c r="BQ295" s="730"/>
      <c r="BR295" s="730"/>
      <c r="BS295" s="730"/>
      <c r="BT295" s="730"/>
      <c r="BU295" s="730"/>
      <c r="BV295" s="730"/>
      <c r="BW295" s="730"/>
      <c r="BX295" s="730"/>
      <c r="BY295" s="730"/>
      <c r="BZ295" s="730"/>
      <c r="CA295" s="730"/>
      <c r="CB295" s="730"/>
      <c r="CC295" s="730"/>
      <c r="CD295" s="730"/>
      <c r="CE295" s="730"/>
      <c r="CF295" s="730"/>
      <c r="CG295" s="730"/>
      <c r="CH295" s="730"/>
      <c r="CI295" s="730"/>
      <c r="DA295" s="470" t="s">
        <v>6172</v>
      </c>
    </row>
    <row r="296" spans="52:105" x14ac:dyDescent="0.25">
      <c r="AZ296" s="470" t="s">
        <v>6172</v>
      </c>
      <c r="BB296" s="477" t="s">
        <v>8104</v>
      </c>
      <c r="BC296" s="477" t="s">
        <v>8294</v>
      </c>
      <c r="DA296" s="470" t="s">
        <v>6172</v>
      </c>
    </row>
    <row r="297" spans="52:105" x14ac:dyDescent="0.25">
      <c r="AZ297" s="470" t="s">
        <v>6172</v>
      </c>
      <c r="BB297" s="25">
        <f t="shared" ref="BB297:BB317" ca="1" si="76">BP340</f>
        <v>0</v>
      </c>
      <c r="BC297" s="426" t="s">
        <v>6197</v>
      </c>
      <c r="BI297" s="733" t="s">
        <v>7321</v>
      </c>
      <c r="BJ297" s="797" t="s">
        <v>5578</v>
      </c>
      <c r="DA297" s="470" t="s">
        <v>6172</v>
      </c>
    </row>
    <row r="298" spans="52:105" x14ac:dyDescent="0.25">
      <c r="AZ298" s="470" t="s">
        <v>6172</v>
      </c>
      <c r="BB298" s="25">
        <f t="shared" ca="1" si="76"/>
        <v>0</v>
      </c>
      <c r="BC298" s="426" t="s">
        <v>6198</v>
      </c>
      <c r="BI298" s="864" t="s">
        <v>30</v>
      </c>
      <c r="BJ298" s="864" t="s">
        <v>6174</v>
      </c>
      <c r="BK298" s="864" t="s">
        <v>6173</v>
      </c>
      <c r="BL298" s="864" t="s">
        <v>6029</v>
      </c>
      <c r="BM298" s="864" t="s">
        <v>218</v>
      </c>
      <c r="BN298" s="864" t="s">
        <v>6183</v>
      </c>
      <c r="BO298" s="864" t="s">
        <v>6184</v>
      </c>
      <c r="BP298" s="864" t="s">
        <v>31</v>
      </c>
      <c r="BQ298" s="864" t="s">
        <v>5720</v>
      </c>
      <c r="BR298" s="864" t="s">
        <v>85</v>
      </c>
      <c r="BS298" s="864" t="s">
        <v>235</v>
      </c>
      <c r="BT298" s="864" t="s">
        <v>126</v>
      </c>
      <c r="BU298" s="864" t="s">
        <v>72</v>
      </c>
      <c r="BV298" s="864" t="s">
        <v>6303</v>
      </c>
      <c r="BW298" s="864" t="s">
        <v>6304</v>
      </c>
      <c r="BX298" s="864" t="s">
        <v>74</v>
      </c>
      <c r="BY298" s="864" t="s">
        <v>6308</v>
      </c>
      <c r="BZ298" s="864" t="s">
        <v>75</v>
      </c>
      <c r="CA298" s="864" t="s">
        <v>76</v>
      </c>
      <c r="CB298" s="864" t="s">
        <v>319</v>
      </c>
      <c r="CC298" s="864" t="s">
        <v>141</v>
      </c>
      <c r="CD298" s="864" t="s">
        <v>35</v>
      </c>
      <c r="CE298" s="864" t="s">
        <v>320</v>
      </c>
      <c r="CF298" s="864" t="s">
        <v>6305</v>
      </c>
      <c r="CG298" s="738" t="s">
        <v>293</v>
      </c>
      <c r="CH298" s="738" t="s">
        <v>301</v>
      </c>
      <c r="CI298" s="738" t="s">
        <v>302</v>
      </c>
      <c r="CJ298" s="864" t="s">
        <v>6242</v>
      </c>
      <c r="CK298" s="864" t="s">
        <v>143</v>
      </c>
      <c r="CL298" s="864" t="s">
        <v>6189</v>
      </c>
      <c r="CM298" s="738" t="s">
        <v>6187</v>
      </c>
      <c r="DA298" s="470" t="s">
        <v>6172</v>
      </c>
    </row>
    <row r="299" spans="52:105" x14ac:dyDescent="0.25">
      <c r="AZ299" s="470" t="s">
        <v>6172</v>
      </c>
      <c r="BB299" s="25">
        <f t="shared" ca="1" si="76"/>
        <v>0</v>
      </c>
      <c r="BC299" s="426" t="s">
        <v>6199</v>
      </c>
      <c r="BH299" s="790" t="s">
        <v>5778</v>
      </c>
      <c r="BI299" s="761" t="s">
        <v>1592</v>
      </c>
      <c r="BJ299" s="761" t="s">
        <v>7333</v>
      </c>
      <c r="BK299" s="761" t="s">
        <v>7334</v>
      </c>
      <c r="BL299" s="827" t="s">
        <v>5798</v>
      </c>
      <c r="BM299" s="761" t="s">
        <v>7335</v>
      </c>
      <c r="BN299" s="761" t="s">
        <v>7336</v>
      </c>
      <c r="BO299" s="845" t="s">
        <v>7337</v>
      </c>
      <c r="BP299" s="845" t="s">
        <v>7338</v>
      </c>
      <c r="BQ299" s="911" t="s">
        <v>5796</v>
      </c>
      <c r="BR299" s="912" t="s">
        <v>7339</v>
      </c>
      <c r="BS299" s="761" t="s">
        <v>7340</v>
      </c>
      <c r="BT299" s="827" t="s">
        <v>7385</v>
      </c>
      <c r="BU299" s="827" t="s">
        <v>7406</v>
      </c>
      <c r="BV299" s="845" t="s">
        <v>7504</v>
      </c>
      <c r="BW299" s="845" t="s">
        <v>7505</v>
      </c>
      <c r="BX299" s="827" t="s">
        <v>6553</v>
      </c>
      <c r="BY299" s="827" t="s">
        <v>7341</v>
      </c>
      <c r="BZ299" s="827" t="s">
        <v>7342</v>
      </c>
      <c r="CA299" s="827" t="s">
        <v>7343</v>
      </c>
      <c r="CB299" s="761" t="s">
        <v>7449</v>
      </c>
      <c r="CC299" s="761" t="s">
        <v>7303</v>
      </c>
      <c r="CD299" s="761" t="s">
        <v>7375</v>
      </c>
      <c r="CE299" s="913" t="s">
        <v>7454</v>
      </c>
      <c r="CF299" s="761" t="s">
        <v>7506</v>
      </c>
      <c r="CG299" s="846" t="s">
        <v>7498</v>
      </c>
      <c r="CH299" s="846" t="s">
        <v>7499</v>
      </c>
      <c r="CI299" s="846" t="s">
        <v>7500</v>
      </c>
      <c r="CJ299" s="761" t="s">
        <v>5685</v>
      </c>
      <c r="CK299" s="761" t="s">
        <v>7507</v>
      </c>
      <c r="CL299" s="761" t="s">
        <v>7508</v>
      </c>
      <c r="CM299" s="829" t="s">
        <v>6307</v>
      </c>
      <c r="CN299" s="472"/>
      <c r="DA299" s="470" t="s">
        <v>6172</v>
      </c>
    </row>
    <row r="300" spans="52:105" x14ac:dyDescent="0.25">
      <c r="AZ300" s="470" t="s">
        <v>6172</v>
      </c>
      <c r="BB300" s="25">
        <f t="shared" ca="1" si="76"/>
        <v>0</v>
      </c>
      <c r="BC300" s="426" t="s">
        <v>6200</v>
      </c>
      <c r="BH300" s="790" t="s">
        <v>6222</v>
      </c>
      <c r="BI300" s="716">
        <f t="shared" ref="BI300:CL300" ca="1" si="77">COUNTA(INDIRECT($BJ$297&amp;BI299,1))</f>
        <v>0</v>
      </c>
      <c r="BJ300" s="716">
        <f t="shared" ca="1" si="77"/>
        <v>0</v>
      </c>
      <c r="BK300" s="716">
        <f t="shared" ca="1" si="77"/>
        <v>0</v>
      </c>
      <c r="BL300" s="716">
        <f t="shared" ca="1" si="77"/>
        <v>0</v>
      </c>
      <c r="BM300" s="716">
        <f t="shared" ca="1" si="77"/>
        <v>0</v>
      </c>
      <c r="BN300" s="716">
        <f t="shared" ca="1" si="77"/>
        <v>0</v>
      </c>
      <c r="BO300" s="716">
        <f t="shared" ca="1" si="77"/>
        <v>0</v>
      </c>
      <c r="BP300" s="716">
        <f t="shared" ca="1" si="77"/>
        <v>0</v>
      </c>
      <c r="BQ300" s="716">
        <f t="shared" ca="1" si="77"/>
        <v>0</v>
      </c>
      <c r="BR300" s="716">
        <f t="shared" ca="1" si="77"/>
        <v>1</v>
      </c>
      <c r="BS300" s="716">
        <f t="shared" ca="1" si="77"/>
        <v>0</v>
      </c>
      <c r="BT300" s="716">
        <f t="shared" ca="1" si="77"/>
        <v>0</v>
      </c>
      <c r="BU300" s="716">
        <f t="shared" ca="1" si="77"/>
        <v>0</v>
      </c>
      <c r="BV300" s="716">
        <f t="shared" ca="1" si="77"/>
        <v>0</v>
      </c>
      <c r="BW300" s="716">
        <f t="shared" ca="1" si="77"/>
        <v>0</v>
      </c>
      <c r="BX300" s="716">
        <f t="shared" ca="1" si="77"/>
        <v>0</v>
      </c>
      <c r="BY300" s="716">
        <f t="shared" ca="1" si="77"/>
        <v>0</v>
      </c>
      <c r="BZ300" s="716">
        <f t="shared" ca="1" si="77"/>
        <v>0</v>
      </c>
      <c r="CA300" s="716">
        <f t="shared" ca="1" si="77"/>
        <v>0</v>
      </c>
      <c r="CB300" s="716">
        <f t="shared" ca="1" si="77"/>
        <v>0</v>
      </c>
      <c r="CC300" s="716">
        <f t="shared" ca="1" si="77"/>
        <v>0</v>
      </c>
      <c r="CD300" s="716">
        <f t="shared" ca="1" si="77"/>
        <v>0</v>
      </c>
      <c r="CE300" s="716">
        <f t="shared" ca="1" si="77"/>
        <v>0</v>
      </c>
      <c r="CF300" s="716">
        <f t="shared" ca="1" si="77"/>
        <v>0</v>
      </c>
      <c r="CG300" s="716">
        <f t="shared" ca="1" si="77"/>
        <v>0</v>
      </c>
      <c r="CH300" s="716">
        <f t="shared" ca="1" si="77"/>
        <v>0</v>
      </c>
      <c r="CI300" s="716">
        <f t="shared" ca="1" si="77"/>
        <v>3</v>
      </c>
      <c r="CJ300" s="716">
        <f t="shared" ca="1" si="77"/>
        <v>0</v>
      </c>
      <c r="CK300" s="716">
        <f t="shared" ca="1" si="77"/>
        <v>0</v>
      </c>
      <c r="CL300" s="716">
        <f t="shared" ca="1" si="77"/>
        <v>0</v>
      </c>
      <c r="CM300" s="716">
        <f ca="1">COUNTA(INDIRECT(CM299,1))</f>
        <v>1</v>
      </c>
      <c r="CN300" s="472"/>
      <c r="DA300" s="470" t="s">
        <v>6172</v>
      </c>
    </row>
    <row r="301" spans="52:105" x14ac:dyDescent="0.25">
      <c r="AZ301" s="470" t="s">
        <v>6172</v>
      </c>
      <c r="BB301" s="25">
        <f t="shared" ca="1" si="76"/>
        <v>0</v>
      </c>
      <c r="BC301" s="426" t="s">
        <v>6201</v>
      </c>
      <c r="BH301" s="790" t="s">
        <v>6133</v>
      </c>
      <c r="BI301" s="643" cm="1">
        <f t="array" aca="1" ref="BI301" ca="1">INDIRECT($BJ$297&amp;BI299,1)</f>
        <v>0</v>
      </c>
      <c r="BJ301" s="643" cm="1">
        <f t="array" aca="1" ref="BJ301" ca="1">INDIRECT($BJ$297&amp;BJ299,1)</f>
        <v>0</v>
      </c>
      <c r="BK301" s="643" cm="1">
        <f t="array" aca="1" ref="BK301" ca="1">INDIRECT($BJ$297&amp;BK299,1)</f>
        <v>0</v>
      </c>
      <c r="BL301" s="643" cm="1">
        <f t="array" aca="1" ref="BL301" ca="1">INDIRECT($BJ$297&amp;BL299,1)</f>
        <v>0</v>
      </c>
      <c r="BM301" s="643" cm="1">
        <f t="array" aca="1" ref="BM301" ca="1">INDIRECT($BJ$297&amp;BM299,1)</f>
        <v>0</v>
      </c>
      <c r="BN301" s="643" cm="1">
        <f t="array" aca="1" ref="BN301" ca="1">INDIRECT($BJ$297&amp;BN299,1)</f>
        <v>0</v>
      </c>
      <c r="BO301" s="643" cm="1">
        <f t="array" aca="1" ref="BO301" ca="1">INDIRECT($BJ$297&amp;BO299,1)</f>
        <v>0</v>
      </c>
      <c r="BP301" s="643" cm="1">
        <f t="array" aca="1" ref="BP301" ca="1">INDIRECT($BJ$297&amp;BP299,1)</f>
        <v>0</v>
      </c>
      <c r="BQ301" s="643" cm="1">
        <f t="array" aca="1" ref="BQ301" ca="1">INDIRECT($BJ$297&amp;BQ299,1)</f>
        <v>0</v>
      </c>
      <c r="BR301" s="643" t="str" cm="1">
        <f t="array" aca="1" ref="BR301" ca="1">INDIRECT($BJ$297&amp;BR299,1)</f>
        <v>Mus musculus</v>
      </c>
      <c r="BS301" s="643" cm="1">
        <f t="array" aca="1" ref="BS301" ca="1">INDIRECT($BJ$297&amp;BS299,1)</f>
        <v>0</v>
      </c>
      <c r="BT301" s="643" cm="1">
        <f t="array" aca="1" ref="BT301" ca="1">INDIRECT($BJ$297&amp;BT299,1)</f>
        <v>0</v>
      </c>
      <c r="BU301" s="643" cm="1">
        <f t="array" aca="1" ref="BU301" ca="1">INDIRECT($BJ$297&amp;BU299,1)</f>
        <v>0</v>
      </c>
      <c r="BV301" s="643" cm="1">
        <f t="array" aca="1" ref="BV301" ca="1">INDIRECT($BJ$297&amp;BV299,1)</f>
        <v>0</v>
      </c>
      <c r="BW301" s="643" cm="1">
        <f t="array" aca="1" ref="BW301" ca="1">INDIRECT($BJ$297&amp;BW299,1)</f>
        <v>0</v>
      </c>
      <c r="BX301" s="643" cm="1">
        <f t="array" aca="1" ref="BX301" ca="1">INDIRECT($BJ$297&amp;BX299,1)</f>
        <v>0</v>
      </c>
      <c r="BY301" s="643" cm="1">
        <f t="array" aca="1" ref="BY301" ca="1">INDIRECT($BJ$297&amp;BY299,1)</f>
        <v>0</v>
      </c>
      <c r="BZ301" s="643" cm="1">
        <f t="array" aca="1" ref="BZ301" ca="1">INDIRECT($BJ$297&amp;BZ299,1)</f>
        <v>0</v>
      </c>
      <c r="CA301" s="643" cm="1">
        <f t="array" aca="1" ref="CA301" ca="1">INDIRECT($BJ$297&amp;CA299,1)</f>
        <v>0</v>
      </c>
      <c r="CB301" s="643" cm="1">
        <f t="array" aca="1" ref="CB301" ca="1">INDIRECT($BJ$297&amp;CB299,1)</f>
        <v>0</v>
      </c>
      <c r="CC301" s="643" cm="1">
        <f t="array" aca="1" ref="CC301" ca="1">INDIRECT($BJ$297&amp;CC299,1)</f>
        <v>0</v>
      </c>
      <c r="CD301" s="643" cm="1">
        <f t="array" aca="1" ref="CD301" ca="1">INDIRECT($BJ$297&amp;CD299,1)</f>
        <v>0</v>
      </c>
      <c r="CE301" s="643" cm="1">
        <f t="array" aca="1" ref="CE301" ca="1">INDIRECT($BJ$297&amp;CE299,1)</f>
        <v>0</v>
      </c>
      <c r="CF301" s="643" cm="1">
        <f t="array" aca="1" ref="CF301" ca="1">INDIRECT($BJ$297&amp;CF299,1)</f>
        <v>0</v>
      </c>
      <c r="CG301" s="713"/>
      <c r="CH301" s="713"/>
      <c r="CI301" s="713"/>
      <c r="CJ301" s="643" cm="1">
        <f t="array" aca="1" ref="CJ301" ca="1">INDIRECT($BJ$297&amp;CJ299,1)</f>
        <v>0</v>
      </c>
      <c r="CK301" s="643" cm="1">
        <f t="array" aca="1" ref="CK301" ca="1">INDIRECT($BJ$297&amp;CK299,1)</f>
        <v>0</v>
      </c>
      <c r="CL301" s="643" cm="1">
        <f t="array" aca="1" ref="CL301" ca="1">INDIRECT($BJ$297&amp;CL299,1)</f>
        <v>0</v>
      </c>
      <c r="CM301" s="643" cm="1">
        <f t="array" aca="1" ref="CM301" ca="1">INDIRECT(CM299,1)</f>
        <v>0</v>
      </c>
      <c r="CN301" s="472"/>
      <c r="DA301" s="470" t="s">
        <v>6172</v>
      </c>
    </row>
    <row r="302" spans="52:105" x14ac:dyDescent="0.25">
      <c r="AZ302" s="470" t="s">
        <v>6172</v>
      </c>
      <c r="BB302" s="25">
        <f t="shared" ca="1" si="76"/>
        <v>0</v>
      </c>
      <c r="BC302" s="426" t="s">
        <v>6202</v>
      </c>
      <c r="CN302" s="472"/>
      <c r="DA302" s="470" t="s">
        <v>6172</v>
      </c>
    </row>
    <row r="303" spans="52:105" x14ac:dyDescent="0.25">
      <c r="AZ303" s="470" t="s">
        <v>6172</v>
      </c>
      <c r="BB303" s="25">
        <f t="shared" ca="1" si="76"/>
        <v>0</v>
      </c>
      <c r="BC303" s="426" t="s">
        <v>6203</v>
      </c>
      <c r="BI303" s="472"/>
      <c r="BJ303" s="472"/>
      <c r="BK303" s="472"/>
      <c r="BL303" s="472"/>
      <c r="BM303" s="472"/>
      <c r="BN303" s="472"/>
      <c r="BO303" s="472"/>
      <c r="BP303" s="472"/>
      <c r="BQ303" s="472"/>
      <c r="BR303" s="472"/>
      <c r="BS303" s="472"/>
      <c r="BT303" s="472"/>
      <c r="BU303" s="472"/>
      <c r="BV303" s="472"/>
      <c r="BW303" s="472"/>
      <c r="BX303" s="472"/>
      <c r="BY303" s="472"/>
      <c r="BZ303" s="472"/>
      <c r="CA303" s="472"/>
      <c r="CB303" s="472"/>
      <c r="CC303" s="472"/>
      <c r="CD303" s="472"/>
      <c r="CE303" s="472"/>
      <c r="CF303" s="472"/>
      <c r="CG303" s="472"/>
      <c r="CH303" s="472"/>
      <c r="CI303" s="472"/>
      <c r="CJ303" s="472"/>
      <c r="CK303" s="472"/>
      <c r="CL303" s="472"/>
      <c r="CM303" s="472"/>
      <c r="CN303" s="472"/>
      <c r="DA303" s="470" t="s">
        <v>6172</v>
      </c>
    </row>
    <row r="304" spans="52:105" x14ac:dyDescent="0.25">
      <c r="AZ304" s="470" t="s">
        <v>6172</v>
      </c>
      <c r="BB304" s="25">
        <f t="shared" ca="1" si="76"/>
        <v>0</v>
      </c>
      <c r="BC304" s="426" t="s">
        <v>6204</v>
      </c>
      <c r="BI304" s="472"/>
      <c r="BJ304" s="472"/>
      <c r="BK304" s="472"/>
      <c r="BL304" s="472"/>
      <c r="BM304" s="472"/>
      <c r="BN304" s="472"/>
      <c r="BU304" s="472"/>
      <c r="BV304" s="472"/>
      <c r="BW304" s="472"/>
      <c r="BX304" s="472"/>
      <c r="BY304" s="472"/>
      <c r="BZ304" s="472"/>
      <c r="CA304" s="472"/>
      <c r="CB304" s="472"/>
      <c r="CC304" s="2"/>
      <c r="CD304" s="2"/>
      <c r="CE304" s="2"/>
      <c r="CF304" s="2"/>
      <c r="CG304" s="2"/>
      <c r="CH304" s="2"/>
      <c r="CI304" s="472"/>
      <c r="CJ304" s="472"/>
      <c r="CK304" s="472"/>
      <c r="CL304" s="472"/>
      <c r="CM304" s="472"/>
      <c r="CN304" s="472"/>
      <c r="DA304" s="470" t="s">
        <v>6172</v>
      </c>
    </row>
    <row r="305" spans="52:105" x14ac:dyDescent="0.25">
      <c r="AZ305" s="470" t="s">
        <v>6172</v>
      </c>
      <c r="BB305" s="25">
        <f t="shared" ca="1" si="76"/>
        <v>0</v>
      </c>
      <c r="BC305" s="426" t="s">
        <v>6309</v>
      </c>
      <c r="BH305" s="472"/>
      <c r="BI305" s="914" t="s">
        <v>7510</v>
      </c>
      <c r="BU305" s="472"/>
      <c r="BV305" s="472"/>
      <c r="BW305" s="472"/>
      <c r="BX305" s="472"/>
      <c r="BY305" s="472"/>
      <c r="BZ305" s="472"/>
      <c r="CA305" s="472"/>
      <c r="CB305" s="472"/>
      <c r="CE305" s="2" t="s">
        <v>6320</v>
      </c>
      <c r="CF305" s="2"/>
      <c r="CG305" s="2" t="s">
        <v>6326</v>
      </c>
      <c r="CH305" s="2"/>
      <c r="CI305" s="472"/>
      <c r="CJ305" s="472"/>
      <c r="CK305" s="472"/>
      <c r="CL305" s="472"/>
      <c r="CM305" s="472"/>
      <c r="CN305" s="472"/>
      <c r="DA305" s="470" t="s">
        <v>6172</v>
      </c>
    </row>
    <row r="306" spans="52:105" x14ac:dyDescent="0.25">
      <c r="AZ306" s="470" t="s">
        <v>6172</v>
      </c>
      <c r="BB306" s="25">
        <f t="shared" ca="1" si="76"/>
        <v>0</v>
      </c>
      <c r="BC306" s="426" t="s">
        <v>6310</v>
      </c>
      <c r="BI306" s="864" t="s">
        <v>7261</v>
      </c>
      <c r="BJ306" s="864" t="s">
        <v>7262</v>
      </c>
      <c r="BK306" s="864" t="s">
        <v>142</v>
      </c>
      <c r="BL306" s="864" t="s">
        <v>81</v>
      </c>
      <c r="BU306" s="472"/>
      <c r="BV306" s="472"/>
      <c r="BW306" s="472"/>
      <c r="BX306" s="472"/>
      <c r="BY306" s="472"/>
      <c r="BZ306" s="472"/>
      <c r="CA306" s="472"/>
      <c r="CB306" s="472"/>
      <c r="CC306" s="915" t="s">
        <v>5578</v>
      </c>
      <c r="CD306" s="716" t="s">
        <v>5734</v>
      </c>
      <c r="CE306" s="716" t="s">
        <v>5739</v>
      </c>
      <c r="CF306" s="643" t="s">
        <v>6321</v>
      </c>
      <c r="CI306" s="472"/>
      <c r="CJ306" s="472"/>
      <c r="CK306" s="472"/>
      <c r="CL306" s="472"/>
      <c r="CM306" s="472"/>
      <c r="CN306" s="472"/>
      <c r="DA306" s="470" t="s">
        <v>6172</v>
      </c>
    </row>
    <row r="307" spans="52:105" x14ac:dyDescent="0.25">
      <c r="AZ307" s="470" t="s">
        <v>6172</v>
      </c>
      <c r="BB307" s="25">
        <f t="shared" ca="1" si="76"/>
        <v>0</v>
      </c>
      <c r="BC307" s="426" t="s">
        <v>6311</v>
      </c>
      <c r="BH307" s="790" t="s">
        <v>5778</v>
      </c>
      <c r="BI307" s="833" t="s">
        <v>7511</v>
      </c>
      <c r="BJ307" s="833" t="s">
        <v>7512</v>
      </c>
      <c r="BK307" s="597" t="s">
        <v>7513</v>
      </c>
      <c r="BL307" s="597" t="s">
        <v>7514</v>
      </c>
      <c r="BU307" s="472"/>
      <c r="BV307" s="472"/>
      <c r="BW307" s="472"/>
      <c r="BX307" s="472"/>
      <c r="BY307" s="472"/>
      <c r="BZ307" s="472"/>
      <c r="CA307" s="472"/>
      <c r="CB307" s="472"/>
      <c r="CD307" s="916" t="s">
        <v>6325</v>
      </c>
      <c r="CE307" s="916" t="s">
        <v>6322</v>
      </c>
      <c r="CF307" s="916" t="s">
        <v>6323</v>
      </c>
      <c r="CG307" s="916" t="s">
        <v>6324</v>
      </c>
      <c r="CH307" s="916" t="s">
        <v>6300</v>
      </c>
      <c r="CI307" s="472"/>
      <c r="CJ307" s="472"/>
      <c r="CK307" s="472"/>
      <c r="CL307" s="472"/>
      <c r="CM307" s="472"/>
      <c r="CN307" s="472"/>
      <c r="DA307" s="470" t="s">
        <v>6172</v>
      </c>
    </row>
    <row r="308" spans="52:105" x14ac:dyDescent="0.25">
      <c r="AZ308" s="470" t="s">
        <v>6172</v>
      </c>
      <c r="BB308" s="25">
        <f t="shared" ca="1" si="76"/>
        <v>0</v>
      </c>
      <c r="BC308" s="426" t="s">
        <v>6312</v>
      </c>
      <c r="BH308" s="790" t="s">
        <v>6222</v>
      </c>
      <c r="BI308" s="716">
        <f ca="1">COUNTA(INDIRECT($BJ$297&amp;BI307,1))</f>
        <v>0</v>
      </c>
      <c r="BJ308" s="716">
        <f ca="1">COUNTA(INDIRECT($BJ$297&amp;BJ307,1))</f>
        <v>0</v>
      </c>
      <c r="BK308" s="716">
        <f ca="1">COUNTA(INDIRECT($BJ$297&amp;BK307,1))</f>
        <v>0</v>
      </c>
      <c r="BL308" s="716">
        <f ca="1">COUNTA(INDIRECT($BJ$297&amp;BL307,1))</f>
        <v>0</v>
      </c>
      <c r="BU308" s="472"/>
      <c r="BV308" s="472"/>
      <c r="BW308" s="472"/>
      <c r="BX308" s="472"/>
      <c r="BY308" s="472"/>
      <c r="BZ308" s="472"/>
      <c r="CA308" s="472"/>
      <c r="CB308" s="472"/>
      <c r="CC308" s="917">
        <v>30</v>
      </c>
      <c r="CD308" s="832">
        <f t="shared" ref="CD308:CF317" ca="1" si="78">COUNTA(INDIRECT($CC$306&amp;CD$306&amp;$CC308,1))</f>
        <v>0</v>
      </c>
      <c r="CE308" s="832">
        <f t="shared" ca="1" si="78"/>
        <v>0</v>
      </c>
      <c r="CF308" s="832">
        <f t="shared" ca="1" si="78"/>
        <v>0</v>
      </c>
      <c r="CG308" s="832">
        <f ca="1">IF(CD308&gt;SUM(CE308:CF308),1,0)</f>
        <v>0</v>
      </c>
      <c r="CH308" s="832">
        <f ca="1">IF(SUM(CG308:CG317)&gt;0,1,0)</f>
        <v>0</v>
      </c>
      <c r="CI308" s="472"/>
      <c r="CJ308" s="472"/>
      <c r="CK308" s="472"/>
      <c r="CL308" s="472"/>
      <c r="CM308" s="472"/>
      <c r="CN308" s="472"/>
      <c r="DA308" s="470" t="s">
        <v>6172</v>
      </c>
    </row>
    <row r="309" spans="52:105" x14ac:dyDescent="0.25">
      <c r="AZ309" s="470" t="s">
        <v>6172</v>
      </c>
      <c r="BB309" s="25">
        <f t="shared" ca="1" si="76"/>
        <v>0</v>
      </c>
      <c r="BC309" s="426" t="s">
        <v>6313</v>
      </c>
      <c r="BH309" s="790" t="s">
        <v>6133</v>
      </c>
      <c r="BI309" s="643" cm="1">
        <f t="array" aca="1" ref="BI309" ca="1">INDIRECT($BJ$297&amp;BI307,1)</f>
        <v>0</v>
      </c>
      <c r="BJ309" s="643" cm="1">
        <f t="array" aca="1" ref="BJ309" ca="1">INDIRECT($BJ$297&amp;BJ307,1)</f>
        <v>0</v>
      </c>
      <c r="BK309" s="643" cm="1">
        <f t="array" aca="1" ref="BK309" ca="1">INDIRECT($BJ$297&amp;BK307,1)</f>
        <v>0</v>
      </c>
      <c r="BL309" s="643" cm="1">
        <f t="array" aca="1" ref="BL309" ca="1">INDIRECT($BJ$297&amp;BL307,1)</f>
        <v>0</v>
      </c>
      <c r="CC309" s="917">
        <v>31</v>
      </c>
      <c r="CD309" s="832">
        <f t="shared" ca="1" si="78"/>
        <v>0</v>
      </c>
      <c r="CE309" s="832">
        <f t="shared" ca="1" si="78"/>
        <v>0</v>
      </c>
      <c r="CF309" s="832">
        <f t="shared" ca="1" si="78"/>
        <v>0</v>
      </c>
      <c r="CG309" s="832">
        <f t="shared" ref="CG309:CG317" ca="1" si="79">IF(CD309&gt;SUM(CE309:CF309),1,0)</f>
        <v>0</v>
      </c>
      <c r="DA309" s="470" t="s">
        <v>6172</v>
      </c>
    </row>
    <row r="310" spans="52:105" x14ac:dyDescent="0.25">
      <c r="AZ310" s="470" t="s">
        <v>6172</v>
      </c>
      <c r="BB310" s="25">
        <f t="shared" ca="1" si="76"/>
        <v>0</v>
      </c>
      <c r="BC310" s="426" t="s">
        <v>6327</v>
      </c>
      <c r="BH310" s="790" t="s">
        <v>14</v>
      </c>
      <c r="BI310" s="597" t="s">
        <v>7328</v>
      </c>
      <c r="BJ310" s="597" t="s">
        <v>7328</v>
      </c>
      <c r="BK310" s="597" t="s">
        <v>7330</v>
      </c>
      <c r="BL310" s="597" t="s">
        <v>7330</v>
      </c>
      <c r="CC310" s="917">
        <v>32</v>
      </c>
      <c r="CD310" s="832">
        <f t="shared" ca="1" si="78"/>
        <v>0</v>
      </c>
      <c r="CE310" s="832">
        <f t="shared" ca="1" si="78"/>
        <v>0</v>
      </c>
      <c r="CF310" s="832">
        <f t="shared" ca="1" si="78"/>
        <v>0</v>
      </c>
      <c r="CG310" s="832">
        <f t="shared" ca="1" si="79"/>
        <v>0</v>
      </c>
      <c r="DA310" s="470" t="s">
        <v>6172</v>
      </c>
    </row>
    <row r="311" spans="52:105" x14ac:dyDescent="0.25">
      <c r="AZ311" s="470" t="s">
        <v>6172</v>
      </c>
      <c r="BB311" s="25">
        <f t="shared" ca="1" si="76"/>
        <v>0</v>
      </c>
      <c r="BC311" s="426" t="s">
        <v>6314</v>
      </c>
      <c r="CC311" s="917">
        <v>33</v>
      </c>
      <c r="CD311" s="832">
        <f t="shared" ca="1" si="78"/>
        <v>0</v>
      </c>
      <c r="CE311" s="832">
        <f t="shared" ca="1" si="78"/>
        <v>0</v>
      </c>
      <c r="CF311" s="832">
        <f t="shared" ca="1" si="78"/>
        <v>0</v>
      </c>
      <c r="CG311" s="832">
        <f t="shared" ca="1" si="79"/>
        <v>0</v>
      </c>
      <c r="DA311" s="470" t="s">
        <v>6172</v>
      </c>
    </row>
    <row r="312" spans="52:105" x14ac:dyDescent="0.25">
      <c r="AZ312" s="470" t="s">
        <v>6172</v>
      </c>
      <c r="BB312" s="25">
        <f t="shared" ca="1" si="76"/>
        <v>0</v>
      </c>
      <c r="BC312" s="426" t="s">
        <v>6315</v>
      </c>
      <c r="CC312" s="917">
        <v>34</v>
      </c>
      <c r="CD312" s="832">
        <f t="shared" ca="1" si="78"/>
        <v>0</v>
      </c>
      <c r="CE312" s="832">
        <f t="shared" ca="1" si="78"/>
        <v>0</v>
      </c>
      <c r="CF312" s="832">
        <f t="shared" ca="1" si="78"/>
        <v>0</v>
      </c>
      <c r="CG312" s="832">
        <f t="shared" ca="1" si="79"/>
        <v>0</v>
      </c>
      <c r="DA312" s="470" t="s">
        <v>6172</v>
      </c>
    </row>
    <row r="313" spans="52:105" x14ac:dyDescent="0.25">
      <c r="AZ313" s="470" t="s">
        <v>6172</v>
      </c>
      <c r="BB313" s="25">
        <f t="shared" ca="1" si="76"/>
        <v>0</v>
      </c>
      <c r="BC313" s="426" t="s">
        <v>6316</v>
      </c>
      <c r="BI313" s="918" t="s">
        <v>5706</v>
      </c>
      <c r="BJ313" s="472"/>
      <c r="BK313" s="472"/>
      <c r="CC313" s="917">
        <v>35</v>
      </c>
      <c r="CD313" s="832">
        <f t="shared" ca="1" si="78"/>
        <v>0</v>
      </c>
      <c r="CE313" s="832">
        <f t="shared" ca="1" si="78"/>
        <v>0</v>
      </c>
      <c r="CF313" s="832">
        <f t="shared" ca="1" si="78"/>
        <v>0</v>
      </c>
      <c r="CG313" s="832">
        <f t="shared" ca="1" si="79"/>
        <v>0</v>
      </c>
      <c r="DA313" s="470" t="s">
        <v>6172</v>
      </c>
    </row>
    <row r="314" spans="52:105" x14ac:dyDescent="0.25">
      <c r="AZ314" s="470" t="s">
        <v>6172</v>
      </c>
      <c r="BB314" s="25">
        <f t="shared" ca="1" si="76"/>
        <v>0</v>
      </c>
      <c r="BC314" s="426" t="s">
        <v>6317</v>
      </c>
      <c r="BI314" s="863" t="s">
        <v>84</v>
      </c>
      <c r="BJ314" s="863" t="s">
        <v>246</v>
      </c>
      <c r="BK314" s="863" t="s">
        <v>247</v>
      </c>
      <c r="CC314" s="917">
        <v>36</v>
      </c>
      <c r="CD314" s="832">
        <f t="shared" ca="1" si="78"/>
        <v>0</v>
      </c>
      <c r="CE314" s="832">
        <f t="shared" ca="1" si="78"/>
        <v>0</v>
      </c>
      <c r="CF314" s="832">
        <f t="shared" ca="1" si="78"/>
        <v>0</v>
      </c>
      <c r="CG314" s="832">
        <f t="shared" ca="1" si="79"/>
        <v>0</v>
      </c>
      <c r="DA314" s="470" t="s">
        <v>6172</v>
      </c>
    </row>
    <row r="315" spans="52:105" x14ac:dyDescent="0.25">
      <c r="AZ315" s="470" t="s">
        <v>6172</v>
      </c>
      <c r="BB315" s="25">
        <f t="shared" ca="1" si="76"/>
        <v>0</v>
      </c>
      <c r="BC315" s="426" t="s">
        <v>6318</v>
      </c>
      <c r="BH315" s="790" t="s">
        <v>5778</v>
      </c>
      <c r="BI315" s="919" t="s">
        <v>7501</v>
      </c>
      <c r="BJ315" s="919" t="s">
        <v>7502</v>
      </c>
      <c r="BK315" s="919" t="s">
        <v>7503</v>
      </c>
      <c r="CC315" s="917">
        <v>37</v>
      </c>
      <c r="CD315" s="832">
        <f t="shared" ca="1" si="78"/>
        <v>0</v>
      </c>
      <c r="CE315" s="832">
        <f t="shared" ca="1" si="78"/>
        <v>0</v>
      </c>
      <c r="CF315" s="832">
        <f t="shared" ca="1" si="78"/>
        <v>0</v>
      </c>
      <c r="CG315" s="832">
        <f t="shared" ca="1" si="79"/>
        <v>0</v>
      </c>
      <c r="DA315" s="470" t="s">
        <v>6172</v>
      </c>
    </row>
    <row r="316" spans="52:105" x14ac:dyDescent="0.25">
      <c r="AZ316" s="470" t="s">
        <v>6172</v>
      </c>
      <c r="BB316" s="25">
        <f t="shared" ca="1" si="76"/>
        <v>0</v>
      </c>
      <c r="BC316" s="426" t="s">
        <v>6319</v>
      </c>
      <c r="BH316" s="790" t="s">
        <v>6222</v>
      </c>
      <c r="BI316" s="716">
        <f ca="1">COUNTA(INDIRECT($BJ$297&amp;BI315,1))</f>
        <v>0</v>
      </c>
      <c r="BJ316" s="716">
        <f ca="1">COUNTA(INDIRECT($BJ$297&amp;BJ315,1))</f>
        <v>0</v>
      </c>
      <c r="BK316" s="716">
        <f ca="1">COUNTA(INDIRECT($BJ$297&amp;BK315,1))</f>
        <v>0</v>
      </c>
      <c r="CC316" s="917">
        <v>38</v>
      </c>
      <c r="CD316" s="832">
        <f t="shared" ca="1" si="78"/>
        <v>0</v>
      </c>
      <c r="CE316" s="832">
        <f t="shared" ca="1" si="78"/>
        <v>0</v>
      </c>
      <c r="CF316" s="832">
        <f t="shared" ca="1" si="78"/>
        <v>0</v>
      </c>
      <c r="CG316" s="832">
        <f t="shared" ca="1" si="79"/>
        <v>0</v>
      </c>
      <c r="DA316" s="470" t="s">
        <v>6172</v>
      </c>
    </row>
    <row r="317" spans="52:105" x14ac:dyDescent="0.25">
      <c r="AZ317" s="470" t="s">
        <v>6172</v>
      </c>
      <c r="BB317" s="25">
        <f t="shared" ca="1" si="76"/>
        <v>0</v>
      </c>
      <c r="BC317" s="426" t="s">
        <v>7864</v>
      </c>
      <c r="BH317" s="790" t="s">
        <v>6133</v>
      </c>
      <c r="BI317" s="643"/>
      <c r="BJ317" s="643"/>
      <c r="BK317" s="643"/>
      <c r="CC317" s="917">
        <v>39</v>
      </c>
      <c r="CD317" s="832">
        <f t="shared" ca="1" si="78"/>
        <v>0</v>
      </c>
      <c r="CE317" s="832">
        <f t="shared" ca="1" si="78"/>
        <v>0</v>
      </c>
      <c r="CF317" s="832">
        <f t="shared" ca="1" si="78"/>
        <v>0</v>
      </c>
      <c r="CG317" s="832">
        <f t="shared" ca="1" si="79"/>
        <v>0</v>
      </c>
      <c r="DA317" s="470" t="s">
        <v>6172</v>
      </c>
    </row>
    <row r="318" spans="52:105" x14ac:dyDescent="0.25">
      <c r="AZ318" s="470" t="s">
        <v>6172</v>
      </c>
      <c r="BB318" s="25">
        <f ca="1">IF(AND(BI300&lt;&gt;0,CM301=0),1,0)</f>
        <v>0</v>
      </c>
      <c r="BC318" s="426" t="s">
        <v>6209</v>
      </c>
      <c r="DA318" s="470" t="s">
        <v>6172</v>
      </c>
    </row>
    <row r="319" spans="52:105" x14ac:dyDescent="0.25">
      <c r="AZ319" s="470" t="s">
        <v>6172</v>
      </c>
      <c r="BB319" s="25">
        <f ca="1">BP363</f>
        <v>0</v>
      </c>
      <c r="BC319" s="426" t="s">
        <v>6196</v>
      </c>
      <c r="DA319" s="470" t="s">
        <v>6172</v>
      </c>
    </row>
    <row r="320" spans="52:105" x14ac:dyDescent="0.25">
      <c r="AZ320" s="470" t="s">
        <v>6172</v>
      </c>
      <c r="BB320" s="25">
        <f ca="1">BJ349</f>
        <v>0</v>
      </c>
      <c r="BC320" s="426" t="s">
        <v>6071</v>
      </c>
      <c r="DA320" s="470" t="s">
        <v>6172</v>
      </c>
    </row>
    <row r="321" spans="52:105" x14ac:dyDescent="0.25">
      <c r="AZ321" s="470" t="s">
        <v>6172</v>
      </c>
      <c r="BB321" s="25">
        <f ca="1">BJ359</f>
        <v>0</v>
      </c>
      <c r="BC321" s="426" t="s">
        <v>6083</v>
      </c>
      <c r="DA321" s="470" t="s">
        <v>6172</v>
      </c>
    </row>
    <row r="322" spans="52:105" x14ac:dyDescent="0.25">
      <c r="AZ322" s="470" t="s">
        <v>6172</v>
      </c>
      <c r="BB322" s="25">
        <f ca="1">BT346</f>
        <v>0</v>
      </c>
      <c r="BC322" s="426" t="s">
        <v>6084</v>
      </c>
      <c r="DA322" s="470" t="s">
        <v>6172</v>
      </c>
    </row>
    <row r="323" spans="52:105" x14ac:dyDescent="0.25">
      <c r="AZ323" s="470" t="s">
        <v>6172</v>
      </c>
      <c r="BB323" s="25">
        <f ca="1">BT348</f>
        <v>0</v>
      </c>
      <c r="BC323" s="426" t="s">
        <v>6085</v>
      </c>
      <c r="DA323" s="470" t="s">
        <v>6172</v>
      </c>
    </row>
    <row r="324" spans="52:105" x14ac:dyDescent="0.25">
      <c r="AZ324" s="470" t="s">
        <v>6172</v>
      </c>
      <c r="BB324" s="25">
        <f ca="1">BJ361</f>
        <v>0</v>
      </c>
      <c r="BC324" s="426" t="s">
        <v>6086</v>
      </c>
      <c r="CM324" s="2"/>
      <c r="CN324" s="2"/>
      <c r="DA324" s="470" t="s">
        <v>6172</v>
      </c>
    </row>
    <row r="325" spans="52:105" x14ac:dyDescent="0.25">
      <c r="AZ325" s="470" t="s">
        <v>6172</v>
      </c>
      <c r="BB325" s="25">
        <f ca="1">BT350</f>
        <v>0</v>
      </c>
      <c r="BC325" s="426" t="s">
        <v>7883</v>
      </c>
      <c r="CM325" s="2"/>
      <c r="CN325" s="2"/>
      <c r="DA325" s="470" t="s">
        <v>6172</v>
      </c>
    </row>
    <row r="326" spans="52:105" x14ac:dyDescent="0.25">
      <c r="AZ326" s="470" t="s">
        <v>6172</v>
      </c>
      <c r="BB326" s="25">
        <f ca="1">BT351</f>
        <v>0</v>
      </c>
      <c r="BC326" s="426" t="s">
        <v>7884</v>
      </c>
      <c r="DA326" s="470" t="s">
        <v>6172</v>
      </c>
    </row>
    <row r="327" spans="52:105" x14ac:dyDescent="0.25">
      <c r="AZ327" s="470" t="s">
        <v>6172</v>
      </c>
      <c r="BB327" s="25">
        <f ca="1">BT355</f>
        <v>0</v>
      </c>
      <c r="BC327" s="426" t="s">
        <v>7891</v>
      </c>
      <c r="DA327" s="470" t="s">
        <v>6172</v>
      </c>
    </row>
    <row r="328" spans="52:105" x14ac:dyDescent="0.25">
      <c r="AZ328" s="470" t="s">
        <v>6172</v>
      </c>
      <c r="BB328" s="25">
        <f ca="1">BT357</f>
        <v>0</v>
      </c>
      <c r="BC328" s="426" t="s">
        <v>6087</v>
      </c>
      <c r="DA328" s="470" t="s">
        <v>6172</v>
      </c>
    </row>
    <row r="329" spans="52:105" x14ac:dyDescent="0.25">
      <c r="AZ329" s="470" t="s">
        <v>6172</v>
      </c>
      <c r="BB329" s="25">
        <f ca="1">BT358</f>
        <v>0</v>
      </c>
      <c r="BC329" s="426" t="s">
        <v>6088</v>
      </c>
      <c r="DA329" s="470" t="s">
        <v>6172</v>
      </c>
    </row>
    <row r="330" spans="52:105" x14ac:dyDescent="0.25">
      <c r="AZ330" s="470" t="s">
        <v>6172</v>
      </c>
      <c r="BB330" s="25">
        <f ca="1">BJ363</f>
        <v>0</v>
      </c>
      <c r="BC330" s="426" t="s">
        <v>6089</v>
      </c>
      <c r="DA330" s="470" t="s">
        <v>6172</v>
      </c>
    </row>
    <row r="331" spans="52:105" x14ac:dyDescent="0.25">
      <c r="AZ331" s="470" t="s">
        <v>6172</v>
      </c>
      <c r="BB331" s="25">
        <f ca="1">BJ350</f>
        <v>0</v>
      </c>
      <c r="BC331" s="426" t="s">
        <v>6067</v>
      </c>
      <c r="BI331" s="920" t="s">
        <v>7497</v>
      </c>
      <c r="BR331" s="700" t="s">
        <v>7509</v>
      </c>
      <c r="BZ331" s="700" t="s">
        <v>7868</v>
      </c>
      <c r="DA331" s="470" t="s">
        <v>6172</v>
      </c>
    </row>
    <row r="332" spans="52:105" x14ac:dyDescent="0.25">
      <c r="AZ332" s="470" t="s">
        <v>6172</v>
      </c>
      <c r="BB332" s="25">
        <f ca="1">BJ351</f>
        <v>0</v>
      </c>
      <c r="BC332" s="426" t="s">
        <v>6210</v>
      </c>
      <c r="BJ332" s="921" t="s">
        <v>133</v>
      </c>
      <c r="BK332" s="921" t="s">
        <v>134</v>
      </c>
      <c r="BL332" s="921" t="s">
        <v>136</v>
      </c>
      <c r="BM332" s="921" t="s">
        <v>137</v>
      </c>
      <c r="BN332" s="921" t="s">
        <v>138</v>
      </c>
      <c r="BO332" s="921" t="s">
        <v>135</v>
      </c>
      <c r="BS332" s="921" t="s">
        <v>133</v>
      </c>
      <c r="BT332" s="921" t="s">
        <v>134</v>
      </c>
      <c r="BU332" s="921" t="s">
        <v>136</v>
      </c>
      <c r="BV332" s="921" t="s">
        <v>137</v>
      </c>
      <c r="BW332" s="921" t="s">
        <v>138</v>
      </c>
      <c r="BX332" s="921" t="s">
        <v>135</v>
      </c>
      <c r="CA332" s="921" t="s">
        <v>133</v>
      </c>
      <c r="CB332" s="921" t="s">
        <v>134</v>
      </c>
      <c r="CC332" s="921" t="s">
        <v>136</v>
      </c>
      <c r="CD332" s="921" t="s">
        <v>137</v>
      </c>
      <c r="CE332" s="921" t="s">
        <v>138</v>
      </c>
      <c r="CF332" s="921" t="s">
        <v>135</v>
      </c>
      <c r="DA332" s="470" t="s">
        <v>6172</v>
      </c>
    </row>
    <row r="333" spans="52:105" x14ac:dyDescent="0.25">
      <c r="AZ333" s="470" t="s">
        <v>6172</v>
      </c>
      <c r="BB333" s="25">
        <f ca="1">BJ344</f>
        <v>0</v>
      </c>
      <c r="BC333" s="426" t="s">
        <v>6243</v>
      </c>
      <c r="BI333" s="922" t="s">
        <v>140</v>
      </c>
      <c r="BJ333" s="597" t="s">
        <v>7734</v>
      </c>
      <c r="BK333" s="597" t="s">
        <v>8339</v>
      </c>
      <c r="BL333" s="597" t="s">
        <v>8340</v>
      </c>
      <c r="BM333" s="597" t="s">
        <v>8341</v>
      </c>
      <c r="BN333" s="597" t="s">
        <v>7873</v>
      </c>
      <c r="BO333" s="597" t="s">
        <v>8342</v>
      </c>
      <c r="BR333" s="922" t="s">
        <v>140</v>
      </c>
      <c r="BS333" s="709">
        <f t="shared" ref="BS333:BX338" ca="1" si="80">COUNTA(INDIRECT($BJ$297&amp;BJ333,1))</f>
        <v>1</v>
      </c>
      <c r="BT333" s="709">
        <f t="shared" ca="1" si="80"/>
        <v>1</v>
      </c>
      <c r="BU333" s="709">
        <f t="shared" ca="1" si="80"/>
        <v>1</v>
      </c>
      <c r="BV333" s="709">
        <f t="shared" ca="1" si="80"/>
        <v>1</v>
      </c>
      <c r="BW333" s="709">
        <f t="shared" ca="1" si="80"/>
        <v>1</v>
      </c>
      <c r="BX333" s="709">
        <f t="shared" ca="1" si="80"/>
        <v>1</v>
      </c>
      <c r="BZ333" s="922" t="s">
        <v>140</v>
      </c>
      <c r="CA333" s="709" t="str" cm="1">
        <f t="array" aca="1" ref="CA333" ca="1">INDIRECT($BJ$297&amp;BJ333,1)</f>
        <v>Grupo controle negativo</v>
      </c>
      <c r="CB333" s="709" t="str" cm="1">
        <f t="array" aca="1" ref="CB333" ca="1">INDIRECT($BJ$297&amp;BK333,1)</f>
        <v>Grupo 1</v>
      </c>
      <c r="CC333" s="709" t="str" cm="1">
        <f t="array" aca="1" ref="CC333" ca="1">INDIRECT($BJ$297&amp;BL333,1)</f>
        <v>Grupo 2</v>
      </c>
      <c r="CD333" s="709" t="str" cm="1">
        <f t="array" aca="1" ref="CD333" ca="1">INDIRECT($BJ$297&amp;BM333,1)</f>
        <v>Grupo 3</v>
      </c>
      <c r="CE333" s="709" t="str" cm="1">
        <f t="array" aca="1" ref="CE333" ca="1">INDIRECT($BJ$297&amp;BN333,1)</f>
        <v>Grupo 4</v>
      </c>
      <c r="CF333" s="709" t="str" cm="1">
        <f t="array" aca="1" ref="CF333" ca="1">INDIRECT($BJ$297&amp;BO333,1)</f>
        <v>Grupo controle positivo</v>
      </c>
      <c r="DA333" s="470" t="s">
        <v>6172</v>
      </c>
    </row>
    <row r="334" spans="52:105" x14ac:dyDescent="0.25">
      <c r="AZ334" s="470" t="s">
        <v>6172</v>
      </c>
      <c r="BB334" s="25">
        <f ca="1">BJ347</f>
        <v>0</v>
      </c>
      <c r="BC334" s="426" t="s">
        <v>6068</v>
      </c>
      <c r="BI334" s="922" t="s">
        <v>146</v>
      </c>
      <c r="BJ334" s="597" t="s">
        <v>7736</v>
      </c>
      <c r="BK334" s="597" t="s">
        <v>8343</v>
      </c>
      <c r="BL334" s="597" t="s">
        <v>8344</v>
      </c>
      <c r="BM334" s="597" t="s">
        <v>8345</v>
      </c>
      <c r="BN334" s="597" t="s">
        <v>7874</v>
      </c>
      <c r="BO334" s="597" t="s">
        <v>8346</v>
      </c>
      <c r="BR334" s="922" t="s">
        <v>146</v>
      </c>
      <c r="BS334" s="709">
        <f t="shared" ca="1" si="80"/>
        <v>0</v>
      </c>
      <c r="BT334" s="709">
        <f t="shared" ca="1" si="80"/>
        <v>0</v>
      </c>
      <c r="BU334" s="709">
        <f t="shared" ca="1" si="80"/>
        <v>0</v>
      </c>
      <c r="BV334" s="709">
        <f t="shared" ca="1" si="80"/>
        <v>0</v>
      </c>
      <c r="BW334" s="709">
        <f t="shared" ca="1" si="80"/>
        <v>0</v>
      </c>
      <c r="BX334" s="709">
        <f t="shared" ca="1" si="80"/>
        <v>0</v>
      </c>
      <c r="BZ334" s="922" t="s">
        <v>146</v>
      </c>
      <c r="CA334" s="709" cm="1">
        <f t="array" aca="1" ref="CA334" ca="1">INDIRECT($BJ$297&amp;BJ334,1)</f>
        <v>0</v>
      </c>
      <c r="CB334" s="709" cm="1">
        <f t="array" aca="1" ref="CB334" ca="1">INDIRECT($BJ$297&amp;BK334,1)</f>
        <v>0</v>
      </c>
      <c r="CC334" s="709" cm="1">
        <f t="array" aca="1" ref="CC334" ca="1">INDIRECT($BJ$297&amp;BL334,1)</f>
        <v>0</v>
      </c>
      <c r="CD334" s="709" cm="1">
        <f t="array" aca="1" ref="CD334" ca="1">INDIRECT($BJ$297&amp;BM334,1)</f>
        <v>0</v>
      </c>
      <c r="CE334" s="709" cm="1">
        <f t="array" aca="1" ref="CE334" ca="1">INDIRECT($BJ$297&amp;BN334,1)</f>
        <v>0</v>
      </c>
      <c r="CF334" s="709" cm="1">
        <f t="array" aca="1" ref="CF334" ca="1">INDIRECT($BJ$297&amp;BO334,1)</f>
        <v>0</v>
      </c>
      <c r="DA334" s="470" t="s">
        <v>6172</v>
      </c>
    </row>
    <row r="335" spans="52:105" x14ac:dyDescent="0.25">
      <c r="AZ335" s="470" t="s">
        <v>6172</v>
      </c>
      <c r="BB335" s="25">
        <f ca="1">BJ348</f>
        <v>0</v>
      </c>
      <c r="BC335" s="426" t="s">
        <v>6069</v>
      </c>
      <c r="BI335" s="922" t="s">
        <v>142</v>
      </c>
      <c r="BJ335" s="597" t="s">
        <v>7869</v>
      </c>
      <c r="BK335" s="597" t="s">
        <v>8347</v>
      </c>
      <c r="BL335" s="597" t="s">
        <v>8348</v>
      </c>
      <c r="BM335" s="597" t="s">
        <v>8349</v>
      </c>
      <c r="BN335" s="597" t="s">
        <v>7875</v>
      </c>
      <c r="BO335" s="597" t="s">
        <v>8350</v>
      </c>
      <c r="BR335" s="922" t="s">
        <v>142</v>
      </c>
      <c r="BS335" s="709">
        <f t="shared" ca="1" si="80"/>
        <v>0</v>
      </c>
      <c r="BT335" s="709">
        <f t="shared" ca="1" si="80"/>
        <v>0</v>
      </c>
      <c r="BU335" s="709">
        <f t="shared" ca="1" si="80"/>
        <v>0</v>
      </c>
      <c r="BV335" s="709">
        <f t="shared" ca="1" si="80"/>
        <v>0</v>
      </c>
      <c r="BW335" s="709">
        <f t="shared" ca="1" si="80"/>
        <v>0</v>
      </c>
      <c r="BX335" s="709">
        <f t="shared" ca="1" si="80"/>
        <v>0</v>
      </c>
      <c r="BZ335" s="922" t="s">
        <v>142</v>
      </c>
      <c r="CA335" s="709" cm="1">
        <f t="array" aca="1" ref="CA335" ca="1">INDIRECT($BJ$297&amp;BJ335,1)</f>
        <v>0</v>
      </c>
      <c r="CB335" s="709" cm="1">
        <f t="array" aca="1" ref="CB335" ca="1">INDIRECT($BJ$297&amp;BK335,1)</f>
        <v>0</v>
      </c>
      <c r="CC335" s="709" cm="1">
        <f t="array" aca="1" ref="CC335" ca="1">INDIRECT($BJ$297&amp;BL335,1)</f>
        <v>0</v>
      </c>
      <c r="CD335" s="709" cm="1">
        <f t="array" aca="1" ref="CD335" ca="1">INDIRECT($BJ$297&amp;BM335,1)</f>
        <v>0</v>
      </c>
      <c r="CE335" s="709" cm="1">
        <f t="array" aca="1" ref="CE335" ca="1">INDIRECT($BJ$297&amp;BN335,1)</f>
        <v>0</v>
      </c>
      <c r="CF335" s="709" cm="1">
        <f t="array" aca="1" ref="CF335" ca="1">INDIRECT($BJ$297&amp;BO335,1)</f>
        <v>0</v>
      </c>
      <c r="DA335" s="470" t="s">
        <v>6172</v>
      </c>
    </row>
    <row r="336" spans="52:105" x14ac:dyDescent="0.25">
      <c r="AZ336" s="470" t="s">
        <v>6172</v>
      </c>
      <c r="BB336" s="25">
        <f ca="1">BJ357</f>
        <v>0</v>
      </c>
      <c r="BC336" s="426" t="s">
        <v>7896</v>
      </c>
      <c r="BI336" s="922" t="s">
        <v>6306</v>
      </c>
      <c r="BJ336" s="597" t="s">
        <v>7870</v>
      </c>
      <c r="BK336" s="597" t="s">
        <v>8351</v>
      </c>
      <c r="BL336" s="597" t="s">
        <v>8352</v>
      </c>
      <c r="BM336" s="597" t="s">
        <v>8353</v>
      </c>
      <c r="BN336" s="597" t="s">
        <v>7876</v>
      </c>
      <c r="BO336" s="597" t="s">
        <v>8354</v>
      </c>
      <c r="BR336" s="922" t="s">
        <v>6306</v>
      </c>
      <c r="BS336" s="709">
        <f t="shared" ca="1" si="80"/>
        <v>0</v>
      </c>
      <c r="BT336" s="709">
        <f t="shared" ca="1" si="80"/>
        <v>0</v>
      </c>
      <c r="BU336" s="709">
        <f t="shared" ca="1" si="80"/>
        <v>0</v>
      </c>
      <c r="BV336" s="709">
        <f t="shared" ca="1" si="80"/>
        <v>0</v>
      </c>
      <c r="BW336" s="709">
        <f t="shared" ca="1" si="80"/>
        <v>0</v>
      </c>
      <c r="BX336" s="709">
        <f t="shared" ca="1" si="80"/>
        <v>0</v>
      </c>
      <c r="BZ336" s="922" t="s">
        <v>6306</v>
      </c>
      <c r="CA336" s="709" cm="1">
        <f t="array" aca="1" ref="CA336" ca="1">INDIRECT($BJ$297&amp;BJ336,1)</f>
        <v>0</v>
      </c>
      <c r="CB336" s="709" cm="1">
        <f t="array" aca="1" ref="CB336" ca="1">INDIRECT($BJ$297&amp;BK336,1)</f>
        <v>0</v>
      </c>
      <c r="CC336" s="709" cm="1">
        <f t="array" aca="1" ref="CC336" ca="1">INDIRECT($BJ$297&amp;BL336,1)</f>
        <v>0</v>
      </c>
      <c r="CD336" s="709" cm="1">
        <f t="array" aca="1" ref="CD336" ca="1">INDIRECT($BJ$297&amp;BM336,1)</f>
        <v>0</v>
      </c>
      <c r="CE336" s="709" cm="1">
        <f t="array" aca="1" ref="CE336" ca="1">INDIRECT($BJ$297&amp;BN336,1)</f>
        <v>0</v>
      </c>
      <c r="CF336" s="709" cm="1">
        <f t="array" aca="1" ref="CF336" ca="1">INDIRECT($BJ$297&amp;BO336,1)</f>
        <v>0</v>
      </c>
      <c r="DA336" s="470" t="s">
        <v>6172</v>
      </c>
    </row>
    <row r="337" spans="52:105" x14ac:dyDescent="0.25">
      <c r="AZ337" s="470" t="s">
        <v>6172</v>
      </c>
      <c r="BB337" s="25"/>
      <c r="BC337" s="752" t="s">
        <v>8297</v>
      </c>
      <c r="BI337" s="922" t="s">
        <v>82</v>
      </c>
      <c r="BJ337" s="597" t="s">
        <v>7871</v>
      </c>
      <c r="BK337" s="597" t="s">
        <v>8355</v>
      </c>
      <c r="BL337" s="597" t="s">
        <v>8356</v>
      </c>
      <c r="BM337" s="597" t="s">
        <v>8357</v>
      </c>
      <c r="BN337" s="597" t="s">
        <v>7877</v>
      </c>
      <c r="BO337" s="597" t="s">
        <v>8358</v>
      </c>
      <c r="BR337" s="922" t="s">
        <v>82</v>
      </c>
      <c r="BS337" s="709">
        <f t="shared" ca="1" si="80"/>
        <v>1</v>
      </c>
      <c r="BT337" s="709">
        <f t="shared" ca="1" si="80"/>
        <v>1</v>
      </c>
      <c r="BU337" s="709">
        <f t="shared" ca="1" si="80"/>
        <v>1</v>
      </c>
      <c r="BV337" s="709">
        <f t="shared" ca="1" si="80"/>
        <v>1</v>
      </c>
      <c r="BW337" s="709">
        <f t="shared" ca="1" si="80"/>
        <v>1</v>
      </c>
      <c r="BX337" s="709">
        <f t="shared" ca="1" si="80"/>
        <v>1</v>
      </c>
      <c r="BZ337" s="922" t="s">
        <v>82</v>
      </c>
      <c r="CA337" s="709" t="str" cm="1">
        <f t="array" aca="1" ref="CA337" ca="1">INDIRECT($BJ$297&amp;BJ337,1)</f>
        <v>-</v>
      </c>
      <c r="CB337" s="709" t="str" cm="1">
        <f t="array" aca="1" ref="CB337" ca="1">INDIRECT($BJ$297&amp;BK337,1)</f>
        <v>-</v>
      </c>
      <c r="CC337" s="709" t="str" cm="1">
        <f t="array" aca="1" ref="CC337" ca="1">INDIRECT($BJ$297&amp;BL337,1)</f>
        <v>-</v>
      </c>
      <c r="CD337" s="709" t="str" cm="1">
        <f t="array" aca="1" ref="CD337" ca="1">INDIRECT($BJ$297&amp;BM337,1)</f>
        <v>-</v>
      </c>
      <c r="CE337" s="709" t="str" cm="1">
        <f t="array" aca="1" ref="CE337" ca="1">INDIRECT($BJ$297&amp;BN337,1)</f>
        <v>-</v>
      </c>
      <c r="CF337" s="709" t="str" cm="1">
        <f t="array" aca="1" ref="CF337" ca="1">INDIRECT($BJ$297&amp;BO337,1)</f>
        <v>-</v>
      </c>
      <c r="DA337" s="470" t="s">
        <v>6172</v>
      </c>
    </row>
    <row r="338" spans="52:105" x14ac:dyDescent="0.25">
      <c r="AZ338" s="470" t="s">
        <v>6172</v>
      </c>
      <c r="BB338" s="25"/>
      <c r="BC338" s="752" t="s">
        <v>8297</v>
      </c>
      <c r="BI338" s="922" t="s">
        <v>81</v>
      </c>
      <c r="BJ338" s="597" t="s">
        <v>7872</v>
      </c>
      <c r="BK338" s="597" t="s">
        <v>8359</v>
      </c>
      <c r="BL338" s="597" t="s">
        <v>8360</v>
      </c>
      <c r="BM338" s="597" t="s">
        <v>8361</v>
      </c>
      <c r="BN338" s="597" t="s">
        <v>7878</v>
      </c>
      <c r="BO338" s="597" t="s">
        <v>8362</v>
      </c>
      <c r="BR338" s="922" t="s">
        <v>81</v>
      </c>
      <c r="BS338" s="709">
        <f t="shared" ca="1" si="80"/>
        <v>1</v>
      </c>
      <c r="BT338" s="709">
        <f t="shared" ca="1" si="80"/>
        <v>1</v>
      </c>
      <c r="BU338" s="709">
        <f t="shared" ca="1" si="80"/>
        <v>1</v>
      </c>
      <c r="BV338" s="709">
        <f t="shared" ca="1" si="80"/>
        <v>1</v>
      </c>
      <c r="BW338" s="709">
        <f t="shared" ca="1" si="80"/>
        <v>1</v>
      </c>
      <c r="BX338" s="709">
        <f t="shared" ca="1" si="80"/>
        <v>1</v>
      </c>
      <c r="BZ338" s="922" t="s">
        <v>81</v>
      </c>
      <c r="CA338" s="709" t="str" cm="1">
        <f t="array" aca="1" ref="CA338" ca="1">INDIRECT($BJ$297&amp;BJ338,1)</f>
        <v>-</v>
      </c>
      <c r="CB338" s="709" t="str" cm="1">
        <f t="array" aca="1" ref="CB338" ca="1">INDIRECT($BJ$297&amp;BK338,1)</f>
        <v>-</v>
      </c>
      <c r="CC338" s="709" t="str" cm="1">
        <f t="array" aca="1" ref="CC338" ca="1">INDIRECT($BJ$297&amp;BL338,1)</f>
        <v>-</v>
      </c>
      <c r="CD338" s="709" t="str" cm="1">
        <f t="array" aca="1" ref="CD338" ca="1">INDIRECT($BJ$297&amp;BM338,1)</f>
        <v>-</v>
      </c>
      <c r="CE338" s="709" t="str" cm="1">
        <f t="array" aca="1" ref="CE338" ca="1">INDIRECT($BJ$297&amp;BN338,1)</f>
        <v>-</v>
      </c>
      <c r="CF338" s="709" t="str" cm="1">
        <f t="array" aca="1" ref="CF338" ca="1">INDIRECT($BJ$297&amp;BO338,1)</f>
        <v>-</v>
      </c>
      <c r="DA338" s="470" t="s">
        <v>6172</v>
      </c>
    </row>
    <row r="339" spans="52:105" x14ac:dyDescent="0.25">
      <c r="AZ339" s="470" t="s">
        <v>6172</v>
      </c>
      <c r="BB339" s="25"/>
      <c r="BC339" s="752" t="s">
        <v>8297</v>
      </c>
      <c r="DA339" s="470" t="s">
        <v>6172</v>
      </c>
    </row>
    <row r="340" spans="52:105" x14ac:dyDescent="0.25">
      <c r="AZ340" s="470" t="s">
        <v>6172</v>
      </c>
      <c r="BB340" s="25"/>
      <c r="BC340" s="752" t="s">
        <v>8297</v>
      </c>
      <c r="BO340" s="794" t="s">
        <v>6197</v>
      </c>
      <c r="BP340" s="923">
        <f ca="1">IF(BI300&lt;&gt;BJ300,1,0)</f>
        <v>0</v>
      </c>
      <c r="DA340" s="470" t="s">
        <v>6172</v>
      </c>
    </row>
    <row r="341" spans="52:105" x14ac:dyDescent="0.25">
      <c r="AZ341" s="470" t="s">
        <v>6172</v>
      </c>
      <c r="BB341" s="25"/>
      <c r="BC341" s="752" t="s">
        <v>8297</v>
      </c>
      <c r="BO341" s="794" t="s">
        <v>6198</v>
      </c>
      <c r="BP341" s="923">
        <f ca="1">IF(BI300&lt;&gt;BK300,1,0)</f>
        <v>0</v>
      </c>
      <c r="DA341" s="470" t="s">
        <v>6172</v>
      </c>
    </row>
    <row r="342" spans="52:105" x14ac:dyDescent="0.25">
      <c r="AZ342" s="470" t="s">
        <v>6172</v>
      </c>
      <c r="BB342" s="25"/>
      <c r="BC342" s="752" t="s">
        <v>8297</v>
      </c>
      <c r="BH342" s="472" t="s">
        <v>7849</v>
      </c>
      <c r="BI342" s="757" t="s">
        <v>7850</v>
      </c>
      <c r="BJ342" s="525">
        <f ca="1">IF(BI300=1,1,0)</f>
        <v>0</v>
      </c>
      <c r="BK342" s="20" t="s">
        <v>7851</v>
      </c>
      <c r="BO342" s="794" t="s">
        <v>6199</v>
      </c>
      <c r="BP342" s="923">
        <f ca="1">IF(BI300&lt;&gt;BL300,1,0)</f>
        <v>0</v>
      </c>
      <c r="BR342" s="472"/>
      <c r="BS342" s="871" t="s">
        <v>7584</v>
      </c>
      <c r="BT342" s="525">
        <f ca="1">IF(BU301="sim",BP301-BV301,0)</f>
        <v>0</v>
      </c>
      <c r="BU342" s="20" t="s">
        <v>7586</v>
      </c>
      <c r="DA342" s="470" t="s">
        <v>6172</v>
      </c>
    </row>
    <row r="343" spans="52:105" x14ac:dyDescent="0.25">
      <c r="AZ343" s="470" t="s">
        <v>6172</v>
      </c>
      <c r="BB343" s="25"/>
      <c r="BC343" s="752" t="s">
        <v>8297</v>
      </c>
      <c r="BH343" s="472" t="s">
        <v>7352</v>
      </c>
      <c r="BI343" s="871" t="s">
        <v>6211</v>
      </c>
      <c r="BJ343" s="525">
        <f ca="1">BQ301</f>
        <v>0</v>
      </c>
      <c r="BO343" s="794" t="s">
        <v>6200</v>
      </c>
      <c r="BP343" s="923">
        <f ca="1">IF(BI300&lt;&gt;BM300,1,0)</f>
        <v>0</v>
      </c>
      <c r="BR343" s="472"/>
      <c r="BS343" s="871" t="s">
        <v>7589</v>
      </c>
      <c r="BT343" s="525">
        <f ca="1">BT342/30</f>
        <v>0</v>
      </c>
      <c r="BU343" s="20" t="s">
        <v>7592</v>
      </c>
      <c r="DA343" s="470" t="s">
        <v>6172</v>
      </c>
    </row>
    <row r="344" spans="52:105" x14ac:dyDescent="0.25">
      <c r="AZ344" s="470" t="s">
        <v>6172</v>
      </c>
      <c r="BB344" s="25"/>
      <c r="BC344" s="752" t="s">
        <v>8297</v>
      </c>
      <c r="BH344" s="469" t="s">
        <v>5448</v>
      </c>
      <c r="BI344" s="872" t="s">
        <v>6223</v>
      </c>
      <c r="BJ344" s="759">
        <f ca="1">IF(BJ343&lt;&gt;0,
IF(COUNTIF($M$65:$M$94,BJ343)=0,1,0),0)</f>
        <v>0</v>
      </c>
      <c r="BK344" s="20" t="s">
        <v>6212</v>
      </c>
      <c r="BO344" s="794" t="s">
        <v>6201</v>
      </c>
      <c r="BP344" s="923">
        <f ca="1">IF(BI300&lt;&gt;BO300,1,0)</f>
        <v>0</v>
      </c>
      <c r="BR344" s="472"/>
      <c r="BS344" s="871" t="s">
        <v>7587</v>
      </c>
      <c r="BT344" s="525">
        <f ca="1">INT(BT343)</f>
        <v>0</v>
      </c>
      <c r="BU344" s="20" t="s">
        <v>7593</v>
      </c>
      <c r="DA344" s="470" t="s">
        <v>6172</v>
      </c>
    </row>
    <row r="345" spans="52:105" x14ac:dyDescent="0.25">
      <c r="AZ345" s="470" t="s">
        <v>6172</v>
      </c>
      <c r="BB345" s="25"/>
      <c r="BC345" s="752" t="s">
        <v>8297</v>
      </c>
      <c r="BH345" s="472" t="s">
        <v>7352</v>
      </c>
      <c r="BI345" s="871" t="s">
        <v>6178</v>
      </c>
      <c r="BJ345" s="525">
        <f ca="1">IFERROR(VLOOKUP(BJ343,$M$65:$P$94,4,0),0)</f>
        <v>0</v>
      </c>
      <c r="BO345" s="794" t="s">
        <v>6202</v>
      </c>
      <c r="BP345" s="923">
        <f ca="1">IF(BI300&lt;&gt;BP300,1,0)</f>
        <v>0</v>
      </c>
      <c r="BR345" s="472"/>
      <c r="BS345" s="871" t="s">
        <v>7588</v>
      </c>
      <c r="BT345" s="525">
        <f ca="1">ROUNDUP(((TRUNC(BT343,4)-BT344)*30),2)</f>
        <v>0</v>
      </c>
      <c r="BU345" s="20" t="s">
        <v>7594</v>
      </c>
      <c r="DA345" s="470" t="s">
        <v>6172</v>
      </c>
    </row>
    <row r="346" spans="52:105" x14ac:dyDescent="0.25">
      <c r="AZ346" s="470" t="s">
        <v>6172</v>
      </c>
      <c r="BB346" s="25"/>
      <c r="BC346" s="752" t="s">
        <v>8297</v>
      </c>
      <c r="BH346" s="472" t="s">
        <v>7353</v>
      </c>
      <c r="BI346" s="871" t="s">
        <v>6213</v>
      </c>
      <c r="BJ346" s="525">
        <f ca="1">BP301</f>
        <v>0</v>
      </c>
      <c r="BL346" s="372"/>
      <c r="BM346" s="372"/>
      <c r="BN346" s="372"/>
      <c r="BO346" s="794" t="s">
        <v>6203</v>
      </c>
      <c r="BP346" s="923">
        <f ca="1">IF(BI300&lt;&gt;BQ300,1,0)</f>
        <v>0</v>
      </c>
      <c r="BR346" s="469"/>
      <c r="BS346" s="872" t="s">
        <v>7590</v>
      </c>
      <c r="BT346" s="767">
        <f ca="1">IF(BT343&gt;6,1,0)</f>
        <v>0</v>
      </c>
      <c r="BU346" s="20" t="s">
        <v>7595</v>
      </c>
      <c r="DA346" s="470" t="s">
        <v>6172</v>
      </c>
    </row>
    <row r="347" spans="52:105" x14ac:dyDescent="0.25">
      <c r="AZ347" s="470" t="s">
        <v>6172</v>
      </c>
      <c r="BB347" s="25"/>
      <c r="BC347" s="752" t="s">
        <v>8297</v>
      </c>
      <c r="BH347" s="469" t="s">
        <v>5448</v>
      </c>
      <c r="BI347" s="872" t="s">
        <v>6179</v>
      </c>
      <c r="BJ347" s="759">
        <f ca="1">IF(BJ344&lt;&gt;1,
IF((BJ345-BJ346)&lt;0,1,0),
0)</f>
        <v>0</v>
      </c>
      <c r="BK347" s="20" t="s">
        <v>6180</v>
      </c>
      <c r="BO347" s="794" t="s">
        <v>6204</v>
      </c>
      <c r="BP347" s="923">
        <f ca="1">IF(AND(BI300=1,BR300=0),1,0)</f>
        <v>0</v>
      </c>
      <c r="BR347" s="469"/>
      <c r="BS347" s="872" t="s">
        <v>7590</v>
      </c>
      <c r="BT347" s="796" t="str">
        <f ca="1">IF(BT346=1,"A diferença é de "&amp;BT344&amp;" mês(es) e "&amp;BT345&amp;" dia(s)","")</f>
        <v/>
      </c>
      <c r="CA347" s="20" t="s">
        <v>7885</v>
      </c>
      <c r="DA347" s="470" t="s">
        <v>6172</v>
      </c>
    </row>
    <row r="348" spans="52:105" x14ac:dyDescent="0.25">
      <c r="AZ348" s="470" t="s">
        <v>6172</v>
      </c>
      <c r="BH348" s="469" t="s">
        <v>5448</v>
      </c>
      <c r="BI348" s="872" t="s">
        <v>7354</v>
      </c>
      <c r="BJ348" s="759">
        <f ca="1">IF(COUNTIFS($M$65:$M$94,BJ343,$AA$65:$AA$94,2)&gt;0,1,0)</f>
        <v>0</v>
      </c>
      <c r="BK348" s="20" t="s">
        <v>7355</v>
      </c>
      <c r="BO348" s="801" t="s">
        <v>6309</v>
      </c>
      <c r="BP348" s="923">
        <f ca="1">IF(BI300&lt;&gt;BT300,1,0)</f>
        <v>0</v>
      </c>
      <c r="BR348" s="469"/>
      <c r="BS348" s="924" t="s">
        <v>7522</v>
      </c>
      <c r="BT348" s="925">
        <f ca="1">IF((BP301-BV301)&lt;0,1,0)</f>
        <v>0</v>
      </c>
      <c r="BU348" s="20" t="s">
        <v>7523</v>
      </c>
      <c r="CA348" s="926">
        <v>429</v>
      </c>
      <c r="CB348" s="926">
        <v>442</v>
      </c>
      <c r="DA348" s="470" t="s">
        <v>6172</v>
      </c>
    </row>
    <row r="349" spans="52:105" x14ac:dyDescent="0.25">
      <c r="AZ349" s="470" t="s">
        <v>6172</v>
      </c>
      <c r="BH349" s="469" t="s">
        <v>5448</v>
      </c>
      <c r="BI349" s="872" t="s">
        <v>7356</v>
      </c>
      <c r="BJ349" s="767">
        <f ca="1">IF(BL301="Não",1,0)</f>
        <v>0</v>
      </c>
      <c r="BK349" s="20" t="s">
        <v>7357</v>
      </c>
      <c r="BO349" s="794" t="s">
        <v>6310</v>
      </c>
      <c r="BP349" s="923">
        <f ca="1">IF(AND(BT301="Não",BI300&lt;&gt;BU300),1,0)</f>
        <v>0</v>
      </c>
      <c r="BR349" s="469"/>
      <c r="BS349" s="924" t="s">
        <v>7866</v>
      </c>
      <c r="BT349" s="925">
        <f>IF(COUNTIFS(BS325:BX326,"&gt;0",BS325:BX326,"&lt;4")&gt;0,1,0)</f>
        <v>0</v>
      </c>
      <c r="BU349" s="20" t="s">
        <v>7867</v>
      </c>
      <c r="CA349" s="25">
        <v>3</v>
      </c>
      <c r="CB349" s="25">
        <v>1.6</v>
      </c>
      <c r="CH349" s="927"/>
      <c r="CI349" s="927"/>
      <c r="DA349" s="470" t="s">
        <v>6172</v>
      </c>
    </row>
    <row r="350" spans="52:105" x14ac:dyDescent="0.25">
      <c r="AZ350" s="470" t="s">
        <v>6172</v>
      </c>
      <c r="BH350" s="469" t="s">
        <v>5448</v>
      </c>
      <c r="BI350" s="758" t="s">
        <v>6067</v>
      </c>
      <c r="BJ350" s="767">
        <f ca="1">IF(CM301=2,1,0)</f>
        <v>0</v>
      </c>
      <c r="BO350" s="794" t="s">
        <v>6311</v>
      </c>
      <c r="BP350" s="923">
        <f ca="1">IF(AND(BU301="Sim",BV300=0),1,0)</f>
        <v>0</v>
      </c>
      <c r="BR350" s="469"/>
      <c r="BS350" s="924" t="s">
        <v>7879</v>
      </c>
      <c r="BT350" s="925">
        <f ca="1">IF(AND(BX301="sim",BZ301="sim"),1,0)</f>
        <v>0</v>
      </c>
      <c r="BU350" s="20" t="s">
        <v>7880</v>
      </c>
      <c r="DA350" s="470" t="s">
        <v>6172</v>
      </c>
    </row>
    <row r="351" spans="52:105" x14ac:dyDescent="0.25">
      <c r="AZ351" s="470" t="s">
        <v>6172</v>
      </c>
      <c r="BH351" s="469" t="s">
        <v>5448</v>
      </c>
      <c r="BI351" s="872" t="s">
        <v>7360</v>
      </c>
      <c r="BJ351" s="767">
        <f ca="1">IF(CM301=2,
IF(COUNTIF(INDIRECT(BJ297&amp;CI299,1),"sim")&gt;0,1,0),
0)</f>
        <v>0</v>
      </c>
      <c r="BK351" s="20" t="s">
        <v>7361</v>
      </c>
      <c r="BO351" s="794" t="s">
        <v>6312</v>
      </c>
      <c r="BP351" s="923">
        <f ca="1">IF(AND(BU301="Não",BW300=0),1,0)</f>
        <v>0</v>
      </c>
      <c r="BR351" s="469"/>
      <c r="BS351" s="924" t="s">
        <v>7882</v>
      </c>
      <c r="BT351" s="925">
        <f ca="1">IF(AND(BX301="sim",CA301="sim"),1,0)</f>
        <v>0</v>
      </c>
      <c r="BU351" s="20" t="s">
        <v>7881</v>
      </c>
      <c r="DA351" s="470" t="s">
        <v>6172</v>
      </c>
    </row>
    <row r="352" spans="52:105" x14ac:dyDescent="0.25">
      <c r="AZ352" s="470" t="s">
        <v>6172</v>
      </c>
      <c r="BH352" s="469"/>
      <c r="BO352" s="928" t="s">
        <v>6313</v>
      </c>
      <c r="BP352" s="923">
        <f ca="1">IF(BI300&lt;&gt;BX300,1,0)</f>
        <v>0</v>
      </c>
      <c r="BR352" s="472"/>
      <c r="BS352" s="871" t="s">
        <v>7886</v>
      </c>
      <c r="BT352" s="802">
        <f ca="1">BM301</f>
        <v>0</v>
      </c>
      <c r="DA352" s="470" t="s">
        <v>6172</v>
      </c>
    </row>
    <row r="353" spans="52:105" x14ac:dyDescent="0.25">
      <c r="AZ353" s="470" t="s">
        <v>6172</v>
      </c>
      <c r="BH353" s="469" t="s">
        <v>5448</v>
      </c>
      <c r="BI353" s="872" t="s">
        <v>7363</v>
      </c>
      <c r="BJ353" s="767">
        <f ca="1">IF(CJ301="sim",1,0)</f>
        <v>0</v>
      </c>
      <c r="BK353" s="20" t="s">
        <v>7364</v>
      </c>
      <c r="BL353" s="898" t="s">
        <v>7517</v>
      </c>
      <c r="BO353" s="929" t="s">
        <v>6327</v>
      </c>
      <c r="BP353" s="923">
        <f ca="1">IF(AND(BX301="sim",SUM(BJ316:BK316)=0),1,0)</f>
        <v>0</v>
      </c>
      <c r="BR353" s="472"/>
      <c r="BS353" s="871" t="s">
        <v>7887</v>
      </c>
      <c r="BT353" s="525">
        <f ca="1">IF(COUNTIF(BT352,"*429*"),3,IF(COUNTIF(BT352,"*442*"),1.6,0))</f>
        <v>0</v>
      </c>
      <c r="DA353" s="470" t="s">
        <v>6172</v>
      </c>
    </row>
    <row r="354" spans="52:105" x14ac:dyDescent="0.25">
      <c r="AZ354" s="470" t="s">
        <v>6172</v>
      </c>
      <c r="BH354" s="472" t="s">
        <v>7352</v>
      </c>
      <c r="BI354" s="871"/>
      <c r="BJ354" s="525"/>
      <c r="BL354" s="899"/>
      <c r="BO354" s="929" t="s">
        <v>6314</v>
      </c>
      <c r="BP354" s="923">
        <f ca="1">IF(AND(BX301="sim",BJ360="g/Kg",BY300=0),1,0)</f>
        <v>0</v>
      </c>
      <c r="BR354" s="472"/>
      <c r="BS354" s="871" t="s">
        <v>7889</v>
      </c>
      <c r="BT354" s="525" t="str">
        <f ca="1">IF(CF327&lt;&gt;0,CF327,CF337)</f>
        <v>-</v>
      </c>
      <c r="DA354" s="470" t="s">
        <v>6172</v>
      </c>
    </row>
    <row r="355" spans="52:105" x14ac:dyDescent="0.25">
      <c r="AZ355" s="470" t="s">
        <v>6172</v>
      </c>
      <c r="BH355" s="472" t="s">
        <v>7353</v>
      </c>
      <c r="BI355" s="871" t="s">
        <v>7519</v>
      </c>
      <c r="BJ355" s="525">
        <f ca="1">IFERROR(LARGE(INDIRECT($BJ$297&amp;BL355,1),1),0)</f>
        <v>0</v>
      </c>
      <c r="BL355" s="899" t="s">
        <v>7518</v>
      </c>
      <c r="BO355" s="801" t="s">
        <v>6315</v>
      </c>
      <c r="BP355" s="923">
        <f ca="1">IF(AND(BX301="sim",BZ300=0),1,0)</f>
        <v>0</v>
      </c>
      <c r="BR355" s="469"/>
      <c r="BS355" s="924" t="s">
        <v>7888</v>
      </c>
      <c r="BT355" s="925">
        <f ca="1">IF(BT354&lt;BT353,1,0)</f>
        <v>0</v>
      </c>
      <c r="DA355" s="470" t="s">
        <v>6172</v>
      </c>
    </row>
    <row r="356" spans="52:105" x14ac:dyDescent="0.25">
      <c r="AZ356" s="470" t="s">
        <v>6172</v>
      </c>
      <c r="BH356" s="472" t="s">
        <v>7520</v>
      </c>
      <c r="BI356" s="871" t="s">
        <v>7516</v>
      </c>
      <c r="BJ356" s="525">
        <f ca="1">BJ355</f>
        <v>0</v>
      </c>
      <c r="BO356" s="794" t="s">
        <v>6316</v>
      </c>
      <c r="BP356" s="923">
        <f ca="1">IF(AND(BX301="sim",CA300=0),1,0)</f>
        <v>0</v>
      </c>
      <c r="BR356" s="469"/>
      <c r="BS356" s="872" t="s">
        <v>7890</v>
      </c>
      <c r="BT356" s="796" t="str">
        <f ca="1">IF(BT355=1,"(índice de estimulação) valor mínimo esperado "&amp;BT353&amp;". Valor do CP "&amp;BT354,"")</f>
        <v/>
      </c>
      <c r="DA356" s="470" t="s">
        <v>6172</v>
      </c>
    </row>
    <row r="357" spans="52:105" x14ac:dyDescent="0.25">
      <c r="AZ357" s="470" t="s">
        <v>6172</v>
      </c>
      <c r="BH357" s="469" t="s">
        <v>5448</v>
      </c>
      <c r="BI357" s="924" t="s">
        <v>7521</v>
      </c>
      <c r="BJ357" s="767">
        <f ca="1">IF(
         AND(BX301="sim",
             BJ356&lt;&gt;0,
             COUNTIF(INDIRECT($BJ$297&amp;BI315,1),BJ356)=0
             ),
1,0)</f>
        <v>0</v>
      </c>
      <c r="BK357" s="20" t="s">
        <v>7515</v>
      </c>
      <c r="BO357" s="801" t="s">
        <v>6317</v>
      </c>
      <c r="BP357" s="930">
        <f ca="1">IF(AND(BX301="sim",CB300=0),1,0)</f>
        <v>0</v>
      </c>
      <c r="BR357" s="469"/>
      <c r="BS357" s="924" t="s">
        <v>7892</v>
      </c>
      <c r="BT357" s="925">
        <f ca="1">IF(AND(BX301="sim",BZ301="não relatado"),1,0)</f>
        <v>0</v>
      </c>
      <c r="DA357" s="470" t="s">
        <v>6172</v>
      </c>
    </row>
    <row r="358" spans="52:105" x14ac:dyDescent="0.25">
      <c r="AZ358" s="470" t="s">
        <v>6172</v>
      </c>
      <c r="BO358" s="794" t="s">
        <v>6318</v>
      </c>
      <c r="BP358" s="923">
        <f ca="1">IF(BI300&lt;&gt;CC300,1,0)</f>
        <v>0</v>
      </c>
      <c r="BR358" s="469"/>
      <c r="BS358" s="924" t="s">
        <v>7893</v>
      </c>
      <c r="BT358" s="925">
        <f ca="1">IF(AND(BX301="sim",CA301="não relatado"),1,0)</f>
        <v>0</v>
      </c>
      <c r="DA358" s="470" t="s">
        <v>6172</v>
      </c>
    </row>
    <row r="359" spans="52:105" x14ac:dyDescent="0.25">
      <c r="AZ359" s="470" t="s">
        <v>6172</v>
      </c>
      <c r="BH359" s="469" t="s">
        <v>5448</v>
      </c>
      <c r="BI359" s="924" t="s">
        <v>7897</v>
      </c>
      <c r="BJ359" s="925">
        <f ca="1">IF(AND(BJ342=1,AND(BT301="não",BU301="não")),1,0)</f>
        <v>0</v>
      </c>
      <c r="BO359" s="801" t="s">
        <v>6319</v>
      </c>
      <c r="BP359" s="930">
        <f ca="1">IF(BI300&lt;&gt;CD300,1,0)</f>
        <v>0</v>
      </c>
      <c r="DA359" s="470" t="s">
        <v>6172</v>
      </c>
    </row>
    <row r="360" spans="52:105" x14ac:dyDescent="0.25">
      <c r="AZ360" s="470" t="s">
        <v>6172</v>
      </c>
      <c r="BH360" s="472" t="s">
        <v>7352</v>
      </c>
      <c r="BI360" s="871" t="s">
        <v>7466</v>
      </c>
      <c r="BJ360" s="717" cm="1">
        <f t="array" aca="1" ref="BJ360" ca="1">INDIRECT("Composição!I15",1)</f>
        <v>0</v>
      </c>
      <c r="BK360" s="20" t="s">
        <v>7467</v>
      </c>
      <c r="BO360" s="794" t="s">
        <v>7864</v>
      </c>
      <c r="BP360" s="923">
        <f ca="1">IF(AND(BI300=1,AND(SUM(BS324:BX326)=0,SUM(BS334:BX336)=0)),1,0)</f>
        <v>0</v>
      </c>
      <c r="DA360" s="470" t="s">
        <v>6172</v>
      </c>
    </row>
    <row r="361" spans="52:105" x14ac:dyDescent="0.25">
      <c r="AZ361" s="470" t="s">
        <v>6172</v>
      </c>
      <c r="BH361" s="469" t="s">
        <v>5448</v>
      </c>
      <c r="BI361" s="924" t="s">
        <v>7524</v>
      </c>
      <c r="BJ361" s="925">
        <f ca="1">IF(AND(BJ360="g/L",BX301="sim",COUNTIF(INDIRECT($BJ$297&amp;BI315,1),1)=0),1,0)</f>
        <v>0</v>
      </c>
      <c r="BK361" s="20" t="s">
        <v>7525</v>
      </c>
      <c r="BO361" s="931"/>
      <c r="BP361" s="932"/>
      <c r="DA361" s="470" t="s">
        <v>6172</v>
      </c>
    </row>
    <row r="362" spans="52:105" x14ac:dyDescent="0.25">
      <c r="AZ362" s="470" t="s">
        <v>6172</v>
      </c>
      <c r="BH362" s="472" t="s">
        <v>7353</v>
      </c>
      <c r="BI362" s="871" t="s">
        <v>7894</v>
      </c>
      <c r="BJ362" s="717">
        <f ca="1">IF((COUNTIF(CB324:CE324,1)+COUNTIF(CB334:CE334,1))=0,1,0)</f>
        <v>1</v>
      </c>
      <c r="BO362" s="794"/>
      <c r="BP362" s="923"/>
      <c r="DA362" s="470" t="s">
        <v>6172</v>
      </c>
    </row>
    <row r="363" spans="52:105" x14ac:dyDescent="0.25">
      <c r="AZ363" s="470" t="s">
        <v>6172</v>
      </c>
      <c r="BH363" s="469" t="s">
        <v>5448</v>
      </c>
      <c r="BI363" s="924" t="s">
        <v>7895</v>
      </c>
      <c r="BJ363" s="925">
        <f ca="1">IF(AND(BX301="não",BJ362=1),1,0)</f>
        <v>0</v>
      </c>
      <c r="BO363" s="794" t="s">
        <v>6196</v>
      </c>
      <c r="BP363" s="923">
        <f ca="1">IF(BI300&lt;&gt;CL300,1,0)</f>
        <v>0</v>
      </c>
      <c r="DA363" s="470" t="s">
        <v>6172</v>
      </c>
    </row>
    <row r="364" spans="52:105" x14ac:dyDescent="0.25">
      <c r="AZ364" s="470" t="s">
        <v>6172</v>
      </c>
      <c r="DA364" s="470" t="s">
        <v>6172</v>
      </c>
    </row>
    <row r="365" spans="52:105" ht="15.75" thickBot="1" x14ac:dyDescent="0.3">
      <c r="AZ365" s="470" t="s">
        <v>6172</v>
      </c>
      <c r="BB365" s="730" t="s">
        <v>6329</v>
      </c>
      <c r="BC365" s="730"/>
      <c r="BD365" s="730"/>
      <c r="BE365" s="730"/>
      <c r="BF365" s="730"/>
      <c r="BG365" s="730"/>
      <c r="BH365" s="730"/>
      <c r="BI365" s="730"/>
      <c r="BJ365" s="730"/>
      <c r="BK365" s="730"/>
      <c r="BL365" s="730"/>
      <c r="BM365" s="730"/>
      <c r="BN365" s="730"/>
      <c r="BO365" s="730"/>
      <c r="BP365" s="730"/>
      <c r="BQ365" s="730"/>
      <c r="BR365" s="730"/>
      <c r="BS365" s="730"/>
      <c r="BT365" s="730"/>
      <c r="BU365" s="730"/>
      <c r="BV365" s="730"/>
      <c r="BW365" s="730"/>
      <c r="BX365" s="730"/>
      <c r="BY365" s="730"/>
      <c r="BZ365" s="730"/>
      <c r="CA365" s="730"/>
      <c r="CB365" s="730"/>
      <c r="CC365" s="730"/>
      <c r="CD365" s="730"/>
      <c r="CE365" s="730"/>
      <c r="CF365" s="730"/>
      <c r="CG365" s="730"/>
      <c r="CH365" s="730"/>
      <c r="CI365" s="730"/>
      <c r="DA365" s="470" t="s">
        <v>6172</v>
      </c>
    </row>
    <row r="366" spans="52:105" x14ac:dyDescent="0.25">
      <c r="AZ366" s="470" t="s">
        <v>6172</v>
      </c>
      <c r="BB366" s="477" t="s">
        <v>8104</v>
      </c>
      <c r="BC366" s="477" t="s">
        <v>8294</v>
      </c>
      <c r="DA366" s="470" t="s">
        <v>6172</v>
      </c>
    </row>
    <row r="367" spans="52:105" x14ac:dyDescent="0.25">
      <c r="AZ367" s="470" t="s">
        <v>6172</v>
      </c>
      <c r="BB367" s="844">
        <f ca="1">IF(AND(BI370&lt;&gt;0,BJ370=0),1,0)</f>
        <v>0</v>
      </c>
      <c r="BC367" s="450" t="s">
        <v>6197</v>
      </c>
      <c r="BI367" s="733"/>
      <c r="BJ367" s="797" t="s">
        <v>5580</v>
      </c>
      <c r="DA367" s="470" t="s">
        <v>6172</v>
      </c>
    </row>
    <row r="368" spans="52:105" x14ac:dyDescent="0.25">
      <c r="AZ368" s="470" t="s">
        <v>6172</v>
      </c>
      <c r="BB368" s="844">
        <f ca="1">IF(AND(BI370&lt;&gt;0,BK370=0),1,0)</f>
        <v>0</v>
      </c>
      <c r="BC368" s="426" t="s">
        <v>6198</v>
      </c>
      <c r="BI368" s="933" t="s">
        <v>30</v>
      </c>
      <c r="BJ368" s="933" t="s">
        <v>6174</v>
      </c>
      <c r="BK368" s="933" t="s">
        <v>6173</v>
      </c>
      <c r="BL368" s="933" t="s">
        <v>6029</v>
      </c>
      <c r="BM368" s="933" t="s">
        <v>218</v>
      </c>
      <c r="BN368" s="933" t="s">
        <v>6183</v>
      </c>
      <c r="BO368" s="933" t="s">
        <v>6184</v>
      </c>
      <c r="BP368" s="933" t="s">
        <v>31</v>
      </c>
      <c r="BQ368" s="933" t="s">
        <v>5720</v>
      </c>
      <c r="BR368" s="933" t="s">
        <v>85</v>
      </c>
      <c r="BS368" s="933" t="s">
        <v>235</v>
      </c>
      <c r="BT368" s="934" t="s">
        <v>83</v>
      </c>
      <c r="BU368" s="934" t="s">
        <v>6034</v>
      </c>
      <c r="BV368" s="934" t="s">
        <v>6330</v>
      </c>
      <c r="DA368" s="470" t="s">
        <v>6172</v>
      </c>
    </row>
    <row r="369" spans="52:105" x14ac:dyDescent="0.25">
      <c r="AZ369" s="470" t="s">
        <v>6172</v>
      </c>
      <c r="BB369" s="844">
        <f ca="1">IF(AND(BI370&lt;&gt;0,BL370=0),1,0)</f>
        <v>0</v>
      </c>
      <c r="BC369" s="426" t="s">
        <v>6199</v>
      </c>
      <c r="BH369" s="935" t="s">
        <v>5778</v>
      </c>
      <c r="BI369" s="936" t="s">
        <v>1592</v>
      </c>
      <c r="BJ369" s="936" t="s">
        <v>7333</v>
      </c>
      <c r="BK369" s="936" t="s">
        <v>7334</v>
      </c>
      <c r="BL369" s="937" t="s">
        <v>5798</v>
      </c>
      <c r="BM369" s="936" t="s">
        <v>7335</v>
      </c>
      <c r="BN369" s="937" t="s">
        <v>7336</v>
      </c>
      <c r="BO369" s="938" t="s">
        <v>7337</v>
      </c>
      <c r="BP369" s="938" t="s">
        <v>7338</v>
      </c>
      <c r="BQ369" s="937" t="s">
        <v>5796</v>
      </c>
      <c r="BR369" s="937" t="s">
        <v>7339</v>
      </c>
      <c r="BS369" s="937" t="s">
        <v>7340</v>
      </c>
      <c r="BT369" s="937" t="s">
        <v>5797</v>
      </c>
      <c r="BU369" s="937" t="s">
        <v>7409</v>
      </c>
      <c r="BV369" s="938" t="s">
        <v>7412</v>
      </c>
      <c r="DA369" s="470" t="s">
        <v>6172</v>
      </c>
    </row>
    <row r="370" spans="52:105" x14ac:dyDescent="0.25">
      <c r="AZ370" s="470" t="s">
        <v>6172</v>
      </c>
      <c r="BB370" s="844">
        <f ca="1">IF(AND(BI370&lt;&gt;0,BM370=0),1,0)</f>
        <v>0</v>
      </c>
      <c r="BC370" s="426" t="s">
        <v>6200</v>
      </c>
      <c r="BH370" s="643" t="s">
        <v>6222</v>
      </c>
      <c r="BI370" s="835">
        <f t="shared" ref="BI370:BV370" ca="1" si="81">COUNTA(INDIRECT($BJ$367&amp;BI369,1))</f>
        <v>0</v>
      </c>
      <c r="BJ370" s="835">
        <f t="shared" ca="1" si="81"/>
        <v>0</v>
      </c>
      <c r="BK370" s="835">
        <f t="shared" ca="1" si="81"/>
        <v>0</v>
      </c>
      <c r="BL370" s="835">
        <f t="shared" ca="1" si="81"/>
        <v>0</v>
      </c>
      <c r="BM370" s="835">
        <f t="shared" ca="1" si="81"/>
        <v>0</v>
      </c>
      <c r="BN370" s="835">
        <f t="shared" ca="1" si="81"/>
        <v>0</v>
      </c>
      <c r="BO370" s="835">
        <f t="shared" ca="1" si="81"/>
        <v>0</v>
      </c>
      <c r="BP370" s="835">
        <f t="shared" ca="1" si="81"/>
        <v>0</v>
      </c>
      <c r="BQ370" s="835">
        <f t="shared" ca="1" si="81"/>
        <v>0</v>
      </c>
      <c r="BR370" s="835">
        <f t="shared" ca="1" si="81"/>
        <v>1</v>
      </c>
      <c r="BS370" s="835">
        <f t="shared" ca="1" si="81"/>
        <v>0</v>
      </c>
      <c r="BT370" s="835">
        <f t="shared" ca="1" si="81"/>
        <v>0</v>
      </c>
      <c r="BU370" s="835">
        <f t="shared" ca="1" si="81"/>
        <v>0</v>
      </c>
      <c r="BV370" s="835">
        <f t="shared" ca="1" si="81"/>
        <v>0</v>
      </c>
      <c r="DA370" s="470" t="s">
        <v>6172</v>
      </c>
    </row>
    <row r="371" spans="52:105" x14ac:dyDescent="0.25">
      <c r="AZ371" s="470" t="s">
        <v>6172</v>
      </c>
      <c r="BB371" s="844">
        <f ca="1">IF(AND(BI370&lt;&gt;0,BO370=0),1,0)</f>
        <v>0</v>
      </c>
      <c r="BC371" s="426" t="s">
        <v>6201</v>
      </c>
      <c r="BH371" s="643" t="s">
        <v>6133</v>
      </c>
      <c r="BI371" s="643" cm="1">
        <f t="array" aca="1" ref="BI371" ca="1">INDIRECT($BJ$367&amp;BI369,1)</f>
        <v>0</v>
      </c>
      <c r="BJ371" s="643" cm="1">
        <f t="array" aca="1" ref="BJ371" ca="1">INDIRECT($BJ$367&amp;BJ369,1)</f>
        <v>0</v>
      </c>
      <c r="BK371" s="643" cm="1">
        <f t="array" aca="1" ref="BK371" ca="1">INDIRECT($BJ$367&amp;BK369,1)</f>
        <v>0</v>
      </c>
      <c r="BL371" s="643" cm="1">
        <f t="array" aca="1" ref="BL371" ca="1">INDIRECT($BJ$367&amp;BL369,1)</f>
        <v>0</v>
      </c>
      <c r="BM371" s="643" cm="1">
        <f t="array" aca="1" ref="BM371" ca="1">INDIRECT($BJ$367&amp;BM369,1)</f>
        <v>0</v>
      </c>
      <c r="BN371" s="643" cm="1">
        <f t="array" aca="1" ref="BN371" ca="1">INDIRECT($BJ$367&amp;BN369,1)</f>
        <v>0</v>
      </c>
      <c r="BO371" s="643" cm="1">
        <f t="array" aca="1" ref="BO371" ca="1">INDIRECT($BJ$367&amp;BO369,1)</f>
        <v>0</v>
      </c>
      <c r="BP371" s="643" cm="1">
        <f t="array" aca="1" ref="BP371" ca="1">INDIRECT($BJ$367&amp;BP369,1)</f>
        <v>0</v>
      </c>
      <c r="BQ371" s="643" cm="1">
        <f t="array" aca="1" ref="BQ371" ca="1">INDIRECT($BJ$367&amp;BQ369,1)</f>
        <v>0</v>
      </c>
      <c r="BR371" s="643" t="str" cm="1">
        <f t="array" aca="1" ref="BR371" ca="1">INDIRECT($BJ$367&amp;BR369,1)</f>
        <v>Cavia porcellus</v>
      </c>
      <c r="BS371" s="643" cm="1">
        <f t="array" aca="1" ref="BS371" ca="1">INDIRECT($BJ$367&amp;BS369,1)</f>
        <v>0</v>
      </c>
      <c r="BT371" s="643" cm="1">
        <f t="array" aca="1" ref="BT371" ca="1">INDIRECT($BJ$367&amp;BT369,1)</f>
        <v>0</v>
      </c>
      <c r="BU371" s="643" cm="1">
        <f t="array" aca="1" ref="BU371" ca="1">INDIRECT($BJ$367&amp;BU369,1)</f>
        <v>0</v>
      </c>
      <c r="BV371" s="643" cm="1">
        <f t="array" aca="1" ref="BV371" ca="1">INDIRECT($BJ$367&amp;BV369,1)</f>
        <v>0</v>
      </c>
      <c r="DA371" s="470" t="s">
        <v>6172</v>
      </c>
    </row>
    <row r="372" spans="52:105" x14ac:dyDescent="0.25">
      <c r="AZ372" s="470" t="s">
        <v>6172</v>
      </c>
      <c r="BB372" s="844">
        <f ca="1">IF(AND(BI370&lt;&gt;0,BP370=0),1,0)</f>
        <v>0</v>
      </c>
      <c r="BC372" s="426" t="s">
        <v>6202</v>
      </c>
      <c r="BH372" s="643" t="s">
        <v>14</v>
      </c>
      <c r="BI372" s="597" t="s">
        <v>7328</v>
      </c>
      <c r="BJ372" s="597" t="s">
        <v>7328</v>
      </c>
      <c r="BK372" s="643" t="s">
        <v>7328</v>
      </c>
      <c r="BL372" s="643" t="s">
        <v>7322</v>
      </c>
      <c r="BM372" s="643" t="s">
        <v>7322</v>
      </c>
      <c r="BN372" s="643" t="s">
        <v>7328</v>
      </c>
      <c r="BO372" s="643" t="s">
        <v>7323</v>
      </c>
      <c r="BP372" s="643" t="s">
        <v>7323</v>
      </c>
      <c r="BQ372" s="643" t="s">
        <v>7322</v>
      </c>
      <c r="BR372" s="643" t="s">
        <v>7328</v>
      </c>
      <c r="BS372" s="643" t="s">
        <v>7328</v>
      </c>
      <c r="BT372" s="643" t="s">
        <v>7322</v>
      </c>
      <c r="BU372" s="643" t="s">
        <v>7322</v>
      </c>
      <c r="BV372" s="643" t="s">
        <v>7323</v>
      </c>
      <c r="DA372" s="470" t="s">
        <v>6172</v>
      </c>
    </row>
    <row r="373" spans="52:105" x14ac:dyDescent="0.25">
      <c r="AZ373" s="470" t="s">
        <v>6172</v>
      </c>
      <c r="BB373" s="844">
        <f ca="1">IF(AND(BI370&lt;&gt;0,BQ370=0),1,0)</f>
        <v>0</v>
      </c>
      <c r="BC373" s="426" t="s">
        <v>6203</v>
      </c>
      <c r="DA373" s="470" t="s">
        <v>6172</v>
      </c>
    </row>
    <row r="374" spans="52:105" x14ac:dyDescent="0.25">
      <c r="AZ374" s="470" t="s">
        <v>6172</v>
      </c>
      <c r="BB374" s="844">
        <f ca="1">IF(AND(BI370&lt;&gt;0,BR370=0),1,0)</f>
        <v>0</v>
      </c>
      <c r="BC374" s="426" t="s">
        <v>6204</v>
      </c>
      <c r="DA374" s="470" t="s">
        <v>6172</v>
      </c>
    </row>
    <row r="375" spans="52:105" x14ac:dyDescent="0.25">
      <c r="AZ375" s="470" t="s">
        <v>6172</v>
      </c>
      <c r="BB375" s="844">
        <f ca="1">IF(AND(BI370&lt;&gt;0,BT370=0),1,0)</f>
        <v>0</v>
      </c>
      <c r="BC375" s="426" t="s">
        <v>6349</v>
      </c>
      <c r="BI375" s="2" t="s">
        <v>73</v>
      </c>
      <c r="BJ375" s="2"/>
      <c r="BK375" s="2"/>
      <c r="BL375" s="2"/>
      <c r="BM375" s="2"/>
      <c r="BN375" s="2"/>
      <c r="BO375" s="2"/>
      <c r="BP375" s="2"/>
      <c r="BQ375" s="2"/>
      <c r="BR375" s="2"/>
      <c r="BS375" s="2"/>
      <c r="BT375" s="2"/>
      <c r="BU375" s="2"/>
      <c r="DA375" s="470" t="s">
        <v>6172</v>
      </c>
    </row>
    <row r="376" spans="52:105" x14ac:dyDescent="0.25">
      <c r="AZ376" s="470" t="s">
        <v>6172</v>
      </c>
      <c r="BB376" s="844">
        <f ca="1">IF(AND(BI370&lt;&gt;0,BU370=0),1,0)</f>
        <v>0</v>
      </c>
      <c r="BC376" s="426" t="s">
        <v>6350</v>
      </c>
      <c r="BI376" s="939" t="s">
        <v>35</v>
      </c>
      <c r="BJ376" s="940" t="s">
        <v>6331</v>
      </c>
      <c r="BK376" s="940" t="s">
        <v>6332</v>
      </c>
      <c r="BL376" s="940" t="s">
        <v>6333</v>
      </c>
      <c r="BM376" s="940" t="s">
        <v>6334</v>
      </c>
      <c r="BN376" s="940" t="s">
        <v>6341</v>
      </c>
      <c r="BO376" s="940" t="s">
        <v>6342</v>
      </c>
      <c r="BP376" s="940" t="s">
        <v>6343</v>
      </c>
      <c r="BQ376" s="940" t="s">
        <v>6344</v>
      </c>
      <c r="BR376" s="941" t="s">
        <v>6335</v>
      </c>
      <c r="BS376" s="941" t="s">
        <v>6336</v>
      </c>
      <c r="BT376" s="941" t="s">
        <v>6337</v>
      </c>
      <c r="BU376" s="941" t="s">
        <v>339</v>
      </c>
      <c r="DA376" s="470" t="s">
        <v>6172</v>
      </c>
    </row>
    <row r="377" spans="52:105" x14ac:dyDescent="0.25">
      <c r="AZ377" s="470" t="s">
        <v>6172</v>
      </c>
      <c r="BB377" s="844">
        <f ca="1">IF(AND(BI370&lt;&gt;0,BV370=0),1,0)</f>
        <v>0</v>
      </c>
      <c r="BC377" s="426" t="s">
        <v>6311</v>
      </c>
      <c r="BH377" s="790" t="s">
        <v>5778</v>
      </c>
      <c r="BI377" s="788" t="s">
        <v>7526</v>
      </c>
      <c r="BJ377" s="942" t="s">
        <v>7527</v>
      </c>
      <c r="BK377" s="942" t="s">
        <v>7528</v>
      </c>
      <c r="BL377" s="942" t="s">
        <v>7529</v>
      </c>
      <c r="BM377" s="942" t="s">
        <v>7530</v>
      </c>
      <c r="BN377" s="942" t="s">
        <v>7531</v>
      </c>
      <c r="BO377" s="942" t="s">
        <v>7532</v>
      </c>
      <c r="BP377" s="942" t="s">
        <v>7533</v>
      </c>
      <c r="BQ377" s="942" t="s">
        <v>7534</v>
      </c>
      <c r="BR377" s="788" t="s">
        <v>7451</v>
      </c>
      <c r="BS377" s="942" t="s">
        <v>7540</v>
      </c>
      <c r="BT377" s="942" t="s">
        <v>7541</v>
      </c>
      <c r="BU377" s="942" t="s">
        <v>7542</v>
      </c>
      <c r="DA377" s="470" t="s">
        <v>6172</v>
      </c>
    </row>
    <row r="378" spans="52:105" x14ac:dyDescent="0.25">
      <c r="AZ378" s="470" t="s">
        <v>6172</v>
      </c>
      <c r="BB378" s="844">
        <f ca="1">BJ404</f>
        <v>0</v>
      </c>
      <c r="BC378" s="426" t="s">
        <v>6351</v>
      </c>
      <c r="BH378" s="790" t="s">
        <v>6222</v>
      </c>
      <c r="BI378" s="718">
        <f t="shared" ref="BI378:BU378" ca="1" si="82">COUNTA(INDIRECT($BJ$367&amp;BI377,1))</f>
        <v>0</v>
      </c>
      <c r="BJ378" s="718">
        <f t="shared" ca="1" si="82"/>
        <v>0</v>
      </c>
      <c r="BK378" s="718">
        <f t="shared" ca="1" si="82"/>
        <v>0</v>
      </c>
      <c r="BL378" s="718">
        <f t="shared" ca="1" si="82"/>
        <v>0</v>
      </c>
      <c r="BM378" s="718">
        <f t="shared" ca="1" si="82"/>
        <v>0</v>
      </c>
      <c r="BN378" s="718">
        <f t="shared" ca="1" si="82"/>
        <v>0</v>
      </c>
      <c r="BO378" s="718">
        <f t="shared" ca="1" si="82"/>
        <v>0</v>
      </c>
      <c r="BP378" s="718">
        <f t="shared" ca="1" si="82"/>
        <v>0</v>
      </c>
      <c r="BQ378" s="718">
        <f t="shared" ca="1" si="82"/>
        <v>0</v>
      </c>
      <c r="BR378" s="718">
        <f t="shared" ca="1" si="82"/>
        <v>0</v>
      </c>
      <c r="BS378" s="718">
        <f t="shared" ca="1" si="82"/>
        <v>0</v>
      </c>
      <c r="BT378" s="718">
        <f t="shared" ca="1" si="82"/>
        <v>0</v>
      </c>
      <c r="BU378" s="718">
        <f t="shared" ca="1" si="82"/>
        <v>0</v>
      </c>
      <c r="DA378" s="470" t="s">
        <v>6172</v>
      </c>
    </row>
    <row r="379" spans="52:105" x14ac:dyDescent="0.25">
      <c r="AZ379" s="470" t="s">
        <v>6172</v>
      </c>
      <c r="BB379" s="844">
        <f ca="1">IF(COUNTA(INDIRECT($BJ$367&amp;BI377,1))&lt;&gt;COUNTA(INDIRECT($BJ$367&amp;BN377,1)),1,0)</f>
        <v>0</v>
      </c>
      <c r="BC379" s="426" t="s">
        <v>6352</v>
      </c>
      <c r="BH379" s="790" t="s">
        <v>6133</v>
      </c>
      <c r="BI379" s="943"/>
      <c r="BJ379" s="943"/>
      <c r="BK379" s="943"/>
      <c r="BL379" s="943"/>
      <c r="BM379" s="943"/>
      <c r="BN379" s="943"/>
      <c r="BO379" s="943"/>
      <c r="BP379" s="943"/>
      <c r="BQ379" s="943"/>
      <c r="BR379" s="597" cm="1">
        <f t="array" aca="1" ref="BR379" ca="1">INDIRECT($BJ$367&amp;BR377,1)</f>
        <v>0</v>
      </c>
      <c r="BS379" s="597" cm="1">
        <f t="array" aca="1" ref="BS379" ca="1">INDIRECT($BJ$367&amp;BS377,1)</f>
        <v>0</v>
      </c>
      <c r="BT379" s="597" cm="1">
        <f t="array" aca="1" ref="BT379" ca="1">INDIRECT($BJ$367&amp;BT377,1)</f>
        <v>0</v>
      </c>
      <c r="BU379" s="597" cm="1">
        <f t="array" aca="1" ref="BU379" ca="1">INDIRECT($BJ$367&amp;BU377,1)</f>
        <v>0</v>
      </c>
      <c r="DA379" s="470" t="s">
        <v>6172</v>
      </c>
    </row>
    <row r="380" spans="52:105" x14ac:dyDescent="0.25">
      <c r="AZ380" s="470" t="s">
        <v>6172</v>
      </c>
      <c r="BB380" s="844">
        <f ca="1">IF(AND(BI370&lt;&gt;0,BR378=0),1,0)</f>
        <v>0</v>
      </c>
      <c r="BC380" s="426" t="s">
        <v>6317</v>
      </c>
      <c r="BH380" s="790" t="s">
        <v>14</v>
      </c>
      <c r="BI380" s="597" t="s">
        <v>7322</v>
      </c>
      <c r="BJ380" s="597" t="s">
        <v>7330</v>
      </c>
      <c r="BK380" s="597" t="s">
        <v>7330</v>
      </c>
      <c r="BL380" s="597" t="s">
        <v>7330</v>
      </c>
      <c r="BM380" s="597" t="s">
        <v>7330</v>
      </c>
      <c r="BN380" s="597" t="s">
        <v>7330</v>
      </c>
      <c r="BO380" s="597" t="s">
        <v>7330</v>
      </c>
      <c r="BP380" s="597" t="s">
        <v>7330</v>
      </c>
      <c r="BQ380" s="597" t="s">
        <v>7330</v>
      </c>
      <c r="BR380" s="597" t="s">
        <v>7328</v>
      </c>
      <c r="BS380" s="597" t="s">
        <v>7330</v>
      </c>
      <c r="BT380" s="597" t="s">
        <v>7330</v>
      </c>
      <c r="BU380" s="597" t="s">
        <v>7330</v>
      </c>
      <c r="DA380" s="470" t="s">
        <v>6172</v>
      </c>
    </row>
    <row r="381" spans="52:105" x14ac:dyDescent="0.25">
      <c r="AZ381" s="470" t="s">
        <v>6172</v>
      </c>
      <c r="BB381" s="844">
        <f ca="1">IF(AND(BJ391=1,BS378=0),1,0)</f>
        <v>0</v>
      </c>
      <c r="BC381" s="426" t="s">
        <v>7044</v>
      </c>
      <c r="DA381" s="470" t="s">
        <v>6172</v>
      </c>
    </row>
    <row r="382" spans="52:105" x14ac:dyDescent="0.25">
      <c r="AZ382" s="470" t="s">
        <v>6172</v>
      </c>
      <c r="BB382" s="844">
        <f ca="1">IF(AND(BI370&lt;&gt;0,BT378=0),1,0)</f>
        <v>0</v>
      </c>
      <c r="BC382" s="426" t="s">
        <v>7045</v>
      </c>
      <c r="DA382" s="470" t="s">
        <v>6172</v>
      </c>
    </row>
    <row r="383" spans="52:105" x14ac:dyDescent="0.25">
      <c r="AZ383" s="470" t="s">
        <v>6172</v>
      </c>
      <c r="BB383" s="844">
        <f ca="1">IF(AND(BI370&lt;&gt;0,BU378=0),1,0)</f>
        <v>0</v>
      </c>
      <c r="BC383" s="426" t="s">
        <v>7046</v>
      </c>
      <c r="BI383" s="20" t="s">
        <v>7603</v>
      </c>
      <c r="DA383" s="470" t="s">
        <v>6172</v>
      </c>
    </row>
    <row r="384" spans="52:105" x14ac:dyDescent="0.25">
      <c r="AZ384" s="470" t="s">
        <v>6172</v>
      </c>
      <c r="BB384" s="844">
        <f ca="1">IF(AND(BI370&lt;&gt;0,BI386=0),1,0)</f>
        <v>0</v>
      </c>
      <c r="BC384" s="426" t="s">
        <v>6353</v>
      </c>
      <c r="BH384" s="639"/>
      <c r="BI384" s="944" t="s">
        <v>256</v>
      </c>
      <c r="BJ384" s="944" t="s">
        <v>6338</v>
      </c>
      <c r="BK384" s="944" t="s">
        <v>6346</v>
      </c>
      <c r="BL384" s="944" t="s">
        <v>6347</v>
      </c>
      <c r="BM384" s="944" t="s">
        <v>6348</v>
      </c>
      <c r="BN384" s="944" t="s">
        <v>6348</v>
      </c>
      <c r="BO384" s="944" t="s">
        <v>6339</v>
      </c>
      <c r="BQ384" s="944" t="s">
        <v>342</v>
      </c>
      <c r="BR384" s="944" t="s">
        <v>6340</v>
      </c>
      <c r="BS384" s="944" t="s">
        <v>188</v>
      </c>
      <c r="BT384" s="944" t="s">
        <v>32</v>
      </c>
      <c r="BU384" s="944" t="s">
        <v>228</v>
      </c>
      <c r="BV384" s="944" t="s">
        <v>229</v>
      </c>
      <c r="BW384" s="944" t="s">
        <v>341</v>
      </c>
      <c r="BX384" s="944" t="s">
        <v>189</v>
      </c>
      <c r="BY384" s="944" t="s">
        <v>343</v>
      </c>
      <c r="BZ384" s="944" t="s">
        <v>32</v>
      </c>
      <c r="CA384" s="944" t="s">
        <v>228</v>
      </c>
      <c r="CB384" s="944" t="s">
        <v>229</v>
      </c>
      <c r="CC384" s="945" t="s">
        <v>293</v>
      </c>
      <c r="CD384" s="945" t="s">
        <v>301</v>
      </c>
      <c r="CE384" s="945" t="s">
        <v>302</v>
      </c>
      <c r="CF384" s="946" t="s">
        <v>6242</v>
      </c>
      <c r="CG384" s="946" t="s">
        <v>143</v>
      </c>
      <c r="CH384" s="946" t="s">
        <v>6189</v>
      </c>
      <c r="CI384" s="947" t="s">
        <v>6187</v>
      </c>
      <c r="DA384" s="470" t="s">
        <v>6172</v>
      </c>
    </row>
    <row r="385" spans="52:105" x14ac:dyDescent="0.25">
      <c r="AZ385" s="470" t="s">
        <v>6172</v>
      </c>
      <c r="BB385" s="844">
        <f ca="1">IF(AND(BI370&lt;&gt;0,BJ386=0),1,0)</f>
        <v>0</v>
      </c>
      <c r="BC385" s="426" t="s">
        <v>6354</v>
      </c>
      <c r="BH385" s="790" t="s">
        <v>5778</v>
      </c>
      <c r="BI385" s="948" t="s">
        <v>7302</v>
      </c>
      <c r="BJ385" s="948" t="s">
        <v>7304</v>
      </c>
      <c r="BK385" s="948" t="s">
        <v>7543</v>
      </c>
      <c r="BL385" s="948" t="s">
        <v>7544</v>
      </c>
      <c r="BM385" s="948" t="s">
        <v>7545</v>
      </c>
      <c r="BN385" s="948" t="s">
        <v>7546</v>
      </c>
      <c r="BO385" s="948" t="s">
        <v>7413</v>
      </c>
      <c r="BQ385" s="948" t="s">
        <v>7547</v>
      </c>
      <c r="BR385" s="948" t="s">
        <v>7548</v>
      </c>
      <c r="BS385" s="948" t="s">
        <v>7456</v>
      </c>
      <c r="BT385" s="948" t="s">
        <v>7549</v>
      </c>
      <c r="BU385" s="948" t="s">
        <v>7050</v>
      </c>
      <c r="BV385" s="948" t="s">
        <v>7051</v>
      </c>
      <c r="BW385" s="948" t="s">
        <v>7306</v>
      </c>
      <c r="BX385" s="948" t="s">
        <v>7457</v>
      </c>
      <c r="BY385" s="948" t="s">
        <v>7550</v>
      </c>
      <c r="BZ385" s="948" t="s">
        <v>7458</v>
      </c>
      <c r="CA385" s="948" t="s">
        <v>7052</v>
      </c>
      <c r="CB385" s="948" t="s">
        <v>7037</v>
      </c>
      <c r="CC385" s="948" t="s">
        <v>7535</v>
      </c>
      <c r="CD385" s="948" t="s">
        <v>7536</v>
      </c>
      <c r="CE385" s="948" t="s">
        <v>7537</v>
      </c>
      <c r="CF385" s="948" t="s">
        <v>5700</v>
      </c>
      <c r="CG385" s="948" t="s">
        <v>7551</v>
      </c>
      <c r="CH385" s="948" t="s">
        <v>7552</v>
      </c>
      <c r="CI385" s="949" t="s">
        <v>6345</v>
      </c>
      <c r="DA385" s="470" t="s">
        <v>6172</v>
      </c>
    </row>
    <row r="386" spans="52:105" x14ac:dyDescent="0.25">
      <c r="AZ386" s="470" t="s">
        <v>6172</v>
      </c>
      <c r="BB386" s="844">
        <f ca="1">IF(AND(BJ391=1,BI370&lt;&gt;BK386),1,0)</f>
        <v>0</v>
      </c>
      <c r="BC386" s="426" t="s">
        <v>6355</v>
      </c>
      <c r="BH386" s="790" t="s">
        <v>6222</v>
      </c>
      <c r="BI386" s="835">
        <f t="shared" ref="BI386:BO386" ca="1" si="83">COUNTA(INDIRECT($BJ$367&amp;BI385,1))</f>
        <v>0</v>
      </c>
      <c r="BJ386" s="835">
        <f t="shared" ca="1" si="83"/>
        <v>0</v>
      </c>
      <c r="BK386" s="835">
        <f t="shared" ca="1" si="83"/>
        <v>0</v>
      </c>
      <c r="BL386" s="835">
        <f t="shared" ca="1" si="83"/>
        <v>0</v>
      </c>
      <c r="BM386" s="835">
        <f t="shared" ca="1" si="83"/>
        <v>0</v>
      </c>
      <c r="BN386" s="835">
        <f t="shared" ca="1" si="83"/>
        <v>0</v>
      </c>
      <c r="BO386" s="835">
        <f t="shared" ca="1" si="83"/>
        <v>0</v>
      </c>
      <c r="BQ386" s="835">
        <f t="shared" ref="BQ386:CH386" ca="1" si="84">COUNTA(INDIRECT($BJ$367&amp;BQ385,1))</f>
        <v>0</v>
      </c>
      <c r="BR386" s="835">
        <f t="shared" ca="1" si="84"/>
        <v>0</v>
      </c>
      <c r="BS386" s="835">
        <f t="shared" ca="1" si="84"/>
        <v>0</v>
      </c>
      <c r="BT386" s="835">
        <f t="shared" ca="1" si="84"/>
        <v>0</v>
      </c>
      <c r="BU386" s="835">
        <f t="shared" ca="1" si="84"/>
        <v>0</v>
      </c>
      <c r="BV386" s="835">
        <f t="shared" ca="1" si="84"/>
        <v>0</v>
      </c>
      <c r="BW386" s="835">
        <f t="shared" ca="1" si="84"/>
        <v>0</v>
      </c>
      <c r="BX386" s="835">
        <f t="shared" ca="1" si="84"/>
        <v>0</v>
      </c>
      <c r="BY386" s="835">
        <f t="shared" ca="1" si="84"/>
        <v>0</v>
      </c>
      <c r="BZ386" s="835">
        <f t="shared" ca="1" si="84"/>
        <v>0</v>
      </c>
      <c r="CA386" s="835">
        <f t="shared" ca="1" si="84"/>
        <v>0</v>
      </c>
      <c r="CB386" s="835">
        <f t="shared" ca="1" si="84"/>
        <v>0</v>
      </c>
      <c r="CC386" s="835">
        <f t="shared" ca="1" si="84"/>
        <v>0</v>
      </c>
      <c r="CD386" s="835">
        <f t="shared" ca="1" si="84"/>
        <v>0</v>
      </c>
      <c r="CE386" s="835">
        <f t="shared" ca="1" si="84"/>
        <v>0</v>
      </c>
      <c r="CF386" s="835">
        <f t="shared" ca="1" si="84"/>
        <v>0</v>
      </c>
      <c r="CG386" s="835">
        <f t="shared" ca="1" si="84"/>
        <v>0</v>
      </c>
      <c r="CH386" s="835">
        <f t="shared" ca="1" si="84"/>
        <v>0</v>
      </c>
      <c r="CI386" s="910">
        <f ca="1">COUNTA(INDIRECT(CI385,1))</f>
        <v>1</v>
      </c>
      <c r="DA386" s="470" t="s">
        <v>6172</v>
      </c>
    </row>
    <row r="387" spans="52:105" x14ac:dyDescent="0.25">
      <c r="AZ387" s="470" t="s">
        <v>6172</v>
      </c>
      <c r="BB387" s="844">
        <f ca="1">IF(AND(BI370&lt;&gt;0,BM386=0),1,0)</f>
        <v>0</v>
      </c>
      <c r="BC387" s="426" t="s">
        <v>6356</v>
      </c>
      <c r="BH387" s="790" t="s">
        <v>6133</v>
      </c>
      <c r="BI387" s="597" cm="1">
        <f t="array" aca="1" ref="BI387" ca="1">INDIRECT($BJ$367&amp;BI385,1)</f>
        <v>0</v>
      </c>
      <c r="BJ387" s="597" cm="1">
        <f t="array" aca="1" ref="BJ387" ca="1">INDIRECT($BJ$367&amp;BJ385,1)</f>
        <v>0</v>
      </c>
      <c r="BK387" s="597" cm="1">
        <f t="array" aca="1" ref="BK387" ca="1">INDIRECT($BJ$367&amp;BK385,1)</f>
        <v>0</v>
      </c>
      <c r="BL387" s="597" cm="1">
        <f t="array" aca="1" ref="BL387" ca="1">INDIRECT($BJ$367&amp;BL385,1)</f>
        <v>0</v>
      </c>
      <c r="BM387" s="597" cm="1">
        <f t="array" aca="1" ref="BM387" ca="1">INDIRECT($BJ$367&amp;BM385,1)</f>
        <v>0</v>
      </c>
      <c r="BN387" s="597" cm="1">
        <f t="array" aca="1" ref="BN387" ca="1">INDIRECT($BJ$367&amp;BN385,1)</f>
        <v>0</v>
      </c>
      <c r="BO387" s="597" cm="1">
        <f t="array" aca="1" ref="BO387" ca="1">INDIRECT($BJ$367&amp;BO385,1)</f>
        <v>0</v>
      </c>
      <c r="BQ387" s="597" cm="1">
        <f t="array" aca="1" ref="BQ387" ca="1">INDIRECT($BJ$367&amp;BQ385,1)</f>
        <v>0</v>
      </c>
      <c r="BR387" s="597" cm="1">
        <f t="array" aca="1" ref="BR387" ca="1">INDIRECT($BJ$367&amp;BR385,1)</f>
        <v>0</v>
      </c>
      <c r="BS387" s="597" cm="1">
        <f t="array" aca="1" ref="BS387" ca="1">INDIRECT($BJ$367&amp;BS385,1)</f>
        <v>0</v>
      </c>
      <c r="BT387" s="597" cm="1">
        <f t="array" aca="1" ref="BT387" ca="1">INDIRECT($BJ$367&amp;BT385,1)</f>
        <v>0</v>
      </c>
      <c r="BU387" s="597" cm="1">
        <f t="array" aca="1" ref="BU387" ca="1">INDIRECT($BJ$367&amp;BU385,1)</f>
        <v>0</v>
      </c>
      <c r="BV387" s="597" cm="1">
        <f t="array" aca="1" ref="BV387" ca="1">INDIRECT($BJ$367&amp;BV385,1)</f>
        <v>0</v>
      </c>
      <c r="BW387" s="597" cm="1">
        <f t="array" aca="1" ref="BW387" ca="1">INDIRECT($BJ$367&amp;BW385,1)</f>
        <v>0</v>
      </c>
      <c r="BX387" s="597" cm="1">
        <f t="array" aca="1" ref="BX387" ca="1">INDIRECT($BJ$367&amp;BX385,1)</f>
        <v>0</v>
      </c>
      <c r="BY387" s="597" cm="1">
        <f t="array" aca="1" ref="BY387" ca="1">INDIRECT($BJ$367&amp;BY385,1)</f>
        <v>0</v>
      </c>
      <c r="BZ387" s="597" cm="1">
        <f t="array" aca="1" ref="BZ387" ca="1">INDIRECT($BJ$367&amp;BZ385,1)</f>
        <v>0</v>
      </c>
      <c r="CA387" s="597" cm="1">
        <f t="array" aca="1" ref="CA387" ca="1">INDIRECT($BJ$367&amp;CA385,1)</f>
        <v>0</v>
      </c>
      <c r="CB387" s="597" cm="1">
        <f t="array" aca="1" ref="CB387" ca="1">INDIRECT($BJ$367&amp;CB385,1)</f>
        <v>0</v>
      </c>
      <c r="CC387" s="943"/>
      <c r="CD387" s="943"/>
      <c r="CE387" s="943"/>
      <c r="CF387" s="597" cm="1">
        <f t="array" aca="1" ref="CF387" ca="1">INDIRECT($BJ$367&amp;CF385,1)</f>
        <v>0</v>
      </c>
      <c r="CG387" s="597" cm="1">
        <f t="array" aca="1" ref="CG387" ca="1">INDIRECT($BJ$367&amp;CG385,1)</f>
        <v>0</v>
      </c>
      <c r="CH387" s="597" cm="1">
        <f t="array" aca="1" ref="CH387" ca="1">INDIRECT($BJ$367&amp;CH385,1)</f>
        <v>0</v>
      </c>
      <c r="CI387" s="910" cm="1">
        <f t="array" aca="1" ref="CI387" ca="1">INDIRECT(CI385,1)</f>
        <v>0</v>
      </c>
      <c r="DA387" s="470" t="s">
        <v>6172</v>
      </c>
    </row>
    <row r="388" spans="52:105" x14ac:dyDescent="0.25">
      <c r="AZ388" s="470" t="s">
        <v>6172</v>
      </c>
      <c r="BB388" s="844">
        <f ca="1">IF(AND(BJ436=1,BO386=0),1,0)</f>
        <v>0</v>
      </c>
      <c r="BC388" s="426" t="s">
        <v>6359</v>
      </c>
      <c r="BH388" s="790" t="s">
        <v>14</v>
      </c>
      <c r="BI388" s="597" t="s">
        <v>7329</v>
      </c>
      <c r="BJ388" s="597" t="s">
        <v>7329</v>
      </c>
      <c r="BK388" s="597" t="s">
        <v>7330</v>
      </c>
      <c r="BL388" s="597" t="s">
        <v>7330</v>
      </c>
      <c r="BM388" s="597" t="s">
        <v>7330</v>
      </c>
      <c r="BN388" s="597" t="s">
        <v>7330</v>
      </c>
      <c r="BO388" s="597" t="s">
        <v>7328</v>
      </c>
      <c r="BQ388" s="597" t="s">
        <v>7330</v>
      </c>
      <c r="BR388" s="597" t="s">
        <v>7328</v>
      </c>
      <c r="BS388" s="597" t="s">
        <v>7322</v>
      </c>
      <c r="BT388" s="597" t="s">
        <v>7328</v>
      </c>
      <c r="BU388" s="597" t="s">
        <v>7330</v>
      </c>
      <c r="BV388" s="597" t="s">
        <v>7330</v>
      </c>
      <c r="BW388" s="597" t="s">
        <v>7322</v>
      </c>
      <c r="BX388" s="597" t="s">
        <v>7329</v>
      </c>
      <c r="BY388" s="597" t="s">
        <v>7330</v>
      </c>
      <c r="BZ388" s="597" t="s">
        <v>7328</v>
      </c>
      <c r="CA388" s="597" t="s">
        <v>7330</v>
      </c>
      <c r="CB388" s="597" t="s">
        <v>7330</v>
      </c>
      <c r="CC388" s="597" t="s">
        <v>7328</v>
      </c>
      <c r="CD388" s="597" t="s">
        <v>7328</v>
      </c>
      <c r="CE388" s="597" t="s">
        <v>7328</v>
      </c>
      <c r="CF388" s="597" t="s">
        <v>7328</v>
      </c>
      <c r="CG388" s="597" t="s">
        <v>7328</v>
      </c>
      <c r="CH388" s="597" t="s">
        <v>7328</v>
      </c>
      <c r="CI388" s="597" t="s">
        <v>7332</v>
      </c>
      <c r="DA388" s="470" t="s">
        <v>6172</v>
      </c>
    </row>
    <row r="389" spans="52:105" x14ac:dyDescent="0.25">
      <c r="AZ389" s="470" t="s">
        <v>6172</v>
      </c>
      <c r="BB389" s="844">
        <f ca="1">IF(AND(BI370&lt;&gt;0,BQ386=0),1,0)</f>
        <v>0</v>
      </c>
      <c r="BC389" s="426" t="s">
        <v>6357</v>
      </c>
      <c r="BV389" s="2"/>
      <c r="BW389" s="2"/>
      <c r="BX389" s="2"/>
      <c r="BY389" s="2"/>
      <c r="BZ389" s="2"/>
      <c r="CA389" s="2"/>
      <c r="CB389" s="2"/>
      <c r="CC389" s="2"/>
      <c r="CD389" s="2"/>
      <c r="CE389" s="2"/>
      <c r="CF389" s="2"/>
      <c r="CG389" s="2"/>
      <c r="DA389" s="470" t="s">
        <v>6172</v>
      </c>
    </row>
    <row r="390" spans="52:105" x14ac:dyDescent="0.25">
      <c r="AZ390" s="470" t="s">
        <v>6172</v>
      </c>
      <c r="BB390" s="844">
        <f ca="1">IF(AND(BJ431=1,BR386=0),1,0)</f>
        <v>0</v>
      </c>
      <c r="BC390" s="426" t="s">
        <v>6358</v>
      </c>
      <c r="DA390" s="470" t="s">
        <v>6172</v>
      </c>
    </row>
    <row r="391" spans="52:105" x14ac:dyDescent="0.25">
      <c r="AZ391" s="470" t="s">
        <v>6172</v>
      </c>
      <c r="BB391" s="844">
        <f ca="1">IF(AND(BI370&lt;&gt;0,BS386=0),1,0)</f>
        <v>0</v>
      </c>
      <c r="BC391" s="426" t="s">
        <v>6360</v>
      </c>
      <c r="BH391" s="506"/>
      <c r="BI391" s="757" t="s">
        <v>7899</v>
      </c>
      <c r="BJ391" s="525">
        <f ca="1">IF(BT371="maximização",1,0)</f>
        <v>0</v>
      </c>
      <c r="BK391" s="20" t="s">
        <v>7900</v>
      </c>
      <c r="DA391" s="470" t="s">
        <v>6172</v>
      </c>
    </row>
    <row r="392" spans="52:105" x14ac:dyDescent="0.25">
      <c r="AZ392" s="470" t="s">
        <v>6172</v>
      </c>
      <c r="BB392" s="844">
        <f ca="1">IF(AND(BI370&lt;&gt;0,BT386=0),1,0)</f>
        <v>0</v>
      </c>
      <c r="BC392" s="426" t="s">
        <v>6361</v>
      </c>
      <c r="BH392" s="472"/>
      <c r="BI392" s="757" t="s">
        <v>7850</v>
      </c>
      <c r="BJ392" s="525">
        <f ca="1">IF(BI370=1,1,0)</f>
        <v>0</v>
      </c>
      <c r="BK392" s="20" t="s">
        <v>7851</v>
      </c>
      <c r="CC392" s="2"/>
      <c r="CD392" s="2"/>
      <c r="CE392" s="2"/>
      <c r="CF392" s="2"/>
      <c r="CG392" s="2"/>
      <c r="DA392" s="470" t="s">
        <v>6172</v>
      </c>
    </row>
    <row r="393" spans="52:105" x14ac:dyDescent="0.25">
      <c r="AZ393" s="470" t="s">
        <v>6172</v>
      </c>
      <c r="BB393" s="844">
        <f ca="1">IF(AND(BI370&lt;&gt;0,BU386=0),1,0)</f>
        <v>0</v>
      </c>
      <c r="BC393" s="426" t="s">
        <v>6362</v>
      </c>
      <c r="BH393" s="472"/>
      <c r="BI393" s="871" t="s">
        <v>6211</v>
      </c>
      <c r="BJ393" s="525">
        <f ca="1">BQ371</f>
        <v>0</v>
      </c>
      <c r="CC393" s="2"/>
      <c r="CD393" s="2"/>
      <c r="CE393" s="2"/>
      <c r="CF393" s="2"/>
      <c r="CG393" s="2"/>
      <c r="DA393" s="470" t="s">
        <v>6172</v>
      </c>
    </row>
    <row r="394" spans="52:105" x14ac:dyDescent="0.25">
      <c r="AZ394" s="470" t="s">
        <v>6172</v>
      </c>
      <c r="BB394" s="844">
        <f ca="1">IF(AND(BI370&lt;&gt;0,BV386=0),1,0)</f>
        <v>0</v>
      </c>
      <c r="BC394" s="426" t="s">
        <v>6363</v>
      </c>
      <c r="BH394" s="469"/>
      <c r="BI394" s="872" t="s">
        <v>6223</v>
      </c>
      <c r="BJ394" s="759">
        <f ca="1">IF(BJ393&lt;&gt;0,
IF(COUNTIF($M$65:$M$94,BJ393)=0,1,0),0)</f>
        <v>0</v>
      </c>
      <c r="BK394" s="20" t="s">
        <v>6212</v>
      </c>
      <c r="DA394" s="470" t="s">
        <v>6172</v>
      </c>
    </row>
    <row r="395" spans="52:105" x14ac:dyDescent="0.25">
      <c r="AZ395" s="470" t="s">
        <v>6172</v>
      </c>
      <c r="BB395" s="844">
        <f ca="1">IF(AND(BI370&lt;&gt;0,BW386=0),1,0)</f>
        <v>0</v>
      </c>
      <c r="BC395" s="426" t="s">
        <v>6364</v>
      </c>
      <c r="BH395" s="472"/>
      <c r="BI395" s="871" t="s">
        <v>6178</v>
      </c>
      <c r="BJ395" s="525">
        <f ca="1">IFERROR(VLOOKUP(BJ393,$M$65:$P$94,4,0),0)</f>
        <v>0</v>
      </c>
      <c r="DA395" s="470" t="s">
        <v>6172</v>
      </c>
    </row>
    <row r="396" spans="52:105" x14ac:dyDescent="0.25">
      <c r="AZ396" s="470" t="s">
        <v>6172</v>
      </c>
      <c r="BB396" s="844">
        <f ca="1">IF(AND(BW387="sim",BX386=0),1,0)</f>
        <v>0</v>
      </c>
      <c r="BC396" s="426" t="s">
        <v>6365</v>
      </c>
      <c r="BH396" s="472"/>
      <c r="BI396" s="871" t="s">
        <v>6213</v>
      </c>
      <c r="BJ396" s="525">
        <f ca="1">BP371</f>
        <v>0</v>
      </c>
      <c r="DA396" s="470" t="s">
        <v>6172</v>
      </c>
    </row>
    <row r="397" spans="52:105" x14ac:dyDescent="0.25">
      <c r="AZ397" s="470" t="s">
        <v>6172</v>
      </c>
      <c r="BB397" s="844">
        <f ca="1">IF(AND(BW387="sim",BY386=0),1,0)</f>
        <v>0</v>
      </c>
      <c r="BC397" s="426" t="s">
        <v>6366</v>
      </c>
      <c r="BH397" s="469"/>
      <c r="BI397" s="872" t="s">
        <v>6179</v>
      </c>
      <c r="BJ397" s="759">
        <f ca="1">IF(BJ394&lt;&gt;1,
IF((BJ395-BJ396)&lt;0,1,0),
0)</f>
        <v>0</v>
      </c>
      <c r="BK397" s="20" t="s">
        <v>6180</v>
      </c>
      <c r="DA397" s="470" t="s">
        <v>6172</v>
      </c>
    </row>
    <row r="398" spans="52:105" x14ac:dyDescent="0.25">
      <c r="AZ398" s="470" t="s">
        <v>6172</v>
      </c>
      <c r="BB398" s="844">
        <f ca="1">IF(AND(BW387="sim",BZ386=0),1,0)</f>
        <v>0</v>
      </c>
      <c r="BC398" s="426" t="s">
        <v>6367</v>
      </c>
      <c r="BH398" s="469"/>
      <c r="BI398" s="872" t="s">
        <v>7354</v>
      </c>
      <c r="BJ398" s="759">
        <f ca="1">IF(COUNTIFS($M$65:$M$94,BJ393,$AA$65:$AA$94,2)&gt;0,1,0)</f>
        <v>0</v>
      </c>
      <c r="BK398" s="20" t="s">
        <v>7355</v>
      </c>
      <c r="DA398" s="470" t="s">
        <v>6172</v>
      </c>
    </row>
    <row r="399" spans="52:105" x14ac:dyDescent="0.25">
      <c r="AZ399" s="470" t="s">
        <v>6172</v>
      </c>
      <c r="BB399" s="844">
        <f ca="1">IF(AND(BW387="sim",CA386=0),1,0)</f>
        <v>0</v>
      </c>
      <c r="BC399" s="426" t="s">
        <v>6368</v>
      </c>
      <c r="BH399" s="469"/>
      <c r="BI399" s="872" t="s">
        <v>7356</v>
      </c>
      <c r="BJ399" s="767">
        <f ca="1">IF(BL371="Não",1,0)</f>
        <v>0</v>
      </c>
      <c r="BK399" s="20" t="s">
        <v>7357</v>
      </c>
      <c r="DA399" s="470" t="s">
        <v>6172</v>
      </c>
    </row>
    <row r="400" spans="52:105" x14ac:dyDescent="0.25">
      <c r="AZ400" s="470" t="s">
        <v>6172</v>
      </c>
      <c r="BB400" s="844">
        <f ca="1">IF(AND(BW387="sim",CB386),1,0)</f>
        <v>0</v>
      </c>
      <c r="BC400" s="426" t="s">
        <v>6369</v>
      </c>
      <c r="BH400" s="469"/>
      <c r="BI400" s="758" t="s">
        <v>6067</v>
      </c>
      <c r="BJ400" s="767">
        <f ca="1">IF(CI387=2,1,0)</f>
        <v>0</v>
      </c>
      <c r="DA400" s="470" t="s">
        <v>6172</v>
      </c>
    </row>
    <row r="401" spans="52:105" x14ac:dyDescent="0.25">
      <c r="AZ401" s="470" t="s">
        <v>6172</v>
      </c>
      <c r="BB401" s="25">
        <f ca="1">IF(AND(BI370&lt;&gt;0,CI387=0),1,0)</f>
        <v>0</v>
      </c>
      <c r="BC401" s="426" t="s">
        <v>6209</v>
      </c>
      <c r="BH401" s="469"/>
      <c r="BI401" s="872" t="s">
        <v>7360</v>
      </c>
      <c r="BJ401" s="767">
        <f ca="1">IF(CI387=2,
IF(COUNTIF(INDIRECT(BJ367&amp;CE385,1),"sim")&gt;0,1,0),
0)</f>
        <v>0</v>
      </c>
      <c r="BK401" s="20" t="s">
        <v>7361</v>
      </c>
      <c r="DA401" s="470" t="s">
        <v>6172</v>
      </c>
    </row>
    <row r="402" spans="52:105" x14ac:dyDescent="0.25">
      <c r="AZ402" s="470" t="s">
        <v>6172</v>
      </c>
      <c r="BB402" s="844">
        <f ca="1">IF(AND(BI370&lt;&gt;0,CH386=0),1,0)</f>
        <v>0</v>
      </c>
      <c r="BC402" s="426" t="s">
        <v>6196</v>
      </c>
      <c r="BH402" s="469"/>
      <c r="DA402" s="470" t="s">
        <v>6172</v>
      </c>
    </row>
    <row r="403" spans="52:105" x14ac:dyDescent="0.25">
      <c r="AZ403" s="470" t="s">
        <v>6172</v>
      </c>
      <c r="BB403" s="25">
        <f ca="1">BJ399</f>
        <v>0</v>
      </c>
      <c r="BC403" s="426" t="s">
        <v>6071</v>
      </c>
      <c r="BH403" s="469"/>
      <c r="BI403" s="872" t="s">
        <v>7363</v>
      </c>
      <c r="BJ403" s="767">
        <f ca="1">IF(CF387="sim",1,0)</f>
        <v>0</v>
      </c>
      <c r="BK403" s="20" t="s">
        <v>7364</v>
      </c>
      <c r="DA403" s="470" t="s">
        <v>6172</v>
      </c>
    </row>
    <row r="404" spans="52:105" x14ac:dyDescent="0.25">
      <c r="AZ404" s="470" t="s">
        <v>6172</v>
      </c>
      <c r="BB404" s="25"/>
      <c r="BC404" s="426"/>
      <c r="BH404" s="469"/>
      <c r="BI404" s="872" t="s">
        <v>7554</v>
      </c>
      <c r="BJ404" s="767">
        <f ca="1">IF(AND(BT371="maximização",COUNTA(INDIRECT($BJ$367&amp;BI377,1))&gt;0,COUNTA(INDIRECT($BJ$367&amp;BJ377,1))=0),1,0)</f>
        <v>0</v>
      </c>
      <c r="BK404" s="20" t="s">
        <v>7553</v>
      </c>
      <c r="DA404" s="470" t="s">
        <v>6172</v>
      </c>
    </row>
    <row r="405" spans="52:105" x14ac:dyDescent="0.25">
      <c r="AZ405" s="470" t="s">
        <v>6172</v>
      </c>
      <c r="BB405" s="25">
        <f ca="1">BJ425</f>
        <v>0</v>
      </c>
      <c r="BC405" s="426" t="s">
        <v>6098</v>
      </c>
      <c r="BH405" s="469"/>
      <c r="BI405" s="872" t="s">
        <v>7555</v>
      </c>
      <c r="BJ405" s="767">
        <f ca="1">IF(COUNTA(INDIRECT($BJ$367&amp;BI377,1))&lt;&gt;COUNTA(INDIRECT($BJ$367&amp;BN377,1)),1,0)</f>
        <v>0</v>
      </c>
      <c r="BK405" s="20" t="s">
        <v>7556</v>
      </c>
      <c r="BL405" s="738" t="s">
        <v>7558</v>
      </c>
      <c r="DA405" s="470" t="s">
        <v>6172</v>
      </c>
    </row>
    <row r="406" spans="52:105" x14ac:dyDescent="0.25">
      <c r="AZ406" s="470" t="s">
        <v>6172</v>
      </c>
      <c r="BB406" s="25">
        <f ca="1">BJ427</f>
        <v>0</v>
      </c>
      <c r="BC406" s="426" t="s">
        <v>6371</v>
      </c>
      <c r="BH406" s="469"/>
      <c r="BI406" s="872" t="s">
        <v>7524</v>
      </c>
      <c r="BJ406" s="767">
        <f ca="1">IF(
         AND(BI370=1,
            COUNTIF(INDIRECT($BJ$367&amp;BL406,1),1)=0),
1,0)</f>
        <v>0</v>
      </c>
      <c r="BK406" s="20" t="s">
        <v>7559</v>
      </c>
      <c r="BL406" s="950" t="s">
        <v>7557</v>
      </c>
      <c r="DA406" s="470" t="s">
        <v>6172</v>
      </c>
    </row>
    <row r="407" spans="52:105" x14ac:dyDescent="0.25">
      <c r="AZ407" s="470" t="s">
        <v>6172</v>
      </c>
      <c r="BB407" s="25">
        <f ca="1">BJ406</f>
        <v>0</v>
      </c>
      <c r="BC407" s="426" t="s">
        <v>7904</v>
      </c>
      <c r="BH407" s="469"/>
      <c r="BI407" s="872" t="s">
        <v>7560</v>
      </c>
      <c r="BJ407" s="767">
        <f ca="1">IF(AND($BT$371=BL409,BI387&gt;0,BI387&lt;BN408),1,0)</f>
        <v>0</v>
      </c>
      <c r="BK407" s="20" t="s">
        <v>7561</v>
      </c>
      <c r="BL407" s="951" t="s">
        <v>5801</v>
      </c>
      <c r="BM407" s="951" t="s">
        <v>6370</v>
      </c>
      <c r="BN407" s="951" t="s">
        <v>7566</v>
      </c>
      <c r="BO407" s="951" t="s">
        <v>7567</v>
      </c>
      <c r="DA407" s="470" t="s">
        <v>6172</v>
      </c>
    </row>
    <row r="408" spans="52:105" x14ac:dyDescent="0.25">
      <c r="AZ408" s="470" t="s">
        <v>6172</v>
      </c>
      <c r="BB408" s="25">
        <f ca="1">BJ409</f>
        <v>0</v>
      </c>
      <c r="BC408" s="426" t="s">
        <v>6094</v>
      </c>
      <c r="BH408" s="469"/>
      <c r="BI408" s="872" t="s">
        <v>7562</v>
      </c>
      <c r="BJ408" s="767">
        <f ca="1">IF(AND($BT$371=BL409,BJ387&gt;0,BJ387&lt;BO408),1,0)</f>
        <v>0</v>
      </c>
      <c r="BK408" s="20" t="s">
        <v>7563</v>
      </c>
      <c r="BL408" s="525" t="s">
        <v>5689</v>
      </c>
      <c r="BM408" s="525">
        <v>0.15</v>
      </c>
      <c r="BN408" s="525">
        <v>5</v>
      </c>
      <c r="BO408" s="525">
        <v>10</v>
      </c>
      <c r="DA408" s="470" t="s">
        <v>6172</v>
      </c>
    </row>
    <row r="409" spans="52:105" x14ac:dyDescent="0.25">
      <c r="AZ409" s="470" t="s">
        <v>6172</v>
      </c>
      <c r="BB409" s="25">
        <f ca="1">BJ410</f>
        <v>0</v>
      </c>
      <c r="BC409" s="426" t="s">
        <v>6096</v>
      </c>
      <c r="BH409" s="469"/>
      <c r="BI409" s="872" t="s">
        <v>7564</v>
      </c>
      <c r="BJ409" s="767">
        <f ca="1">IF(AND($BT$371=BL408,BI387&gt;0,BI387&lt;BN409),1,0)</f>
        <v>0</v>
      </c>
      <c r="BK409" s="20" t="s">
        <v>7568</v>
      </c>
      <c r="BL409" s="525" t="s">
        <v>5690</v>
      </c>
      <c r="BM409" s="525">
        <v>0.3</v>
      </c>
      <c r="BN409" s="525">
        <v>10</v>
      </c>
      <c r="BO409" s="525">
        <v>20</v>
      </c>
      <c r="DA409" s="470" t="s">
        <v>6172</v>
      </c>
    </row>
    <row r="410" spans="52:105" x14ac:dyDescent="0.25">
      <c r="AZ410" s="470" t="s">
        <v>6172</v>
      </c>
      <c r="BB410" s="25">
        <f ca="1">BJ414</f>
        <v>0</v>
      </c>
      <c r="BC410" s="426" t="s">
        <v>6090</v>
      </c>
      <c r="BH410" s="469"/>
      <c r="BI410" s="872" t="s">
        <v>7565</v>
      </c>
      <c r="BJ410" s="767">
        <f ca="1">IF(AND($BT$371=BL408,BJ387&gt;0,BJ387&lt;BO409),1,0)</f>
        <v>0</v>
      </c>
      <c r="BK410" s="20" t="s">
        <v>7569</v>
      </c>
      <c r="DA410" s="470" t="s">
        <v>6172</v>
      </c>
    </row>
    <row r="411" spans="52:105" x14ac:dyDescent="0.25">
      <c r="AZ411" s="470" t="s">
        <v>6172</v>
      </c>
      <c r="BB411" s="25">
        <f ca="1">BJ407</f>
        <v>0</v>
      </c>
      <c r="BC411" s="426" t="s">
        <v>6095</v>
      </c>
      <c r="BH411" s="472"/>
      <c r="BI411" s="871" t="s">
        <v>7570</v>
      </c>
      <c r="BJ411" s="525">
        <f ca="1">LARGE(BU387:BV387,1)</f>
        <v>0</v>
      </c>
      <c r="DA411" s="470" t="s">
        <v>6172</v>
      </c>
    </row>
    <row r="412" spans="52:105" x14ac:dyDescent="0.25">
      <c r="AZ412" s="470" t="s">
        <v>6172</v>
      </c>
      <c r="BB412" s="25">
        <f ca="1">BJ408</f>
        <v>0</v>
      </c>
      <c r="BC412" s="426" t="s">
        <v>6097</v>
      </c>
      <c r="BH412" s="472"/>
      <c r="BI412" s="871" t="s">
        <v>7571</v>
      </c>
      <c r="BJ412" s="525">
        <f ca="1">LARGE(CA387:CB387,1)</f>
        <v>0</v>
      </c>
      <c r="DA412" s="470" t="s">
        <v>6172</v>
      </c>
    </row>
    <row r="413" spans="52:105" x14ac:dyDescent="0.25">
      <c r="AZ413" s="470" t="s">
        <v>6172</v>
      </c>
      <c r="BB413" s="25">
        <f ca="1">BJ415</f>
        <v>0</v>
      </c>
      <c r="BC413" s="426" t="s">
        <v>6091</v>
      </c>
      <c r="BH413" s="472"/>
      <c r="BI413" s="871" t="s">
        <v>7572</v>
      </c>
      <c r="BJ413" s="525">
        <f ca="1">LARGE(BJ411:BJ412,1)</f>
        <v>0</v>
      </c>
      <c r="DA413" s="470" t="s">
        <v>6172</v>
      </c>
    </row>
    <row r="414" spans="52:105" x14ac:dyDescent="0.25">
      <c r="AZ414" s="470" t="s">
        <v>6172</v>
      </c>
      <c r="BB414" s="25">
        <f ca="1">BJ436</f>
        <v>0</v>
      </c>
      <c r="BC414" s="426" t="s">
        <v>7907</v>
      </c>
      <c r="BH414" s="472"/>
      <c r="BI414" s="871" t="s">
        <v>7576</v>
      </c>
      <c r="BJ414" s="525">
        <f ca="1">IF(AND(BT371=BL408,BJ413&gt;=BM408),1,0)</f>
        <v>0</v>
      </c>
      <c r="BK414" s="20" t="s">
        <v>7578</v>
      </c>
    </row>
    <row r="415" spans="52:105" x14ac:dyDescent="0.25">
      <c r="AZ415" s="470" t="s">
        <v>6172</v>
      </c>
      <c r="BB415" s="22">
        <f ca="1">BJ431</f>
        <v>0</v>
      </c>
      <c r="BC415" s="426" t="s">
        <v>7908</v>
      </c>
      <c r="BH415" s="472"/>
      <c r="BI415" s="871" t="s">
        <v>7577</v>
      </c>
      <c r="BJ415" s="525">
        <f ca="1">IF(AND(BT371=BL409,BJ413&gt;=BM409),1,0)</f>
        <v>0</v>
      </c>
      <c r="BK415" s="20" t="s">
        <v>7580</v>
      </c>
    </row>
    <row r="416" spans="52:105" x14ac:dyDescent="0.25">
      <c r="AZ416" s="470" t="s">
        <v>6172</v>
      </c>
      <c r="BB416" s="22">
        <f ca="1">BJ440</f>
        <v>0</v>
      </c>
      <c r="BC416" s="426" t="s">
        <v>6092</v>
      </c>
      <c r="BH416" s="469"/>
      <c r="BI416" s="872" t="s">
        <v>7573</v>
      </c>
      <c r="BJ416" s="767">
        <f ca="1">LARGE(BJ414:BJ415,1)</f>
        <v>0</v>
      </c>
      <c r="BK416" s="20" t="s">
        <v>7579</v>
      </c>
    </row>
    <row r="417" spans="52:63" x14ac:dyDescent="0.25">
      <c r="AZ417" s="470" t="s">
        <v>6172</v>
      </c>
      <c r="BB417" s="22">
        <f ca="1">BJ438</f>
        <v>0</v>
      </c>
      <c r="BC417" s="426" t="s">
        <v>6093</v>
      </c>
      <c r="BH417" s="469"/>
      <c r="BI417" s="872" t="s">
        <v>7905</v>
      </c>
      <c r="BJ417" s="796" t="str">
        <f ca="1">IF(BJ414=1,"O estudo provocou a taxa de sensibilização de "&amp;BJ413*100&amp;"%","")</f>
        <v/>
      </c>
    </row>
    <row r="418" spans="52:63" x14ac:dyDescent="0.25">
      <c r="AZ418" s="470" t="s">
        <v>6172</v>
      </c>
      <c r="BB418" s="22">
        <f ca="1">BJ400</f>
        <v>0</v>
      </c>
      <c r="BC418" s="426" t="s">
        <v>6067</v>
      </c>
      <c r="BH418" s="469"/>
      <c r="BI418" s="872" t="s">
        <v>7906</v>
      </c>
      <c r="BJ418" s="796" t="str">
        <f ca="1">IF(BJ415=1,"O estudo provocou a taxa de sensibilização de "&amp;BJ413*100&amp;"%","")</f>
        <v/>
      </c>
    </row>
    <row r="419" spans="52:63" x14ac:dyDescent="0.25">
      <c r="AZ419" s="470" t="s">
        <v>6172</v>
      </c>
      <c r="BB419" s="22">
        <f ca="1">BJ401</f>
        <v>0</v>
      </c>
      <c r="BC419" s="426" t="s">
        <v>6210</v>
      </c>
      <c r="BH419" s="469"/>
      <c r="BI419" s="872" t="s">
        <v>7581</v>
      </c>
      <c r="BJ419" s="767">
        <f>IF(BY371=1,0,1)</f>
        <v>1</v>
      </c>
      <c r="BK419" s="20" t="s">
        <v>7582</v>
      </c>
    </row>
    <row r="420" spans="52:63" x14ac:dyDescent="0.25">
      <c r="AZ420" s="470" t="s">
        <v>6172</v>
      </c>
      <c r="BB420" s="22">
        <f ca="1">BJ403</f>
        <v>0</v>
      </c>
      <c r="BC420" s="426" t="s">
        <v>6070</v>
      </c>
      <c r="BH420" s="469"/>
      <c r="BI420" s="872" t="s">
        <v>7583</v>
      </c>
      <c r="BJ420" s="767">
        <f ca="1">IF(AND(BU371="Sim",BT371&lt;&gt;BW371),1,0)</f>
        <v>0</v>
      </c>
      <c r="BK420" s="20" t="s">
        <v>7585</v>
      </c>
    </row>
    <row r="421" spans="52:63" x14ac:dyDescent="0.25">
      <c r="AZ421" s="470" t="s">
        <v>6172</v>
      </c>
      <c r="BB421" s="22">
        <f ca="1">BJ394</f>
        <v>0</v>
      </c>
      <c r="BC421" s="426" t="s">
        <v>6243</v>
      </c>
      <c r="BH421" s="472"/>
      <c r="BI421" s="871" t="s">
        <v>7584</v>
      </c>
      <c r="BJ421" s="525">
        <f ca="1">IF(BU371="sim",BP371-BV371,0)</f>
        <v>0</v>
      </c>
      <c r="BK421" s="20" t="s">
        <v>7586</v>
      </c>
    </row>
    <row r="422" spans="52:63" x14ac:dyDescent="0.25">
      <c r="AZ422" s="470" t="s">
        <v>6172</v>
      </c>
      <c r="BB422" s="22">
        <f ca="1">BJ397</f>
        <v>0</v>
      </c>
      <c r="BC422" s="426" t="s">
        <v>6068</v>
      </c>
      <c r="BH422" s="472"/>
      <c r="BI422" s="871" t="s">
        <v>7589</v>
      </c>
      <c r="BJ422" s="525">
        <f ca="1">BJ421/30</f>
        <v>0</v>
      </c>
      <c r="BK422" s="20" t="s">
        <v>7592</v>
      </c>
    </row>
    <row r="423" spans="52:63" x14ac:dyDescent="0.25">
      <c r="AZ423" s="470" t="s">
        <v>6172</v>
      </c>
      <c r="BB423" s="22">
        <f ca="1">BJ398</f>
        <v>0</v>
      </c>
      <c r="BC423" s="426" t="s">
        <v>6069</v>
      </c>
      <c r="BH423" s="472"/>
      <c r="BI423" s="871" t="s">
        <v>7587</v>
      </c>
      <c r="BJ423" s="525">
        <f ca="1">INT(BJ422)</f>
        <v>0</v>
      </c>
      <c r="BK423" s="20" t="s">
        <v>7593</v>
      </c>
    </row>
    <row r="424" spans="52:63" x14ac:dyDescent="0.25">
      <c r="AZ424" s="470" t="s">
        <v>6172</v>
      </c>
      <c r="BB424" s="22"/>
      <c r="BC424" s="426"/>
      <c r="BH424" s="472"/>
      <c r="BI424" s="871" t="s">
        <v>7588</v>
      </c>
      <c r="BJ424" s="525">
        <f ca="1">ROUNDUP(((TRUNC(BJ422,4)-BJ423)*30),2)</f>
        <v>0</v>
      </c>
      <c r="BK424" s="20" t="s">
        <v>7594</v>
      </c>
    </row>
    <row r="425" spans="52:63" x14ac:dyDescent="0.25">
      <c r="AZ425" s="470" t="s">
        <v>6172</v>
      </c>
      <c r="BB425" s="22"/>
      <c r="BC425" s="426"/>
      <c r="BH425" s="469"/>
      <c r="BI425" s="872" t="s">
        <v>7590</v>
      </c>
      <c r="BJ425" s="767">
        <f ca="1">IF(BJ422&gt;6,1,0)</f>
        <v>0</v>
      </c>
      <c r="BK425" s="20" t="s">
        <v>7595</v>
      </c>
    </row>
    <row r="426" spans="52:63" x14ac:dyDescent="0.25">
      <c r="AZ426" s="470" t="s">
        <v>6172</v>
      </c>
      <c r="BB426" s="22"/>
      <c r="BC426" s="426"/>
      <c r="BH426" s="469"/>
      <c r="BI426" s="872" t="s">
        <v>7590</v>
      </c>
      <c r="BJ426" s="796" t="str">
        <f ca="1">IF(BJ425=1,"A diferença é de "&amp;BJ423&amp;" mês(es) e "&amp;BJ424&amp;" dia(s)","")</f>
        <v/>
      </c>
    </row>
    <row r="427" spans="52:63" x14ac:dyDescent="0.25">
      <c r="AZ427" s="470" t="s">
        <v>6172</v>
      </c>
      <c r="BB427" s="22"/>
      <c r="BC427" s="426"/>
      <c r="BH427" s="469"/>
      <c r="BI427" s="872" t="s">
        <v>7591</v>
      </c>
      <c r="BJ427" s="767">
        <f ca="1">IF(BJ422&lt;0,1,0)</f>
        <v>0</v>
      </c>
      <c r="BK427" s="20" t="s">
        <v>7596</v>
      </c>
    </row>
    <row r="428" spans="52:63" x14ac:dyDescent="0.25">
      <c r="AZ428" s="470" t="s">
        <v>6172</v>
      </c>
      <c r="BB428" s="22"/>
      <c r="BC428" s="426"/>
      <c r="BH428" s="469"/>
      <c r="BI428" s="872" t="s">
        <v>7903</v>
      </c>
      <c r="BJ428" s="796" t="str">
        <f ca="1">IF(BJ427=1,"O estudo é de "&amp;TEXT(BP371,"dd/mm/aa")&amp;" e o teste de confiabilidade é de "&amp;TEXT(BV371,"dd/mm/aa"),"")</f>
        <v/>
      </c>
    </row>
    <row r="429" spans="52:63" x14ac:dyDescent="0.25">
      <c r="AZ429" s="470" t="s">
        <v>6172</v>
      </c>
      <c r="BB429" s="22"/>
      <c r="BC429" s="426"/>
      <c r="BH429" s="472"/>
      <c r="BI429" s="871" t="s">
        <v>7597</v>
      </c>
      <c r="BJ429" s="525">
        <f ca="1">BU379</f>
        <v>0</v>
      </c>
    </row>
    <row r="430" spans="52:63" x14ac:dyDescent="0.25">
      <c r="AZ430" s="470" t="s">
        <v>6172</v>
      </c>
      <c r="BB430" s="22"/>
      <c r="BC430" s="426"/>
      <c r="BH430" s="472"/>
      <c r="BI430" s="871" t="s">
        <v>7598</v>
      </c>
      <c r="BJ430" s="525">
        <f ca="1">BQ387</f>
        <v>0</v>
      </c>
    </row>
    <row r="431" spans="52:63" x14ac:dyDescent="0.25">
      <c r="AZ431" s="470" t="s">
        <v>6172</v>
      </c>
      <c r="BB431" s="22"/>
      <c r="BC431" s="426"/>
      <c r="BH431" s="469"/>
      <c r="BI431" s="872" t="s">
        <v>7610</v>
      </c>
      <c r="BJ431" s="767">
        <f ca="1">IF(BJ430&lt;&gt;BJ429,1,0)</f>
        <v>0</v>
      </c>
      <c r="BK431" s="20" t="s">
        <v>7599</v>
      </c>
    </row>
    <row r="432" spans="52:63" x14ac:dyDescent="0.25">
      <c r="AZ432" s="470" t="s">
        <v>6172</v>
      </c>
      <c r="BB432" s="22"/>
      <c r="BC432" s="426"/>
      <c r="BH432" s="472"/>
      <c r="BI432" s="871" t="s">
        <v>7600</v>
      </c>
      <c r="BJ432" s="525">
        <f ca="1">BS379</f>
        <v>0</v>
      </c>
    </row>
    <row r="433" spans="52:66" x14ac:dyDescent="0.25">
      <c r="AZ433" s="470" t="s">
        <v>6172</v>
      </c>
      <c r="BB433" s="22"/>
      <c r="BC433" s="426"/>
      <c r="BH433" s="472"/>
      <c r="BI433" s="871" t="s">
        <v>7597</v>
      </c>
      <c r="BJ433" s="525">
        <f ca="1">BT379</f>
        <v>0</v>
      </c>
    </row>
    <row r="434" spans="52:66" x14ac:dyDescent="0.25">
      <c r="AZ434" s="470" t="s">
        <v>6172</v>
      </c>
      <c r="BB434" s="22"/>
      <c r="BC434" s="426"/>
      <c r="BH434" s="472"/>
      <c r="BI434" s="871" t="s">
        <v>7601</v>
      </c>
      <c r="BJ434" s="525">
        <f ca="1">BK387</f>
        <v>0</v>
      </c>
    </row>
    <row r="435" spans="52:66" x14ac:dyDescent="0.25">
      <c r="AZ435" s="470" t="s">
        <v>6172</v>
      </c>
      <c r="BB435" s="22"/>
      <c r="BC435" s="426"/>
      <c r="BH435" s="472"/>
      <c r="BI435" s="871" t="s">
        <v>7602</v>
      </c>
      <c r="BJ435" s="525">
        <f ca="1">BM387</f>
        <v>0</v>
      </c>
    </row>
    <row r="436" spans="52:66" x14ac:dyDescent="0.25">
      <c r="AZ436" s="470" t="s">
        <v>6172</v>
      </c>
      <c r="BB436" s="22"/>
      <c r="BC436" s="426"/>
      <c r="BH436" s="469"/>
      <c r="BI436" s="872" t="s">
        <v>7901</v>
      </c>
      <c r="BJ436" s="767">
        <f ca="1">IF(BJ391=1,IF(AND(BJ432=BJ434,BJ433=BJ435),0,1),IF(BJ433=BJ435,0,1))</f>
        <v>0</v>
      </c>
      <c r="BK436" s="20" t="s">
        <v>7902</v>
      </c>
    </row>
    <row r="437" spans="52:66" x14ac:dyDescent="0.25">
      <c r="AZ437" s="470" t="s">
        <v>6172</v>
      </c>
      <c r="BB437" s="22"/>
      <c r="BC437" s="426"/>
      <c r="BH437" s="472"/>
      <c r="BI437" s="871" t="s">
        <v>7604</v>
      </c>
      <c r="BJ437" s="525">
        <f ca="1">BX387</f>
        <v>0</v>
      </c>
      <c r="BM437" s="951" t="s">
        <v>7606</v>
      </c>
      <c r="BN437" s="951" t="s">
        <v>7605</v>
      </c>
    </row>
    <row r="438" spans="52:66" x14ac:dyDescent="0.25">
      <c r="AZ438" s="470" t="s">
        <v>6172</v>
      </c>
      <c r="BB438" s="22"/>
      <c r="BC438" s="426"/>
      <c r="BH438" s="469"/>
      <c r="BI438" s="872" t="s">
        <v>7909</v>
      </c>
      <c r="BJ438" s="767">
        <f ca="1">IF(AND(BW387="sim",BJ437&gt;BN438),1,0)</f>
        <v>0</v>
      </c>
      <c r="BK438" s="20" t="s">
        <v>7611</v>
      </c>
      <c r="BL438" s="506" t="s">
        <v>7607</v>
      </c>
      <c r="BM438" s="525">
        <v>10</v>
      </c>
      <c r="BN438" s="525">
        <v>7</v>
      </c>
    </row>
    <row r="439" spans="52:66" x14ac:dyDescent="0.25">
      <c r="AZ439" s="470" t="s">
        <v>6172</v>
      </c>
      <c r="BH439" s="472"/>
      <c r="BI439" s="871" t="s">
        <v>7609</v>
      </c>
      <c r="BJ439" s="525">
        <f ca="1">BS387</f>
        <v>0</v>
      </c>
      <c r="BL439" s="506" t="s">
        <v>7608</v>
      </c>
      <c r="BM439" s="525">
        <v>14</v>
      </c>
      <c r="BN439" s="525">
        <v>7</v>
      </c>
    </row>
    <row r="440" spans="52:66" x14ac:dyDescent="0.25">
      <c r="AZ440" s="470" t="s">
        <v>6172</v>
      </c>
      <c r="BH440" s="469"/>
      <c r="BI440" s="872" t="s">
        <v>7910</v>
      </c>
      <c r="BJ440" s="767">
        <f ca="1">IF(AND(BJ439&lt;BM438,BJ439&gt;BM439),1,0)</f>
        <v>0</v>
      </c>
      <c r="BK440" s="20" t="s">
        <v>7612</v>
      </c>
    </row>
    <row r="441" spans="52:66" x14ac:dyDescent="0.25">
      <c r="AZ441" s="470" t="s">
        <v>6172</v>
      </c>
      <c r="BH441" s="472"/>
    </row>
    <row r="442" spans="52:66" x14ac:dyDescent="0.25">
      <c r="AZ442" s="470" t="s">
        <v>6172</v>
      </c>
      <c r="BH442" s="469"/>
    </row>
    <row r="443" spans="52:66" x14ac:dyDescent="0.25">
      <c r="AZ443" s="470" t="s">
        <v>6172</v>
      </c>
    </row>
    <row r="444" spans="52:66" x14ac:dyDescent="0.25">
      <c r="AZ444" s="470" t="s">
        <v>6172</v>
      </c>
    </row>
    <row r="445" spans="52:66" x14ac:dyDescent="0.25">
      <c r="AZ445" s="470" t="s">
        <v>6172</v>
      </c>
    </row>
    <row r="446" spans="52:66" x14ac:dyDescent="0.25">
      <c r="AZ446" s="470" t="s">
        <v>6172</v>
      </c>
    </row>
    <row r="447" spans="52:66" x14ac:dyDescent="0.25">
      <c r="AZ447" s="470" t="s">
        <v>6172</v>
      </c>
    </row>
    <row r="448" spans="52:66" x14ac:dyDescent="0.25">
      <c r="AZ448" s="470" t="s">
        <v>6172</v>
      </c>
    </row>
    <row r="449" spans="52:52" x14ac:dyDescent="0.25">
      <c r="AZ449" s="470" t="s">
        <v>6172</v>
      </c>
    </row>
    <row r="450" spans="52:52" x14ac:dyDescent="0.25">
      <c r="AZ450" s="470" t="s">
        <v>6172</v>
      </c>
    </row>
    <row r="451" spans="52:52" x14ac:dyDescent="0.25">
      <c r="AZ451" s="470" t="s">
        <v>6172</v>
      </c>
    </row>
    <row r="452" spans="52:52" x14ac:dyDescent="0.25">
      <c r="AZ452" s="470" t="s">
        <v>6172</v>
      </c>
    </row>
    <row r="453" spans="52:52" x14ac:dyDescent="0.25">
      <c r="AZ453" s="470" t="s">
        <v>6172</v>
      </c>
    </row>
    <row r="454" spans="52:52" x14ac:dyDescent="0.25">
      <c r="AZ454" s="470" t="s">
        <v>6172</v>
      </c>
    </row>
    <row r="455" spans="52:52" x14ac:dyDescent="0.25">
      <c r="AZ455" s="470" t="s">
        <v>6172</v>
      </c>
    </row>
  </sheetData>
  <sheetProtection algorithmName="SHA-512" hashValue="GkTW3Fk0kFKkCumAmjrBblhwx354mYGeIYscf0JYIazfCRqz7rHayWu5wuIWCOzohp6wMpxQr459VR9t2/xqLg==" saltValue="HiRDN3NLDxZ5fDptNUFLQw==" spinCount="100000" sheet="1" objects="1" scenarios="1" formatColumns="0" formatRows="0"/>
  <phoneticPr fontId="23" type="noConversion"/>
  <conditionalFormatting sqref="BC40:CI40">
    <cfRule type="expression" dxfId="1" priority="1">
      <formula>COUNTIF($S$93,"*vencida*")&gt;0</formula>
    </cfRule>
  </conditionalFormatting>
  <dataValidations disablePrompts="1" count="8">
    <dataValidation allowBlank="1" showInputMessage="1" showErrorMessage="1" promptTitle="Ajuda" prompt="Comece sempre pelo Nº CAS, seguindo a ordem: Ingrediente ativo e depois componentes_x000a__x000a_Caso o nome não apareça de forma autormática, ele deve ser informado manualmente. " sqref="F43" xr:uid="{40A3F197-5AA6-4683-9EF4-34A2E85745C6}"/>
    <dataValidation allowBlank="1" showInputMessage="1" showErrorMessage="1" promptTitle="Ajuda" prompt="Informar a concentração de ingrediente ativo em g/L ou em g/Kg. _x000a__x000a_Não utilizar %, ppm ou qualquer outra unidade de medida divergente da DCQQ._x000a__x000a_No caso de sal: considerar o IA que foi informado apenas como &quot;Ingrediente ativo&quot; na composição" sqref="F73" xr:uid="{92CB5862-70A5-4606-9196-4B584DE01FEB}"/>
    <dataValidation allowBlank="1" showInputMessage="1" showErrorMessage="1" promptTitle="Ajuda" prompt="Caso seja preenchido somente mês/ano, p.ex. 05/20, o sistema irá considerar o dia 1º do referido mês." sqref="F70:F72" xr:uid="{AA9AB62C-8A70-4BAA-9297-13E5FA1914A7}"/>
    <dataValidation allowBlank="1" showInputMessage="1" showErrorMessage="1" promptTitle="Ajuda" prompt="Esse código será utilizado para identificar os certificados apresentados nos estudos físico-químicos e toxicológicos." sqref="F68" xr:uid="{4447EC54-BCFE-47EB-BA8F-1CD177D138AD}"/>
    <dataValidation allowBlank="1" showInputMessage="1" showErrorMessage="1" promptTitle="Ajuda" prompt="Caso o teste não tenha sido conduzido, é necessário informar a justificativa para a sua dispensa. " sqref="BG9 BJ12" xr:uid="{CA6B43A7-90BF-4C6E-9B70-2792820BBED3}"/>
    <dataValidation allowBlank="1" showInputMessage="1" showErrorMessage="1" promptTitle="Ajuda" prompt="Inserir a conclusão como está no relatório do estudo._x000a_É opcional resumir o texto da conclusão._x000a__x000a_Quando o relatório apresentar os resultados em tabela, estes devem ser descritos como texto separados por ponto e vírgula." sqref="BG8 BI12" xr:uid="{70AB669C-4791-4202-B1BC-8F6315437B18}"/>
    <dataValidation allowBlank="1" showInputMessage="1" showErrorMessage="1" promptTitle="Ajuda" prompt="Código gerado pelo laboratório executor" sqref="BG7 BH12" xr:uid="{EB09EE0B-2759-4CB6-B9B1-130868DEC757}"/>
    <dataValidation allowBlank="1" showInputMessage="1" showErrorMessage="1" promptTitle="Ajuda" prompt="Estudos listados no Anexo IV da RDC n. 294/19._x000a__x000a_Caso deseje incluir algum estudo que não conste na lista abaixo basta incluí-lo nas linhas onde está escrito &quot;informar novo estudo&quot;" sqref="BG6 BG12" xr:uid="{4DEA4F46-006E-4DB7-ADB5-87628123E824}"/>
  </dataValidations>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62563-AAEA-48E8-B310-3E14911381CA}">
  <sheetPr codeName="Planilha44"/>
  <dimension ref="AZ1:EQ455"/>
  <sheetViews>
    <sheetView showGridLines="0" topLeftCell="AU393" zoomScaleNormal="100" workbookViewId="0">
      <selection activeCell="D1" sqref="D1"/>
    </sheetView>
  </sheetViews>
  <sheetFormatPr defaultRowHeight="15" x14ac:dyDescent="0.25"/>
  <cols>
    <col min="1" max="1" width="9.140625" style="20"/>
    <col min="2" max="2" width="23.140625" style="20" customWidth="1"/>
    <col min="3" max="3" width="38.7109375" style="20" bestFit="1" customWidth="1"/>
    <col min="4" max="4" width="31" style="20" customWidth="1"/>
    <col min="5" max="5" width="40.28515625" style="20" bestFit="1" customWidth="1"/>
    <col min="6" max="6" width="22.5703125" style="20" bestFit="1" customWidth="1"/>
    <col min="7" max="7" width="22.140625" style="20" bestFit="1" customWidth="1"/>
    <col min="8" max="8" width="21" style="20" bestFit="1" customWidth="1"/>
    <col min="9" max="17" width="20.7109375" style="20" customWidth="1"/>
    <col min="18" max="18" width="34" style="20" customWidth="1"/>
    <col min="19" max="19" width="25.5703125" style="20" customWidth="1"/>
    <col min="20" max="20" width="21.85546875" style="20" bestFit="1" customWidth="1"/>
    <col min="21" max="21" width="19.7109375" style="20" customWidth="1"/>
    <col min="22" max="22" width="13.5703125" style="20" bestFit="1" customWidth="1"/>
    <col min="23" max="23" width="13.85546875" style="20" bestFit="1" customWidth="1"/>
    <col min="24" max="24" width="13.5703125" style="20" bestFit="1" customWidth="1"/>
    <col min="25" max="25" width="13.85546875" style="20" bestFit="1" customWidth="1"/>
    <col min="26" max="26" width="13.5703125" style="20" bestFit="1" customWidth="1"/>
    <col min="27" max="27" width="13.85546875" style="20" bestFit="1" customWidth="1"/>
    <col min="28" max="28" width="13.5703125" style="20" bestFit="1" customWidth="1"/>
    <col min="29" max="29" width="13.85546875" style="20" bestFit="1" customWidth="1"/>
    <col min="30" max="31" width="9.140625" style="20"/>
    <col min="32" max="32" width="14.5703125" style="20" customWidth="1"/>
    <col min="33" max="33" width="12.42578125" style="20" bestFit="1" customWidth="1"/>
    <col min="34" max="36" width="9.140625" style="20"/>
    <col min="37" max="37" width="12.42578125" style="20" bestFit="1" customWidth="1"/>
    <col min="38" max="41" width="9.140625" style="20"/>
    <col min="42" max="43" width="17.5703125" style="20" customWidth="1"/>
    <col min="44" max="52" width="9.140625" style="20"/>
    <col min="53" max="53" width="14.5703125" style="20" customWidth="1"/>
    <col min="54" max="87" width="15.7109375" style="20" customWidth="1"/>
    <col min="88" max="92" width="9.140625" style="20"/>
    <col min="93" max="93" width="16.5703125" style="20" customWidth="1"/>
    <col min="94" max="94" width="17.85546875" style="20" customWidth="1"/>
    <col min="95" max="103" width="9.140625" style="20"/>
    <col min="104" max="104" width="12.42578125" style="20" bestFit="1" customWidth="1"/>
    <col min="105" max="105" width="9.140625" style="20"/>
    <col min="106" max="111" width="15.7109375" style="20" customWidth="1"/>
    <col min="112" max="113" width="22.28515625" style="20" customWidth="1"/>
    <col min="114" max="130" width="15.7109375" style="20" customWidth="1"/>
    <col min="131" max="134" width="25.7109375" style="20" customWidth="1"/>
    <col min="135" max="136" width="15.7109375" style="20" customWidth="1"/>
    <col min="137" max="137" width="24.5703125" style="20" customWidth="1"/>
    <col min="138" max="138" width="26.28515625" style="20" customWidth="1"/>
    <col min="139" max="139" width="15.7109375" style="20" customWidth="1"/>
    <col min="140" max="140" width="15" style="20" customWidth="1"/>
    <col min="141" max="142" width="17.7109375" style="20" customWidth="1"/>
    <col min="143" max="16384" width="9.140625" style="20"/>
  </cols>
  <sheetData>
    <row r="1" spans="52:144" ht="15.75" thickBot="1" x14ac:dyDescent="0.3">
      <c r="AZ1" s="470" t="s">
        <v>6172</v>
      </c>
      <c r="DA1" s="470" t="s">
        <v>6172</v>
      </c>
      <c r="DB1" s="730" t="s">
        <v>29</v>
      </c>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J1" s="20" t="s">
        <v>6172</v>
      </c>
    </row>
    <row r="2" spans="52:144" x14ac:dyDescent="0.25">
      <c r="AZ2" s="470" t="s">
        <v>6172</v>
      </c>
      <c r="DA2" s="470" t="s">
        <v>6172</v>
      </c>
      <c r="EL2" s="20" t="s">
        <v>6172</v>
      </c>
    </row>
    <row r="3" spans="52:144" x14ac:dyDescent="0.25">
      <c r="AZ3" s="470" t="s">
        <v>6172</v>
      </c>
      <c r="DA3" s="470" t="s">
        <v>6172</v>
      </c>
      <c r="DB3" s="477" t="s">
        <v>8104</v>
      </c>
      <c r="DC3" s="477" t="s">
        <v>8294</v>
      </c>
      <c r="DG3" s="477" t="s">
        <v>8288</v>
      </c>
      <c r="DH3" s="732" t="s">
        <v>5583</v>
      </c>
      <c r="DN3" s="733" t="s">
        <v>7321</v>
      </c>
      <c r="DP3" s="528" t="s">
        <v>7660</v>
      </c>
      <c r="DQ3" s="734" t="s">
        <v>5745</v>
      </c>
      <c r="EL3" s="20" t="s">
        <v>6172</v>
      </c>
    </row>
    <row r="4" spans="52:144" x14ac:dyDescent="0.25">
      <c r="AZ4" s="470" t="s">
        <v>6172</v>
      </c>
      <c r="DA4" s="470" t="s">
        <v>6172</v>
      </c>
      <c r="DB4" s="22">
        <f t="shared" ref="DB4:DB10" ca="1" si="0">DW48</f>
        <v>0</v>
      </c>
      <c r="DC4" s="426" t="s">
        <v>6197</v>
      </c>
      <c r="DG4" s="477" t="s">
        <v>8363</v>
      </c>
      <c r="DH4" s="736" t="s">
        <v>5745</v>
      </c>
      <c r="DI4" s="509" t="s">
        <v>6222</v>
      </c>
      <c r="DJ4" s="509" t="s">
        <v>6133</v>
      </c>
      <c r="DO4" s="737" t="s">
        <v>30</v>
      </c>
      <c r="DP4" s="737" t="s">
        <v>6174</v>
      </c>
      <c r="DQ4" s="737" t="s">
        <v>6173</v>
      </c>
      <c r="DR4" s="737" t="s">
        <v>6029</v>
      </c>
      <c r="DS4" s="737" t="s">
        <v>218</v>
      </c>
      <c r="DT4" s="737" t="s">
        <v>6183</v>
      </c>
      <c r="DU4" s="737" t="s">
        <v>6184</v>
      </c>
      <c r="DV4" s="737" t="s">
        <v>31</v>
      </c>
      <c r="DW4" s="737" t="s">
        <v>5720</v>
      </c>
      <c r="DX4" s="737" t="s">
        <v>147</v>
      </c>
      <c r="DY4" s="737" t="s">
        <v>124</v>
      </c>
      <c r="DZ4" s="737" t="s">
        <v>86</v>
      </c>
      <c r="EA4" s="737" t="s">
        <v>192</v>
      </c>
      <c r="EB4" s="737" t="s">
        <v>87</v>
      </c>
      <c r="EC4" s="737" t="s">
        <v>148</v>
      </c>
      <c r="ED4" s="737" t="s">
        <v>349</v>
      </c>
      <c r="EE4" s="737" t="s">
        <v>351</v>
      </c>
      <c r="EF4" s="738" t="s">
        <v>293</v>
      </c>
      <c r="EG4" s="738" t="s">
        <v>301</v>
      </c>
      <c r="EH4" s="738" t="s">
        <v>302</v>
      </c>
      <c r="EI4" s="737" t="s">
        <v>6242</v>
      </c>
      <c r="EJ4" s="737" t="s">
        <v>143</v>
      </c>
      <c r="EK4" s="737" t="s">
        <v>6189</v>
      </c>
      <c r="EL4" s="738" t="s">
        <v>6187</v>
      </c>
    </row>
    <row r="5" spans="52:144" x14ac:dyDescent="0.25">
      <c r="AZ5" s="470" t="s">
        <v>6172</v>
      </c>
      <c r="DA5" s="470" t="s">
        <v>6172</v>
      </c>
      <c r="DB5" s="22">
        <f t="shared" ca="1" si="0"/>
        <v>0</v>
      </c>
      <c r="DC5" s="426" t="s">
        <v>6198</v>
      </c>
      <c r="DG5" s="739" t="s">
        <v>30</v>
      </c>
      <c r="DH5" s="740" t="s">
        <v>5798</v>
      </c>
      <c r="DI5" s="741">
        <f t="shared" ref="DI5:DI27" ca="1" si="1">COUNTA(INDIRECT($DH$3&amp;DH5,1))</f>
        <v>0</v>
      </c>
      <c r="DJ5" s="742" cm="1">
        <f t="array" aca="1" ref="DJ5" ca="1">INDIRECT($DH$3&amp;DH5,1)</f>
        <v>0</v>
      </c>
      <c r="DN5" s="597" t="s">
        <v>5778</v>
      </c>
      <c r="DO5" s="743" t="s">
        <v>5798</v>
      </c>
      <c r="DP5" s="743" t="s">
        <v>7661</v>
      </c>
      <c r="DQ5" s="744" t="s">
        <v>7335</v>
      </c>
      <c r="DR5" s="744" t="s">
        <v>7336</v>
      </c>
      <c r="DS5" s="744" t="s">
        <v>7662</v>
      </c>
      <c r="DT5" s="744" t="s">
        <v>5796</v>
      </c>
      <c r="DU5" s="745" t="s">
        <v>7663</v>
      </c>
      <c r="DV5" s="745" t="s">
        <v>7664</v>
      </c>
      <c r="DW5" s="744" t="s">
        <v>5797</v>
      </c>
      <c r="DX5" s="744" t="s">
        <v>7385</v>
      </c>
      <c r="DY5" s="744" t="s">
        <v>7406</v>
      </c>
      <c r="DZ5" s="744" t="s">
        <v>7389</v>
      </c>
      <c r="EA5" s="744" t="s">
        <v>7409</v>
      </c>
      <c r="EB5" s="744" t="s">
        <v>7410</v>
      </c>
      <c r="EC5" s="744" t="s">
        <v>7412</v>
      </c>
      <c r="ED5" s="744" t="s">
        <v>7665</v>
      </c>
      <c r="EE5" s="743" t="s">
        <v>7666</v>
      </c>
      <c r="EF5" s="746" t="s">
        <v>7613</v>
      </c>
      <c r="EG5" s="746" t="s">
        <v>7614</v>
      </c>
      <c r="EH5" s="746" t="s">
        <v>7615</v>
      </c>
      <c r="EI5" s="743" t="s">
        <v>5729</v>
      </c>
      <c r="EJ5" s="743" t="s">
        <v>7667</v>
      </c>
      <c r="EK5" s="743" t="s">
        <v>7668</v>
      </c>
      <c r="EL5" s="747" t="s">
        <v>8540</v>
      </c>
    </row>
    <row r="6" spans="52:144" x14ac:dyDescent="0.25">
      <c r="AZ6" s="470" t="s">
        <v>6172</v>
      </c>
      <c r="DA6" s="470" t="s">
        <v>6172</v>
      </c>
      <c r="DB6" s="22">
        <f t="shared" ca="1" si="0"/>
        <v>0</v>
      </c>
      <c r="DC6" s="426" t="s">
        <v>6199</v>
      </c>
      <c r="DG6" s="739" t="s">
        <v>6174</v>
      </c>
      <c r="DH6" s="740" t="s">
        <v>7661</v>
      </c>
      <c r="DI6" s="741">
        <f t="shared" ca="1" si="1"/>
        <v>0</v>
      </c>
      <c r="DJ6" s="742" cm="1">
        <f t="array" aca="1" ref="DJ6" ca="1">INDIRECT($DH$3&amp;DH6,1)</f>
        <v>0</v>
      </c>
      <c r="DN6" s="597" t="s">
        <v>6222</v>
      </c>
      <c r="DO6" s="744">
        <f t="shared" ref="DO6:EK6" ca="1" si="2">COUNTA(INDIRECT($DH$3&amp;DO5,1))</f>
        <v>0</v>
      </c>
      <c r="DP6" s="744">
        <f t="shared" ca="1" si="2"/>
        <v>0</v>
      </c>
      <c r="DQ6" s="744">
        <f t="shared" ca="1" si="2"/>
        <v>0</v>
      </c>
      <c r="DR6" s="744">
        <f t="shared" ca="1" si="2"/>
        <v>0</v>
      </c>
      <c r="DS6" s="744">
        <f t="shared" ca="1" si="2"/>
        <v>1</v>
      </c>
      <c r="DT6" s="744">
        <f t="shared" ca="1" si="2"/>
        <v>0</v>
      </c>
      <c r="DU6" s="744">
        <f t="shared" ca="1" si="2"/>
        <v>0</v>
      </c>
      <c r="DV6" s="744">
        <f t="shared" ca="1" si="2"/>
        <v>0</v>
      </c>
      <c r="DW6" s="744">
        <f t="shared" ca="1" si="2"/>
        <v>0</v>
      </c>
      <c r="DX6" s="744">
        <f t="shared" ca="1" si="2"/>
        <v>0</v>
      </c>
      <c r="DY6" s="744">
        <f t="shared" ca="1" si="2"/>
        <v>0</v>
      </c>
      <c r="DZ6" s="744">
        <f t="shared" ca="1" si="2"/>
        <v>0</v>
      </c>
      <c r="EA6" s="744">
        <f t="shared" ca="1" si="2"/>
        <v>0</v>
      </c>
      <c r="EB6" s="744">
        <f t="shared" ca="1" si="2"/>
        <v>0</v>
      </c>
      <c r="EC6" s="744">
        <f t="shared" ca="1" si="2"/>
        <v>0</v>
      </c>
      <c r="ED6" s="744">
        <f t="shared" ca="1" si="2"/>
        <v>0</v>
      </c>
      <c r="EE6" s="744">
        <f t="shared" ca="1" si="2"/>
        <v>0</v>
      </c>
      <c r="EF6" s="744">
        <f t="shared" ca="1" si="2"/>
        <v>0</v>
      </c>
      <c r="EG6" s="744">
        <f t="shared" ca="1" si="2"/>
        <v>0</v>
      </c>
      <c r="EH6" s="744">
        <f t="shared" ca="1" si="2"/>
        <v>0</v>
      </c>
      <c r="EI6" s="744">
        <f t="shared" ca="1" si="2"/>
        <v>0</v>
      </c>
      <c r="EJ6" s="744">
        <f t="shared" ca="1" si="2"/>
        <v>0</v>
      </c>
      <c r="EK6" s="744">
        <f t="shared" ca="1" si="2"/>
        <v>0</v>
      </c>
      <c r="EL6" s="747">
        <f t="shared" ref="EL6" ca="1" si="3">COUNTA(INDIRECT(EL5,1))</f>
        <v>1</v>
      </c>
    </row>
    <row r="7" spans="52:144" x14ac:dyDescent="0.25">
      <c r="AZ7" s="470" t="s">
        <v>6172</v>
      </c>
      <c r="DA7" s="470" t="s">
        <v>6172</v>
      </c>
      <c r="DB7" s="22">
        <f t="shared" ca="1" si="0"/>
        <v>0</v>
      </c>
      <c r="DC7" s="426" t="s">
        <v>6200</v>
      </c>
      <c r="DG7" s="739" t="s">
        <v>6173</v>
      </c>
      <c r="DH7" s="741" t="s">
        <v>7335</v>
      </c>
      <c r="DI7" s="741">
        <f t="shared" ca="1" si="1"/>
        <v>0</v>
      </c>
      <c r="DJ7" s="742" cm="1">
        <f t="array" aca="1" ref="DJ7" ca="1">INDIRECT($DH$3&amp;DH7,1)</f>
        <v>0</v>
      </c>
      <c r="DN7" s="597" t="s">
        <v>6133</v>
      </c>
      <c r="DO7" s="744" cm="1">
        <f t="array" aca="1" ref="DO7" ca="1">INDIRECT($DH$3&amp;DO5,1)</f>
        <v>0</v>
      </c>
      <c r="DP7" s="744" cm="1">
        <f t="array" aca="1" ref="DP7" ca="1">INDIRECT($DH$3&amp;DP5,1)</f>
        <v>0</v>
      </c>
      <c r="DQ7" s="744" cm="1">
        <f t="array" aca="1" ref="DQ7" ca="1">INDIRECT($DH$3&amp;DQ5,1)</f>
        <v>0</v>
      </c>
      <c r="DR7" s="744" cm="1">
        <f t="array" aca="1" ref="DR7" ca="1">INDIRECT($DH$3&amp;DR5,1)</f>
        <v>0</v>
      </c>
      <c r="DS7" s="744" t="str" cm="1">
        <f t="array" aca="1" ref="DS7" ca="1">INDIRECT($DH$3&amp;DS5,1)</f>
        <v>Nº 471: Bacterial Reverse Mutation Test (21/07/1997)</v>
      </c>
      <c r="DT7" s="744" cm="1">
        <f t="array" aca="1" ref="DT7" ca="1">INDIRECT($DH$3&amp;DT5,1)</f>
        <v>0</v>
      </c>
      <c r="DU7" s="744" cm="1">
        <f t="array" aca="1" ref="DU7" ca="1">INDIRECT($DH$3&amp;DU5,1)</f>
        <v>0</v>
      </c>
      <c r="DV7" s="744" cm="1">
        <f t="array" aca="1" ref="DV7" ca="1">INDIRECT($DH$3&amp;DV5,1)</f>
        <v>0</v>
      </c>
      <c r="DW7" s="744" cm="1">
        <f t="array" aca="1" ref="DW7" ca="1">INDIRECT($DH$3&amp;DW5,1)</f>
        <v>0</v>
      </c>
      <c r="DX7" s="744" cm="1">
        <f t="array" aca="1" ref="DX7" ca="1">INDIRECT($DH$3&amp;DX5,1)</f>
        <v>0</v>
      </c>
      <c r="DY7" s="744" cm="1">
        <f t="array" aca="1" ref="DY7" ca="1">INDIRECT($DH$3&amp;DY5,1)</f>
        <v>0</v>
      </c>
      <c r="DZ7" s="744" cm="1">
        <f t="array" aca="1" ref="DZ7" ca="1">INDIRECT($DH$3&amp;DZ5,1)</f>
        <v>0</v>
      </c>
      <c r="EA7" s="744" cm="1">
        <f t="array" aca="1" ref="EA7" ca="1">INDIRECT($DH$3&amp;EA5,1)</f>
        <v>0</v>
      </c>
      <c r="EB7" s="744" cm="1">
        <f t="array" aca="1" ref="EB7" ca="1">INDIRECT($DH$3&amp;EB5,1)</f>
        <v>0</v>
      </c>
      <c r="EC7" s="744" cm="1">
        <f t="array" aca="1" ref="EC7" ca="1">INDIRECT($DH$3&amp;EC5,1)</f>
        <v>0</v>
      </c>
      <c r="ED7" s="744" cm="1">
        <f t="array" aca="1" ref="ED7" ca="1">INDIRECT($DH$3&amp;ED5,1)</f>
        <v>0</v>
      </c>
      <c r="EE7" s="744" cm="1">
        <f t="array" aca="1" ref="EE7" ca="1">INDIRECT($DH$3&amp;EE5,1)</f>
        <v>0</v>
      </c>
      <c r="EF7" s="747"/>
      <c r="EG7" s="747"/>
      <c r="EH7" s="747"/>
      <c r="EI7" s="744" cm="1">
        <f t="array" aca="1" ref="EI7" ca="1">INDIRECT($DH$3&amp;EI5,1)</f>
        <v>0</v>
      </c>
      <c r="EJ7" s="744" cm="1">
        <f t="array" aca="1" ref="EJ7" ca="1">INDIRECT($DH$3&amp;EJ5,1)</f>
        <v>0</v>
      </c>
      <c r="EK7" s="744" cm="1">
        <f t="array" aca="1" ref="EK7" ca="1">INDIRECT($DH$3&amp;EK5,1)</f>
        <v>0</v>
      </c>
      <c r="EL7" s="744" cm="1">
        <f t="array" aca="1" ref="EL7" ca="1">INDIRECT(EL5,1)</f>
        <v>0</v>
      </c>
    </row>
    <row r="8" spans="52:144" x14ac:dyDescent="0.25">
      <c r="AZ8" s="470" t="s">
        <v>6172</v>
      </c>
      <c r="DA8" s="470" t="s">
        <v>6172</v>
      </c>
      <c r="DB8" s="22">
        <f t="shared" ca="1" si="0"/>
        <v>0</v>
      </c>
      <c r="DC8" s="426" t="s">
        <v>6201</v>
      </c>
      <c r="DG8" s="739" t="s">
        <v>6029</v>
      </c>
      <c r="DH8" s="741" t="s">
        <v>7336</v>
      </c>
      <c r="DI8" s="741">
        <f t="shared" ca="1" si="1"/>
        <v>0</v>
      </c>
      <c r="DJ8" s="742" cm="1">
        <f t="array" aca="1" ref="DJ8" ca="1">INDIRECT($DH$3&amp;DH8,1)</f>
        <v>0</v>
      </c>
    </row>
    <row r="9" spans="52:144" x14ac:dyDescent="0.25">
      <c r="AZ9" s="470" t="s">
        <v>6172</v>
      </c>
      <c r="DA9" s="470" t="s">
        <v>6172</v>
      </c>
      <c r="DB9" s="22">
        <f t="shared" ca="1" si="0"/>
        <v>0</v>
      </c>
      <c r="DC9" s="426" t="s">
        <v>6202</v>
      </c>
      <c r="DG9" s="739" t="s">
        <v>218</v>
      </c>
      <c r="DH9" s="741" t="s">
        <v>7662</v>
      </c>
      <c r="DI9" s="741">
        <f t="shared" ca="1" si="1"/>
        <v>1</v>
      </c>
      <c r="DJ9" s="742" t="str" cm="1">
        <f t="array" aca="1" ref="DJ9" ca="1">INDIRECT($DH$3&amp;DH9,1)</f>
        <v>Nº 471: Bacterial Reverse Mutation Test (21/07/1997)</v>
      </c>
      <c r="DM9" s="372"/>
      <c r="DN9" s="104"/>
      <c r="DO9" s="104"/>
      <c r="DP9" s="104" t="s">
        <v>6390</v>
      </c>
      <c r="DQ9" s="104"/>
      <c r="DR9" s="104"/>
      <c r="DS9" s="104"/>
      <c r="DT9" s="104" t="s">
        <v>6391</v>
      </c>
      <c r="DU9" s="104"/>
      <c r="DV9" s="104"/>
      <c r="DW9" s="104"/>
      <c r="DX9" s="104"/>
      <c r="DY9" s="104"/>
      <c r="DZ9" s="104"/>
      <c r="EA9" s="104"/>
      <c r="EB9" s="104"/>
      <c r="EC9" s="104"/>
      <c r="ED9" s="104"/>
      <c r="EE9" s="104"/>
      <c r="EF9" s="372"/>
      <c r="EG9" s="372"/>
    </row>
    <row r="10" spans="52:144" x14ac:dyDescent="0.25">
      <c r="AZ10" s="470" t="s">
        <v>6172</v>
      </c>
      <c r="DA10" s="470" t="s">
        <v>6172</v>
      </c>
      <c r="DB10" s="22">
        <f t="shared" ca="1" si="0"/>
        <v>0</v>
      </c>
      <c r="DC10" s="426" t="s">
        <v>6203</v>
      </c>
      <c r="DG10" s="739" t="s">
        <v>6183</v>
      </c>
      <c r="DH10" s="741" t="s">
        <v>5796</v>
      </c>
      <c r="DI10" s="741">
        <f t="shared" ca="1" si="1"/>
        <v>0</v>
      </c>
      <c r="DJ10" s="742" cm="1">
        <f t="array" aca="1" ref="DJ10" ca="1">INDIRECT($DH$3&amp;DH10,1)</f>
        <v>0</v>
      </c>
      <c r="DM10" s="372"/>
      <c r="DN10" s="104"/>
      <c r="DO10" s="104"/>
      <c r="DP10" s="104" t="s">
        <v>6392</v>
      </c>
      <c r="DQ10" s="104"/>
      <c r="DR10" s="104"/>
      <c r="DS10" s="104"/>
      <c r="DT10" s="104"/>
      <c r="DU10" s="104"/>
      <c r="DV10" s="104"/>
      <c r="DW10" s="104"/>
      <c r="DX10" s="104" t="s">
        <v>6393</v>
      </c>
      <c r="DY10" s="104"/>
      <c r="DZ10" s="104"/>
      <c r="EA10" s="104"/>
      <c r="EB10" s="104"/>
      <c r="EC10" s="104"/>
      <c r="ED10" s="104"/>
      <c r="EE10" s="104"/>
      <c r="EF10" s="372"/>
      <c r="EG10" s="372"/>
    </row>
    <row r="11" spans="52:144" x14ac:dyDescent="0.25">
      <c r="AZ11" s="470" t="s">
        <v>6172</v>
      </c>
      <c r="DA11" s="470" t="s">
        <v>6172</v>
      </c>
      <c r="DB11" s="22">
        <f t="shared" ref="DB11" ca="1" si="4">DW56</f>
        <v>0</v>
      </c>
      <c r="DC11" s="426" t="s">
        <v>6395</v>
      </c>
      <c r="DG11" s="739" t="s">
        <v>6184</v>
      </c>
      <c r="DH11" s="751" t="s">
        <v>7663</v>
      </c>
      <c r="DI11" s="741">
        <f t="shared" ca="1" si="1"/>
        <v>0</v>
      </c>
      <c r="DJ11" s="742" cm="1">
        <f t="array" aca="1" ref="DJ11" ca="1">INDIRECT($DH$3&amp;DH11,1)</f>
        <v>0</v>
      </c>
      <c r="DM11" s="372"/>
      <c r="DN11" s="104"/>
      <c r="DO11" s="737" t="s">
        <v>6372</v>
      </c>
      <c r="DP11" s="738" t="s">
        <v>6373</v>
      </c>
      <c r="DQ11" s="738" t="s">
        <v>6374</v>
      </c>
      <c r="DR11" s="738" t="s">
        <v>6375</v>
      </c>
      <c r="DS11" s="738" t="s">
        <v>6376</v>
      </c>
      <c r="DT11" s="738" t="s">
        <v>6381</v>
      </c>
      <c r="DU11" s="738" t="s">
        <v>6382</v>
      </c>
      <c r="DV11" s="738" t="s">
        <v>6383</v>
      </c>
      <c r="DW11" s="738" t="s">
        <v>6384</v>
      </c>
      <c r="DX11" s="738" t="s">
        <v>6377</v>
      </c>
      <c r="DY11" s="738" t="s">
        <v>6378</v>
      </c>
      <c r="DZ11" s="738" t="s">
        <v>6379</v>
      </c>
      <c r="EA11" s="738" t="s">
        <v>6380</v>
      </c>
      <c r="EB11" s="738" t="s">
        <v>6385</v>
      </c>
      <c r="EC11" s="738" t="s">
        <v>6386</v>
      </c>
      <c r="ED11" s="738" t="s">
        <v>6387</v>
      </c>
      <c r="EE11" s="738" t="s">
        <v>6388</v>
      </c>
      <c r="EF11" s="372"/>
      <c r="EG11" s="372"/>
    </row>
    <row r="12" spans="52:144" x14ac:dyDescent="0.25">
      <c r="AZ12" s="470" t="s">
        <v>6172</v>
      </c>
      <c r="DA12" s="470" t="s">
        <v>6172</v>
      </c>
      <c r="DB12" s="22">
        <f ca="1">DW59</f>
        <v>0</v>
      </c>
      <c r="DC12" s="426" t="s">
        <v>6398</v>
      </c>
      <c r="DG12" s="739" t="s">
        <v>31</v>
      </c>
      <c r="DH12" s="751" t="s">
        <v>7664</v>
      </c>
      <c r="DI12" s="741">
        <f t="shared" ca="1" si="1"/>
        <v>0</v>
      </c>
      <c r="DJ12" s="742" cm="1">
        <f t="array" aca="1" ref="DJ12" ca="1">INDIRECT($DH$3&amp;DH12,1)</f>
        <v>0</v>
      </c>
      <c r="DN12" s="597" t="s">
        <v>5778</v>
      </c>
      <c r="DO12" s="743" t="s">
        <v>7539</v>
      </c>
      <c r="DP12" s="746" t="s">
        <v>7616</v>
      </c>
      <c r="DQ12" s="746" t="s">
        <v>7617</v>
      </c>
      <c r="DR12" s="746" t="s">
        <v>7618</v>
      </c>
      <c r="DS12" s="746" t="s">
        <v>7619</v>
      </c>
      <c r="DT12" s="746" t="s">
        <v>7620</v>
      </c>
      <c r="DU12" s="746" t="s">
        <v>7621</v>
      </c>
      <c r="DV12" s="746" t="s">
        <v>7622</v>
      </c>
      <c r="DW12" s="746" t="s">
        <v>7623</v>
      </c>
      <c r="DX12" s="746" t="s">
        <v>7624</v>
      </c>
      <c r="DY12" s="746" t="s">
        <v>7625</v>
      </c>
      <c r="DZ12" s="746" t="s">
        <v>7626</v>
      </c>
      <c r="EA12" s="746" t="s">
        <v>7627</v>
      </c>
      <c r="EB12" s="746" t="s">
        <v>7628</v>
      </c>
      <c r="EC12" s="746" t="s">
        <v>7629</v>
      </c>
      <c r="ED12" s="746" t="s">
        <v>7630</v>
      </c>
      <c r="EE12" s="746" t="s">
        <v>7631</v>
      </c>
      <c r="EF12" s="372"/>
      <c r="EG12" s="372"/>
      <c r="EH12" s="372"/>
      <c r="EI12" s="372"/>
      <c r="EJ12" s="372"/>
      <c r="EK12" s="372"/>
      <c r="EM12" s="372"/>
      <c r="EN12" s="372"/>
    </row>
    <row r="13" spans="52:144" x14ac:dyDescent="0.25">
      <c r="AZ13" s="470" t="s">
        <v>6172</v>
      </c>
      <c r="DA13" s="470" t="s">
        <v>6172</v>
      </c>
      <c r="DB13" s="22">
        <f ca="1">DW60</f>
        <v>0</v>
      </c>
      <c r="DC13" s="426" t="s">
        <v>7911</v>
      </c>
      <c r="DG13" s="739" t="s">
        <v>5720</v>
      </c>
      <c r="DH13" s="741" t="s">
        <v>5797</v>
      </c>
      <c r="DI13" s="741">
        <f t="shared" ca="1" si="1"/>
        <v>0</v>
      </c>
      <c r="DJ13" s="742" cm="1">
        <f t="array" aca="1" ref="DJ13" ca="1">INDIRECT($DH$3&amp;DH13,1)</f>
        <v>0</v>
      </c>
      <c r="DN13" s="597" t="s">
        <v>6222</v>
      </c>
      <c r="DO13" s="744">
        <f t="shared" ref="DO13:EE13" ca="1" si="5">COUNTA(INDIRECT($DH$3&amp;DO12,1))</f>
        <v>0</v>
      </c>
      <c r="DP13" s="744">
        <f t="shared" ca="1" si="5"/>
        <v>0</v>
      </c>
      <c r="DQ13" s="744">
        <f t="shared" ca="1" si="5"/>
        <v>0</v>
      </c>
      <c r="DR13" s="744">
        <f t="shared" ca="1" si="5"/>
        <v>0</v>
      </c>
      <c r="DS13" s="744">
        <f t="shared" ca="1" si="5"/>
        <v>0</v>
      </c>
      <c r="DT13" s="744">
        <f t="shared" ca="1" si="5"/>
        <v>0</v>
      </c>
      <c r="DU13" s="744">
        <f t="shared" ca="1" si="5"/>
        <v>0</v>
      </c>
      <c r="DV13" s="744">
        <f t="shared" ca="1" si="5"/>
        <v>0</v>
      </c>
      <c r="DW13" s="744">
        <f t="shared" ca="1" si="5"/>
        <v>0</v>
      </c>
      <c r="DX13" s="744">
        <f t="shared" ca="1" si="5"/>
        <v>0</v>
      </c>
      <c r="DY13" s="744">
        <f t="shared" ca="1" si="5"/>
        <v>0</v>
      </c>
      <c r="DZ13" s="744">
        <f t="shared" ca="1" si="5"/>
        <v>0</v>
      </c>
      <c r="EA13" s="744">
        <f t="shared" ca="1" si="5"/>
        <v>0</v>
      </c>
      <c r="EB13" s="744">
        <f t="shared" ca="1" si="5"/>
        <v>0</v>
      </c>
      <c r="EC13" s="744">
        <f t="shared" ca="1" si="5"/>
        <v>0</v>
      </c>
      <c r="ED13" s="744">
        <f t="shared" ca="1" si="5"/>
        <v>0</v>
      </c>
      <c r="EE13" s="744">
        <f t="shared" ca="1" si="5"/>
        <v>0</v>
      </c>
      <c r="EF13" s="372"/>
      <c r="EG13" s="372"/>
      <c r="EH13" s="372"/>
      <c r="EI13" s="372"/>
      <c r="EJ13" s="372"/>
      <c r="EK13" s="372"/>
      <c r="EL13" s="372"/>
      <c r="EM13" s="372"/>
      <c r="EN13" s="372"/>
    </row>
    <row r="14" spans="52:144" x14ac:dyDescent="0.25">
      <c r="AZ14" s="470" t="s">
        <v>6172</v>
      </c>
      <c r="DA14" s="470" t="s">
        <v>6172</v>
      </c>
      <c r="DB14" s="22">
        <f ca="1">DW61</f>
        <v>0</v>
      </c>
      <c r="DC14" s="426" t="s">
        <v>6399</v>
      </c>
      <c r="DG14" s="739" t="s">
        <v>147</v>
      </c>
      <c r="DH14" s="741" t="s">
        <v>7385</v>
      </c>
      <c r="DI14" s="741">
        <f t="shared" ca="1" si="1"/>
        <v>0</v>
      </c>
      <c r="DJ14" s="742" cm="1">
        <f t="array" aca="1" ref="DJ14" ca="1">INDIRECT($DH$3&amp;DH14,1)</f>
        <v>0</v>
      </c>
      <c r="DN14" s="597" t="s">
        <v>6133</v>
      </c>
      <c r="DO14" s="744" cm="1">
        <f t="array" aca="1" ref="DO14" ca="1">INDIRECT($DH$3&amp;DO12,1)</f>
        <v>0</v>
      </c>
      <c r="DP14" s="747"/>
      <c r="DQ14" s="747"/>
      <c r="DR14" s="747"/>
      <c r="DS14" s="747"/>
      <c r="DT14" s="747"/>
      <c r="DU14" s="747"/>
      <c r="DV14" s="747"/>
      <c r="DW14" s="747"/>
      <c r="DX14" s="747"/>
      <c r="DY14" s="747"/>
      <c r="DZ14" s="747"/>
      <c r="EA14" s="747"/>
      <c r="EB14" s="747"/>
      <c r="EC14" s="747"/>
      <c r="ED14" s="747"/>
      <c r="EE14" s="747"/>
      <c r="EF14" s="372"/>
      <c r="EG14" s="372"/>
      <c r="EH14" s="372"/>
      <c r="EI14" s="372"/>
      <c r="EJ14" s="372"/>
      <c r="EK14" s="372"/>
      <c r="EL14" s="372"/>
      <c r="EM14" s="372"/>
      <c r="EN14" s="372"/>
    </row>
    <row r="15" spans="52:144" x14ac:dyDescent="0.25">
      <c r="AZ15" s="470" t="s">
        <v>6172</v>
      </c>
      <c r="DA15" s="470" t="s">
        <v>6172</v>
      </c>
      <c r="DB15" s="22">
        <f ca="1">DW62</f>
        <v>0</v>
      </c>
      <c r="DC15" s="426" t="s">
        <v>6400</v>
      </c>
      <c r="DG15" s="739" t="s">
        <v>124</v>
      </c>
      <c r="DH15" s="741" t="s">
        <v>7406</v>
      </c>
      <c r="DI15" s="741">
        <f t="shared" ca="1" si="1"/>
        <v>0</v>
      </c>
      <c r="DJ15" s="742" cm="1">
        <f t="array" aca="1" ref="DJ15" ca="1">INDIRECT($DH$3&amp;DH15,1)</f>
        <v>0</v>
      </c>
      <c r="EF15" s="372"/>
      <c r="EL15" s="372"/>
      <c r="EM15" s="372"/>
      <c r="EN15" s="372"/>
    </row>
    <row r="16" spans="52:144" x14ac:dyDescent="0.25">
      <c r="AZ16" s="470" t="s">
        <v>6172</v>
      </c>
      <c r="DA16" s="470" t="s">
        <v>6172</v>
      </c>
      <c r="DB16" s="22">
        <f ca="1">DW63</f>
        <v>0</v>
      </c>
      <c r="DC16" s="426" t="s">
        <v>6401</v>
      </c>
      <c r="DG16" s="739" t="s">
        <v>86</v>
      </c>
      <c r="DH16" s="741" t="s">
        <v>7389</v>
      </c>
      <c r="DI16" s="741">
        <f t="shared" ca="1" si="1"/>
        <v>0</v>
      </c>
      <c r="DJ16" s="742" cm="1">
        <f t="array" aca="1" ref="DJ16" ca="1">INDIRECT($DH$3&amp;DH16,1)</f>
        <v>0</v>
      </c>
      <c r="EF16" s="372"/>
      <c r="EL16" s="372"/>
      <c r="EM16" s="372"/>
      <c r="EN16" s="372"/>
    </row>
    <row r="17" spans="52:144" x14ac:dyDescent="0.25">
      <c r="AZ17" s="470" t="s">
        <v>6172</v>
      </c>
      <c r="DA17" s="470" t="s">
        <v>6172</v>
      </c>
      <c r="DB17" s="22">
        <f ca="1">DW65</f>
        <v>0</v>
      </c>
      <c r="DC17" s="426" t="s">
        <v>8538</v>
      </c>
      <c r="DG17" s="739" t="s">
        <v>192</v>
      </c>
      <c r="DH17" s="741" t="s">
        <v>7409</v>
      </c>
      <c r="DI17" s="741">
        <f t="shared" ca="1" si="1"/>
        <v>0</v>
      </c>
      <c r="DJ17" s="742" cm="1">
        <f t="array" aca="1" ref="DJ17" ca="1">INDIRECT($DH$3&amp;DH17,1)</f>
        <v>0</v>
      </c>
      <c r="DN17" s="472"/>
      <c r="DO17" s="757" t="s">
        <v>6211</v>
      </c>
      <c r="DP17" s="525">
        <f ca="1">DW7</f>
        <v>0</v>
      </c>
      <c r="DS17" s="738" t="s">
        <v>6421</v>
      </c>
      <c r="DT17" s="738" t="s">
        <v>5724</v>
      </c>
      <c r="DU17" s="738" t="s">
        <v>6426</v>
      </c>
      <c r="DW17" s="738" t="s">
        <v>6001</v>
      </c>
      <c r="DZ17" s="469" t="s">
        <v>5744</v>
      </c>
      <c r="EA17" s="469" t="s">
        <v>6001</v>
      </c>
      <c r="EF17" s="2"/>
      <c r="EL17" s="2"/>
    </row>
    <row r="18" spans="52:144" x14ac:dyDescent="0.25">
      <c r="AZ18" s="470" t="s">
        <v>6172</v>
      </c>
      <c r="DA18" s="470" t="s">
        <v>6172</v>
      </c>
      <c r="DB18" s="22">
        <f ca="1">DW66</f>
        <v>0</v>
      </c>
      <c r="DC18" s="426" t="s">
        <v>6404</v>
      </c>
      <c r="DG18" s="739" t="s">
        <v>87</v>
      </c>
      <c r="DH18" s="741" t="s">
        <v>7410</v>
      </c>
      <c r="DI18" s="741">
        <f t="shared" ca="1" si="1"/>
        <v>0</v>
      </c>
      <c r="DJ18" s="742" cm="1">
        <f t="array" aca="1" ref="DJ18" ca="1">INDIRECT($DH$3&amp;DH18,1)</f>
        <v>0</v>
      </c>
      <c r="DN18" s="469"/>
      <c r="DO18" s="758" t="s">
        <v>6223</v>
      </c>
      <c r="DP18" s="759">
        <f ca="1">IF(DP17&lt;&gt;0,
IF(COUNTIF($M$65:$M$94,DP17)=0,1,0),0)</f>
        <v>0</v>
      </c>
      <c r="DQ18" s="20" t="s">
        <v>6212</v>
      </c>
      <c r="DS18" s="760" t="s">
        <v>5706</v>
      </c>
      <c r="DT18" s="760" t="s">
        <v>5721</v>
      </c>
      <c r="DU18" s="760" t="s">
        <v>5713</v>
      </c>
      <c r="DW18" s="761" t="s">
        <v>7675</v>
      </c>
      <c r="DY18" s="20" t="s">
        <v>6002</v>
      </c>
      <c r="DZ18" s="587">
        <f ca="1">DV7</f>
        <v>0</v>
      </c>
    </row>
    <row r="19" spans="52:144" x14ac:dyDescent="0.25">
      <c r="AZ19" s="470" t="s">
        <v>6172</v>
      </c>
      <c r="DA19" s="470" t="s">
        <v>6172</v>
      </c>
      <c r="DB19" s="22">
        <f ca="1">DW67</f>
        <v>0</v>
      </c>
      <c r="DC19" s="426" t="s">
        <v>6405</v>
      </c>
      <c r="DG19" s="739" t="s">
        <v>148</v>
      </c>
      <c r="DH19" s="741" t="s">
        <v>7412</v>
      </c>
      <c r="DI19" s="741">
        <f t="shared" ca="1" si="1"/>
        <v>0</v>
      </c>
      <c r="DJ19" s="742" cm="1">
        <f t="array" aca="1" ref="DJ19" ca="1">INDIRECT($DH$3&amp;DH19,1)</f>
        <v>0</v>
      </c>
      <c r="DN19" s="472"/>
      <c r="DO19" s="757" t="s">
        <v>6178</v>
      </c>
      <c r="DP19" s="525">
        <f ca="1">IFERROR(VLOOKUP(DP17,$M$65:$P$94,4,0),0)</f>
        <v>0</v>
      </c>
      <c r="DS19" s="760" t="s">
        <v>5707</v>
      </c>
      <c r="DT19" s="760" t="s">
        <v>5722</v>
      </c>
      <c r="DU19" s="760" t="s">
        <v>5714</v>
      </c>
      <c r="DY19" s="20" t="s">
        <v>6000</v>
      </c>
      <c r="DZ19" s="501" t="str">
        <f ca="1">IF(DZ18&lt;&gt;"",IF(DZ18&lt;=EA19,"sim","não"),"")</f>
        <v>sim</v>
      </c>
      <c r="EA19" s="588">
        <v>40178</v>
      </c>
    </row>
    <row r="20" spans="52:144" x14ac:dyDescent="0.25">
      <c r="AZ20" s="470" t="s">
        <v>6172</v>
      </c>
      <c r="DA20" s="470" t="s">
        <v>6172</v>
      </c>
      <c r="DB20" s="22">
        <f t="shared" ref="DB20:DB30" si="6">EG18</f>
        <v>0</v>
      </c>
      <c r="DC20" s="426" t="s">
        <v>6406</v>
      </c>
      <c r="DG20" s="739" t="s">
        <v>349</v>
      </c>
      <c r="DH20" s="741" t="s">
        <v>7665</v>
      </c>
      <c r="DI20" s="741">
        <f t="shared" ca="1" si="1"/>
        <v>0</v>
      </c>
      <c r="DJ20" s="742" cm="1">
        <f t="array" aca="1" ref="DJ20" ca="1">INDIRECT($DH$3&amp;DH20,1)</f>
        <v>0</v>
      </c>
      <c r="DN20" s="472"/>
      <c r="DO20" s="757" t="s">
        <v>6213</v>
      </c>
      <c r="DP20" s="525">
        <f ca="1">DV7</f>
        <v>0</v>
      </c>
      <c r="DS20" s="762" t="s">
        <v>5708</v>
      </c>
      <c r="DT20" s="762" t="s">
        <v>5723</v>
      </c>
      <c r="DU20" s="762" t="s">
        <v>5715</v>
      </c>
      <c r="DV20" s="372"/>
      <c r="DW20" s="372"/>
      <c r="DX20" s="372"/>
      <c r="DY20" s="372"/>
      <c r="DZ20" s="372"/>
      <c r="EA20" s="372"/>
      <c r="EB20" s="372"/>
      <c r="EC20" s="372"/>
      <c r="ED20" s="372"/>
      <c r="EE20" s="372"/>
    </row>
    <row r="21" spans="52:144" x14ac:dyDescent="0.25">
      <c r="AZ21" s="470" t="s">
        <v>6172</v>
      </c>
      <c r="DA21" s="470" t="s">
        <v>6172</v>
      </c>
      <c r="DB21" s="22">
        <f t="shared" si="6"/>
        <v>0</v>
      </c>
      <c r="DC21" s="426" t="s">
        <v>6407</v>
      </c>
      <c r="DG21" s="739" t="s">
        <v>351</v>
      </c>
      <c r="DH21" s="740" t="s">
        <v>7666</v>
      </c>
      <c r="DI21" s="741">
        <f t="shared" ca="1" si="1"/>
        <v>0</v>
      </c>
      <c r="DJ21" s="742" cm="1">
        <f t="array" aca="1" ref="DJ21" ca="1">INDIRECT($DH$3&amp;DH21,1)</f>
        <v>0</v>
      </c>
      <c r="DN21" s="469"/>
      <c r="DO21" s="758" t="s">
        <v>6179</v>
      </c>
      <c r="DP21" s="759">
        <f ca="1">IF(DP18&lt;&gt;1,
IF((DP19-DP20)&lt;0,1,0),
0)</f>
        <v>0</v>
      </c>
      <c r="DQ21" s="20" t="s">
        <v>6180</v>
      </c>
      <c r="DS21" s="372"/>
      <c r="DT21" s="372"/>
      <c r="DU21" s="372"/>
      <c r="DV21" s="372"/>
      <c r="DW21" s="372"/>
      <c r="DX21" s="372"/>
      <c r="DY21" s="372"/>
      <c r="DZ21" s="372"/>
      <c r="EA21" s="372"/>
      <c r="EB21" s="372"/>
      <c r="EC21" s="372"/>
      <c r="ED21" s="372"/>
      <c r="EE21" s="372"/>
    </row>
    <row r="22" spans="52:144" x14ac:dyDescent="0.25">
      <c r="AZ22" s="470" t="s">
        <v>6172</v>
      </c>
      <c r="DA22" s="470" t="s">
        <v>6172</v>
      </c>
      <c r="DB22" s="22">
        <f t="shared" si="6"/>
        <v>0</v>
      </c>
      <c r="DC22" s="426" t="s">
        <v>6408</v>
      </c>
      <c r="DG22" s="764" t="s">
        <v>293</v>
      </c>
      <c r="DH22" s="765" t="s">
        <v>7613</v>
      </c>
      <c r="DI22" s="765">
        <f t="shared" ca="1" si="1"/>
        <v>0</v>
      </c>
      <c r="DJ22" s="766"/>
      <c r="DN22" s="469"/>
      <c r="DO22" s="758" t="s">
        <v>7354</v>
      </c>
      <c r="DP22" s="759">
        <f ca="1">IF(COUNTIFS($M$65:$M$94,DP17,$AA$65:$AA$94,2)&gt;0,1,0)</f>
        <v>0</v>
      </c>
      <c r="DQ22" s="20" t="s">
        <v>7355</v>
      </c>
      <c r="EL22" s="2"/>
      <c r="EM22" s="2"/>
      <c r="EN22" s="2"/>
    </row>
    <row r="23" spans="52:144" x14ac:dyDescent="0.25">
      <c r="AZ23" s="470" t="s">
        <v>6172</v>
      </c>
      <c r="DA23" s="470" t="s">
        <v>6172</v>
      </c>
      <c r="DB23" s="22">
        <f t="shared" si="6"/>
        <v>0</v>
      </c>
      <c r="DC23" s="426" t="s">
        <v>6409</v>
      </c>
      <c r="DG23" s="764" t="s">
        <v>301</v>
      </c>
      <c r="DH23" s="765" t="s">
        <v>7614</v>
      </c>
      <c r="DI23" s="765">
        <f t="shared" ca="1" si="1"/>
        <v>0</v>
      </c>
      <c r="DJ23" s="766"/>
      <c r="DN23" s="469"/>
      <c r="DO23" s="758" t="s">
        <v>7356</v>
      </c>
      <c r="DP23" s="767">
        <f ca="1">IF(DR7="Não",1,0)</f>
        <v>0</v>
      </c>
      <c r="DQ23" s="20" t="s">
        <v>7357</v>
      </c>
    </row>
    <row r="24" spans="52:144" x14ac:dyDescent="0.25">
      <c r="AZ24" s="470" t="s">
        <v>6172</v>
      </c>
      <c r="DA24" s="470" t="s">
        <v>6172</v>
      </c>
      <c r="DB24" s="22">
        <f t="shared" si="6"/>
        <v>0</v>
      </c>
      <c r="DC24" s="426" t="s">
        <v>6410</v>
      </c>
      <c r="DG24" s="764" t="s">
        <v>302</v>
      </c>
      <c r="DH24" s="765" t="s">
        <v>7615</v>
      </c>
      <c r="DI24" s="765">
        <f t="shared" ca="1" si="1"/>
        <v>0</v>
      </c>
      <c r="DJ24" s="766"/>
      <c r="DN24" s="469"/>
      <c r="DO24" s="758" t="s">
        <v>6067</v>
      </c>
      <c r="DP24" s="767">
        <f ca="1">IF(EL7=2,1,0)</f>
        <v>0</v>
      </c>
    </row>
    <row r="25" spans="52:144" x14ac:dyDescent="0.25">
      <c r="AZ25" s="470" t="s">
        <v>6172</v>
      </c>
      <c r="DA25" s="470" t="s">
        <v>6172</v>
      </c>
      <c r="DB25" s="22">
        <f t="shared" si="6"/>
        <v>0</v>
      </c>
      <c r="DC25" s="426" t="s">
        <v>6411</v>
      </c>
      <c r="DG25" s="739" t="s">
        <v>6242</v>
      </c>
      <c r="DH25" s="740" t="s">
        <v>5729</v>
      </c>
      <c r="DI25" s="741">
        <f t="shared" ca="1" si="1"/>
        <v>0</v>
      </c>
      <c r="DJ25" s="742" cm="1">
        <f t="array" aca="1" ref="DJ25" ca="1">INDIRECT($DH$3&amp;DH25,1)</f>
        <v>0</v>
      </c>
      <c r="DN25" s="469"/>
      <c r="DO25" s="758" t="s">
        <v>7360</v>
      </c>
      <c r="DP25" s="767">
        <f ca="1">IF(EL7=2,
IF(COUNTIF(INDIRECT(DH3&amp;EH5,1),"sim")&gt;0,1,0),
0)</f>
        <v>0</v>
      </c>
      <c r="DQ25" s="20" t="s">
        <v>7361</v>
      </c>
    </row>
    <row r="26" spans="52:144" x14ac:dyDescent="0.25">
      <c r="AZ26" s="470" t="s">
        <v>6172</v>
      </c>
      <c r="DA26" s="470" t="s">
        <v>6172</v>
      </c>
      <c r="DB26" s="22">
        <f t="shared" si="6"/>
        <v>0</v>
      </c>
      <c r="DC26" s="426" t="s">
        <v>6412</v>
      </c>
      <c r="DG26" s="739" t="s">
        <v>143</v>
      </c>
      <c r="DH26" s="740" t="s">
        <v>7667</v>
      </c>
      <c r="DI26" s="741">
        <f t="shared" ca="1" si="1"/>
        <v>0</v>
      </c>
      <c r="DJ26" s="742" cm="1">
        <f t="array" aca="1" ref="DJ26" ca="1">INDIRECT($DH$3&amp;DH26,1)</f>
        <v>0</v>
      </c>
    </row>
    <row r="27" spans="52:144" x14ac:dyDescent="0.25">
      <c r="AZ27" s="470" t="s">
        <v>6172</v>
      </c>
      <c r="DA27" s="470" t="s">
        <v>6172</v>
      </c>
      <c r="DB27" s="22">
        <f t="shared" si="6"/>
        <v>0</v>
      </c>
      <c r="DC27" s="426" t="s">
        <v>6414</v>
      </c>
      <c r="DG27" s="739" t="s">
        <v>6189</v>
      </c>
      <c r="DH27" s="740" t="s">
        <v>7668</v>
      </c>
      <c r="DI27" s="741">
        <f t="shared" ca="1" si="1"/>
        <v>0</v>
      </c>
      <c r="DJ27" s="742" cm="1">
        <f t="array" aca="1" ref="DJ27" ca="1">INDIRECT($DH$3&amp;DH27,1)</f>
        <v>0</v>
      </c>
      <c r="DS27" s="372"/>
      <c r="DT27" s="372"/>
      <c r="DU27" s="372"/>
      <c r="DV27" s="372"/>
      <c r="DW27" s="372"/>
      <c r="DX27" s="372"/>
      <c r="DY27" s="372"/>
      <c r="DZ27" s="372"/>
      <c r="EA27" s="372"/>
      <c r="EB27" s="372"/>
      <c r="EC27" s="372"/>
      <c r="ED27" s="372"/>
      <c r="EE27" s="372"/>
    </row>
    <row r="28" spans="52:144" x14ac:dyDescent="0.25">
      <c r="AZ28" s="470" t="s">
        <v>6172</v>
      </c>
      <c r="DA28" s="470" t="s">
        <v>6172</v>
      </c>
      <c r="DB28" s="22">
        <f t="shared" si="6"/>
        <v>0</v>
      </c>
      <c r="DC28" s="426" t="s">
        <v>6413</v>
      </c>
      <c r="DG28" s="768" t="s">
        <v>6187</v>
      </c>
      <c r="DH28" s="769" t="s">
        <v>8540</v>
      </c>
      <c r="DI28" s="769">
        <f ca="1">COUNTA(INDIRECT(DH28))</f>
        <v>1</v>
      </c>
      <c r="DJ28" s="766" cm="1">
        <f t="array" aca="1" ref="DJ28" ca="1">INDIRECT(DH28)</f>
        <v>0</v>
      </c>
      <c r="DN28" s="469"/>
      <c r="DO28" s="758" t="s">
        <v>7669</v>
      </c>
      <c r="DP28" s="767">
        <f ca="1">IF(AND(DP20&gt;0,DP20&lt;=DW18),1,0)</f>
        <v>0</v>
      </c>
      <c r="DQ28" s="20" t="s">
        <v>7670</v>
      </c>
      <c r="DS28" s="372"/>
      <c r="DT28" s="372"/>
      <c r="DU28" s="372"/>
      <c r="DV28" s="372"/>
      <c r="DW28" s="372"/>
      <c r="DX28" s="372"/>
      <c r="DY28" s="372"/>
      <c r="DZ28" s="372"/>
      <c r="EA28" s="372"/>
      <c r="EB28" s="372"/>
      <c r="EC28" s="372"/>
      <c r="ED28" s="372"/>
      <c r="EE28" s="372"/>
    </row>
    <row r="29" spans="52:144" x14ac:dyDescent="0.25">
      <c r="AZ29" s="470" t="s">
        <v>6172</v>
      </c>
      <c r="DA29" s="470" t="s">
        <v>6172</v>
      </c>
      <c r="DB29" s="22">
        <f t="shared" si="6"/>
        <v>0</v>
      </c>
      <c r="DC29" s="426" t="s">
        <v>6415</v>
      </c>
      <c r="DF29" s="552" t="s">
        <v>5741</v>
      </c>
      <c r="DG29" s="770" t="s">
        <v>89</v>
      </c>
      <c r="DH29" s="771" t="s">
        <v>7417</v>
      </c>
      <c r="DI29" s="741">
        <f t="shared" ref="DI29:DI55" ca="1" si="7">COUNTA(INDIRECT($DH$3&amp;DH29,1))</f>
        <v>0</v>
      </c>
      <c r="DJ29" s="742" cm="1">
        <f t="array" aca="1" ref="DJ29" ca="1">INDIRECT($DH$3&amp;DH29,1)</f>
        <v>0</v>
      </c>
    </row>
    <row r="30" spans="52:144" x14ac:dyDescent="0.25">
      <c r="AZ30" s="470" t="s">
        <v>6172</v>
      </c>
      <c r="DA30" s="470" t="s">
        <v>6172</v>
      </c>
      <c r="DB30" s="22">
        <f t="shared" si="6"/>
        <v>0</v>
      </c>
      <c r="DC30" s="426" t="s">
        <v>6416</v>
      </c>
      <c r="DF30" s="552" t="s">
        <v>5741</v>
      </c>
      <c r="DG30" s="772" t="s">
        <v>352</v>
      </c>
      <c r="DH30" s="771" t="s">
        <v>7632</v>
      </c>
      <c r="DI30" s="741">
        <f t="shared" ca="1" si="7"/>
        <v>0</v>
      </c>
      <c r="DJ30" s="742" cm="1">
        <f t="array" aca="1" ref="DJ30" ca="1">INDIRECT($DH$3&amp;DH30,1)</f>
        <v>0</v>
      </c>
    </row>
    <row r="31" spans="52:144" x14ac:dyDescent="0.25">
      <c r="AZ31" s="470" t="s">
        <v>6172</v>
      </c>
      <c r="DA31" s="470" t="s">
        <v>6172</v>
      </c>
      <c r="DB31" s="22">
        <f ca="1">DP49</f>
        <v>0</v>
      </c>
      <c r="DC31" s="426" t="s">
        <v>6417</v>
      </c>
      <c r="DF31" s="552" t="s">
        <v>5741</v>
      </c>
      <c r="DG31" s="772" t="s">
        <v>130</v>
      </c>
      <c r="DH31" s="771" t="s">
        <v>7547</v>
      </c>
      <c r="DI31" s="741">
        <f t="shared" ca="1" si="7"/>
        <v>0</v>
      </c>
      <c r="DJ31" s="742" cm="1">
        <f t="array" aca="1" ref="DJ31" ca="1">INDIRECT($DH$3&amp;DH31,1)</f>
        <v>0</v>
      </c>
      <c r="DP31" s="716" t="s">
        <v>88</v>
      </c>
      <c r="DQ31" s="716" t="s">
        <v>101</v>
      </c>
      <c r="DR31" s="716" t="s">
        <v>120</v>
      </c>
    </row>
    <row r="32" spans="52:144" x14ac:dyDescent="0.25">
      <c r="AZ32" s="470" t="s">
        <v>6172</v>
      </c>
      <c r="DA32" s="470" t="s">
        <v>6172</v>
      </c>
      <c r="DB32" s="22">
        <f ca="1">DP50</f>
        <v>0</v>
      </c>
      <c r="DC32" s="426" t="s">
        <v>6418</v>
      </c>
      <c r="DF32" s="552" t="s">
        <v>5741</v>
      </c>
      <c r="DG32" s="772" t="s">
        <v>83</v>
      </c>
      <c r="DH32" s="771" t="s">
        <v>7548</v>
      </c>
      <c r="DI32" s="741">
        <f t="shared" ca="1" si="7"/>
        <v>0</v>
      </c>
      <c r="DJ32" s="742" cm="1">
        <f t="array" aca="1" ref="DJ32" ca="1">INDIRECT($DH$3&amp;DH32,1)</f>
        <v>0</v>
      </c>
      <c r="DO32" s="757" t="s">
        <v>7671</v>
      </c>
      <c r="DP32" s="597">
        <f ca="1">IF(OR(DJ29=DS19,DJ29=DS20),"Definitivo",IF(DJ29=DS18,"Preliminar",0))</f>
        <v>0</v>
      </c>
      <c r="DQ32" s="597">
        <f ca="1">IF(OR(DJ38=DS19,DJ38=DS20),"Definitivo",IF(DJ38=DS18,"Preliminar",0))</f>
        <v>0</v>
      </c>
      <c r="DR32" s="597">
        <f ca="1">IF(OR(DJ47=DS19,DJ47=DS20),"Definitivo",IF(DJ47=DS18,"Preliminar",0))</f>
        <v>0</v>
      </c>
      <c r="DS32" s="20" t="s">
        <v>7673</v>
      </c>
    </row>
    <row r="33" spans="52:143" x14ac:dyDescent="0.25">
      <c r="AZ33" s="470" t="s">
        <v>6172</v>
      </c>
      <c r="DA33" s="470" t="s">
        <v>6172</v>
      </c>
      <c r="DB33" s="22">
        <f>DP51</f>
        <v>0</v>
      </c>
      <c r="DC33" s="426" t="s">
        <v>6419</v>
      </c>
      <c r="DF33" s="552" t="s">
        <v>5741</v>
      </c>
      <c r="DG33" s="772" t="s">
        <v>100</v>
      </c>
      <c r="DH33" s="771" t="s">
        <v>7455</v>
      </c>
      <c r="DI33" s="741">
        <f t="shared" ca="1" si="7"/>
        <v>0</v>
      </c>
      <c r="DJ33" s="742" cm="1">
        <f t="array" aca="1" ref="DJ33" ca="1">INDIRECT($DH$3&amp;DH33,1)</f>
        <v>0</v>
      </c>
      <c r="DO33" s="757" t="s">
        <v>7672</v>
      </c>
      <c r="DP33" s="643">
        <f ca="1">DJ30</f>
        <v>0</v>
      </c>
      <c r="DQ33" s="643">
        <f ca="1">DJ39</f>
        <v>0</v>
      </c>
      <c r="DR33" s="643">
        <f ca="1">DJ48</f>
        <v>0</v>
      </c>
      <c r="DS33" s="20" t="s">
        <v>7674</v>
      </c>
    </row>
    <row r="34" spans="52:143" x14ac:dyDescent="0.25">
      <c r="AZ34" s="470" t="s">
        <v>6172</v>
      </c>
      <c r="DA34" s="470" t="s">
        <v>6172</v>
      </c>
      <c r="DB34" s="22">
        <f ca="1">DP52</f>
        <v>0</v>
      </c>
      <c r="DC34" s="426" t="s">
        <v>6420</v>
      </c>
      <c r="DF34" s="552" t="s">
        <v>5741</v>
      </c>
      <c r="DG34" s="772" t="s">
        <v>209</v>
      </c>
      <c r="DH34" s="771" t="s">
        <v>7635</v>
      </c>
      <c r="DI34" s="741">
        <f t="shared" ca="1" si="7"/>
        <v>0</v>
      </c>
      <c r="DJ34" s="742" cm="1">
        <f t="array" aca="1" ref="DJ34" ca="1">INDIRECT($DH$3&amp;DH34,1)</f>
        <v>0</v>
      </c>
      <c r="DO34" s="757" t="s">
        <v>7913</v>
      </c>
      <c r="DP34" s="767">
        <f ca="1">IF(AND(DP32="Definitivo",DP33&lt;&gt;$DT$20),1,0)</f>
        <v>0</v>
      </c>
      <c r="DQ34" s="767">
        <f ca="1">IF(AND(DQ32="Definitivo",DQ33&lt;&gt;$DT$20),1,0)</f>
        <v>0</v>
      </c>
      <c r="DR34" s="767">
        <f ca="1">IF(AND(DR32="Definitivo",DR33&lt;&gt;$DT$20),1,0)</f>
        <v>0</v>
      </c>
      <c r="DS34" s="20" t="s">
        <v>7912</v>
      </c>
    </row>
    <row r="35" spans="52:143" x14ac:dyDescent="0.25">
      <c r="AZ35" s="470" t="s">
        <v>6172</v>
      </c>
      <c r="DA35" s="470" t="s">
        <v>6172</v>
      </c>
      <c r="DB35" s="22">
        <f ca="1">IF(AND(DI29&lt;&gt;0,DJ28=0),1,0)</f>
        <v>0</v>
      </c>
      <c r="DC35" s="426" t="s">
        <v>6209</v>
      </c>
      <c r="DF35" s="552" t="s">
        <v>5741</v>
      </c>
      <c r="DG35" s="772" t="s">
        <v>250</v>
      </c>
      <c r="DH35" s="771" t="s">
        <v>7636</v>
      </c>
      <c r="DI35" s="741">
        <f t="shared" ca="1" si="7"/>
        <v>0</v>
      </c>
      <c r="DJ35" s="742" cm="1">
        <f t="array" aca="1" ref="DJ35" ca="1">INDIRECT($DH$3&amp;DH35,1)</f>
        <v>0</v>
      </c>
      <c r="DO35" s="757" t="s">
        <v>7914</v>
      </c>
      <c r="DP35" s="597">
        <f ca="1">DO14</f>
        <v>0</v>
      </c>
    </row>
    <row r="36" spans="52:143" x14ac:dyDescent="0.25">
      <c r="AZ36" s="470" t="s">
        <v>6172</v>
      </c>
      <c r="DA36" s="470" t="s">
        <v>6172</v>
      </c>
      <c r="DB36" s="22">
        <f>DP54</f>
        <v>0</v>
      </c>
      <c r="DC36" s="426" t="s">
        <v>6227</v>
      </c>
      <c r="DF36" s="552" t="s">
        <v>5741</v>
      </c>
      <c r="DG36" s="772" t="s">
        <v>251</v>
      </c>
      <c r="DH36" s="771" t="s">
        <v>7637</v>
      </c>
      <c r="DI36" s="741">
        <f t="shared" ca="1" si="7"/>
        <v>0</v>
      </c>
      <c r="DJ36" s="742" cm="1">
        <f t="array" aca="1" ref="DJ36" ca="1">INDIRECT($DH$3&amp;DH36,1)</f>
        <v>0</v>
      </c>
      <c r="DO36" s="757" t="s">
        <v>7915</v>
      </c>
      <c r="DP36" s="643">
        <f ca="1">DJ32</f>
        <v>0</v>
      </c>
      <c r="DQ36" s="643">
        <f ca="1">DJ41</f>
        <v>0</v>
      </c>
      <c r="DR36" s="643">
        <f ca="1">DJ50</f>
        <v>0</v>
      </c>
    </row>
    <row r="37" spans="52:143" x14ac:dyDescent="0.25">
      <c r="AZ37" s="470" t="s">
        <v>6172</v>
      </c>
      <c r="DA37" s="470" t="s">
        <v>6172</v>
      </c>
      <c r="DB37" s="22">
        <f ca="1">DP55</f>
        <v>0</v>
      </c>
      <c r="DC37" s="426" t="s">
        <v>6196</v>
      </c>
      <c r="DF37" s="552" t="s">
        <v>5741</v>
      </c>
      <c r="DG37" s="772" t="s">
        <v>252</v>
      </c>
      <c r="DH37" s="771" t="s">
        <v>7638</v>
      </c>
      <c r="DI37" s="741">
        <f t="shared" ca="1" si="7"/>
        <v>0</v>
      </c>
      <c r="DJ37" s="742" cm="1">
        <f t="array" aca="1" ref="DJ37" ca="1">INDIRECT($DH$3&amp;DH37,1)</f>
        <v>0</v>
      </c>
      <c r="DO37" s="757" t="s">
        <v>7913</v>
      </c>
      <c r="DP37" s="767">
        <f ca="1">IF(DP36&lt;&gt;0,IF($DP$35=$DU$20,0,IF($DP$35&lt;&gt;DP36,1,0)),0)</f>
        <v>0</v>
      </c>
      <c r="DQ37" s="767">
        <f ca="1">IF(DQ36&lt;&gt;0,IF($DP$35=$DU$20,0,IF($DP$35&lt;&gt;DQ36,1,0)),0)</f>
        <v>0</v>
      </c>
      <c r="DR37" s="767">
        <f ca="1">IF(DR36&lt;&gt;0,IF($DP$35=$DU$20,0,IF($DP$35&lt;&gt;DR36,1,0)),0)</f>
        <v>0</v>
      </c>
      <c r="DS37" s="20" t="s">
        <v>7918</v>
      </c>
    </row>
    <row r="38" spans="52:143" x14ac:dyDescent="0.25">
      <c r="AZ38" s="470" t="s">
        <v>6172</v>
      </c>
      <c r="DA38" s="470" t="s">
        <v>6172</v>
      </c>
      <c r="DB38" s="22">
        <f ca="1">DP23</f>
        <v>0</v>
      </c>
      <c r="DC38" s="426" t="s">
        <v>6071</v>
      </c>
      <c r="DF38" s="777" t="s">
        <v>5742</v>
      </c>
      <c r="DG38" s="778" t="s">
        <v>89</v>
      </c>
      <c r="DH38" s="779" t="s">
        <v>7639</v>
      </c>
      <c r="DI38" s="780">
        <f t="shared" ca="1" si="7"/>
        <v>0</v>
      </c>
      <c r="DJ38" s="781" cm="1">
        <f t="array" aca="1" ref="DJ38" ca="1">INDIRECT($DH$3&amp;DH38,1)</f>
        <v>0</v>
      </c>
      <c r="DO38" s="757" t="s">
        <v>7916</v>
      </c>
      <c r="DP38" s="767">
        <f>IF(DT25="sim",1,0)</f>
        <v>0</v>
      </c>
      <c r="DQ38" s="767">
        <f>IF(DT32="sim",1,0)</f>
        <v>0</v>
      </c>
      <c r="DR38" s="767">
        <f>IF(DT38="sim",1,0)</f>
        <v>0</v>
      </c>
      <c r="DS38" s="20" t="s">
        <v>7917</v>
      </c>
    </row>
    <row r="39" spans="52:143" x14ac:dyDescent="0.25">
      <c r="AZ39" s="470" t="s">
        <v>6172</v>
      </c>
      <c r="DA39" s="470" t="s">
        <v>6172</v>
      </c>
      <c r="DB39" s="22">
        <f t="shared" ref="DB39:DB55" ca="1" si="8">DX82</f>
        <v>0</v>
      </c>
      <c r="DC39" s="426" t="s">
        <v>6099</v>
      </c>
      <c r="DF39" s="777" t="s">
        <v>5742</v>
      </c>
      <c r="DG39" s="778" t="s">
        <v>352</v>
      </c>
      <c r="DH39" s="779" t="s">
        <v>7640</v>
      </c>
      <c r="DI39" s="780">
        <f t="shared" ca="1" si="7"/>
        <v>0</v>
      </c>
      <c r="DJ39" s="781" cm="1">
        <f t="array" aca="1" ref="DJ39" ca="1">INDIRECT($DH$3&amp;DH39,1)</f>
        <v>0</v>
      </c>
      <c r="DO39" s="757" t="s">
        <v>5998</v>
      </c>
      <c r="DP39" s="767">
        <f>IF(DV25="alterada",1,0)</f>
        <v>0</v>
      </c>
      <c r="DQ39" s="767">
        <f>IF(DV32="alterada",1,0)</f>
        <v>0</v>
      </c>
      <c r="DR39" s="767">
        <f>IF(DV38="alterada",1,0)</f>
        <v>0</v>
      </c>
      <c r="DS39" s="20" t="s">
        <v>7919</v>
      </c>
      <c r="EL39" s="2"/>
      <c r="EM39" s="2"/>
    </row>
    <row r="40" spans="52:143" ht="15.75" thickBot="1" x14ac:dyDescent="0.3">
      <c r="AZ40" s="470" t="s">
        <v>6172</v>
      </c>
      <c r="BB40" s="730" t="s">
        <v>6182</v>
      </c>
      <c r="BC40" s="730"/>
      <c r="BD40" s="730"/>
      <c r="BE40" s="730"/>
      <c r="BF40" s="730"/>
      <c r="BG40" s="730"/>
      <c r="BH40" s="730"/>
      <c r="BI40" s="730"/>
      <c r="BJ40" s="730"/>
      <c r="BK40" s="730"/>
      <c r="BL40" s="730"/>
      <c r="BM40" s="730"/>
      <c r="BN40" s="730"/>
      <c r="BO40" s="730"/>
      <c r="BP40" s="730"/>
      <c r="BQ40" s="730"/>
      <c r="BR40" s="730"/>
      <c r="BS40" s="730"/>
      <c r="BT40" s="730"/>
      <c r="BU40" s="730"/>
      <c r="BV40" s="730"/>
      <c r="BW40" s="730"/>
      <c r="BX40" s="730"/>
      <c r="BY40" s="730"/>
      <c r="BZ40" s="730"/>
      <c r="CA40" s="730"/>
      <c r="CB40" s="730"/>
      <c r="CC40" s="730"/>
      <c r="CD40" s="730"/>
      <c r="CE40" s="730"/>
      <c r="CF40" s="730"/>
      <c r="CG40" s="730"/>
      <c r="CH40" s="730"/>
      <c r="CI40" s="730"/>
      <c r="DA40" s="470" t="s">
        <v>6172</v>
      </c>
      <c r="DB40" s="22">
        <f t="shared" ca="1" si="8"/>
        <v>0</v>
      </c>
      <c r="DC40" s="426" t="s">
        <v>7958</v>
      </c>
      <c r="DF40" s="777" t="s">
        <v>5742</v>
      </c>
      <c r="DG40" s="778" t="s">
        <v>130</v>
      </c>
      <c r="DH40" s="779" t="s">
        <v>7641</v>
      </c>
      <c r="DI40" s="780">
        <f t="shared" ca="1" si="7"/>
        <v>0</v>
      </c>
      <c r="DJ40" s="781" cm="1">
        <f t="array" aca="1" ref="DJ40" ca="1">INDIRECT($DH$3&amp;DH40,1)</f>
        <v>0</v>
      </c>
      <c r="DT40" s="2"/>
      <c r="DU40" s="2"/>
      <c r="DV40" s="2"/>
      <c r="DW40" s="2"/>
      <c r="DX40" s="2"/>
      <c r="DY40" s="2"/>
      <c r="DZ40" s="2"/>
      <c r="EA40" s="2"/>
      <c r="EB40" s="2"/>
      <c r="EC40" s="2"/>
      <c r="ED40" s="2"/>
      <c r="EE40" s="2"/>
      <c r="EL40" s="2"/>
      <c r="EM40" s="2"/>
    </row>
    <row r="41" spans="52:143" x14ac:dyDescent="0.25">
      <c r="AZ41" s="470" t="s">
        <v>6172</v>
      </c>
      <c r="BB41" s="25">
        <f ca="1">IF(AND(BF46&lt;&gt;0,BG46=0),1,0)</f>
        <v>0</v>
      </c>
      <c r="BC41" s="450" t="s">
        <v>6197</v>
      </c>
      <c r="DA41" s="470" t="s">
        <v>6172</v>
      </c>
      <c r="DB41" s="22">
        <f t="shared" ca="1" si="8"/>
        <v>0</v>
      </c>
      <c r="DC41" s="426" t="s">
        <v>6101</v>
      </c>
      <c r="DF41" s="777" t="s">
        <v>5742</v>
      </c>
      <c r="DG41" s="778" t="s">
        <v>83</v>
      </c>
      <c r="DH41" s="779" t="s">
        <v>7642</v>
      </c>
      <c r="DI41" s="780">
        <f t="shared" ca="1" si="7"/>
        <v>0</v>
      </c>
      <c r="DJ41" s="781" cm="1">
        <f t="array" aca="1" ref="DJ41" ca="1">INDIRECT($DH$3&amp;DH41,1)</f>
        <v>0</v>
      </c>
      <c r="DP41" s="732" t="s">
        <v>8370</v>
      </c>
      <c r="DQ41" s="732" t="s">
        <v>8371</v>
      </c>
      <c r="DR41" s="732" t="s">
        <v>8372</v>
      </c>
      <c r="DT41" s="2"/>
      <c r="DU41" s="2"/>
      <c r="DV41" s="2"/>
      <c r="DW41" s="2"/>
      <c r="DX41" s="2"/>
      <c r="DY41" s="2"/>
      <c r="DZ41" s="2"/>
      <c r="EA41" s="2"/>
      <c r="EB41" s="2"/>
      <c r="EC41" s="2"/>
      <c r="ED41" s="2"/>
      <c r="EE41" s="2"/>
      <c r="EL41" s="2"/>
      <c r="EM41" s="2"/>
    </row>
    <row r="42" spans="52:143" x14ac:dyDescent="0.25">
      <c r="AZ42" s="470" t="s">
        <v>6172</v>
      </c>
      <c r="BB42" s="25">
        <f ca="1">IF(AND(BF46&lt;&gt;0,BH46=0),1,0)</f>
        <v>0</v>
      </c>
      <c r="BC42" s="450" t="s">
        <v>6198</v>
      </c>
      <c r="DA42" s="470" t="s">
        <v>6172</v>
      </c>
      <c r="DB42" s="22">
        <f t="shared" ca="1" si="8"/>
        <v>0</v>
      </c>
      <c r="DC42" s="426" t="s">
        <v>6102</v>
      </c>
      <c r="DF42" s="777" t="s">
        <v>5742</v>
      </c>
      <c r="DG42" s="778" t="s">
        <v>100</v>
      </c>
      <c r="DH42" s="779" t="s">
        <v>7643</v>
      </c>
      <c r="DI42" s="780">
        <f t="shared" ca="1" si="7"/>
        <v>0</v>
      </c>
      <c r="DJ42" s="781" cm="1">
        <f t="array" aca="1" ref="DJ42" ca="1">INDIRECT($DH$3&amp;DH42,1)</f>
        <v>0</v>
      </c>
      <c r="DO42" s="757" t="s">
        <v>7920</v>
      </c>
      <c r="DP42" s="767">
        <f ca="1">IF(COUNTIF(INDIRECT($DH$3&amp;DP41),"*Não*")&gt;0,1,0)</f>
        <v>0</v>
      </c>
      <c r="DQ42" s="767">
        <f ca="1">IF(COUNTIF(INDIRECT($DH$3&amp;DQ41),"*Não*")&gt;0,1,0)</f>
        <v>0</v>
      </c>
      <c r="DR42" s="767">
        <f ca="1">IF(COUNTIF(INDIRECT($DH$3&amp;DR41),"*Não*")&gt;0,1,0)</f>
        <v>0</v>
      </c>
      <c r="DS42" s="20" t="s">
        <v>7926</v>
      </c>
      <c r="DU42" s="2"/>
      <c r="DV42" s="2"/>
      <c r="DW42" s="2"/>
      <c r="DX42" s="2"/>
      <c r="EE42" s="2"/>
    </row>
    <row r="43" spans="52:143" x14ac:dyDescent="0.25">
      <c r="AZ43" s="470" t="s">
        <v>6172</v>
      </c>
      <c r="BB43" s="25">
        <f ca="1">IF(AND(BF46&lt;&gt;0,BI46=0),1,0)</f>
        <v>0</v>
      </c>
      <c r="BC43" s="450" t="s">
        <v>6199</v>
      </c>
      <c r="BF43" s="733" t="s">
        <v>7321</v>
      </c>
      <c r="BG43" s="783" t="s">
        <v>5567</v>
      </c>
      <c r="DA43" s="470" t="s">
        <v>6172</v>
      </c>
      <c r="DB43" s="22">
        <f t="shared" ca="1" si="8"/>
        <v>0</v>
      </c>
      <c r="DC43" s="426" t="s">
        <v>6103</v>
      </c>
      <c r="DF43" s="777" t="s">
        <v>5742</v>
      </c>
      <c r="DG43" s="778" t="s">
        <v>209</v>
      </c>
      <c r="DH43" s="779" t="s">
        <v>7647</v>
      </c>
      <c r="DI43" s="780">
        <f t="shared" ca="1" si="7"/>
        <v>0</v>
      </c>
      <c r="DJ43" s="781" cm="1">
        <f t="array" aca="1" ref="DJ43" ca="1">INDIRECT($DH$3&amp;DH43,1)</f>
        <v>0</v>
      </c>
      <c r="DO43" s="757" t="s">
        <v>7921</v>
      </c>
      <c r="DP43" s="784">
        <f ca="1">DO89</f>
        <v>0</v>
      </c>
      <c r="DQ43" s="767">
        <f ca="1">DO90</f>
        <v>0</v>
      </c>
      <c r="DR43" s="767">
        <f ca="1">DO91</f>
        <v>0</v>
      </c>
      <c r="DS43" s="20" t="s">
        <v>7925</v>
      </c>
    </row>
    <row r="44" spans="52:143" x14ac:dyDescent="0.25">
      <c r="AZ44" s="470" t="s">
        <v>6172</v>
      </c>
      <c r="BB44" s="25">
        <f ca="1">IF(AND(BF46&lt;&gt;0,BJ46=0),1,0)</f>
        <v>0</v>
      </c>
      <c r="BC44" s="450" t="s">
        <v>6200</v>
      </c>
      <c r="BF44" s="785" t="s">
        <v>30</v>
      </c>
      <c r="BG44" s="786" t="s">
        <v>6174</v>
      </c>
      <c r="BH44" s="785" t="s">
        <v>6173</v>
      </c>
      <c r="BI44" s="785" t="s">
        <v>6029</v>
      </c>
      <c r="BJ44" s="785" t="s">
        <v>218</v>
      </c>
      <c r="BK44" s="785" t="s">
        <v>6183</v>
      </c>
      <c r="BL44" s="785" t="s">
        <v>6184</v>
      </c>
      <c r="BM44" s="785" t="s">
        <v>31</v>
      </c>
      <c r="BN44" s="785" t="s">
        <v>5720</v>
      </c>
      <c r="BO44" s="785" t="s">
        <v>85</v>
      </c>
      <c r="BP44" s="785" t="s">
        <v>235</v>
      </c>
      <c r="BQ44" s="785" t="s">
        <v>144</v>
      </c>
      <c r="BR44" s="785" t="s">
        <v>6186</v>
      </c>
      <c r="BS44" s="785" t="s">
        <v>127</v>
      </c>
      <c r="BT44" s="785" t="s">
        <v>293</v>
      </c>
      <c r="BU44" s="785" t="s">
        <v>301</v>
      </c>
      <c r="BV44" s="785" t="s">
        <v>302</v>
      </c>
      <c r="BW44" s="785" t="s">
        <v>6242</v>
      </c>
      <c r="BX44" s="785" t="s">
        <v>143</v>
      </c>
      <c r="BY44" s="785" t="s">
        <v>33</v>
      </c>
      <c r="BZ44" s="785" t="s">
        <v>278</v>
      </c>
      <c r="CA44" s="785" t="s">
        <v>279</v>
      </c>
      <c r="CB44" s="785" t="s">
        <v>6189</v>
      </c>
      <c r="CC44" s="787" t="s">
        <v>6185</v>
      </c>
      <c r="CD44" s="787" t="s">
        <v>6187</v>
      </c>
      <c r="CE44" s="787" t="s">
        <v>6188</v>
      </c>
      <c r="DA44" s="470" t="s">
        <v>6172</v>
      </c>
      <c r="DB44" s="22">
        <f t="shared" si="8"/>
        <v>0</v>
      </c>
      <c r="DC44" s="426" t="s">
        <v>6104</v>
      </c>
      <c r="DF44" s="777" t="s">
        <v>5742</v>
      </c>
      <c r="DG44" s="778" t="s">
        <v>250</v>
      </c>
      <c r="DH44" s="779" t="s">
        <v>7648</v>
      </c>
      <c r="DI44" s="780">
        <f t="shared" ca="1" si="7"/>
        <v>0</v>
      </c>
      <c r="DJ44" s="781" cm="1">
        <f t="array" aca="1" ref="DJ44" ca="1">INDIRECT($DH$3&amp;DH44,1)</f>
        <v>0</v>
      </c>
      <c r="DO44" s="757" t="s">
        <v>7922</v>
      </c>
      <c r="DP44" s="784">
        <f ca="1">DP89</f>
        <v>0</v>
      </c>
      <c r="DQ44" s="767">
        <f ca="1">DP90</f>
        <v>0</v>
      </c>
      <c r="DR44" s="767">
        <f ca="1">DP91</f>
        <v>0</v>
      </c>
      <c r="DS44" s="20" t="s">
        <v>7925</v>
      </c>
    </row>
    <row r="45" spans="52:143" x14ac:dyDescent="0.25">
      <c r="AZ45" s="470" t="s">
        <v>6172</v>
      </c>
      <c r="BB45" s="25">
        <f ca="1">IF(AND(BF46&lt;&gt;0,BL46=0),1,0)</f>
        <v>0</v>
      </c>
      <c r="BC45" s="750" t="s">
        <v>6201</v>
      </c>
      <c r="BE45" s="506" t="s">
        <v>5778</v>
      </c>
      <c r="BF45" s="718" t="s">
        <v>1592</v>
      </c>
      <c r="BG45" s="718" t="s">
        <v>7333</v>
      </c>
      <c r="BH45" s="718" t="s">
        <v>7334</v>
      </c>
      <c r="BI45" s="718" t="s">
        <v>5798</v>
      </c>
      <c r="BJ45" s="718" t="s">
        <v>7335</v>
      </c>
      <c r="BK45" s="718" t="s">
        <v>7336</v>
      </c>
      <c r="BL45" s="718" t="s">
        <v>7337</v>
      </c>
      <c r="BM45" s="718" t="s">
        <v>7338</v>
      </c>
      <c r="BN45" s="718" t="s">
        <v>5796</v>
      </c>
      <c r="BO45" s="718" t="s">
        <v>7339</v>
      </c>
      <c r="BP45" s="718" t="s">
        <v>7340</v>
      </c>
      <c r="BQ45" s="718" t="s">
        <v>7341</v>
      </c>
      <c r="BR45" s="718" t="s">
        <v>7342</v>
      </c>
      <c r="BS45" s="718" t="s">
        <v>7343</v>
      </c>
      <c r="BT45" s="788" t="s">
        <v>7325</v>
      </c>
      <c r="BU45" s="788" t="s">
        <v>7326</v>
      </c>
      <c r="BV45" s="788" t="s">
        <v>7327</v>
      </c>
      <c r="BW45" s="718" t="s">
        <v>7302</v>
      </c>
      <c r="BX45" s="718" t="s">
        <v>7304</v>
      </c>
      <c r="BY45" s="718" t="s">
        <v>7344</v>
      </c>
      <c r="BZ45" s="718" t="s">
        <v>7345</v>
      </c>
      <c r="CA45" s="718" t="s">
        <v>7346</v>
      </c>
      <c r="CB45" s="718" t="s">
        <v>7347</v>
      </c>
      <c r="CC45" s="789" t="s">
        <v>8331</v>
      </c>
      <c r="CD45" s="789" t="s">
        <v>8541</v>
      </c>
      <c r="CE45" s="789" t="s">
        <v>8542</v>
      </c>
      <c r="DA45" s="470" t="s">
        <v>6172</v>
      </c>
      <c r="DB45" s="22">
        <f t="shared" si="8"/>
        <v>0</v>
      </c>
      <c r="DC45" s="426" t="s">
        <v>6105</v>
      </c>
      <c r="DF45" s="777" t="s">
        <v>5742</v>
      </c>
      <c r="DG45" s="778" t="s">
        <v>251</v>
      </c>
      <c r="DH45" s="779" t="s">
        <v>7649</v>
      </c>
      <c r="DI45" s="780">
        <f t="shared" ca="1" si="7"/>
        <v>0</v>
      </c>
      <c r="DJ45" s="781" cm="1">
        <f t="array" aca="1" ref="DJ45" ca="1">INDIRECT($DH$3&amp;DH45,1)</f>
        <v>0</v>
      </c>
      <c r="DO45" s="757" t="s">
        <v>7924</v>
      </c>
      <c r="DP45" s="784">
        <f ca="1">DQ89</f>
        <v>0</v>
      </c>
      <c r="DQ45" s="767">
        <f ca="1">DQ90</f>
        <v>0</v>
      </c>
      <c r="DR45" s="767">
        <f ca="1">DQ91</f>
        <v>0</v>
      </c>
      <c r="DS45" s="20" t="s">
        <v>7925</v>
      </c>
    </row>
    <row r="46" spans="52:143" x14ac:dyDescent="0.25">
      <c r="AZ46" s="470" t="s">
        <v>6172</v>
      </c>
      <c r="BB46" s="25">
        <f ca="1">IF(AND(BF46&lt;&gt;0,BM46=0),1,0)</f>
        <v>0</v>
      </c>
      <c r="BC46" s="750" t="s">
        <v>6202</v>
      </c>
      <c r="BE46" s="790" t="s">
        <v>6222</v>
      </c>
      <c r="BF46" s="597">
        <f t="shared" ref="BF46:CB46" ca="1" si="9">COUNTA(INDIRECT($BG$43&amp;BF45,1))</f>
        <v>0</v>
      </c>
      <c r="BG46" s="597">
        <f t="shared" ca="1" si="9"/>
        <v>0</v>
      </c>
      <c r="BH46" s="597">
        <f t="shared" ca="1" si="9"/>
        <v>0</v>
      </c>
      <c r="BI46" s="597">
        <f t="shared" ca="1" si="9"/>
        <v>0</v>
      </c>
      <c r="BJ46" s="597">
        <f t="shared" ca="1" si="9"/>
        <v>0</v>
      </c>
      <c r="BK46" s="597">
        <f t="shared" ca="1" si="9"/>
        <v>0</v>
      </c>
      <c r="BL46" s="597">
        <f t="shared" ca="1" si="9"/>
        <v>0</v>
      </c>
      <c r="BM46" s="597">
        <f t="shared" ca="1" si="9"/>
        <v>0</v>
      </c>
      <c r="BN46" s="597">
        <f t="shared" ca="1" si="9"/>
        <v>0</v>
      </c>
      <c r="BO46" s="597">
        <f t="shared" ca="1" si="9"/>
        <v>1</v>
      </c>
      <c r="BP46" s="597">
        <f t="shared" ca="1" si="9"/>
        <v>0</v>
      </c>
      <c r="BQ46" s="597">
        <f t="shared" ca="1" si="9"/>
        <v>0</v>
      </c>
      <c r="BR46" s="597">
        <f t="shared" ca="1" si="9"/>
        <v>0</v>
      </c>
      <c r="BS46" s="597">
        <f t="shared" ca="1" si="9"/>
        <v>0</v>
      </c>
      <c r="BT46" s="597">
        <f t="shared" ca="1" si="9"/>
        <v>0</v>
      </c>
      <c r="BU46" s="597">
        <f t="shared" ca="1" si="9"/>
        <v>0</v>
      </c>
      <c r="BV46" s="597">
        <f t="shared" ca="1" si="9"/>
        <v>0</v>
      </c>
      <c r="BW46" s="597">
        <f t="shared" ca="1" si="9"/>
        <v>0</v>
      </c>
      <c r="BX46" s="597">
        <f t="shared" ca="1" si="9"/>
        <v>0</v>
      </c>
      <c r="BY46" s="597">
        <f t="shared" ca="1" si="9"/>
        <v>0</v>
      </c>
      <c r="BZ46" s="597">
        <f t="shared" ca="1" si="9"/>
        <v>0</v>
      </c>
      <c r="CA46" s="597">
        <f t="shared" ca="1" si="9"/>
        <v>0</v>
      </c>
      <c r="CB46" s="597">
        <f t="shared" ca="1" si="9"/>
        <v>0</v>
      </c>
      <c r="CC46" s="597"/>
      <c r="CD46" s="597">
        <f ca="1">COUNTA(INDIRECT(CD45,1))</f>
        <v>1</v>
      </c>
      <c r="CE46" s="597">
        <f ca="1">COUNTA(INDIRECT(CE45,1))</f>
        <v>1</v>
      </c>
      <c r="DA46" s="470" t="s">
        <v>6172</v>
      </c>
      <c r="DB46" s="22">
        <f t="shared" si="8"/>
        <v>0</v>
      </c>
      <c r="DC46" s="426" t="s">
        <v>6109</v>
      </c>
      <c r="DF46" s="777" t="s">
        <v>5742</v>
      </c>
      <c r="DG46" s="778" t="s">
        <v>252</v>
      </c>
      <c r="DH46" s="779" t="s">
        <v>7650</v>
      </c>
      <c r="DI46" s="780">
        <f t="shared" ca="1" si="7"/>
        <v>0</v>
      </c>
      <c r="DJ46" s="781" cm="1">
        <f t="array" aca="1" ref="DJ46" ca="1">INDIRECT($DH$3&amp;DH46,1)</f>
        <v>0</v>
      </c>
      <c r="DO46" s="757" t="s">
        <v>7923</v>
      </c>
      <c r="DP46" s="784">
        <f ca="1">DR89</f>
        <v>0</v>
      </c>
      <c r="DQ46" s="767">
        <f ca="1">DR90</f>
        <v>0</v>
      </c>
      <c r="DR46" s="767">
        <f ca="1">DR91</f>
        <v>0</v>
      </c>
      <c r="DS46" s="20" t="s">
        <v>7925</v>
      </c>
    </row>
    <row r="47" spans="52:143" x14ac:dyDescent="0.25">
      <c r="AZ47" s="470" t="s">
        <v>6172</v>
      </c>
      <c r="BB47" s="25">
        <f ca="1">IF(AND(BF46&lt;&gt;0,BN46=0),1,0)</f>
        <v>0</v>
      </c>
      <c r="BC47" s="750" t="s">
        <v>6203</v>
      </c>
      <c r="BE47" s="790" t="s">
        <v>6133</v>
      </c>
      <c r="BF47" s="791" cm="1">
        <f t="array" aca="1" ref="BF47" ca="1">INDIRECT($BG$43&amp;BF45,1)</f>
        <v>0</v>
      </c>
      <c r="BG47" s="791" cm="1">
        <f t="array" aca="1" ref="BG47" ca="1">INDIRECT($BG$43&amp;BG45,1)</f>
        <v>0</v>
      </c>
      <c r="BH47" s="791" cm="1">
        <f t="array" aca="1" ref="BH47" ca="1">INDIRECT($BG$43&amp;BH45,1)</f>
        <v>0</v>
      </c>
      <c r="BI47" s="791" cm="1">
        <f t="array" aca="1" ref="BI47" ca="1">INDIRECT($BG$43&amp;BI45,1)</f>
        <v>0</v>
      </c>
      <c r="BJ47" s="791" cm="1">
        <f t="array" aca="1" ref="BJ47" ca="1">INDIRECT($BG$43&amp;BJ45,1)</f>
        <v>0</v>
      </c>
      <c r="BK47" s="791" cm="1">
        <f t="array" aca="1" ref="BK47" ca="1">INDIRECT($BG$43&amp;BK45,1)</f>
        <v>0</v>
      </c>
      <c r="BL47" s="791" cm="1">
        <f t="array" aca="1" ref="BL47" ca="1">INDIRECT($BG$43&amp;BL45,1)</f>
        <v>0</v>
      </c>
      <c r="BM47" s="791" cm="1">
        <f t="array" aca="1" ref="BM47" ca="1">INDIRECT($BG$43&amp;BM45,1)</f>
        <v>0</v>
      </c>
      <c r="BN47" s="791" cm="1">
        <f t="array" aca="1" ref="BN47" ca="1">INDIRECT($BG$43&amp;BN45,1)</f>
        <v>0</v>
      </c>
      <c r="BO47" s="791" t="str" cm="1">
        <f t="array" aca="1" ref="BO47" ca="1">INDIRECT($BG$43&amp;BO45,1)</f>
        <v>Rattus norvegicus</v>
      </c>
      <c r="BP47" s="791" cm="1">
        <f t="array" aca="1" ref="BP47" ca="1">INDIRECT($BG$43&amp;BP45,1)</f>
        <v>0</v>
      </c>
      <c r="BQ47" s="791" cm="1">
        <f t="array" aca="1" ref="BQ47" ca="1">INDIRECT($BG$43&amp;BQ45,1)</f>
        <v>0</v>
      </c>
      <c r="BR47" s="792" cm="1">
        <f t="array" aca="1" ref="BR47" ca="1">INDIRECT($BG$43&amp;BR45,1)</f>
        <v>0</v>
      </c>
      <c r="BS47" s="791" cm="1">
        <f t="array" aca="1" ref="BS47" ca="1">INDIRECT($BG$43&amp;BS45,1)</f>
        <v>0</v>
      </c>
      <c r="BT47" s="793"/>
      <c r="BU47" s="793"/>
      <c r="BV47" s="793"/>
      <c r="BW47" s="791" cm="1">
        <f t="array" aca="1" ref="BW47" ca="1">INDIRECT($BG$43&amp;BW45,1)</f>
        <v>0</v>
      </c>
      <c r="BX47" s="791" cm="1">
        <f t="array" aca="1" ref="BX47" ca="1">INDIRECT($BG$43&amp;BX45,1)</f>
        <v>0</v>
      </c>
      <c r="BY47" s="791" cm="1">
        <f t="array" aca="1" ref="BY47" ca="1">INDIRECT($BG$43&amp;BY45,1)</f>
        <v>0</v>
      </c>
      <c r="BZ47" s="791" cm="1">
        <f t="array" aca="1" ref="BZ47" ca="1">INDIRECT($BG$43&amp;BZ45,1)</f>
        <v>0</v>
      </c>
      <c r="CA47" s="791" cm="1">
        <f t="array" aca="1" ref="CA47" ca="1">INDIRECT($BG$43&amp;CA45,1)</f>
        <v>0</v>
      </c>
      <c r="CB47" s="791" cm="1">
        <f t="array" aca="1" ref="CB47" ca="1">INDIRECT($BG$43&amp;CB45,1)</f>
        <v>0</v>
      </c>
      <c r="CC47" s="793">
        <f ca="1">COUNTIF(INDIRECT(CC45),TRUE)</f>
        <v>0</v>
      </c>
      <c r="CD47" s="793" cm="1">
        <f t="array" aca="1" ref="CD47" ca="1">INDIRECT(CD45,1)</f>
        <v>0</v>
      </c>
      <c r="CE47" s="793" t="b" cm="1">
        <f t="array" aca="1" ref="CE47" ca="1">INDIRECT(CE45,1)</f>
        <v>0</v>
      </c>
      <c r="DA47" s="470" t="s">
        <v>6172</v>
      </c>
      <c r="DB47" s="22">
        <f t="shared" si="8"/>
        <v>0</v>
      </c>
      <c r="DC47" s="426" t="s">
        <v>6108</v>
      </c>
      <c r="DF47" s="552" t="s">
        <v>5743</v>
      </c>
      <c r="DG47" s="772" t="s">
        <v>89</v>
      </c>
      <c r="DH47" s="771" t="s">
        <v>7651</v>
      </c>
      <c r="DI47" s="741">
        <f t="shared" ca="1" si="7"/>
        <v>0</v>
      </c>
      <c r="DJ47" s="742" cm="1">
        <f t="array" aca="1" ref="DJ47" ca="1">INDIRECT($DH$3&amp;DH47,1)</f>
        <v>0</v>
      </c>
      <c r="DN47" s="469"/>
      <c r="DV47" s="2"/>
      <c r="DW47" s="504" t="s">
        <v>116</v>
      </c>
    </row>
    <row r="48" spans="52:143" x14ac:dyDescent="0.25">
      <c r="AZ48" s="470" t="s">
        <v>6172</v>
      </c>
      <c r="BB48" s="25">
        <f ca="1">IF(AND(BF46&lt;&gt;0,BO46=0),1,0)</f>
        <v>0</v>
      </c>
      <c r="BC48" s="750" t="s">
        <v>6204</v>
      </c>
      <c r="BE48" s="790" t="s">
        <v>14</v>
      </c>
      <c r="BF48" s="597" t="s">
        <v>7328</v>
      </c>
      <c r="BG48" s="597" t="s">
        <v>7328</v>
      </c>
      <c r="BH48" s="597" t="s">
        <v>7328</v>
      </c>
      <c r="BI48" s="597" t="s">
        <v>7322</v>
      </c>
      <c r="BJ48" s="597" t="s">
        <v>7322</v>
      </c>
      <c r="BK48" s="597" t="s">
        <v>7328</v>
      </c>
      <c r="BL48" s="597" t="s">
        <v>7323</v>
      </c>
      <c r="BM48" s="597" t="s">
        <v>7323</v>
      </c>
      <c r="BN48" s="597" t="s">
        <v>7322</v>
      </c>
      <c r="BO48" s="597" t="s">
        <v>7328</v>
      </c>
      <c r="BP48" s="597" t="s">
        <v>7328</v>
      </c>
      <c r="BQ48" s="597" t="s">
        <v>7328</v>
      </c>
      <c r="BR48" s="597" t="s">
        <v>7322</v>
      </c>
      <c r="BS48" s="597" t="s">
        <v>7328</v>
      </c>
      <c r="BT48" s="597" t="s">
        <v>7328</v>
      </c>
      <c r="BU48" s="597" t="s">
        <v>7328</v>
      </c>
      <c r="BV48" s="597" t="s">
        <v>7322</v>
      </c>
      <c r="BW48" s="597" t="s">
        <v>7322</v>
      </c>
      <c r="BX48" s="597" t="s">
        <v>7328</v>
      </c>
      <c r="BY48" s="597" t="s">
        <v>7330</v>
      </c>
      <c r="BZ48" s="597" t="s">
        <v>7330</v>
      </c>
      <c r="CA48" s="597" t="s">
        <v>7330</v>
      </c>
      <c r="CB48" s="597" t="s">
        <v>7328</v>
      </c>
      <c r="CC48" s="535" t="s">
        <v>7322</v>
      </c>
      <c r="CD48" s="597" t="s">
        <v>7332</v>
      </c>
      <c r="CE48" s="597" t="s">
        <v>7331</v>
      </c>
      <c r="DA48" s="470" t="s">
        <v>6172</v>
      </c>
      <c r="DB48" s="22">
        <f t="shared" ca="1" si="8"/>
        <v>0</v>
      </c>
      <c r="DC48" s="426" t="s">
        <v>6106</v>
      </c>
      <c r="DF48" s="552" t="s">
        <v>5743</v>
      </c>
      <c r="DG48" s="772" t="s">
        <v>352</v>
      </c>
      <c r="DH48" s="771" t="s">
        <v>7652</v>
      </c>
      <c r="DI48" s="741">
        <f t="shared" ca="1" si="7"/>
        <v>0</v>
      </c>
      <c r="DJ48" s="742" cm="1">
        <f t="array" aca="1" ref="DJ48" ca="1">INDIRECT($DH$3&amp;DH48,1)</f>
        <v>0</v>
      </c>
      <c r="DN48" s="469"/>
      <c r="DV48" s="794" t="s">
        <v>6197</v>
      </c>
      <c r="DW48" s="795">
        <f ca="1">IF(DO6&lt;&gt;DP6,1,0)</f>
        <v>0</v>
      </c>
    </row>
    <row r="49" spans="52:131" x14ac:dyDescent="0.25">
      <c r="AZ49" s="470" t="s">
        <v>6172</v>
      </c>
      <c r="BB49" s="25">
        <f ca="1">IF(AND(BF46&lt;&gt;0,BP46=0),1,0)</f>
        <v>0</v>
      </c>
      <c r="BC49" s="750" t="s">
        <v>7845</v>
      </c>
      <c r="DA49" s="470" t="s">
        <v>6172</v>
      </c>
      <c r="DB49" s="22">
        <f t="shared" ca="1" si="8"/>
        <v>0</v>
      </c>
      <c r="DC49" s="426" t="s">
        <v>6422</v>
      </c>
      <c r="DF49" s="552" t="s">
        <v>5743</v>
      </c>
      <c r="DG49" s="772" t="s">
        <v>130</v>
      </c>
      <c r="DH49" s="771" t="s">
        <v>7653</v>
      </c>
      <c r="DI49" s="741">
        <f t="shared" ca="1" si="7"/>
        <v>0</v>
      </c>
      <c r="DJ49" s="742" cm="1">
        <f t="array" aca="1" ref="DJ49" ca="1">INDIRECT($DH$3&amp;DH49,1)</f>
        <v>0</v>
      </c>
      <c r="DO49" s="794" t="s">
        <v>6417</v>
      </c>
      <c r="DP49" s="795">
        <f ca="1">IF(SUM(DQ49:DS49)&gt;0,1,0)</f>
        <v>0</v>
      </c>
      <c r="DQ49" s="795">
        <f ca="1">IF(DI29&lt;&gt;DI34,1,0)</f>
        <v>0</v>
      </c>
      <c r="DR49" s="795">
        <f ca="1">IF(DI38&lt;&gt;DI43,1,0)</f>
        <v>0</v>
      </c>
      <c r="DS49" s="795">
        <f ca="1">IF(DI47&lt;&gt;DI52,1,0)</f>
        <v>0</v>
      </c>
      <c r="DT49" s="796" t="str">
        <f ca="1">IF(DQ49=1,IF(SUM(DR49:DS49)=0,"Teste I","Teste I, "),"")&amp;
IF(DR49=1,IF(DS49=0,"Teste II","Teste II, "),"")&amp;
IF(DS49=1,"Teste III","")</f>
        <v/>
      </c>
      <c r="DV49" s="794" t="s">
        <v>6198</v>
      </c>
      <c r="DW49" s="795">
        <f ca="1">IF(DO6&lt;&gt;DQ6,1,0)</f>
        <v>0</v>
      </c>
    </row>
    <row r="50" spans="52:131" x14ac:dyDescent="0.25">
      <c r="AZ50" s="470" t="s">
        <v>6172</v>
      </c>
      <c r="BB50" s="25">
        <f ca="1">IF(BF52&lt;&gt;BG52,1,0)</f>
        <v>0</v>
      </c>
      <c r="BC50" s="750" t="s">
        <v>6205</v>
      </c>
      <c r="BF50" s="675" t="s">
        <v>284</v>
      </c>
      <c r="BG50" s="675" t="s">
        <v>35</v>
      </c>
      <c r="BH50" s="675" t="s">
        <v>6191</v>
      </c>
      <c r="BI50" s="675" t="s">
        <v>268</v>
      </c>
      <c r="BJ50" s="675" t="s">
        <v>267</v>
      </c>
      <c r="DA50" s="470" t="s">
        <v>6172</v>
      </c>
      <c r="DB50" s="22">
        <f t="shared" ca="1" si="8"/>
        <v>0</v>
      </c>
      <c r="DC50" s="426" t="s">
        <v>6423</v>
      </c>
      <c r="DF50" s="552" t="s">
        <v>5743</v>
      </c>
      <c r="DG50" s="772" t="s">
        <v>83</v>
      </c>
      <c r="DH50" s="771" t="s">
        <v>7654</v>
      </c>
      <c r="DI50" s="741">
        <f t="shared" ca="1" si="7"/>
        <v>0</v>
      </c>
      <c r="DJ50" s="742" cm="1">
        <f t="array" aca="1" ref="DJ50" ca="1">INDIRECT($DH$3&amp;DH50,1)</f>
        <v>0</v>
      </c>
      <c r="DO50" s="794" t="s">
        <v>6418</v>
      </c>
      <c r="DP50" s="795">
        <f ca="1">IF(SUM(DQ50:DS50)&gt;0,1,0)</f>
        <v>0</v>
      </c>
      <c r="DQ50" s="795">
        <f ca="1">IF(DI29&lt;&gt;DI35,1,0)</f>
        <v>0</v>
      </c>
      <c r="DR50" s="795">
        <f ca="1">IF(DI38&lt;&gt;DI44,1,0)</f>
        <v>0</v>
      </c>
      <c r="DS50" s="795">
        <f ca="1">IF(DI47&lt;&gt;DI53,1,0)</f>
        <v>0</v>
      </c>
      <c r="DT50" s="796" t="str">
        <f ca="1">IF(DQ50=1,IF(SUM(DR50:DS50)=0,"Teste I","Teste I, "),"")&amp;
IF(DR50=1,IF(DS50=0,"Teste II","Teste II, "),"")&amp;
IF(DS50=1,"Teste III","")</f>
        <v/>
      </c>
      <c r="DV50" s="794" t="s">
        <v>6199</v>
      </c>
      <c r="DW50" s="795">
        <f ca="1">IF(DO6&lt;&gt;DR6,1,0)</f>
        <v>0</v>
      </c>
    </row>
    <row r="51" spans="52:131" x14ac:dyDescent="0.25">
      <c r="AZ51" s="470" t="s">
        <v>6172</v>
      </c>
      <c r="BB51" s="25">
        <f ca="1">IF(BF52&lt;&gt;BH52,1,0)</f>
        <v>0</v>
      </c>
      <c r="BC51" s="750" t="s">
        <v>6206</v>
      </c>
      <c r="BE51" s="506" t="s">
        <v>5778</v>
      </c>
      <c r="BF51" s="797" t="s">
        <v>7047</v>
      </c>
      <c r="BG51" s="797" t="s">
        <v>7348</v>
      </c>
      <c r="BH51" s="797" t="s">
        <v>7349</v>
      </c>
      <c r="BI51" s="797" t="s">
        <v>7350</v>
      </c>
      <c r="BJ51" s="797" t="s">
        <v>7351</v>
      </c>
      <c r="DA51" s="470" t="s">
        <v>6172</v>
      </c>
      <c r="DB51" s="22">
        <f t="shared" ca="1" si="8"/>
        <v>0</v>
      </c>
      <c r="DC51" s="426" t="s">
        <v>6424</v>
      </c>
      <c r="DF51" s="552" t="s">
        <v>5743</v>
      </c>
      <c r="DG51" s="772" t="s">
        <v>100</v>
      </c>
      <c r="DH51" s="771" t="s">
        <v>7655</v>
      </c>
      <c r="DI51" s="741">
        <f t="shared" ca="1" si="7"/>
        <v>0</v>
      </c>
      <c r="DJ51" s="742" cm="1">
        <f t="array" aca="1" ref="DJ51" ca="1">INDIRECT($DH$3&amp;DH51,1)</f>
        <v>0</v>
      </c>
      <c r="DV51" s="794" t="s">
        <v>6200</v>
      </c>
      <c r="DW51" s="795">
        <f ca="1">IF(AND(DO6=1,DS6=0),1,0)</f>
        <v>0</v>
      </c>
    </row>
    <row r="52" spans="52:131" x14ac:dyDescent="0.25">
      <c r="AZ52" s="470" t="s">
        <v>6172</v>
      </c>
      <c r="BB52" s="25">
        <f ca="1">IF(BF52&lt;&gt;BI52,1,0)</f>
        <v>0</v>
      </c>
      <c r="BC52" s="750" t="s">
        <v>6193</v>
      </c>
      <c r="BE52" s="790" t="s">
        <v>6222</v>
      </c>
      <c r="BF52" s="597">
        <f ca="1">COUNTA(INDIRECT($BG$43&amp;BF51,1))</f>
        <v>0</v>
      </c>
      <c r="BG52" s="597">
        <f ca="1">COUNTA(INDIRECT($BG$43&amp;BG51,1))</f>
        <v>0</v>
      </c>
      <c r="BH52" s="597">
        <f ca="1">COUNTA(INDIRECT($BG$43&amp;BH51,1))</f>
        <v>0</v>
      </c>
      <c r="BI52" s="597">
        <f ca="1">COUNTA(INDIRECT($BG$43&amp;BI51,1))</f>
        <v>0</v>
      </c>
      <c r="BJ52" s="597">
        <f ca="1">COUNTA(INDIRECT($BG$43&amp;BJ51,1))</f>
        <v>0</v>
      </c>
      <c r="DA52" s="470" t="s">
        <v>6172</v>
      </c>
      <c r="DB52" s="22">
        <f t="shared" ca="1" si="8"/>
        <v>0</v>
      </c>
      <c r="DC52" s="426" t="s">
        <v>6425</v>
      </c>
      <c r="DF52" s="552" t="s">
        <v>5743</v>
      </c>
      <c r="DG52" s="772" t="s">
        <v>209</v>
      </c>
      <c r="DH52" s="771" t="s">
        <v>7656</v>
      </c>
      <c r="DI52" s="741">
        <f t="shared" ca="1" si="7"/>
        <v>0</v>
      </c>
      <c r="DJ52" s="742" cm="1">
        <f t="array" aca="1" ref="DJ52" ca="1">INDIRECT($DH$3&amp;DH52,1)</f>
        <v>0</v>
      </c>
      <c r="DO52" s="794" t="s">
        <v>6420</v>
      </c>
      <c r="DP52" s="795">
        <f ca="1">IF(SUM(DQ52:DS52)&gt;0,1,0)</f>
        <v>0</v>
      </c>
      <c r="DQ52" s="795">
        <f ca="1">IF(AND(DJ35="sim",DI37=0),1,0)</f>
        <v>0</v>
      </c>
      <c r="DR52" s="795">
        <f ca="1">IF(AND(DJ44="sim",DI46=0),1,0)</f>
        <v>0</v>
      </c>
      <c r="DS52" s="795">
        <f ca="1">IF(AND(DJ53="sim",DI55=0),1,0)</f>
        <v>0</v>
      </c>
      <c r="DT52" s="796" t="str">
        <f ca="1">IF(DQ52=1,IF(SUM(DR52:DS52)=0,"Teste I","Teste I, "),"")&amp;
IF(DR52=1,IF(DS52=0,"Teste II","Teste II, "),"")&amp;
IF(DS52=1,"Teste III","")</f>
        <v/>
      </c>
      <c r="DV52" s="794" t="s">
        <v>6201</v>
      </c>
      <c r="DW52" s="795">
        <f ca="1">IF(DO6&lt;&gt;DU6,1,0)</f>
        <v>0</v>
      </c>
    </row>
    <row r="53" spans="52:131" x14ac:dyDescent="0.25">
      <c r="AZ53" s="470" t="s">
        <v>6172</v>
      </c>
      <c r="BB53" s="25">
        <f ca="1">IF(BF52&lt;&gt;BJ52,1,0)</f>
        <v>0</v>
      </c>
      <c r="BC53" s="750" t="s">
        <v>6207</v>
      </c>
      <c r="BE53" s="790" t="s">
        <v>6133</v>
      </c>
      <c r="BF53" s="791"/>
      <c r="BG53" s="791"/>
      <c r="BH53" s="791"/>
      <c r="BI53" s="791"/>
      <c r="BJ53" s="791"/>
      <c r="DA53" s="470" t="s">
        <v>6172</v>
      </c>
      <c r="DB53" s="22">
        <f t="shared" si="8"/>
        <v>0</v>
      </c>
      <c r="DC53" s="426" t="s">
        <v>6107</v>
      </c>
      <c r="DF53" s="552" t="s">
        <v>5743</v>
      </c>
      <c r="DG53" s="772" t="s">
        <v>250</v>
      </c>
      <c r="DH53" s="771" t="s">
        <v>7657</v>
      </c>
      <c r="DI53" s="741">
        <f t="shared" ca="1" si="7"/>
        <v>0</v>
      </c>
      <c r="DJ53" s="742" cm="1">
        <f t="array" aca="1" ref="DJ53" ca="1">INDIRECT($DH$3&amp;DH53,1)</f>
        <v>0</v>
      </c>
      <c r="DO53" s="794"/>
      <c r="DP53" s="795"/>
      <c r="DV53" s="794" t="s">
        <v>6202</v>
      </c>
      <c r="DW53" s="795">
        <f ca="1">IF(DO6&lt;&gt;DV6,1,0)</f>
        <v>0</v>
      </c>
    </row>
    <row r="54" spans="52:131" x14ac:dyDescent="0.25">
      <c r="AZ54" s="470" t="s">
        <v>6172</v>
      </c>
      <c r="BB54" s="25">
        <f ca="1">BJ56</f>
        <v>0</v>
      </c>
      <c r="BC54" s="750" t="s">
        <v>6194</v>
      </c>
      <c r="BE54" s="790" t="s">
        <v>14</v>
      </c>
      <c r="BF54" s="597" t="s">
        <v>7328</v>
      </c>
      <c r="BG54" s="597"/>
      <c r="BH54" s="597"/>
      <c r="BI54" s="597"/>
      <c r="BJ54" s="597"/>
      <c r="DA54" s="470" t="s">
        <v>6172</v>
      </c>
      <c r="DB54" s="22">
        <f t="shared" si="8"/>
        <v>0</v>
      </c>
      <c r="DC54" s="426" t="s">
        <v>6110</v>
      </c>
      <c r="DF54" s="552" t="s">
        <v>5743</v>
      </c>
      <c r="DG54" s="772" t="s">
        <v>251</v>
      </c>
      <c r="DH54" s="771" t="s">
        <v>7658</v>
      </c>
      <c r="DI54" s="741">
        <f t="shared" ca="1" si="7"/>
        <v>0</v>
      </c>
      <c r="DJ54" s="742" cm="1">
        <f t="array" aca="1" ref="DJ54" ca="1">INDIRECT($DH$3&amp;DH54,1)</f>
        <v>0</v>
      </c>
      <c r="DO54" s="794"/>
      <c r="DP54" s="795"/>
      <c r="DV54" s="794" t="s">
        <v>6203</v>
      </c>
      <c r="DW54" s="795">
        <f ca="1">IF(DO6&lt;&gt;DW6,1,0)</f>
        <v>0</v>
      </c>
    </row>
    <row r="55" spans="52:131" x14ac:dyDescent="0.25">
      <c r="AZ55" s="470" t="s">
        <v>6172</v>
      </c>
      <c r="BB55" s="25">
        <f ca="1">BK72</f>
        <v>0</v>
      </c>
      <c r="BC55" s="750" t="s">
        <v>6208</v>
      </c>
      <c r="DA55" s="470" t="s">
        <v>6172</v>
      </c>
      <c r="DB55" s="22">
        <f t="shared" ca="1" si="8"/>
        <v>0</v>
      </c>
      <c r="DC55" s="426" t="s">
        <v>7080</v>
      </c>
      <c r="DF55" s="552" t="s">
        <v>5743</v>
      </c>
      <c r="DG55" s="772" t="s">
        <v>252</v>
      </c>
      <c r="DH55" s="771" t="s">
        <v>7659</v>
      </c>
      <c r="DI55" s="741">
        <f t="shared" ca="1" si="7"/>
        <v>0</v>
      </c>
      <c r="DJ55" s="742" cm="1">
        <f t="array" aca="1" ref="DJ55" ca="1">INDIRECT($DH$3&amp;DH55,1)</f>
        <v>0</v>
      </c>
      <c r="DO55" s="794" t="s">
        <v>6196</v>
      </c>
      <c r="DP55" s="795">
        <f ca="1">IF(DI29&lt;&gt;EK6,1,0)</f>
        <v>0</v>
      </c>
      <c r="DV55" s="801" t="s">
        <v>6394</v>
      </c>
      <c r="DW55" s="795">
        <f ca="1">IF(DO6&lt;&gt;DX6,1,0)</f>
        <v>0</v>
      </c>
    </row>
    <row r="56" spans="52:131" x14ac:dyDescent="0.25">
      <c r="AZ56" s="470" t="s">
        <v>6172</v>
      </c>
      <c r="BB56" s="25">
        <f ca="1">IF(AND(BK67=1,BS46=0),1,0)</f>
        <v>0</v>
      </c>
      <c r="BC56" s="426" t="s">
        <v>8287</v>
      </c>
      <c r="BI56" s="802" t="s">
        <v>6194</v>
      </c>
      <c r="BJ56" s="802">
        <f ca="1">IF(AND(BF46=1,BK71=1,BQ46=0),1,0)</f>
        <v>0</v>
      </c>
      <c r="DA56" s="470" t="s">
        <v>6172</v>
      </c>
      <c r="DB56" s="22">
        <f ca="1">DP24</f>
        <v>0</v>
      </c>
      <c r="DC56" s="426" t="s">
        <v>6067</v>
      </c>
      <c r="DH56" s="477" t="s">
        <v>8368</v>
      </c>
      <c r="DI56" s="732">
        <v>13</v>
      </c>
      <c r="DJ56" s="732">
        <v>359</v>
      </c>
      <c r="DK56" s="732">
        <v>705</v>
      </c>
      <c r="DV56" s="794" t="s">
        <v>6395</v>
      </c>
      <c r="DW56" s="795">
        <f ca="1">IF(DO6&lt;&gt;DY6,1,0)</f>
        <v>0</v>
      </c>
    </row>
    <row r="57" spans="52:131" x14ac:dyDescent="0.25">
      <c r="AZ57" s="470" t="s">
        <v>6172</v>
      </c>
      <c r="BB57" s="25">
        <f ca="1">IF(AND(BF46&lt;&gt;0,CD47=0),1,0)</f>
        <v>0</v>
      </c>
      <c r="BC57" s="426" t="s">
        <v>6209</v>
      </c>
      <c r="BI57" s="802"/>
      <c r="BJ57" s="802"/>
      <c r="DA57" s="470" t="s">
        <v>6172</v>
      </c>
      <c r="DB57" s="22">
        <f ca="1">DP25</f>
        <v>0</v>
      </c>
      <c r="DC57" s="426" t="s">
        <v>6210</v>
      </c>
      <c r="DH57" s="477" t="s">
        <v>8364</v>
      </c>
      <c r="DI57" s="732">
        <v>11</v>
      </c>
      <c r="DO57" s="757" t="s">
        <v>7927</v>
      </c>
      <c r="DP57" s="767">
        <f>IF(ED25="sim",1,0)</f>
        <v>0</v>
      </c>
      <c r="DQ57" s="767">
        <f>IF(ED32="sim",1,0)</f>
        <v>0</v>
      </c>
      <c r="DR57" s="767">
        <f>IF(ED38="sim",1,0)</f>
        <v>0</v>
      </c>
      <c r="DS57" s="796" t="str">
        <f>IF(DP57=1,IF(SUM(DQ57:DR57)=0,"Teste I","Teste I, "),"")&amp;
IF(DQ57=1,IF(DR57=0,"Teste II","Teste II, "),"")&amp;
IF(DR57=1,"Teste III","")</f>
        <v/>
      </c>
      <c r="DV57" s="794" t="s">
        <v>6396</v>
      </c>
      <c r="DW57" s="795">
        <f ca="1">IF(DO6&lt;&gt;DZ6,1,0)</f>
        <v>0</v>
      </c>
    </row>
    <row r="58" spans="52:131" x14ac:dyDescent="0.25">
      <c r="AZ58" s="470" t="s">
        <v>6172</v>
      </c>
      <c r="BB58" s="25">
        <f ca="1">IF(AND(BF46&lt;&gt;0,BK69=1),1,0)</f>
        <v>0</v>
      </c>
      <c r="BC58" s="426" t="s">
        <v>6195</v>
      </c>
      <c r="BI58" s="802" t="s">
        <v>6216</v>
      </c>
      <c r="BJ58" s="802">
        <f ca="1">IF(AND(BF46=1,BK71=1),1,0)</f>
        <v>0</v>
      </c>
      <c r="DA58" s="470" t="s">
        <v>6172</v>
      </c>
      <c r="DB58" s="22">
        <f>DP27</f>
        <v>0</v>
      </c>
      <c r="DC58" s="426" t="s">
        <v>6070</v>
      </c>
      <c r="DH58" s="477" t="s">
        <v>8365</v>
      </c>
      <c r="DI58" s="732" t="s">
        <v>8369</v>
      </c>
      <c r="DO58" s="757" t="s">
        <v>7928</v>
      </c>
      <c r="DP58" s="767">
        <f>IF(EE25="sim",1,0)</f>
        <v>0</v>
      </c>
      <c r="DQ58" s="767">
        <f>IF(EE32="sim",1,0)</f>
        <v>0</v>
      </c>
      <c r="DR58" s="767">
        <f>IF(EE38="sim",1,0)</f>
        <v>0</v>
      </c>
      <c r="DS58" s="796" t="str">
        <f>IF(DP58=1,IF(SUM(DQ58:DR58)=0,"Teste I","Teste I, "),"")&amp;
IF(DQ58=1,IF(DR58=0,"Teste II","Teste II, "),"")&amp;
IF(DR58=1,"Teste III","")</f>
        <v/>
      </c>
      <c r="DV58" s="801" t="s">
        <v>6397</v>
      </c>
      <c r="DW58" s="795">
        <f ca="1">IF(DO6&lt;&gt;EA6,1,0)</f>
        <v>0</v>
      </c>
    </row>
    <row r="59" spans="52:131" x14ac:dyDescent="0.25">
      <c r="AZ59" s="470" t="s">
        <v>6172</v>
      </c>
      <c r="BB59" s="25">
        <f ca="1">IF(BF46&lt;&gt;CB46,1,0)</f>
        <v>0</v>
      </c>
      <c r="BC59" s="426" t="s">
        <v>6196</v>
      </c>
      <c r="DA59" s="470" t="s">
        <v>6172</v>
      </c>
      <c r="DB59" s="22">
        <f ca="1">DP18</f>
        <v>0</v>
      </c>
      <c r="DC59" s="426" t="s">
        <v>6243</v>
      </c>
      <c r="DH59" s="477" t="s">
        <v>8366</v>
      </c>
      <c r="DI59" s="732" t="s">
        <v>5734</v>
      </c>
      <c r="DO59" s="757" t="s">
        <v>7929</v>
      </c>
      <c r="DP59" s="767">
        <f ca="1">IF(DJ37="sim",1,0)</f>
        <v>0</v>
      </c>
      <c r="DQ59" s="767">
        <f ca="1">IF(DJ46="sim",1,0)</f>
        <v>0</v>
      </c>
      <c r="DR59" s="767">
        <f ca="1">IF(DJ55="sim",1,0)</f>
        <v>0</v>
      </c>
      <c r="DS59" s="796" t="str">
        <f ca="1">IF(DP59=1,IF(SUM(DQ59:DR59)=0,"Teste I","Teste I, "),"")&amp;
IF(DQ59=1,IF(DR59=0,"Teste II","Teste II, "),"")&amp;
IF(DR59=1,"Teste III","")</f>
        <v/>
      </c>
      <c r="DV59" s="794" t="s">
        <v>6398</v>
      </c>
      <c r="DW59" s="795">
        <f ca="1">IF(DO6&lt;&gt;EB6,1,0)</f>
        <v>0</v>
      </c>
    </row>
    <row r="60" spans="52:131" x14ac:dyDescent="0.25">
      <c r="AZ60" s="470" t="s">
        <v>6172</v>
      </c>
      <c r="BB60" s="25">
        <f ca="1">IF(BK66=1,1,0)</f>
        <v>0</v>
      </c>
      <c r="BC60" s="426" t="s">
        <v>6071</v>
      </c>
      <c r="BI60" s="472" t="s">
        <v>7352</v>
      </c>
      <c r="BJ60" s="757" t="s">
        <v>6211</v>
      </c>
      <c r="BK60" s="525">
        <f ca="1">BN47</f>
        <v>0</v>
      </c>
      <c r="DA60" s="470" t="s">
        <v>6172</v>
      </c>
      <c r="DB60" s="22">
        <f ca="1">DP21</f>
        <v>0</v>
      </c>
      <c r="DC60" s="426" t="s">
        <v>6068</v>
      </c>
      <c r="DH60" s="477" t="s">
        <v>8367</v>
      </c>
      <c r="DI60" s="732" t="s">
        <v>5737</v>
      </c>
      <c r="DV60" s="794" t="s">
        <v>7911</v>
      </c>
      <c r="DW60" s="795">
        <f ca="1">IF(DO6&lt;&gt;EB6,1,0)</f>
        <v>0</v>
      </c>
    </row>
    <row r="61" spans="52:131" x14ac:dyDescent="0.25">
      <c r="AZ61" s="470" t="s">
        <v>6172</v>
      </c>
      <c r="BB61" s="25">
        <f ca="1">BJ58</f>
        <v>0</v>
      </c>
      <c r="BC61" s="426" t="s">
        <v>6216</v>
      </c>
      <c r="BI61" s="469" t="s">
        <v>5448</v>
      </c>
      <c r="BJ61" s="758" t="s">
        <v>6223</v>
      </c>
      <c r="BK61" s="759" t="str">
        <f ca="1">IF(BK60&lt;&gt;0,
IF(COUNTIF($M$65:$M$94,BK60)=0,1,0),"")</f>
        <v/>
      </c>
      <c r="BL61" s="20" t="s">
        <v>6212</v>
      </c>
      <c r="DA61" s="470" t="s">
        <v>6172</v>
      </c>
      <c r="DB61" s="22">
        <f ca="1">DP22</f>
        <v>0</v>
      </c>
      <c r="DC61" s="426" t="s">
        <v>6069</v>
      </c>
      <c r="DH61" s="803" t="s">
        <v>10</v>
      </c>
      <c r="DI61" s="803" t="s">
        <v>10</v>
      </c>
      <c r="DJ61" s="469" t="s">
        <v>237</v>
      </c>
      <c r="DK61" s="469" t="s">
        <v>237</v>
      </c>
      <c r="DV61" s="794" t="s">
        <v>6399</v>
      </c>
      <c r="DW61" s="795">
        <f ca="1">IF(AND(EC7="sim",ED6=0),1,0)</f>
        <v>0</v>
      </c>
    </row>
    <row r="62" spans="52:131" x14ac:dyDescent="0.25">
      <c r="AZ62" s="470" t="s">
        <v>6172</v>
      </c>
      <c r="BB62" s="25">
        <f ca="1">IF(CD47=2,1,0)</f>
        <v>0</v>
      </c>
      <c r="BC62" s="426" t="s">
        <v>6067</v>
      </c>
      <c r="BI62" s="472" t="s">
        <v>7352</v>
      </c>
      <c r="BJ62" s="757" t="s">
        <v>6178</v>
      </c>
      <c r="BK62" s="525">
        <f ca="1">IFERROR(VLOOKUP(BK60,$M$65:$P$94,4,0),0)</f>
        <v>0</v>
      </c>
      <c r="DA62" s="470" t="s">
        <v>6172</v>
      </c>
      <c r="DB62" s="426"/>
      <c r="DC62" s="430" t="s">
        <v>8297</v>
      </c>
      <c r="DF62" s="608" t="s">
        <v>5741</v>
      </c>
      <c r="DG62" s="737" t="s">
        <v>90</v>
      </c>
      <c r="DH62" s="804">
        <f>$DI$56</f>
        <v>13</v>
      </c>
      <c r="DI62" s="804">
        <f t="shared" ref="DI62:DI91" si="10">DH62+$DI$57</f>
        <v>24</v>
      </c>
      <c r="DJ62" s="804">
        <f>DI62+6</f>
        <v>30</v>
      </c>
      <c r="DK62" s="804">
        <f t="shared" ref="DK62:DK91" si="11">DJ62+$DI$57</f>
        <v>41</v>
      </c>
      <c r="DV62" s="794" t="s">
        <v>6400</v>
      </c>
      <c r="DW62" s="795">
        <f ca="1">IF(AND(EC7="sim",EE6=0),1,0)</f>
        <v>0</v>
      </c>
    </row>
    <row r="63" spans="52:131" x14ac:dyDescent="0.25">
      <c r="AZ63" s="470" t="s">
        <v>6172</v>
      </c>
      <c r="BB63" s="25">
        <f ca="1">IF(BK68=1,1,0)</f>
        <v>0</v>
      </c>
      <c r="BC63" s="426" t="s">
        <v>6210</v>
      </c>
      <c r="BI63" s="472" t="s">
        <v>7353</v>
      </c>
      <c r="BJ63" s="757" t="s">
        <v>6213</v>
      </c>
      <c r="BK63" s="525">
        <f ca="1">BM47</f>
        <v>0</v>
      </c>
      <c r="DA63" s="470" t="s">
        <v>6172</v>
      </c>
      <c r="DB63" s="426"/>
      <c r="DC63" s="430" t="s">
        <v>8297</v>
      </c>
      <c r="DF63" s="608" t="s">
        <v>5741</v>
      </c>
      <c r="DG63" s="737" t="s">
        <v>91</v>
      </c>
      <c r="DH63" s="806">
        <f t="shared" ref="DH63:DH71" si="12">DI62+$DI$58</f>
        <v>47</v>
      </c>
      <c r="DI63" s="807">
        <f t="shared" si="10"/>
        <v>58</v>
      </c>
      <c r="DJ63" s="806">
        <f t="shared" ref="DJ63:DJ71" si="13">DK62+$DI$58</f>
        <v>64</v>
      </c>
      <c r="DK63" s="807">
        <f t="shared" si="11"/>
        <v>75</v>
      </c>
      <c r="DV63" s="794" t="s">
        <v>6401</v>
      </c>
      <c r="DW63" s="795">
        <f ca="1">IF(DO6&lt;&gt;DO13,1,0)</f>
        <v>0</v>
      </c>
      <c r="DX63" s="504" t="s">
        <v>88</v>
      </c>
      <c r="DY63" s="504" t="s">
        <v>101</v>
      </c>
      <c r="DZ63" s="504" t="s">
        <v>120</v>
      </c>
      <c r="EA63" s="504" t="s">
        <v>7070</v>
      </c>
    </row>
    <row r="64" spans="52:131" x14ac:dyDescent="0.25">
      <c r="AZ64" s="470" t="s">
        <v>6172</v>
      </c>
      <c r="BB64" s="25">
        <f ca="1">IF(BK61=1,1,0)</f>
        <v>0</v>
      </c>
      <c r="BC64" s="426" t="s">
        <v>6243</v>
      </c>
      <c r="BI64" s="469" t="s">
        <v>5448</v>
      </c>
      <c r="BJ64" s="758" t="s">
        <v>6179</v>
      </c>
      <c r="BK64" s="759">
        <f ca="1">IF(BK61&lt;&gt;1,
IF((BK62-BK63)&lt;0,1,0),
0)</f>
        <v>0</v>
      </c>
      <c r="BL64" s="20" t="s">
        <v>6180</v>
      </c>
      <c r="DA64" s="470" t="s">
        <v>6172</v>
      </c>
      <c r="DB64" s="426"/>
      <c r="DC64" s="430" t="s">
        <v>8297</v>
      </c>
      <c r="DF64" s="608" t="s">
        <v>5741</v>
      </c>
      <c r="DG64" s="737" t="s">
        <v>92</v>
      </c>
      <c r="DH64" s="807">
        <f t="shared" si="12"/>
        <v>81</v>
      </c>
      <c r="DI64" s="807">
        <f t="shared" si="10"/>
        <v>92</v>
      </c>
      <c r="DJ64" s="807">
        <f t="shared" si="13"/>
        <v>98</v>
      </c>
      <c r="DK64" s="807">
        <f t="shared" si="11"/>
        <v>109</v>
      </c>
      <c r="DV64" s="794" t="s">
        <v>6402</v>
      </c>
      <c r="DW64" s="795">
        <f ca="1">IF(SUM(DX64:DZ64)&gt;0,1,0)</f>
        <v>0</v>
      </c>
      <c r="DX64" s="795">
        <f ca="1">IF(DI29&lt;&gt;DI30,1,0)</f>
        <v>0</v>
      </c>
      <c r="DY64" s="795">
        <f ca="1">IF(DI38&lt;&gt;DI39,1,0)</f>
        <v>0</v>
      </c>
      <c r="DZ64" s="795">
        <f ca="1">IF(DI47&lt;&gt;DI48,1,0)</f>
        <v>0</v>
      </c>
      <c r="EA64" s="796" t="str">
        <f ca="1">IF(DX64=1,IF(SUM(DY64:DZ64)=0,"Teste I","Teste I, "),"")&amp;
IF(DY64=1,IF(DZ64=0,"Teste II","Teste II, "),"")&amp;
IF(DZ64=1,"Teste III","")</f>
        <v/>
      </c>
    </row>
    <row r="65" spans="52:138" x14ac:dyDescent="0.25">
      <c r="AZ65" s="470" t="s">
        <v>6172</v>
      </c>
      <c r="BB65" s="25">
        <f ca="1">IF(BK64=1,1,0)</f>
        <v>0</v>
      </c>
      <c r="BC65" s="426" t="s">
        <v>6068</v>
      </c>
      <c r="BI65" s="469" t="s">
        <v>5448</v>
      </c>
      <c r="BJ65" s="758" t="s">
        <v>7354</v>
      </c>
      <c r="BK65" s="759">
        <f ca="1">IF(COUNTIFS($M$65:$M$94,BK60,$AA$65:$AA$94,2)&gt;0,1,0)</f>
        <v>0</v>
      </c>
      <c r="BL65" s="20" t="s">
        <v>7355</v>
      </c>
      <c r="DA65" s="470" t="s">
        <v>6172</v>
      </c>
      <c r="DB65" s="426"/>
      <c r="DC65" s="430" t="s">
        <v>8297</v>
      </c>
      <c r="DF65" s="608" t="s">
        <v>5741</v>
      </c>
      <c r="DG65" s="737" t="s">
        <v>93</v>
      </c>
      <c r="DH65" s="807">
        <f t="shared" si="12"/>
        <v>115</v>
      </c>
      <c r="DI65" s="807">
        <f t="shared" si="10"/>
        <v>126</v>
      </c>
      <c r="DJ65" s="807">
        <f t="shared" si="13"/>
        <v>132</v>
      </c>
      <c r="DK65" s="807">
        <f t="shared" si="11"/>
        <v>143</v>
      </c>
      <c r="DV65" s="814" t="s">
        <v>6403</v>
      </c>
      <c r="DW65" s="795">
        <f ca="1">IF(SUM(DX65:DZ65)&gt;0,1,0)</f>
        <v>0</v>
      </c>
      <c r="DX65" s="795">
        <f ca="1">IF(AND(DP34=1,DI40=0),1,0)</f>
        <v>0</v>
      </c>
      <c r="DY65" s="795">
        <f ca="1">IF(AND(DQ34=1,DI40=0),1,0)</f>
        <v>0</v>
      </c>
      <c r="DZ65" s="795">
        <f ca="1">IF(AND(DR34=1,DI49=0),1,0)</f>
        <v>0</v>
      </c>
      <c r="EA65" s="796" t="str">
        <f ca="1">IF(DX65=1,IF(SUM(DY65:DZ65)=0,"Teste I","Teste I, "),"")&amp;
IF(DY65=1,IF(DZ65=0,"Teste II","Teste II, "),"")&amp;
IF(DZ65=1,"Teste III","")</f>
        <v/>
      </c>
    </row>
    <row r="66" spans="52:138" x14ac:dyDescent="0.25">
      <c r="AZ66" s="470" t="s">
        <v>6172</v>
      </c>
      <c r="BB66" s="25">
        <f ca="1">IF(BK65=1,1,0)</f>
        <v>0</v>
      </c>
      <c r="BC66" s="426" t="s">
        <v>6069</v>
      </c>
      <c r="BI66" s="469" t="s">
        <v>5448</v>
      </c>
      <c r="BJ66" s="758" t="s">
        <v>7356</v>
      </c>
      <c r="BK66" s="767">
        <f ca="1">IF(BI47="Não",1,0)</f>
        <v>0</v>
      </c>
      <c r="BL66" s="20" t="s">
        <v>7357</v>
      </c>
      <c r="DA66" s="470" t="s">
        <v>6172</v>
      </c>
      <c r="DB66" s="426"/>
      <c r="DC66" s="430" t="s">
        <v>8297</v>
      </c>
      <c r="DF66" s="608" t="s">
        <v>5741</v>
      </c>
      <c r="DG66" s="737" t="s">
        <v>94</v>
      </c>
      <c r="DH66" s="807">
        <f t="shared" si="12"/>
        <v>149</v>
      </c>
      <c r="DI66" s="807">
        <f t="shared" si="10"/>
        <v>160</v>
      </c>
      <c r="DJ66" s="807">
        <f t="shared" si="13"/>
        <v>166</v>
      </c>
      <c r="DK66" s="807">
        <f t="shared" si="11"/>
        <v>177</v>
      </c>
      <c r="DV66" s="801" t="s">
        <v>6404</v>
      </c>
      <c r="DW66" s="795">
        <f ca="1">IF(SUM(DX66:DZ66)&gt;0,1,0)</f>
        <v>0</v>
      </c>
      <c r="DX66" s="795">
        <f ca="1">IF(DI29&lt;&gt;DI32,1,0)</f>
        <v>0</v>
      </c>
      <c r="DY66" s="795">
        <f ca="1">IF(DI38&lt;&gt;DI41,1,0)</f>
        <v>0</v>
      </c>
      <c r="DZ66" s="795">
        <f ca="1">IF(DI47&lt;&gt;DI50,1,0)</f>
        <v>0</v>
      </c>
      <c r="EA66" s="796" t="str">
        <f ca="1">IF(DX66=1,IF(SUM(DY66:DZ66)=0,"Teste I","Teste I, "),"")&amp;
IF(DY66=1,IF(DZ66=0,"Teste II","Teste II, "),"")&amp;
IF(DZ66=1,"Teste III","")</f>
        <v/>
      </c>
    </row>
    <row r="67" spans="52:138" x14ac:dyDescent="0.25">
      <c r="AZ67" s="470" t="s">
        <v>6172</v>
      </c>
      <c r="BB67" s="525">
        <f ca="1">IF(CC47&gt;0,1,0)</f>
        <v>0</v>
      </c>
      <c r="BC67" s="426" t="s">
        <v>8330</v>
      </c>
      <c r="BI67" s="469" t="s">
        <v>5448</v>
      </c>
      <c r="BJ67" s="758" t="s">
        <v>7358</v>
      </c>
      <c r="BK67" s="767">
        <f ca="1">IF(ISERROR(SEARCH("especificar",BR47,1)),0,1)</f>
        <v>0</v>
      </c>
      <c r="BL67" s="20" t="s">
        <v>7359</v>
      </c>
      <c r="DA67" s="470" t="s">
        <v>6172</v>
      </c>
      <c r="DB67" s="426"/>
      <c r="DC67" s="430" t="s">
        <v>8297</v>
      </c>
      <c r="DF67" s="608" t="s">
        <v>5741</v>
      </c>
      <c r="DG67" s="737" t="s">
        <v>95</v>
      </c>
      <c r="DH67" s="807">
        <f t="shared" si="12"/>
        <v>183</v>
      </c>
      <c r="DI67" s="807">
        <f t="shared" si="10"/>
        <v>194</v>
      </c>
      <c r="DJ67" s="807">
        <f t="shared" si="13"/>
        <v>200</v>
      </c>
      <c r="DK67" s="807">
        <f t="shared" si="11"/>
        <v>211</v>
      </c>
      <c r="DV67" s="794" t="s">
        <v>6405</v>
      </c>
      <c r="DW67" s="795">
        <f ca="1">IF(SUM(DX67:DZ67)&gt;0,1,0)</f>
        <v>0</v>
      </c>
      <c r="DX67" s="795">
        <f ca="1">IF(DI29&lt;&gt;DI33,1,0)</f>
        <v>0</v>
      </c>
      <c r="DY67" s="795">
        <f ca="1">IF(DI38&lt;&gt;DI42,1,0)</f>
        <v>0</v>
      </c>
      <c r="DZ67" s="795">
        <f ca="1">IF(DI47&lt;&gt;DI51,1,0)</f>
        <v>0</v>
      </c>
      <c r="EA67" s="796" t="str">
        <f ca="1">IF(DX67=1,IF(SUM(DY67:DZ67)=0,"Teste I","Teste I, "),"")&amp;
IF(DY67=1,IF(DZ67=0,"Teste II","Teste II, "),"")&amp;
IF(DZ67=1,"Teste III","")</f>
        <v/>
      </c>
    </row>
    <row r="68" spans="52:138" x14ac:dyDescent="0.25">
      <c r="AZ68" s="470" t="s">
        <v>6172</v>
      </c>
      <c r="BB68" s="426"/>
      <c r="BC68" s="752" t="s">
        <v>8297</v>
      </c>
      <c r="BI68" s="469" t="s">
        <v>5448</v>
      </c>
      <c r="BJ68" s="758" t="s">
        <v>7360</v>
      </c>
      <c r="BK68" s="767">
        <f ca="1">IF(CD47=2,
IF(COUNTIF(INDIRECT(BG43&amp;BV45,1),"sim")&gt;0,1,0),0)</f>
        <v>0</v>
      </c>
      <c r="BL68" s="20" t="s">
        <v>7361</v>
      </c>
      <c r="DA68" s="470" t="s">
        <v>6172</v>
      </c>
      <c r="DB68" s="426"/>
      <c r="DC68" s="430" t="s">
        <v>8297</v>
      </c>
      <c r="DF68" s="608" t="s">
        <v>5741</v>
      </c>
      <c r="DG68" s="737" t="s">
        <v>96</v>
      </c>
      <c r="DH68" s="807">
        <f t="shared" si="12"/>
        <v>217</v>
      </c>
      <c r="DI68" s="807">
        <f t="shared" si="10"/>
        <v>228</v>
      </c>
      <c r="DJ68" s="807">
        <f t="shared" si="13"/>
        <v>234</v>
      </c>
      <c r="DK68" s="807">
        <f t="shared" si="11"/>
        <v>245</v>
      </c>
    </row>
    <row r="69" spans="52:138" x14ac:dyDescent="0.25">
      <c r="AZ69" s="470" t="s">
        <v>6172</v>
      </c>
      <c r="BB69" s="25"/>
      <c r="BC69" s="752" t="s">
        <v>8297</v>
      </c>
      <c r="BI69" s="469" t="s">
        <v>5448</v>
      </c>
      <c r="BJ69" s="758" t="s">
        <v>7362</v>
      </c>
      <c r="BK69" s="767">
        <f ca="1">IF(COUNTIF(BY46:BZ46,1)=0,1,0)</f>
        <v>1</v>
      </c>
      <c r="BL69" s="20" t="s">
        <v>7848</v>
      </c>
      <c r="DA69" s="470" t="s">
        <v>6172</v>
      </c>
      <c r="DB69" s="426"/>
      <c r="DC69" s="430" t="s">
        <v>8297</v>
      </c>
      <c r="DF69" s="608" t="s">
        <v>5741</v>
      </c>
      <c r="DG69" s="737" t="s">
        <v>97</v>
      </c>
      <c r="DH69" s="807">
        <f t="shared" si="12"/>
        <v>251</v>
      </c>
      <c r="DI69" s="807">
        <f t="shared" si="10"/>
        <v>262</v>
      </c>
      <c r="DJ69" s="807">
        <f t="shared" si="13"/>
        <v>268</v>
      </c>
      <c r="DK69" s="807">
        <f t="shared" si="11"/>
        <v>279</v>
      </c>
    </row>
    <row r="70" spans="52:138" x14ac:dyDescent="0.25">
      <c r="AZ70" s="470" t="s">
        <v>6172</v>
      </c>
      <c r="BB70" s="25"/>
      <c r="BC70" s="752" t="s">
        <v>8297</v>
      </c>
      <c r="BI70" s="469" t="s">
        <v>5448</v>
      </c>
      <c r="BJ70" s="758" t="s">
        <v>7363</v>
      </c>
      <c r="BK70" s="767">
        <f ca="1">IF(BW47="sim",1,0)</f>
        <v>0</v>
      </c>
      <c r="BL70" s="20" t="s">
        <v>7364</v>
      </c>
      <c r="DA70" s="470" t="s">
        <v>6172</v>
      </c>
      <c r="DB70" s="426"/>
      <c r="DC70" s="430" t="s">
        <v>8297</v>
      </c>
      <c r="DF70" s="608" t="s">
        <v>5741</v>
      </c>
      <c r="DG70" s="737" t="s">
        <v>98</v>
      </c>
      <c r="DH70" s="807">
        <f t="shared" si="12"/>
        <v>285</v>
      </c>
      <c r="DI70" s="807">
        <f t="shared" si="10"/>
        <v>296</v>
      </c>
      <c r="DJ70" s="807">
        <f t="shared" si="13"/>
        <v>302</v>
      </c>
      <c r="DK70" s="807">
        <f t="shared" si="11"/>
        <v>313</v>
      </c>
    </row>
    <row r="71" spans="52:138" x14ac:dyDescent="0.25">
      <c r="AZ71" s="470" t="s">
        <v>6172</v>
      </c>
      <c r="BB71" s="25"/>
      <c r="BC71" s="752" t="s">
        <v>8297</v>
      </c>
      <c r="BI71" s="469" t="s">
        <v>5448</v>
      </c>
      <c r="BJ71" s="758" t="s">
        <v>7846</v>
      </c>
      <c r="BK71" s="759">
        <f ca="1">IF(COUNTIF(INDIRECT($BG$43&amp;BG51,1),"Macho")=BG52,1,0)</f>
        <v>1</v>
      </c>
      <c r="BL71" s="20" t="s">
        <v>7847</v>
      </c>
      <c r="DA71" s="470" t="s">
        <v>6172</v>
      </c>
      <c r="DB71" s="426"/>
      <c r="DC71" s="430" t="s">
        <v>8297</v>
      </c>
      <c r="DF71" s="608" t="s">
        <v>5741</v>
      </c>
      <c r="DG71" s="737" t="s">
        <v>99</v>
      </c>
      <c r="DH71" s="807">
        <f t="shared" si="12"/>
        <v>319</v>
      </c>
      <c r="DI71" s="807">
        <f t="shared" si="10"/>
        <v>330</v>
      </c>
      <c r="DJ71" s="807">
        <f t="shared" si="13"/>
        <v>336</v>
      </c>
      <c r="DK71" s="807">
        <f t="shared" si="11"/>
        <v>347</v>
      </c>
    </row>
    <row r="72" spans="52:138" x14ac:dyDescent="0.25">
      <c r="AZ72" s="470" t="s">
        <v>6172</v>
      </c>
      <c r="BB72" s="25"/>
      <c r="BC72" s="752" t="s">
        <v>8297</v>
      </c>
      <c r="BI72" s="469" t="s">
        <v>5448</v>
      </c>
      <c r="BJ72" s="758" t="s">
        <v>7952</v>
      </c>
      <c r="BK72" s="759">
        <f ca="1">IF(AND(COUNTIF(BR47,"*especificar*")&gt;0,BS46=0),1,0)</f>
        <v>0</v>
      </c>
      <c r="DA72" s="470" t="s">
        <v>6172</v>
      </c>
      <c r="DB72" s="426"/>
      <c r="DC72" s="430" t="s">
        <v>8297</v>
      </c>
      <c r="DF72" s="699" t="s">
        <v>5742</v>
      </c>
      <c r="DG72" s="816" t="s">
        <v>90</v>
      </c>
      <c r="DH72" s="817">
        <f>$DJ$56</f>
        <v>359</v>
      </c>
      <c r="DI72" s="818">
        <f t="shared" si="10"/>
        <v>370</v>
      </c>
      <c r="DJ72" s="818">
        <f>DI72+6</f>
        <v>376</v>
      </c>
      <c r="DK72" s="818">
        <f t="shared" si="11"/>
        <v>387</v>
      </c>
    </row>
    <row r="73" spans="52:138" x14ac:dyDescent="0.25">
      <c r="AZ73" s="470" t="s">
        <v>6172</v>
      </c>
      <c r="BB73" s="25"/>
      <c r="BC73" s="752" t="s">
        <v>8297</v>
      </c>
      <c r="DA73" s="470" t="s">
        <v>6172</v>
      </c>
      <c r="DB73" s="426"/>
      <c r="DC73" s="430" t="s">
        <v>8297</v>
      </c>
      <c r="DF73" s="699" t="s">
        <v>5742</v>
      </c>
      <c r="DG73" s="816" t="s">
        <v>91</v>
      </c>
      <c r="DH73" s="819">
        <f t="shared" ref="DH73:DH81" si="14">DI72+$DI$58</f>
        <v>393</v>
      </c>
      <c r="DI73" s="820">
        <f t="shared" si="10"/>
        <v>404</v>
      </c>
      <c r="DJ73" s="819">
        <f t="shared" ref="DJ73:DJ81" si="15">DK72+$DI$58</f>
        <v>410</v>
      </c>
      <c r="DK73" s="820">
        <f t="shared" si="11"/>
        <v>421</v>
      </c>
    </row>
    <row r="74" spans="52:138" x14ac:dyDescent="0.25">
      <c r="AZ74" s="470" t="s">
        <v>6172</v>
      </c>
      <c r="BB74" s="25"/>
      <c r="BC74" s="752" t="s">
        <v>8297</v>
      </c>
      <c r="DA74" s="470" t="s">
        <v>6172</v>
      </c>
      <c r="DF74" s="699" t="s">
        <v>5742</v>
      </c>
      <c r="DG74" s="816" t="s">
        <v>92</v>
      </c>
      <c r="DH74" s="820">
        <f t="shared" si="14"/>
        <v>427</v>
      </c>
      <c r="DI74" s="820">
        <f t="shared" si="10"/>
        <v>438</v>
      </c>
      <c r="DJ74" s="820">
        <f t="shared" si="15"/>
        <v>444</v>
      </c>
      <c r="DK74" s="820">
        <f t="shared" si="11"/>
        <v>455</v>
      </c>
      <c r="DO74" s="20" t="s">
        <v>6427</v>
      </c>
    </row>
    <row r="75" spans="52:138" ht="15.75" thickBot="1" x14ac:dyDescent="0.3">
      <c r="AZ75" s="470" t="s">
        <v>6172</v>
      </c>
      <c r="BB75" s="821" t="s">
        <v>6214</v>
      </c>
      <c r="BC75" s="821"/>
      <c r="BD75" s="730"/>
      <c r="BE75" s="730"/>
      <c r="BF75" s="730"/>
      <c r="BG75" s="730"/>
      <c r="BH75" s="730"/>
      <c r="BI75" s="730"/>
      <c r="BJ75" s="730"/>
      <c r="BK75" s="730"/>
      <c r="BL75" s="730"/>
      <c r="BM75" s="730"/>
      <c r="BN75" s="730"/>
      <c r="BO75" s="730"/>
      <c r="BP75" s="730"/>
      <c r="BQ75" s="730"/>
      <c r="BR75" s="730"/>
      <c r="BS75" s="730"/>
      <c r="BT75" s="730"/>
      <c r="BU75" s="730"/>
      <c r="BV75" s="730"/>
      <c r="BW75" s="730"/>
      <c r="BX75" s="730"/>
      <c r="BY75" s="730"/>
      <c r="BZ75" s="730"/>
      <c r="CA75" s="730"/>
      <c r="CB75" s="730"/>
      <c r="CC75" s="730"/>
      <c r="CD75" s="730"/>
      <c r="CE75" s="730"/>
      <c r="CF75" s="730"/>
      <c r="CG75" s="730"/>
      <c r="CH75" s="730"/>
      <c r="CI75" s="730"/>
      <c r="DA75" s="470" t="s">
        <v>6172</v>
      </c>
      <c r="DF75" s="699" t="s">
        <v>5742</v>
      </c>
      <c r="DG75" s="816" t="s">
        <v>93</v>
      </c>
      <c r="DH75" s="820">
        <f t="shared" si="14"/>
        <v>461</v>
      </c>
      <c r="DI75" s="820">
        <f t="shared" si="10"/>
        <v>472</v>
      </c>
      <c r="DJ75" s="820">
        <f t="shared" si="15"/>
        <v>478</v>
      </c>
      <c r="DK75" s="820">
        <f t="shared" si="11"/>
        <v>489</v>
      </c>
      <c r="DO75" s="372" t="s">
        <v>90</v>
      </c>
      <c r="DP75" s="372" t="s">
        <v>90</v>
      </c>
      <c r="DQ75" s="372" t="s">
        <v>91</v>
      </c>
      <c r="DR75" s="372" t="s">
        <v>91</v>
      </c>
      <c r="DS75" s="372" t="s">
        <v>92</v>
      </c>
      <c r="DT75" s="372" t="s">
        <v>92</v>
      </c>
      <c r="DU75" s="372" t="s">
        <v>93</v>
      </c>
      <c r="DV75" s="372" t="s">
        <v>93</v>
      </c>
      <c r="DW75" s="372" t="s">
        <v>94</v>
      </c>
      <c r="DX75" s="372" t="s">
        <v>94</v>
      </c>
      <c r="DY75" s="372" t="s">
        <v>95</v>
      </c>
      <c r="DZ75" s="372" t="s">
        <v>95</v>
      </c>
      <c r="EA75" s="372" t="s">
        <v>96</v>
      </c>
      <c r="EB75" s="372" t="s">
        <v>96</v>
      </c>
      <c r="EC75" s="372" t="s">
        <v>97</v>
      </c>
      <c r="ED75" s="372" t="s">
        <v>97</v>
      </c>
      <c r="EE75" s="372" t="s">
        <v>99</v>
      </c>
      <c r="EF75" s="372" t="s">
        <v>99</v>
      </c>
      <c r="EG75" s="372" t="s">
        <v>99</v>
      </c>
      <c r="EH75" s="372" t="s">
        <v>99</v>
      </c>
    </row>
    <row r="76" spans="52:138" x14ac:dyDescent="0.25">
      <c r="AZ76" s="470" t="s">
        <v>6172</v>
      </c>
      <c r="BB76" s="525">
        <f ca="1">IF(BG81&lt;&gt;BH81,1,0)</f>
        <v>0</v>
      </c>
      <c r="BC76" s="450" t="s">
        <v>6197</v>
      </c>
      <c r="DA76" s="470" t="s">
        <v>6172</v>
      </c>
      <c r="DF76" s="699" t="s">
        <v>5742</v>
      </c>
      <c r="DG76" s="816" t="s">
        <v>94</v>
      </c>
      <c r="DH76" s="820">
        <f t="shared" si="14"/>
        <v>495</v>
      </c>
      <c r="DI76" s="820">
        <f t="shared" si="10"/>
        <v>506</v>
      </c>
      <c r="DJ76" s="820">
        <f t="shared" si="15"/>
        <v>512</v>
      </c>
      <c r="DK76" s="820">
        <f t="shared" si="11"/>
        <v>523</v>
      </c>
      <c r="DN76" s="372"/>
      <c r="DO76" s="675" t="s">
        <v>10</v>
      </c>
      <c r="DP76" s="675" t="s">
        <v>237</v>
      </c>
      <c r="DQ76" s="675" t="s">
        <v>10</v>
      </c>
      <c r="DR76" s="675" t="s">
        <v>237</v>
      </c>
      <c r="DS76" s="675" t="s">
        <v>10</v>
      </c>
      <c r="DT76" s="675" t="s">
        <v>237</v>
      </c>
      <c r="DU76" s="675" t="s">
        <v>10</v>
      </c>
      <c r="DV76" s="675" t="s">
        <v>237</v>
      </c>
      <c r="DW76" s="675" t="s">
        <v>10</v>
      </c>
      <c r="DX76" s="675" t="s">
        <v>237</v>
      </c>
      <c r="DY76" s="675" t="s">
        <v>10</v>
      </c>
      <c r="DZ76" s="675" t="s">
        <v>237</v>
      </c>
      <c r="EA76" s="675" t="s">
        <v>10</v>
      </c>
      <c r="EB76" s="675" t="s">
        <v>237</v>
      </c>
      <c r="EC76" s="675" t="s">
        <v>10</v>
      </c>
      <c r="ED76" s="675" t="s">
        <v>237</v>
      </c>
      <c r="EE76" s="675" t="s">
        <v>10</v>
      </c>
      <c r="EF76" s="675" t="s">
        <v>237</v>
      </c>
      <c r="EG76" s="675" t="s">
        <v>10</v>
      </c>
      <c r="EH76" s="675" t="s">
        <v>237</v>
      </c>
    </row>
    <row r="77" spans="52:138" x14ac:dyDescent="0.25">
      <c r="AZ77" s="470" t="s">
        <v>6172</v>
      </c>
      <c r="BB77" s="525">
        <f ca="1">IF(BG81&lt;&gt;BI81,1,0)</f>
        <v>0</v>
      </c>
      <c r="BC77" s="450" t="s">
        <v>6198</v>
      </c>
      <c r="DA77" s="470" t="s">
        <v>6172</v>
      </c>
      <c r="DF77" s="699" t="s">
        <v>5742</v>
      </c>
      <c r="DG77" s="816" t="s">
        <v>95</v>
      </c>
      <c r="DH77" s="820">
        <f t="shared" si="14"/>
        <v>529</v>
      </c>
      <c r="DI77" s="820">
        <f t="shared" si="10"/>
        <v>540</v>
      </c>
      <c r="DJ77" s="820">
        <f t="shared" si="15"/>
        <v>546</v>
      </c>
      <c r="DK77" s="820">
        <f t="shared" si="11"/>
        <v>557</v>
      </c>
      <c r="DN77" s="470" t="s">
        <v>88</v>
      </c>
      <c r="DO77" s="822">
        <f ca="1">IF(COUNTIF('Calculos(2)'!BK372,"*Não*")&gt;0,1,0)</f>
        <v>0</v>
      </c>
      <c r="DP77" s="822">
        <f ca="1">IF(COUNTIF('Calculos(2)'!BL372,"*Não*")&gt;0,1,0)</f>
        <v>0</v>
      </c>
      <c r="DQ77" s="822">
        <f ca="1">IF(COUNTIF('Calculos(2)'!BM372,"*Não*")&gt;0,1,0)</f>
        <v>0</v>
      </c>
      <c r="DR77" s="822">
        <f ca="1">IF(COUNTIF('Calculos(2)'!BN372,"*Não*")&gt;0,1,0)</f>
        <v>0</v>
      </c>
      <c r="DS77" s="822">
        <f ca="1">IF(COUNTIF('Calculos(2)'!BO372,"*Não*")&gt;0,1,0)</f>
        <v>0</v>
      </c>
      <c r="DT77" s="822">
        <f ca="1">IF(COUNTIF('Calculos(2)'!BP372,"*Não*")&gt;0,1,0)</f>
        <v>0</v>
      </c>
      <c r="DU77" s="822">
        <f ca="1">IF(COUNTIF('Calculos(2)'!BQ372,"*Não*")&gt;0,1,0)</f>
        <v>0</v>
      </c>
      <c r="DV77" s="822">
        <f ca="1">IF(COUNTIF('Calculos(2)'!BR372,"*Não*")&gt;0,1,0)</f>
        <v>0</v>
      </c>
      <c r="DW77" s="822">
        <f ca="1">IF(COUNTIF('Calculos(2)'!BS372,"*Não*")&gt;0,1,0)</f>
        <v>0</v>
      </c>
      <c r="DX77" s="822">
        <f ca="1">IF(COUNTIF('Calculos(2)'!BT372,"*Não*")&gt;0,1,0)</f>
        <v>0</v>
      </c>
      <c r="DY77" s="822">
        <f ca="1">IF(COUNTIF('Calculos(2)'!BU372,"*Não*")&gt;0,1,0)</f>
        <v>0</v>
      </c>
      <c r="DZ77" s="822">
        <f ca="1">IF(COUNTIF('Calculos(2)'!BV372,"*Não*")&gt;0,1,0)</f>
        <v>0</v>
      </c>
      <c r="EA77" s="822">
        <f ca="1">IF(COUNTIF('Calculos(2)'!BW372,"*Não*")&gt;0,1,0)</f>
        <v>0</v>
      </c>
      <c r="EB77" s="822">
        <f ca="1">IF(COUNTIF('Calculos(2)'!BX372,"*Não*")&gt;0,1,0)</f>
        <v>0</v>
      </c>
      <c r="EC77" s="822">
        <f ca="1">IF(COUNTIF('Calculos(2)'!BY372,"*Não*")&gt;0,1,0)</f>
        <v>0</v>
      </c>
      <c r="ED77" s="822">
        <f ca="1">IF(COUNTIF('Calculos(2)'!BZ372,"*Não*")&gt;0,1,0)</f>
        <v>0</v>
      </c>
      <c r="EE77" s="822">
        <f ca="1">IF(COUNTIF('Calculos(2)'!CA372,"*Não*")&gt;0,1,0)</f>
        <v>0</v>
      </c>
      <c r="EF77" s="822">
        <f ca="1">IF(COUNTIF('Calculos(2)'!CB372,"*Não*")&gt;0,1,0)</f>
        <v>0</v>
      </c>
      <c r="EG77" s="822">
        <f ca="1">IF(COUNTIF('Calculos(2)'!CC372,"*Não*")&gt;0,1,0)</f>
        <v>0</v>
      </c>
      <c r="EH77" s="822">
        <f ca="1">IF(COUNTIF('Calculos(2)'!CD372,"*Não*")&gt;0,1,0)</f>
        <v>0</v>
      </c>
    </row>
    <row r="78" spans="52:138" x14ac:dyDescent="0.25">
      <c r="AZ78" s="470" t="s">
        <v>6172</v>
      </c>
      <c r="BB78" s="525">
        <f ca="1">IF(BG81&lt;&gt;BJ81,1,0)</f>
        <v>0</v>
      </c>
      <c r="BC78" s="450" t="s">
        <v>6199</v>
      </c>
      <c r="BG78" s="733" t="s">
        <v>7321</v>
      </c>
      <c r="BH78" s="797" t="s">
        <v>5569</v>
      </c>
      <c r="DA78" s="470" t="s">
        <v>6172</v>
      </c>
      <c r="DF78" s="699" t="s">
        <v>5742</v>
      </c>
      <c r="DG78" s="816" t="s">
        <v>96</v>
      </c>
      <c r="DH78" s="820">
        <f t="shared" si="14"/>
        <v>563</v>
      </c>
      <c r="DI78" s="820">
        <f t="shared" si="10"/>
        <v>574</v>
      </c>
      <c r="DJ78" s="820">
        <f t="shared" si="15"/>
        <v>580</v>
      </c>
      <c r="DK78" s="820">
        <f t="shared" si="11"/>
        <v>591</v>
      </c>
      <c r="DN78" s="470" t="s">
        <v>101</v>
      </c>
      <c r="DO78" s="822">
        <f ca="1">IF(COUNTIF('Calculos(2)'!BK373,"*Não*")&gt;0,1,0)</f>
        <v>0</v>
      </c>
      <c r="DP78" s="822">
        <f ca="1">IF(COUNTIF('Calculos(2)'!BL373,"*Não*")&gt;0,1,0)</f>
        <v>0</v>
      </c>
      <c r="DQ78" s="822">
        <f ca="1">IF(COUNTIF('Calculos(2)'!BM373,"*Não*")&gt;0,1,0)</f>
        <v>0</v>
      </c>
      <c r="DR78" s="822">
        <f ca="1">IF(COUNTIF('Calculos(2)'!BN373,"*Não*")&gt;0,1,0)</f>
        <v>0</v>
      </c>
      <c r="DS78" s="822">
        <f ca="1">IF(COUNTIF('Calculos(2)'!BO373,"*Não*")&gt;0,1,0)</f>
        <v>0</v>
      </c>
      <c r="DT78" s="822">
        <f ca="1">IF(COUNTIF('Calculos(2)'!BP373,"*Não*")&gt;0,1,0)</f>
        <v>0</v>
      </c>
      <c r="DU78" s="822">
        <f ca="1">IF(COUNTIF('Calculos(2)'!BQ373,"*Não*")&gt;0,1,0)</f>
        <v>0</v>
      </c>
      <c r="DV78" s="822">
        <f ca="1">IF(COUNTIF('Calculos(2)'!BR373,"*Não*")&gt;0,1,0)</f>
        <v>0</v>
      </c>
      <c r="DW78" s="822">
        <f ca="1">IF(COUNTIF('Calculos(2)'!BS373,"*Não*")&gt;0,1,0)</f>
        <v>0</v>
      </c>
      <c r="DX78" s="822">
        <f ca="1">IF(COUNTIF('Calculos(2)'!BT373,"*Não*")&gt;0,1,0)</f>
        <v>0</v>
      </c>
      <c r="DY78" s="822">
        <f ca="1">IF(COUNTIF('Calculos(2)'!BU373,"*Não*")&gt;0,1,0)</f>
        <v>0</v>
      </c>
      <c r="DZ78" s="822">
        <f ca="1">IF(COUNTIF('Calculos(2)'!BV373,"*Não*")&gt;0,1,0)</f>
        <v>0</v>
      </c>
      <c r="EA78" s="822">
        <f ca="1">IF(COUNTIF('Calculos(2)'!BW373,"*Não*")&gt;0,1,0)</f>
        <v>0</v>
      </c>
      <c r="EB78" s="822">
        <f ca="1">IF(COUNTIF('Calculos(2)'!BX373,"*Não*")&gt;0,1,0)</f>
        <v>0</v>
      </c>
      <c r="EC78" s="822">
        <f ca="1">IF(COUNTIF('Calculos(2)'!BY373,"*Não*")&gt;0,1,0)</f>
        <v>0</v>
      </c>
      <c r="ED78" s="822">
        <f ca="1">IF(COUNTIF('Calculos(2)'!BZ373,"*Não*")&gt;0,1,0)</f>
        <v>0</v>
      </c>
      <c r="EE78" s="822">
        <f ca="1">IF(COUNTIF('Calculos(2)'!CA373,"*Não*")&gt;0,1,0)</f>
        <v>0</v>
      </c>
      <c r="EF78" s="822">
        <f ca="1">IF(COUNTIF('Calculos(2)'!CB373,"*Não*")&gt;0,1,0)</f>
        <v>0</v>
      </c>
      <c r="EG78" s="822">
        <f ca="1">IF(COUNTIF('Calculos(2)'!CC373,"*Não*")&gt;0,1,0)</f>
        <v>0</v>
      </c>
      <c r="EH78" s="822">
        <f ca="1">IF(COUNTIF('Calculos(2)'!CD373,"*Não*")&gt;0,1,0)</f>
        <v>0</v>
      </c>
    </row>
    <row r="79" spans="52:138" x14ac:dyDescent="0.25">
      <c r="AZ79" s="470" t="s">
        <v>6172</v>
      </c>
      <c r="BB79" s="525">
        <f ca="1">IF(BG81&lt;&gt;BK81,1,0)</f>
        <v>0</v>
      </c>
      <c r="BC79" s="426" t="s">
        <v>6200</v>
      </c>
      <c r="BG79" s="737" t="s">
        <v>30</v>
      </c>
      <c r="BH79" s="823" t="s">
        <v>6174</v>
      </c>
      <c r="BI79" s="737" t="s">
        <v>6173</v>
      </c>
      <c r="BJ79" s="737" t="s">
        <v>6029</v>
      </c>
      <c r="BK79" s="737" t="s">
        <v>218</v>
      </c>
      <c r="BL79" s="737" t="s">
        <v>6183</v>
      </c>
      <c r="BM79" s="737" t="s">
        <v>6184</v>
      </c>
      <c r="BN79" s="737" t="s">
        <v>31</v>
      </c>
      <c r="BO79" s="737" t="s">
        <v>5720</v>
      </c>
      <c r="BP79" s="737" t="s">
        <v>85</v>
      </c>
      <c r="BQ79" s="737" t="s">
        <v>235</v>
      </c>
      <c r="BR79" s="589" t="s">
        <v>293</v>
      </c>
      <c r="BS79" s="589" t="s">
        <v>301</v>
      </c>
      <c r="BT79" s="589" t="s">
        <v>302</v>
      </c>
      <c r="BU79" s="589" t="s">
        <v>6242</v>
      </c>
      <c r="BV79" s="589" t="s">
        <v>143</v>
      </c>
      <c r="BW79" s="589" t="s">
        <v>6217</v>
      </c>
      <c r="BX79" s="589" t="s">
        <v>278</v>
      </c>
      <c r="BY79" s="589" t="s">
        <v>279</v>
      </c>
      <c r="BZ79" s="589" t="s">
        <v>6189</v>
      </c>
      <c r="CA79" s="824" t="s">
        <v>6185</v>
      </c>
      <c r="CB79" s="824" t="s">
        <v>6187</v>
      </c>
      <c r="CC79" s="824" t="s">
        <v>6188</v>
      </c>
      <c r="DA79" s="470" t="s">
        <v>6172</v>
      </c>
      <c r="DF79" s="699" t="s">
        <v>5742</v>
      </c>
      <c r="DG79" s="816" t="s">
        <v>97</v>
      </c>
      <c r="DH79" s="820">
        <f t="shared" si="14"/>
        <v>597</v>
      </c>
      <c r="DI79" s="820">
        <f t="shared" si="10"/>
        <v>608</v>
      </c>
      <c r="DJ79" s="820">
        <f t="shared" si="15"/>
        <v>614</v>
      </c>
      <c r="DK79" s="820">
        <f t="shared" si="11"/>
        <v>625</v>
      </c>
      <c r="DN79" s="470" t="s">
        <v>120</v>
      </c>
      <c r="DO79" s="822">
        <f ca="1">IF(COUNTIF('Calculos(2)'!BK374,"*Não*")&gt;0,1,0)</f>
        <v>0</v>
      </c>
      <c r="DP79" s="822">
        <f ca="1">IF(COUNTIF('Calculos(2)'!BL374,"*Não*")&gt;0,1,0)</f>
        <v>0</v>
      </c>
      <c r="DQ79" s="822">
        <f ca="1">IF(COUNTIF('Calculos(2)'!BM374,"*Não*")&gt;0,1,0)</f>
        <v>0</v>
      </c>
      <c r="DR79" s="822">
        <f ca="1">IF(COUNTIF('Calculos(2)'!BN374,"*Não*")&gt;0,1,0)</f>
        <v>0</v>
      </c>
      <c r="DS79" s="822">
        <f ca="1">IF(COUNTIF('Calculos(2)'!BO374,"*Não*")&gt;0,1,0)</f>
        <v>0</v>
      </c>
      <c r="DT79" s="822">
        <f ca="1">IF(COUNTIF('Calculos(2)'!BP374,"*Não*")&gt;0,1,0)</f>
        <v>0</v>
      </c>
      <c r="DU79" s="822">
        <f ca="1">IF(COUNTIF('Calculos(2)'!BQ374,"*Não*")&gt;0,1,0)</f>
        <v>0</v>
      </c>
      <c r="DV79" s="822">
        <f ca="1">IF(COUNTIF('Calculos(2)'!BR374,"*Não*")&gt;0,1,0)</f>
        <v>0</v>
      </c>
      <c r="DW79" s="822">
        <f ca="1">IF(COUNTIF('Calculos(2)'!BS374,"*Não*")&gt;0,1,0)</f>
        <v>0</v>
      </c>
      <c r="DX79" s="822">
        <f ca="1">IF(COUNTIF('Calculos(2)'!BT374,"*Não*")&gt;0,1,0)</f>
        <v>0</v>
      </c>
      <c r="DY79" s="822">
        <f ca="1">IF(COUNTIF('Calculos(2)'!BU374,"*Não*")&gt;0,1,0)</f>
        <v>0</v>
      </c>
      <c r="DZ79" s="822">
        <f ca="1">IF(COUNTIF('Calculos(2)'!BV374,"*Não*")&gt;0,1,0)</f>
        <v>0</v>
      </c>
      <c r="EA79" s="822">
        <f ca="1">IF(COUNTIF('Calculos(2)'!BW374,"*Não*")&gt;0,1,0)</f>
        <v>0</v>
      </c>
      <c r="EB79" s="822">
        <f ca="1">IF(COUNTIF('Calculos(2)'!BX374,"*Não*")&gt;0,1,0)</f>
        <v>0</v>
      </c>
      <c r="EC79" s="822">
        <f ca="1">IF(COUNTIF('Calculos(2)'!BY374,"*Não*")&gt;0,1,0)</f>
        <v>0</v>
      </c>
      <c r="ED79" s="822">
        <f ca="1">IF(COUNTIF('Calculos(2)'!BZ374,"*Não*")&gt;0,1,0)</f>
        <v>0</v>
      </c>
      <c r="EE79" s="822">
        <f ca="1">IF(COUNTIF('Calculos(2)'!CA374,"*Não*")&gt;0,1,0)</f>
        <v>0</v>
      </c>
      <c r="EF79" s="822">
        <f ca="1">IF(COUNTIF('Calculos(2)'!CB374,"*Não*")&gt;0,1,0)</f>
        <v>0</v>
      </c>
      <c r="EG79" s="822">
        <f ca="1">IF(COUNTIF('Calculos(2)'!CC374,"*Não*")&gt;0,1,0)</f>
        <v>0</v>
      </c>
      <c r="EH79" s="822">
        <f ca="1">IF(COUNTIF('Calculos(2)'!CD374,"*Não*")&gt;0,1,0)</f>
        <v>0</v>
      </c>
    </row>
    <row r="80" spans="52:138" x14ac:dyDescent="0.25">
      <c r="AZ80" s="470" t="s">
        <v>6172</v>
      </c>
      <c r="BB80" s="525">
        <f ca="1">IF(BG81&lt;&gt;BM81,1,0)</f>
        <v>0</v>
      </c>
      <c r="BC80" s="426" t="s">
        <v>6201</v>
      </c>
      <c r="BF80" s="790" t="s">
        <v>5778</v>
      </c>
      <c r="BG80" s="743" t="s">
        <v>1592</v>
      </c>
      <c r="BH80" s="743" t="s">
        <v>7333</v>
      </c>
      <c r="BI80" s="743" t="s">
        <v>7334</v>
      </c>
      <c r="BJ80" s="744" t="s">
        <v>5798</v>
      </c>
      <c r="BK80" s="744" t="s">
        <v>7335</v>
      </c>
      <c r="BL80" s="744" t="s">
        <v>7336</v>
      </c>
      <c r="BM80" s="745" t="s">
        <v>7337</v>
      </c>
      <c r="BN80" s="745" t="s">
        <v>7338</v>
      </c>
      <c r="BO80" s="744" t="s">
        <v>5796</v>
      </c>
      <c r="BP80" s="744" t="s">
        <v>5796</v>
      </c>
      <c r="BQ80" s="744" t="s">
        <v>7340</v>
      </c>
      <c r="BR80" s="746" t="s">
        <v>7365</v>
      </c>
      <c r="BS80" s="746" t="s">
        <v>7366</v>
      </c>
      <c r="BT80" s="746" t="s">
        <v>7367</v>
      </c>
      <c r="BU80" s="743" t="s">
        <v>7303</v>
      </c>
      <c r="BV80" s="743" t="s">
        <v>7375</v>
      </c>
      <c r="BW80" s="825" t="s">
        <v>7376</v>
      </c>
      <c r="BX80" s="825" t="s">
        <v>7377</v>
      </c>
      <c r="BY80" s="825" t="s">
        <v>7378</v>
      </c>
      <c r="BZ80" s="743" t="s">
        <v>7304</v>
      </c>
      <c r="CA80" s="826" t="s">
        <v>8333</v>
      </c>
      <c r="CB80" s="826" t="s">
        <v>8570</v>
      </c>
      <c r="CC80" s="826" t="s">
        <v>8543</v>
      </c>
      <c r="DA80" s="470" t="s">
        <v>6172</v>
      </c>
      <c r="DF80" s="699" t="s">
        <v>5742</v>
      </c>
      <c r="DG80" s="816" t="s">
        <v>98</v>
      </c>
      <c r="DH80" s="820">
        <f t="shared" si="14"/>
        <v>631</v>
      </c>
      <c r="DI80" s="820">
        <f t="shared" si="10"/>
        <v>642</v>
      </c>
      <c r="DJ80" s="820">
        <f t="shared" si="15"/>
        <v>648</v>
      </c>
      <c r="DK80" s="820">
        <f t="shared" si="11"/>
        <v>659</v>
      </c>
    </row>
    <row r="81" spans="52:129" x14ac:dyDescent="0.25">
      <c r="AZ81" s="470" t="s">
        <v>6172</v>
      </c>
      <c r="BB81" s="525">
        <f ca="1">IF(BG81&lt;&gt;BN81,1,0)</f>
        <v>0</v>
      </c>
      <c r="BC81" s="426" t="s">
        <v>6202</v>
      </c>
      <c r="BF81" s="790" t="s">
        <v>6222</v>
      </c>
      <c r="BG81" s="827">
        <f t="shared" ref="BG81:BZ81" ca="1" si="16">COUNTA(INDIRECT($BH$78&amp;BG80,1))</f>
        <v>0</v>
      </c>
      <c r="BH81" s="827">
        <f t="shared" ca="1" si="16"/>
        <v>0</v>
      </c>
      <c r="BI81" s="827">
        <f t="shared" ca="1" si="16"/>
        <v>0</v>
      </c>
      <c r="BJ81" s="827">
        <f t="shared" ca="1" si="16"/>
        <v>0</v>
      </c>
      <c r="BK81" s="827">
        <f t="shared" ca="1" si="16"/>
        <v>0</v>
      </c>
      <c r="BL81" s="827">
        <f t="shared" ca="1" si="16"/>
        <v>0</v>
      </c>
      <c r="BM81" s="827">
        <f t="shared" ca="1" si="16"/>
        <v>0</v>
      </c>
      <c r="BN81" s="827">
        <f t="shared" ca="1" si="16"/>
        <v>0</v>
      </c>
      <c r="BO81" s="827">
        <f t="shared" ca="1" si="16"/>
        <v>0</v>
      </c>
      <c r="BP81" s="827">
        <f t="shared" ca="1" si="16"/>
        <v>0</v>
      </c>
      <c r="BQ81" s="827">
        <f t="shared" ca="1" si="16"/>
        <v>0</v>
      </c>
      <c r="BR81" s="827">
        <f t="shared" ca="1" si="16"/>
        <v>0</v>
      </c>
      <c r="BS81" s="827">
        <f t="shared" ca="1" si="16"/>
        <v>0</v>
      </c>
      <c r="BT81" s="827">
        <f t="shared" ca="1" si="16"/>
        <v>0</v>
      </c>
      <c r="BU81" s="827">
        <f t="shared" ca="1" si="16"/>
        <v>0</v>
      </c>
      <c r="BV81" s="827">
        <f t="shared" ca="1" si="16"/>
        <v>0</v>
      </c>
      <c r="BW81" s="827">
        <f t="shared" ca="1" si="16"/>
        <v>0</v>
      </c>
      <c r="BX81" s="827">
        <f t="shared" ca="1" si="16"/>
        <v>0</v>
      </c>
      <c r="BY81" s="827">
        <f t="shared" ca="1" si="16"/>
        <v>0</v>
      </c>
      <c r="BZ81" s="827">
        <f t="shared" ca="1" si="16"/>
        <v>0</v>
      </c>
      <c r="CA81" s="827"/>
      <c r="CB81" s="827">
        <f ca="1">COUNTA(INDIRECT(CB80,1))</f>
        <v>1</v>
      </c>
      <c r="CC81" s="827">
        <f ca="1">COUNTA(INDIRECT(CC80,1))</f>
        <v>1</v>
      </c>
      <c r="DA81" s="470" t="s">
        <v>6172</v>
      </c>
      <c r="DF81" s="699" t="s">
        <v>5742</v>
      </c>
      <c r="DG81" s="816" t="s">
        <v>99</v>
      </c>
      <c r="DH81" s="820">
        <f t="shared" si="14"/>
        <v>665</v>
      </c>
      <c r="DI81" s="820">
        <f t="shared" si="10"/>
        <v>676</v>
      </c>
      <c r="DJ81" s="820">
        <f t="shared" si="15"/>
        <v>682</v>
      </c>
      <c r="DK81" s="820">
        <f t="shared" si="11"/>
        <v>693</v>
      </c>
      <c r="DY81" s="504" t="s">
        <v>7070</v>
      </c>
    </row>
    <row r="82" spans="52:129" x14ac:dyDescent="0.25">
      <c r="AZ82" s="470" t="s">
        <v>6172</v>
      </c>
      <c r="BB82" s="525">
        <f ca="1">IF(BG81&lt;&gt;BO81,1,0)</f>
        <v>0</v>
      </c>
      <c r="BC82" s="426" t="s">
        <v>6203</v>
      </c>
      <c r="BF82" s="790" t="s">
        <v>6133</v>
      </c>
      <c r="BG82" s="828" cm="1">
        <f t="array" aca="1" ref="BG82" ca="1">INDIRECT($BH$78&amp;BG80,1)</f>
        <v>0</v>
      </c>
      <c r="BH82" s="828" cm="1">
        <f t="array" aca="1" ref="BH82" ca="1">INDIRECT($BH$78&amp;BH80,1)</f>
        <v>0</v>
      </c>
      <c r="BI82" s="828" cm="1">
        <f t="array" aca="1" ref="BI82" ca="1">INDIRECT($BH$78&amp;BI80,1)</f>
        <v>0</v>
      </c>
      <c r="BJ82" s="828" cm="1">
        <f t="array" aca="1" ref="BJ82" ca="1">INDIRECT($BH$78&amp;BJ80,1)</f>
        <v>0</v>
      </c>
      <c r="BK82" s="828" cm="1">
        <f t="array" aca="1" ref="BK82" ca="1">INDIRECT($BH$78&amp;BK80,1)</f>
        <v>0</v>
      </c>
      <c r="BL82" s="828" cm="1">
        <f t="array" aca="1" ref="BL82" ca="1">INDIRECT($BH$78&amp;BL80,1)</f>
        <v>0</v>
      </c>
      <c r="BM82" s="828" cm="1">
        <f t="array" aca="1" ref="BM82" ca="1">INDIRECT($BH$78&amp;BM80,1)</f>
        <v>0</v>
      </c>
      <c r="BN82" s="828" cm="1">
        <f t="array" aca="1" ref="BN82" ca="1">INDIRECT($BH$78&amp;BN80,1)</f>
        <v>0</v>
      </c>
      <c r="BO82" s="828" cm="1">
        <f t="array" aca="1" ref="BO82" ca="1">INDIRECT($BH$78&amp;BO80,1)</f>
        <v>0</v>
      </c>
      <c r="BP82" s="828" cm="1">
        <f t="array" aca="1" ref="BP82" ca="1">INDIRECT($BH$78&amp;BP80,1)</f>
        <v>0</v>
      </c>
      <c r="BQ82" s="828" cm="1">
        <f t="array" aca="1" ref="BQ82" ca="1">INDIRECT($BH$78&amp;BQ80,1)</f>
        <v>0</v>
      </c>
      <c r="BR82" s="829"/>
      <c r="BS82" s="829"/>
      <c r="BT82" s="829"/>
      <c r="BU82" s="828" cm="1">
        <f t="array" aca="1" ref="BU82" ca="1">INDIRECT($BH$78&amp;BU80,1)</f>
        <v>0</v>
      </c>
      <c r="BV82" s="828" cm="1">
        <f t="array" aca="1" ref="BV82" ca="1">INDIRECT($BH$78&amp;BV80,1)</f>
        <v>0</v>
      </c>
      <c r="BW82" s="828" cm="1">
        <f t="array" aca="1" ref="BW82" ca="1">INDIRECT($BH$78&amp;BW80,1)</f>
        <v>0</v>
      </c>
      <c r="BX82" s="828" cm="1">
        <f t="array" aca="1" ref="BX82" ca="1">INDIRECT($BH$78&amp;BX80,1)</f>
        <v>0</v>
      </c>
      <c r="BY82" s="828" cm="1">
        <f t="array" aca="1" ref="BY82" ca="1">INDIRECT($BH$78&amp;BY80,1)</f>
        <v>0</v>
      </c>
      <c r="BZ82" s="828" cm="1">
        <f t="array" aca="1" ref="BZ82" ca="1">INDIRECT($BH$78&amp;BZ80,1)</f>
        <v>0</v>
      </c>
      <c r="CA82" s="793">
        <f ca="1">COUNTIF(INDIRECT(CA80),TRUE)</f>
        <v>0</v>
      </c>
      <c r="CB82" s="828" cm="1">
        <f t="array" aca="1" ref="CB82" ca="1">INDIRECT(CB80,1)</f>
        <v>0</v>
      </c>
      <c r="CC82" s="828" t="b" cm="1">
        <f t="array" aca="1" ref="CC82" ca="1">INDIRECT(CC80,1)</f>
        <v>0</v>
      </c>
      <c r="DA82" s="470" t="s">
        <v>6172</v>
      </c>
      <c r="DF82" s="608" t="s">
        <v>5743</v>
      </c>
      <c r="DG82" s="737" t="s">
        <v>90</v>
      </c>
      <c r="DH82" s="806">
        <f>$DK$56</f>
        <v>705</v>
      </c>
      <c r="DI82" s="807">
        <f t="shared" si="10"/>
        <v>716</v>
      </c>
      <c r="DJ82" s="807">
        <f>DI82+6</f>
        <v>722</v>
      </c>
      <c r="DK82" s="807">
        <f t="shared" si="11"/>
        <v>733</v>
      </c>
      <c r="DN82" s="470" t="s">
        <v>8374</v>
      </c>
      <c r="DO82" s="472" t="s">
        <v>6429</v>
      </c>
      <c r="DP82" s="472" t="s">
        <v>6430</v>
      </c>
      <c r="DQ82" s="472" t="s">
        <v>6431</v>
      </c>
      <c r="DR82" s="472" t="s">
        <v>6432</v>
      </c>
      <c r="DV82" s="469"/>
      <c r="DW82" s="758" t="s">
        <v>6099</v>
      </c>
      <c r="DX82" s="767">
        <f ca="1">IF(DZ7="Não",1,0)</f>
        <v>0</v>
      </c>
    </row>
    <row r="83" spans="52:129" x14ac:dyDescent="0.25">
      <c r="AZ83" s="470" t="s">
        <v>6172</v>
      </c>
      <c r="BB83" s="525">
        <f ca="1">IF(BG81&lt;&gt;BP81,1,0)</f>
        <v>0</v>
      </c>
      <c r="BC83" s="426" t="s">
        <v>6204</v>
      </c>
      <c r="BF83" s="790" t="s">
        <v>14</v>
      </c>
      <c r="BG83" s="643" t="s">
        <v>7328</v>
      </c>
      <c r="BH83" s="643" t="s">
        <v>7328</v>
      </c>
      <c r="BI83" s="643" t="s">
        <v>7328</v>
      </c>
      <c r="BJ83" s="643" t="s">
        <v>7322</v>
      </c>
      <c r="BK83" s="643" t="s">
        <v>7322</v>
      </c>
      <c r="BL83" s="643" t="s">
        <v>7328</v>
      </c>
      <c r="BM83" s="643" t="s">
        <v>7323</v>
      </c>
      <c r="BN83" s="643" t="s">
        <v>7323</v>
      </c>
      <c r="BO83" s="643" t="s">
        <v>7322</v>
      </c>
      <c r="BP83" s="643" t="s">
        <v>7328</v>
      </c>
      <c r="BQ83" s="643" t="s">
        <v>7328</v>
      </c>
      <c r="BR83" s="643" t="s">
        <v>7328</v>
      </c>
      <c r="BS83" s="643" t="s">
        <v>7328</v>
      </c>
      <c r="BT83" s="643" t="s">
        <v>7328</v>
      </c>
      <c r="BU83" s="643" t="s">
        <v>7322</v>
      </c>
      <c r="BV83" s="643" t="s">
        <v>7328</v>
      </c>
      <c r="BW83" s="643" t="s">
        <v>7330</v>
      </c>
      <c r="BX83" s="643" t="s">
        <v>7330</v>
      </c>
      <c r="BY83" s="643" t="s">
        <v>7330</v>
      </c>
      <c r="BZ83" s="643" t="s">
        <v>7328</v>
      </c>
      <c r="CA83" s="643" t="s">
        <v>7322</v>
      </c>
      <c r="CB83" s="643" t="s">
        <v>7332</v>
      </c>
      <c r="CC83" s="643" t="s">
        <v>7331</v>
      </c>
      <c r="DA83" s="470" t="s">
        <v>6172</v>
      </c>
      <c r="DF83" s="608" t="s">
        <v>5743</v>
      </c>
      <c r="DG83" s="737" t="s">
        <v>91</v>
      </c>
      <c r="DH83" s="806">
        <f t="shared" ref="DH83:DH91" si="17">DI82+$DI$58</f>
        <v>739</v>
      </c>
      <c r="DI83" s="807">
        <f t="shared" si="10"/>
        <v>750</v>
      </c>
      <c r="DJ83" s="806">
        <f t="shared" ref="DJ83:DJ91" si="18">DK82+$DI$58</f>
        <v>756</v>
      </c>
      <c r="DK83" s="807">
        <f t="shared" si="11"/>
        <v>767</v>
      </c>
      <c r="DO83" s="785" t="s">
        <v>6422</v>
      </c>
      <c r="DP83" s="785" t="s">
        <v>6423</v>
      </c>
      <c r="DQ83" s="785" t="s">
        <v>6424</v>
      </c>
      <c r="DR83" s="785" t="s">
        <v>6425</v>
      </c>
      <c r="DV83" s="469"/>
      <c r="DW83" s="758" t="s">
        <v>6100</v>
      </c>
      <c r="DX83" s="767">
        <f ca="1">IF(EA7="Não",1,0)</f>
        <v>0</v>
      </c>
    </row>
    <row r="84" spans="52:129" x14ac:dyDescent="0.25">
      <c r="AZ84" s="470" t="s">
        <v>6172</v>
      </c>
      <c r="BB84" s="525">
        <f ca="1">IF(BI89&gt;BJ89,1,0)</f>
        <v>0</v>
      </c>
      <c r="BC84" s="426" t="s">
        <v>6220</v>
      </c>
      <c r="DA84" s="470" t="s">
        <v>6172</v>
      </c>
      <c r="DF84" s="608" t="s">
        <v>5743</v>
      </c>
      <c r="DG84" s="737" t="s">
        <v>92</v>
      </c>
      <c r="DH84" s="807">
        <f t="shared" si="17"/>
        <v>773</v>
      </c>
      <c r="DI84" s="807">
        <f t="shared" si="10"/>
        <v>784</v>
      </c>
      <c r="DJ84" s="807">
        <f t="shared" si="18"/>
        <v>790</v>
      </c>
      <c r="DK84" s="807">
        <f t="shared" si="11"/>
        <v>801</v>
      </c>
      <c r="DN84" s="470" t="s">
        <v>88</v>
      </c>
      <c r="DO84" s="723">
        <f ca="1">COUNTIF('Calculos(2)'!BP414:BP423,"&gt;"&amp;0)</f>
        <v>0</v>
      </c>
      <c r="DP84" s="822">
        <f ca="1">COUNTIF('Calculos(2)'!BQ414:BQ423,"&gt;"&amp;0)</f>
        <v>0</v>
      </c>
      <c r="DQ84" s="723">
        <f ca="1">COUNTIF('Calculos(2)'!CA414:CA423,"&gt;"&amp;0)</f>
        <v>0</v>
      </c>
      <c r="DR84" s="723">
        <f ca="1">COUNTIF('Calculos(2)'!CB414:CB423,"&gt;"&amp;0)</f>
        <v>0</v>
      </c>
      <c r="DV84" s="469"/>
      <c r="DW84" s="758" t="s">
        <v>6101</v>
      </c>
      <c r="DX84" s="767">
        <f ca="1">IF(EB7="Não",1,0)</f>
        <v>0</v>
      </c>
    </row>
    <row r="85" spans="52:129" x14ac:dyDescent="0.25">
      <c r="AZ85" s="470" t="s">
        <v>6172</v>
      </c>
      <c r="BB85" s="525">
        <f ca="1">IF(BK89&gt;BL89,1,0)</f>
        <v>0</v>
      </c>
      <c r="BC85" s="426" t="s">
        <v>6221</v>
      </c>
      <c r="DA85" s="470" t="s">
        <v>6172</v>
      </c>
      <c r="DF85" s="608" t="s">
        <v>5743</v>
      </c>
      <c r="DG85" s="737" t="s">
        <v>93</v>
      </c>
      <c r="DH85" s="807">
        <f t="shared" si="17"/>
        <v>807</v>
      </c>
      <c r="DI85" s="807">
        <f t="shared" si="10"/>
        <v>818</v>
      </c>
      <c r="DJ85" s="807">
        <f t="shared" si="18"/>
        <v>824</v>
      </c>
      <c r="DK85" s="807">
        <f t="shared" si="11"/>
        <v>835</v>
      </c>
      <c r="DN85" s="470" t="s">
        <v>101</v>
      </c>
      <c r="DO85" s="822">
        <f ca="1">COUNTIF('Calculos(2)'!BP430:BP439,"&gt;"&amp;0)</f>
        <v>0</v>
      </c>
      <c r="DP85" s="822">
        <f ca="1">COUNTIF('Calculos(2)'!BQ430:BQ439,"&gt;"&amp;0)</f>
        <v>0</v>
      </c>
      <c r="DQ85" s="822">
        <f ca="1">COUNTIF('Calculos(2)'!CA430:CA439,"&gt;"&amp;0)</f>
        <v>0</v>
      </c>
      <c r="DR85" s="822">
        <f ca="1">COUNTIF('Calculos(2)'!CB430:CB439,"&gt;"&amp;0)</f>
        <v>0</v>
      </c>
      <c r="DV85" s="469"/>
      <c r="DW85" s="758" t="s">
        <v>6102</v>
      </c>
      <c r="DX85" s="767">
        <f ca="1">IF(AND(EB7="sim",EC7="Não"),1,0)</f>
        <v>0</v>
      </c>
    </row>
    <row r="86" spans="52:129" x14ac:dyDescent="0.25">
      <c r="AZ86" s="470" t="s">
        <v>6172</v>
      </c>
      <c r="BB86" s="525">
        <f ca="1">IF(AND(BG81&lt;&gt;0,CB82=0),1,0)</f>
        <v>0</v>
      </c>
      <c r="BC86" s="426" t="s">
        <v>6209</v>
      </c>
      <c r="BG86" s="831" t="s">
        <v>298</v>
      </c>
      <c r="BH86" s="831" t="s">
        <v>284</v>
      </c>
      <c r="BI86" s="831" t="s">
        <v>246</v>
      </c>
      <c r="BJ86" s="831" t="s">
        <v>289</v>
      </c>
      <c r="BK86" s="831" t="s">
        <v>247</v>
      </c>
      <c r="BL86" s="831" t="s">
        <v>285</v>
      </c>
      <c r="BM86" s="831" t="s">
        <v>268</v>
      </c>
      <c r="BN86" s="831" t="s">
        <v>267</v>
      </c>
      <c r="DA86" s="470" t="s">
        <v>6172</v>
      </c>
      <c r="DF86" s="608" t="s">
        <v>5743</v>
      </c>
      <c r="DG86" s="737" t="s">
        <v>94</v>
      </c>
      <c r="DH86" s="807">
        <f t="shared" si="17"/>
        <v>841</v>
      </c>
      <c r="DI86" s="807">
        <f t="shared" si="10"/>
        <v>852</v>
      </c>
      <c r="DJ86" s="807">
        <f t="shared" si="18"/>
        <v>858</v>
      </c>
      <c r="DK86" s="807">
        <f t="shared" si="11"/>
        <v>869</v>
      </c>
      <c r="DN86" s="470" t="s">
        <v>120</v>
      </c>
      <c r="DO86" s="822">
        <f ca="1">COUNTIF('Calculos(2)'!BP446:BP455,"&gt;"&amp;0)</f>
        <v>0</v>
      </c>
      <c r="DP86" s="822">
        <f ca="1">COUNTIF('Calculos(2)'!BQ446:PQ455,"&gt;"&amp;0)</f>
        <v>0</v>
      </c>
      <c r="DQ86" s="822">
        <f ca="1">COUNTIF('Calculos(2)'!CA446:CA455,"&gt;"&amp;0)</f>
        <v>0</v>
      </c>
      <c r="DR86" s="822">
        <f ca="1">COUNTIF('Calculos(2)'!CB446:CB455,"&gt;"&amp;0)</f>
        <v>0</v>
      </c>
      <c r="DV86" s="469"/>
      <c r="DW86" s="758" t="s">
        <v>6103</v>
      </c>
      <c r="DX86" s="767">
        <f t="shared" ref="DX86:DX95" ca="1" si="19">IF(SUM(DP37:DR37)&gt;0,1,0)</f>
        <v>0</v>
      </c>
      <c r="DY86" s="796" t="str">
        <f t="shared" ref="DY86:DY95" ca="1" si="20">IF(DP37=1,IF(SUM(DQ37:DR37)=0,"Teste I","Teste I, "),"")&amp;
IF(DQ37=1,IF(DR37=0,"Teste II","Teste II, "),"")&amp;
IF(DR37=1,"Teste III","")</f>
        <v/>
      </c>
    </row>
    <row r="87" spans="52:129" x14ac:dyDescent="0.25">
      <c r="AZ87" s="470" t="s">
        <v>6172</v>
      </c>
      <c r="BB87" s="525">
        <f ca="1">IF(AND(BG81=1,BH103=1),1,0)</f>
        <v>0</v>
      </c>
      <c r="BC87" s="426" t="s">
        <v>6195</v>
      </c>
      <c r="BF87" s="790" t="s">
        <v>5778</v>
      </c>
      <c r="BG87" s="597" t="s">
        <v>7368</v>
      </c>
      <c r="BH87" s="590" t="s">
        <v>7048</v>
      </c>
      <c r="BI87" s="832" t="s">
        <v>7369</v>
      </c>
      <c r="BJ87" s="832" t="s">
        <v>7370</v>
      </c>
      <c r="BK87" s="832" t="s">
        <v>7371</v>
      </c>
      <c r="BL87" s="832" t="s">
        <v>7372</v>
      </c>
      <c r="BM87" s="833" t="s">
        <v>7373</v>
      </c>
      <c r="BN87" s="833" t="s">
        <v>7374</v>
      </c>
      <c r="DA87" s="470" t="s">
        <v>6172</v>
      </c>
      <c r="DF87" s="608" t="s">
        <v>5743</v>
      </c>
      <c r="DG87" s="737" t="s">
        <v>95</v>
      </c>
      <c r="DH87" s="807">
        <f t="shared" si="17"/>
        <v>875</v>
      </c>
      <c r="DI87" s="807">
        <f t="shared" si="10"/>
        <v>886</v>
      </c>
      <c r="DJ87" s="807">
        <f t="shared" si="18"/>
        <v>892</v>
      </c>
      <c r="DK87" s="807">
        <f t="shared" si="11"/>
        <v>903</v>
      </c>
      <c r="DO87" s="20" t="s">
        <v>6428</v>
      </c>
      <c r="DV87" s="469"/>
      <c r="DW87" s="758" t="s">
        <v>6104</v>
      </c>
      <c r="DX87" s="767">
        <f t="shared" si="19"/>
        <v>0</v>
      </c>
      <c r="DY87" s="796" t="str">
        <f t="shared" si="20"/>
        <v/>
      </c>
    </row>
    <row r="88" spans="52:129" x14ac:dyDescent="0.25">
      <c r="AZ88" s="470" t="s">
        <v>6172</v>
      </c>
      <c r="BB88" s="525">
        <f ca="1">IF(BG81&lt;&gt;BZ81,1,0)</f>
        <v>0</v>
      </c>
      <c r="BC88" s="426" t="s">
        <v>6196</v>
      </c>
      <c r="BF88" s="790" t="s">
        <v>6222</v>
      </c>
      <c r="BG88" s="827">
        <f t="shared" ref="BG88:BN88" ca="1" si="21">COUNTA(INDIRECT($BH$78&amp;BG87,1))</f>
        <v>15</v>
      </c>
      <c r="BH88" s="827">
        <f t="shared" ca="1" si="21"/>
        <v>0</v>
      </c>
      <c r="BI88" s="827">
        <f t="shared" ca="1" si="21"/>
        <v>0</v>
      </c>
      <c r="BJ88" s="827">
        <f t="shared" ca="1" si="21"/>
        <v>0</v>
      </c>
      <c r="BK88" s="827">
        <f t="shared" ca="1" si="21"/>
        <v>0</v>
      </c>
      <c r="BL88" s="827">
        <f t="shared" ca="1" si="21"/>
        <v>0</v>
      </c>
      <c r="BM88" s="827">
        <f t="shared" ca="1" si="21"/>
        <v>0</v>
      </c>
      <c r="BN88" s="827">
        <f t="shared" ca="1" si="21"/>
        <v>0</v>
      </c>
      <c r="DA88" s="470" t="s">
        <v>6172</v>
      </c>
      <c r="DF88" s="608" t="s">
        <v>5743</v>
      </c>
      <c r="DG88" s="737" t="s">
        <v>96</v>
      </c>
      <c r="DH88" s="807">
        <f t="shared" si="17"/>
        <v>909</v>
      </c>
      <c r="DI88" s="807">
        <f t="shared" si="10"/>
        <v>920</v>
      </c>
      <c r="DJ88" s="807">
        <f t="shared" si="18"/>
        <v>926</v>
      </c>
      <c r="DK88" s="807">
        <f t="shared" si="11"/>
        <v>937</v>
      </c>
      <c r="DO88" s="785" t="s">
        <v>6300</v>
      </c>
      <c r="DP88" s="785" t="s">
        <v>6300</v>
      </c>
      <c r="DQ88" s="785" t="s">
        <v>6300</v>
      </c>
      <c r="DR88" s="785" t="s">
        <v>6300</v>
      </c>
      <c r="DV88" s="469"/>
      <c r="DW88" s="758" t="s">
        <v>6105</v>
      </c>
      <c r="DX88" s="767">
        <f t="shared" si="19"/>
        <v>0</v>
      </c>
      <c r="DY88" s="796" t="str">
        <f t="shared" si="20"/>
        <v/>
      </c>
    </row>
    <row r="89" spans="52:129" x14ac:dyDescent="0.25">
      <c r="AZ89" s="470" t="s">
        <v>6172</v>
      </c>
      <c r="BB89" s="25">
        <f ca="1">IF(BJ82="Não",1,0)</f>
        <v>0</v>
      </c>
      <c r="BC89" s="426" t="s">
        <v>6071</v>
      </c>
      <c r="BF89" s="790" t="s">
        <v>6133</v>
      </c>
      <c r="BG89" s="828"/>
      <c r="BH89" s="828"/>
      <c r="BI89" s="828">
        <f ca="1">COUNTIF(INDIRECT($BH$78&amp;BI87,1),"&gt;0")</f>
        <v>0</v>
      </c>
      <c r="BJ89" s="828">
        <f ca="1">COUNTIF(INDIRECT($BH$78&amp;BJ87,1),"&gt;=0")</f>
        <v>0</v>
      </c>
      <c r="BK89" s="828">
        <f ca="1">COUNTIF(INDIRECT($BH$78&amp;BK87,1),"&gt;0")</f>
        <v>0</v>
      </c>
      <c r="BL89" s="828">
        <f ca="1">COUNTIF(INDIRECT($BH$78&amp;BL87,1),"&gt;=0")</f>
        <v>0</v>
      </c>
      <c r="BM89" s="828"/>
      <c r="BN89" s="828"/>
      <c r="DA89" s="470" t="s">
        <v>6172</v>
      </c>
      <c r="DF89" s="608" t="s">
        <v>5743</v>
      </c>
      <c r="DG89" s="737" t="s">
        <v>97</v>
      </c>
      <c r="DH89" s="807">
        <f t="shared" si="17"/>
        <v>943</v>
      </c>
      <c r="DI89" s="807">
        <f t="shared" si="10"/>
        <v>954</v>
      </c>
      <c r="DJ89" s="807">
        <f t="shared" si="18"/>
        <v>960</v>
      </c>
      <c r="DK89" s="807">
        <f t="shared" si="11"/>
        <v>971</v>
      </c>
      <c r="DN89" s="470" t="s">
        <v>88</v>
      </c>
      <c r="DO89" s="784">
        <f ca="1">IF(DO84&gt;0,1,0)</f>
        <v>0</v>
      </c>
      <c r="DP89" s="784">
        <f t="shared" ref="DO89:DR91" ca="1" si="22">IF(DP84&gt;0,1,0)</f>
        <v>0</v>
      </c>
      <c r="DQ89" s="784">
        <f t="shared" ca="1" si="22"/>
        <v>0</v>
      </c>
      <c r="DR89" s="784">
        <f t="shared" ca="1" si="22"/>
        <v>0</v>
      </c>
      <c r="DV89" s="469"/>
      <c r="DW89" s="758" t="s">
        <v>6109</v>
      </c>
      <c r="DX89" s="767">
        <f t="shared" si="19"/>
        <v>0</v>
      </c>
      <c r="DY89" s="796" t="str">
        <f t="shared" si="20"/>
        <v/>
      </c>
    </row>
    <row r="90" spans="52:129" x14ac:dyDescent="0.25">
      <c r="AZ90" s="470" t="s">
        <v>6172</v>
      </c>
      <c r="BB90" s="25">
        <f ca="1">BH105</f>
        <v>0</v>
      </c>
      <c r="BC90" s="426" t="s">
        <v>6067</v>
      </c>
      <c r="BF90" s="790" t="s">
        <v>14</v>
      </c>
      <c r="BG90" s="597" t="s">
        <v>7070</v>
      </c>
      <c r="BH90" s="597" t="s">
        <v>7330</v>
      </c>
      <c r="BI90" s="597" t="s">
        <v>7329</v>
      </c>
      <c r="BJ90" s="597" t="s">
        <v>7329</v>
      </c>
      <c r="BK90" s="597" t="s">
        <v>7329</v>
      </c>
      <c r="BL90" s="597" t="s">
        <v>7329</v>
      </c>
      <c r="BM90" s="597" t="s">
        <v>7328</v>
      </c>
      <c r="BN90" s="597" t="s">
        <v>7328</v>
      </c>
      <c r="DA90" s="470" t="s">
        <v>6172</v>
      </c>
      <c r="DF90" s="608" t="s">
        <v>5743</v>
      </c>
      <c r="DG90" s="737" t="s">
        <v>98</v>
      </c>
      <c r="DH90" s="807">
        <f t="shared" si="17"/>
        <v>977</v>
      </c>
      <c r="DI90" s="807">
        <f t="shared" si="10"/>
        <v>988</v>
      </c>
      <c r="DJ90" s="807">
        <f t="shared" si="18"/>
        <v>994</v>
      </c>
      <c r="DK90" s="807">
        <f t="shared" si="11"/>
        <v>1005</v>
      </c>
      <c r="DN90" s="470" t="s">
        <v>101</v>
      </c>
      <c r="DO90" s="784">
        <f t="shared" ca="1" si="22"/>
        <v>0</v>
      </c>
      <c r="DP90" s="784">
        <f t="shared" ca="1" si="22"/>
        <v>0</v>
      </c>
      <c r="DQ90" s="784">
        <f t="shared" ca="1" si="22"/>
        <v>0</v>
      </c>
      <c r="DR90" s="784">
        <f t="shared" ca="1" si="22"/>
        <v>0</v>
      </c>
      <c r="DV90" s="469"/>
      <c r="DW90" s="758" t="s">
        <v>6108</v>
      </c>
      <c r="DX90" s="767">
        <f t="shared" si="19"/>
        <v>0</v>
      </c>
      <c r="DY90" s="796" t="str">
        <f t="shared" si="20"/>
        <v/>
      </c>
    </row>
    <row r="91" spans="52:129" x14ac:dyDescent="0.25">
      <c r="AZ91" s="470" t="s">
        <v>6172</v>
      </c>
      <c r="BB91" s="25">
        <f>BH101</f>
        <v>0</v>
      </c>
      <c r="BC91" s="426" t="s">
        <v>6210</v>
      </c>
      <c r="DA91" s="470" t="s">
        <v>6172</v>
      </c>
      <c r="DF91" s="608" t="s">
        <v>5743</v>
      </c>
      <c r="DG91" s="737" t="s">
        <v>99</v>
      </c>
      <c r="DH91" s="807">
        <f t="shared" si="17"/>
        <v>1011</v>
      </c>
      <c r="DI91" s="807">
        <f t="shared" si="10"/>
        <v>1022</v>
      </c>
      <c r="DJ91" s="807">
        <f t="shared" si="18"/>
        <v>1028</v>
      </c>
      <c r="DK91" s="807">
        <f t="shared" si="11"/>
        <v>1039</v>
      </c>
      <c r="DN91" s="470" t="s">
        <v>120</v>
      </c>
      <c r="DO91" s="784">
        <f t="shared" ca="1" si="22"/>
        <v>0</v>
      </c>
      <c r="DP91" s="784">
        <f t="shared" ca="1" si="22"/>
        <v>0</v>
      </c>
      <c r="DQ91" s="784">
        <f t="shared" ca="1" si="22"/>
        <v>0</v>
      </c>
      <c r="DR91" s="784">
        <f t="shared" ca="1" si="22"/>
        <v>0</v>
      </c>
      <c r="DV91" s="469"/>
      <c r="DW91" s="758" t="s">
        <v>6106</v>
      </c>
      <c r="DX91" s="767">
        <f t="shared" ca="1" si="19"/>
        <v>0</v>
      </c>
      <c r="DY91" s="796" t="str">
        <f t="shared" ca="1" si="20"/>
        <v/>
      </c>
    </row>
    <row r="92" spans="52:129" x14ac:dyDescent="0.25">
      <c r="AZ92" s="470" t="s">
        <v>6172</v>
      </c>
      <c r="BB92" s="25">
        <f ca="1">BH95</f>
        <v>0</v>
      </c>
      <c r="BC92" s="426" t="s">
        <v>6243</v>
      </c>
      <c r="DA92" s="470" t="s">
        <v>6172</v>
      </c>
      <c r="DV92" s="469"/>
      <c r="DW92" s="758" t="s">
        <v>6422</v>
      </c>
      <c r="DX92" s="767">
        <f t="shared" ca="1" si="19"/>
        <v>0</v>
      </c>
      <c r="DY92" s="796" t="str">
        <f t="shared" ca="1" si="20"/>
        <v/>
      </c>
    </row>
    <row r="93" spans="52:129" x14ac:dyDescent="0.25">
      <c r="AZ93" s="470" t="s">
        <v>6172</v>
      </c>
      <c r="BB93" s="25">
        <f ca="1">BH98</f>
        <v>0</v>
      </c>
      <c r="BC93" s="426" t="s">
        <v>6068</v>
      </c>
      <c r="BF93" s="472" t="s">
        <v>7849</v>
      </c>
      <c r="BG93" s="757" t="s">
        <v>7850</v>
      </c>
      <c r="BH93" s="525">
        <f ca="1">IF(BG81&gt;0,1,0)</f>
        <v>0</v>
      </c>
      <c r="BI93" s="20" t="s">
        <v>7851</v>
      </c>
      <c r="DA93" s="470" t="s">
        <v>6172</v>
      </c>
      <c r="DV93" s="469"/>
      <c r="DW93" s="758" t="s">
        <v>6423</v>
      </c>
      <c r="DX93" s="767">
        <f t="shared" ca="1" si="19"/>
        <v>0</v>
      </c>
      <c r="DY93" s="796" t="str">
        <f t="shared" ca="1" si="20"/>
        <v/>
      </c>
    </row>
    <row r="94" spans="52:129" x14ac:dyDescent="0.25">
      <c r="AZ94" s="470" t="s">
        <v>6172</v>
      </c>
      <c r="BB94" s="25">
        <f ca="1">BH99</f>
        <v>0</v>
      </c>
      <c r="BC94" s="426" t="s">
        <v>6069</v>
      </c>
      <c r="BF94" s="472" t="s">
        <v>7352</v>
      </c>
      <c r="BG94" s="757" t="s">
        <v>6211</v>
      </c>
      <c r="BH94" s="525">
        <f ca="1">BO82</f>
        <v>0</v>
      </c>
      <c r="DA94" s="470" t="s">
        <v>6172</v>
      </c>
      <c r="DV94" s="469"/>
      <c r="DW94" s="758" t="s">
        <v>6424</v>
      </c>
      <c r="DX94" s="767">
        <f t="shared" ca="1" si="19"/>
        <v>0</v>
      </c>
      <c r="DY94" s="796" t="str">
        <f t="shared" ca="1" si="20"/>
        <v/>
      </c>
    </row>
    <row r="95" spans="52:129" x14ac:dyDescent="0.25">
      <c r="AZ95" s="470" t="s">
        <v>6172</v>
      </c>
      <c r="BB95" s="525">
        <f ca="1">IF(CA82&gt;0,1,0)</f>
        <v>0</v>
      </c>
      <c r="BC95" s="426" t="s">
        <v>8330</v>
      </c>
      <c r="BF95" s="469" t="s">
        <v>5448</v>
      </c>
      <c r="BG95" s="758" t="s">
        <v>6223</v>
      </c>
      <c r="BH95" s="759">
        <f ca="1">IF(BH94&lt;&gt;0,
IF(COUNTIF($M$65:$M$94,BH94)=0,1,0),0)</f>
        <v>0</v>
      </c>
      <c r="BI95" s="20" t="s">
        <v>6212</v>
      </c>
      <c r="DA95" s="470" t="s">
        <v>6172</v>
      </c>
      <c r="DV95" s="469"/>
      <c r="DW95" s="758" t="s">
        <v>6425</v>
      </c>
      <c r="DX95" s="767">
        <f t="shared" ca="1" si="19"/>
        <v>0</v>
      </c>
      <c r="DY95" s="796" t="str">
        <f t="shared" ca="1" si="20"/>
        <v/>
      </c>
    </row>
    <row r="96" spans="52:129" x14ac:dyDescent="0.25">
      <c r="AZ96" s="470" t="s">
        <v>6172</v>
      </c>
      <c r="BB96" s="525"/>
      <c r="BC96" s="752" t="s">
        <v>8297</v>
      </c>
      <c r="BF96" s="472" t="s">
        <v>7352</v>
      </c>
      <c r="BG96" s="757" t="s">
        <v>6178</v>
      </c>
      <c r="BH96" s="525">
        <f ca="1">IFERROR(VLOOKUP(BH94,$M$65:$P$94,4,0),0)</f>
        <v>0</v>
      </c>
      <c r="DA96" s="470" t="s">
        <v>6172</v>
      </c>
      <c r="DV96" s="469"/>
      <c r="DW96" s="758" t="s">
        <v>6107</v>
      </c>
      <c r="DX96" s="767">
        <f>IF(SUM(DP57:DR57)&gt;0,1,0)</f>
        <v>0</v>
      </c>
      <c r="DY96" s="796" t="str">
        <f>IF(DP57=1,IF(SUM(DQ57:DR57)=0,"Teste I","Teste I, "),"")&amp;
IF(DQ57=1,IF(DR57=0,"Teste II","Teste II, "),"")&amp;
IF(DR57=1,"Teste III","")</f>
        <v/>
      </c>
    </row>
    <row r="97" spans="52:140" x14ac:dyDescent="0.25">
      <c r="AZ97" s="470" t="s">
        <v>6172</v>
      </c>
      <c r="BB97" s="25"/>
      <c r="BC97" s="752" t="s">
        <v>8297</v>
      </c>
      <c r="BF97" s="472" t="s">
        <v>7353</v>
      </c>
      <c r="BG97" s="757" t="s">
        <v>6213</v>
      </c>
      <c r="BH97" s="525">
        <f ca="1">BN82</f>
        <v>0</v>
      </c>
      <c r="DA97" s="470" t="s">
        <v>6172</v>
      </c>
      <c r="DV97" s="469"/>
      <c r="DW97" s="758" t="s">
        <v>6110</v>
      </c>
      <c r="DX97" s="767">
        <f>IF(SUM(DP58:DR58)&gt;0,1,0)</f>
        <v>0</v>
      </c>
      <c r="DY97" s="796" t="str">
        <f>IF(DP58=1,IF(SUM(DQ58:DR58)=0,"Teste I","Teste I, "),"")&amp;
IF(DQ58=1,IF(DR58=0,"Teste II","Teste II, "),"")&amp;
IF(DR58=1,"Teste III","")</f>
        <v/>
      </c>
    </row>
    <row r="98" spans="52:140" x14ac:dyDescent="0.25">
      <c r="AZ98" s="470" t="s">
        <v>6172</v>
      </c>
      <c r="BB98" s="25"/>
      <c r="BC98" s="752" t="s">
        <v>8297</v>
      </c>
      <c r="BF98" s="469" t="s">
        <v>5448</v>
      </c>
      <c r="BG98" s="758" t="s">
        <v>6179</v>
      </c>
      <c r="BH98" s="759">
        <f ca="1">IF(BH95&lt;&gt;1,
IF((BH96-BH97)&lt;0,1,0),
0)</f>
        <v>0</v>
      </c>
      <c r="BI98" s="20" t="s">
        <v>6180</v>
      </c>
      <c r="DA98" s="470" t="s">
        <v>6172</v>
      </c>
      <c r="DV98" s="469"/>
      <c r="DW98" s="758" t="s">
        <v>7080</v>
      </c>
      <c r="DX98" s="767">
        <f ca="1">IF(SUM(DP59:DR59)&gt;0,1,0)</f>
        <v>0</v>
      </c>
      <c r="DY98" s="796" t="str">
        <f ca="1">IF(DP59=1,IF(SUM(DQ59:DR59)=0,"Teste I","Teste I, "),"")&amp;
IF(DQ59=1,IF(DR59=0,"Teste II","Teste II, "),"")&amp;
IF(DR59=1,"Teste III","")</f>
        <v/>
      </c>
    </row>
    <row r="99" spans="52:140" x14ac:dyDescent="0.25">
      <c r="AZ99" s="470" t="s">
        <v>6172</v>
      </c>
      <c r="BB99" s="25"/>
      <c r="BC99" s="752" t="s">
        <v>8297</v>
      </c>
      <c r="BF99" s="469" t="s">
        <v>5448</v>
      </c>
      <c r="BG99" s="758" t="s">
        <v>7354</v>
      </c>
      <c r="BH99" s="759">
        <f ca="1">IF(COUNTIFS($M$65:$M$94,BH94,$AA$65:$AA$94,2)&gt;0,1,0)</f>
        <v>0</v>
      </c>
      <c r="BI99" s="20" t="s">
        <v>7355</v>
      </c>
      <c r="DA99" s="470" t="s">
        <v>6172</v>
      </c>
    </row>
    <row r="100" spans="52:140" ht="15.75" thickBot="1" x14ac:dyDescent="0.3">
      <c r="AZ100" s="470" t="s">
        <v>6172</v>
      </c>
      <c r="BB100" s="25"/>
      <c r="BC100" s="752" t="s">
        <v>8297</v>
      </c>
      <c r="BF100" s="469" t="s">
        <v>5448</v>
      </c>
      <c r="BG100" s="758" t="s">
        <v>7356</v>
      </c>
      <c r="BH100" s="767">
        <f ca="1">IF(BJ82="Não",1,0)</f>
        <v>0</v>
      </c>
      <c r="BI100" s="20" t="s">
        <v>7357</v>
      </c>
      <c r="DA100" s="470" t="s">
        <v>6172</v>
      </c>
      <c r="DB100" s="730" t="s">
        <v>6111</v>
      </c>
      <c r="DC100" s="730"/>
      <c r="DD100" s="730"/>
      <c r="DE100" s="730"/>
      <c r="DF100" s="730"/>
      <c r="DG100" s="730"/>
      <c r="DH100" s="730"/>
      <c r="DI100" s="730"/>
      <c r="DJ100" s="730"/>
      <c r="DK100" s="730"/>
      <c r="DL100" s="730"/>
      <c r="DM100" s="730"/>
      <c r="DN100" s="730"/>
      <c r="DO100" s="730"/>
      <c r="DP100" s="730"/>
      <c r="DQ100" s="730"/>
      <c r="DR100" s="730"/>
      <c r="DS100" s="730"/>
      <c r="DT100" s="730"/>
      <c r="DU100" s="730"/>
      <c r="DV100" s="730"/>
      <c r="DW100" s="730"/>
      <c r="DX100" s="730"/>
      <c r="DY100" s="730"/>
      <c r="DZ100" s="730"/>
      <c r="EA100" s="730"/>
      <c r="EB100" s="730"/>
      <c r="EC100" s="730"/>
      <c r="ED100" s="730"/>
      <c r="EE100" s="730"/>
      <c r="EF100" s="730"/>
      <c r="EG100" s="730"/>
      <c r="EH100" s="730"/>
      <c r="EI100" s="730"/>
      <c r="EJ100" s="730"/>
    </row>
    <row r="101" spans="52:140" x14ac:dyDescent="0.25">
      <c r="AZ101" s="470" t="s">
        <v>6172</v>
      </c>
      <c r="BB101" s="25"/>
      <c r="BC101" s="752" t="s">
        <v>8297</v>
      </c>
      <c r="BF101" s="469"/>
      <c r="DA101" s="470" t="s">
        <v>6172</v>
      </c>
    </row>
    <row r="102" spans="52:140" x14ac:dyDescent="0.25">
      <c r="AZ102" s="470" t="s">
        <v>6172</v>
      </c>
      <c r="BB102" s="25"/>
      <c r="BC102" s="752" t="s">
        <v>8297</v>
      </c>
      <c r="BF102" s="469" t="s">
        <v>5448</v>
      </c>
      <c r="BG102" s="758" t="s">
        <v>7360</v>
      </c>
      <c r="BH102" s="767">
        <f ca="1">IF(CB82=2,
IF(COUNTIF(INDIRECT(BH78&amp;BT80,1),"sim")&gt;0,1,0),
0)</f>
        <v>0</v>
      </c>
      <c r="BI102" s="20" t="s">
        <v>7361</v>
      </c>
      <c r="DA102" s="470" t="s">
        <v>6172</v>
      </c>
      <c r="DB102" s="477" t="s">
        <v>8104</v>
      </c>
      <c r="DC102" s="477" t="s">
        <v>8294</v>
      </c>
      <c r="DG102" s="733" t="s">
        <v>7321</v>
      </c>
      <c r="DH102" s="835" t="s">
        <v>5585</v>
      </c>
      <c r="DI102" s="836" t="s">
        <v>7660</v>
      </c>
      <c r="DJ102" s="837" t="s">
        <v>6040</v>
      </c>
    </row>
    <row r="103" spans="52:140" x14ac:dyDescent="0.25">
      <c r="AZ103" s="470" t="s">
        <v>6172</v>
      </c>
      <c r="BB103" s="25"/>
      <c r="BC103" s="752" t="s">
        <v>8297</v>
      </c>
      <c r="BF103" s="469" t="s">
        <v>5448</v>
      </c>
      <c r="BG103" s="758" t="s">
        <v>7362</v>
      </c>
      <c r="BH103" s="767">
        <f ca="1">IF(COUNTIF(BW81:BX81,1)&gt;0,0,1)</f>
        <v>1</v>
      </c>
      <c r="BI103" s="20" t="s">
        <v>7848</v>
      </c>
      <c r="DA103" s="470" t="s">
        <v>6172</v>
      </c>
      <c r="DB103" s="25">
        <f t="shared" ref="DB103:DB122" ca="1" si="23">DH227</f>
        <v>0</v>
      </c>
      <c r="DC103" s="426" t="s">
        <v>6197</v>
      </c>
      <c r="DG103" s="737" t="s">
        <v>30</v>
      </c>
      <c r="DH103" s="737" t="s">
        <v>6174</v>
      </c>
      <c r="DI103" s="737" t="s">
        <v>6173</v>
      </c>
      <c r="DJ103" s="737" t="s">
        <v>6029</v>
      </c>
      <c r="DK103" s="737" t="s">
        <v>218</v>
      </c>
      <c r="DL103" s="737" t="s">
        <v>6183</v>
      </c>
      <c r="DM103" s="737" t="s">
        <v>6184</v>
      </c>
      <c r="DN103" s="737" t="s">
        <v>31</v>
      </c>
      <c r="DO103" s="737" t="s">
        <v>5720</v>
      </c>
      <c r="DP103" s="737" t="s">
        <v>147</v>
      </c>
      <c r="DQ103" s="737" t="s">
        <v>235</v>
      </c>
      <c r="DR103" s="737" t="s">
        <v>102</v>
      </c>
      <c r="DS103" s="737" t="s">
        <v>103</v>
      </c>
      <c r="DT103" s="737" t="s">
        <v>230</v>
      </c>
      <c r="DU103" s="737" t="s">
        <v>217</v>
      </c>
      <c r="DV103" s="737" t="s">
        <v>364</v>
      </c>
      <c r="DW103" s="737" t="s">
        <v>365</v>
      </c>
      <c r="DX103" s="737" t="s">
        <v>363</v>
      </c>
      <c r="DY103" s="737" t="s">
        <v>241</v>
      </c>
      <c r="DZ103" s="737" t="s">
        <v>6433</v>
      </c>
      <c r="EA103" s="737" t="s">
        <v>240</v>
      </c>
      <c r="EB103" s="737" t="s">
        <v>104</v>
      </c>
      <c r="EC103" s="737" t="s">
        <v>255</v>
      </c>
      <c r="ED103" s="838" t="s">
        <v>293</v>
      </c>
      <c r="EE103" s="838" t="s">
        <v>301</v>
      </c>
      <c r="EF103" s="838" t="s">
        <v>302</v>
      </c>
      <c r="EG103" s="589" t="s">
        <v>6242</v>
      </c>
      <c r="EH103" s="589" t="s">
        <v>143</v>
      </c>
      <c r="EI103" s="589" t="s">
        <v>6189</v>
      </c>
      <c r="EJ103" s="838" t="s">
        <v>6187</v>
      </c>
    </row>
    <row r="104" spans="52:140" x14ac:dyDescent="0.25">
      <c r="AZ104" s="470" t="s">
        <v>6172</v>
      </c>
      <c r="BB104" s="25"/>
      <c r="BC104" s="752" t="s">
        <v>8297</v>
      </c>
      <c r="BF104" s="469" t="s">
        <v>5448</v>
      </c>
      <c r="BG104" s="758" t="s">
        <v>7363</v>
      </c>
      <c r="BH104" s="767">
        <f ca="1">IF(BU82="sim",1,0)</f>
        <v>0</v>
      </c>
      <c r="BI104" s="20" t="s">
        <v>7364</v>
      </c>
      <c r="DA104" s="470" t="s">
        <v>6172</v>
      </c>
      <c r="DB104" s="25">
        <f t="shared" ca="1" si="23"/>
        <v>0</v>
      </c>
      <c r="DC104" s="426" t="s">
        <v>6198</v>
      </c>
      <c r="DF104" s="597" t="s">
        <v>5778</v>
      </c>
      <c r="DG104" s="743" t="s">
        <v>1592</v>
      </c>
      <c r="DH104" s="744" t="s">
        <v>7333</v>
      </c>
      <c r="DI104" s="743" t="s">
        <v>7334</v>
      </c>
      <c r="DJ104" s="744" t="s">
        <v>5798</v>
      </c>
      <c r="DK104" s="743" t="s">
        <v>7335</v>
      </c>
      <c r="DL104" s="743" t="s">
        <v>7336</v>
      </c>
      <c r="DM104" s="745" t="s">
        <v>7337</v>
      </c>
      <c r="DN104" s="745" t="s">
        <v>7338</v>
      </c>
      <c r="DO104" s="744" t="s">
        <v>5796</v>
      </c>
      <c r="DP104" s="744" t="s">
        <v>7339</v>
      </c>
      <c r="DQ104" s="744" t="s">
        <v>7340</v>
      </c>
      <c r="DR104" s="744" t="s">
        <v>5797</v>
      </c>
      <c r="DS104" s="744" t="s">
        <v>7384</v>
      </c>
      <c r="DT104" s="744" t="s">
        <v>7385</v>
      </c>
      <c r="DU104" s="744" t="s">
        <v>7388</v>
      </c>
      <c r="DV104" s="744" t="s">
        <v>7698</v>
      </c>
      <c r="DW104" s="744" t="s">
        <v>7699</v>
      </c>
      <c r="DX104" s="744" t="s">
        <v>7389</v>
      </c>
      <c r="DY104" s="744" t="s">
        <v>7410</v>
      </c>
      <c r="DZ104" s="744" t="s">
        <v>7700</v>
      </c>
      <c r="EA104" s="744" t="s">
        <v>7412</v>
      </c>
      <c r="EB104" s="825" t="s">
        <v>7701</v>
      </c>
      <c r="EC104" s="744" t="s">
        <v>7538</v>
      </c>
      <c r="ED104" s="839" t="s">
        <v>7680</v>
      </c>
      <c r="EE104" s="839" t="s">
        <v>7681</v>
      </c>
      <c r="EF104" s="839" t="s">
        <v>7682</v>
      </c>
      <c r="EG104" s="840" t="s">
        <v>5773</v>
      </c>
      <c r="EH104" s="841" t="s">
        <v>7702</v>
      </c>
      <c r="EI104" s="841" t="s">
        <v>7703</v>
      </c>
      <c r="EJ104" s="839" t="s">
        <v>8544</v>
      </c>
    </row>
    <row r="105" spans="52:140" x14ac:dyDescent="0.25">
      <c r="AZ105" s="470" t="s">
        <v>6172</v>
      </c>
      <c r="BB105" s="426"/>
      <c r="BC105" s="752" t="s">
        <v>8297</v>
      </c>
      <c r="BF105" s="469" t="s">
        <v>5448</v>
      </c>
      <c r="BG105" s="758" t="s">
        <v>6067</v>
      </c>
      <c r="BH105" s="767">
        <f ca="1">IF(CB82=2,1,0)</f>
        <v>0</v>
      </c>
      <c r="DA105" s="470" t="s">
        <v>6172</v>
      </c>
      <c r="DB105" s="25">
        <f t="shared" ca="1" si="23"/>
        <v>0</v>
      </c>
      <c r="DC105" s="426" t="s">
        <v>6199</v>
      </c>
      <c r="DF105" s="597" t="s">
        <v>6222</v>
      </c>
      <c r="DG105" s="716">
        <f t="shared" ref="DG105:EI105" ca="1" si="24">COUNTA(INDIRECT($DH$102&amp;DG104,1))</f>
        <v>0</v>
      </c>
      <c r="DH105" s="716">
        <f t="shared" ca="1" si="24"/>
        <v>0</v>
      </c>
      <c r="DI105" s="716">
        <f t="shared" ca="1" si="24"/>
        <v>0</v>
      </c>
      <c r="DJ105" s="716">
        <f t="shared" ca="1" si="24"/>
        <v>0</v>
      </c>
      <c r="DK105" s="716">
        <f t="shared" ca="1" si="24"/>
        <v>0</v>
      </c>
      <c r="DL105" s="716">
        <f t="shared" ca="1" si="24"/>
        <v>0</v>
      </c>
      <c r="DM105" s="716">
        <f t="shared" ca="1" si="24"/>
        <v>0</v>
      </c>
      <c r="DN105" s="716">
        <f t="shared" ca="1" si="24"/>
        <v>0</v>
      </c>
      <c r="DO105" s="716">
        <f t="shared" ca="1" si="24"/>
        <v>0</v>
      </c>
      <c r="DP105" s="716">
        <f t="shared" ca="1" si="24"/>
        <v>0</v>
      </c>
      <c r="DQ105" s="716">
        <f t="shared" ca="1" si="24"/>
        <v>0</v>
      </c>
      <c r="DR105" s="716">
        <f t="shared" ca="1" si="24"/>
        <v>0</v>
      </c>
      <c r="DS105" s="716">
        <f t="shared" ca="1" si="24"/>
        <v>0</v>
      </c>
      <c r="DT105" s="716">
        <f t="shared" ca="1" si="24"/>
        <v>0</v>
      </c>
      <c r="DU105" s="716">
        <f t="shared" ca="1" si="24"/>
        <v>0</v>
      </c>
      <c r="DV105" s="716">
        <f t="shared" ca="1" si="24"/>
        <v>0</v>
      </c>
      <c r="DW105" s="716">
        <f t="shared" ca="1" si="24"/>
        <v>0</v>
      </c>
      <c r="DX105" s="716">
        <f t="shared" ca="1" si="24"/>
        <v>0</v>
      </c>
      <c r="DY105" s="716">
        <f t="shared" ca="1" si="24"/>
        <v>0</v>
      </c>
      <c r="DZ105" s="716">
        <f t="shared" ca="1" si="24"/>
        <v>0</v>
      </c>
      <c r="EA105" s="716">
        <f t="shared" ca="1" si="24"/>
        <v>0</v>
      </c>
      <c r="EB105" s="716">
        <f t="shared" ca="1" si="24"/>
        <v>0</v>
      </c>
      <c r="EC105" s="716">
        <f t="shared" ca="1" si="24"/>
        <v>0</v>
      </c>
      <c r="ED105" s="716">
        <f t="shared" ca="1" si="24"/>
        <v>0</v>
      </c>
      <c r="EE105" s="716">
        <f t="shared" ca="1" si="24"/>
        <v>0</v>
      </c>
      <c r="EF105" s="716">
        <f t="shared" ca="1" si="24"/>
        <v>0</v>
      </c>
      <c r="EG105" s="716">
        <f t="shared" ca="1" si="24"/>
        <v>0</v>
      </c>
      <c r="EH105" s="716">
        <f t="shared" ca="1" si="24"/>
        <v>0</v>
      </c>
      <c r="EI105" s="716">
        <f t="shared" ca="1" si="24"/>
        <v>0</v>
      </c>
      <c r="EJ105" s="716">
        <f ca="1">COUNTA(INDIRECT(EJ104,1))</f>
        <v>1</v>
      </c>
    </row>
    <row r="106" spans="52:140" x14ac:dyDescent="0.25">
      <c r="AZ106" s="470" t="s">
        <v>6172</v>
      </c>
      <c r="DA106" s="470" t="s">
        <v>6172</v>
      </c>
      <c r="DB106" s="25">
        <f t="shared" ca="1" si="23"/>
        <v>0</v>
      </c>
      <c r="DC106" s="426" t="s">
        <v>6200</v>
      </c>
      <c r="DF106" s="597" t="s">
        <v>6133</v>
      </c>
      <c r="DG106" s="643" cm="1">
        <f t="array" aca="1" ref="DG106" ca="1">INDIRECT($DH$102&amp;DG104,1)</f>
        <v>0</v>
      </c>
      <c r="DH106" s="643" cm="1">
        <f t="array" aca="1" ref="DH106" ca="1">INDIRECT($DH$102&amp;DH104,1)</f>
        <v>0</v>
      </c>
      <c r="DI106" s="643" cm="1">
        <f t="array" aca="1" ref="DI106" ca="1">INDIRECT($DH$102&amp;DI104,1)</f>
        <v>0</v>
      </c>
      <c r="DJ106" s="643" cm="1">
        <f t="array" aca="1" ref="DJ106" ca="1">INDIRECT($DH$102&amp;DJ104,1)</f>
        <v>0</v>
      </c>
      <c r="DK106" s="664" cm="1">
        <f t="array" aca="1" ref="DK106" ca="1">INDIRECT($DH$102&amp;DK104,1)</f>
        <v>0</v>
      </c>
      <c r="DL106" s="643" cm="1">
        <f t="array" aca="1" ref="DL106" ca="1">INDIRECT($DH$102&amp;DL104,1)</f>
        <v>0</v>
      </c>
      <c r="DM106" s="643" cm="1">
        <f t="array" aca="1" ref="DM106" ca="1">INDIRECT($DH$102&amp;DM104,1)</f>
        <v>0</v>
      </c>
      <c r="DN106" s="643" cm="1">
        <f t="array" aca="1" ref="DN106" ca="1">INDIRECT($DH$102&amp;DN104,1)</f>
        <v>0</v>
      </c>
      <c r="DO106" s="643" cm="1">
        <f t="array" aca="1" ref="DO106" ca="1">INDIRECT($DH$102&amp;DO104,1)</f>
        <v>0</v>
      </c>
      <c r="DP106" s="643" cm="1">
        <f t="array" aca="1" ref="DP106" ca="1">INDIRECT($DH$102&amp;DP104,1)</f>
        <v>0</v>
      </c>
      <c r="DQ106" s="643" cm="1">
        <f t="array" aca="1" ref="DQ106" ca="1">INDIRECT($DH$102&amp;DQ104,1)</f>
        <v>0</v>
      </c>
      <c r="DR106" s="643" cm="1">
        <f t="array" aca="1" ref="DR106" ca="1">INDIRECT($DH$102&amp;DR104,1)</f>
        <v>0</v>
      </c>
      <c r="DS106" s="643" cm="1">
        <f t="array" aca="1" ref="DS106" ca="1">INDIRECT($DH$102&amp;DS104,1)</f>
        <v>0</v>
      </c>
      <c r="DT106" s="643" cm="1">
        <f t="array" aca="1" ref="DT106" ca="1">INDIRECT($DH$102&amp;DT104,1)</f>
        <v>0</v>
      </c>
      <c r="DU106" s="643" cm="1">
        <f t="array" aca="1" ref="DU106" ca="1">INDIRECT($DH$102&amp;DU104,1)</f>
        <v>0</v>
      </c>
      <c r="DV106" s="643" cm="1">
        <f t="array" aca="1" ref="DV106" ca="1">INDIRECT($DH$102&amp;DV104,1)</f>
        <v>0</v>
      </c>
      <c r="DW106" s="643" cm="1">
        <f t="array" aca="1" ref="DW106" ca="1">INDIRECT($DH$102&amp;DW104,1)</f>
        <v>0</v>
      </c>
      <c r="DX106" s="643" cm="1">
        <f t="array" aca="1" ref="DX106" ca="1">INDIRECT($DH$102&amp;DX104,1)</f>
        <v>0</v>
      </c>
      <c r="DY106" s="643" cm="1">
        <f t="array" aca="1" ref="DY106" ca="1">INDIRECT($DH$102&amp;DY104,1)</f>
        <v>0</v>
      </c>
      <c r="DZ106" s="643" cm="1">
        <f t="array" aca="1" ref="DZ106" ca="1">INDIRECT($DH$102&amp;DZ104,1)</f>
        <v>0</v>
      </c>
      <c r="EA106" s="643" cm="1">
        <f t="array" aca="1" ref="EA106" ca="1">INDIRECT($DH$102&amp;EA104,1)</f>
        <v>0</v>
      </c>
      <c r="EB106" s="643" cm="1">
        <f t="array" aca="1" ref="EB106" ca="1">INDIRECT($DH$102&amp;EB104,1)</f>
        <v>0</v>
      </c>
      <c r="EC106" s="643" cm="1">
        <f t="array" aca="1" ref="EC106" ca="1">INDIRECT($DH$102&amp;EC104,1)</f>
        <v>0</v>
      </c>
      <c r="ED106" s="713"/>
      <c r="EE106" s="713"/>
      <c r="EF106" s="713"/>
      <c r="EG106" s="643" cm="1">
        <f t="array" aca="1" ref="EG106" ca="1">INDIRECT($DH$102&amp;EG104,1)</f>
        <v>0</v>
      </c>
      <c r="EH106" s="643" cm="1">
        <f t="array" aca="1" ref="EH106" ca="1">INDIRECT($DH$102&amp;EH104,1)</f>
        <v>0</v>
      </c>
      <c r="EI106" s="643" cm="1">
        <f t="array" aca="1" ref="EI106" ca="1">INDIRECT($DH$102&amp;EI104,1)</f>
        <v>0</v>
      </c>
      <c r="EJ106" s="643" cm="1">
        <f t="array" aca="1" ref="EJ106" ca="1">INDIRECT(EJ104,1)</f>
        <v>0</v>
      </c>
    </row>
    <row r="107" spans="52:140" x14ac:dyDescent="0.25">
      <c r="AZ107" s="470" t="s">
        <v>6172</v>
      </c>
      <c r="DA107" s="470" t="s">
        <v>6172</v>
      </c>
      <c r="DB107" s="25">
        <f t="shared" ca="1" si="23"/>
        <v>0</v>
      </c>
      <c r="DC107" s="426" t="s">
        <v>6201</v>
      </c>
      <c r="DF107" s="597" t="s">
        <v>14</v>
      </c>
    </row>
    <row r="108" spans="52:140" x14ac:dyDescent="0.25">
      <c r="AZ108" s="470" t="s">
        <v>6172</v>
      </c>
      <c r="DA108" s="470" t="s">
        <v>6172</v>
      </c>
      <c r="DB108" s="25">
        <f t="shared" ca="1" si="23"/>
        <v>0</v>
      </c>
      <c r="DC108" s="426" t="s">
        <v>6202</v>
      </c>
    </row>
    <row r="109" spans="52:140" x14ac:dyDescent="0.25">
      <c r="AZ109" s="470" t="s">
        <v>6172</v>
      </c>
      <c r="DA109" s="470" t="s">
        <v>6172</v>
      </c>
      <c r="DB109" s="25">
        <f t="shared" ca="1" si="23"/>
        <v>0</v>
      </c>
      <c r="DC109" s="426" t="s">
        <v>6203</v>
      </c>
      <c r="DG109" s="516" t="s">
        <v>7677</v>
      </c>
    </row>
    <row r="110" spans="52:140" x14ac:dyDescent="0.25">
      <c r="AZ110" s="470" t="s">
        <v>6172</v>
      </c>
      <c r="DA110" s="470" t="s">
        <v>6172</v>
      </c>
      <c r="DB110" s="25">
        <f t="shared" ca="1" si="23"/>
        <v>0</v>
      </c>
      <c r="DC110" s="426" t="s">
        <v>6394</v>
      </c>
      <c r="DG110" s="737" t="s">
        <v>7676</v>
      </c>
      <c r="DH110" s="737" t="s">
        <v>7271</v>
      </c>
    </row>
    <row r="111" spans="52:140" x14ac:dyDescent="0.25">
      <c r="AZ111" s="470" t="s">
        <v>6172</v>
      </c>
      <c r="DA111" s="470" t="s">
        <v>6172</v>
      </c>
      <c r="DB111" s="25">
        <f t="shared" ca="1" si="23"/>
        <v>0</v>
      </c>
      <c r="DC111" s="426" t="s">
        <v>6457</v>
      </c>
      <c r="DF111" s="597" t="s">
        <v>5778</v>
      </c>
      <c r="DG111" s="643" t="s">
        <v>1984</v>
      </c>
      <c r="DH111" s="643" t="s">
        <v>7270</v>
      </c>
    </row>
    <row r="112" spans="52:140" x14ac:dyDescent="0.25">
      <c r="AZ112" s="470" t="s">
        <v>6172</v>
      </c>
      <c r="DA112" s="470" t="s">
        <v>6172</v>
      </c>
      <c r="DB112" s="25">
        <f t="shared" ca="1" si="23"/>
        <v>0</v>
      </c>
      <c r="DC112" s="426" t="s">
        <v>6494</v>
      </c>
      <c r="DF112" s="597" t="s">
        <v>6222</v>
      </c>
      <c r="DG112" s="716">
        <f ca="1">COUNTA(INDIRECT($DH$102&amp;DG111,1))</f>
        <v>0</v>
      </c>
      <c r="DH112" s="716">
        <f ca="1">COUNTA(INDIRECT($DH$102&amp;DH111,1))</f>
        <v>0</v>
      </c>
    </row>
    <row r="113" spans="52:141" x14ac:dyDescent="0.25">
      <c r="AZ113" s="470" t="s">
        <v>6172</v>
      </c>
      <c r="DA113" s="470" t="s">
        <v>6172</v>
      </c>
      <c r="DB113" s="25">
        <f t="shared" ca="1" si="23"/>
        <v>0</v>
      </c>
      <c r="DC113" s="426" t="s">
        <v>6458</v>
      </c>
      <c r="DF113" s="597" t="s">
        <v>6133</v>
      </c>
      <c r="DG113" s="643" cm="1">
        <f t="array" aca="1" ref="DG113" ca="1">INDIRECT($DH$102&amp;DG111,1)</f>
        <v>0</v>
      </c>
      <c r="DH113" s="643" cm="1">
        <f t="array" aca="1" ref="DH113" ca="1">INDIRECT($DH$102&amp;DH111,1)</f>
        <v>0</v>
      </c>
    </row>
    <row r="114" spans="52:141" x14ac:dyDescent="0.25">
      <c r="AZ114" s="470" t="s">
        <v>6172</v>
      </c>
      <c r="DA114" s="470" t="s">
        <v>6172</v>
      </c>
      <c r="DB114" s="25">
        <f t="shared" ca="1" si="23"/>
        <v>0</v>
      </c>
      <c r="DC114" s="426" t="s">
        <v>6459</v>
      </c>
      <c r="DF114" s="597" t="s">
        <v>14</v>
      </c>
    </row>
    <row r="115" spans="52:141" x14ac:dyDescent="0.25">
      <c r="AZ115" s="470" t="s">
        <v>6172</v>
      </c>
      <c r="DA115" s="470" t="s">
        <v>6172</v>
      </c>
      <c r="DB115" s="25">
        <f t="shared" ca="1" si="23"/>
        <v>0</v>
      </c>
      <c r="DC115" s="426" t="s">
        <v>6460</v>
      </c>
    </row>
    <row r="116" spans="52:141" x14ac:dyDescent="0.25">
      <c r="AZ116" s="470" t="s">
        <v>6172</v>
      </c>
      <c r="DA116" s="470" t="s">
        <v>6172</v>
      </c>
      <c r="DB116" s="25">
        <f t="shared" ca="1" si="23"/>
        <v>0</v>
      </c>
      <c r="DC116" s="426" t="s">
        <v>6461</v>
      </c>
      <c r="DG116" s="516" t="s">
        <v>358</v>
      </c>
    </row>
    <row r="117" spans="52:141" x14ac:dyDescent="0.25">
      <c r="AZ117" s="470" t="s">
        <v>6172</v>
      </c>
      <c r="DA117" s="470" t="s">
        <v>6172</v>
      </c>
      <c r="DB117" s="25">
        <f t="shared" ca="1" si="23"/>
        <v>0</v>
      </c>
      <c r="DC117" s="426" t="s">
        <v>6462</v>
      </c>
      <c r="DG117" s="737" t="s">
        <v>6434</v>
      </c>
      <c r="DH117" s="738" t="s">
        <v>6435</v>
      </c>
      <c r="DI117" s="738" t="s">
        <v>6436</v>
      </c>
      <c r="DJ117" s="738" t="s">
        <v>6437</v>
      </c>
      <c r="DK117" s="738" t="s">
        <v>6438</v>
      </c>
      <c r="DL117" s="737" t="s">
        <v>6444</v>
      </c>
      <c r="DM117" s="737" t="s">
        <v>6444</v>
      </c>
      <c r="DN117" s="737" t="s">
        <v>6445</v>
      </c>
      <c r="DO117" s="737" t="s">
        <v>6446</v>
      </c>
      <c r="DP117" s="738" t="s">
        <v>6439</v>
      </c>
      <c r="DQ117" s="738" t="s">
        <v>6440</v>
      </c>
      <c r="DR117" s="738" t="s">
        <v>6441</v>
      </c>
      <c r="DS117" s="738" t="s">
        <v>6442</v>
      </c>
      <c r="DT117" s="737" t="s">
        <v>262</v>
      </c>
    </row>
    <row r="118" spans="52:141" x14ac:dyDescent="0.25">
      <c r="AZ118" s="470" t="s">
        <v>6172</v>
      </c>
      <c r="DA118" s="470" t="s">
        <v>6172</v>
      </c>
      <c r="DB118" s="25">
        <f t="shared" ca="1" si="23"/>
        <v>0</v>
      </c>
      <c r="DC118" s="426" t="s">
        <v>6463</v>
      </c>
      <c r="DF118" s="597" t="s">
        <v>5778</v>
      </c>
      <c r="DG118" s="743" t="s">
        <v>7704</v>
      </c>
      <c r="DH118" s="746" t="s">
        <v>7683</v>
      </c>
      <c r="DI118" s="746" t="s">
        <v>7684</v>
      </c>
      <c r="DJ118" s="746" t="s">
        <v>7685</v>
      </c>
      <c r="DK118" s="746" t="s">
        <v>7686</v>
      </c>
      <c r="DL118" s="743" t="s">
        <v>7705</v>
      </c>
      <c r="DM118" s="743" t="s">
        <v>1692</v>
      </c>
      <c r="DN118" s="743" t="s">
        <v>7706</v>
      </c>
      <c r="DO118" s="743" t="s">
        <v>7707</v>
      </c>
      <c r="DP118" s="746" t="s">
        <v>7687</v>
      </c>
      <c r="DQ118" s="746" t="s">
        <v>7688</v>
      </c>
      <c r="DR118" s="746" t="s">
        <v>7689</v>
      </c>
      <c r="DS118" s="746" t="s">
        <v>7690</v>
      </c>
      <c r="DT118" s="743" t="s">
        <v>7708</v>
      </c>
    </row>
    <row r="119" spans="52:141" x14ac:dyDescent="0.25">
      <c r="AZ119" s="470" t="s">
        <v>6172</v>
      </c>
      <c r="DA119" s="470" t="s">
        <v>6172</v>
      </c>
      <c r="DB119" s="25">
        <f t="shared" ca="1" si="23"/>
        <v>0</v>
      </c>
      <c r="DC119" s="426" t="s">
        <v>6464</v>
      </c>
      <c r="DF119" s="597" t="s">
        <v>6222</v>
      </c>
      <c r="DG119" s="717">
        <f t="shared" ref="DG119:DT119" ca="1" si="25">COUNTA(INDIRECT($DH$102&amp;DG118,1))</f>
        <v>0</v>
      </c>
      <c r="DH119" s="717">
        <f t="shared" ca="1" si="25"/>
        <v>0</v>
      </c>
      <c r="DI119" s="717">
        <f t="shared" ca="1" si="25"/>
        <v>0</v>
      </c>
      <c r="DJ119" s="717">
        <f t="shared" ca="1" si="25"/>
        <v>0</v>
      </c>
      <c r="DK119" s="717">
        <f t="shared" ca="1" si="25"/>
        <v>0</v>
      </c>
      <c r="DL119" s="717">
        <f t="shared" ca="1" si="25"/>
        <v>0</v>
      </c>
      <c r="DM119" s="717">
        <f t="shared" ca="1" si="25"/>
        <v>0</v>
      </c>
      <c r="DN119" s="717">
        <f t="shared" ca="1" si="25"/>
        <v>0</v>
      </c>
      <c r="DO119" s="717">
        <f t="shared" ca="1" si="25"/>
        <v>0</v>
      </c>
      <c r="DP119" s="709">
        <f t="shared" ca="1" si="25"/>
        <v>0</v>
      </c>
      <c r="DQ119" s="709">
        <f t="shared" ca="1" si="25"/>
        <v>0</v>
      </c>
      <c r="DR119" s="709">
        <f t="shared" ca="1" si="25"/>
        <v>0</v>
      </c>
      <c r="DS119" s="709">
        <f t="shared" ca="1" si="25"/>
        <v>0</v>
      </c>
      <c r="DT119" s="717">
        <f t="shared" ca="1" si="25"/>
        <v>0</v>
      </c>
    </row>
    <row r="120" spans="52:141" ht="15.75" thickBot="1" x14ac:dyDescent="0.3">
      <c r="AZ120" s="470" t="s">
        <v>6172</v>
      </c>
      <c r="BB120" s="730" t="s">
        <v>6072</v>
      </c>
      <c r="BC120" s="730"/>
      <c r="BD120" s="730"/>
      <c r="BE120" s="730"/>
      <c r="BF120" s="730"/>
      <c r="BG120" s="730"/>
      <c r="BH120" s="730"/>
      <c r="BI120" s="730"/>
      <c r="BJ120" s="730"/>
      <c r="BK120" s="730"/>
      <c r="BL120" s="730"/>
      <c r="BM120" s="730"/>
      <c r="BN120" s="730"/>
      <c r="BO120" s="730"/>
      <c r="BP120" s="730"/>
      <c r="BQ120" s="730"/>
      <c r="BR120" s="730"/>
      <c r="BS120" s="730"/>
      <c r="BT120" s="730"/>
      <c r="BU120" s="730"/>
      <c r="BV120" s="730"/>
      <c r="BW120" s="730"/>
      <c r="BX120" s="730"/>
      <c r="BY120" s="730"/>
      <c r="BZ120" s="730"/>
      <c r="CA120" s="730"/>
      <c r="CB120" s="730"/>
      <c r="CC120" s="730"/>
      <c r="CD120" s="730"/>
      <c r="CE120" s="730"/>
      <c r="CF120" s="730"/>
      <c r="CG120" s="730"/>
      <c r="CH120" s="730"/>
      <c r="CI120" s="730"/>
      <c r="DA120" s="470" t="s">
        <v>6172</v>
      </c>
      <c r="DB120" s="25">
        <f t="shared" ca="1" si="23"/>
        <v>0</v>
      </c>
      <c r="DC120" s="426" t="s">
        <v>6465</v>
      </c>
      <c r="DF120" s="597" t="s">
        <v>6133</v>
      </c>
      <c r="DG120" s="597" cm="1">
        <f t="array" aca="1" ref="DG120" ca="1">INDIRECT($DH$102&amp;DG118,1)</f>
        <v>0</v>
      </c>
      <c r="DH120" s="709"/>
      <c r="DI120" s="709"/>
      <c r="DJ120" s="709"/>
      <c r="DK120" s="709"/>
      <c r="DL120" s="597" cm="1">
        <f t="array" aca="1" ref="DL120" ca="1">INDIRECT($DH$102&amp;DL118,1)</f>
        <v>0</v>
      </c>
      <c r="DM120" s="597" cm="1">
        <f t="array" aca="1" ref="DM120" ca="1">INDIRECT($DH$102&amp;DM118,1)</f>
        <v>0</v>
      </c>
      <c r="DN120" s="597" cm="1">
        <f t="array" aca="1" ref="DN120" ca="1">INDIRECT($DH$102&amp;DN118,1)</f>
        <v>0</v>
      </c>
      <c r="DO120" s="597" cm="1">
        <f t="array" aca="1" ref="DO120" ca="1">INDIRECT($DH$102&amp;DO118,1)</f>
        <v>0</v>
      </c>
      <c r="DP120" s="709"/>
      <c r="DQ120" s="709"/>
      <c r="DR120" s="709"/>
      <c r="DS120" s="709"/>
      <c r="DT120" s="597" cm="1">
        <f t="array" aca="1" ref="DT120" ca="1">INDIRECT($DH$102&amp;DT118,1)</f>
        <v>0</v>
      </c>
    </row>
    <row r="121" spans="52:141" x14ac:dyDescent="0.25">
      <c r="AZ121" s="470" t="s">
        <v>6172</v>
      </c>
      <c r="BB121" s="477" t="s">
        <v>8104</v>
      </c>
      <c r="BC121" s="477" t="s">
        <v>8294</v>
      </c>
      <c r="DA121" s="470" t="s">
        <v>6172</v>
      </c>
      <c r="DB121" s="25">
        <f t="shared" ca="1" si="23"/>
        <v>0</v>
      </c>
      <c r="DC121" s="426" t="s">
        <v>6466</v>
      </c>
      <c r="DF121" s="597" t="s">
        <v>14</v>
      </c>
    </row>
    <row r="122" spans="52:141" x14ac:dyDescent="0.25">
      <c r="AZ122" s="470" t="s">
        <v>6172</v>
      </c>
      <c r="BB122" s="844">
        <f ca="1">IF(BH127="Sim",0,IF(BH126&lt;&gt;BJ126,1,0))</f>
        <v>0</v>
      </c>
      <c r="BC122" s="450" t="s">
        <v>6197</v>
      </c>
      <c r="DA122" s="470" t="s">
        <v>6172</v>
      </c>
      <c r="DB122" s="25">
        <f t="shared" ca="1" si="23"/>
        <v>0</v>
      </c>
      <c r="DC122" s="426" t="s">
        <v>6467</v>
      </c>
    </row>
    <row r="123" spans="52:141" x14ac:dyDescent="0.25">
      <c r="AZ123" s="470" t="s">
        <v>6172</v>
      </c>
      <c r="BB123" s="844">
        <f ca="1">IF(AND(BH127="Não",BI126=0),1,0)</f>
        <v>0</v>
      </c>
      <c r="BC123" s="450" t="s">
        <v>6274</v>
      </c>
      <c r="BH123" s="733" t="s">
        <v>7321</v>
      </c>
      <c r="BI123" s="797" t="s">
        <v>7793</v>
      </c>
      <c r="DA123" s="470" t="s">
        <v>6172</v>
      </c>
      <c r="DB123" s="25">
        <f ca="1">DH253</f>
        <v>0</v>
      </c>
      <c r="DC123" s="426" t="s">
        <v>6313</v>
      </c>
    </row>
    <row r="124" spans="52:141" x14ac:dyDescent="0.25">
      <c r="AZ124" s="470" t="s">
        <v>6172</v>
      </c>
      <c r="BB124" s="844">
        <f ca="1">IF(BH127="Sim",0,IF(BH126&lt;&gt;BK126,1,0))</f>
        <v>0</v>
      </c>
      <c r="BC124" s="450" t="s">
        <v>6198</v>
      </c>
      <c r="BH124" s="737" t="s">
        <v>5589</v>
      </c>
      <c r="BI124" s="737" t="s">
        <v>30</v>
      </c>
      <c r="BJ124" s="737" t="s">
        <v>6174</v>
      </c>
      <c r="BK124" s="737" t="s">
        <v>6173</v>
      </c>
      <c r="BL124" s="737" t="s">
        <v>6029</v>
      </c>
      <c r="BM124" s="737" t="s">
        <v>218</v>
      </c>
      <c r="BN124" s="737" t="s">
        <v>6183</v>
      </c>
      <c r="BO124" s="737" t="s">
        <v>6184</v>
      </c>
      <c r="BP124" s="737" t="s">
        <v>31</v>
      </c>
      <c r="BQ124" s="737" t="s">
        <v>5720</v>
      </c>
      <c r="BR124" s="737" t="s">
        <v>85</v>
      </c>
      <c r="BS124" s="737" t="s">
        <v>235</v>
      </c>
      <c r="BT124" s="838" t="s">
        <v>293</v>
      </c>
      <c r="BU124" s="838" t="s">
        <v>301</v>
      </c>
      <c r="BV124" s="838" t="s">
        <v>302</v>
      </c>
      <c r="BW124" s="589" t="s">
        <v>6242</v>
      </c>
      <c r="BX124" s="589" t="s">
        <v>143</v>
      </c>
      <c r="BY124" s="589" t="s">
        <v>6217</v>
      </c>
      <c r="BZ124" s="589" t="s">
        <v>278</v>
      </c>
      <c r="CA124" s="589" t="s">
        <v>279</v>
      </c>
      <c r="CB124" s="589" t="s">
        <v>6189</v>
      </c>
      <c r="CC124" s="824" t="s">
        <v>6185</v>
      </c>
      <c r="CD124" s="824" t="s">
        <v>6187</v>
      </c>
      <c r="CE124" s="824" t="s">
        <v>6188</v>
      </c>
      <c r="DA124" s="470" t="s">
        <v>6172</v>
      </c>
      <c r="DB124" s="25">
        <f ca="1">DH254</f>
        <v>0</v>
      </c>
      <c r="DC124" s="426" t="s">
        <v>6474</v>
      </c>
      <c r="DG124" s="516" t="s">
        <v>6447</v>
      </c>
    </row>
    <row r="125" spans="52:141" x14ac:dyDescent="0.25">
      <c r="AZ125" s="470" t="s">
        <v>6172</v>
      </c>
      <c r="BB125" s="844">
        <f ca="1">IF(BH127="Sim",0,IF(BH126&lt;&gt;BL126,1,0))</f>
        <v>0</v>
      </c>
      <c r="BC125" s="450" t="s">
        <v>6199</v>
      </c>
      <c r="BG125" s="790" t="s">
        <v>5778</v>
      </c>
      <c r="BH125" s="761" t="s">
        <v>5873</v>
      </c>
      <c r="BI125" s="761" t="s">
        <v>5796</v>
      </c>
      <c r="BJ125" s="761" t="s">
        <v>7383</v>
      </c>
      <c r="BK125" s="761" t="s">
        <v>7339</v>
      </c>
      <c r="BL125" s="827" t="s">
        <v>5797</v>
      </c>
      <c r="BM125" s="827" t="s">
        <v>7384</v>
      </c>
      <c r="BN125" s="827" t="s">
        <v>7385</v>
      </c>
      <c r="BO125" s="845" t="s">
        <v>7386</v>
      </c>
      <c r="BP125" s="845" t="s">
        <v>7387</v>
      </c>
      <c r="BQ125" s="827" t="s">
        <v>7388</v>
      </c>
      <c r="BR125" s="827" t="s">
        <v>7389</v>
      </c>
      <c r="BS125" s="827" t="s">
        <v>7390</v>
      </c>
      <c r="BT125" s="846" t="s">
        <v>7380</v>
      </c>
      <c r="BU125" s="846" t="s">
        <v>7381</v>
      </c>
      <c r="BV125" s="846" t="s">
        <v>7382</v>
      </c>
      <c r="BW125" s="761" t="s">
        <v>7304</v>
      </c>
      <c r="BX125" s="761" t="s">
        <v>7391</v>
      </c>
      <c r="BY125" s="847" t="s">
        <v>7392</v>
      </c>
      <c r="BZ125" s="847" t="s">
        <v>7393</v>
      </c>
      <c r="CA125" s="847" t="s">
        <v>7394</v>
      </c>
      <c r="CB125" s="847" t="s">
        <v>7395</v>
      </c>
      <c r="CC125" s="827" t="s">
        <v>8335</v>
      </c>
      <c r="CD125" s="827" t="s">
        <v>8571</v>
      </c>
      <c r="CE125" s="827" t="s">
        <v>8573</v>
      </c>
      <c r="DA125" s="470" t="s">
        <v>6172</v>
      </c>
      <c r="DB125" s="25">
        <f ca="1">DH255</f>
        <v>0</v>
      </c>
      <c r="DC125" s="426" t="s">
        <v>6473</v>
      </c>
      <c r="DG125" s="737" t="s">
        <v>74</v>
      </c>
      <c r="DH125" s="738" t="s">
        <v>104</v>
      </c>
      <c r="DI125" s="738" t="s">
        <v>210</v>
      </c>
      <c r="DJ125" s="738" t="s">
        <v>38</v>
      </c>
      <c r="DK125" s="738" t="s">
        <v>211</v>
      </c>
      <c r="DL125" s="738" t="s">
        <v>39</v>
      </c>
      <c r="DM125" s="738" t="s">
        <v>195</v>
      </c>
      <c r="DN125" s="737" t="s">
        <v>105</v>
      </c>
      <c r="DO125" s="737" t="s">
        <v>6506</v>
      </c>
      <c r="DP125" s="737" t="s">
        <v>212</v>
      </c>
      <c r="DQ125" s="737" t="s">
        <v>259</v>
      </c>
      <c r="DR125" s="737" t="s">
        <v>216</v>
      </c>
      <c r="DS125" s="737" t="s">
        <v>213</v>
      </c>
      <c r="DT125" s="737" t="s">
        <v>214</v>
      </c>
      <c r="DU125" s="737" t="s">
        <v>5770</v>
      </c>
      <c r="DV125" s="737" t="s">
        <v>244</v>
      </c>
      <c r="DW125" s="737" t="s">
        <v>243</v>
      </c>
      <c r="DX125" s="737" t="s">
        <v>245</v>
      </c>
      <c r="DY125" s="737" t="s">
        <v>5771</v>
      </c>
      <c r="DZ125" s="737" t="s">
        <v>6449</v>
      </c>
      <c r="EA125" s="737" t="s">
        <v>6450</v>
      </c>
      <c r="EB125" s="737" t="s">
        <v>6451</v>
      </c>
      <c r="EC125" s="738" t="s">
        <v>6448</v>
      </c>
    </row>
    <row r="126" spans="52:141" x14ac:dyDescent="0.25">
      <c r="AZ126" s="470" t="s">
        <v>6172</v>
      </c>
      <c r="BB126" s="844">
        <f ca="1">IF(BH127="Sim",0,IF(BH126&lt;&gt;BM126,1,0))</f>
        <v>0</v>
      </c>
      <c r="BC126" s="450" t="s">
        <v>6200</v>
      </c>
      <c r="BG126" s="790" t="s">
        <v>6222</v>
      </c>
      <c r="BH126" s="827">
        <f t="shared" ref="BH126:CB126" ca="1" si="26">COUNTA(INDIRECT($BI$123&amp;BH125,1))</f>
        <v>0</v>
      </c>
      <c r="BI126" s="827">
        <f t="shared" ca="1" si="26"/>
        <v>0</v>
      </c>
      <c r="BJ126" s="827">
        <f t="shared" ca="1" si="26"/>
        <v>0</v>
      </c>
      <c r="BK126" s="827">
        <f t="shared" ca="1" si="26"/>
        <v>0</v>
      </c>
      <c r="BL126" s="827">
        <f t="shared" ca="1" si="26"/>
        <v>0</v>
      </c>
      <c r="BM126" s="827">
        <f t="shared" ca="1" si="26"/>
        <v>0</v>
      </c>
      <c r="BN126" s="827">
        <f t="shared" ca="1" si="26"/>
        <v>0</v>
      </c>
      <c r="BO126" s="827">
        <f t="shared" ca="1" si="26"/>
        <v>0</v>
      </c>
      <c r="BP126" s="827">
        <f t="shared" ca="1" si="26"/>
        <v>0</v>
      </c>
      <c r="BQ126" s="827">
        <f t="shared" ca="1" si="26"/>
        <v>0</v>
      </c>
      <c r="BR126" s="827">
        <f t="shared" ca="1" si="26"/>
        <v>1</v>
      </c>
      <c r="BS126" s="827">
        <f t="shared" ca="1" si="26"/>
        <v>0</v>
      </c>
      <c r="BT126" s="827">
        <f t="shared" ca="1" si="26"/>
        <v>0</v>
      </c>
      <c r="BU126" s="827">
        <f t="shared" ca="1" si="26"/>
        <v>0</v>
      </c>
      <c r="BV126" s="827">
        <f t="shared" ca="1" si="26"/>
        <v>0</v>
      </c>
      <c r="BW126" s="827">
        <f t="shared" ca="1" si="26"/>
        <v>0</v>
      </c>
      <c r="BX126" s="827">
        <f t="shared" ca="1" si="26"/>
        <v>0</v>
      </c>
      <c r="BY126" s="827">
        <f t="shared" ca="1" si="26"/>
        <v>0</v>
      </c>
      <c r="BZ126" s="827">
        <f t="shared" ca="1" si="26"/>
        <v>0</v>
      </c>
      <c r="CA126" s="827">
        <f t="shared" ca="1" si="26"/>
        <v>0</v>
      </c>
      <c r="CB126" s="827">
        <f t="shared" ca="1" si="26"/>
        <v>0</v>
      </c>
      <c r="CC126" s="827"/>
      <c r="CD126" s="827">
        <f ca="1">COUNTA(INDIRECT(CD125,1))</f>
        <v>1</v>
      </c>
      <c r="CE126" s="827">
        <f ca="1">COUNTA(INDIRECT(CE125,1))</f>
        <v>1</v>
      </c>
      <c r="DA126" s="470" t="s">
        <v>6172</v>
      </c>
      <c r="DB126" s="25"/>
      <c r="DC126" s="426"/>
      <c r="DF126" s="597" t="s">
        <v>5778</v>
      </c>
      <c r="DG126" s="761" t="s">
        <v>7395</v>
      </c>
      <c r="DH126" s="846" t="s">
        <v>7691</v>
      </c>
      <c r="DI126" s="846" t="s">
        <v>7692</v>
      </c>
      <c r="DJ126" s="846" t="s">
        <v>7693</v>
      </c>
      <c r="DK126" s="846" t="s">
        <v>7694</v>
      </c>
      <c r="DL126" s="846" t="s">
        <v>7695</v>
      </c>
      <c r="DM126" s="846" t="s">
        <v>7696</v>
      </c>
      <c r="DN126" s="761" t="s">
        <v>7456</v>
      </c>
      <c r="DO126" s="761" t="s">
        <v>7549</v>
      </c>
      <c r="DP126" s="761" t="s">
        <v>7050</v>
      </c>
      <c r="DQ126" s="761" t="s">
        <v>7633</v>
      </c>
      <c r="DR126" s="761" t="s">
        <v>7709</v>
      </c>
      <c r="DS126" s="761" t="s">
        <v>7634</v>
      </c>
      <c r="DT126" s="761" t="s">
        <v>7710</v>
      </c>
      <c r="DU126" s="761" t="s">
        <v>7306</v>
      </c>
      <c r="DV126" s="761" t="s">
        <v>7711</v>
      </c>
      <c r="DW126" s="761" t="s">
        <v>7712</v>
      </c>
      <c r="DX126" s="761" t="s">
        <v>7713</v>
      </c>
      <c r="DY126" s="761" t="s">
        <v>7457</v>
      </c>
      <c r="DZ126" s="761" t="s">
        <v>7714</v>
      </c>
      <c r="EA126" s="761" t="s">
        <v>7715</v>
      </c>
      <c r="EB126" s="761" t="s">
        <v>7716</v>
      </c>
      <c r="EC126" s="846" t="s">
        <v>8545</v>
      </c>
    </row>
    <row r="127" spans="52:141" x14ac:dyDescent="0.25">
      <c r="AZ127" s="470" t="s">
        <v>6172</v>
      </c>
      <c r="BB127" s="844">
        <f ca="1">IF(BH127="Sim",0,IF(BH126&lt;&gt;BO126,1,0))</f>
        <v>0</v>
      </c>
      <c r="BC127" s="450" t="s">
        <v>6201</v>
      </c>
      <c r="BG127" s="790" t="s">
        <v>6133</v>
      </c>
      <c r="BH127" s="827" cm="1">
        <f t="array" aca="1" ref="BH127" ca="1">INDIRECT($BI$123&amp;BH125,1)</f>
        <v>0</v>
      </c>
      <c r="BI127" s="827" cm="1">
        <f t="array" aca="1" ref="BI127" ca="1">INDIRECT($BI$123&amp;BI125,1)</f>
        <v>0</v>
      </c>
      <c r="BJ127" s="827" cm="1">
        <f t="array" aca="1" ref="BJ127" ca="1">INDIRECT($BI$123&amp;BJ125,1)</f>
        <v>0</v>
      </c>
      <c r="BK127" s="827" cm="1">
        <f t="array" aca="1" ref="BK127" ca="1">INDIRECT($BI$123&amp;BK125,1)</f>
        <v>0</v>
      </c>
      <c r="BL127" s="827" cm="1">
        <f t="array" aca="1" ref="BL127" ca="1">INDIRECT($BI$123&amp;BL125,1)</f>
        <v>0</v>
      </c>
      <c r="BM127" s="827" cm="1">
        <f t="array" aca="1" ref="BM127" ca="1">INDIRECT($BI$123&amp;BM125,1)</f>
        <v>0</v>
      </c>
      <c r="BN127" s="827" cm="1">
        <f t="array" aca="1" ref="BN127" ca="1">INDIRECT($BI$123&amp;BN125,1)</f>
        <v>0</v>
      </c>
      <c r="BO127" s="827" cm="1">
        <f t="array" aca="1" ref="BO127" ca="1">INDIRECT($BI$123&amp;BO125,1)</f>
        <v>0</v>
      </c>
      <c r="BP127" s="827" cm="1">
        <f t="array" aca="1" ref="BP127" ca="1">INDIRECT($BI$123&amp;BP125,1)</f>
        <v>0</v>
      </c>
      <c r="BQ127" s="827" cm="1">
        <f t="array" aca="1" ref="BQ127" ca="1">INDIRECT($BI$123&amp;BQ125,1)</f>
        <v>0</v>
      </c>
      <c r="BR127" s="827" t="str" cm="1">
        <f t="array" aca="1" ref="BR127" ca="1">INDIRECT($BI$123&amp;BR125,1)</f>
        <v>Rattus norvegicus</v>
      </c>
      <c r="BS127" s="827" cm="1">
        <f t="array" aca="1" ref="BS127" ca="1">INDIRECT($BI$123&amp;BS125,1)</f>
        <v>0</v>
      </c>
      <c r="BT127" s="829"/>
      <c r="BU127" s="829"/>
      <c r="BV127" s="829"/>
      <c r="BW127" s="827" cm="1">
        <f t="array" aca="1" ref="BW127" ca="1">INDIRECT($BI$123&amp;BW125,1)</f>
        <v>0</v>
      </c>
      <c r="BX127" s="827" cm="1">
        <f t="array" aca="1" ref="BX127" ca="1">INDIRECT($BI$123&amp;BX125,1)</f>
        <v>0</v>
      </c>
      <c r="BY127" s="827" cm="1">
        <f t="array" aca="1" ref="BY127" ca="1">INDIRECT($BI$123&amp;BY125,1)</f>
        <v>0</v>
      </c>
      <c r="BZ127" s="827" cm="1">
        <f t="array" aca="1" ref="BZ127" ca="1">INDIRECT($BI$123&amp;BZ125,1)</f>
        <v>0</v>
      </c>
      <c r="CA127" s="827" cm="1">
        <f t="array" aca="1" ref="CA127" ca="1">INDIRECT($BI$123&amp;CA125,1)</f>
        <v>0</v>
      </c>
      <c r="CB127" s="827" cm="1">
        <f t="array" aca="1" ref="CB127" ca="1">INDIRECT($BI$123&amp;CB125,1)</f>
        <v>0</v>
      </c>
      <c r="CC127" s="793">
        <f ca="1">COUNTIF(INDIRECT(CC125),TRUE)</f>
        <v>0</v>
      </c>
      <c r="CD127" s="829" cm="1">
        <f t="array" aca="1" ref="CD127" ca="1">INDIRECT(CD125,1)</f>
        <v>0</v>
      </c>
      <c r="CE127" s="829" t="b" cm="1">
        <f t="array" aca="1" ref="CE127" ca="1">INDIRECT(CE125,1)</f>
        <v>0</v>
      </c>
      <c r="DA127" s="470" t="s">
        <v>6172</v>
      </c>
      <c r="DB127" s="25">
        <f ca="1">IF(AND(DG128="sim",DN127=0),1,0)</f>
        <v>0</v>
      </c>
      <c r="DC127" s="426" t="s">
        <v>6476</v>
      </c>
      <c r="DF127" s="597" t="s">
        <v>6222</v>
      </c>
      <c r="DG127" s="717">
        <f t="shared" ref="DG127:EC127" ca="1" si="27">COUNTA(INDIRECT($DH$102&amp;DG126,1))</f>
        <v>0</v>
      </c>
      <c r="DH127" s="717">
        <f t="shared" ca="1" si="27"/>
        <v>0</v>
      </c>
      <c r="DI127" s="717">
        <f t="shared" ca="1" si="27"/>
        <v>0</v>
      </c>
      <c r="DJ127" s="717">
        <f t="shared" ca="1" si="27"/>
        <v>0</v>
      </c>
      <c r="DK127" s="717">
        <f t="shared" ca="1" si="27"/>
        <v>0</v>
      </c>
      <c r="DL127" s="717">
        <f t="shared" ca="1" si="27"/>
        <v>0</v>
      </c>
      <c r="DM127" s="717">
        <f t="shared" ca="1" si="27"/>
        <v>0</v>
      </c>
      <c r="DN127" s="717">
        <f t="shared" ca="1" si="27"/>
        <v>0</v>
      </c>
      <c r="DO127" s="717">
        <f t="shared" ca="1" si="27"/>
        <v>0</v>
      </c>
      <c r="DP127" s="717">
        <f t="shared" ca="1" si="27"/>
        <v>0</v>
      </c>
      <c r="DQ127" s="717">
        <f t="shared" ca="1" si="27"/>
        <v>0</v>
      </c>
      <c r="DR127" s="717">
        <f t="shared" ca="1" si="27"/>
        <v>0</v>
      </c>
      <c r="DS127" s="717">
        <f t="shared" ca="1" si="27"/>
        <v>0</v>
      </c>
      <c r="DT127" s="717">
        <f t="shared" ca="1" si="27"/>
        <v>0</v>
      </c>
      <c r="DU127" s="717">
        <f t="shared" ca="1" si="27"/>
        <v>0</v>
      </c>
      <c r="DV127" s="717">
        <f t="shared" ca="1" si="27"/>
        <v>0</v>
      </c>
      <c r="DW127" s="717">
        <f t="shared" ca="1" si="27"/>
        <v>0</v>
      </c>
      <c r="DX127" s="717">
        <f t="shared" ca="1" si="27"/>
        <v>0</v>
      </c>
      <c r="DY127" s="717">
        <f t="shared" ca="1" si="27"/>
        <v>0</v>
      </c>
      <c r="DZ127" s="717">
        <f t="shared" ca="1" si="27"/>
        <v>0</v>
      </c>
      <c r="EA127" s="717">
        <f t="shared" ca="1" si="27"/>
        <v>0</v>
      </c>
      <c r="EB127" s="717">
        <f t="shared" ca="1" si="27"/>
        <v>0</v>
      </c>
      <c r="EC127" s="709">
        <f t="shared" ca="1" si="27"/>
        <v>1</v>
      </c>
    </row>
    <row r="128" spans="52:141" x14ac:dyDescent="0.25">
      <c r="AZ128" s="470" t="s">
        <v>6172</v>
      </c>
      <c r="BB128" s="844">
        <f ca="1">IF(BH127="Sim",0,IF(BH126&lt;&gt;BP126,1,0))</f>
        <v>0</v>
      </c>
      <c r="BC128" s="450" t="s">
        <v>6202</v>
      </c>
      <c r="BG128" s="790" t="s">
        <v>14</v>
      </c>
      <c r="BH128" s="643" t="s">
        <v>7322</v>
      </c>
      <c r="BI128" s="643" t="s">
        <v>7328</v>
      </c>
      <c r="BJ128" s="643" t="s">
        <v>7328</v>
      </c>
      <c r="BK128" s="643" t="s">
        <v>7328</v>
      </c>
      <c r="BL128" s="643" t="s">
        <v>7322</v>
      </c>
      <c r="BM128" s="643" t="s">
        <v>7322</v>
      </c>
      <c r="BN128" s="643" t="s">
        <v>7328</v>
      </c>
      <c r="BO128" s="643" t="s">
        <v>7323</v>
      </c>
      <c r="BP128" s="643" t="s">
        <v>7323</v>
      </c>
      <c r="BQ128" s="643" t="s">
        <v>7322</v>
      </c>
      <c r="BR128" s="643" t="s">
        <v>7328</v>
      </c>
      <c r="BS128" s="643" t="s">
        <v>7328</v>
      </c>
      <c r="BT128" s="643" t="s">
        <v>7328</v>
      </c>
      <c r="BU128" s="643" t="s">
        <v>7328</v>
      </c>
      <c r="BV128" s="643" t="s">
        <v>7328</v>
      </c>
      <c r="BW128" s="643" t="s">
        <v>7322</v>
      </c>
      <c r="BX128" s="643" t="s">
        <v>7328</v>
      </c>
      <c r="BY128" s="643" t="s">
        <v>7330</v>
      </c>
      <c r="BZ128" s="643" t="s">
        <v>7330</v>
      </c>
      <c r="CA128" s="643" t="s">
        <v>7330</v>
      </c>
      <c r="CB128" s="643" t="s">
        <v>7328</v>
      </c>
      <c r="CC128" s="643" t="s">
        <v>7322</v>
      </c>
      <c r="CD128" s="643" t="s">
        <v>7332</v>
      </c>
      <c r="CE128" s="643" t="s">
        <v>7331</v>
      </c>
      <c r="DA128" s="470" t="s">
        <v>6172</v>
      </c>
      <c r="DB128" s="25">
        <f ca="1">IF(AND(DG128="sim",DO127=0),1,0)</f>
        <v>0</v>
      </c>
      <c r="DC128" s="426" t="s">
        <v>6497</v>
      </c>
      <c r="DF128" s="597" t="s">
        <v>6133</v>
      </c>
      <c r="DG128" s="597" cm="1">
        <f t="array" aca="1" ref="DG128" ca="1">INDIRECT($DH$102&amp;DG126,1)</f>
        <v>0</v>
      </c>
      <c r="DH128" s="709"/>
      <c r="DI128" s="709"/>
      <c r="DJ128" s="709"/>
      <c r="DK128" s="709"/>
      <c r="DL128" s="709"/>
      <c r="DM128" s="709"/>
      <c r="DN128" s="597" cm="1">
        <f t="array" aca="1" ref="DN128" ca="1">INDIRECT($DH$102&amp;DN126,1)</f>
        <v>0</v>
      </c>
      <c r="DO128" s="597" cm="1">
        <f t="array" aca="1" ref="DO128" ca="1">INDIRECT($DH$102&amp;DO126,1)</f>
        <v>0</v>
      </c>
      <c r="DP128" s="597" cm="1">
        <f t="array" aca="1" ref="DP128" ca="1">IF(DN128="Não",DO128,INDIRECT($DH$102&amp;DP126,1))</f>
        <v>0</v>
      </c>
      <c r="DQ128" s="597" cm="1">
        <f t="array" aca="1" ref="DQ128" ca="1">INDIRECT($DH$102&amp;DQ126,1)</f>
        <v>0</v>
      </c>
      <c r="DR128" s="597" cm="1">
        <f t="array" aca="1" ref="DR128" ca="1">INDIRECT($DH$102&amp;DR126,1)</f>
        <v>0</v>
      </c>
      <c r="DS128" s="597" cm="1">
        <f t="array" aca="1" ref="DS128" ca="1">INDIRECT($DH$102&amp;DS126,1)</f>
        <v>0</v>
      </c>
      <c r="DT128" s="597" cm="1">
        <f t="array" aca="1" ref="DT128" ca="1">INDIRECT($DH$102&amp;DT126,1)</f>
        <v>0</v>
      </c>
      <c r="DU128" s="597" cm="1">
        <f t="array" aca="1" ref="DU128" ca="1">INDIRECT($DH$102&amp;DU126,1)</f>
        <v>0</v>
      </c>
      <c r="DV128" s="597" cm="1">
        <f t="array" aca="1" ref="DV128" ca="1">INDIRECT($DH$102&amp;DV126,1)</f>
        <v>0</v>
      </c>
      <c r="DW128" s="597" cm="1">
        <f t="array" aca="1" ref="DW128" ca="1">INDIRECT($DH$102&amp;DW126,1)</f>
        <v>0</v>
      </c>
      <c r="DX128" s="597" cm="1">
        <f t="array" aca="1" ref="DX128" ca="1">INDIRECT($DH$102&amp;DX126,1)</f>
        <v>0</v>
      </c>
      <c r="DY128" s="597" cm="1">
        <f t="array" aca="1" ref="DY128" ca="1">INDIRECT($DH$102&amp;DY126,1)</f>
        <v>0</v>
      </c>
      <c r="DZ128" s="597" cm="1">
        <f t="array" aca="1" ref="DZ128" ca="1">INDIRECT($DH$102&amp;DZ126,1)</f>
        <v>0</v>
      </c>
      <c r="EA128" s="597" cm="1">
        <f t="array" aca="1" ref="EA128" ca="1">INDIRECT($DH$102&amp;EA126,1)</f>
        <v>0</v>
      </c>
      <c r="EB128" s="597" cm="1">
        <f t="array" aca="1" ref="EB128" ca="1">INDIRECT($DH$102&amp;EB126,1)</f>
        <v>0</v>
      </c>
      <c r="EC128" s="709" t="b" cm="1">
        <f t="array" aca="1" ref="EC128" ca="1">INDIRECT(EC126,1)</f>
        <v>0</v>
      </c>
      <c r="EE128" s="2"/>
      <c r="EF128" s="2"/>
      <c r="EG128" s="2"/>
      <c r="EH128" s="2"/>
      <c r="EI128" s="2"/>
      <c r="EJ128" s="2"/>
      <c r="EK128" s="2"/>
    </row>
    <row r="129" spans="52:147" x14ac:dyDescent="0.25">
      <c r="AZ129" s="470" t="s">
        <v>6172</v>
      </c>
      <c r="BB129" s="844">
        <f ca="1">IF(BH127="Sim",0,IF(BH126&lt;&gt;BQ126,1,0))</f>
        <v>0</v>
      </c>
      <c r="BC129" s="450" t="s">
        <v>6203</v>
      </c>
      <c r="DA129" s="470" t="s">
        <v>6172</v>
      </c>
      <c r="DB129" s="25">
        <f ca="1">IF(AND(DN128="sim",DP127=0),1,0)</f>
        <v>0</v>
      </c>
      <c r="DC129" s="426" t="s">
        <v>6477</v>
      </c>
      <c r="DF129" s="597" t="s">
        <v>14</v>
      </c>
      <c r="DU129" s="2"/>
      <c r="DV129" s="2"/>
      <c r="DW129" s="2"/>
      <c r="DX129" s="2"/>
      <c r="DY129" s="2"/>
      <c r="DZ129" s="2"/>
      <c r="EA129" s="2"/>
      <c r="EB129" s="2"/>
      <c r="EC129" s="2"/>
      <c r="ED129" s="2"/>
      <c r="EE129" s="2"/>
      <c r="EF129" s="2"/>
      <c r="EG129" s="2"/>
      <c r="EH129" s="2"/>
      <c r="EI129" s="2"/>
      <c r="EJ129" s="2"/>
      <c r="EK129" s="2"/>
    </row>
    <row r="130" spans="52:147" x14ac:dyDescent="0.25">
      <c r="AZ130" s="470" t="s">
        <v>6172</v>
      </c>
      <c r="BB130" s="844">
        <f ca="1">IF(BH127="Sim",0,IF(AND(BH126=1,BR126=0),1,0))</f>
        <v>0</v>
      </c>
      <c r="BC130" s="450" t="s">
        <v>6204</v>
      </c>
      <c r="DA130" s="470" t="s">
        <v>6172</v>
      </c>
      <c r="DB130" s="25">
        <f ca="1">IF(AND(EC128=TRUE,DP127=0),1,0)</f>
        <v>0</v>
      </c>
      <c r="DC130" s="426" t="s">
        <v>6478</v>
      </c>
      <c r="DU130" s="2"/>
      <c r="DV130" s="2"/>
      <c r="DW130" s="2"/>
      <c r="DX130" s="2"/>
      <c r="DY130" s="2"/>
      <c r="DZ130" s="2"/>
      <c r="EA130" s="2"/>
      <c r="EB130" s="2"/>
      <c r="EC130" s="2"/>
      <c r="ED130" s="2"/>
      <c r="EE130" s="2"/>
      <c r="EF130" s="2"/>
      <c r="EG130" s="2"/>
      <c r="EH130" s="2"/>
      <c r="EI130" s="2"/>
      <c r="EJ130" s="2"/>
    </row>
    <row r="131" spans="52:147" x14ac:dyDescent="0.25">
      <c r="AZ131" s="470" t="s">
        <v>6172</v>
      </c>
      <c r="BB131" s="844">
        <f ca="1">IF(BH127="Sim",0,IF(BJ134&gt;BK134,1,0))</f>
        <v>0</v>
      </c>
      <c r="BC131" s="450" t="s">
        <v>6220</v>
      </c>
      <c r="BH131" s="518" t="s">
        <v>298</v>
      </c>
      <c r="BI131" s="518" t="s">
        <v>284</v>
      </c>
      <c r="BJ131" s="518" t="s">
        <v>246</v>
      </c>
      <c r="BK131" s="518" t="s">
        <v>289</v>
      </c>
      <c r="BL131" s="518" t="s">
        <v>247</v>
      </c>
      <c r="BM131" s="518" t="s">
        <v>285</v>
      </c>
      <c r="BN131" s="518" t="s">
        <v>268</v>
      </c>
      <c r="BO131" s="518" t="s">
        <v>267</v>
      </c>
      <c r="DA131" s="470" t="s">
        <v>6172</v>
      </c>
      <c r="DB131" s="25">
        <f ca="1">IF(AND(DQ128="não",DR127=0),1,0)</f>
        <v>0</v>
      </c>
      <c r="DC131" s="426" t="s">
        <v>6485</v>
      </c>
      <c r="DU131" s="2"/>
      <c r="DV131" s="2"/>
      <c r="DW131" s="2"/>
      <c r="DX131" s="2"/>
      <c r="DY131" s="2"/>
      <c r="DZ131" s="2"/>
      <c r="EA131" s="2"/>
      <c r="EB131" s="2"/>
      <c r="EC131" s="2"/>
      <c r="ED131" s="2"/>
      <c r="EE131" s="2"/>
      <c r="EF131" s="2"/>
      <c r="EG131" s="2"/>
      <c r="EH131" s="2"/>
      <c r="EI131" s="2"/>
      <c r="EJ131" s="2"/>
    </row>
    <row r="132" spans="52:147" x14ac:dyDescent="0.25">
      <c r="AZ132" s="470" t="s">
        <v>6172</v>
      </c>
      <c r="BB132" s="844">
        <f ca="1">IF(BH127="Sim",0,IF(BL134&gt;BM134,1,0))</f>
        <v>0</v>
      </c>
      <c r="BC132" s="450" t="s">
        <v>6221</v>
      </c>
      <c r="BG132" s="790" t="s">
        <v>5778</v>
      </c>
      <c r="BH132" s="776" t="s">
        <v>7396</v>
      </c>
      <c r="BI132" s="848" t="s">
        <v>7397</v>
      </c>
      <c r="BJ132" s="849" t="s">
        <v>7398</v>
      </c>
      <c r="BK132" s="849" t="s">
        <v>7399</v>
      </c>
      <c r="BL132" s="849" t="s">
        <v>7400</v>
      </c>
      <c r="BM132" s="849" t="s">
        <v>7401</v>
      </c>
      <c r="BN132" s="850" t="s">
        <v>7402</v>
      </c>
      <c r="BO132" s="850" t="s">
        <v>7403</v>
      </c>
      <c r="DA132" s="470" t="s">
        <v>6172</v>
      </c>
      <c r="DB132" s="25">
        <f ca="1">IF(AND(DQ128="Sim",DS127=0),1,0)</f>
        <v>0</v>
      </c>
      <c r="DC132" s="426" t="s">
        <v>6479</v>
      </c>
      <c r="DG132" s="516" t="s">
        <v>77</v>
      </c>
    </row>
    <row r="133" spans="52:147" x14ac:dyDescent="0.25">
      <c r="AZ133" s="470" t="s">
        <v>6172</v>
      </c>
      <c r="BB133" s="844">
        <f ca="1">IF(BH127="Sim",0,IF(AND(BH126&lt;&gt;0,CD127=0),1,0))</f>
        <v>0</v>
      </c>
      <c r="BC133" s="450" t="s">
        <v>6209</v>
      </c>
      <c r="BG133" s="790" t="s">
        <v>6222</v>
      </c>
      <c r="BH133" s="851">
        <f t="shared" ref="BH133:BO133" ca="1" si="28">COUNTA(INDIRECT($BI$123&amp;BH132,1))</f>
        <v>15</v>
      </c>
      <c r="BI133" s="851">
        <f t="shared" ca="1" si="28"/>
        <v>0</v>
      </c>
      <c r="BJ133" s="851">
        <f t="shared" ca="1" si="28"/>
        <v>0</v>
      </c>
      <c r="BK133" s="851">
        <f t="shared" ca="1" si="28"/>
        <v>0</v>
      </c>
      <c r="BL133" s="851">
        <f t="shared" ca="1" si="28"/>
        <v>0</v>
      </c>
      <c r="BM133" s="851">
        <f t="shared" ca="1" si="28"/>
        <v>0</v>
      </c>
      <c r="BN133" s="851">
        <f t="shared" ca="1" si="28"/>
        <v>0</v>
      </c>
      <c r="BO133" s="851">
        <f t="shared" ca="1" si="28"/>
        <v>0</v>
      </c>
      <c r="DA133" s="470" t="s">
        <v>6172</v>
      </c>
      <c r="DB133" s="25">
        <f ca="1">IF(AND(DQ128="Sim",DT127=0),1,0)</f>
        <v>0</v>
      </c>
      <c r="DC133" s="426" t="s">
        <v>6480</v>
      </c>
      <c r="DG133" s="737" t="s">
        <v>168</v>
      </c>
      <c r="DH133" s="639"/>
      <c r="DI133" s="737" t="s">
        <v>6452</v>
      </c>
      <c r="DJ133" s="737" t="s">
        <v>6453</v>
      </c>
      <c r="DK133" s="853" t="s">
        <v>8627</v>
      </c>
      <c r="DL133" s="853" t="s">
        <v>8633</v>
      </c>
      <c r="DM133" s="853" t="s">
        <v>8114</v>
      </c>
      <c r="DN133" s="853" t="s">
        <v>8113</v>
      </c>
      <c r="DO133" s="737" t="s">
        <v>6454</v>
      </c>
    </row>
    <row r="134" spans="52:147" x14ac:dyDescent="0.25">
      <c r="AZ134" s="470" t="s">
        <v>6172</v>
      </c>
      <c r="BB134" s="844">
        <f ca="1">IF(BH127="Sim",0,IF(AND(BH126=1,BI148=1),1,0))</f>
        <v>0</v>
      </c>
      <c r="BC134" s="450" t="s">
        <v>6227</v>
      </c>
      <c r="BG134" s="790" t="s">
        <v>6133</v>
      </c>
      <c r="BH134" s="535"/>
      <c r="BI134" s="535"/>
      <c r="BJ134" s="828">
        <f ca="1">COUNTIF(INDIRECT($BI$123&amp;BJ132,1),"&gt;0")</f>
        <v>0</v>
      </c>
      <c r="BK134" s="828">
        <f ca="1">COUNTIF(INDIRECT($BI$123&amp;BK132,1),"&gt;=0")</f>
        <v>0</v>
      </c>
      <c r="BL134" s="828">
        <f ca="1">COUNTIF(INDIRECT($BI$123&amp;BL132,1),"&gt;0")</f>
        <v>0</v>
      </c>
      <c r="BM134" s="828">
        <f ca="1">COUNTIF(INDIRECT($BI$123&amp;BM132,1),"&gt;=0")</f>
        <v>0</v>
      </c>
      <c r="BN134" s="535"/>
      <c r="BO134" s="535"/>
      <c r="DA134" s="470" t="s">
        <v>6172</v>
      </c>
      <c r="DB134" s="25">
        <f ca="1">IF(AND(DQ128="sim",DU127=0),1,0)</f>
        <v>0</v>
      </c>
      <c r="DC134" s="426" t="s">
        <v>6498</v>
      </c>
      <c r="DF134" s="597" t="s">
        <v>5778</v>
      </c>
      <c r="DG134" s="761" t="s">
        <v>7717</v>
      </c>
      <c r="DH134" s="639"/>
      <c r="DI134" s="761" t="s">
        <v>7643</v>
      </c>
      <c r="DJ134" s="761" t="s">
        <v>7644</v>
      </c>
      <c r="DK134" s="761" t="s">
        <v>7645</v>
      </c>
      <c r="DL134" s="761" t="s">
        <v>8625</v>
      </c>
      <c r="DM134" s="761" t="s">
        <v>7646</v>
      </c>
      <c r="DN134" s="761" t="s">
        <v>8233</v>
      </c>
      <c r="DO134" s="761" t="s">
        <v>7718</v>
      </c>
    </row>
    <row r="135" spans="52:147" x14ac:dyDescent="0.25">
      <c r="AZ135" s="470" t="s">
        <v>6172</v>
      </c>
      <c r="BB135" s="844">
        <f ca="1">IF(BH127="Sim",0,IF(BH126&lt;&gt;CB126,1,0))</f>
        <v>0</v>
      </c>
      <c r="BC135" s="450" t="s">
        <v>7852</v>
      </c>
      <c r="BG135" s="790" t="s">
        <v>14</v>
      </c>
      <c r="BH135" s="597" t="s">
        <v>7070</v>
      </c>
      <c r="BI135" s="597" t="s">
        <v>7330</v>
      </c>
      <c r="BJ135" s="597" t="s">
        <v>7329</v>
      </c>
      <c r="BK135" s="597" t="s">
        <v>7329</v>
      </c>
      <c r="BL135" s="597" t="s">
        <v>7329</v>
      </c>
      <c r="BM135" s="597" t="s">
        <v>7329</v>
      </c>
      <c r="BN135" s="597" t="s">
        <v>7328</v>
      </c>
      <c r="BO135" s="597" t="s">
        <v>7328</v>
      </c>
      <c r="DA135" s="470" t="s">
        <v>6172</v>
      </c>
      <c r="DB135" s="25">
        <f ca="1">IF(AND(DQ128="sim",DV127=0),1,0)</f>
        <v>0</v>
      </c>
      <c r="DC135" s="426" t="s">
        <v>6499</v>
      </c>
      <c r="DF135" s="597" t="s">
        <v>6222</v>
      </c>
      <c r="DG135" s="717">
        <f t="shared" ref="DG135:DK135" ca="1" si="29">COUNTA(INDIRECT($DH$102&amp;DG134,1))</f>
        <v>0</v>
      </c>
      <c r="DH135" s="639"/>
      <c r="DI135" s="717">
        <f t="shared" ca="1" si="29"/>
        <v>0</v>
      </c>
      <c r="DJ135" s="717">
        <f t="shared" ca="1" si="29"/>
        <v>0</v>
      </c>
      <c r="DK135" s="717">
        <f t="shared" ca="1" si="29"/>
        <v>0</v>
      </c>
      <c r="DL135" s="717">
        <f ca="1">COUNTA(INDIRECT($DH$102&amp;DL134,1))</f>
        <v>0</v>
      </c>
      <c r="DM135" s="717">
        <f ca="1">COUNTA(INDIRECT($DH$102&amp;DM134,1))</f>
        <v>0</v>
      </c>
      <c r="DN135" s="717">
        <f t="shared" ref="DN135" ca="1" si="30">COUNTA(INDIRECT($DH$102&amp;DN134,1))</f>
        <v>0</v>
      </c>
      <c r="DO135" s="717">
        <f ca="1">COUNTA(INDIRECT($DH$102&amp;DO134,1))</f>
        <v>0</v>
      </c>
    </row>
    <row r="136" spans="52:147" x14ac:dyDescent="0.25">
      <c r="AZ136" s="470" t="s">
        <v>6172</v>
      </c>
      <c r="BB136" s="25">
        <f ca="1">BB135</f>
        <v>0</v>
      </c>
      <c r="BC136" s="450" t="s">
        <v>6196</v>
      </c>
      <c r="DA136" s="470" t="s">
        <v>6172</v>
      </c>
      <c r="DB136" s="25">
        <f ca="1">IF(AND(DQ128="sim",DW127=0),1,0)</f>
        <v>0</v>
      </c>
      <c r="DC136" s="426" t="s">
        <v>6500</v>
      </c>
      <c r="DF136" s="597" t="s">
        <v>6133</v>
      </c>
      <c r="DG136" s="597" cm="1">
        <f t="array" aca="1" ref="DG136" ca="1">INDIRECT($DH$102&amp;DG134,1)</f>
        <v>0</v>
      </c>
      <c r="DH136" s="639"/>
      <c r="DI136" s="597" cm="1">
        <f t="array" aca="1" ref="DI136" ca="1">INDIRECT($DH$102&amp;DI134,1)</f>
        <v>0</v>
      </c>
      <c r="DJ136" s="597" cm="1">
        <f t="array" aca="1" ref="DJ136" ca="1">INDIRECT($DH$102&amp;DJ134,1)</f>
        <v>0</v>
      </c>
      <c r="DK136" s="597" cm="1">
        <f t="array" aca="1" ref="DK136" ca="1">INDIRECT($DH$102&amp;DK134,1)</f>
        <v>0</v>
      </c>
      <c r="DL136" s="597" cm="1">
        <f t="array" aca="1" ref="DL136" ca="1">INDIRECT($DH$102&amp;DL134,1)</f>
        <v>0</v>
      </c>
      <c r="DM136" s="597" cm="1">
        <f t="array" aca="1" ref="DM136" ca="1">INDIRECT($DH$102&amp;DM134,1)</f>
        <v>0</v>
      </c>
      <c r="DN136" s="597" cm="1">
        <f t="array" aca="1" ref="DN136" ca="1">INDIRECT($DH$102&amp;DN134,1)</f>
        <v>0</v>
      </c>
      <c r="DO136" s="597" cm="1">
        <f t="array" aca="1" ref="DO136" ca="1">INDIRECT($DH$102&amp;DO134,1)</f>
        <v>0</v>
      </c>
    </row>
    <row r="137" spans="52:147" x14ac:dyDescent="0.25">
      <c r="AZ137" s="470" t="s">
        <v>6172</v>
      </c>
      <c r="BB137" s="25">
        <f ca="1">IF(BI150=1,1,0)</f>
        <v>0</v>
      </c>
      <c r="BC137" s="450" t="s">
        <v>6226</v>
      </c>
      <c r="DA137" s="470" t="s">
        <v>6172</v>
      </c>
      <c r="DB137" s="25">
        <f ca="1">IF(AND(DQ128="sim",DX127=0),1,0)</f>
        <v>0</v>
      </c>
      <c r="DC137" s="426" t="s">
        <v>6501</v>
      </c>
      <c r="DF137" s="597" t="s">
        <v>14</v>
      </c>
      <c r="DH137" s="572"/>
      <c r="ED137" s="2"/>
    </row>
    <row r="138" spans="52:147" x14ac:dyDescent="0.25">
      <c r="AZ138" s="470" t="s">
        <v>6172</v>
      </c>
      <c r="BB138" s="25">
        <f ca="1">IF(BL127="Não",1,0)</f>
        <v>0</v>
      </c>
      <c r="BC138" s="450" t="s">
        <v>6071</v>
      </c>
      <c r="BG138" s="472" t="s">
        <v>7849</v>
      </c>
      <c r="BH138" s="757" t="s">
        <v>7850</v>
      </c>
      <c r="BI138" s="525">
        <f ca="1">IF(BI126=1,1,0)</f>
        <v>0</v>
      </c>
      <c r="BJ138" s="20" t="s">
        <v>7851</v>
      </c>
      <c r="DA138" s="470" t="s">
        <v>6172</v>
      </c>
      <c r="DB138" s="25">
        <f ca="1">IF(AND(DQ128="sim",DN128="Sim",DY127=0),1,0)</f>
        <v>0</v>
      </c>
      <c r="DC138" s="426" t="s">
        <v>6481</v>
      </c>
      <c r="DG138" s="856" t="s">
        <v>5780</v>
      </c>
      <c r="DH138" s="856" t="s">
        <v>5735</v>
      </c>
      <c r="DI138" s="856" t="s">
        <v>5736</v>
      </c>
      <c r="DJ138" s="856" t="s">
        <v>5738</v>
      </c>
      <c r="DK138" s="856" t="s">
        <v>5740</v>
      </c>
      <c r="DL138" s="856" t="s">
        <v>6321</v>
      </c>
      <c r="DM138" s="856" t="s">
        <v>5740</v>
      </c>
      <c r="DN138" s="856" t="s">
        <v>6321</v>
      </c>
      <c r="DY138" s="516" t="s">
        <v>6222</v>
      </c>
      <c r="ED138" s="2"/>
    </row>
    <row r="139" spans="52:147" x14ac:dyDescent="0.25">
      <c r="AZ139" s="470" t="s">
        <v>6172</v>
      </c>
      <c r="BB139" s="25">
        <f ca="1">IF(BI151=1,1,0)</f>
        <v>0</v>
      </c>
      <c r="BC139" s="450" t="s">
        <v>6067</v>
      </c>
      <c r="BG139" s="472" t="s">
        <v>7352</v>
      </c>
      <c r="BH139" s="757" t="s">
        <v>6211</v>
      </c>
      <c r="BI139" s="525">
        <f ca="1">BQ127</f>
        <v>0</v>
      </c>
      <c r="DA139" s="470" t="s">
        <v>6172</v>
      </c>
      <c r="DB139" s="25">
        <f ca="1">IF(AND(DQ128="sim",DN128="Sim",DZ127=0),1,0)</f>
        <v>0</v>
      </c>
      <c r="DC139" s="426" t="s">
        <v>6482</v>
      </c>
      <c r="DG139" s="857" t="s">
        <v>36</v>
      </c>
      <c r="DH139" s="857" t="s">
        <v>37</v>
      </c>
      <c r="DI139" s="857" t="s">
        <v>36</v>
      </c>
      <c r="DJ139" s="857" t="s">
        <v>37</v>
      </c>
      <c r="DK139" s="857" t="s">
        <v>36</v>
      </c>
      <c r="DL139" s="857" t="s">
        <v>37</v>
      </c>
      <c r="DM139" s="857" t="s">
        <v>36</v>
      </c>
      <c r="DN139" s="857" t="s">
        <v>37</v>
      </c>
      <c r="DU139" s="857" t="s">
        <v>36</v>
      </c>
      <c r="DV139" s="857" t="s">
        <v>37</v>
      </c>
      <c r="DY139" s="857" t="s">
        <v>36</v>
      </c>
      <c r="DZ139" s="857" t="s">
        <v>37</v>
      </c>
      <c r="EA139" s="857" t="s">
        <v>36</v>
      </c>
      <c r="EB139" s="857" t="s">
        <v>37</v>
      </c>
      <c r="EC139" s="857" t="s">
        <v>36</v>
      </c>
      <c r="ED139" s="857" t="s">
        <v>37</v>
      </c>
      <c r="EE139" s="857" t="s">
        <v>36</v>
      </c>
      <c r="EF139" s="857" t="s">
        <v>37</v>
      </c>
      <c r="EG139" s="857" t="s">
        <v>36</v>
      </c>
      <c r="EH139" s="857" t="s">
        <v>37</v>
      </c>
      <c r="EM139" s="857" t="s">
        <v>36</v>
      </c>
      <c r="EN139" s="857" t="s">
        <v>37</v>
      </c>
    </row>
    <row r="140" spans="52:147" x14ac:dyDescent="0.25">
      <c r="AZ140" s="470" t="s">
        <v>6172</v>
      </c>
      <c r="BB140" s="25">
        <f ca="1">IF(BI147=1,1,0)</f>
        <v>0</v>
      </c>
      <c r="BC140" s="450" t="s">
        <v>6210</v>
      </c>
      <c r="BG140" s="469" t="s">
        <v>5448</v>
      </c>
      <c r="BH140" s="758" t="s">
        <v>6223</v>
      </c>
      <c r="BI140" s="759" t="str">
        <f ca="1">IF(BI139&lt;&gt;0,
IF(COUNTIF($M$65:$M$94,BI139)=0,1,0),"")</f>
        <v/>
      </c>
      <c r="BJ140" s="20" t="s">
        <v>6212</v>
      </c>
      <c r="DA140" s="470" t="s">
        <v>6172</v>
      </c>
      <c r="DB140" s="25">
        <f ca="1">IF(AND(DQ128="sim",DN128="Sim",EA127=0),1,0)</f>
        <v>0</v>
      </c>
      <c r="DC140" s="426" t="s">
        <v>6483</v>
      </c>
      <c r="DG140" s="858" t="s">
        <v>8375</v>
      </c>
      <c r="DH140" s="858" t="s">
        <v>8376</v>
      </c>
      <c r="DI140" s="858" t="s">
        <v>8377</v>
      </c>
      <c r="DJ140" s="858" t="s">
        <v>8378</v>
      </c>
      <c r="DK140" s="858" t="s">
        <v>8379</v>
      </c>
      <c r="DL140" s="858" t="s">
        <v>8380</v>
      </c>
      <c r="DM140" s="858" t="s">
        <v>194</v>
      </c>
      <c r="DN140" s="858" t="s">
        <v>194</v>
      </c>
      <c r="DU140" s="858" t="s">
        <v>6328</v>
      </c>
      <c r="DV140" s="858" t="s">
        <v>6328</v>
      </c>
      <c r="DY140" s="858" t="s">
        <v>8375</v>
      </c>
      <c r="DZ140" s="858" t="s">
        <v>8376</v>
      </c>
      <c r="EA140" s="858" t="s">
        <v>8377</v>
      </c>
      <c r="EB140" s="858" t="s">
        <v>8378</v>
      </c>
      <c r="EC140" s="858" t="s">
        <v>8379</v>
      </c>
      <c r="ED140" s="858" t="s">
        <v>8380</v>
      </c>
      <c r="EE140" s="858" t="s">
        <v>194</v>
      </c>
      <c r="EF140" s="858" t="s">
        <v>194</v>
      </c>
      <c r="EG140" s="858" t="s">
        <v>6328</v>
      </c>
      <c r="EH140" s="858" t="s">
        <v>6328</v>
      </c>
      <c r="EM140" s="858" t="s">
        <v>6328</v>
      </c>
      <c r="EN140" s="858" t="s">
        <v>6328</v>
      </c>
    </row>
    <row r="141" spans="52:147" x14ac:dyDescent="0.25">
      <c r="AZ141" s="470" t="s">
        <v>6172</v>
      </c>
      <c r="BB141" s="25">
        <f ca="1">IF(BI140=1,1,0)</f>
        <v>0</v>
      </c>
      <c r="BC141" s="450" t="s">
        <v>6243</v>
      </c>
      <c r="BG141" s="472" t="s">
        <v>7352</v>
      </c>
      <c r="BH141" s="757" t="s">
        <v>6178</v>
      </c>
      <c r="BI141" s="525">
        <f ca="1">IFERROR(VLOOKUP(BI139,$M$65:$P$94,4,0),0)</f>
        <v>0</v>
      </c>
      <c r="DA141" s="470" t="s">
        <v>6172</v>
      </c>
      <c r="DB141" s="25">
        <f ca="1">IF(AND(DQ128="sim",DN128="Sim",EB127=0),1,0)</f>
        <v>0</v>
      </c>
      <c r="DC141" s="426" t="s">
        <v>6484</v>
      </c>
      <c r="DF141" s="506" t="s">
        <v>5774</v>
      </c>
      <c r="DG141" s="859" t="s">
        <v>7697</v>
      </c>
      <c r="DH141" s="859" t="s">
        <v>8388</v>
      </c>
      <c r="DI141" s="859" t="s">
        <v>8396</v>
      </c>
      <c r="DJ141" s="859" t="s">
        <v>8404</v>
      </c>
      <c r="DK141" s="859" t="s">
        <v>8412</v>
      </c>
      <c r="DL141" s="859" t="s">
        <v>8420</v>
      </c>
      <c r="DM141" s="859" t="s">
        <v>8428</v>
      </c>
      <c r="DN141" s="859" t="s">
        <v>8436</v>
      </c>
      <c r="DU141" s="860" t="s">
        <v>7733</v>
      </c>
      <c r="DV141" s="860" t="s">
        <v>7733</v>
      </c>
      <c r="DX141" s="506" t="s">
        <v>5774</v>
      </c>
      <c r="DY141" s="861">
        <f t="shared" ref="DY141:EF148" ca="1" si="31">COUNTA(INDIRECT($DJ$102&amp;DG141,1))</f>
        <v>0</v>
      </c>
      <c r="DZ141" s="861">
        <f t="shared" ca="1" si="31"/>
        <v>0</v>
      </c>
      <c r="EA141" s="861">
        <f t="shared" ca="1" si="31"/>
        <v>0</v>
      </c>
      <c r="EB141" s="861">
        <f t="shared" ca="1" si="31"/>
        <v>0</v>
      </c>
      <c r="EC141" s="861">
        <f t="shared" ca="1" si="31"/>
        <v>0</v>
      </c>
      <c r="ED141" s="861">
        <f t="shared" ca="1" si="31"/>
        <v>0</v>
      </c>
      <c r="EE141" s="861">
        <f t="shared" ca="1" si="31"/>
        <v>10</v>
      </c>
      <c r="EF141" s="861">
        <f t="shared" ca="1" si="31"/>
        <v>20</v>
      </c>
      <c r="EG141" s="861">
        <f t="shared" ref="EG141:EH148" ca="1" si="32">COUNTA(INDIRECT($DJ$102&amp;DU141,1))</f>
        <v>0</v>
      </c>
      <c r="EH141" s="861">
        <f t="shared" ca="1" si="32"/>
        <v>0</v>
      </c>
      <c r="EM141" s="861">
        <f t="shared" ref="EM141:EN148" ca="1" si="33">COUNTA(INDIRECT($DJ$102&amp;DU141,1))</f>
        <v>0</v>
      </c>
      <c r="EN141" s="861">
        <f t="shared" ca="1" si="33"/>
        <v>0</v>
      </c>
    </row>
    <row r="142" spans="52:147" x14ac:dyDescent="0.25">
      <c r="AZ142" s="470" t="s">
        <v>6172</v>
      </c>
      <c r="BB142" s="25">
        <f ca="1">IF(BI143=1,1,0)</f>
        <v>0</v>
      </c>
      <c r="BC142" s="450" t="s">
        <v>6068</v>
      </c>
      <c r="BG142" s="472" t="s">
        <v>7353</v>
      </c>
      <c r="BH142" s="757" t="s">
        <v>6213</v>
      </c>
      <c r="BI142" s="525">
        <f ca="1">BP127</f>
        <v>0</v>
      </c>
      <c r="DA142" s="470" t="s">
        <v>6172</v>
      </c>
      <c r="DB142" s="25">
        <f ca="1">IF(AND(DI152=0,DG105&lt;&gt;DG135),1,0)</f>
        <v>0</v>
      </c>
      <c r="DC142" s="426" t="s">
        <v>6486</v>
      </c>
      <c r="DF142" s="506" t="s">
        <v>5775</v>
      </c>
      <c r="DG142" s="859" t="s">
        <v>8381</v>
      </c>
      <c r="DH142" s="859" t="s">
        <v>8389</v>
      </c>
      <c r="DI142" s="859" t="s">
        <v>8397</v>
      </c>
      <c r="DJ142" s="859" t="s">
        <v>8405</v>
      </c>
      <c r="DK142" s="859" t="s">
        <v>8413</v>
      </c>
      <c r="DL142" s="859" t="s">
        <v>8421</v>
      </c>
      <c r="DM142" s="859" t="s">
        <v>8429</v>
      </c>
      <c r="DN142" s="859" t="s">
        <v>8437</v>
      </c>
      <c r="DU142" s="860" t="s">
        <v>1538</v>
      </c>
      <c r="DV142" s="860" t="s">
        <v>1538</v>
      </c>
      <c r="DX142" s="506" t="s">
        <v>5775</v>
      </c>
      <c r="DY142" s="861">
        <f t="shared" ca="1" si="31"/>
        <v>0</v>
      </c>
      <c r="DZ142" s="861">
        <f t="shared" ca="1" si="31"/>
        <v>0</v>
      </c>
      <c r="EA142" s="861">
        <f t="shared" ca="1" si="31"/>
        <v>0</v>
      </c>
      <c r="EB142" s="861">
        <f t="shared" ca="1" si="31"/>
        <v>0</v>
      </c>
      <c r="EC142" s="861">
        <f t="shared" ca="1" si="31"/>
        <v>0</v>
      </c>
      <c r="ED142" s="861">
        <f t="shared" ca="1" si="31"/>
        <v>0</v>
      </c>
      <c r="EE142" s="861">
        <f t="shared" ca="1" si="31"/>
        <v>10</v>
      </c>
      <c r="EF142" s="861">
        <f t="shared" ca="1" si="31"/>
        <v>20</v>
      </c>
      <c r="EG142" s="861">
        <f t="shared" ca="1" si="32"/>
        <v>1</v>
      </c>
      <c r="EH142" s="861">
        <f t="shared" ca="1" si="32"/>
        <v>1</v>
      </c>
      <c r="EM142" s="861">
        <f t="shared" ca="1" si="33"/>
        <v>1</v>
      </c>
      <c r="EN142" s="861">
        <f t="shared" ca="1" si="33"/>
        <v>1</v>
      </c>
      <c r="EO142" s="2"/>
      <c r="EP142" s="2"/>
      <c r="EQ142" s="2"/>
    </row>
    <row r="143" spans="52:147" x14ac:dyDescent="0.25">
      <c r="AZ143" s="470" t="s">
        <v>6172</v>
      </c>
      <c r="BB143" s="25">
        <f ca="1">IF(BI144=1,1,0)</f>
        <v>0</v>
      </c>
      <c r="BC143" s="450" t="s">
        <v>6069</v>
      </c>
      <c r="BG143" s="469" t="s">
        <v>5448</v>
      </c>
      <c r="BH143" s="758" t="s">
        <v>6179</v>
      </c>
      <c r="BI143" s="759">
        <f ca="1">IF(BI140&lt;&gt;1,
IF((BI141-BI142)&lt;0,1,0),
0)</f>
        <v>0</v>
      </c>
      <c r="BJ143" s="20" t="s">
        <v>6180</v>
      </c>
      <c r="DA143" s="470" t="s">
        <v>6172</v>
      </c>
      <c r="DB143" s="25">
        <f ca="1">IF(AND(DI183=1,DI135=0),1,0)</f>
        <v>0</v>
      </c>
      <c r="DC143" s="426" t="s">
        <v>6488</v>
      </c>
      <c r="DF143" s="506" t="s">
        <v>134</v>
      </c>
      <c r="DG143" s="859" t="s">
        <v>8382</v>
      </c>
      <c r="DH143" s="859" t="s">
        <v>8390</v>
      </c>
      <c r="DI143" s="859" t="s">
        <v>8398</v>
      </c>
      <c r="DJ143" s="859" t="s">
        <v>8406</v>
      </c>
      <c r="DK143" s="859" t="s">
        <v>8414</v>
      </c>
      <c r="DL143" s="859" t="s">
        <v>8422</v>
      </c>
      <c r="DM143" s="859" t="s">
        <v>8430</v>
      </c>
      <c r="DN143" s="859" t="s">
        <v>8438</v>
      </c>
      <c r="DU143" s="860" t="s">
        <v>7735</v>
      </c>
      <c r="DV143" s="860" t="s">
        <v>7735</v>
      </c>
      <c r="DX143" s="506" t="s">
        <v>134</v>
      </c>
      <c r="DY143" s="861">
        <f t="shared" ca="1" si="31"/>
        <v>0</v>
      </c>
      <c r="DZ143" s="861">
        <f t="shared" ca="1" si="31"/>
        <v>0</v>
      </c>
      <c r="EA143" s="861">
        <f t="shared" ca="1" si="31"/>
        <v>0</v>
      </c>
      <c r="EB143" s="861">
        <f t="shared" ca="1" si="31"/>
        <v>0</v>
      </c>
      <c r="EC143" s="861">
        <f t="shared" ca="1" si="31"/>
        <v>0</v>
      </c>
      <c r="ED143" s="861">
        <f t="shared" ca="1" si="31"/>
        <v>0</v>
      </c>
      <c r="EE143" s="861">
        <f t="shared" ca="1" si="31"/>
        <v>10</v>
      </c>
      <c r="EF143" s="861">
        <f t="shared" ca="1" si="31"/>
        <v>20</v>
      </c>
      <c r="EG143" s="861">
        <f t="shared" ca="1" si="32"/>
        <v>0</v>
      </c>
      <c r="EH143" s="861">
        <f t="shared" ca="1" si="32"/>
        <v>0</v>
      </c>
      <c r="EM143" s="861">
        <f t="shared" ca="1" si="33"/>
        <v>0</v>
      </c>
      <c r="EN143" s="861">
        <f t="shared" ca="1" si="33"/>
        <v>0</v>
      </c>
      <c r="EO143" s="2"/>
      <c r="EP143" s="2"/>
      <c r="EQ143" s="2"/>
    </row>
    <row r="144" spans="52:147" x14ac:dyDescent="0.25">
      <c r="AZ144" s="470" t="s">
        <v>6172</v>
      </c>
      <c r="BB144" s="525">
        <f ca="1">IF(CC127&gt;0,1,0)</f>
        <v>0</v>
      </c>
      <c r="BC144" s="426" t="s">
        <v>8330</v>
      </c>
      <c r="BG144" s="469" t="s">
        <v>5448</v>
      </c>
      <c r="BH144" s="758" t="s">
        <v>7354</v>
      </c>
      <c r="BI144" s="759">
        <f ca="1">IF(COUNTIFS($M$65:$M$94,BI139,$AA$65:$AA$94,2)&gt;0,1,0)</f>
        <v>0</v>
      </c>
      <c r="BJ144" s="20" t="s">
        <v>7355</v>
      </c>
      <c r="DA144" s="470" t="s">
        <v>6172</v>
      </c>
      <c r="DB144" s="25">
        <f ca="1">IF(AND(DI152=0,DG105&lt;&gt;0,DJ135=0),1,0)</f>
        <v>0</v>
      </c>
      <c r="DC144" s="426" t="s">
        <v>6489</v>
      </c>
      <c r="DF144" s="506" t="s">
        <v>136</v>
      </c>
      <c r="DG144" s="859" t="s">
        <v>8383</v>
      </c>
      <c r="DH144" s="859" t="s">
        <v>8391</v>
      </c>
      <c r="DI144" s="859" t="s">
        <v>8399</v>
      </c>
      <c r="DJ144" s="859" t="s">
        <v>8407</v>
      </c>
      <c r="DK144" s="859" t="s">
        <v>8415</v>
      </c>
      <c r="DL144" s="859" t="s">
        <v>8423</v>
      </c>
      <c r="DM144" s="859" t="s">
        <v>8431</v>
      </c>
      <c r="DN144" s="859" t="s">
        <v>8439</v>
      </c>
      <c r="DU144" s="860" t="s">
        <v>7736</v>
      </c>
      <c r="DV144" s="860" t="s">
        <v>7736</v>
      </c>
      <c r="DX144" s="506" t="s">
        <v>136</v>
      </c>
      <c r="DY144" s="861">
        <f t="shared" ca="1" si="31"/>
        <v>0</v>
      </c>
      <c r="DZ144" s="861">
        <f t="shared" ca="1" si="31"/>
        <v>0</v>
      </c>
      <c r="EA144" s="861">
        <f t="shared" ca="1" si="31"/>
        <v>0</v>
      </c>
      <c r="EB144" s="861">
        <f t="shared" ca="1" si="31"/>
        <v>0</v>
      </c>
      <c r="EC144" s="861">
        <f t="shared" ca="1" si="31"/>
        <v>0</v>
      </c>
      <c r="ED144" s="861">
        <f t="shared" ca="1" si="31"/>
        <v>0</v>
      </c>
      <c r="EE144" s="861">
        <f t="shared" ca="1" si="31"/>
        <v>10</v>
      </c>
      <c r="EF144" s="861">
        <f t="shared" ca="1" si="31"/>
        <v>20</v>
      </c>
      <c r="EG144" s="861">
        <f t="shared" ca="1" si="32"/>
        <v>0</v>
      </c>
      <c r="EH144" s="861">
        <f t="shared" ca="1" si="32"/>
        <v>0</v>
      </c>
      <c r="EM144" s="861">
        <f t="shared" ca="1" si="33"/>
        <v>0</v>
      </c>
      <c r="EN144" s="861">
        <f t="shared" ca="1" si="33"/>
        <v>0</v>
      </c>
      <c r="EO144" s="2"/>
      <c r="EP144" s="2"/>
      <c r="EQ144" s="2"/>
    </row>
    <row r="145" spans="52:147" x14ac:dyDescent="0.25">
      <c r="AZ145" s="470" t="s">
        <v>6172</v>
      </c>
      <c r="BB145" s="426"/>
      <c r="BC145" s="752" t="s">
        <v>8297</v>
      </c>
      <c r="BG145" s="469" t="s">
        <v>5448</v>
      </c>
      <c r="BH145" s="758" t="s">
        <v>7356</v>
      </c>
      <c r="BI145" s="767">
        <f ca="1">IF(BL127="Não",1,0)</f>
        <v>0</v>
      </c>
      <c r="BJ145" s="20" t="s">
        <v>7357</v>
      </c>
      <c r="DA145" s="470" t="s">
        <v>6172</v>
      </c>
      <c r="DB145" s="25">
        <f ca="1">IF(AND(DI152=0,DG105&lt;&gt;0,DK135=0),1,0)</f>
        <v>0</v>
      </c>
      <c r="DC145" s="426" t="s">
        <v>8628</v>
      </c>
      <c r="DF145" s="506" t="s">
        <v>137</v>
      </c>
      <c r="DG145" s="859" t="s">
        <v>8384</v>
      </c>
      <c r="DH145" s="859" t="s">
        <v>8392</v>
      </c>
      <c r="DI145" s="859" t="s">
        <v>8400</v>
      </c>
      <c r="DJ145" s="859" t="s">
        <v>8408</v>
      </c>
      <c r="DK145" s="859" t="s">
        <v>8416</v>
      </c>
      <c r="DL145" s="859" t="s">
        <v>8424</v>
      </c>
      <c r="DM145" s="859" t="s">
        <v>8432</v>
      </c>
      <c r="DN145" s="859" t="s">
        <v>8440</v>
      </c>
      <c r="DU145" s="860" t="s">
        <v>7737</v>
      </c>
      <c r="DV145" s="860" t="s">
        <v>7737</v>
      </c>
      <c r="DX145" s="506" t="s">
        <v>137</v>
      </c>
      <c r="DY145" s="861">
        <f t="shared" ca="1" si="31"/>
        <v>0</v>
      </c>
      <c r="DZ145" s="861">
        <f t="shared" ca="1" si="31"/>
        <v>0</v>
      </c>
      <c r="EA145" s="861">
        <f t="shared" ca="1" si="31"/>
        <v>0</v>
      </c>
      <c r="EB145" s="861">
        <f t="shared" ca="1" si="31"/>
        <v>0</v>
      </c>
      <c r="EC145" s="861">
        <f t="shared" ca="1" si="31"/>
        <v>0</v>
      </c>
      <c r="ED145" s="861">
        <f t="shared" ca="1" si="31"/>
        <v>0</v>
      </c>
      <c r="EE145" s="861">
        <f t="shared" ca="1" si="31"/>
        <v>10</v>
      </c>
      <c r="EF145" s="861">
        <f t="shared" ca="1" si="31"/>
        <v>20</v>
      </c>
      <c r="EG145" s="861">
        <f t="shared" ca="1" si="32"/>
        <v>0</v>
      </c>
      <c r="EH145" s="861">
        <f t="shared" ca="1" si="32"/>
        <v>0</v>
      </c>
      <c r="EM145" s="861">
        <f t="shared" ca="1" si="33"/>
        <v>0</v>
      </c>
      <c r="EN145" s="861">
        <f t="shared" ca="1" si="33"/>
        <v>0</v>
      </c>
      <c r="EO145" s="2"/>
      <c r="EP145" s="2"/>
      <c r="EQ145" s="2"/>
    </row>
    <row r="146" spans="52:147" x14ac:dyDescent="0.25">
      <c r="AZ146" s="470" t="s">
        <v>6172</v>
      </c>
      <c r="BB146" s="426"/>
      <c r="BC146" s="752" t="s">
        <v>8297</v>
      </c>
      <c r="BG146" s="469"/>
      <c r="DA146" s="470" t="s">
        <v>6172</v>
      </c>
      <c r="DB146" s="25">
        <f ca="1">IF(AND(DI152=0,DG105&lt;&gt;0,DL135=0),1,0)</f>
        <v>0</v>
      </c>
      <c r="DC146" s="426" t="s">
        <v>8630</v>
      </c>
      <c r="DF146" s="506" t="s">
        <v>138</v>
      </c>
      <c r="DG146" s="859" t="s">
        <v>8385</v>
      </c>
      <c r="DH146" s="859" t="s">
        <v>8393</v>
      </c>
      <c r="DI146" s="859" t="s">
        <v>8401</v>
      </c>
      <c r="DJ146" s="859" t="s">
        <v>8409</v>
      </c>
      <c r="DK146" s="859" t="s">
        <v>8417</v>
      </c>
      <c r="DL146" s="859" t="s">
        <v>8425</v>
      </c>
      <c r="DM146" s="859" t="s">
        <v>8433</v>
      </c>
      <c r="DN146" s="859" t="s">
        <v>8441</v>
      </c>
      <c r="DU146" s="860" t="s">
        <v>7738</v>
      </c>
      <c r="DV146" s="860" t="s">
        <v>7738</v>
      </c>
      <c r="DX146" s="506" t="s">
        <v>138</v>
      </c>
      <c r="DY146" s="861">
        <f t="shared" ca="1" si="31"/>
        <v>0</v>
      </c>
      <c r="DZ146" s="861">
        <f t="shared" ca="1" si="31"/>
        <v>0</v>
      </c>
      <c r="EA146" s="861">
        <f t="shared" ca="1" si="31"/>
        <v>0</v>
      </c>
      <c r="EB146" s="861">
        <f t="shared" ca="1" si="31"/>
        <v>0</v>
      </c>
      <c r="EC146" s="861">
        <f t="shared" ca="1" si="31"/>
        <v>0</v>
      </c>
      <c r="ED146" s="861">
        <f t="shared" ca="1" si="31"/>
        <v>0</v>
      </c>
      <c r="EE146" s="861">
        <f t="shared" ca="1" si="31"/>
        <v>10</v>
      </c>
      <c r="EF146" s="861">
        <f t="shared" ca="1" si="31"/>
        <v>20</v>
      </c>
      <c r="EG146" s="861">
        <f t="shared" ca="1" si="32"/>
        <v>0</v>
      </c>
      <c r="EH146" s="861">
        <f t="shared" ca="1" si="32"/>
        <v>0</v>
      </c>
      <c r="EM146" s="861">
        <f t="shared" ca="1" si="33"/>
        <v>0</v>
      </c>
      <c r="EN146" s="861">
        <f t="shared" ca="1" si="33"/>
        <v>0</v>
      </c>
    </row>
    <row r="147" spans="52:147" x14ac:dyDescent="0.25">
      <c r="AZ147" s="470" t="s">
        <v>6172</v>
      </c>
      <c r="BB147" s="426"/>
      <c r="BC147" s="752" t="s">
        <v>8297</v>
      </c>
      <c r="BG147" s="469" t="s">
        <v>5448</v>
      </c>
      <c r="BH147" s="758" t="s">
        <v>7360</v>
      </c>
      <c r="BI147" s="767" t="str">
        <f ca="1">IF(CD127=2,
IF(COUNTIF(INDIRECT(BI123&amp;BV125,1),"sim")&gt;0,1,0),
"")</f>
        <v/>
      </c>
      <c r="BJ147" s="20" t="s">
        <v>7361</v>
      </c>
      <c r="DA147" s="470" t="s">
        <v>6172</v>
      </c>
      <c r="DB147" s="25">
        <f ca="1">IF(AND(DL136="Não",DM135=0),1,0)</f>
        <v>0</v>
      </c>
      <c r="DC147" s="426" t="s">
        <v>8629</v>
      </c>
      <c r="DF147" s="506" t="s">
        <v>7678</v>
      </c>
      <c r="DG147" s="859" t="s">
        <v>8386</v>
      </c>
      <c r="DH147" s="859" t="s">
        <v>8394</v>
      </c>
      <c r="DI147" s="859" t="s">
        <v>8402</v>
      </c>
      <c r="DJ147" s="859" t="s">
        <v>8410</v>
      </c>
      <c r="DK147" s="859" t="s">
        <v>8418</v>
      </c>
      <c r="DL147" s="859" t="s">
        <v>8426</v>
      </c>
      <c r="DM147" s="859" t="s">
        <v>8434</v>
      </c>
      <c r="DN147" s="859" t="s">
        <v>8442</v>
      </c>
      <c r="DU147" s="860" t="s">
        <v>7739</v>
      </c>
      <c r="DV147" s="860" t="s">
        <v>7739</v>
      </c>
      <c r="DX147" s="506" t="s">
        <v>7678</v>
      </c>
      <c r="DY147" s="861">
        <f t="shared" ca="1" si="31"/>
        <v>0</v>
      </c>
      <c r="DZ147" s="861">
        <f t="shared" ca="1" si="31"/>
        <v>0</v>
      </c>
      <c r="EA147" s="861">
        <f t="shared" ca="1" si="31"/>
        <v>0</v>
      </c>
      <c r="EB147" s="861">
        <f t="shared" ca="1" si="31"/>
        <v>0</v>
      </c>
      <c r="EC147" s="861">
        <f t="shared" ca="1" si="31"/>
        <v>0</v>
      </c>
      <c r="ED147" s="861">
        <f t="shared" ca="1" si="31"/>
        <v>0</v>
      </c>
      <c r="EE147" s="861">
        <f t="shared" ca="1" si="31"/>
        <v>10</v>
      </c>
      <c r="EF147" s="861">
        <f t="shared" ca="1" si="31"/>
        <v>20</v>
      </c>
      <c r="EG147" s="861">
        <f t="shared" ca="1" si="32"/>
        <v>0</v>
      </c>
      <c r="EH147" s="861">
        <f t="shared" ca="1" si="32"/>
        <v>0</v>
      </c>
      <c r="EM147" s="861">
        <f t="shared" ca="1" si="33"/>
        <v>0</v>
      </c>
      <c r="EN147" s="861">
        <f t="shared" ca="1" si="33"/>
        <v>0</v>
      </c>
    </row>
    <row r="148" spans="52:147" x14ac:dyDescent="0.25">
      <c r="AZ148" s="470" t="s">
        <v>6172</v>
      </c>
      <c r="BB148" s="25"/>
      <c r="BC148" s="752" t="s">
        <v>8297</v>
      </c>
      <c r="BG148" s="469" t="s">
        <v>5448</v>
      </c>
      <c r="BH148" s="758" t="s">
        <v>7362</v>
      </c>
      <c r="BI148" s="767">
        <f ca="1">IF(COUNTIF(BY126:BZ126,1)=0,1,0)</f>
        <v>1</v>
      </c>
      <c r="BJ148" s="20" t="s">
        <v>7848</v>
      </c>
      <c r="DA148" s="470" t="s">
        <v>6172</v>
      </c>
      <c r="DB148" s="25">
        <f ca="1">IF(AND(DM136="Sim",DN135=0),1,0)</f>
        <v>0</v>
      </c>
      <c r="DC148" s="426" t="s">
        <v>8631</v>
      </c>
      <c r="DF148" s="506" t="s">
        <v>7679</v>
      </c>
      <c r="DG148" s="859" t="s">
        <v>8387</v>
      </c>
      <c r="DH148" s="859" t="s">
        <v>8395</v>
      </c>
      <c r="DI148" s="859" t="s">
        <v>8403</v>
      </c>
      <c r="DJ148" s="859" t="s">
        <v>8411</v>
      </c>
      <c r="DK148" s="859" t="s">
        <v>8419</v>
      </c>
      <c r="DL148" s="859" t="s">
        <v>8427</v>
      </c>
      <c r="DM148" s="859" t="s">
        <v>8435</v>
      </c>
      <c r="DN148" s="859" t="s">
        <v>8443</v>
      </c>
      <c r="DU148" s="860" t="s">
        <v>7740</v>
      </c>
      <c r="DV148" s="860" t="s">
        <v>7740</v>
      </c>
      <c r="DX148" s="506" t="s">
        <v>7679</v>
      </c>
      <c r="DY148" s="861">
        <f t="shared" ca="1" si="31"/>
        <v>0</v>
      </c>
      <c r="DZ148" s="861">
        <f t="shared" ca="1" si="31"/>
        <v>0</v>
      </c>
      <c r="EA148" s="861">
        <f t="shared" ca="1" si="31"/>
        <v>0</v>
      </c>
      <c r="EB148" s="861">
        <f t="shared" ca="1" si="31"/>
        <v>0</v>
      </c>
      <c r="EC148" s="861">
        <f t="shared" ca="1" si="31"/>
        <v>0</v>
      </c>
      <c r="ED148" s="861">
        <f t="shared" ca="1" si="31"/>
        <v>0</v>
      </c>
      <c r="EE148" s="861">
        <f t="shared" ca="1" si="31"/>
        <v>10</v>
      </c>
      <c r="EF148" s="861">
        <f t="shared" ca="1" si="31"/>
        <v>20</v>
      </c>
      <c r="EG148" s="861">
        <f t="shared" ca="1" si="32"/>
        <v>0</v>
      </c>
      <c r="EH148" s="861">
        <f t="shared" ca="1" si="32"/>
        <v>0</v>
      </c>
      <c r="EM148" s="861">
        <f t="shared" ca="1" si="33"/>
        <v>0</v>
      </c>
      <c r="EN148" s="861">
        <f t="shared" ca="1" si="33"/>
        <v>0</v>
      </c>
    </row>
    <row r="149" spans="52:147" x14ac:dyDescent="0.25">
      <c r="AZ149" s="470" t="s">
        <v>6172</v>
      </c>
      <c r="BB149" s="25"/>
      <c r="BC149" s="752" t="s">
        <v>8297</v>
      </c>
      <c r="BG149" s="469" t="s">
        <v>5448</v>
      </c>
      <c r="BH149" s="758" t="s">
        <v>7363</v>
      </c>
      <c r="BI149" s="767">
        <f ca="1">IF(BW127="sim",1,0)</f>
        <v>0</v>
      </c>
      <c r="BJ149" s="20" t="s">
        <v>7364</v>
      </c>
      <c r="DA149" s="470" t="s">
        <v>6172</v>
      </c>
      <c r="DB149" s="25">
        <f ca="1">IF(AND(DI152=0,DG105&lt;&gt;0,DL135=0),1,0)</f>
        <v>0</v>
      </c>
      <c r="DC149" s="426" t="s">
        <v>6492</v>
      </c>
      <c r="DF149" s="597" t="s">
        <v>14</v>
      </c>
      <c r="DG149" s="535"/>
      <c r="DH149" s="535"/>
      <c r="DI149" s="535"/>
      <c r="DJ149" s="535"/>
      <c r="DK149" s="535"/>
      <c r="DL149" s="535"/>
      <c r="DM149" s="535"/>
      <c r="DN149" s="535"/>
      <c r="DU149" s="535"/>
      <c r="DV149" s="535"/>
    </row>
    <row r="150" spans="52:147" x14ac:dyDescent="0.25">
      <c r="AZ150" s="470" t="s">
        <v>6172</v>
      </c>
      <c r="BB150" s="25"/>
      <c r="BC150" s="752" t="s">
        <v>8297</v>
      </c>
      <c r="BG150" s="469" t="s">
        <v>5448</v>
      </c>
      <c r="BH150" s="758" t="s">
        <v>6226</v>
      </c>
      <c r="BI150" s="767">
        <f ca="1">IF(BH127="Sim",1,0)</f>
        <v>0</v>
      </c>
      <c r="BJ150" s="20" t="s">
        <v>7853</v>
      </c>
      <c r="DA150" s="470" t="s">
        <v>6172</v>
      </c>
      <c r="DB150" s="25">
        <f ca="1">IF(AND(DI152=0,DG105&lt;&gt;0,DO135=0),1,0)</f>
        <v>0</v>
      </c>
      <c r="DC150" s="426" t="s">
        <v>6493</v>
      </c>
      <c r="DY150" s="472" t="s">
        <v>6152</v>
      </c>
    </row>
    <row r="151" spans="52:147" x14ac:dyDescent="0.25">
      <c r="AZ151" s="470" t="s">
        <v>6172</v>
      </c>
      <c r="BB151" s="25"/>
      <c r="BC151" s="752" t="s">
        <v>8297</v>
      </c>
      <c r="BG151" s="469" t="s">
        <v>5448</v>
      </c>
      <c r="BH151" s="758" t="s">
        <v>6067</v>
      </c>
      <c r="BI151" s="767">
        <f ca="1">IF(CD127=2,1,0)</f>
        <v>0</v>
      </c>
      <c r="DA151" s="470" t="s">
        <v>6172</v>
      </c>
      <c r="DB151" s="25">
        <f ca="1">IF(AND(DI152=0,DG105&lt;&gt;0,EJ106=0),1,0)</f>
        <v>0</v>
      </c>
      <c r="DC151" s="426" t="s">
        <v>6209</v>
      </c>
      <c r="DY151" s="857" t="s">
        <v>36</v>
      </c>
      <c r="DZ151" s="857" t="s">
        <v>37</v>
      </c>
    </row>
    <row r="152" spans="52:147" x14ac:dyDescent="0.25">
      <c r="AZ152" s="470" t="s">
        <v>6172</v>
      </c>
      <c r="BB152" s="25"/>
      <c r="BC152" s="752" t="s">
        <v>8297</v>
      </c>
      <c r="DA152" s="470" t="s">
        <v>6172</v>
      </c>
      <c r="DB152" s="25">
        <f ca="1">IF(AND(DI152=0,DG105&lt;&gt;0,EI105=0),1,0)</f>
        <v>0</v>
      </c>
      <c r="DC152" s="426" t="s">
        <v>6196</v>
      </c>
      <c r="DG152" s="472" t="s">
        <v>7849</v>
      </c>
      <c r="DH152" s="757" t="s">
        <v>7930</v>
      </c>
      <c r="DI152" s="525">
        <f ca="1">IF(COUNTIF(DK106,"*vitro*")&gt;0,1,0)</f>
        <v>0</v>
      </c>
      <c r="DL152" s="650"/>
      <c r="DY152" s="858" t="s">
        <v>6328</v>
      </c>
      <c r="DZ152" s="858" t="s">
        <v>6328</v>
      </c>
    </row>
    <row r="153" spans="52:147" x14ac:dyDescent="0.25">
      <c r="AZ153" s="470" t="s">
        <v>6172</v>
      </c>
      <c r="DA153" s="470" t="s">
        <v>6172</v>
      </c>
      <c r="DB153" s="25">
        <f ca="1">IF(AND(DI152=1,DH112=0),1,0)</f>
        <v>0</v>
      </c>
      <c r="DC153" s="426" t="s">
        <v>7276</v>
      </c>
      <c r="DG153" s="472" t="s">
        <v>7352</v>
      </c>
      <c r="DH153" s="757" t="s">
        <v>6211</v>
      </c>
      <c r="DI153" s="525">
        <f ca="1">DO106</f>
        <v>0</v>
      </c>
      <c r="DO153" s="20" t="s">
        <v>7743</v>
      </c>
      <c r="DR153" s="2" t="s">
        <v>7744</v>
      </c>
      <c r="DU153" s="2" t="s">
        <v>7749</v>
      </c>
      <c r="DX153" s="506" t="s">
        <v>5774</v>
      </c>
      <c r="DY153" s="861" cm="1">
        <f t="array" aca="1" ref="DY153" ca="1">INDIRECT($DJ$102&amp;DU141)</f>
        <v>0</v>
      </c>
      <c r="DZ153" s="861" cm="1">
        <f t="array" aca="1" ref="DZ153" ca="1">INDIRECT($DJ$102&amp;DV141)</f>
        <v>0</v>
      </c>
    </row>
    <row r="154" spans="52:147" x14ac:dyDescent="0.25">
      <c r="AZ154" s="470" t="s">
        <v>6172</v>
      </c>
      <c r="DA154" s="470" t="s">
        <v>6172</v>
      </c>
      <c r="DB154" s="25">
        <f ca="1">DI159</f>
        <v>0</v>
      </c>
      <c r="DC154" s="426" t="s">
        <v>6071</v>
      </c>
      <c r="DG154" s="469" t="s">
        <v>5448</v>
      </c>
      <c r="DH154" s="758" t="s">
        <v>6223</v>
      </c>
      <c r="DI154" s="759">
        <f ca="1">IF(DI153&lt;&gt;0,
IF(COUNTIF($M$65:$M$94,DI153)=0,1,0),0)</f>
        <v>0</v>
      </c>
      <c r="DK154" s="2"/>
      <c r="DL154" s="838" t="s">
        <v>6507</v>
      </c>
      <c r="DM154" s="838" t="s">
        <v>6508</v>
      </c>
      <c r="DO154" s="738" t="s">
        <v>6507</v>
      </c>
      <c r="DP154" s="738" t="s">
        <v>6508</v>
      </c>
      <c r="DQ154" s="472"/>
      <c r="DR154" s="738" t="s">
        <v>6507</v>
      </c>
      <c r="DS154" s="738" t="s">
        <v>6508</v>
      </c>
      <c r="DU154" s="738" t="s">
        <v>6507</v>
      </c>
      <c r="DV154" s="738" t="s">
        <v>6508</v>
      </c>
      <c r="DX154" s="506" t="s">
        <v>5775</v>
      </c>
      <c r="DY154" s="861" cm="1">
        <f t="array" aca="1" ref="DY154" ca="1">INDIRECT($DJ$102&amp;DU142)</f>
        <v>0</v>
      </c>
      <c r="DZ154" s="861" cm="1">
        <f t="array" aca="1" ref="DZ154" ca="1">INDIRECT($DJ$102&amp;DV142)</f>
        <v>0</v>
      </c>
    </row>
    <row r="155" spans="52:147" x14ac:dyDescent="0.25">
      <c r="AZ155" s="470" t="s">
        <v>6172</v>
      </c>
      <c r="DA155" s="470" t="s">
        <v>6172</v>
      </c>
      <c r="DB155" s="25">
        <f ca="1">DI173</f>
        <v>0</v>
      </c>
      <c r="DC155" s="426" t="s">
        <v>7931</v>
      </c>
      <c r="DD155" s="796" t="str">
        <f ca="1">IF(DI173=1,"Estudo: mín. "&amp;DI169&amp;"h máx. "&amp;DI170&amp;"h. Protocolo: mín. "&amp;DI171&amp;"h máx. "&amp;DI172&amp;"h","")</f>
        <v/>
      </c>
      <c r="DG155" s="472" t="s">
        <v>7352</v>
      </c>
      <c r="DH155" s="757" t="s">
        <v>6178</v>
      </c>
      <c r="DI155" s="525">
        <f ca="1">IFERROR(VLOOKUP(DI153,$M$65:$P$94,4,0),0)</f>
        <v>0</v>
      </c>
      <c r="DK155" s="2" t="s">
        <v>6509</v>
      </c>
      <c r="DL155" s="827">
        <f ca="1">DO128</f>
        <v>0</v>
      </c>
      <c r="DM155" s="827">
        <f ca="1">DP128</f>
        <v>0</v>
      </c>
      <c r="DN155" s="2" t="s">
        <v>6509</v>
      </c>
      <c r="DO155" s="827">
        <f ca="1">IF(AND(DL155&gt;0,COUNTIF($DY$155:$DY$160,"&gt;0")&gt;0),
IF(COUNTIF($DY$155:$DY$160,DL155)=0,1,0),0)</f>
        <v>0</v>
      </c>
      <c r="DP155" s="827">
        <f ca="1">IF(AND(DM155&gt;0,COUNTIF($DZ$155:$DZ$160,"&gt;0")&gt;0),
IF(COUNTIF($DZ$155:$DZ$160,DM155)=0,1,0),0)</f>
        <v>0</v>
      </c>
      <c r="DQ155" s="2" t="s">
        <v>6514</v>
      </c>
      <c r="DR155" s="829">
        <f ca="1">DU128</f>
        <v>0</v>
      </c>
      <c r="DS155" s="829">
        <f ca="1">DY128</f>
        <v>0</v>
      </c>
      <c r="DU155" s="666"/>
      <c r="DV155" s="666"/>
      <c r="DX155" s="506" t="s">
        <v>134</v>
      </c>
      <c r="DY155" s="861" cm="1">
        <f t="array" aca="1" ref="DY155" ca="1">INDIRECT($DJ$102&amp;DU143)</f>
        <v>0</v>
      </c>
      <c r="DZ155" s="861" cm="1">
        <f t="array" aca="1" ref="DZ155" ca="1">INDIRECT($DJ$102&amp;DV143)</f>
        <v>0</v>
      </c>
    </row>
    <row r="156" spans="52:147" x14ac:dyDescent="0.25">
      <c r="AZ156" s="470" t="s">
        <v>6172</v>
      </c>
      <c r="DA156" s="470" t="s">
        <v>6172</v>
      </c>
      <c r="DB156" s="25">
        <f ca="1">IF(DZ106="sim",1,0)</f>
        <v>0</v>
      </c>
      <c r="DC156" s="426" t="s">
        <v>6113</v>
      </c>
      <c r="DG156" s="472" t="s">
        <v>7353</v>
      </c>
      <c r="DH156" s="757" t="s">
        <v>6213</v>
      </c>
      <c r="DI156" s="525">
        <f ca="1">DN106</f>
        <v>0</v>
      </c>
      <c r="DK156" s="2" t="s">
        <v>6510</v>
      </c>
      <c r="DL156" s="827">
        <f ca="1">DV128</f>
        <v>0</v>
      </c>
      <c r="DM156" s="827">
        <f ca="1">DZ128</f>
        <v>0</v>
      </c>
      <c r="DN156" s="2" t="s">
        <v>6510</v>
      </c>
      <c r="DO156" s="827">
        <f ca="1">IF(AND(DL156&gt;0,COUNTIF($DY$155:$DY$160,"&gt;0")&gt;0),
IF(COUNTIF($DY$155:$DY$160,DL156)=0,1,0),0)</f>
        <v>0</v>
      </c>
      <c r="DP156" s="827">
        <f ca="1">IF(AND(DM156&gt;0,COUNTIF($DZ$155:$DZ$160,"&gt;0")&gt;0),
IF(COUNTIF($DZ$155:$DZ$160,DM156)=0,1,0),0)</f>
        <v>0</v>
      </c>
      <c r="DQ156" s="2" t="s">
        <v>6510</v>
      </c>
      <c r="DR156" s="827">
        <f t="shared" ref="DR156:DS158" ca="1" si="34">IFERROR(DL156/DR$155,0)</f>
        <v>0</v>
      </c>
      <c r="DS156" s="827">
        <f t="shared" ca="1" si="34"/>
        <v>0</v>
      </c>
      <c r="DT156" s="2">
        <v>0.25</v>
      </c>
      <c r="DU156" s="827">
        <f t="shared" ref="DU156:DV158" ca="1" si="35">IF(OR(DR$155=0,DR156=$DT156),0,1)</f>
        <v>0</v>
      </c>
      <c r="DV156" s="827">
        <f t="shared" ca="1" si="35"/>
        <v>0</v>
      </c>
      <c r="DX156" s="506" t="s">
        <v>136</v>
      </c>
      <c r="DY156" s="861" cm="1">
        <f t="array" aca="1" ref="DY156" ca="1">INDIRECT($DJ$102&amp;DU144)</f>
        <v>0</v>
      </c>
      <c r="DZ156" s="861" cm="1">
        <f t="array" aca="1" ref="DZ156" ca="1">INDIRECT($DJ$102&amp;DV144)</f>
        <v>0</v>
      </c>
    </row>
    <row r="157" spans="52:147" x14ac:dyDescent="0.25">
      <c r="AZ157" s="470" t="s">
        <v>6172</v>
      </c>
      <c r="DA157" s="470" t="s">
        <v>6172</v>
      </c>
      <c r="DB157" s="25"/>
      <c r="DC157" s="426"/>
      <c r="DG157" s="469" t="s">
        <v>5448</v>
      </c>
      <c r="DH157" s="758" t="s">
        <v>6179</v>
      </c>
      <c r="DI157" s="759">
        <f ca="1">IF(DI154&lt;&gt;1,
IF((DI155-DI156)&lt;0,1,0),
0)</f>
        <v>0</v>
      </c>
      <c r="DK157" s="2" t="s">
        <v>6511</v>
      </c>
      <c r="DL157" s="827">
        <f ca="1">DW128</f>
        <v>0</v>
      </c>
      <c r="DM157" s="827">
        <f ca="1">EA128</f>
        <v>0</v>
      </c>
      <c r="DN157" s="2" t="s">
        <v>6511</v>
      </c>
      <c r="DO157" s="827">
        <f ca="1">IF(AND(DL157&gt;0,COUNTIF($DY$155:$DY$160,"&gt;0")&gt;0),
IF(COUNTIF($DY$155:$DY$160,DL157)=0,1,0),0)</f>
        <v>0</v>
      </c>
      <c r="DP157" s="827">
        <f ca="1">IF(AND(DM157&gt;0,COUNTIF($DZ$155:$DZ$160,"&gt;0")&gt;0),
IF(COUNTIF($DZ$155:$DZ$160,DM157)=0,1,0),0)</f>
        <v>0</v>
      </c>
      <c r="DQ157" s="2" t="s">
        <v>6511</v>
      </c>
      <c r="DR157" s="827">
        <f t="shared" ca="1" si="34"/>
        <v>0</v>
      </c>
      <c r="DS157" s="827">
        <f t="shared" ca="1" si="34"/>
        <v>0</v>
      </c>
      <c r="DT157" s="2">
        <v>0.5</v>
      </c>
      <c r="DU157" s="827">
        <f t="shared" ca="1" si="35"/>
        <v>0</v>
      </c>
      <c r="DV157" s="827">
        <f t="shared" ca="1" si="35"/>
        <v>0</v>
      </c>
      <c r="DX157" s="506" t="s">
        <v>137</v>
      </c>
      <c r="DY157" s="861" cm="1">
        <f t="array" aca="1" ref="DY157" ca="1">INDIRECT($DJ$102&amp;DU145)</f>
        <v>0</v>
      </c>
      <c r="DZ157" s="861" cm="1">
        <f t="array" aca="1" ref="DZ157" ca="1">INDIRECT($DJ$102&amp;DV145)</f>
        <v>0</v>
      </c>
    </row>
    <row r="158" spans="52:147" x14ac:dyDescent="0.25">
      <c r="AZ158" s="470" t="s">
        <v>6172</v>
      </c>
      <c r="DA158" s="470" t="s">
        <v>6172</v>
      </c>
      <c r="DB158" s="25">
        <f ca="1">IF(AND(DG128="Não",DI205=1),1,0)</f>
        <v>0</v>
      </c>
      <c r="DC158" s="426" t="s">
        <v>7932</v>
      </c>
      <c r="DG158" s="469" t="s">
        <v>5448</v>
      </c>
      <c r="DH158" s="758" t="s">
        <v>7354</v>
      </c>
      <c r="DI158" s="759">
        <f ca="1">IF(COUNTIFS($M$65:$M$94,DI153,$AA$65:$AA$94,2)&gt;0,1,0)</f>
        <v>0</v>
      </c>
      <c r="DK158" s="2" t="s">
        <v>6512</v>
      </c>
      <c r="DL158" s="827">
        <f ca="1">DX128</f>
        <v>0</v>
      </c>
      <c r="DM158" s="827">
        <f ca="1">EB128</f>
        <v>0</v>
      </c>
      <c r="DN158" s="2" t="s">
        <v>6512</v>
      </c>
      <c r="DO158" s="827">
        <f ca="1">IF(AND(DL158&gt;0,COUNTIF($DY$155:$DY$160,"&gt;0")&gt;0),
IF(COUNTIF($DY$155:$DY$160,DL158)=0,1,0),0)</f>
        <v>0</v>
      </c>
      <c r="DP158" s="827">
        <f ca="1">IF(AND(DM158&gt;0,COUNTIF($DZ$155:$DZ$160,"&gt;0")&gt;0),
IF(COUNTIF($DZ$155:$DZ$160,DM158)=0,1,0),0)</f>
        <v>0</v>
      </c>
      <c r="DQ158" s="2" t="s">
        <v>6512</v>
      </c>
      <c r="DR158" s="827">
        <f t="shared" ca="1" si="34"/>
        <v>0</v>
      </c>
      <c r="DS158" s="827">
        <f t="shared" ca="1" si="34"/>
        <v>0</v>
      </c>
      <c r="DT158" s="2">
        <v>0.8</v>
      </c>
      <c r="DU158" s="827">
        <f t="shared" ca="1" si="35"/>
        <v>0</v>
      </c>
      <c r="DV158" s="827">
        <f t="shared" ca="1" si="35"/>
        <v>0</v>
      </c>
      <c r="DX158" s="506" t="s">
        <v>138</v>
      </c>
      <c r="DY158" s="861" cm="1">
        <f t="array" aca="1" ref="DY158" ca="1">INDIRECT($DJ$102&amp;DU146)</f>
        <v>0</v>
      </c>
      <c r="DZ158" s="861" cm="1">
        <f t="array" aca="1" ref="DZ158" ca="1">INDIRECT($DJ$102&amp;DV146)</f>
        <v>0</v>
      </c>
    </row>
    <row r="159" spans="52:147" x14ac:dyDescent="0.25">
      <c r="AZ159" s="470" t="s">
        <v>6172</v>
      </c>
      <c r="DA159" s="470" t="s">
        <v>6172</v>
      </c>
      <c r="DB159" s="25">
        <f ca="1">IF(AND(EC128=TRUE,DQ128="Não"),1,0)</f>
        <v>0</v>
      </c>
      <c r="DC159" s="426" t="s">
        <v>7933</v>
      </c>
      <c r="DG159" s="469" t="s">
        <v>5448</v>
      </c>
      <c r="DH159" s="758" t="s">
        <v>7356</v>
      </c>
      <c r="DI159" s="767">
        <f ca="1">IF(DJ106="Não",1,0)</f>
        <v>0</v>
      </c>
      <c r="DX159" s="506" t="s">
        <v>7678</v>
      </c>
      <c r="DY159" s="861" cm="1">
        <f t="array" aca="1" ref="DY159" ca="1">INDIRECT($DJ$102&amp;DU147)</f>
        <v>0</v>
      </c>
      <c r="DZ159" s="861" cm="1">
        <f t="array" aca="1" ref="DZ159" ca="1">INDIRECT($DJ$102&amp;DV147)</f>
        <v>0</v>
      </c>
    </row>
    <row r="160" spans="52:147" ht="15.75" thickBot="1" x14ac:dyDescent="0.3">
      <c r="AZ160" s="470" t="s">
        <v>6172</v>
      </c>
      <c r="BB160" s="862" t="s">
        <v>6074</v>
      </c>
      <c r="BC160" s="862"/>
      <c r="BD160" s="730"/>
      <c r="BE160" s="730"/>
      <c r="BF160" s="730"/>
      <c r="BG160" s="730"/>
      <c r="BH160" s="730"/>
      <c r="BI160" s="730"/>
      <c r="BJ160" s="730"/>
      <c r="BK160" s="730"/>
      <c r="BL160" s="730"/>
      <c r="BM160" s="730"/>
      <c r="BN160" s="730"/>
      <c r="BO160" s="730"/>
      <c r="BP160" s="730"/>
      <c r="BQ160" s="730"/>
      <c r="BR160" s="730"/>
      <c r="BS160" s="730"/>
      <c r="BT160" s="730"/>
      <c r="BU160" s="730"/>
      <c r="BV160" s="730"/>
      <c r="BW160" s="730"/>
      <c r="BX160" s="730"/>
      <c r="BY160" s="730"/>
      <c r="BZ160" s="730"/>
      <c r="CA160" s="730"/>
      <c r="CB160" s="730"/>
      <c r="CC160" s="730"/>
      <c r="CD160" s="730"/>
      <c r="CE160" s="730"/>
      <c r="CF160" s="730"/>
      <c r="CG160" s="730"/>
      <c r="CH160" s="730"/>
      <c r="CI160" s="730"/>
      <c r="DA160" s="470" t="s">
        <v>6172</v>
      </c>
      <c r="DB160" s="25">
        <f ca="1">IF(AND(DQ128="sim",DS128="não"),1,0)</f>
        <v>0</v>
      </c>
      <c r="DC160" s="426" t="s">
        <v>6114</v>
      </c>
      <c r="DG160" s="469" t="s">
        <v>5448</v>
      </c>
      <c r="DH160" s="758" t="s">
        <v>6067</v>
      </c>
      <c r="DI160" s="767">
        <f ca="1">IF(EJ106=2,1,0)</f>
        <v>0</v>
      </c>
      <c r="DX160" s="506" t="s">
        <v>7679</v>
      </c>
      <c r="DY160" s="861" cm="1">
        <f t="array" aca="1" ref="DY160" ca="1">INDIRECT($DJ$102&amp;DU148)</f>
        <v>0</v>
      </c>
      <c r="DZ160" s="861" cm="1">
        <f t="array" aca="1" ref="DZ160" ca="1">INDIRECT($DJ$102&amp;DV148)</f>
        <v>0</v>
      </c>
    </row>
    <row r="161" spans="52:144" x14ac:dyDescent="0.25">
      <c r="AZ161" s="470" t="s">
        <v>6172</v>
      </c>
      <c r="BB161" s="844">
        <f ca="1">IF(
AND(BI166="Sim",CE166="Não"),1,0)</f>
        <v>0</v>
      </c>
      <c r="BC161" s="449" t="s">
        <v>6075</v>
      </c>
      <c r="DA161" s="470" t="s">
        <v>6172</v>
      </c>
      <c r="DB161" s="25">
        <f ca="1">IF(AND(DQ128="sim",DT128&lt;&gt;DG136),1,0)</f>
        <v>0</v>
      </c>
      <c r="DC161" s="426" t="s">
        <v>6115</v>
      </c>
      <c r="DG161" s="469" t="s">
        <v>5448</v>
      </c>
      <c r="DH161" s="758" t="s">
        <v>7360</v>
      </c>
      <c r="DI161" s="767">
        <f ca="1">IF(EJ106=2,
IF(COUNTIF(INDIRECT(DH102&amp;EF104,1),"sim")&gt;0,1,0),
0)</f>
        <v>0</v>
      </c>
      <c r="EM161" s="952" t="s">
        <v>7764</v>
      </c>
    </row>
    <row r="162" spans="52:144" x14ac:dyDescent="0.25">
      <c r="AZ162" s="470" t="s">
        <v>6172</v>
      </c>
      <c r="BB162" s="844">
        <f ca="1">IF(AND(BI166="Não",BJ165=0),1,0)</f>
        <v>0</v>
      </c>
      <c r="BC162" s="450" t="s">
        <v>6274</v>
      </c>
      <c r="BI162" s="733" t="s">
        <v>7321</v>
      </c>
      <c r="BJ162" s="797" t="s">
        <v>5573</v>
      </c>
      <c r="DA162" s="470" t="s">
        <v>6172</v>
      </c>
      <c r="DB162" s="25">
        <f ca="1">IF(SUM(DI177:DI178)&gt;0,1,0)</f>
        <v>0</v>
      </c>
      <c r="DC162" s="426" t="s">
        <v>6116</v>
      </c>
      <c r="EM162" s="516" t="s">
        <v>6517</v>
      </c>
    </row>
    <row r="163" spans="52:144" x14ac:dyDescent="0.25">
      <c r="AZ163" s="470" t="s">
        <v>6172</v>
      </c>
      <c r="BB163" s="844">
        <f ca="1">IF(BJ165&lt;&gt;BK165,1,0)</f>
        <v>0</v>
      </c>
      <c r="BC163" s="426" t="s">
        <v>6197</v>
      </c>
      <c r="BI163" s="863" t="s">
        <v>5589</v>
      </c>
      <c r="BJ163" s="863" t="s">
        <v>30</v>
      </c>
      <c r="BK163" s="864" t="s">
        <v>6174</v>
      </c>
      <c r="BL163" s="864" t="s">
        <v>6173</v>
      </c>
      <c r="BM163" s="864" t="s">
        <v>6029</v>
      </c>
      <c r="BN163" s="864" t="s">
        <v>218</v>
      </c>
      <c r="BO163" s="864" t="s">
        <v>6183</v>
      </c>
      <c r="BP163" s="864" t="s">
        <v>6184</v>
      </c>
      <c r="BQ163" s="864" t="s">
        <v>31</v>
      </c>
      <c r="BR163" s="864" t="s">
        <v>5720</v>
      </c>
      <c r="BS163" s="864" t="s">
        <v>85</v>
      </c>
      <c r="BT163" s="864" t="s">
        <v>235</v>
      </c>
      <c r="BU163" s="864" t="s">
        <v>6232</v>
      </c>
      <c r="BV163" s="738" t="s">
        <v>293</v>
      </c>
      <c r="BW163" s="738" t="s">
        <v>301</v>
      </c>
      <c r="BX163" s="738" t="s">
        <v>302</v>
      </c>
      <c r="BY163" s="864" t="s">
        <v>6242</v>
      </c>
      <c r="BZ163" s="864" t="s">
        <v>143</v>
      </c>
      <c r="CA163" s="864" t="s">
        <v>7404</v>
      </c>
      <c r="CB163" s="864" t="s">
        <v>278</v>
      </c>
      <c r="CC163" s="864" t="s">
        <v>279</v>
      </c>
      <c r="CD163" s="864" t="s">
        <v>6189</v>
      </c>
      <c r="CE163" s="865"/>
      <c r="CF163" s="865" t="s">
        <v>6185</v>
      </c>
      <c r="CG163" s="865" t="s">
        <v>6187</v>
      </c>
      <c r="CH163" s="865" t="s">
        <v>6188</v>
      </c>
      <c r="DA163" s="470" t="s">
        <v>6172</v>
      </c>
      <c r="DB163" s="25"/>
      <c r="DC163" s="426"/>
      <c r="DG163" s="469" t="s">
        <v>5448</v>
      </c>
      <c r="DH163" s="758" t="s">
        <v>7363</v>
      </c>
      <c r="DI163" s="767">
        <f ca="1">IF(EG106="sim",1,0)</f>
        <v>0</v>
      </c>
    </row>
    <row r="164" spans="52:144" x14ac:dyDescent="0.25">
      <c r="AZ164" s="470" t="s">
        <v>6172</v>
      </c>
      <c r="BB164" s="844">
        <f ca="1">IF(BJ165&lt;&gt;BL165,1,0)</f>
        <v>0</v>
      </c>
      <c r="BC164" s="426" t="s">
        <v>6198</v>
      </c>
      <c r="BH164" s="790" t="s">
        <v>5778</v>
      </c>
      <c r="BI164" s="840" t="s">
        <v>1592</v>
      </c>
      <c r="BJ164" s="840" t="s">
        <v>5797</v>
      </c>
      <c r="BK164" s="840" t="s">
        <v>7405</v>
      </c>
      <c r="BL164" s="840" t="s">
        <v>7384</v>
      </c>
      <c r="BM164" s="841" t="s">
        <v>7385</v>
      </c>
      <c r="BN164" s="841" t="s">
        <v>7406</v>
      </c>
      <c r="BO164" s="841" t="s">
        <v>7388</v>
      </c>
      <c r="BP164" s="866" t="s">
        <v>7407</v>
      </c>
      <c r="BQ164" s="866" t="s">
        <v>7408</v>
      </c>
      <c r="BR164" s="841" t="s">
        <v>7409</v>
      </c>
      <c r="BS164" s="841" t="s">
        <v>7410</v>
      </c>
      <c r="BT164" s="841" t="s">
        <v>7411</v>
      </c>
      <c r="BU164" s="841" t="s">
        <v>7412</v>
      </c>
      <c r="BV164" s="840" t="s">
        <v>8640</v>
      </c>
      <c r="BW164" s="840" t="s">
        <v>8641</v>
      </c>
      <c r="BX164" s="840" t="s">
        <v>8642</v>
      </c>
      <c r="BY164" s="840" t="s">
        <v>7305</v>
      </c>
      <c r="BZ164" s="840" t="s">
        <v>7413</v>
      </c>
      <c r="CA164" s="867" t="s">
        <v>7414</v>
      </c>
      <c r="CB164" s="867" t="s">
        <v>7415</v>
      </c>
      <c r="CC164" s="867" t="s">
        <v>7416</v>
      </c>
      <c r="CD164" s="867" t="s">
        <v>7417</v>
      </c>
      <c r="CE164" s="840"/>
      <c r="CF164" s="841" t="s">
        <v>8337</v>
      </c>
      <c r="CG164" s="841" t="s">
        <v>8572</v>
      </c>
      <c r="CH164" s="841" t="s">
        <v>8546</v>
      </c>
      <c r="DA164" s="470" t="s">
        <v>6172</v>
      </c>
      <c r="DB164" s="25">
        <f ca="1">DI174</f>
        <v>0</v>
      </c>
      <c r="DC164" s="426" t="s">
        <v>6118</v>
      </c>
      <c r="DG164" s="472" t="s">
        <v>7352</v>
      </c>
      <c r="DH164" s="757" t="s">
        <v>7719</v>
      </c>
      <c r="DI164" s="525">
        <f ca="1">IF(DN128="Sim",1,0)</f>
        <v>0</v>
      </c>
      <c r="DJ164" s="20" t="s">
        <v>7720</v>
      </c>
      <c r="EM164" s="857" t="s">
        <v>36</v>
      </c>
      <c r="EN164" s="857" t="s">
        <v>37</v>
      </c>
    </row>
    <row r="165" spans="52:144" x14ac:dyDescent="0.25">
      <c r="AZ165" s="470" t="s">
        <v>6172</v>
      </c>
      <c r="BB165" s="844">
        <f ca="1">IF(BJ165&lt;&gt;BM165,1,0)</f>
        <v>0</v>
      </c>
      <c r="BC165" s="426" t="s">
        <v>6199</v>
      </c>
      <c r="BH165" s="790" t="s">
        <v>6222</v>
      </c>
      <c r="BI165" s="827">
        <f t="shared" ref="BI165:CD165" ca="1" si="36">COUNTA(INDIRECT($BJ$162&amp;BI164,1))</f>
        <v>0</v>
      </c>
      <c r="BJ165" s="827">
        <f t="shared" ca="1" si="36"/>
        <v>0</v>
      </c>
      <c r="BK165" s="827">
        <f t="shared" ca="1" si="36"/>
        <v>0</v>
      </c>
      <c r="BL165" s="827">
        <f t="shared" ca="1" si="36"/>
        <v>0</v>
      </c>
      <c r="BM165" s="827">
        <f t="shared" ca="1" si="36"/>
        <v>0</v>
      </c>
      <c r="BN165" s="827">
        <f t="shared" ca="1" si="36"/>
        <v>0</v>
      </c>
      <c r="BO165" s="827">
        <f t="shared" ca="1" si="36"/>
        <v>0</v>
      </c>
      <c r="BP165" s="827">
        <f t="shared" ca="1" si="36"/>
        <v>0</v>
      </c>
      <c r="BQ165" s="827">
        <f t="shared" ca="1" si="36"/>
        <v>0</v>
      </c>
      <c r="BR165" s="827">
        <f t="shared" ca="1" si="36"/>
        <v>0</v>
      </c>
      <c r="BS165" s="827">
        <f ca="1">COUNTA(INDIRECT($BJ$162&amp;BS164,1))</f>
        <v>1</v>
      </c>
      <c r="BT165" s="827">
        <f t="shared" ca="1" si="36"/>
        <v>0</v>
      </c>
      <c r="BU165" s="827">
        <f t="shared" ca="1" si="36"/>
        <v>0</v>
      </c>
      <c r="BV165" s="827">
        <f ca="1">COUNTA(INDIRECT($BJ$162&amp;BV164,1))</f>
        <v>0</v>
      </c>
      <c r="BW165" s="827">
        <f t="shared" ca="1" si="36"/>
        <v>0</v>
      </c>
      <c r="BX165" s="827">
        <f t="shared" ca="1" si="36"/>
        <v>0</v>
      </c>
      <c r="BY165" s="827">
        <f t="shared" ca="1" si="36"/>
        <v>0</v>
      </c>
      <c r="BZ165" s="827">
        <f t="shared" ca="1" si="36"/>
        <v>0</v>
      </c>
      <c r="CA165" s="827">
        <f t="shared" ca="1" si="36"/>
        <v>0</v>
      </c>
      <c r="CB165" s="827">
        <f t="shared" ca="1" si="36"/>
        <v>0</v>
      </c>
      <c r="CC165" s="827">
        <f t="shared" ca="1" si="36"/>
        <v>0</v>
      </c>
      <c r="CD165" s="827">
        <f t="shared" ca="1" si="36"/>
        <v>0</v>
      </c>
      <c r="CE165" s="827"/>
      <c r="CF165" s="827"/>
      <c r="CG165" s="827">
        <f t="shared" ref="CG165:CH165" ca="1" si="37">COUNTA(INDIRECT(CG164,1))</f>
        <v>1</v>
      </c>
      <c r="CH165" s="827">
        <f t="shared" ca="1" si="37"/>
        <v>1</v>
      </c>
      <c r="DA165" s="470" t="s">
        <v>6172</v>
      </c>
      <c r="DB165" s="25">
        <f ca="1">DI166</f>
        <v>0</v>
      </c>
      <c r="DC165" s="426" t="s">
        <v>6513</v>
      </c>
      <c r="DG165" s="472" t="s">
        <v>7353</v>
      </c>
      <c r="DH165" s="757" t="s">
        <v>7721</v>
      </c>
      <c r="DI165" s="525">
        <f ca="1">IF(DG136="Machos e Fêmeas",0,1)</f>
        <v>1</v>
      </c>
      <c r="DJ165" s="20" t="s">
        <v>7723</v>
      </c>
      <c r="EM165" s="484" t="s">
        <v>7765</v>
      </c>
      <c r="EN165" s="484" t="s">
        <v>7765</v>
      </c>
    </row>
    <row r="166" spans="52:144" x14ac:dyDescent="0.25">
      <c r="AZ166" s="470" t="s">
        <v>6172</v>
      </c>
      <c r="BB166" s="844">
        <f ca="1">IF(BJ165&lt;&gt;BN165,1,0)</f>
        <v>0</v>
      </c>
      <c r="BC166" s="426" t="s">
        <v>6200</v>
      </c>
      <c r="BH166" s="790" t="s">
        <v>6133</v>
      </c>
      <c r="BI166" s="827" cm="1">
        <f t="array" aca="1" ref="BI166" ca="1">INDIRECT($BJ$162&amp;BI164,1)</f>
        <v>0</v>
      </c>
      <c r="BJ166" s="827" cm="1">
        <f t="array" aca="1" ref="BJ166" ca="1">INDIRECT($BJ$162&amp;BJ164,1)</f>
        <v>0</v>
      </c>
      <c r="BK166" s="827" cm="1">
        <f t="array" aca="1" ref="BK166" ca="1">INDIRECT($BJ$162&amp;BK164,1)</f>
        <v>0</v>
      </c>
      <c r="BL166" s="827" cm="1">
        <f t="array" aca="1" ref="BL166" ca="1">INDIRECT($BJ$162&amp;BL164,1)</f>
        <v>0</v>
      </c>
      <c r="BM166" s="827" cm="1">
        <f t="array" aca="1" ref="BM166" ca="1">INDIRECT($BJ$162&amp;BM164,1)</f>
        <v>0</v>
      </c>
      <c r="BN166" s="827" cm="1">
        <f t="array" aca="1" ref="BN166" ca="1">INDIRECT($BJ$162&amp;BN164,1)</f>
        <v>0</v>
      </c>
      <c r="BO166" s="827" cm="1">
        <f t="array" aca="1" ref="BO166" ca="1">INDIRECT($BJ$162&amp;BO164,1)</f>
        <v>0</v>
      </c>
      <c r="BP166" s="827" cm="1">
        <f t="array" aca="1" ref="BP166" ca="1">INDIRECT($BJ$162&amp;BP164,1)</f>
        <v>0</v>
      </c>
      <c r="BQ166" s="827" cm="1">
        <f t="array" aca="1" ref="BQ166" ca="1">INDIRECT($BJ$162&amp;BQ164,1)</f>
        <v>0</v>
      </c>
      <c r="BR166" s="827" cm="1">
        <f t="array" aca="1" ref="BR166" ca="1">INDIRECT($BJ$162&amp;BR164,1)</f>
        <v>0</v>
      </c>
      <c r="BS166" s="827" t="str" cm="1">
        <f t="array" aca="1" ref="BS166" ca="1">INDIRECT($BJ$162&amp;BS164,1)</f>
        <v>Rattus norvegicus</v>
      </c>
      <c r="BT166" s="827" cm="1">
        <f t="array" aca="1" ref="BT166" ca="1">INDIRECT($BJ$162&amp;BT164,1)</f>
        <v>0</v>
      </c>
      <c r="BU166" s="827" cm="1">
        <f t="array" aca="1" ref="BU166" ca="1">INDIRECT($BJ$162&amp;BU164,1)</f>
        <v>0</v>
      </c>
      <c r="BV166" s="829"/>
      <c r="BW166" s="829"/>
      <c r="BX166" s="829"/>
      <c r="BY166" s="827" cm="1">
        <f t="array" aca="1" ref="BY166" ca="1">INDIRECT($BJ$162&amp;BY164,1)</f>
        <v>0</v>
      </c>
      <c r="BZ166" s="827" cm="1">
        <f t="array" aca="1" ref="BZ166" ca="1">INDIRECT($BJ$162&amp;BZ164,1)</f>
        <v>0</v>
      </c>
      <c r="CA166" s="827" cm="1">
        <f t="array" aca="1" ref="CA166" ca="1">INDIRECT($BJ$162&amp;CA164,1)</f>
        <v>0</v>
      </c>
      <c r="CB166" s="827" cm="1">
        <f t="array" aca="1" ref="CB166" ca="1">INDIRECT($BJ$162&amp;CB164,1)</f>
        <v>0</v>
      </c>
      <c r="CC166" s="827" cm="1">
        <f t="array" aca="1" ref="CC166" ca="1">INDIRECT($BJ$162&amp;CC164,1)</f>
        <v>0</v>
      </c>
      <c r="CD166" s="827" cm="1">
        <f t="array" aca="1" ref="CD166" ca="1">INDIRECT($BJ$162&amp;CD164,1)</f>
        <v>0</v>
      </c>
      <c r="CE166" s="827"/>
      <c r="CF166" s="793">
        <f ca="1">COUNTIF(INDIRECT(CF164),TRUE)</f>
        <v>0</v>
      </c>
      <c r="CG166" s="829" cm="1">
        <f t="array" aca="1" ref="CG166" ca="1">INDIRECT(CG164,1)</f>
        <v>0</v>
      </c>
      <c r="CH166" s="829" t="b" cm="1">
        <f t="array" aca="1" ref="CH166" ca="1">INDIRECT(CH164,1)</f>
        <v>0</v>
      </c>
      <c r="DA166" s="470" t="s">
        <v>6172</v>
      </c>
      <c r="DB166" s="25">
        <f ca="1">DI205</f>
        <v>0</v>
      </c>
      <c r="DC166" s="426" t="s">
        <v>6112</v>
      </c>
      <c r="DG166" s="469" t="s">
        <v>5448</v>
      </c>
      <c r="DH166" s="758" t="s">
        <v>7943</v>
      </c>
      <c r="DI166" s="759">
        <f ca="1">IF(AND(DI164=1,DI165=1),1,0)</f>
        <v>0</v>
      </c>
      <c r="DJ166" s="20" t="s">
        <v>7722</v>
      </c>
      <c r="DL166" s="516" t="s">
        <v>7791</v>
      </c>
      <c r="DR166" s="20" t="s">
        <v>7750</v>
      </c>
    </row>
    <row r="167" spans="52:144" x14ac:dyDescent="0.25">
      <c r="AZ167" s="470" t="s">
        <v>6172</v>
      </c>
      <c r="BB167" s="844">
        <f ca="1">IF(BJ165&lt;&gt;BP165,1,0)</f>
        <v>0</v>
      </c>
      <c r="BC167" s="426" t="s">
        <v>6201</v>
      </c>
      <c r="BH167" s="790"/>
      <c r="BI167" s="643"/>
      <c r="BJ167" s="643"/>
      <c r="BK167" s="643"/>
      <c r="BL167" s="643"/>
      <c r="BM167" s="643"/>
      <c r="BN167" s="643"/>
      <c r="BO167" s="643"/>
      <c r="BP167" s="643"/>
      <c r="BQ167" s="643"/>
      <c r="BR167" s="643"/>
      <c r="BS167" s="643"/>
      <c r="BT167" s="643"/>
      <c r="BU167" s="643"/>
      <c r="BV167" s="643"/>
      <c r="BW167" s="643"/>
      <c r="BX167" s="643"/>
      <c r="BY167" s="643"/>
      <c r="BZ167" s="643"/>
      <c r="CA167" s="643"/>
      <c r="CB167" s="643"/>
      <c r="CC167" s="643"/>
      <c r="CD167" s="643"/>
      <c r="CE167" s="643"/>
      <c r="CF167" s="643"/>
      <c r="CG167" s="643"/>
      <c r="CH167" s="643"/>
      <c r="DA167" s="470" t="s">
        <v>6172</v>
      </c>
      <c r="DB167" s="25">
        <f ca="1">IF(SUM(DI179:DI180)&gt;0,1,0)</f>
        <v>0</v>
      </c>
      <c r="DC167" s="426" t="s">
        <v>6117</v>
      </c>
      <c r="DG167" s="472" t="s">
        <v>7352</v>
      </c>
      <c r="DH167" s="757" t="s">
        <v>7728</v>
      </c>
      <c r="DI167" s="525">
        <f ca="1">DR106</f>
        <v>0</v>
      </c>
      <c r="DL167" s="738" t="s">
        <v>6502</v>
      </c>
      <c r="DM167" s="738" t="s">
        <v>6503</v>
      </c>
      <c r="DN167" s="738" t="s">
        <v>6504</v>
      </c>
      <c r="DO167" s="738" t="s">
        <v>6505</v>
      </c>
      <c r="DR167" s="738" t="s">
        <v>36</v>
      </c>
      <c r="DS167" s="738" t="s">
        <v>37</v>
      </c>
      <c r="EM167" s="710" t="e">
        <f t="shared" ref="EM167:EN198" si="38">IF(EC167&lt;&gt;"-",(1-(EC167/EC$166)),0)</f>
        <v>#DIV/0!</v>
      </c>
      <c r="EN167" s="710" t="e">
        <f t="shared" si="38"/>
        <v>#DIV/0!</v>
      </c>
    </row>
    <row r="168" spans="52:144" x14ac:dyDescent="0.25">
      <c r="AZ168" s="470" t="s">
        <v>6172</v>
      </c>
      <c r="BB168" s="844">
        <f ca="1">IF(BJ165&lt;&gt;BQ165,1,0)</f>
        <v>0</v>
      </c>
      <c r="BC168" s="426" t="s">
        <v>6202</v>
      </c>
      <c r="DA168" s="470" t="s">
        <v>6172</v>
      </c>
      <c r="DB168" s="25"/>
      <c r="DC168" s="426"/>
      <c r="DG168" s="472" t="s">
        <v>7353</v>
      </c>
      <c r="DH168" s="757" t="s">
        <v>7731</v>
      </c>
      <c r="DI168" s="525">
        <f ca="1">DT106</f>
        <v>0</v>
      </c>
      <c r="DL168" s="840" t="s">
        <v>5752</v>
      </c>
      <c r="DM168" s="761">
        <v>1</v>
      </c>
      <c r="DN168" s="761">
        <v>24</v>
      </c>
      <c r="DO168" s="761">
        <v>48</v>
      </c>
      <c r="DQ168" s="506" t="s">
        <v>5774</v>
      </c>
      <c r="DR168" s="861">
        <f t="shared" ref="DR168:DS175" ca="1" si="39">COUNTA(INDIRECT($DJ$102&amp;DG141,1))</f>
        <v>0</v>
      </c>
      <c r="DS168" s="861">
        <f t="shared" ca="1" si="39"/>
        <v>0</v>
      </c>
      <c r="EM168" s="710" t="e">
        <f t="shared" si="38"/>
        <v>#DIV/0!</v>
      </c>
      <c r="EN168" s="710" t="e">
        <f t="shared" si="38"/>
        <v>#DIV/0!</v>
      </c>
    </row>
    <row r="169" spans="52:144" x14ac:dyDescent="0.25">
      <c r="AZ169" s="470" t="s">
        <v>6172</v>
      </c>
      <c r="BB169" s="844">
        <f ca="1">IF(BJ165&lt;&gt;BR165,1,0)</f>
        <v>0</v>
      </c>
      <c r="BC169" s="426" t="s">
        <v>6203</v>
      </c>
      <c r="DA169" s="470" t="s">
        <v>6172</v>
      </c>
      <c r="DB169" s="25">
        <f ca="1">IF(DK136="Não",1,0)</f>
        <v>0</v>
      </c>
      <c r="DC169" s="426" t="s">
        <v>8635</v>
      </c>
      <c r="DG169" s="472" t="s">
        <v>7520</v>
      </c>
      <c r="DH169" s="757" t="s">
        <v>7724</v>
      </c>
      <c r="DI169" s="525">
        <f ca="1">IF(DV106&lt;&gt;0,DV106,DX106)</f>
        <v>0</v>
      </c>
      <c r="DL169" s="840" t="s">
        <v>5752</v>
      </c>
      <c r="DM169" s="761">
        <v>2</v>
      </c>
      <c r="DN169" s="761">
        <v>18</v>
      </c>
      <c r="DO169" s="761">
        <v>24</v>
      </c>
      <c r="DQ169" s="506" t="s">
        <v>5775</v>
      </c>
      <c r="DR169" s="861">
        <f t="shared" ca="1" si="39"/>
        <v>0</v>
      </c>
      <c r="DS169" s="861">
        <f t="shared" ca="1" si="39"/>
        <v>0</v>
      </c>
      <c r="EM169" s="710" t="e">
        <f t="shared" si="38"/>
        <v>#DIV/0!</v>
      </c>
      <c r="EN169" s="710" t="e">
        <f t="shared" si="38"/>
        <v>#DIV/0!</v>
      </c>
    </row>
    <row r="170" spans="52:144" x14ac:dyDescent="0.25">
      <c r="AZ170" s="470" t="s">
        <v>6172</v>
      </c>
      <c r="BB170" s="844">
        <f ca="1">IF(AND(BJ165=1,BS165=0),1,0)</f>
        <v>0</v>
      </c>
      <c r="BC170" s="426" t="s">
        <v>6204</v>
      </c>
      <c r="BI170" s="863" t="s">
        <v>265</v>
      </c>
      <c r="BJ170" s="863" t="s">
        <v>246</v>
      </c>
      <c r="BK170" s="863" t="s">
        <v>289</v>
      </c>
      <c r="BL170" s="863" t="s">
        <v>247</v>
      </c>
      <c r="BM170" s="863" t="s">
        <v>285</v>
      </c>
      <c r="BN170" s="863" t="s">
        <v>7311</v>
      </c>
      <c r="BO170" s="868" t="s">
        <v>7312</v>
      </c>
      <c r="BP170" s="863" t="s">
        <v>7313</v>
      </c>
      <c r="BQ170" s="863" t="s">
        <v>7314</v>
      </c>
      <c r="BR170" s="863" t="s">
        <v>268</v>
      </c>
      <c r="BS170" s="863" t="s">
        <v>267</v>
      </c>
      <c r="DA170" s="470" t="s">
        <v>6172</v>
      </c>
      <c r="DB170" s="25">
        <f ca="1">IF(DL136="Não",1,0)</f>
        <v>0</v>
      </c>
      <c r="DC170" s="426" t="s">
        <v>8636</v>
      </c>
      <c r="DG170" s="472" t="s">
        <v>7574</v>
      </c>
      <c r="DH170" s="757" t="s">
        <v>7725</v>
      </c>
      <c r="DI170" s="525">
        <f ca="1">IF(DW106&lt;&gt;0,DW106,DX106)</f>
        <v>0</v>
      </c>
      <c r="DL170" s="840" t="s">
        <v>5752</v>
      </c>
      <c r="DM170" s="761">
        <v>3</v>
      </c>
      <c r="DN170" s="761">
        <v>0</v>
      </c>
      <c r="DO170" s="761">
        <v>24</v>
      </c>
      <c r="DQ170" s="506" t="s">
        <v>134</v>
      </c>
      <c r="DR170" s="861">
        <f t="shared" ca="1" si="39"/>
        <v>0</v>
      </c>
      <c r="DS170" s="861">
        <f t="shared" ca="1" si="39"/>
        <v>0</v>
      </c>
      <c r="EM170" s="710" t="e">
        <f t="shared" si="38"/>
        <v>#DIV/0!</v>
      </c>
      <c r="EN170" s="710" t="e">
        <f t="shared" si="38"/>
        <v>#DIV/0!</v>
      </c>
    </row>
    <row r="171" spans="52:144" x14ac:dyDescent="0.25">
      <c r="AZ171" s="470" t="s">
        <v>6172</v>
      </c>
      <c r="BB171" s="844">
        <f ca="1">IF(BJ165&lt;&gt;BU165,1,0)</f>
        <v>0</v>
      </c>
      <c r="BC171" s="426" t="s">
        <v>6228</v>
      </c>
      <c r="BH171" s="790" t="s">
        <v>5778</v>
      </c>
      <c r="BI171" s="869" t="s">
        <v>7418</v>
      </c>
      <c r="BJ171" s="869" t="s">
        <v>7419</v>
      </c>
      <c r="BK171" s="869" t="s">
        <v>7420</v>
      </c>
      <c r="BL171" s="869" t="s">
        <v>7421</v>
      </c>
      <c r="BM171" s="869" t="s">
        <v>7422</v>
      </c>
      <c r="BN171" s="869" t="s">
        <v>7423</v>
      </c>
      <c r="BO171" s="870" t="s">
        <v>7424</v>
      </c>
      <c r="BP171" s="869" t="s">
        <v>7425</v>
      </c>
      <c r="BQ171" s="870" t="s">
        <v>7426</v>
      </c>
      <c r="BR171" s="869" t="s">
        <v>7427</v>
      </c>
      <c r="BS171" s="869" t="s">
        <v>7428</v>
      </c>
      <c r="DA171" s="470" t="s">
        <v>6172</v>
      </c>
      <c r="DB171" s="25">
        <f ca="1">IF(DM136="sim",1,0)</f>
        <v>0</v>
      </c>
      <c r="DC171" s="426" t="s">
        <v>8637</v>
      </c>
      <c r="DG171" s="472" t="s">
        <v>7575</v>
      </c>
      <c r="DH171" s="757" t="s">
        <v>7729</v>
      </c>
      <c r="DI171" s="525">
        <f ca="1">IFERROR(IF(DI167&lt;&gt;0,IF(DI167=DL168,VLOOKUP(DI168,DM168:DO172,2,0),VLOOKUP(DI168,DM173:DO177,2,0)),0),0)</f>
        <v>0</v>
      </c>
      <c r="DL171" s="840" t="s">
        <v>5752</v>
      </c>
      <c r="DM171" s="761">
        <v>4</v>
      </c>
      <c r="DN171" s="761">
        <v>0</v>
      </c>
      <c r="DO171" s="761">
        <v>24</v>
      </c>
      <c r="DQ171" s="506" t="s">
        <v>136</v>
      </c>
      <c r="DR171" s="861">
        <f t="shared" ca="1" si="39"/>
        <v>0</v>
      </c>
      <c r="DS171" s="861">
        <f t="shared" ca="1" si="39"/>
        <v>0</v>
      </c>
      <c r="EM171" s="710" t="e">
        <f t="shared" si="38"/>
        <v>#DIV/0!</v>
      </c>
      <c r="EN171" s="710" t="e">
        <f t="shared" si="38"/>
        <v>#DIV/0!</v>
      </c>
    </row>
    <row r="172" spans="52:144" x14ac:dyDescent="0.25">
      <c r="AZ172" s="470" t="s">
        <v>6172</v>
      </c>
      <c r="BB172" s="844">
        <f ca="1">IF(BJ173&gt;BK173,1,0)</f>
        <v>0</v>
      </c>
      <c r="BC172" s="426" t="s">
        <v>6236</v>
      </c>
      <c r="BH172" s="790" t="s">
        <v>6222</v>
      </c>
      <c r="BI172" s="827">
        <f t="shared" ref="BI172:BS172" ca="1" si="40">COUNTA(INDIRECT($BJ$162&amp;BI171,1))</f>
        <v>0</v>
      </c>
      <c r="BJ172" s="827">
        <f t="shared" ca="1" si="40"/>
        <v>0</v>
      </c>
      <c r="BK172" s="827">
        <f t="shared" ca="1" si="40"/>
        <v>0</v>
      </c>
      <c r="BL172" s="827">
        <f t="shared" ca="1" si="40"/>
        <v>0</v>
      </c>
      <c r="BM172" s="827">
        <f t="shared" ca="1" si="40"/>
        <v>0</v>
      </c>
      <c r="BN172" s="827">
        <f t="shared" ca="1" si="40"/>
        <v>0</v>
      </c>
      <c r="BO172" s="827">
        <f t="shared" ca="1" si="40"/>
        <v>0</v>
      </c>
      <c r="BP172" s="827">
        <f t="shared" ca="1" si="40"/>
        <v>0</v>
      </c>
      <c r="BQ172" s="827">
        <f t="shared" ca="1" si="40"/>
        <v>0</v>
      </c>
      <c r="BR172" s="827">
        <f t="shared" ca="1" si="40"/>
        <v>0</v>
      </c>
      <c r="BS172" s="827">
        <f t="shared" ca="1" si="40"/>
        <v>0</v>
      </c>
      <c r="DA172" s="470" t="s">
        <v>6172</v>
      </c>
      <c r="DB172" s="25">
        <f ca="1">IF(DN136="sim",1,0)</f>
        <v>0</v>
      </c>
      <c r="DC172" s="426" t="s">
        <v>8638</v>
      </c>
      <c r="DG172" s="472" t="s">
        <v>7732</v>
      </c>
      <c r="DH172" s="757" t="s">
        <v>7730</v>
      </c>
      <c r="DI172" s="525">
        <f ca="1">IFERROR(IF(DI167&lt;&gt;0,IF(DI167=DL168,VLOOKUP(DI168,DM168:DO172,3,0),VLOOKUP(DI168,DM173:DO177,3,0)),0),0)</f>
        <v>0</v>
      </c>
      <c r="DL172" s="840" t="s">
        <v>5752</v>
      </c>
      <c r="DM172" s="761">
        <v>5</v>
      </c>
      <c r="DN172" s="761">
        <v>0</v>
      </c>
      <c r="DO172" s="761">
        <v>24</v>
      </c>
      <c r="DQ172" s="506" t="s">
        <v>137</v>
      </c>
      <c r="DR172" s="861">
        <f t="shared" ca="1" si="39"/>
        <v>0</v>
      </c>
      <c r="DS172" s="861">
        <f t="shared" ca="1" si="39"/>
        <v>0</v>
      </c>
      <c r="EM172" s="710" t="e">
        <f t="shared" si="38"/>
        <v>#DIV/0!</v>
      </c>
      <c r="EN172" s="710" t="e">
        <f t="shared" si="38"/>
        <v>#DIV/0!</v>
      </c>
    </row>
    <row r="173" spans="52:144" x14ac:dyDescent="0.25">
      <c r="AZ173" s="470" t="s">
        <v>6172</v>
      </c>
      <c r="BB173" s="844">
        <f ca="1">IF(BL173&gt;BM173,1,0)</f>
        <v>0</v>
      </c>
      <c r="BC173" s="426" t="s">
        <v>6237</v>
      </c>
      <c r="BH173" s="790" t="s">
        <v>6133</v>
      </c>
      <c r="BI173" s="535"/>
      <c r="BJ173" s="828">
        <f ca="1">COUNTIF(INDIRECT($BJ$162&amp;BJ171,1),"&gt;0")</f>
        <v>0</v>
      </c>
      <c r="BK173" s="828">
        <f ca="1">COUNTIF(INDIRECT($BJ$162&amp;BK171,1),"&gt;=0")</f>
        <v>0</v>
      </c>
      <c r="BL173" s="828">
        <f ca="1">COUNTIF(INDIRECT($BJ$162&amp;BL171,1),"&gt;0")</f>
        <v>0</v>
      </c>
      <c r="BM173" s="828">
        <f ca="1">COUNTIF(INDIRECT($BJ$162&amp;BM171,1),"&gt;=0")</f>
        <v>0</v>
      </c>
      <c r="BN173" s="535"/>
      <c r="BO173" s="535"/>
      <c r="BP173" s="535"/>
      <c r="BQ173" s="535"/>
      <c r="BR173" s="535"/>
      <c r="BS173" s="535"/>
      <c r="DA173" s="470" t="s">
        <v>6172</v>
      </c>
      <c r="DB173" s="25"/>
      <c r="DC173" s="426"/>
      <c r="DG173" s="469" t="s">
        <v>5448</v>
      </c>
      <c r="DH173" s="758" t="s">
        <v>7726</v>
      </c>
      <c r="DI173" s="759">
        <f ca="1">IF(DI167&lt;&gt;0,IF(AND(DI169&gt;=DI171,DI170&lt;=DI172),0,1),0)</f>
        <v>0</v>
      </c>
      <c r="DJ173" s="20" t="s">
        <v>7727</v>
      </c>
      <c r="DL173" s="840" t="s">
        <v>5751</v>
      </c>
      <c r="DM173" s="761">
        <v>1</v>
      </c>
      <c r="DN173" s="761">
        <v>36</v>
      </c>
      <c r="DO173" s="761">
        <v>72</v>
      </c>
      <c r="DQ173" s="506" t="s">
        <v>138</v>
      </c>
      <c r="DR173" s="861">
        <f t="shared" ca="1" si="39"/>
        <v>0</v>
      </c>
      <c r="DS173" s="861">
        <f t="shared" ca="1" si="39"/>
        <v>0</v>
      </c>
      <c r="EM173" s="710" t="e">
        <f t="shared" si="38"/>
        <v>#DIV/0!</v>
      </c>
      <c r="EN173" s="710" t="e">
        <f t="shared" si="38"/>
        <v>#DIV/0!</v>
      </c>
    </row>
    <row r="174" spans="52:144" x14ac:dyDescent="0.25">
      <c r="AZ174" s="470" t="s">
        <v>6172</v>
      </c>
      <c r="BB174" s="844">
        <f ca="1">IF(
OR(BI172&lt;&gt;BN172,BI172&lt;&gt;BO172),1,0)</f>
        <v>0</v>
      </c>
      <c r="BC174" s="426" t="s">
        <v>6229</v>
      </c>
      <c r="BH174" s="790"/>
      <c r="BI174" s="535"/>
      <c r="BJ174" s="953"/>
      <c r="BK174" s="953"/>
      <c r="BL174" s="953"/>
      <c r="BM174" s="953"/>
      <c r="BN174" s="535"/>
      <c r="BO174" s="535"/>
      <c r="BP174" s="535"/>
      <c r="BQ174" s="535"/>
      <c r="BR174" s="535"/>
      <c r="BS174" s="535"/>
      <c r="DA174" s="470" t="s">
        <v>6172</v>
      </c>
      <c r="DB174" s="25">
        <f ca="1">IF(SUM(DI201:DI204)&gt;0,1,0)</f>
        <v>0</v>
      </c>
      <c r="DC174" s="426" t="s">
        <v>7940</v>
      </c>
      <c r="DG174" s="469" t="s">
        <v>5448</v>
      </c>
      <c r="DH174" s="758" t="s">
        <v>7741</v>
      </c>
      <c r="DI174" s="759">
        <f ca="1">IF(COUNTIF(DO155:DP158,1)&gt;0,1,0)</f>
        <v>0</v>
      </c>
      <c r="DJ174" s="20" t="s">
        <v>7742</v>
      </c>
      <c r="DL174" s="840" t="s">
        <v>5751</v>
      </c>
      <c r="DM174" s="761">
        <v>2</v>
      </c>
      <c r="DN174" s="761">
        <v>36</v>
      </c>
      <c r="DO174" s="761">
        <v>48</v>
      </c>
      <c r="DQ174" s="506" t="s">
        <v>7678</v>
      </c>
      <c r="DR174" s="861">
        <f t="shared" ca="1" si="39"/>
        <v>0</v>
      </c>
      <c r="DS174" s="861">
        <f t="shared" ca="1" si="39"/>
        <v>0</v>
      </c>
      <c r="EM174" s="710" t="e">
        <f t="shared" si="38"/>
        <v>#DIV/0!</v>
      </c>
      <c r="EN174" s="710" t="e">
        <f t="shared" si="38"/>
        <v>#DIV/0!</v>
      </c>
    </row>
    <row r="175" spans="52:144" x14ac:dyDescent="0.25">
      <c r="AZ175" s="470" t="s">
        <v>6172</v>
      </c>
      <c r="BB175" s="844">
        <f ca="1">IF(
OR(BI172&lt;&gt;BP172,BI172&lt;&gt;BQ172),1,0)</f>
        <v>0</v>
      </c>
      <c r="BC175" s="426" t="s">
        <v>6230</v>
      </c>
      <c r="DA175" s="470" t="s">
        <v>6172</v>
      </c>
      <c r="DB175" s="25">
        <f>IF(SUM(DI199:DJ199)&gt;0,1,0)</f>
        <v>0</v>
      </c>
      <c r="DC175" s="426" t="s">
        <v>7941</v>
      </c>
      <c r="DG175" s="469" t="s">
        <v>5448</v>
      </c>
      <c r="DH175" s="758" t="s">
        <v>7934</v>
      </c>
      <c r="DI175" s="759">
        <f ca="1">IF(AND(DQ128="sim",DG136&lt;&gt;DT128),1,0)</f>
        <v>0</v>
      </c>
      <c r="DJ175" s="20" t="s">
        <v>7935</v>
      </c>
      <c r="DL175" s="840" t="s">
        <v>5751</v>
      </c>
      <c r="DM175" s="761">
        <v>3</v>
      </c>
      <c r="DN175" s="761">
        <v>0</v>
      </c>
      <c r="DO175" s="761">
        <v>40</v>
      </c>
      <c r="DQ175" s="506" t="s">
        <v>7679</v>
      </c>
      <c r="DR175" s="861">
        <f t="shared" ca="1" si="39"/>
        <v>0</v>
      </c>
      <c r="DS175" s="861">
        <f t="shared" ca="1" si="39"/>
        <v>0</v>
      </c>
      <c r="EM175" s="710" t="e">
        <f t="shared" si="38"/>
        <v>#DIV/0!</v>
      </c>
      <c r="EN175" s="710" t="e">
        <f t="shared" si="38"/>
        <v>#DIV/0!</v>
      </c>
    </row>
    <row r="176" spans="52:144" x14ac:dyDescent="0.25">
      <c r="AZ176" s="470" t="s">
        <v>6172</v>
      </c>
      <c r="BB176" s="844">
        <f ca="1">IF(AND(BJ165&lt;&gt;0,CG166=0),1,0)</f>
        <v>0</v>
      </c>
      <c r="BC176" s="426" t="s">
        <v>6209</v>
      </c>
      <c r="DA176" s="470" t="s">
        <v>6172</v>
      </c>
      <c r="DB176" s="25">
        <f>DI200</f>
        <v>0</v>
      </c>
      <c r="DC176" s="426" t="s">
        <v>7942</v>
      </c>
      <c r="DG176" s="469"/>
      <c r="DL176" s="840" t="s">
        <v>5751</v>
      </c>
      <c r="DM176" s="761">
        <v>4</v>
      </c>
      <c r="DN176" s="761">
        <v>0</v>
      </c>
      <c r="DO176" s="761">
        <v>40</v>
      </c>
      <c r="EM176" s="710" t="e">
        <f t="shared" si="38"/>
        <v>#DIV/0!</v>
      </c>
      <c r="EN176" s="710" t="e">
        <f t="shared" si="38"/>
        <v>#DIV/0!</v>
      </c>
    </row>
    <row r="177" spans="52:144" x14ac:dyDescent="0.25">
      <c r="AZ177" s="470" t="s">
        <v>6172</v>
      </c>
      <c r="BB177" s="844">
        <f ca="1">IF(AND(BI166="Não",BJ187=1),1,0)</f>
        <v>0</v>
      </c>
      <c r="BC177" s="426" t="s">
        <v>7854</v>
      </c>
      <c r="DA177" s="470" t="s">
        <v>6172</v>
      </c>
      <c r="DB177" s="25">
        <f ca="1">DI175</f>
        <v>0</v>
      </c>
      <c r="DC177" s="426" t="s">
        <v>7936</v>
      </c>
      <c r="DG177" s="469" t="s">
        <v>5448</v>
      </c>
      <c r="DH177" s="758" t="s">
        <v>7745</v>
      </c>
      <c r="DI177" s="759">
        <f ca="1">IF(SUM(DU156:DU158)&gt;0,1,0)</f>
        <v>0</v>
      </c>
      <c r="DJ177" s="20" t="s">
        <v>7746</v>
      </c>
      <c r="DL177" s="840" t="s">
        <v>5751</v>
      </c>
      <c r="DM177" s="761">
        <v>5</v>
      </c>
      <c r="DN177" s="761">
        <v>0</v>
      </c>
      <c r="DO177" s="761">
        <v>40</v>
      </c>
      <c r="EM177" s="711" t="e">
        <f t="shared" si="38"/>
        <v>#DIV/0!</v>
      </c>
      <c r="EN177" s="711" t="e">
        <f t="shared" si="38"/>
        <v>#DIV/0!</v>
      </c>
    </row>
    <row r="178" spans="52:144" x14ac:dyDescent="0.25">
      <c r="AZ178" s="470" t="s">
        <v>6172</v>
      </c>
      <c r="BB178" s="844">
        <f ca="1">IF(AND(BI166="Não",CD165=0),1,0)</f>
        <v>0</v>
      </c>
      <c r="BC178" s="426" t="s">
        <v>6196</v>
      </c>
      <c r="BH178" s="472"/>
      <c r="BI178" s="871" t="s">
        <v>6211</v>
      </c>
      <c r="BJ178" s="525">
        <f ca="1">BR166</f>
        <v>0</v>
      </c>
      <c r="DA178" s="470" t="s">
        <v>6172</v>
      </c>
      <c r="DB178" s="25">
        <f ca="1">DI160</f>
        <v>0</v>
      </c>
      <c r="DC178" s="426" t="s">
        <v>6067</v>
      </c>
      <c r="DG178" s="469" t="s">
        <v>5448</v>
      </c>
      <c r="DH178" s="758" t="s">
        <v>7747</v>
      </c>
      <c r="DI178" s="759">
        <f ca="1">IF(SUM(DV156:DV158)&gt;0,1,0)</f>
        <v>0</v>
      </c>
      <c r="DJ178" s="20" t="s">
        <v>7748</v>
      </c>
      <c r="EM178" s="711" t="e">
        <f t="shared" si="38"/>
        <v>#DIV/0!</v>
      </c>
      <c r="EN178" s="711" t="e">
        <f t="shared" si="38"/>
        <v>#DIV/0!</v>
      </c>
    </row>
    <row r="179" spans="52:144" x14ac:dyDescent="0.25">
      <c r="AZ179" s="470" t="s">
        <v>6172</v>
      </c>
      <c r="BB179" s="25">
        <f ca="1">IF(BI166="Sim",1,0)</f>
        <v>0</v>
      </c>
      <c r="BC179" s="426" t="s">
        <v>6073</v>
      </c>
      <c r="BH179" s="469"/>
      <c r="BI179" s="872" t="s">
        <v>6223</v>
      </c>
      <c r="BJ179" s="759">
        <f ca="1">IF(BJ178&lt;&gt;0,
IF(COUNTIF($M$65:$M$94,BJ178)=0,1,0),0)</f>
        <v>0</v>
      </c>
      <c r="BK179" s="20" t="s">
        <v>6212</v>
      </c>
      <c r="BL179" s="2"/>
      <c r="BM179" s="2"/>
      <c r="BP179" s="2"/>
      <c r="BQ179" s="2"/>
      <c r="BR179" s="2"/>
      <c r="BS179" s="2"/>
      <c r="BT179" s="2"/>
      <c r="BU179" s="2"/>
      <c r="BV179" s="2"/>
      <c r="BW179" s="2"/>
      <c r="BX179" s="2"/>
      <c r="BY179" s="2"/>
      <c r="BZ179" s="2"/>
      <c r="CA179" s="2"/>
      <c r="CB179" s="2"/>
      <c r="CC179" s="2"/>
      <c r="CD179" s="2"/>
      <c r="CE179" s="2"/>
      <c r="CF179" s="2"/>
      <c r="CG179" s="2"/>
      <c r="CH179" s="2"/>
      <c r="DA179" s="470" t="s">
        <v>6172</v>
      </c>
      <c r="DB179" s="25">
        <f ca="1">DI161</f>
        <v>0</v>
      </c>
      <c r="DC179" s="426" t="s">
        <v>6210</v>
      </c>
      <c r="DG179" s="469" t="s">
        <v>5448</v>
      </c>
      <c r="DH179" s="758" t="s">
        <v>7751</v>
      </c>
      <c r="DI179" s="759">
        <f ca="1">IF(COUNTIFS(DR168:DR175,"&gt;0",DR168:DR175,"&lt;5")&gt;0,1,0)</f>
        <v>0</v>
      </c>
      <c r="DJ179" s="20" t="s">
        <v>7752</v>
      </c>
      <c r="EM179" s="711" t="e">
        <f t="shared" si="38"/>
        <v>#DIV/0!</v>
      </c>
      <c r="EN179" s="711" t="e">
        <f t="shared" si="38"/>
        <v>#DIV/0!</v>
      </c>
    </row>
    <row r="180" spans="52:144" x14ac:dyDescent="0.25">
      <c r="AZ180" s="470" t="s">
        <v>6172</v>
      </c>
      <c r="BB180" s="25">
        <f ca="1">BJ184</f>
        <v>0</v>
      </c>
      <c r="BC180" s="426" t="s">
        <v>6071</v>
      </c>
      <c r="BH180" s="472"/>
      <c r="BI180" s="871" t="s">
        <v>6178</v>
      </c>
      <c r="BJ180" s="525">
        <f ca="1">IFERROR(VLOOKUP(BJ178,$M$65:$P$94,4,0),0)</f>
        <v>0</v>
      </c>
      <c r="BL180" s="2"/>
      <c r="BM180" s="2"/>
      <c r="BP180" s="2"/>
      <c r="BQ180" s="2"/>
      <c r="BR180" s="2"/>
      <c r="BS180" s="2"/>
      <c r="BT180" s="2"/>
      <c r="BU180" s="2"/>
      <c r="BV180" s="2"/>
      <c r="BW180" s="2"/>
      <c r="BX180" s="2"/>
      <c r="BY180" s="2"/>
      <c r="BZ180" s="2"/>
      <c r="CA180" s="2"/>
      <c r="CB180" s="2"/>
      <c r="CC180" s="2"/>
      <c r="CD180" s="2"/>
      <c r="CE180" s="2"/>
      <c r="CF180" s="2"/>
      <c r="CG180" s="2"/>
      <c r="CH180" s="2"/>
      <c r="DA180" s="470" t="s">
        <v>6172</v>
      </c>
      <c r="DB180" s="25">
        <f ca="1">DI154</f>
        <v>0</v>
      </c>
      <c r="DC180" s="426" t="s">
        <v>6243</v>
      </c>
      <c r="DG180" s="469" t="s">
        <v>5448</v>
      </c>
      <c r="DH180" s="758" t="s">
        <v>7753</v>
      </c>
      <c r="DI180" s="759">
        <f ca="1">IF(COUNTIFS(DS168:DS175,"&gt;0",DS168:DS175,"&lt;5")&gt;0,1,0)</f>
        <v>0</v>
      </c>
      <c r="DJ180" s="20" t="s">
        <v>7754</v>
      </c>
      <c r="EM180" s="711" t="e">
        <f t="shared" si="38"/>
        <v>#DIV/0!</v>
      </c>
      <c r="EN180" s="711" t="e">
        <f t="shared" si="38"/>
        <v>#DIV/0!</v>
      </c>
    </row>
    <row r="181" spans="52:144" x14ac:dyDescent="0.25">
      <c r="AZ181" s="470" t="s">
        <v>6172</v>
      </c>
      <c r="BB181" s="25">
        <f ca="1">BJ194</f>
        <v>0</v>
      </c>
      <c r="BC181" s="426" t="s">
        <v>6080</v>
      </c>
      <c r="BH181" s="472"/>
      <c r="BI181" s="871" t="s">
        <v>6213</v>
      </c>
      <c r="BJ181" s="525">
        <f ca="1">BQ166</f>
        <v>0</v>
      </c>
      <c r="BT181" s="2"/>
      <c r="BU181" s="2"/>
      <c r="BV181" s="2"/>
      <c r="BW181" s="2"/>
      <c r="BX181" s="2"/>
      <c r="BY181" s="2"/>
      <c r="BZ181" s="2"/>
      <c r="CA181" s="2"/>
      <c r="CB181" s="2"/>
      <c r="CC181" s="2"/>
      <c r="CD181" s="2"/>
      <c r="CE181" s="2"/>
      <c r="CF181" s="2"/>
      <c r="CG181" s="2"/>
      <c r="CH181" s="2"/>
      <c r="DA181" s="470" t="s">
        <v>6172</v>
      </c>
      <c r="DB181" s="25">
        <f ca="1">DI157</f>
        <v>0</v>
      </c>
      <c r="DC181" s="426" t="s">
        <v>6068</v>
      </c>
      <c r="DG181" s="472" t="s">
        <v>7352</v>
      </c>
      <c r="DH181" s="757" t="s">
        <v>7756</v>
      </c>
      <c r="DI181" s="525">
        <f ca="1">DS106</f>
        <v>0</v>
      </c>
      <c r="EM181" s="711" t="e">
        <f t="shared" si="38"/>
        <v>#DIV/0!</v>
      </c>
      <c r="EN181" s="711" t="e">
        <f t="shared" si="38"/>
        <v>#DIV/0!</v>
      </c>
    </row>
    <row r="182" spans="52:144" x14ac:dyDescent="0.25">
      <c r="AZ182" s="470" t="s">
        <v>6172</v>
      </c>
      <c r="BB182" s="25">
        <f ca="1">BJ189</f>
        <v>0</v>
      </c>
      <c r="BC182" s="426" t="s">
        <v>6076</v>
      </c>
      <c r="BH182" s="469"/>
      <c r="BI182" s="872" t="s">
        <v>6179</v>
      </c>
      <c r="BJ182" s="759">
        <f ca="1">IF(BJ179&lt;&gt;1,
IF((BJ180-BJ181)&lt;0,1,0),
0)</f>
        <v>0</v>
      </c>
      <c r="BK182" s="20" t="s">
        <v>6180</v>
      </c>
      <c r="BU182" s="2"/>
      <c r="BV182" s="2"/>
      <c r="CA182" s="2"/>
      <c r="CB182" s="2"/>
      <c r="CC182" s="2"/>
      <c r="CD182" s="2"/>
      <c r="CE182" s="2"/>
      <c r="CF182" s="2"/>
      <c r="CG182" s="2"/>
      <c r="CH182" s="2"/>
      <c r="DA182" s="470" t="s">
        <v>6172</v>
      </c>
      <c r="DB182" s="25">
        <f ca="1">DI158</f>
        <v>0</v>
      </c>
      <c r="DC182" s="426" t="s">
        <v>6069</v>
      </c>
      <c r="DF182" s="873"/>
      <c r="DG182" s="472" t="s">
        <v>7353</v>
      </c>
      <c r="DH182" s="757" t="s">
        <v>7757</v>
      </c>
      <c r="DI182" s="525">
        <f ca="1">COUNTIF(DK106,"*1997*")</f>
        <v>0</v>
      </c>
      <c r="DJ182" s="20" t="s">
        <v>7758</v>
      </c>
      <c r="EM182" s="711" t="e">
        <f t="shared" si="38"/>
        <v>#DIV/0!</v>
      </c>
      <c r="EN182" s="711" t="e">
        <f t="shared" si="38"/>
        <v>#DIV/0!</v>
      </c>
    </row>
    <row r="183" spans="52:144" x14ac:dyDescent="0.25">
      <c r="AZ183" s="470" t="s">
        <v>6172</v>
      </c>
      <c r="BB183" s="25">
        <f ca="1">BJ190</f>
        <v>0</v>
      </c>
      <c r="BC183" s="426" t="s">
        <v>6077</v>
      </c>
      <c r="BH183" s="469"/>
      <c r="BI183" s="872" t="s">
        <v>7354</v>
      </c>
      <c r="BJ183" s="759">
        <f ca="1">IF(COUNTIFS($M$65:$M$94,BJ178,$AA$65:$AA$94,2)&gt;0,1,0)</f>
        <v>0</v>
      </c>
      <c r="BK183" s="20" t="s">
        <v>7355</v>
      </c>
      <c r="DA183" s="470" t="s">
        <v>6172</v>
      </c>
      <c r="DB183" s="25"/>
      <c r="DC183" s="752" t="s">
        <v>8297</v>
      </c>
      <c r="DG183" s="469" t="s">
        <v>5448</v>
      </c>
      <c r="DH183" s="758" t="s">
        <v>7755</v>
      </c>
      <c r="DI183" s="759">
        <f ca="1">IF(OR(DI181=0,DI181="Intravenosa",DI182=1),0,1)</f>
        <v>0</v>
      </c>
      <c r="DJ183" s="20" t="s">
        <v>7759</v>
      </c>
      <c r="DK183" s="20" t="s">
        <v>7072</v>
      </c>
      <c r="DL183" s="516" t="s">
        <v>7791</v>
      </c>
      <c r="EM183" s="711" t="e">
        <f t="shared" si="38"/>
        <v>#DIV/0!</v>
      </c>
      <c r="EN183" s="711" t="e">
        <f t="shared" si="38"/>
        <v>#DIV/0!</v>
      </c>
    </row>
    <row r="184" spans="52:144" x14ac:dyDescent="0.25">
      <c r="AZ184" s="470" t="s">
        <v>6172</v>
      </c>
      <c r="BB184" s="25">
        <f ca="1">BJ191</f>
        <v>0</v>
      </c>
      <c r="BC184" s="426" t="s">
        <v>6078</v>
      </c>
      <c r="BH184" s="469"/>
      <c r="BI184" s="872" t="s">
        <v>7356</v>
      </c>
      <c r="BJ184" s="767">
        <f ca="1">IF(BM166="Não",1,0)</f>
        <v>0</v>
      </c>
      <c r="BK184" s="20" t="s">
        <v>7357</v>
      </c>
      <c r="DA184" s="470" t="s">
        <v>6172</v>
      </c>
      <c r="DB184" s="22"/>
      <c r="DC184" s="752" t="s">
        <v>8297</v>
      </c>
      <c r="DG184" s="472" t="s">
        <v>7352</v>
      </c>
      <c r="DH184" s="757" t="s">
        <v>7728</v>
      </c>
      <c r="DI184" s="525">
        <f ca="1">DR106</f>
        <v>0</v>
      </c>
      <c r="DL184" s="738" t="s">
        <v>6502</v>
      </c>
      <c r="DM184" s="738" t="s">
        <v>6519</v>
      </c>
      <c r="DN184" s="738" t="s">
        <v>6522</v>
      </c>
      <c r="DO184" s="738" t="s">
        <v>6523</v>
      </c>
      <c r="DP184" s="738" t="s">
        <v>6524</v>
      </c>
      <c r="EM184" s="711" t="e">
        <f t="shared" si="38"/>
        <v>#DIV/0!</v>
      </c>
      <c r="EN184" s="711" t="e">
        <f t="shared" si="38"/>
        <v>#DIV/0!</v>
      </c>
    </row>
    <row r="185" spans="52:144" x14ac:dyDescent="0.25">
      <c r="AZ185" s="470" t="s">
        <v>6172</v>
      </c>
      <c r="BB185" s="25">
        <f ca="1">BJ192</f>
        <v>0</v>
      </c>
      <c r="BC185" s="426" t="s">
        <v>6079</v>
      </c>
      <c r="BH185" s="469"/>
      <c r="DA185" s="470" t="s">
        <v>6172</v>
      </c>
      <c r="DB185" s="22"/>
      <c r="DC185" s="752" t="s">
        <v>8297</v>
      </c>
      <c r="DG185" s="472" t="s">
        <v>7353</v>
      </c>
      <c r="DH185" s="757" t="s">
        <v>6519</v>
      </c>
      <c r="DI185" s="525">
        <f ca="1">DK106</f>
        <v>0</v>
      </c>
      <c r="DL185" s="840" t="s">
        <v>5752</v>
      </c>
      <c r="DM185" s="840" t="s">
        <v>6521</v>
      </c>
      <c r="DN185" s="841">
        <v>200</v>
      </c>
      <c r="DO185" s="841">
        <v>2000</v>
      </c>
      <c r="DP185" s="840" t="s">
        <v>5747</v>
      </c>
      <c r="EM185" s="711" t="e">
        <f t="shared" si="38"/>
        <v>#DIV/0!</v>
      </c>
      <c r="EN185" s="711" t="e">
        <f t="shared" si="38"/>
        <v>#DIV/0!</v>
      </c>
    </row>
    <row r="186" spans="52:144" x14ac:dyDescent="0.25">
      <c r="AZ186" s="470" t="s">
        <v>6172</v>
      </c>
      <c r="BB186" s="25">
        <f ca="1">BJ195</f>
        <v>0</v>
      </c>
      <c r="BC186" s="426" t="s">
        <v>6067</v>
      </c>
      <c r="BH186" s="469"/>
      <c r="BI186" s="872" t="s">
        <v>7360</v>
      </c>
      <c r="BJ186" s="767">
        <f ca="1">IF(CG166=2,
IF(COUNTIF(INDIRECT(BJ162&amp;BX164,1),"sim")&gt;0,1,0),
0)</f>
        <v>0</v>
      </c>
      <c r="BK186" s="20" t="s">
        <v>7361</v>
      </c>
      <c r="DA186" s="470" t="s">
        <v>6172</v>
      </c>
      <c r="DB186" s="22"/>
      <c r="DC186" s="752" t="s">
        <v>8297</v>
      </c>
      <c r="DG186" s="472" t="s">
        <v>7520</v>
      </c>
      <c r="DH186" s="757" t="s">
        <v>7938</v>
      </c>
      <c r="DI186" s="874" cm="1">
        <f t="array" aca="1" ref="DI186" ca="1">IFERROR(INDEX(DN185:DN190,MATCH(DI184&amp;DI185,DL185:DL190&amp;DP185:DP190,0),1),0)</f>
        <v>0</v>
      </c>
      <c r="DJ186" s="20" t="s">
        <v>7760</v>
      </c>
      <c r="DL186" s="840" t="s">
        <v>5752</v>
      </c>
      <c r="DM186" s="840" t="s">
        <v>6520</v>
      </c>
      <c r="DN186" s="841">
        <v>500</v>
      </c>
      <c r="DO186" s="841">
        <v>4000</v>
      </c>
      <c r="DP186" s="840" t="s">
        <v>5748</v>
      </c>
      <c r="EM186" s="711" t="e">
        <f t="shared" si="38"/>
        <v>#DIV/0!</v>
      </c>
      <c r="EN186" s="711" t="e">
        <f t="shared" si="38"/>
        <v>#DIV/0!</v>
      </c>
    </row>
    <row r="187" spans="52:144" x14ac:dyDescent="0.25">
      <c r="AZ187" s="470" t="s">
        <v>6172</v>
      </c>
      <c r="BB187" s="25">
        <f ca="1">BJ186</f>
        <v>0</v>
      </c>
      <c r="BC187" s="426" t="s">
        <v>6210</v>
      </c>
      <c r="BH187" s="469"/>
      <c r="BI187" s="872" t="s">
        <v>7429</v>
      </c>
      <c r="BJ187" s="767">
        <f ca="1">IF(COUNTIF(CA165:CB165,1)=0,1,0)</f>
        <v>1</v>
      </c>
      <c r="BK187" s="20" t="s">
        <v>7855</v>
      </c>
      <c r="DA187" s="470" t="s">
        <v>6172</v>
      </c>
      <c r="DB187" s="22"/>
      <c r="DC187" s="752" t="s">
        <v>8297</v>
      </c>
      <c r="DG187" s="472" t="s">
        <v>7574</v>
      </c>
      <c r="DH187" s="757" t="s">
        <v>7939</v>
      </c>
      <c r="DI187" s="875" cm="1">
        <f t="array" aca="1" ref="DI187" ca="1">IFERROR(INDEX(DO185:DO190,MATCH(DI184&amp;DI185,DL185:DL190&amp;DP185:DP190,0),1),0)</f>
        <v>0</v>
      </c>
      <c r="DJ187" s="20" t="s">
        <v>7763</v>
      </c>
      <c r="DL187" s="840" t="s">
        <v>5752</v>
      </c>
      <c r="DM187" s="840" t="s">
        <v>6520</v>
      </c>
      <c r="DN187" s="841">
        <v>500</v>
      </c>
      <c r="DO187" s="841">
        <v>4000</v>
      </c>
      <c r="DP187" s="840" t="s">
        <v>5749</v>
      </c>
      <c r="EM187" s="710" t="e">
        <f t="shared" si="38"/>
        <v>#DIV/0!</v>
      </c>
      <c r="EN187" s="710" t="e">
        <f t="shared" si="38"/>
        <v>#DIV/0!</v>
      </c>
    </row>
    <row r="188" spans="52:144" x14ac:dyDescent="0.25">
      <c r="AZ188" s="470" t="s">
        <v>6172</v>
      </c>
      <c r="BB188" s="25">
        <f ca="1">BJ179</f>
        <v>0</v>
      </c>
      <c r="BC188" s="426" t="s">
        <v>6243</v>
      </c>
      <c r="BH188" s="469"/>
      <c r="BI188" s="872" t="s">
        <v>7363</v>
      </c>
      <c r="BJ188" s="767">
        <f ca="1">IF(BY166="sim",1,0)</f>
        <v>0</v>
      </c>
      <c r="BK188" s="20" t="s">
        <v>7364</v>
      </c>
      <c r="DA188" s="470" t="s">
        <v>6172</v>
      </c>
      <c r="DB188" s="22"/>
      <c r="DC188" s="752" t="s">
        <v>8297</v>
      </c>
      <c r="DG188" s="469" t="s">
        <v>5448</v>
      </c>
      <c r="DH188" s="757" t="s">
        <v>7761</v>
      </c>
      <c r="DI188" s="759">
        <f ca="1">IF(COUNTIFS(EK167:EL246,"&gt;0",EK167:EL246,"&lt;"&amp;DI186)&gt;0,1,0)</f>
        <v>0</v>
      </c>
      <c r="DJ188" s="20" t="s">
        <v>7937</v>
      </c>
      <c r="DL188" s="840" t="s">
        <v>5751</v>
      </c>
      <c r="DM188" s="840" t="s">
        <v>6521</v>
      </c>
      <c r="DN188" s="841">
        <v>1000</v>
      </c>
      <c r="DO188" s="841">
        <v>2000</v>
      </c>
      <c r="DP188" s="840" t="s">
        <v>5747</v>
      </c>
      <c r="EM188" s="710" t="e">
        <f t="shared" si="38"/>
        <v>#DIV/0!</v>
      </c>
      <c r="EN188" s="710" t="e">
        <f t="shared" si="38"/>
        <v>#DIV/0!</v>
      </c>
    </row>
    <row r="189" spans="52:144" x14ac:dyDescent="0.25">
      <c r="AZ189" s="470" t="s">
        <v>6172</v>
      </c>
      <c r="BB189" s="25">
        <f ca="1">BJ182</f>
        <v>0</v>
      </c>
      <c r="BC189" s="426" t="s">
        <v>6068</v>
      </c>
      <c r="BH189" s="469"/>
      <c r="BI189" s="872" t="s">
        <v>6238</v>
      </c>
      <c r="BJ189" s="767">
        <f ca="1">IF(COUNTIF(INDIRECT($BJ$162&amp;BN171,1),"&lt;1")&gt;0,1,0)</f>
        <v>0</v>
      </c>
      <c r="BK189" s="20" t="s">
        <v>7432</v>
      </c>
      <c r="DA189" s="470" t="s">
        <v>6172</v>
      </c>
      <c r="DB189" s="22"/>
      <c r="DC189" s="752" t="s">
        <v>8297</v>
      </c>
      <c r="DG189" s="469" t="s">
        <v>5448</v>
      </c>
      <c r="DH189" s="757" t="s">
        <v>7762</v>
      </c>
      <c r="DI189" s="759">
        <f ca="1">IF(COUNTIFS(EE167:EF246,"&gt;0",EE167:EF246,"&lt;"&amp;DI187)&gt;0,1,0)</f>
        <v>0</v>
      </c>
      <c r="DJ189" s="20" t="s">
        <v>7773</v>
      </c>
      <c r="DL189" s="840" t="s">
        <v>5751</v>
      </c>
      <c r="DM189" s="840" t="s">
        <v>6520</v>
      </c>
      <c r="DN189" s="841">
        <v>2000</v>
      </c>
      <c r="DO189" s="841">
        <v>4000</v>
      </c>
      <c r="DP189" s="840" t="s">
        <v>5748</v>
      </c>
      <c r="EM189" s="710" t="e">
        <f t="shared" si="38"/>
        <v>#DIV/0!</v>
      </c>
      <c r="EN189" s="710" t="e">
        <f t="shared" si="38"/>
        <v>#DIV/0!</v>
      </c>
    </row>
    <row r="190" spans="52:144" x14ac:dyDescent="0.25">
      <c r="AZ190" s="470" t="s">
        <v>6172</v>
      </c>
      <c r="BB190" s="25">
        <f ca="1">BJ183</f>
        <v>0</v>
      </c>
      <c r="BC190" s="426" t="s">
        <v>6069</v>
      </c>
      <c r="BH190" s="469"/>
      <c r="BI190" s="872" t="s">
        <v>6239</v>
      </c>
      <c r="BJ190" s="767">
        <f ca="1">IF(COUNTIF(INDIRECT($BJ$162&amp;BO171,1),"&gt;4")&gt;0,1,0)</f>
        <v>0</v>
      </c>
      <c r="BK190" s="20" t="s">
        <v>7430</v>
      </c>
      <c r="DA190" s="470" t="s">
        <v>6172</v>
      </c>
      <c r="DB190" s="22"/>
      <c r="DC190" s="752" t="s">
        <v>8297</v>
      </c>
      <c r="DL190" s="840" t="s">
        <v>5751</v>
      </c>
      <c r="DM190" s="840" t="s">
        <v>6520</v>
      </c>
      <c r="DN190" s="841">
        <v>2000</v>
      </c>
      <c r="DO190" s="841">
        <v>4000</v>
      </c>
      <c r="DP190" s="840" t="s">
        <v>5749</v>
      </c>
      <c r="EM190" s="710" t="e">
        <f t="shared" si="38"/>
        <v>#DIV/0!</v>
      </c>
      <c r="EN190" s="710" t="e">
        <f t="shared" si="38"/>
        <v>#DIV/0!</v>
      </c>
    </row>
    <row r="191" spans="52:144" x14ac:dyDescent="0.25">
      <c r="AZ191" s="470" t="s">
        <v>6172</v>
      </c>
      <c r="BB191" s="525">
        <f ca="1">IF(CF166&gt;0,1,0)</f>
        <v>0</v>
      </c>
      <c r="BC191" s="426" t="s">
        <v>8330</v>
      </c>
      <c r="BH191" s="469"/>
      <c r="BI191" s="872" t="s">
        <v>6240</v>
      </c>
      <c r="BJ191" s="767">
        <f ca="1">IF(COUNTIF(INDIRECT($BJ$162&amp;BP171,1),"&lt;1,5")&gt;0,1,0)</f>
        <v>0</v>
      </c>
      <c r="BK191" s="20" t="s">
        <v>7431</v>
      </c>
      <c r="DA191" s="470" t="s">
        <v>6172</v>
      </c>
      <c r="DB191" s="22"/>
      <c r="DC191" s="752" t="s">
        <v>8297</v>
      </c>
      <c r="EM191" s="710" t="e">
        <f t="shared" si="38"/>
        <v>#DIV/0!</v>
      </c>
      <c r="EN191" s="710" t="e">
        <f t="shared" si="38"/>
        <v>#DIV/0!</v>
      </c>
    </row>
    <row r="192" spans="52:144" x14ac:dyDescent="0.25">
      <c r="AZ192" s="470" t="s">
        <v>6172</v>
      </c>
      <c r="BB192" s="426"/>
      <c r="BC192" s="752" t="s">
        <v>8297</v>
      </c>
      <c r="BH192" s="469"/>
      <c r="BI192" s="872" t="s">
        <v>6241</v>
      </c>
      <c r="BJ192" s="767">
        <f ca="1">IF(COUNTIF(INDIRECT($BJ$162&amp;BQ171,1),"&gt;3"),1,0)</f>
        <v>0</v>
      </c>
      <c r="BK192" s="20" t="s">
        <v>7433</v>
      </c>
      <c r="DA192" s="470" t="s">
        <v>6172</v>
      </c>
      <c r="DB192" s="22"/>
      <c r="DC192" s="752" t="s">
        <v>8297</v>
      </c>
      <c r="DG192" s="472" t="s">
        <v>7352</v>
      </c>
      <c r="DH192" s="757" t="s">
        <v>7768</v>
      </c>
      <c r="DI192" s="525">
        <f ca="1">EC106</f>
        <v>0</v>
      </c>
      <c r="DL192" s="738" t="s">
        <v>5764</v>
      </c>
      <c r="DM192" s="738" t="s">
        <v>6515</v>
      </c>
      <c r="DN192" s="738" t="s">
        <v>6516</v>
      </c>
      <c r="EM192" s="710" t="e">
        <f t="shared" si="38"/>
        <v>#DIV/0!</v>
      </c>
      <c r="EN192" s="710" t="e">
        <f t="shared" si="38"/>
        <v>#DIV/0!</v>
      </c>
    </row>
    <row r="193" spans="52:144" x14ac:dyDescent="0.25">
      <c r="AZ193" s="470" t="s">
        <v>6172</v>
      </c>
      <c r="BB193" s="426"/>
      <c r="BC193" s="752" t="s">
        <v>8297</v>
      </c>
      <c r="BH193" s="469"/>
      <c r="BI193" s="758"/>
      <c r="BJ193" s="767"/>
      <c r="BK193" s="20" t="s">
        <v>7853</v>
      </c>
      <c r="DA193" s="470" t="s">
        <v>6172</v>
      </c>
      <c r="DB193" s="22"/>
      <c r="DC193" s="752" t="s">
        <v>8297</v>
      </c>
      <c r="DG193" s="472" t="s">
        <v>7353</v>
      </c>
      <c r="DH193" s="757" t="s">
        <v>7766</v>
      </c>
      <c r="DI193" s="525">
        <f ca="1">IFERROR(VLOOKUP(DI192,DL193:DM194,2,0),0)</f>
        <v>0</v>
      </c>
      <c r="DJ193" s="20" t="s">
        <v>7767</v>
      </c>
      <c r="DL193" s="790" t="s">
        <v>5766</v>
      </c>
      <c r="DM193" s="876">
        <v>0.2</v>
      </c>
      <c r="DN193" s="643">
        <f ca="1">EC106</f>
        <v>0</v>
      </c>
      <c r="EM193" s="710" t="e">
        <f t="shared" si="38"/>
        <v>#DIV/0!</v>
      </c>
      <c r="EN193" s="710" t="e">
        <f t="shared" si="38"/>
        <v>#DIV/0!</v>
      </c>
    </row>
    <row r="194" spans="52:144" x14ac:dyDescent="0.25">
      <c r="AZ194" s="470" t="s">
        <v>6172</v>
      </c>
      <c r="BB194" s="426"/>
      <c r="BC194" s="752" t="s">
        <v>8297</v>
      </c>
      <c r="BH194" s="469"/>
      <c r="BI194" s="872" t="s">
        <v>7856</v>
      </c>
      <c r="BJ194" s="767">
        <f ca="1">IF(BU166="Não",1,0)</f>
        <v>0</v>
      </c>
      <c r="DA194" s="470" t="s">
        <v>6172</v>
      </c>
      <c r="DB194" s="22"/>
      <c r="DC194" s="752" t="s">
        <v>8297</v>
      </c>
      <c r="DG194" s="469" t="s">
        <v>5448</v>
      </c>
      <c r="DH194" s="758" t="s">
        <v>7769</v>
      </c>
      <c r="DI194" s="877">
        <f ca="1">IF(COUNTIF(EM187:EN246,"&gt;"&amp;DI193)&gt;0,1,0)</f>
        <v>0</v>
      </c>
      <c r="DJ194" s="20" t="s">
        <v>7770</v>
      </c>
      <c r="DL194" s="643" t="s">
        <v>5765</v>
      </c>
      <c r="DM194" s="878">
        <v>0.05</v>
      </c>
      <c r="EM194" s="710" t="e">
        <f t="shared" si="38"/>
        <v>#DIV/0!</v>
      </c>
      <c r="EN194" s="710" t="e">
        <f t="shared" si="38"/>
        <v>#DIV/0!</v>
      </c>
    </row>
    <row r="195" spans="52:144" x14ac:dyDescent="0.25">
      <c r="AZ195" s="470" t="s">
        <v>6172</v>
      </c>
      <c r="BB195" s="426"/>
      <c r="BC195" s="752" t="s">
        <v>8297</v>
      </c>
      <c r="BH195" s="469"/>
      <c r="BI195" s="758" t="s">
        <v>6067</v>
      </c>
      <c r="BJ195" s="767">
        <f ca="1">IF(CG166=2,1,0)</f>
        <v>0</v>
      </c>
      <c r="DA195" s="470" t="s">
        <v>6172</v>
      </c>
      <c r="DB195" s="22"/>
      <c r="DC195" s="752" t="s">
        <v>8297</v>
      </c>
      <c r="DG195" s="469" t="s">
        <v>5448</v>
      </c>
      <c r="DH195" s="758" t="s">
        <v>7771</v>
      </c>
      <c r="DI195" s="877">
        <f ca="1">IF(COUNTIF(EM177:EN186,"&gt;"&amp;DI193)&gt;0,1,0)</f>
        <v>0</v>
      </c>
      <c r="DJ195" s="20" t="s">
        <v>7772</v>
      </c>
      <c r="EM195" s="710" t="e">
        <f t="shared" si="38"/>
        <v>#DIV/0!</v>
      </c>
      <c r="EN195" s="710" t="e">
        <f t="shared" si="38"/>
        <v>#DIV/0!</v>
      </c>
    </row>
    <row r="196" spans="52:144" x14ac:dyDescent="0.25">
      <c r="AZ196" s="470" t="s">
        <v>6172</v>
      </c>
      <c r="BB196" s="25"/>
      <c r="BC196" s="752" t="s">
        <v>8297</v>
      </c>
      <c r="DA196" s="470" t="s">
        <v>6172</v>
      </c>
      <c r="DB196" s="25"/>
      <c r="DC196" s="752" t="s">
        <v>8297</v>
      </c>
      <c r="DG196" s="472" t="s">
        <v>7352</v>
      </c>
      <c r="DH196" s="757" t="s">
        <v>7776</v>
      </c>
      <c r="DI196" s="525">
        <f>EI153</f>
        <v>0</v>
      </c>
      <c r="DJ196" s="525">
        <f>EJ153</f>
        <v>0</v>
      </c>
      <c r="DK196" s="20" t="s">
        <v>7777</v>
      </c>
      <c r="EM196" s="710" t="e">
        <f t="shared" si="38"/>
        <v>#DIV/0!</v>
      </c>
      <c r="EN196" s="710" t="e">
        <f t="shared" si="38"/>
        <v>#DIV/0!</v>
      </c>
    </row>
    <row r="197" spans="52:144" x14ac:dyDescent="0.25">
      <c r="AZ197" s="470" t="s">
        <v>6172</v>
      </c>
      <c r="BB197" s="25"/>
      <c r="BC197" s="752" t="s">
        <v>8297</v>
      </c>
      <c r="DA197" s="470" t="s">
        <v>6172</v>
      </c>
      <c r="DB197" s="25"/>
      <c r="DC197" s="752" t="s">
        <v>8297</v>
      </c>
      <c r="DG197" s="472" t="s">
        <v>7353</v>
      </c>
      <c r="DH197" s="757" t="s">
        <v>7775</v>
      </c>
      <c r="DI197" s="525">
        <f>EI154</f>
        <v>0</v>
      </c>
      <c r="DJ197" s="525">
        <f>EJ154</f>
        <v>0</v>
      </c>
      <c r="DK197" s="20" t="s">
        <v>7778</v>
      </c>
      <c r="DL197" s="516" t="s">
        <v>6528</v>
      </c>
      <c r="EM197" s="711" t="e">
        <f t="shared" si="38"/>
        <v>#DIV/0!</v>
      </c>
      <c r="EN197" s="711" t="e">
        <f t="shared" si="38"/>
        <v>#DIV/0!</v>
      </c>
    </row>
    <row r="198" spans="52:144" x14ac:dyDescent="0.25">
      <c r="AZ198" s="470" t="s">
        <v>6172</v>
      </c>
      <c r="BB198" s="25"/>
      <c r="BC198" s="752" t="s">
        <v>8297</v>
      </c>
      <c r="DA198" s="470" t="s">
        <v>6172</v>
      </c>
      <c r="DB198" s="25"/>
      <c r="DC198" s="752" t="s">
        <v>8297</v>
      </c>
      <c r="DG198" s="472" t="s">
        <v>7520</v>
      </c>
      <c r="DH198" s="757" t="s">
        <v>7774</v>
      </c>
      <c r="DI198" s="525"/>
      <c r="DJ198" s="525"/>
      <c r="DK198" s="20" t="s">
        <v>7777</v>
      </c>
      <c r="DL198" s="838" t="s">
        <v>6525</v>
      </c>
      <c r="DM198" s="838" t="s">
        <v>6526</v>
      </c>
      <c r="DN198" s="838" t="s">
        <v>6527</v>
      </c>
      <c r="DO198" s="838" t="s">
        <v>6529</v>
      </c>
      <c r="EM198" s="711" t="e">
        <f t="shared" si="38"/>
        <v>#DIV/0!</v>
      </c>
      <c r="EN198" s="711" t="e">
        <f t="shared" si="38"/>
        <v>#DIV/0!</v>
      </c>
    </row>
    <row r="199" spans="52:144" x14ac:dyDescent="0.25">
      <c r="AZ199" s="470" t="s">
        <v>6172</v>
      </c>
      <c r="BB199" s="25"/>
      <c r="BC199" s="752" t="s">
        <v>8297</v>
      </c>
      <c r="DA199" s="470" t="s">
        <v>6172</v>
      </c>
      <c r="DB199" s="25"/>
      <c r="DC199" s="752" t="s">
        <v>8297</v>
      </c>
      <c r="DG199" s="469" t="s">
        <v>5448</v>
      </c>
      <c r="DH199" s="758" t="s">
        <v>7780</v>
      </c>
      <c r="DI199" s="759">
        <f>IF(DI196&lt;&gt;0,IF(DI196&gt;=DI197,1,0),0)</f>
        <v>0</v>
      </c>
      <c r="DJ199" s="759">
        <f>IF(DJ196&lt;&gt;0,IF(DJ196&gt;=DJ197,1,0),0)</f>
        <v>0</v>
      </c>
      <c r="DK199" s="20" t="s">
        <v>7781</v>
      </c>
      <c r="DL199" s="776">
        <f ca="1">IFERROR(SMALL(INDIRECT($DH$102&amp;DH118,1),1),0)</f>
        <v>0</v>
      </c>
      <c r="DM199" s="776">
        <f ca="1">IFERROR(SMALL(INDIRECT($DH$102&amp;DI118,1),1),0)</f>
        <v>0</v>
      </c>
      <c r="DN199" s="776">
        <f ca="1">IFERROR(SMALL(INDIRECT($DH$102&amp;DJ118,1),1),0)</f>
        <v>0</v>
      </c>
      <c r="DO199" s="776">
        <f ca="1">IFERROR(SMALL(INDIRECT($DH$102&amp;DK118,1),1),0)</f>
        <v>0</v>
      </c>
      <c r="EM199" s="711" t="e">
        <f t="shared" ref="EM199:EN230" si="41">IF(EC199&lt;&gt;"-",(1-(EC199/EC$166)),0)</f>
        <v>#DIV/0!</v>
      </c>
      <c r="EN199" s="711" t="e">
        <f t="shared" si="41"/>
        <v>#DIV/0!</v>
      </c>
    </row>
    <row r="200" spans="52:144" x14ac:dyDescent="0.25">
      <c r="AZ200" s="470" t="s">
        <v>6172</v>
      </c>
      <c r="BB200" s="25"/>
      <c r="BC200" s="752" t="s">
        <v>8297</v>
      </c>
      <c r="DA200" s="470" t="s">
        <v>6172</v>
      </c>
      <c r="DB200" s="25"/>
      <c r="DC200" s="752" t="s">
        <v>8297</v>
      </c>
      <c r="DG200" s="469" t="s">
        <v>5448</v>
      </c>
      <c r="DH200" s="758" t="s">
        <v>7779</v>
      </c>
      <c r="DI200" s="759">
        <f>IF(DI197&lt;&gt;0,IF(DI198&gt;=DI197,1,0),0)</f>
        <v>0</v>
      </c>
      <c r="DJ200" s="759">
        <f>IF(DJ197&lt;&gt;0,IF(DJ198&gt;=DJ197,1,0),0)</f>
        <v>0</v>
      </c>
      <c r="DK200" s="20" t="s">
        <v>7782</v>
      </c>
      <c r="DL200" s="776">
        <f ca="1">IFERROR(LARGE(INDIRECT($DH$102&amp;DH118,1),1),0)</f>
        <v>0</v>
      </c>
      <c r="DM200" s="776">
        <f ca="1">IFERROR(LARGE(INDIRECT($DH$102&amp;DI118,1),1),0)</f>
        <v>0</v>
      </c>
      <c r="DN200" s="776">
        <f ca="1">IFERROR(LARGE(INDIRECT($DH$102&amp;DJ118,1),1),0)</f>
        <v>0</v>
      </c>
      <c r="DO200" s="776">
        <f ca="1">IFERROR(LARGE(INDIRECT($DH$102&amp;DK118,1),1),0)</f>
        <v>0</v>
      </c>
      <c r="EM200" s="711" t="e">
        <f t="shared" si="41"/>
        <v>#DIV/0!</v>
      </c>
      <c r="EN200" s="711" t="e">
        <f t="shared" si="41"/>
        <v>#DIV/0!</v>
      </c>
    </row>
    <row r="201" spans="52:144" ht="15.75" thickBot="1" x14ac:dyDescent="0.3">
      <c r="AZ201" s="470" t="s">
        <v>6172</v>
      </c>
      <c r="BB201" s="821" t="s">
        <v>27</v>
      </c>
      <c r="BC201" s="821"/>
      <c r="BD201" s="730"/>
      <c r="BE201" s="730"/>
      <c r="BF201" s="730"/>
      <c r="BG201" s="730"/>
      <c r="BH201" s="730"/>
      <c r="BI201" s="730"/>
      <c r="BJ201" s="730"/>
      <c r="BK201" s="730"/>
      <c r="BL201" s="730"/>
      <c r="BM201" s="730"/>
      <c r="BN201" s="730"/>
      <c r="BO201" s="730"/>
      <c r="BP201" s="730"/>
      <c r="BQ201" s="730"/>
      <c r="BR201" s="730"/>
      <c r="BS201" s="730"/>
      <c r="BT201" s="730"/>
      <c r="BU201" s="730"/>
      <c r="BV201" s="730"/>
      <c r="BW201" s="730"/>
      <c r="BX201" s="730"/>
      <c r="BY201" s="730"/>
      <c r="BZ201" s="730"/>
      <c r="CA201" s="730"/>
      <c r="CB201" s="730"/>
      <c r="CC201" s="730"/>
      <c r="CD201" s="730"/>
      <c r="CE201" s="730"/>
      <c r="CF201" s="730"/>
      <c r="CG201" s="730"/>
      <c r="CH201" s="730"/>
      <c r="CI201" s="730"/>
      <c r="DA201" s="470" t="s">
        <v>6172</v>
      </c>
      <c r="DB201" s="25"/>
      <c r="DC201" s="752" t="s">
        <v>8297</v>
      </c>
      <c r="DG201" s="469" t="s">
        <v>5448</v>
      </c>
      <c r="DH201" s="758" t="s">
        <v>7783</v>
      </c>
      <c r="DI201" s="759">
        <f ca="1">IF(DL212=1,1,0)</f>
        <v>0</v>
      </c>
      <c r="DJ201" s="20" t="s">
        <v>7787</v>
      </c>
      <c r="EM201" s="711" t="e">
        <f t="shared" si="41"/>
        <v>#DIV/0!</v>
      </c>
      <c r="EN201" s="711" t="e">
        <f t="shared" si="41"/>
        <v>#DIV/0!</v>
      </c>
    </row>
    <row r="202" spans="52:144" x14ac:dyDescent="0.25">
      <c r="AZ202" s="470" t="s">
        <v>6172</v>
      </c>
      <c r="BB202" s="477" t="s">
        <v>8104</v>
      </c>
      <c r="BC202" s="477" t="s">
        <v>8294</v>
      </c>
      <c r="BI202" s="733" t="s">
        <v>7321</v>
      </c>
      <c r="BJ202" s="797" t="s">
        <v>5575</v>
      </c>
      <c r="BO202" s="475"/>
      <c r="BP202" s="475"/>
      <c r="BQ202" s="475"/>
      <c r="BR202" s="475"/>
      <c r="BS202" s="475"/>
      <c r="BT202" s="475"/>
      <c r="BU202" s="475"/>
      <c r="BV202" s="475"/>
      <c r="BW202" s="475"/>
      <c r="BX202" s="475"/>
      <c r="BY202" s="475"/>
      <c r="BZ202" s="475"/>
      <c r="CA202" s="475"/>
      <c r="CB202" s="475"/>
      <c r="CC202" s="475"/>
      <c r="CD202" s="475"/>
      <c r="CE202" s="475"/>
      <c r="CF202" s="475"/>
      <c r="CG202" s="475"/>
      <c r="DA202" s="470" t="s">
        <v>6172</v>
      </c>
      <c r="DB202" s="25"/>
      <c r="DC202" s="752" t="s">
        <v>8297</v>
      </c>
      <c r="DG202" s="469" t="s">
        <v>5448</v>
      </c>
      <c r="DH202" s="758" t="s">
        <v>7784</v>
      </c>
      <c r="DI202" s="759">
        <f ca="1">IF(DM212=1,1,0)</f>
        <v>0</v>
      </c>
      <c r="DJ202" s="20" t="s">
        <v>7788</v>
      </c>
      <c r="DL202" s="516" t="s">
        <v>5759</v>
      </c>
      <c r="EM202" s="711" t="e">
        <f t="shared" si="41"/>
        <v>#DIV/0!</v>
      </c>
      <c r="EN202" s="711" t="e">
        <f t="shared" si="41"/>
        <v>#DIV/0!</v>
      </c>
    </row>
    <row r="203" spans="52:144" x14ac:dyDescent="0.25">
      <c r="AZ203" s="470" t="s">
        <v>6172</v>
      </c>
      <c r="BB203" s="844">
        <f ca="1">IF(
AND(BN206="Sim",CN206="Não"),1,0)</f>
        <v>0</v>
      </c>
      <c r="BC203" s="426" t="s">
        <v>6075</v>
      </c>
      <c r="BI203" s="863" t="s">
        <v>7434</v>
      </c>
      <c r="BJ203" s="863" t="s">
        <v>6519</v>
      </c>
      <c r="BK203" s="863" t="s">
        <v>6537</v>
      </c>
      <c r="BL203" s="863" t="s">
        <v>6538</v>
      </c>
      <c r="BM203" s="863" t="s">
        <v>143</v>
      </c>
      <c r="BN203" s="863" t="s">
        <v>5589</v>
      </c>
      <c r="BO203" s="864" t="s">
        <v>30</v>
      </c>
      <c r="BP203" s="864" t="s">
        <v>6174</v>
      </c>
      <c r="BQ203" s="864" t="s">
        <v>6173</v>
      </c>
      <c r="BR203" s="864" t="s">
        <v>6029</v>
      </c>
      <c r="BS203" s="864" t="s">
        <v>218</v>
      </c>
      <c r="BT203" s="864" t="s">
        <v>6183</v>
      </c>
      <c r="BU203" s="864" t="s">
        <v>6184</v>
      </c>
      <c r="BV203" s="864" t="s">
        <v>31</v>
      </c>
      <c r="BW203" s="864" t="s">
        <v>5720</v>
      </c>
      <c r="BX203" s="864" t="s">
        <v>85</v>
      </c>
      <c r="BY203" s="864" t="s">
        <v>235</v>
      </c>
      <c r="BZ203" s="879" t="s">
        <v>312</v>
      </c>
      <c r="CA203" s="879" t="s">
        <v>6244</v>
      </c>
      <c r="CB203" s="879" t="s">
        <v>60</v>
      </c>
      <c r="CC203" s="879" t="s">
        <v>322</v>
      </c>
      <c r="CD203" s="879" t="s">
        <v>309</v>
      </c>
      <c r="CE203" s="879" t="s">
        <v>305</v>
      </c>
      <c r="CF203" s="879" t="s">
        <v>6246</v>
      </c>
      <c r="CG203" s="879" t="s">
        <v>6247</v>
      </c>
      <c r="CH203" s="738" t="s">
        <v>293</v>
      </c>
      <c r="CI203" s="738" t="s">
        <v>301</v>
      </c>
      <c r="CJ203" s="738" t="s">
        <v>302</v>
      </c>
      <c r="CK203" s="864"/>
      <c r="CL203" s="864" t="s">
        <v>143</v>
      </c>
      <c r="CM203" s="864" t="s">
        <v>6189</v>
      </c>
      <c r="CN203" s="738"/>
      <c r="CO203" s="880" t="s">
        <v>6245</v>
      </c>
      <c r="CP203" s="738" t="s">
        <v>6187</v>
      </c>
      <c r="DA203" s="470" t="s">
        <v>6172</v>
      </c>
      <c r="DB203" s="25"/>
      <c r="DC203" s="752" t="s">
        <v>8297</v>
      </c>
      <c r="DG203" s="469" t="s">
        <v>5448</v>
      </c>
      <c r="DH203" s="758" t="s">
        <v>7785</v>
      </c>
      <c r="DI203" s="759">
        <f ca="1">IF(DN212=1,1,0)</f>
        <v>0</v>
      </c>
      <c r="DJ203" s="20" t="s">
        <v>7789</v>
      </c>
      <c r="DL203" s="838" t="s">
        <v>6525</v>
      </c>
      <c r="DM203" s="838" t="s">
        <v>6526</v>
      </c>
      <c r="DN203" s="838" t="s">
        <v>6527</v>
      </c>
      <c r="DO203" s="838" t="s">
        <v>6529</v>
      </c>
      <c r="EM203" s="711" t="e">
        <f t="shared" si="41"/>
        <v>#DIV/0!</v>
      </c>
      <c r="EN203" s="711" t="e">
        <f t="shared" si="41"/>
        <v>#DIV/0!</v>
      </c>
    </row>
    <row r="204" spans="52:144" x14ac:dyDescent="0.25">
      <c r="AZ204" s="470" t="s">
        <v>6172</v>
      </c>
      <c r="BB204" s="844">
        <f ca="1">IF(BO205&lt;&gt;BP205,1,0)</f>
        <v>0</v>
      </c>
      <c r="BC204" s="426" t="s">
        <v>6197</v>
      </c>
      <c r="BH204" s="790" t="s">
        <v>5778</v>
      </c>
      <c r="BI204" s="597" t="s">
        <v>1592</v>
      </c>
      <c r="BJ204" s="881" t="s">
        <v>7435</v>
      </c>
      <c r="BK204" s="881" t="s">
        <v>7436</v>
      </c>
      <c r="BL204" s="709" t="s">
        <v>7437</v>
      </c>
      <c r="BM204" s="833" t="s">
        <v>1223</v>
      </c>
      <c r="BN204" s="882" t="s">
        <v>6553</v>
      </c>
      <c r="BO204" s="882" t="s">
        <v>6552</v>
      </c>
      <c r="BP204" s="882" t="s">
        <v>7441</v>
      </c>
      <c r="BQ204" s="882" t="s">
        <v>7442</v>
      </c>
      <c r="BR204" s="883" t="s">
        <v>7443</v>
      </c>
      <c r="BS204" s="882" t="s">
        <v>7444</v>
      </c>
      <c r="BT204" s="882" t="s">
        <v>7445</v>
      </c>
      <c r="BU204" s="884" t="s">
        <v>7446</v>
      </c>
      <c r="BV204" s="884" t="s">
        <v>7447</v>
      </c>
      <c r="BW204" s="883" t="s">
        <v>7341</v>
      </c>
      <c r="BX204" s="882" t="s">
        <v>7342</v>
      </c>
      <c r="BY204" s="883" t="s">
        <v>7448</v>
      </c>
      <c r="BZ204" s="885" t="s">
        <v>7449</v>
      </c>
      <c r="CA204" s="886" t="s">
        <v>7450</v>
      </c>
      <c r="CB204" s="887" t="s">
        <v>7451</v>
      </c>
      <c r="CC204" s="885" t="s">
        <v>7452</v>
      </c>
      <c r="CD204" s="886" t="s">
        <v>7453</v>
      </c>
      <c r="CE204" s="885" t="s">
        <v>7454</v>
      </c>
      <c r="CF204" s="886" t="s">
        <v>8539</v>
      </c>
      <c r="CG204" s="886" t="s">
        <v>7456</v>
      </c>
      <c r="CH204" s="888" t="s">
        <v>7438</v>
      </c>
      <c r="CI204" s="888" t="s">
        <v>7439</v>
      </c>
      <c r="CJ204" s="888" t="s">
        <v>7440</v>
      </c>
      <c r="CK204" s="886"/>
      <c r="CL204" s="886" t="s">
        <v>7457</v>
      </c>
      <c r="CM204" s="886" t="s">
        <v>7458</v>
      </c>
      <c r="CN204" s="746"/>
      <c r="CO204" s="905" t="s">
        <v>8547</v>
      </c>
      <c r="CP204" s="709" t="s">
        <v>8548</v>
      </c>
      <c r="DA204" s="470" t="s">
        <v>6172</v>
      </c>
      <c r="DB204" s="25"/>
      <c r="DC204" s="752" t="s">
        <v>8297</v>
      </c>
      <c r="DG204" s="469" t="s">
        <v>5448</v>
      </c>
      <c r="DH204" s="758" t="s">
        <v>7786</v>
      </c>
      <c r="DI204" s="759">
        <f ca="1">IF(DO212=1,1,0)</f>
        <v>0</v>
      </c>
      <c r="DJ204" s="20" t="s">
        <v>7790</v>
      </c>
      <c r="DK204" s="20" t="s">
        <v>260</v>
      </c>
      <c r="DL204" s="776">
        <f ca="1">IFERROR(SMALL(INDIRECT($DH$102&amp;DP118,1),1),0)</f>
        <v>0</v>
      </c>
      <c r="DM204" s="776">
        <f ca="1">IFERROR(SMALL(INDIRECT($DH$102&amp;DQ118,1),1),0)</f>
        <v>0</v>
      </c>
      <c r="DN204" s="776">
        <f ca="1">IFERROR(SMALL(INDIRECT($DH$102&amp;DR118,1),1),0)</f>
        <v>0</v>
      </c>
      <c r="DO204" s="776">
        <f ca="1">IFERROR(SMALL(INDIRECT($DH$102&amp;DS118,1),1),0)</f>
        <v>0</v>
      </c>
      <c r="EM204" s="711" t="e">
        <f t="shared" si="41"/>
        <v>#DIV/0!</v>
      </c>
      <c r="EN204" s="711" t="e">
        <f t="shared" si="41"/>
        <v>#DIV/0!</v>
      </c>
    </row>
    <row r="205" spans="52:144" x14ac:dyDescent="0.25">
      <c r="AZ205" s="470" t="s">
        <v>6172</v>
      </c>
      <c r="BB205" s="844">
        <f ca="1">IF(BO205&lt;&gt;BQ205,1,0)</f>
        <v>0</v>
      </c>
      <c r="BC205" s="426" t="s">
        <v>6198</v>
      </c>
      <c r="BH205" s="889" t="s">
        <v>6222</v>
      </c>
      <c r="BI205" s="597">
        <f t="shared" ref="BI205:CM205" ca="1" si="42">COUNTA(INDIRECT($BJ$202&amp;BI204,1))</f>
        <v>0</v>
      </c>
      <c r="BJ205" s="597">
        <f t="shared" ca="1" si="42"/>
        <v>0</v>
      </c>
      <c r="BK205" s="597">
        <f t="shared" ca="1" si="42"/>
        <v>0</v>
      </c>
      <c r="BL205" s="597">
        <f t="shared" ca="1" si="42"/>
        <v>0</v>
      </c>
      <c r="BM205" s="597">
        <f t="shared" ca="1" si="42"/>
        <v>0</v>
      </c>
      <c r="BN205" s="597">
        <f t="shared" ca="1" si="42"/>
        <v>0</v>
      </c>
      <c r="BO205" s="597">
        <f t="shared" ca="1" si="42"/>
        <v>0</v>
      </c>
      <c r="BP205" s="597">
        <f t="shared" ca="1" si="42"/>
        <v>0</v>
      </c>
      <c r="BQ205" s="597">
        <f t="shared" ca="1" si="42"/>
        <v>0</v>
      </c>
      <c r="BR205" s="597">
        <f t="shared" ca="1" si="42"/>
        <v>0</v>
      </c>
      <c r="BS205" s="597">
        <f t="shared" ca="1" si="42"/>
        <v>0</v>
      </c>
      <c r="BT205" s="597">
        <f t="shared" ca="1" si="42"/>
        <v>0</v>
      </c>
      <c r="BU205" s="597">
        <f t="shared" ca="1" si="42"/>
        <v>0</v>
      </c>
      <c r="BV205" s="597">
        <f t="shared" ca="1" si="42"/>
        <v>0</v>
      </c>
      <c r="BW205" s="597">
        <f t="shared" ca="1" si="42"/>
        <v>0</v>
      </c>
      <c r="BX205" s="597">
        <f t="shared" ca="1" si="42"/>
        <v>1</v>
      </c>
      <c r="BY205" s="597">
        <f t="shared" ca="1" si="42"/>
        <v>0</v>
      </c>
      <c r="BZ205" s="597">
        <f t="shared" ca="1" si="42"/>
        <v>0</v>
      </c>
      <c r="CA205" s="597">
        <f t="shared" ca="1" si="42"/>
        <v>0</v>
      </c>
      <c r="CB205" s="597">
        <f t="shared" ca="1" si="42"/>
        <v>0</v>
      </c>
      <c r="CC205" s="597">
        <f t="shared" ca="1" si="42"/>
        <v>0</v>
      </c>
      <c r="CD205" s="597">
        <f t="shared" ca="1" si="42"/>
        <v>0</v>
      </c>
      <c r="CE205" s="597">
        <f t="shared" ca="1" si="42"/>
        <v>0</v>
      </c>
      <c r="CF205" s="597">
        <f t="shared" ca="1" si="42"/>
        <v>0</v>
      </c>
      <c r="CG205" s="597">
        <f t="shared" ca="1" si="42"/>
        <v>0</v>
      </c>
      <c r="CH205" s="597">
        <f t="shared" ca="1" si="42"/>
        <v>0</v>
      </c>
      <c r="CI205" s="597">
        <f t="shared" ca="1" si="42"/>
        <v>0</v>
      </c>
      <c r="CJ205" s="597">
        <f t="shared" ca="1" si="42"/>
        <v>0</v>
      </c>
      <c r="CK205" s="597"/>
      <c r="CL205" s="597">
        <f t="shared" ca="1" si="42"/>
        <v>0</v>
      </c>
      <c r="CM205" s="597">
        <f t="shared" ca="1" si="42"/>
        <v>0</v>
      </c>
      <c r="CN205" s="597"/>
      <c r="CO205" s="597">
        <f ca="1">COUNTIF(INDIRECT(CO204),TRUE)</f>
        <v>0</v>
      </c>
      <c r="CP205" s="597">
        <f t="shared" ref="CP205" ca="1" si="43">COUNTA(INDIRECT(CP204,1))</f>
        <v>1</v>
      </c>
      <c r="DA205" s="470" t="s">
        <v>6172</v>
      </c>
      <c r="DB205" s="25"/>
      <c r="DC205" s="752" t="s">
        <v>8297</v>
      </c>
      <c r="DG205" s="469" t="s">
        <v>5448</v>
      </c>
      <c r="DH205" s="758" t="s">
        <v>7959</v>
      </c>
      <c r="DI205" s="759">
        <f ca="1">IF(
          AND(DG105=1,DI152=0,
              COUNTIF(DY155:DZ160,"&gt;2000")&gt;0),
1,0)</f>
        <v>0</v>
      </c>
      <c r="DJ205" s="20" t="s">
        <v>7792</v>
      </c>
      <c r="DK205" s="20" t="s">
        <v>261</v>
      </c>
      <c r="DL205" s="776">
        <f ca="1">IFERROR(LARGE(INDIRECT($DH$102&amp;DP118,1),1),0)</f>
        <v>0</v>
      </c>
      <c r="DM205" s="776">
        <f ca="1">IFERROR(LARGE(INDIRECT($DH$102&amp;DQ118,1),1),0)</f>
        <v>0</v>
      </c>
      <c r="DN205" s="776">
        <f ca="1">IFERROR(LARGE(INDIRECT($DH$102&amp;DR118,1),1),0)</f>
        <v>0</v>
      </c>
      <c r="DO205" s="776">
        <f ca="1">IFERROR(LARGE(INDIRECT($DH$102&amp;DS118,1),1),0)</f>
        <v>0</v>
      </c>
      <c r="EM205" s="711" t="e">
        <f t="shared" si="41"/>
        <v>#DIV/0!</v>
      </c>
      <c r="EN205" s="711" t="e">
        <f t="shared" si="41"/>
        <v>#DIV/0!</v>
      </c>
    </row>
    <row r="206" spans="52:144" x14ac:dyDescent="0.25">
      <c r="AZ206" s="470" t="s">
        <v>6172</v>
      </c>
      <c r="BB206" s="844">
        <f ca="1">IF(BO205&lt;&gt;BR205,1,0)</f>
        <v>0</v>
      </c>
      <c r="BC206" s="426" t="s">
        <v>6199</v>
      </c>
      <c r="BH206" s="790" t="s">
        <v>6133</v>
      </c>
      <c r="BI206" s="597" cm="1">
        <f t="array" aca="1" ref="BI206" ca="1">INDIRECT($BJ$202&amp;BI204,1)</f>
        <v>0</v>
      </c>
      <c r="BJ206" s="709"/>
      <c r="BK206" s="709"/>
      <c r="BL206" s="709"/>
      <c r="BM206" s="597" cm="1">
        <f t="array" aca="1" ref="BM206" ca="1">INDIRECT($BJ$202&amp;BM204,1)</f>
        <v>0</v>
      </c>
      <c r="BN206" s="597" cm="1">
        <f t="array" aca="1" ref="BN206" ca="1">INDIRECT($BJ$202&amp;BN204,1)</f>
        <v>0</v>
      </c>
      <c r="BO206" s="597" cm="1">
        <f t="array" aca="1" ref="BO206" ca="1">INDIRECT($BJ$202&amp;BO204,1)</f>
        <v>0</v>
      </c>
      <c r="BP206" s="597" cm="1">
        <f t="array" aca="1" ref="BP206" ca="1">INDIRECT($BJ$202&amp;BP204,1)</f>
        <v>0</v>
      </c>
      <c r="BQ206" s="597" cm="1">
        <f t="array" aca="1" ref="BQ206" ca="1">INDIRECT($BJ$202&amp;BQ204,1)</f>
        <v>0</v>
      </c>
      <c r="BR206" s="597" cm="1">
        <f t="array" aca="1" ref="BR206" ca="1">INDIRECT($BJ$202&amp;BR204,1)</f>
        <v>0</v>
      </c>
      <c r="BS206" s="597" cm="1">
        <f t="array" aca="1" ref="BS206" ca="1">INDIRECT($BJ$202&amp;BS204,1)</f>
        <v>0</v>
      </c>
      <c r="BT206" s="597" cm="1">
        <f t="array" aca="1" ref="BT206" ca="1">INDIRECT($BJ$202&amp;BT204,1)</f>
        <v>0</v>
      </c>
      <c r="BU206" s="597" cm="1">
        <f t="array" aca="1" ref="BU206" ca="1">INDIRECT($BJ$202&amp;BU204,1)</f>
        <v>0</v>
      </c>
      <c r="BV206" s="597" cm="1">
        <f t="array" aca="1" ref="BV206" ca="1">INDIRECT($BJ$202&amp;BV204,1)</f>
        <v>0</v>
      </c>
      <c r="BW206" s="597" cm="1">
        <f t="array" aca="1" ref="BW206" ca="1">INDIRECT($BJ$202&amp;BW204,1)</f>
        <v>0</v>
      </c>
      <c r="BX206" s="597" t="str" cm="1">
        <f t="array" aca="1" ref="BX206" ca="1">INDIRECT($BJ$202&amp;BX204,1)</f>
        <v>Oryctolagus cuniculus</v>
      </c>
      <c r="BY206" s="597" cm="1">
        <f t="array" aca="1" ref="BY206" ca="1">INDIRECT($BJ$202&amp;BY204,1)</f>
        <v>0</v>
      </c>
      <c r="BZ206" s="597" cm="1">
        <f t="array" aca="1" ref="BZ206" ca="1">INDIRECT($BJ$202&amp;BZ204,1)</f>
        <v>0</v>
      </c>
      <c r="CA206" s="597" cm="1">
        <f t="array" aca="1" ref="CA206" ca="1">INDIRECT($BJ$202&amp;CA204,1)</f>
        <v>0</v>
      </c>
      <c r="CB206" s="597" cm="1">
        <f t="array" aca="1" ref="CB206" ca="1">INDIRECT($BJ$202&amp;CB204,1)</f>
        <v>0</v>
      </c>
      <c r="CC206" s="597" cm="1">
        <f t="array" aca="1" ref="CC206" ca="1">INDIRECT($BJ$202&amp;CC204,1)</f>
        <v>0</v>
      </c>
      <c r="CD206" s="597" cm="1">
        <f t="array" aca="1" ref="CD206" ca="1">INDIRECT($BJ$202&amp;CD204,1)</f>
        <v>0</v>
      </c>
      <c r="CE206" s="597" cm="1">
        <f t="array" aca="1" ref="CE206" ca="1">INDIRECT($BJ$202&amp;CE204,1)</f>
        <v>0</v>
      </c>
      <c r="CF206" s="597" cm="1">
        <f t="array" aca="1" ref="CF206" ca="1">INDIRECT($BJ$202&amp;CF204,1)</f>
        <v>0</v>
      </c>
      <c r="CG206" s="597" cm="1">
        <f t="array" aca="1" ref="CG206" ca="1">INDIRECT($BJ$202&amp;CG204,1)</f>
        <v>0</v>
      </c>
      <c r="CH206" s="709"/>
      <c r="CI206" s="709"/>
      <c r="CJ206" s="709"/>
      <c r="CK206" s="597"/>
      <c r="CL206" s="597" cm="1">
        <f t="array" aca="1" ref="CL206" ca="1">INDIRECT($BJ$202&amp;CL204,1)</f>
        <v>0</v>
      </c>
      <c r="CM206" s="597" cm="1">
        <f t="array" aca="1" ref="CM206" ca="1">INDIRECT($BJ$202&amp;CM204,1)</f>
        <v>0</v>
      </c>
      <c r="CN206" s="597"/>
      <c r="CO206" s="597"/>
      <c r="CP206" s="597" cm="1">
        <f t="array" aca="1" ref="CP206" ca="1">INDIRECT(CP204,1)</f>
        <v>0</v>
      </c>
      <c r="DA206" s="470" t="s">
        <v>6172</v>
      </c>
      <c r="DB206" s="25"/>
      <c r="DC206" s="752" t="s">
        <v>8297</v>
      </c>
      <c r="EM206" s="711" t="e">
        <f t="shared" si="41"/>
        <v>#DIV/0!</v>
      </c>
      <c r="EN206" s="711" t="e">
        <f t="shared" si="41"/>
        <v>#DIV/0!</v>
      </c>
    </row>
    <row r="207" spans="52:144" x14ac:dyDescent="0.25">
      <c r="AZ207" s="470" t="s">
        <v>6172</v>
      </c>
      <c r="BB207" s="844">
        <f ca="1">IF(BO205&lt;&gt;BS205,1,0)</f>
        <v>0</v>
      </c>
      <c r="BC207" s="426" t="s">
        <v>6200</v>
      </c>
      <c r="DA207" s="470" t="s">
        <v>6172</v>
      </c>
      <c r="DB207" s="25"/>
      <c r="DC207" s="752" t="s">
        <v>8297</v>
      </c>
      <c r="DL207" s="516" t="s">
        <v>5972</v>
      </c>
      <c r="EM207" s="710" t="e">
        <f t="shared" si="41"/>
        <v>#DIV/0!</v>
      </c>
      <c r="EN207" s="710" t="e">
        <f t="shared" si="41"/>
        <v>#DIV/0!</v>
      </c>
    </row>
    <row r="208" spans="52:144" x14ac:dyDescent="0.25">
      <c r="AZ208" s="470" t="s">
        <v>6172</v>
      </c>
      <c r="BB208" s="844">
        <f ca="1">IF(BO205&lt;&gt;BU205,1,0)</f>
        <v>0</v>
      </c>
      <c r="BC208" s="426" t="s">
        <v>6201</v>
      </c>
      <c r="DA208" s="470" t="s">
        <v>6172</v>
      </c>
      <c r="DL208" s="838" t="s">
        <v>6525</v>
      </c>
      <c r="DM208" s="838" t="s">
        <v>6526</v>
      </c>
      <c r="DN208" s="838" t="s">
        <v>6527</v>
      </c>
      <c r="DO208" s="838" t="s">
        <v>6529</v>
      </c>
      <c r="EM208" s="710" t="e">
        <f t="shared" si="41"/>
        <v>#DIV/0!</v>
      </c>
      <c r="EN208" s="710" t="e">
        <f t="shared" si="41"/>
        <v>#DIV/0!</v>
      </c>
    </row>
    <row r="209" spans="52:144" x14ac:dyDescent="0.25">
      <c r="AZ209" s="470" t="s">
        <v>6172</v>
      </c>
      <c r="BB209" s="844">
        <f ca="1">IF(BO205&lt;&gt;BV205,1,0)</f>
        <v>0</v>
      </c>
      <c r="BC209" s="426" t="s">
        <v>6202</v>
      </c>
      <c r="DA209" s="470" t="s">
        <v>6172</v>
      </c>
      <c r="DK209" s="20" t="s">
        <v>260</v>
      </c>
      <c r="DL209" s="890">
        <f t="shared" ref="DL209:DO210" ca="1" si="44">IF(DL199&lt;&gt;0,DL199,
IF(DL204&lt;&gt;0,DL204,0))</f>
        <v>0</v>
      </c>
      <c r="DM209" s="890">
        <f t="shared" ca="1" si="44"/>
        <v>0</v>
      </c>
      <c r="DN209" s="890">
        <f t="shared" ca="1" si="44"/>
        <v>0</v>
      </c>
      <c r="DO209" s="890">
        <f t="shared" ca="1" si="44"/>
        <v>0</v>
      </c>
      <c r="EM209" s="710" t="e">
        <f t="shared" si="41"/>
        <v>#DIV/0!</v>
      </c>
      <c r="EN209" s="710" t="e">
        <f t="shared" si="41"/>
        <v>#DIV/0!</v>
      </c>
    </row>
    <row r="210" spans="52:144" x14ac:dyDescent="0.25">
      <c r="AZ210" s="470" t="s">
        <v>6172</v>
      </c>
      <c r="BB210" s="844">
        <f ca="1">IF(BO205&lt;&gt;BW205,1,0)</f>
        <v>0</v>
      </c>
      <c r="BC210" s="426" t="s">
        <v>6203</v>
      </c>
      <c r="BI210" s="863" t="s">
        <v>6250</v>
      </c>
      <c r="BJ210" s="863" t="s">
        <v>6251</v>
      </c>
      <c r="BK210" s="863" t="s">
        <v>6252</v>
      </c>
      <c r="BL210" s="863" t="s">
        <v>6253</v>
      </c>
      <c r="BM210" s="863" t="s">
        <v>6255</v>
      </c>
      <c r="BN210" s="863" t="s">
        <v>6256</v>
      </c>
      <c r="BO210" s="863" t="s">
        <v>6257</v>
      </c>
      <c r="BP210" s="863" t="s">
        <v>6258</v>
      </c>
      <c r="BQ210" s="863" t="s">
        <v>6254</v>
      </c>
      <c r="BR210" s="863" t="s">
        <v>6259</v>
      </c>
      <c r="BS210" s="863" t="s">
        <v>6260</v>
      </c>
      <c r="BT210" s="863" t="s">
        <v>6261</v>
      </c>
      <c r="BU210" s="863" t="s">
        <v>6262</v>
      </c>
      <c r="BV210" s="863" t="s">
        <v>6263</v>
      </c>
      <c r="BW210" s="863" t="s">
        <v>6264</v>
      </c>
      <c r="DA210" s="470" t="s">
        <v>6172</v>
      </c>
      <c r="DK210" s="20" t="s">
        <v>261</v>
      </c>
      <c r="DL210" s="890">
        <f t="shared" ca="1" si="44"/>
        <v>0</v>
      </c>
      <c r="DM210" s="890">
        <f t="shared" ca="1" si="44"/>
        <v>0</v>
      </c>
      <c r="DN210" s="890">
        <f t="shared" ca="1" si="44"/>
        <v>0</v>
      </c>
      <c r="DO210" s="890">
        <f t="shared" ca="1" si="44"/>
        <v>0</v>
      </c>
      <c r="EM210" s="710" t="e">
        <f t="shared" si="41"/>
        <v>#DIV/0!</v>
      </c>
      <c r="EN210" s="710" t="e">
        <f t="shared" si="41"/>
        <v>#DIV/0!</v>
      </c>
    </row>
    <row r="211" spans="52:144" x14ac:dyDescent="0.25">
      <c r="AZ211" s="470" t="s">
        <v>6172</v>
      </c>
      <c r="BB211" s="844">
        <f ca="1">IF(AND(BO205=1,BX205=0),1,0)</f>
        <v>0</v>
      </c>
      <c r="BC211" s="426" t="s">
        <v>6204</v>
      </c>
      <c r="BH211" s="790" t="s">
        <v>5778</v>
      </c>
      <c r="BI211" s="743" t="s">
        <v>7376</v>
      </c>
      <c r="BJ211" s="743" t="s">
        <v>7461</v>
      </c>
      <c r="BK211" s="743" t="s">
        <v>7462</v>
      </c>
      <c r="BL211" s="743" t="s">
        <v>7966</v>
      </c>
      <c r="BM211" s="743" t="s">
        <v>7967</v>
      </c>
      <c r="BN211" s="743" t="s">
        <v>7968</v>
      </c>
      <c r="BO211" s="743" t="s">
        <v>7969</v>
      </c>
      <c r="BP211" s="743" t="s">
        <v>7970</v>
      </c>
      <c r="BQ211" s="743" t="s">
        <v>7971</v>
      </c>
      <c r="BR211" s="743" t="s">
        <v>7972</v>
      </c>
      <c r="BS211" s="743" t="s">
        <v>7973</v>
      </c>
      <c r="BT211" s="743" t="s">
        <v>7974</v>
      </c>
      <c r="BU211" s="743" t="s">
        <v>7975</v>
      </c>
      <c r="BV211" s="743" t="s">
        <v>7976</v>
      </c>
      <c r="BW211" s="743" t="s">
        <v>7977</v>
      </c>
      <c r="DA211" s="470" t="s">
        <v>6172</v>
      </c>
      <c r="DK211" s="20" t="s">
        <v>6530</v>
      </c>
      <c r="DL211" s="891">
        <f>IFERROR(SUM(EG167:EG176)/SUM(EE167:EE176),0)</f>
        <v>0</v>
      </c>
      <c r="DM211" s="891">
        <f>IFERROR(SUM(EH167:EH176)/SUM(EF167:EF176),0)</f>
        <v>0</v>
      </c>
      <c r="DN211" s="891">
        <f>IFERROR(SUM(EG177:EG186)/SUM(EE177:EE186),0)</f>
        <v>0</v>
      </c>
      <c r="DO211" s="891">
        <f>IFERROR(SUM(EH177:EH186)/SUM(EF177:EF186),0)</f>
        <v>0</v>
      </c>
      <c r="EM211" s="710" t="e">
        <f t="shared" si="41"/>
        <v>#DIV/0!</v>
      </c>
      <c r="EN211" s="710" t="e">
        <f t="shared" si="41"/>
        <v>#DIV/0!</v>
      </c>
    </row>
    <row r="212" spans="52:144" x14ac:dyDescent="0.25">
      <c r="AZ212" s="470" t="s">
        <v>6172</v>
      </c>
      <c r="BB212" s="844">
        <f ca="1">IF(BO205&lt;&gt;BZ205,1,0)</f>
        <v>0</v>
      </c>
      <c r="BC212" s="426" t="s">
        <v>6266</v>
      </c>
      <c r="BH212" s="889" t="s">
        <v>6222</v>
      </c>
      <c r="BI212" s="597">
        <f t="shared" ref="BI212:BW212" ca="1" si="45">COUNTA(INDIRECT($BJ$202&amp;BI211,1))</f>
        <v>0</v>
      </c>
      <c r="BJ212" s="597">
        <f t="shared" ca="1" si="45"/>
        <v>0</v>
      </c>
      <c r="BK212" s="597">
        <f t="shared" ca="1" si="45"/>
        <v>0</v>
      </c>
      <c r="BL212" s="597">
        <f t="shared" ca="1" si="45"/>
        <v>0</v>
      </c>
      <c r="BM212" s="597">
        <f t="shared" ca="1" si="45"/>
        <v>0</v>
      </c>
      <c r="BN212" s="597">
        <f t="shared" ca="1" si="45"/>
        <v>0</v>
      </c>
      <c r="BO212" s="597">
        <f t="shared" ca="1" si="45"/>
        <v>0</v>
      </c>
      <c r="BP212" s="597">
        <f t="shared" ca="1" si="45"/>
        <v>0</v>
      </c>
      <c r="BQ212" s="597">
        <f t="shared" ca="1" si="45"/>
        <v>0</v>
      </c>
      <c r="BR212" s="597">
        <f t="shared" ca="1" si="45"/>
        <v>0</v>
      </c>
      <c r="BS212" s="597">
        <f t="shared" ca="1" si="45"/>
        <v>0</v>
      </c>
      <c r="BT212" s="597">
        <f t="shared" ca="1" si="45"/>
        <v>0</v>
      </c>
      <c r="BU212" s="597">
        <f t="shared" ca="1" si="45"/>
        <v>0</v>
      </c>
      <c r="BV212" s="597">
        <f t="shared" ca="1" si="45"/>
        <v>0</v>
      </c>
      <c r="BW212" s="597">
        <f t="shared" ca="1" si="45"/>
        <v>0</v>
      </c>
      <c r="DA212" s="470" t="s">
        <v>6172</v>
      </c>
      <c r="DK212" s="20" t="s">
        <v>18</v>
      </c>
      <c r="DL212" s="643">
        <f ca="1">IF(AND(DL209&lt;&gt;0,DL211&lt;&gt;0),
IF(OR(DL211&lt;DL209,DL211&gt;DL210),1,0),0)</f>
        <v>0</v>
      </c>
      <c r="DM212" s="643">
        <f ca="1">IF(AND(DM209&lt;&gt;0,DM211&lt;&gt;0),
IF(OR(DM211&lt;DM209,DM211&gt;DM210),1,0),0)</f>
        <v>0</v>
      </c>
      <c r="DN212" s="643">
        <f ca="1">IF(AND(DN209&lt;&gt;0,DN211&lt;&gt;0),
IF(OR(DN211&lt;DN209,DN211&gt;DN210),1,0),0)</f>
        <v>0</v>
      </c>
      <c r="DO212" s="643">
        <f ca="1">IF(AND(DO209&lt;&gt;0,DO211&lt;&gt;0),
IF(OR(DO211&lt;DO209,DO211&gt;DO210),1,0),0)</f>
        <v>0</v>
      </c>
      <c r="EM212" s="710" t="e">
        <f t="shared" si="41"/>
        <v>#DIV/0!</v>
      </c>
      <c r="EN212" s="710" t="e">
        <f t="shared" si="41"/>
        <v>#DIV/0!</v>
      </c>
    </row>
    <row r="213" spans="52:144" x14ac:dyDescent="0.25">
      <c r="AZ213" s="470" t="s">
        <v>6172</v>
      </c>
      <c r="BB213" s="844">
        <f ca="1">IF(BZ205&lt;&gt;CA205,1,0)</f>
        <v>0</v>
      </c>
      <c r="BC213" s="426" t="s">
        <v>6267</v>
      </c>
      <c r="BH213" s="790" t="s">
        <v>6133</v>
      </c>
      <c r="BI213" s="535"/>
      <c r="BJ213" s="535"/>
      <c r="BK213" s="535"/>
      <c r="BL213" s="535"/>
      <c r="BM213" s="535"/>
      <c r="BN213" s="535"/>
      <c r="BO213" s="535"/>
      <c r="BP213" s="535"/>
      <c r="BQ213" s="535"/>
      <c r="BR213" s="535"/>
      <c r="BS213" s="535"/>
      <c r="BT213" s="535"/>
      <c r="BU213" s="535"/>
      <c r="BV213" s="535"/>
      <c r="BW213" s="535"/>
      <c r="DA213" s="470" t="s">
        <v>6172</v>
      </c>
      <c r="EM213" s="710" t="e">
        <f t="shared" si="41"/>
        <v>#DIV/0!</v>
      </c>
      <c r="EN213" s="710" t="e">
        <f t="shared" si="41"/>
        <v>#DIV/0!</v>
      </c>
    </row>
    <row r="214" spans="52:144" x14ac:dyDescent="0.25">
      <c r="AZ214" s="470" t="s">
        <v>6172</v>
      </c>
      <c r="BB214" s="844">
        <f ca="1">IF(BO205&lt;&gt;CB205,1,0)</f>
        <v>0</v>
      </c>
      <c r="BC214" s="426" t="s">
        <v>6268</v>
      </c>
      <c r="DA214" s="470" t="s">
        <v>6172</v>
      </c>
      <c r="DL214" s="472"/>
      <c r="DM214" s="472"/>
      <c r="DN214" s="472"/>
      <c r="DO214" s="472"/>
      <c r="EM214" s="710" t="e">
        <f t="shared" si="41"/>
        <v>#DIV/0!</v>
      </c>
      <c r="EN214" s="710" t="e">
        <f t="shared" si="41"/>
        <v>#DIV/0!</v>
      </c>
    </row>
    <row r="215" spans="52:144" x14ac:dyDescent="0.25">
      <c r="AZ215" s="470" t="s">
        <v>6172</v>
      </c>
      <c r="BB215" s="844">
        <f ca="1">IF(AND(CB206="sim",CC205=0),1,0)</f>
        <v>0</v>
      </c>
      <c r="BC215" s="426" t="s">
        <v>6269</v>
      </c>
      <c r="DA215" s="470" t="s">
        <v>6172</v>
      </c>
      <c r="DL215" s="472" t="s">
        <v>7831</v>
      </c>
      <c r="DM215" s="472"/>
      <c r="DN215" s="472"/>
      <c r="DO215" s="472"/>
      <c r="EM215" s="710" t="e">
        <f t="shared" si="41"/>
        <v>#DIV/0!</v>
      </c>
      <c r="EN215" s="710" t="e">
        <f t="shared" si="41"/>
        <v>#DIV/0!</v>
      </c>
    </row>
    <row r="216" spans="52:144" x14ac:dyDescent="0.25">
      <c r="AZ216" s="470" t="s">
        <v>6172</v>
      </c>
      <c r="BB216" s="844">
        <f ca="1">IF(BO205&lt;&gt;CE205,1,0)</f>
        <v>0</v>
      </c>
      <c r="BC216" s="426" t="s">
        <v>6270</v>
      </c>
      <c r="DA216" s="470" t="s">
        <v>6172</v>
      </c>
      <c r="DL216" s="472" t="s">
        <v>123</v>
      </c>
      <c r="DM216" s="472"/>
      <c r="DN216" s="472" t="s">
        <v>7832</v>
      </c>
      <c r="DO216" s="472"/>
      <c r="DP216" s="605" t="s">
        <v>7839</v>
      </c>
      <c r="EM216" s="710" t="e">
        <f t="shared" si="41"/>
        <v>#DIV/0!</v>
      </c>
      <c r="EN216" s="710" t="e">
        <f t="shared" si="41"/>
        <v>#DIV/0!</v>
      </c>
    </row>
    <row r="217" spans="52:144" x14ac:dyDescent="0.25">
      <c r="AZ217" s="470" t="s">
        <v>6172</v>
      </c>
      <c r="BB217" s="844">
        <f ca="1">IF(OR(
AND(BI212=0,BL212&gt;0),
AND(BJ212=0,BP212&gt;0),
AND(BK212=0,BT212&gt;0)),
1,0)</f>
        <v>0</v>
      </c>
      <c r="BC217" s="426" t="s">
        <v>6271</v>
      </c>
      <c r="BH217" s="472"/>
      <c r="BI217" s="757" t="s">
        <v>7850</v>
      </c>
      <c r="BJ217" s="525">
        <f ca="1">IF(BO205=1,1,0)</f>
        <v>0</v>
      </c>
      <c r="DA217" s="470" t="s">
        <v>6172</v>
      </c>
      <c r="DK217" s="506"/>
      <c r="DL217" s="892" t="s">
        <v>36</v>
      </c>
      <c r="DM217" s="892" t="s">
        <v>37</v>
      </c>
      <c r="DN217" s="892" t="s">
        <v>36</v>
      </c>
      <c r="DO217" s="892" t="s">
        <v>37</v>
      </c>
      <c r="DP217" s="893" t="s">
        <v>36</v>
      </c>
      <c r="DQ217" s="893"/>
      <c r="DR217" s="893" t="s">
        <v>37</v>
      </c>
      <c r="DS217" s="893"/>
      <c r="EM217" s="711" t="e">
        <f t="shared" si="41"/>
        <v>#DIV/0!</v>
      </c>
      <c r="EN217" s="711" t="e">
        <f t="shared" si="41"/>
        <v>#DIV/0!</v>
      </c>
    </row>
    <row r="218" spans="52:144" x14ac:dyDescent="0.25">
      <c r="AZ218" s="470" t="s">
        <v>6172</v>
      </c>
      <c r="BB218" s="844">
        <f ca="1">BJ231</f>
        <v>0</v>
      </c>
      <c r="BC218" s="426" t="s">
        <v>6272</v>
      </c>
      <c r="BH218" s="472"/>
      <c r="BI218" s="871" t="s">
        <v>6211</v>
      </c>
      <c r="BJ218" s="525">
        <f ca="1">BW206</f>
        <v>0</v>
      </c>
      <c r="DA218" s="470" t="s">
        <v>6172</v>
      </c>
      <c r="DK218" s="645" t="s">
        <v>134</v>
      </c>
      <c r="DL218" s="525" t="s">
        <v>7825</v>
      </c>
      <c r="DM218" s="525" t="s">
        <v>7833</v>
      </c>
      <c r="DN218" s="525" cm="1">
        <f t="array" aca="1" ref="DN218" ca="1">INDIRECT($DH$102&amp;DL218,1)</f>
        <v>0</v>
      </c>
      <c r="DO218" s="525" cm="1">
        <f t="array" aca="1" ref="DO218" ca="1">INDIRECT($DH$102&amp;DM218,1)</f>
        <v>0</v>
      </c>
      <c r="DP218" s="759">
        <f t="shared" ref="DP218:DP223" ca="1" si="46">IF(DN218&lt;&gt;"-",IF(OR(DN218&lt;$DL$209,DN218&gt;$DL$210),1,0),0)</f>
        <v>0</v>
      </c>
      <c r="DQ218" s="759"/>
      <c r="DR218" s="759">
        <f t="shared" ref="DR218:DR223" ca="1" si="47">IF(DO218&lt;&gt;"-",IF(OR(DO218&lt;$DM$209,DO218&gt;$DM$210),1,0),0)</f>
        <v>0</v>
      </c>
      <c r="DS218" s="759"/>
      <c r="EM218" s="711" t="e">
        <f t="shared" si="41"/>
        <v>#DIV/0!</v>
      </c>
      <c r="EN218" s="711" t="e">
        <f t="shared" si="41"/>
        <v>#DIV/0!</v>
      </c>
    </row>
    <row r="219" spans="52:144" x14ac:dyDescent="0.25">
      <c r="AZ219" s="470" t="s">
        <v>6172</v>
      </c>
      <c r="BB219" s="844">
        <f ca="1">IF(AND(BO205=1,CO205=0),1,0)</f>
        <v>0</v>
      </c>
      <c r="BC219" s="426" t="s">
        <v>6284</v>
      </c>
      <c r="BH219" s="469"/>
      <c r="BI219" s="872" t="s">
        <v>6223</v>
      </c>
      <c r="BJ219" s="759">
        <f ca="1">IF(BJ218&lt;&gt;0,
IF(COUNTIF($M$65:$M$94,BJ218)=0,1,0),0)</f>
        <v>0</v>
      </c>
      <c r="DA219" s="470" t="s">
        <v>6172</v>
      </c>
      <c r="DK219" s="645" t="s">
        <v>136</v>
      </c>
      <c r="DL219" s="525" t="s">
        <v>7826</v>
      </c>
      <c r="DM219" s="525" t="s">
        <v>7834</v>
      </c>
      <c r="DN219" s="525" cm="1">
        <f t="array" aca="1" ref="DN219" ca="1">INDIRECT($DH$102&amp;DL219,1)</f>
        <v>0</v>
      </c>
      <c r="DO219" s="525" cm="1">
        <f t="array" aca="1" ref="DO219" ca="1">INDIRECT($DH$102&amp;DM219,1)</f>
        <v>0</v>
      </c>
      <c r="DP219" s="759">
        <f t="shared" ca="1" si="46"/>
        <v>0</v>
      </c>
      <c r="DQ219" s="759"/>
      <c r="DR219" s="759">
        <f t="shared" ca="1" si="47"/>
        <v>0</v>
      </c>
      <c r="DS219" s="759"/>
      <c r="EM219" s="711" t="e">
        <f t="shared" si="41"/>
        <v>#DIV/0!</v>
      </c>
      <c r="EN219" s="711" t="e">
        <f t="shared" si="41"/>
        <v>#DIV/0!</v>
      </c>
    </row>
    <row r="220" spans="52:144" x14ac:dyDescent="0.25">
      <c r="AZ220" s="470" t="s">
        <v>6172</v>
      </c>
      <c r="BB220" s="844">
        <f ca="1">IF(BO205&lt;&gt;CF205,1,0)</f>
        <v>0</v>
      </c>
      <c r="BC220" s="426" t="s">
        <v>6273</v>
      </c>
      <c r="BH220" s="472"/>
      <c r="BI220" s="871" t="s">
        <v>6178</v>
      </c>
      <c r="BJ220" s="525">
        <f ca="1">IFERROR(VLOOKUP(BJ218,$M$65:$P$94,4,0),0)</f>
        <v>0</v>
      </c>
      <c r="DA220" s="470" t="s">
        <v>6172</v>
      </c>
      <c r="DK220" s="645" t="s">
        <v>137</v>
      </c>
      <c r="DL220" s="525" t="s">
        <v>7827</v>
      </c>
      <c r="DM220" s="525" t="s">
        <v>7835</v>
      </c>
      <c r="DN220" s="525" cm="1">
        <f t="array" aca="1" ref="DN220" ca="1">INDIRECT($DH$102&amp;DL220,1)</f>
        <v>0</v>
      </c>
      <c r="DO220" s="525" cm="1">
        <f t="array" aca="1" ref="DO220" ca="1">INDIRECT($DH$102&amp;DM220,1)</f>
        <v>0</v>
      </c>
      <c r="DP220" s="759">
        <f t="shared" ca="1" si="46"/>
        <v>0</v>
      </c>
      <c r="DQ220" s="759"/>
      <c r="DR220" s="759">
        <f t="shared" ca="1" si="47"/>
        <v>0</v>
      </c>
      <c r="DS220" s="759"/>
      <c r="EM220" s="711" t="e">
        <f t="shared" si="41"/>
        <v>#DIV/0!</v>
      </c>
      <c r="EN220" s="711" t="e">
        <f t="shared" si="41"/>
        <v>#DIV/0!</v>
      </c>
    </row>
    <row r="221" spans="52:144" x14ac:dyDescent="0.25">
      <c r="AZ221" s="470" t="s">
        <v>6172</v>
      </c>
      <c r="BB221" s="844">
        <f ca="1">IF(AND(BO205&lt;&gt;0,CP206=0),1,0)</f>
        <v>0</v>
      </c>
      <c r="BC221" s="426" t="s">
        <v>6209</v>
      </c>
      <c r="BH221" s="472"/>
      <c r="BI221" s="871" t="s">
        <v>6213</v>
      </c>
      <c r="BJ221" s="525">
        <f ca="1">BV206</f>
        <v>0</v>
      </c>
      <c r="DA221" s="470" t="s">
        <v>6172</v>
      </c>
      <c r="DK221" s="645" t="s">
        <v>138</v>
      </c>
      <c r="DL221" s="525" t="s">
        <v>7828</v>
      </c>
      <c r="DM221" s="525" t="s">
        <v>7836</v>
      </c>
      <c r="DN221" s="525" cm="1">
        <f t="array" aca="1" ref="DN221" ca="1">INDIRECT($DH$102&amp;DL221,1)</f>
        <v>0</v>
      </c>
      <c r="DO221" s="525" cm="1">
        <f t="array" aca="1" ref="DO221" ca="1">INDIRECT($DH$102&amp;DM221,1)</f>
        <v>0</v>
      </c>
      <c r="DP221" s="759">
        <f t="shared" ca="1" si="46"/>
        <v>0</v>
      </c>
      <c r="DQ221" s="759"/>
      <c r="DR221" s="759">
        <f t="shared" ca="1" si="47"/>
        <v>0</v>
      </c>
      <c r="DS221" s="759"/>
      <c r="EM221" s="711" t="e">
        <f t="shared" si="41"/>
        <v>#DIV/0!</v>
      </c>
      <c r="EN221" s="711" t="e">
        <f t="shared" si="41"/>
        <v>#DIV/0!</v>
      </c>
    </row>
    <row r="222" spans="52:144" x14ac:dyDescent="0.25">
      <c r="AZ222" s="470" t="s">
        <v>6172</v>
      </c>
      <c r="BB222" s="844">
        <f ca="1">IF(BO205&lt;&gt;CM205,1,0)</f>
        <v>0</v>
      </c>
      <c r="BC222" s="426" t="s">
        <v>6196</v>
      </c>
      <c r="BH222" s="469"/>
      <c r="BI222" s="872" t="s">
        <v>6179</v>
      </c>
      <c r="BJ222" s="759">
        <f ca="1">IF(BJ219&lt;&gt;1,
IF((BJ220-BJ221)&lt;0,1,0),
0)</f>
        <v>0</v>
      </c>
      <c r="DA222" s="470" t="s">
        <v>6172</v>
      </c>
      <c r="DK222" s="645" t="s">
        <v>7678</v>
      </c>
      <c r="DL222" s="525" t="s">
        <v>7829</v>
      </c>
      <c r="DM222" s="525" t="s">
        <v>7837</v>
      </c>
      <c r="DN222" s="525" cm="1">
        <f t="array" aca="1" ref="DN222" ca="1">INDIRECT($DH$102&amp;DL222,1)</f>
        <v>0</v>
      </c>
      <c r="DO222" s="525" cm="1">
        <f t="array" aca="1" ref="DO222" ca="1">INDIRECT($DH$102&amp;DM222,1)</f>
        <v>0</v>
      </c>
      <c r="DP222" s="759">
        <f t="shared" ca="1" si="46"/>
        <v>0</v>
      </c>
      <c r="DQ222" s="759"/>
      <c r="DR222" s="759">
        <f t="shared" ca="1" si="47"/>
        <v>0</v>
      </c>
      <c r="DS222" s="759"/>
      <c r="EM222" s="711" t="e">
        <f t="shared" si="41"/>
        <v>#DIV/0!</v>
      </c>
      <c r="EN222" s="711" t="e">
        <f t="shared" si="41"/>
        <v>#DIV/0!</v>
      </c>
    </row>
    <row r="223" spans="52:144" x14ac:dyDescent="0.25">
      <c r="AZ223" s="470" t="s">
        <v>6172</v>
      </c>
      <c r="BB223" s="25">
        <f ca="1">BJ239</f>
        <v>0</v>
      </c>
      <c r="BC223" s="426" t="s">
        <v>6073</v>
      </c>
      <c r="BH223" s="469"/>
      <c r="BI223" s="872" t="s">
        <v>7354</v>
      </c>
      <c r="BJ223" s="759">
        <f ca="1">IF(COUNTIFS($M$65:$M$94,BJ218,$AA$65:$AA$94,2)&gt;0,1,0)</f>
        <v>0</v>
      </c>
      <c r="DA223" s="470" t="s">
        <v>6172</v>
      </c>
      <c r="DK223" s="645" t="s">
        <v>7679</v>
      </c>
      <c r="DL223" s="525" t="s">
        <v>7830</v>
      </c>
      <c r="DM223" s="525" t="s">
        <v>7838</v>
      </c>
      <c r="DN223" s="525" cm="1">
        <f t="array" aca="1" ref="DN223" ca="1">INDIRECT($DH$102&amp;DL223,1)</f>
        <v>0</v>
      </c>
      <c r="DO223" s="525" cm="1">
        <f t="array" aca="1" ref="DO223" ca="1">INDIRECT($DH$102&amp;DM223,1)</f>
        <v>0</v>
      </c>
      <c r="DP223" s="894">
        <f t="shared" ca="1" si="46"/>
        <v>0</v>
      </c>
      <c r="DQ223" s="895"/>
      <c r="DR223" s="894">
        <f t="shared" ca="1" si="47"/>
        <v>0</v>
      </c>
      <c r="DS223" s="896"/>
      <c r="EM223" s="711" t="e">
        <f t="shared" si="41"/>
        <v>#DIV/0!</v>
      </c>
      <c r="EN223" s="711" t="e">
        <f t="shared" si="41"/>
        <v>#DIV/0!</v>
      </c>
    </row>
    <row r="224" spans="52:144" x14ac:dyDescent="0.25">
      <c r="AZ224" s="470" t="s">
        <v>6172</v>
      </c>
      <c r="BB224" s="25">
        <f ca="1">IF(BR206="Não",1,0)</f>
        <v>0</v>
      </c>
      <c r="BC224" s="426" t="s">
        <v>6071</v>
      </c>
      <c r="BH224" s="469"/>
      <c r="BI224" s="872" t="s">
        <v>7356</v>
      </c>
      <c r="BJ224" s="767"/>
      <c r="DA224" s="470" t="s">
        <v>6172</v>
      </c>
      <c r="EM224" s="711" t="e">
        <f t="shared" si="41"/>
        <v>#DIV/0!</v>
      </c>
      <c r="EN224" s="711" t="e">
        <f t="shared" si="41"/>
        <v>#DIV/0!</v>
      </c>
    </row>
    <row r="225" spans="52:144" x14ac:dyDescent="0.25">
      <c r="AZ225" s="470" t="s">
        <v>6172</v>
      </c>
      <c r="BB225" s="25">
        <f ca="1">IF(CB206="Não relatado",1,0)</f>
        <v>0</v>
      </c>
      <c r="BC225" s="426" t="s">
        <v>6282</v>
      </c>
      <c r="BH225" s="469"/>
      <c r="BI225" s="758" t="s">
        <v>6067</v>
      </c>
      <c r="BJ225" s="767"/>
      <c r="DA225" s="470" t="s">
        <v>6172</v>
      </c>
      <c r="EM225" s="711" t="e">
        <f t="shared" si="41"/>
        <v>#DIV/0!</v>
      </c>
      <c r="EN225" s="711" t="e">
        <f t="shared" si="41"/>
        <v>#DIV/0!</v>
      </c>
    </row>
    <row r="226" spans="52:144" x14ac:dyDescent="0.25">
      <c r="AZ226" s="470" t="s">
        <v>6172</v>
      </c>
      <c r="BB226" s="25">
        <f ca="1">IF(BO205=1,
         IF(CB206="Sim",
               IF(CC206&lt;VLOOKUP(BJ232,BN234:BO236,2,0),1,0),
         0),
0)</f>
        <v>0</v>
      </c>
      <c r="BC226" s="426" t="s">
        <v>7858</v>
      </c>
      <c r="BH226" s="469"/>
      <c r="BI226" s="872" t="s">
        <v>7360</v>
      </c>
      <c r="BJ226" s="767"/>
      <c r="DA226" s="470" t="s">
        <v>6172</v>
      </c>
      <c r="DK226" s="506"/>
      <c r="EM226" s="711" t="e">
        <f t="shared" si="41"/>
        <v>#DIV/0!</v>
      </c>
      <c r="EN226" s="711" t="e">
        <f t="shared" si="41"/>
        <v>#DIV/0!</v>
      </c>
    </row>
    <row r="227" spans="52:144" x14ac:dyDescent="0.25">
      <c r="AZ227" s="470" t="s">
        <v>6172</v>
      </c>
      <c r="BB227" s="25">
        <f ca="1">IF(CP206=2,1,0)</f>
        <v>0</v>
      </c>
      <c r="BC227" s="426" t="s">
        <v>6067</v>
      </c>
      <c r="BH227" s="469"/>
      <c r="DA227" s="470" t="s">
        <v>6172</v>
      </c>
      <c r="DG227" s="794" t="s">
        <v>6197</v>
      </c>
      <c r="DH227" s="844">
        <f ca="1">IF(DG105&lt;&gt;DH105,1,0)</f>
        <v>0</v>
      </c>
      <c r="DJ227" s="794" t="s">
        <v>6476</v>
      </c>
      <c r="DK227" s="844">
        <f ca="1">IF(AND(DG128="sim",DN127=0),1,0)</f>
        <v>0</v>
      </c>
      <c r="EM227" s="710" t="e">
        <f t="shared" si="41"/>
        <v>#DIV/0!</v>
      </c>
      <c r="EN227" s="710" t="e">
        <f t="shared" si="41"/>
        <v>#DIV/0!</v>
      </c>
    </row>
    <row r="228" spans="52:144" x14ac:dyDescent="0.25">
      <c r="AZ228" s="470" t="s">
        <v>6172</v>
      </c>
      <c r="BB228" s="25">
        <f ca="1">IF(CP206=2,
IF(COUNTIF(INDIRECT(BJ202&amp;CJ204,1),"sim")&gt;0,1,0),
0)</f>
        <v>0</v>
      </c>
      <c r="BC228" s="426" t="s">
        <v>6210</v>
      </c>
      <c r="BH228" s="469"/>
      <c r="BI228" s="872" t="s">
        <v>7363</v>
      </c>
      <c r="BJ228" s="767">
        <f>IF(CK206="sim",1,0)</f>
        <v>0</v>
      </c>
      <c r="BN228" s="898" t="s">
        <v>7496</v>
      </c>
      <c r="DA228" s="470" t="s">
        <v>6172</v>
      </c>
      <c r="DG228" s="794" t="s">
        <v>6198</v>
      </c>
      <c r="DH228" s="844">
        <f ca="1">IF(DG105&lt;&gt;DI105,1,0)</f>
        <v>0</v>
      </c>
      <c r="DJ228" s="794" t="s">
        <v>6497</v>
      </c>
      <c r="DK228" s="844">
        <f ca="1">IF(AND(DG128="sim",DO127=0),1,0)</f>
        <v>0</v>
      </c>
      <c r="EM228" s="710" t="e">
        <f t="shared" si="41"/>
        <v>#DIV/0!</v>
      </c>
      <c r="EN228" s="710" t="e">
        <f t="shared" si="41"/>
        <v>#DIV/0!</v>
      </c>
    </row>
    <row r="229" spans="52:144" x14ac:dyDescent="0.25">
      <c r="AZ229" s="470" t="s">
        <v>6172</v>
      </c>
      <c r="BB229" s="25">
        <f ca="1">BJ219</f>
        <v>0</v>
      </c>
      <c r="BC229" s="426" t="s">
        <v>6243</v>
      </c>
      <c r="BH229" s="472"/>
      <c r="BI229" s="871" t="s">
        <v>7464</v>
      </c>
      <c r="BJ229" s="717">
        <v>48</v>
      </c>
      <c r="BN229" s="899" t="s">
        <v>7493</v>
      </c>
      <c r="DA229" s="470" t="s">
        <v>6172</v>
      </c>
      <c r="DG229" s="794" t="s">
        <v>6199</v>
      </c>
      <c r="DH229" s="844">
        <f ca="1">IF(DG105&lt;&gt;DJ105,1,0)</f>
        <v>0</v>
      </c>
      <c r="DJ229" s="794" t="s">
        <v>6477</v>
      </c>
      <c r="DK229" s="844">
        <f ca="1">IF(AND(DN128="sim",DP127=0),1,0)</f>
        <v>0</v>
      </c>
      <c r="EM229" s="710" t="e">
        <f t="shared" si="41"/>
        <v>#DIV/0!</v>
      </c>
      <c r="EN229" s="710" t="e">
        <f t="shared" si="41"/>
        <v>#DIV/0!</v>
      </c>
    </row>
    <row r="230" spans="52:144" x14ac:dyDescent="0.25">
      <c r="AZ230" s="470" t="s">
        <v>6172</v>
      </c>
      <c r="BB230" s="25">
        <f ca="1">BJ222</f>
        <v>0</v>
      </c>
      <c r="BC230" s="426" t="s">
        <v>6068</v>
      </c>
      <c r="BH230" s="472"/>
      <c r="BI230" s="871" t="s">
        <v>7463</v>
      </c>
      <c r="BJ230" s="717">
        <f ca="1">COUNTBLANK(INDIRECT($BJ$202&amp;BN229))+COUNTBLANK(INDIRECT($BJ$202&amp;BN230))</f>
        <v>96</v>
      </c>
      <c r="BN230" s="643" t="s">
        <v>7494</v>
      </c>
      <c r="DA230" s="470" t="s">
        <v>6172</v>
      </c>
      <c r="DG230" s="794" t="s">
        <v>6200</v>
      </c>
      <c r="DH230" s="844">
        <f ca="1">IF(DG105&lt;&gt;DK105,1,0)</f>
        <v>0</v>
      </c>
      <c r="DJ230" s="794" t="s">
        <v>6478</v>
      </c>
      <c r="DK230" s="844">
        <f ca="1">IF(AND(EC128=TRUE,DP127=0),1,0)</f>
        <v>0</v>
      </c>
      <c r="EM230" s="710" t="e">
        <f t="shared" si="41"/>
        <v>#DIV/0!</v>
      </c>
      <c r="EN230" s="710" t="e">
        <f t="shared" si="41"/>
        <v>#DIV/0!</v>
      </c>
    </row>
    <row r="231" spans="52:144" x14ac:dyDescent="0.25">
      <c r="AZ231" s="470" t="s">
        <v>6172</v>
      </c>
      <c r="BB231" s="25">
        <f ca="1">BJ223</f>
        <v>0</v>
      </c>
      <c r="BC231" s="426" t="s">
        <v>6069</v>
      </c>
      <c r="BH231" s="469"/>
      <c r="BI231" s="872" t="s">
        <v>7465</v>
      </c>
      <c r="BJ231" s="767">
        <f ca="1">IF(AND(BJ230&lt;&gt;96,BJ229&lt;&gt;BJ230),1,0)</f>
        <v>0</v>
      </c>
      <c r="DA231" s="470" t="s">
        <v>6172</v>
      </c>
      <c r="DG231" s="794" t="s">
        <v>6201</v>
      </c>
      <c r="DH231" s="844">
        <f ca="1">IF(DG105&lt;&gt;DM105,1,0)</f>
        <v>0</v>
      </c>
      <c r="DJ231" s="794" t="s">
        <v>6485</v>
      </c>
      <c r="DK231" s="844">
        <f ca="1">IF(AND(DQ128="não",DR127=0),1,0)</f>
        <v>0</v>
      </c>
      <c r="EM231" s="710" t="e">
        <f t="shared" ref="EM231:EN246" si="48">IF(EC231&lt;&gt;"-",(1-(EC231/EC$166)),0)</f>
        <v>#DIV/0!</v>
      </c>
      <c r="EN231" s="710" t="e">
        <f t="shared" si="48"/>
        <v>#DIV/0!</v>
      </c>
    </row>
    <row r="232" spans="52:144" x14ac:dyDescent="0.25">
      <c r="AZ232" s="470" t="s">
        <v>6172</v>
      </c>
      <c r="BB232" s="25">
        <f ca="1">IF(AND(BO205&lt;&gt;0,BJ236&lt;&gt;BJ237),1,0)</f>
        <v>0</v>
      </c>
      <c r="BC232" s="426" t="s">
        <v>6082</v>
      </c>
      <c r="BH232" s="472"/>
      <c r="BI232" s="871" t="s">
        <v>7466</v>
      </c>
      <c r="BJ232" s="717" cm="1">
        <f t="array" aca="1" ref="BJ232" ca="1">INDIRECT("Composição!I15",1)</f>
        <v>0</v>
      </c>
      <c r="BP232" s="20" t="s">
        <v>6279</v>
      </c>
      <c r="DA232" s="470" t="s">
        <v>6172</v>
      </c>
      <c r="DG232" s="794" t="s">
        <v>6202</v>
      </c>
      <c r="DH232" s="844">
        <f ca="1">IF(DG105&lt;&gt;DN105,1,0)</f>
        <v>0</v>
      </c>
      <c r="DJ232" s="794" t="s">
        <v>6479</v>
      </c>
      <c r="DK232" s="844">
        <f ca="1">IF(AND(DQ128="Sim",DS127=0),1,0)</f>
        <v>0</v>
      </c>
      <c r="EM232" s="710" t="e">
        <f t="shared" si="48"/>
        <v>#DIV/0!</v>
      </c>
      <c r="EN232" s="710" t="e">
        <f t="shared" si="48"/>
        <v>#DIV/0!</v>
      </c>
    </row>
    <row r="233" spans="52:144" x14ac:dyDescent="0.25">
      <c r="AZ233" s="470" t="s">
        <v>6172</v>
      </c>
      <c r="BB233" s="25">
        <f ca="1">IF(COUNTIF(INDIRECT(CO204),TRUE)&gt;1,1,0)</f>
        <v>0</v>
      </c>
      <c r="BC233" s="426" t="s">
        <v>6081</v>
      </c>
      <c r="BH233" s="469"/>
      <c r="BI233" s="872" t="s">
        <v>7468</v>
      </c>
      <c r="BJ233" s="900"/>
      <c r="BN233" s="901"/>
      <c r="BO233" s="901" t="s">
        <v>6278</v>
      </c>
      <c r="BP233" s="901" t="s">
        <v>14</v>
      </c>
      <c r="DA233" s="470" t="s">
        <v>6172</v>
      </c>
      <c r="DG233" s="794" t="s">
        <v>6203</v>
      </c>
      <c r="DH233" s="844">
        <f ca="1">IF(DG105&lt;&gt;DO105,1,0)</f>
        <v>0</v>
      </c>
      <c r="DJ233" s="794" t="s">
        <v>6480</v>
      </c>
      <c r="DK233" s="844">
        <f ca="1">IF(AND(DQ128="Sim",DT127=0),1,0)</f>
        <v>0</v>
      </c>
      <c r="EM233" s="710" t="e">
        <f t="shared" si="48"/>
        <v>#DIV/0!</v>
      </c>
      <c r="EN233" s="710" t="e">
        <f t="shared" si="48"/>
        <v>#DIV/0!</v>
      </c>
    </row>
    <row r="234" spans="52:144" x14ac:dyDescent="0.25">
      <c r="AZ234" s="470" t="s">
        <v>6172</v>
      </c>
      <c r="BB234" s="426"/>
      <c r="BC234" s="752" t="s">
        <v>8297</v>
      </c>
      <c r="BH234" s="472"/>
      <c r="BI234" s="871" t="s">
        <v>7470</v>
      </c>
      <c r="BJ234" s="902" t="str">
        <f ca="1">LEFT(CD206,2)</f>
        <v>0</v>
      </c>
      <c r="BN234" s="525">
        <v>0</v>
      </c>
      <c r="BO234" s="525">
        <v>0</v>
      </c>
      <c r="BP234" s="525" t="s">
        <v>6275</v>
      </c>
      <c r="DA234" s="470" t="s">
        <v>6172</v>
      </c>
      <c r="DG234" s="794" t="s">
        <v>6394</v>
      </c>
      <c r="DH234" s="844">
        <f ca="1">IF(AND(DI152=0,DG105&lt;&gt;DP105),1,0)</f>
        <v>0</v>
      </c>
      <c r="DJ234" s="794" t="s">
        <v>6498</v>
      </c>
      <c r="DK234" s="844">
        <f ca="1">IF(AND(DQ128="sim",DU127=0),1,0)</f>
        <v>0</v>
      </c>
      <c r="EM234" s="710" t="e">
        <f t="shared" si="48"/>
        <v>#DIV/0!</v>
      </c>
      <c r="EN234" s="710" t="e">
        <f t="shared" si="48"/>
        <v>#DIV/0!</v>
      </c>
    </row>
    <row r="235" spans="52:144" x14ac:dyDescent="0.25">
      <c r="AZ235" s="470" t="s">
        <v>6172</v>
      </c>
      <c r="BB235" s="426"/>
      <c r="BC235" s="752" t="s">
        <v>8297</v>
      </c>
      <c r="BH235" s="469"/>
      <c r="BI235" s="872" t="s">
        <v>7469</v>
      </c>
      <c r="BJ235" s="900">
        <f ca="1">IF(OR(BJ234="24",BJ234="48"),1,0)</f>
        <v>0</v>
      </c>
      <c r="BN235" s="525" t="s">
        <v>2035</v>
      </c>
      <c r="BO235" s="525">
        <v>1</v>
      </c>
      <c r="BP235" s="525" t="s">
        <v>6276</v>
      </c>
      <c r="DA235" s="470" t="s">
        <v>6172</v>
      </c>
      <c r="DG235" s="794" t="s">
        <v>6457</v>
      </c>
      <c r="DH235" s="844">
        <f ca="1">IF(AND(DI152=0,DG105&lt;&gt;DR105),1,0)</f>
        <v>0</v>
      </c>
      <c r="DJ235" s="794" t="s">
        <v>6499</v>
      </c>
      <c r="DK235" s="844">
        <f ca="1">IF(AND(DQ128="sim",DV127=0),1,0)</f>
        <v>0</v>
      </c>
      <c r="EM235" s="710" t="e">
        <f t="shared" si="48"/>
        <v>#DIV/0!</v>
      </c>
      <c r="EN235" s="710" t="e">
        <f t="shared" si="48"/>
        <v>#DIV/0!</v>
      </c>
    </row>
    <row r="236" spans="52:144" x14ac:dyDescent="0.25">
      <c r="AZ236" s="470" t="s">
        <v>6172</v>
      </c>
      <c r="BB236" s="426"/>
      <c r="BC236" s="752" t="s">
        <v>8297</v>
      </c>
      <c r="BH236" s="472"/>
      <c r="BI236" s="871" t="s">
        <v>7471</v>
      </c>
      <c r="BJ236" s="903">
        <f ca="1">Calculos!$I$152</f>
        <v>0</v>
      </c>
      <c r="BN236" s="525" t="s">
        <v>2034</v>
      </c>
      <c r="BO236" s="525">
        <v>24</v>
      </c>
      <c r="BP236" s="525" t="s">
        <v>6277</v>
      </c>
      <c r="DA236" s="470" t="s">
        <v>6172</v>
      </c>
      <c r="DG236" s="794" t="s">
        <v>6494</v>
      </c>
      <c r="DH236" s="844">
        <f ca="1">IF(AND(DI152=0,DG105&lt;&gt;DS105),1,0)</f>
        <v>0</v>
      </c>
      <c r="DJ236" s="794" t="s">
        <v>6500</v>
      </c>
      <c r="DK236" s="844">
        <f ca="1">IF(AND(DQ128="sim",DW127=0),1,0)</f>
        <v>0</v>
      </c>
      <c r="EM236" s="710" t="e">
        <f t="shared" si="48"/>
        <v>#DIV/0!</v>
      </c>
      <c r="EN236" s="710" t="e">
        <f t="shared" si="48"/>
        <v>#DIV/0!</v>
      </c>
    </row>
    <row r="237" spans="52:144" x14ac:dyDescent="0.25">
      <c r="AZ237" s="470" t="s">
        <v>6172</v>
      </c>
      <c r="BB237" s="426"/>
      <c r="BC237" s="752" t="s">
        <v>8297</v>
      </c>
      <c r="BH237" s="472"/>
      <c r="BI237" s="871" t="s">
        <v>7472</v>
      </c>
      <c r="BJ237" s="904">
        <f ca="1">IFERROR(MATCH(TRUE,INDIRECT(CO204),0),0)</f>
        <v>0</v>
      </c>
      <c r="BL237" s="506"/>
      <c r="DA237" s="470" t="s">
        <v>6172</v>
      </c>
      <c r="DG237" s="794" t="s">
        <v>6458</v>
      </c>
      <c r="DH237" s="844">
        <f ca="1">IF(AND(DI152=0,DG105&lt;&gt;DT105),1,0)</f>
        <v>0</v>
      </c>
      <c r="DJ237" s="794" t="s">
        <v>6501</v>
      </c>
      <c r="DK237" s="844">
        <f ca="1">IF(AND(DQ128="sim",DX127=0),1,0)</f>
        <v>0</v>
      </c>
      <c r="EM237" s="711" t="e">
        <f t="shared" si="48"/>
        <v>#DIV/0!</v>
      </c>
      <c r="EN237" s="711" t="e">
        <f t="shared" si="48"/>
        <v>#DIV/0!</v>
      </c>
    </row>
    <row r="238" spans="52:144" x14ac:dyDescent="0.25">
      <c r="AZ238" s="470" t="s">
        <v>6172</v>
      </c>
      <c r="BB238" s="426"/>
      <c r="BC238" s="752" t="s">
        <v>8297</v>
      </c>
      <c r="BH238" s="469"/>
      <c r="BI238" s="872" t="s">
        <v>7473</v>
      </c>
      <c r="BJ238" s="900"/>
      <c r="DA238" s="470" t="s">
        <v>6172</v>
      </c>
      <c r="DG238" s="794" t="s">
        <v>6459</v>
      </c>
      <c r="DH238" s="844">
        <f ca="1">IF(AND(DI152=0,DG105&lt;&gt;DU105),1,0)</f>
        <v>0</v>
      </c>
      <c r="DJ238" s="794" t="s">
        <v>6481</v>
      </c>
      <c r="DK238" s="844">
        <f ca="1">IF(AND(DQ128="sim",DN128="Sim",DY127=0),1,0)</f>
        <v>0</v>
      </c>
      <c r="EM238" s="711" t="e">
        <f t="shared" si="48"/>
        <v>#DIV/0!</v>
      </c>
      <c r="EN238" s="711" t="e">
        <f t="shared" si="48"/>
        <v>#DIV/0!</v>
      </c>
    </row>
    <row r="239" spans="52:144" x14ac:dyDescent="0.25">
      <c r="AZ239" s="470" t="s">
        <v>6172</v>
      </c>
      <c r="BB239" s="25"/>
      <c r="BC239" s="752" t="s">
        <v>8297</v>
      </c>
      <c r="BH239" s="469"/>
      <c r="BI239" s="758" t="s">
        <v>6226</v>
      </c>
      <c r="BJ239" s="767">
        <f ca="1">IF(BN206="Sim",1,0)</f>
        <v>0</v>
      </c>
      <c r="DA239" s="470" t="s">
        <v>6172</v>
      </c>
      <c r="DG239" s="794" t="s">
        <v>6460</v>
      </c>
      <c r="DH239" s="844">
        <f ca="1">IF(AND(DU106="informar faixa para o tempo de coleta",DV105=0),1,0)</f>
        <v>0</v>
      </c>
      <c r="DJ239" s="794" t="s">
        <v>6482</v>
      </c>
      <c r="DK239" s="844">
        <f ca="1">IF(AND(DQ128="sim",DN128="Sim",DZ127=0),1,0)</f>
        <v>0</v>
      </c>
      <c r="EM239" s="711" t="e">
        <f t="shared" si="48"/>
        <v>#DIV/0!</v>
      </c>
      <c r="EN239" s="711" t="e">
        <f t="shared" si="48"/>
        <v>#DIV/0!</v>
      </c>
    </row>
    <row r="240" spans="52:144" x14ac:dyDescent="0.25">
      <c r="AZ240" s="470" t="s">
        <v>6172</v>
      </c>
      <c r="BB240" s="25"/>
      <c r="BC240" s="752" t="s">
        <v>8297</v>
      </c>
      <c r="BH240" s="469"/>
      <c r="BI240" s="758" t="s">
        <v>7857</v>
      </c>
      <c r="BJ240" s="767"/>
      <c r="DA240" s="470" t="s">
        <v>6172</v>
      </c>
      <c r="DG240" s="794" t="s">
        <v>6461</v>
      </c>
      <c r="DH240" s="844">
        <f ca="1">IF(AND(DU106="informar faixa para o tempo de coleta",DW105=0),1,0)</f>
        <v>0</v>
      </c>
      <c r="DJ240" s="794" t="s">
        <v>6483</v>
      </c>
      <c r="DK240" s="844">
        <f ca="1">IF(AND(DQ128="sim",DN128="Sim",EA127=0),1,0)</f>
        <v>0</v>
      </c>
      <c r="EM240" s="711" t="e">
        <f t="shared" si="48"/>
        <v>#DIV/0!</v>
      </c>
      <c r="EN240" s="711" t="e">
        <f t="shared" si="48"/>
        <v>#DIV/0!</v>
      </c>
    </row>
    <row r="241" spans="52:144" x14ac:dyDescent="0.25">
      <c r="AZ241" s="470" t="s">
        <v>6172</v>
      </c>
      <c r="BB241" s="25"/>
      <c r="BC241" s="752" t="s">
        <v>8297</v>
      </c>
      <c r="BH241" s="469"/>
      <c r="BI241" s="872" t="s">
        <v>7859</v>
      </c>
      <c r="BJ241" s="900"/>
      <c r="BN241" s="880" t="s">
        <v>7860</v>
      </c>
      <c r="DA241" s="470" t="s">
        <v>6172</v>
      </c>
      <c r="DG241" s="794" t="s">
        <v>6462</v>
      </c>
      <c r="DH241" s="844">
        <f ca="1">IF(AND(DU106="Informar valor único",DX105=0),1,0)</f>
        <v>0</v>
      </c>
      <c r="DJ241" s="794" t="s">
        <v>6484</v>
      </c>
      <c r="DK241" s="844">
        <f ca="1">IF(AND(DQ128="sim",DN128="Sim",EB127=0),1,0)</f>
        <v>0</v>
      </c>
      <c r="EM241" s="711" t="e">
        <f t="shared" si="48"/>
        <v>#DIV/0!</v>
      </c>
      <c r="EN241" s="711" t="e">
        <f t="shared" si="48"/>
        <v>#DIV/0!</v>
      </c>
    </row>
    <row r="242" spans="52:144" x14ac:dyDescent="0.25">
      <c r="AZ242" s="470" t="s">
        <v>6172</v>
      </c>
      <c r="BB242" s="25"/>
      <c r="BC242" s="752" t="s">
        <v>8297</v>
      </c>
      <c r="BN242" s="905" t="s">
        <v>8547</v>
      </c>
      <c r="DA242" s="470" t="s">
        <v>6172</v>
      </c>
      <c r="DG242" s="794" t="s">
        <v>6463</v>
      </c>
      <c r="DH242" s="844">
        <f ca="1">IF(AND(DI152=0,DG105&lt;&gt;DY105),1,0)</f>
        <v>0</v>
      </c>
      <c r="DJ242" s="794" t="s">
        <v>6486</v>
      </c>
      <c r="DK242" s="844">
        <f ca="1">IF(AND(DI152=0,DG105&lt;&gt;DG135),1,0)</f>
        <v>0</v>
      </c>
      <c r="EM242" s="711" t="e">
        <f t="shared" si="48"/>
        <v>#DIV/0!</v>
      </c>
      <c r="EN242" s="711" t="e">
        <f t="shared" si="48"/>
        <v>#DIV/0!</v>
      </c>
    </row>
    <row r="243" spans="52:144" x14ac:dyDescent="0.25">
      <c r="AZ243" s="470" t="s">
        <v>6172</v>
      </c>
      <c r="BB243" s="25"/>
      <c r="BC243" s="752" t="s">
        <v>8297</v>
      </c>
      <c r="DA243" s="470" t="s">
        <v>6172</v>
      </c>
      <c r="DG243" s="794" t="s">
        <v>6464</v>
      </c>
      <c r="DH243" s="844">
        <f ca="1">IF(AND(DI152=0,DG105&lt;&gt;DZ105),1,0)</f>
        <v>0</v>
      </c>
      <c r="DJ243" s="794" t="s">
        <v>6412</v>
      </c>
      <c r="DK243" s="844">
        <f ca="1">IF(AND(DI152=0,DG105&lt;&gt;DH135),1,0)</f>
        <v>0</v>
      </c>
      <c r="EM243" s="711" t="e">
        <f t="shared" si="48"/>
        <v>#DIV/0!</v>
      </c>
      <c r="EN243" s="711" t="e">
        <f t="shared" si="48"/>
        <v>#DIV/0!</v>
      </c>
    </row>
    <row r="244" spans="52:144" x14ac:dyDescent="0.25">
      <c r="AZ244" s="470" t="s">
        <v>6172</v>
      </c>
      <c r="BB244" s="25"/>
      <c r="BC244" s="752" t="s">
        <v>8297</v>
      </c>
      <c r="DA244" s="470" t="s">
        <v>6172</v>
      </c>
      <c r="DG244" s="794" t="s">
        <v>6465</v>
      </c>
      <c r="DH244" s="844">
        <f ca="1">IF(AND(DI152=0,DG105&lt;&gt;EA105),1,0)</f>
        <v>0</v>
      </c>
      <c r="DJ244" s="794" t="s">
        <v>6487</v>
      </c>
      <c r="DK244" s="844">
        <f ca="1">IF(OR(
SUM(DY141:DY148)&lt;&gt;SUM(EA141:EA148),
SUM(DZ141:DZ148)&lt;&gt;SUM(EB141:EB148)),1,0)</f>
        <v>0</v>
      </c>
      <c r="EM244" s="711" t="e">
        <f t="shared" si="48"/>
        <v>#DIV/0!</v>
      </c>
      <c r="EN244" s="711" t="e">
        <f t="shared" si="48"/>
        <v>#DIV/0!</v>
      </c>
    </row>
    <row r="245" spans="52:144" x14ac:dyDescent="0.25">
      <c r="AZ245" s="470" t="s">
        <v>6172</v>
      </c>
      <c r="DA245" s="470" t="s">
        <v>6172</v>
      </c>
      <c r="DG245" s="794" t="s">
        <v>6466</v>
      </c>
      <c r="DH245" s="844">
        <f ca="1">IF(EA105&lt;&gt;EB105,1,0)</f>
        <v>0</v>
      </c>
      <c r="DJ245" s="794"/>
      <c r="DK245" s="844"/>
      <c r="EM245" s="711" t="e">
        <f t="shared" si="48"/>
        <v>#DIV/0!</v>
      </c>
      <c r="EN245" s="711" t="e">
        <f t="shared" si="48"/>
        <v>#DIV/0!</v>
      </c>
    </row>
    <row r="246" spans="52:144" x14ac:dyDescent="0.25">
      <c r="AZ246" s="470" t="s">
        <v>6172</v>
      </c>
      <c r="DA246" s="470" t="s">
        <v>6172</v>
      </c>
      <c r="DG246" s="794" t="s">
        <v>6467</v>
      </c>
      <c r="DH246" s="844">
        <f ca="1">IF(AND(DI152=0,DG105&lt;&gt;EC105),1,0)</f>
        <v>0</v>
      </c>
      <c r="DJ246" s="794"/>
      <c r="DK246" s="844"/>
      <c r="EM246" s="711" t="e">
        <f t="shared" si="48"/>
        <v>#DIV/0!</v>
      </c>
      <c r="EN246" s="711" t="e">
        <f t="shared" si="48"/>
        <v>#DIV/0!</v>
      </c>
    </row>
    <row r="247" spans="52:144" x14ac:dyDescent="0.25">
      <c r="AZ247" s="470" t="s">
        <v>6172</v>
      </c>
      <c r="DA247" s="470" t="s">
        <v>6172</v>
      </c>
      <c r="DG247" s="794" t="s">
        <v>6468</v>
      </c>
      <c r="DH247" s="844">
        <f ca="1">IF(AND(DI152=0,DG105&lt;&gt;DG119),1,0)</f>
        <v>0</v>
      </c>
      <c r="DJ247" s="794" t="s">
        <v>6488</v>
      </c>
      <c r="DK247" s="844">
        <f ca="1">IF(AND(DI183=1,DI135=0),1,0)</f>
        <v>0</v>
      </c>
    </row>
    <row r="248" spans="52:144" x14ac:dyDescent="0.25">
      <c r="AZ248" s="470" t="s">
        <v>6172</v>
      </c>
      <c r="DA248" s="470" t="s">
        <v>6172</v>
      </c>
      <c r="DG248" s="794" t="s">
        <v>6495</v>
      </c>
      <c r="DH248" s="844">
        <f ca="1">IF(AND(DG105=1,DI152=0,
SUM(DH119:DK119,DP119:DS119)=0),1,0)</f>
        <v>0</v>
      </c>
      <c r="DJ248" s="794" t="s">
        <v>6489</v>
      </c>
      <c r="DK248" s="844">
        <f ca="1">IF(AND(DI152=0,DG105&lt;&gt;DJ135),1,0)</f>
        <v>0</v>
      </c>
    </row>
    <row r="249" spans="52:144" x14ac:dyDescent="0.25">
      <c r="AZ249" s="470" t="s">
        <v>6172</v>
      </c>
      <c r="DA249" s="470" t="s">
        <v>6172</v>
      </c>
      <c r="DG249" s="794" t="s">
        <v>6496</v>
      </c>
      <c r="DH249" s="844">
        <f ca="1">IF(AND(SUM(DH119:DK119)&gt;0,SUM(DL119:DM119)=0),1,0)</f>
        <v>0</v>
      </c>
      <c r="DJ249" s="794" t="s">
        <v>6490</v>
      </c>
      <c r="DK249" s="844">
        <f ca="1">IF(AND(DI152=0,DG105&lt;&gt;DK135),1,0)</f>
        <v>0</v>
      </c>
    </row>
    <row r="250" spans="52:144" ht="15.75" thickBot="1" x14ac:dyDescent="0.3">
      <c r="AZ250" s="470" t="s">
        <v>6172</v>
      </c>
      <c r="BB250" s="862" t="s">
        <v>26</v>
      </c>
      <c r="BC250" s="862"/>
      <c r="BD250" s="730"/>
      <c r="BE250" s="730"/>
      <c r="BF250" s="730"/>
      <c r="BG250" s="730"/>
      <c r="BH250" s="730"/>
      <c r="BI250" s="730"/>
      <c r="BJ250" s="730"/>
      <c r="BK250" s="730"/>
      <c r="BL250" s="730"/>
      <c r="BM250" s="730"/>
      <c r="BN250" s="730"/>
      <c r="BO250" s="730"/>
      <c r="BP250" s="730"/>
      <c r="BQ250" s="730"/>
      <c r="BR250" s="730"/>
      <c r="BS250" s="730"/>
      <c r="BT250" s="730"/>
      <c r="BU250" s="730"/>
      <c r="BV250" s="730"/>
      <c r="BW250" s="730"/>
      <c r="BX250" s="730"/>
      <c r="BY250" s="730"/>
      <c r="BZ250" s="730"/>
      <c r="CA250" s="730"/>
      <c r="CB250" s="730"/>
      <c r="CC250" s="730"/>
      <c r="CD250" s="730"/>
      <c r="CE250" s="730"/>
      <c r="CF250" s="730"/>
      <c r="CG250" s="730"/>
      <c r="CH250" s="730"/>
      <c r="CI250" s="730"/>
      <c r="DA250" s="470" t="s">
        <v>6172</v>
      </c>
      <c r="DG250" s="794" t="s">
        <v>6469</v>
      </c>
      <c r="DH250" s="844">
        <f ca="1">IF(AND(SUM(DH119:DK119)&gt;0,DN119=0),1,0)</f>
        <v>0</v>
      </c>
      <c r="DJ250" s="794" t="s">
        <v>6491</v>
      </c>
      <c r="DK250" s="844">
        <f ca="1">IF(AND(DK136="sim",DL135=0),1,0)</f>
        <v>0</v>
      </c>
    </row>
    <row r="251" spans="52:144" x14ac:dyDescent="0.25">
      <c r="AZ251" s="470" t="s">
        <v>6172</v>
      </c>
      <c r="BB251" s="477" t="s">
        <v>8104</v>
      </c>
      <c r="BC251" s="477" t="s">
        <v>8294</v>
      </c>
      <c r="DA251" s="470" t="s">
        <v>6172</v>
      </c>
      <c r="DG251" s="794" t="s">
        <v>6470</v>
      </c>
      <c r="DH251" s="844">
        <f ca="1">IF(AND(SUM(DH119:DK119)&gt;0,DO119=0),1,0)</f>
        <v>0</v>
      </c>
      <c r="DJ251" s="794" t="s">
        <v>6492</v>
      </c>
      <c r="DK251" s="844">
        <f ca="1">IF(AND(DI152=0,DG105&lt;&gt;DM135),1,0)</f>
        <v>0</v>
      </c>
    </row>
    <row r="252" spans="52:144" x14ac:dyDescent="0.25">
      <c r="AZ252" s="470" t="s">
        <v>6172</v>
      </c>
      <c r="BB252" s="844">
        <f ca="1">IF(
AND(BN257="Sim",CN257="Não"),1,0)</f>
        <v>0</v>
      </c>
      <c r="BC252" s="426" t="s">
        <v>6075</v>
      </c>
      <c r="DA252" s="470" t="s">
        <v>6172</v>
      </c>
      <c r="DG252" s="794" t="s">
        <v>6471</v>
      </c>
      <c r="DH252" s="844">
        <f ca="1">IF(AND(SUM(DP119:DS119)&gt;0,DT119=0),1,0)</f>
        <v>0</v>
      </c>
      <c r="DJ252" s="794" t="s">
        <v>6493</v>
      </c>
      <c r="DK252" s="844">
        <f ca="1">IF(AND(DI152=0,DG105&lt;&gt;DO135),1,0)</f>
        <v>0</v>
      </c>
    </row>
    <row r="253" spans="52:144" x14ac:dyDescent="0.25">
      <c r="AZ253" s="470" t="s">
        <v>6172</v>
      </c>
      <c r="BB253" s="844">
        <f ca="1">IF(BO256&lt;&gt;BP256,1,0)</f>
        <v>0</v>
      </c>
      <c r="BC253" s="426" t="s">
        <v>6197</v>
      </c>
      <c r="BI253" s="733" t="s">
        <v>7321</v>
      </c>
      <c r="BJ253" s="797" t="s">
        <v>5577</v>
      </c>
      <c r="DA253" s="470" t="s">
        <v>6172</v>
      </c>
      <c r="DG253" s="794" t="s">
        <v>6313</v>
      </c>
      <c r="DH253" s="844">
        <f ca="1">IF(AND(DI152=0,DG105&lt;&gt;DG127),1,0)</f>
        <v>0</v>
      </c>
      <c r="DJ253" s="794"/>
      <c r="DK253" s="844"/>
    </row>
    <row r="254" spans="52:144" x14ac:dyDescent="0.25">
      <c r="AZ254" s="470" t="s">
        <v>6172</v>
      </c>
      <c r="BB254" s="844">
        <f ca="1">IF(BO256&lt;&gt;BQ256,1,0)</f>
        <v>0</v>
      </c>
      <c r="BC254" s="426" t="s">
        <v>6198</v>
      </c>
      <c r="BI254" s="864" t="s">
        <v>7434</v>
      </c>
      <c r="BJ254" s="738" t="s">
        <v>6519</v>
      </c>
      <c r="BK254" s="738" t="s">
        <v>6537</v>
      </c>
      <c r="BL254" s="738" t="s">
        <v>6538</v>
      </c>
      <c r="BM254" s="864" t="s">
        <v>143</v>
      </c>
      <c r="BN254" s="864" t="s">
        <v>5589</v>
      </c>
      <c r="BO254" s="864" t="s">
        <v>30</v>
      </c>
      <c r="BP254" s="864" t="s">
        <v>6174</v>
      </c>
      <c r="BQ254" s="864" t="s">
        <v>6173</v>
      </c>
      <c r="BR254" s="864" t="s">
        <v>6029</v>
      </c>
      <c r="BS254" s="864" t="s">
        <v>218</v>
      </c>
      <c r="BT254" s="864" t="s">
        <v>6183</v>
      </c>
      <c r="BU254" s="864" t="s">
        <v>6184</v>
      </c>
      <c r="BV254" s="864" t="s">
        <v>31</v>
      </c>
      <c r="BW254" s="864" t="s">
        <v>5720</v>
      </c>
      <c r="BX254" s="864" t="s">
        <v>85</v>
      </c>
      <c r="BY254" s="864" t="s">
        <v>235</v>
      </c>
      <c r="BZ254" s="864" t="s">
        <v>6285</v>
      </c>
      <c r="CA254" s="864" t="s">
        <v>128</v>
      </c>
      <c r="CB254" s="864" t="s">
        <v>129</v>
      </c>
      <c r="CC254" s="864" t="s">
        <v>226</v>
      </c>
      <c r="CD254" s="864" t="s">
        <v>322</v>
      </c>
      <c r="CE254" s="864" t="s">
        <v>145</v>
      </c>
      <c r="CF254" s="879" t="s">
        <v>6246</v>
      </c>
      <c r="CG254" s="879" t="s">
        <v>6247</v>
      </c>
      <c r="CH254" s="738" t="s">
        <v>293</v>
      </c>
      <c r="CI254" s="738" t="s">
        <v>301</v>
      </c>
      <c r="CJ254" s="738" t="s">
        <v>302</v>
      </c>
      <c r="CK254" s="864" t="s">
        <v>6242</v>
      </c>
      <c r="CL254" s="864" t="s">
        <v>143</v>
      </c>
      <c r="CM254" s="864" t="s">
        <v>6189</v>
      </c>
      <c r="CN254" s="738"/>
      <c r="CO254" s="880" t="s">
        <v>6245</v>
      </c>
      <c r="CP254" s="738" t="s">
        <v>6187</v>
      </c>
      <c r="DA254" s="470" t="s">
        <v>6172</v>
      </c>
      <c r="DG254" s="794" t="s">
        <v>6474</v>
      </c>
      <c r="DH254" s="844">
        <f ca="1">IF(DI127&lt;&gt;DJ127,1,0)</f>
        <v>0</v>
      </c>
      <c r="DJ254" s="794"/>
      <c r="DK254" s="844"/>
    </row>
    <row r="255" spans="52:144" x14ac:dyDescent="0.25">
      <c r="AZ255" s="470" t="s">
        <v>6172</v>
      </c>
      <c r="BB255" s="844">
        <f ca="1">IF(BO256&lt;&gt;BR256,1,0)</f>
        <v>0</v>
      </c>
      <c r="BC255" s="426" t="s">
        <v>6199</v>
      </c>
      <c r="BH255" s="790" t="s">
        <v>5778</v>
      </c>
      <c r="BI255" s="597" t="s">
        <v>1592</v>
      </c>
      <c r="BJ255" s="881" t="s">
        <v>7474</v>
      </c>
      <c r="BK255" s="906" t="s">
        <v>7475</v>
      </c>
      <c r="BL255" s="713" t="s">
        <v>7476</v>
      </c>
      <c r="BM255" s="486" t="s">
        <v>1223</v>
      </c>
      <c r="BN255" s="761" t="s">
        <v>6553</v>
      </c>
      <c r="BO255" s="761" t="s">
        <v>6552</v>
      </c>
      <c r="BP255" s="761" t="s">
        <v>7441</v>
      </c>
      <c r="BQ255" s="761" t="s">
        <v>7442</v>
      </c>
      <c r="BR255" s="827" t="s">
        <v>7443</v>
      </c>
      <c r="BS255" s="761" t="s">
        <v>7444</v>
      </c>
      <c r="BT255" s="761" t="s">
        <v>7445</v>
      </c>
      <c r="BU255" s="845" t="s">
        <v>7446</v>
      </c>
      <c r="BV255" s="845" t="s">
        <v>7447</v>
      </c>
      <c r="BW255" s="827" t="s">
        <v>7341</v>
      </c>
      <c r="BX255" s="761" t="s">
        <v>7342</v>
      </c>
      <c r="BY255" s="827" t="s">
        <v>7448</v>
      </c>
      <c r="BZ255" s="907" t="s">
        <v>7449</v>
      </c>
      <c r="CA255" s="908" t="s">
        <v>7451</v>
      </c>
      <c r="CB255" s="908" t="s">
        <v>7452</v>
      </c>
      <c r="CC255" s="907" t="s">
        <v>7453</v>
      </c>
      <c r="CD255" s="908" t="s">
        <v>7480</v>
      </c>
      <c r="CE255" s="907" t="s">
        <v>7481</v>
      </c>
      <c r="CF255" s="908" t="s">
        <v>8539</v>
      </c>
      <c r="CG255" s="908" t="s">
        <v>7051</v>
      </c>
      <c r="CH255" s="909" t="s">
        <v>7477</v>
      </c>
      <c r="CI255" s="909" t="s">
        <v>7478</v>
      </c>
      <c r="CJ255" s="909" t="s">
        <v>7479</v>
      </c>
      <c r="CK255" s="908" t="s">
        <v>7052</v>
      </c>
      <c r="CL255" s="908" t="s">
        <v>7037</v>
      </c>
      <c r="CM255" s="908" t="s">
        <v>7482</v>
      </c>
      <c r="CN255" s="846"/>
      <c r="CO255" s="910" t="s">
        <v>8549</v>
      </c>
      <c r="CP255" s="910" t="s">
        <v>8550</v>
      </c>
      <c r="DA255" s="470" t="s">
        <v>6172</v>
      </c>
      <c r="DG255" s="794" t="s">
        <v>6473</v>
      </c>
      <c r="DH255" s="844">
        <f ca="1">IF(DK127&lt;&gt;DL127,1,0)</f>
        <v>0</v>
      </c>
      <c r="DJ255" s="794" t="s">
        <v>6196</v>
      </c>
      <c r="DK255" s="844">
        <f ca="1">IF(AND(DI152=0,DG105&lt;&gt;EI105),1,0)</f>
        <v>0</v>
      </c>
    </row>
    <row r="256" spans="52:144" x14ac:dyDescent="0.25">
      <c r="AZ256" s="470" t="s">
        <v>6172</v>
      </c>
      <c r="BB256" s="844">
        <f ca="1">IF(BO256&lt;&gt;BS256,1,0)</f>
        <v>0</v>
      </c>
      <c r="BC256" s="426" t="s">
        <v>6200</v>
      </c>
      <c r="BH256" s="790" t="s">
        <v>6222</v>
      </c>
      <c r="BI256" s="597">
        <f t="shared" ref="BI256:CM256" ca="1" si="49">COUNTA(INDIRECT($BJ$253&amp;BI255,1))</f>
        <v>0</v>
      </c>
      <c r="BJ256" s="597">
        <f t="shared" ca="1" si="49"/>
        <v>0</v>
      </c>
      <c r="BK256" s="597">
        <f t="shared" ca="1" si="49"/>
        <v>0</v>
      </c>
      <c r="BL256" s="597">
        <f t="shared" ca="1" si="49"/>
        <v>0</v>
      </c>
      <c r="BM256" s="597">
        <f t="shared" ca="1" si="49"/>
        <v>0</v>
      </c>
      <c r="BN256" s="597">
        <f t="shared" ca="1" si="49"/>
        <v>0</v>
      </c>
      <c r="BO256" s="597">
        <f t="shared" ca="1" si="49"/>
        <v>0</v>
      </c>
      <c r="BP256" s="597">
        <f t="shared" ca="1" si="49"/>
        <v>0</v>
      </c>
      <c r="BQ256" s="597">
        <f t="shared" ca="1" si="49"/>
        <v>0</v>
      </c>
      <c r="BR256" s="597">
        <f t="shared" ca="1" si="49"/>
        <v>0</v>
      </c>
      <c r="BS256" s="597">
        <f t="shared" ca="1" si="49"/>
        <v>0</v>
      </c>
      <c r="BT256" s="597">
        <f t="shared" ca="1" si="49"/>
        <v>0</v>
      </c>
      <c r="BU256" s="597">
        <f t="shared" ca="1" si="49"/>
        <v>0</v>
      </c>
      <c r="BV256" s="597">
        <f t="shared" ca="1" si="49"/>
        <v>0</v>
      </c>
      <c r="BW256" s="597">
        <f t="shared" ca="1" si="49"/>
        <v>0</v>
      </c>
      <c r="BX256" s="597">
        <f t="shared" ca="1" si="49"/>
        <v>1</v>
      </c>
      <c r="BY256" s="597">
        <f t="shared" ca="1" si="49"/>
        <v>0</v>
      </c>
      <c r="BZ256" s="597">
        <f t="shared" ca="1" si="49"/>
        <v>0</v>
      </c>
      <c r="CA256" s="597">
        <f t="shared" ca="1" si="49"/>
        <v>0</v>
      </c>
      <c r="CB256" s="597">
        <f t="shared" ca="1" si="49"/>
        <v>0</v>
      </c>
      <c r="CC256" s="597">
        <f t="shared" ca="1" si="49"/>
        <v>0</v>
      </c>
      <c r="CD256" s="597">
        <f t="shared" ca="1" si="49"/>
        <v>0</v>
      </c>
      <c r="CE256" s="597">
        <f t="shared" ca="1" si="49"/>
        <v>0</v>
      </c>
      <c r="CF256" s="597">
        <f t="shared" ca="1" si="49"/>
        <v>0</v>
      </c>
      <c r="CG256" s="597">
        <f t="shared" ca="1" si="49"/>
        <v>0</v>
      </c>
      <c r="CH256" s="597">
        <f t="shared" ca="1" si="49"/>
        <v>0</v>
      </c>
      <c r="CI256" s="597">
        <f t="shared" ca="1" si="49"/>
        <v>0</v>
      </c>
      <c r="CJ256" s="597">
        <f t="shared" ca="1" si="49"/>
        <v>0</v>
      </c>
      <c r="CK256" s="597">
        <f t="shared" ca="1" si="49"/>
        <v>0</v>
      </c>
      <c r="CL256" s="597">
        <f t="shared" ca="1" si="49"/>
        <v>0</v>
      </c>
      <c r="CM256" s="597">
        <f t="shared" ca="1" si="49"/>
        <v>0</v>
      </c>
      <c r="CN256" s="709"/>
      <c r="CO256" s="709">
        <f ca="1">COUNTIF(INDIRECT(CO255),TRUE)</f>
        <v>0</v>
      </c>
      <c r="CP256" s="709">
        <f ca="1">COUNTA(INDIRECT(CP255,1))</f>
        <v>1</v>
      </c>
      <c r="DA256" s="470" t="s">
        <v>6172</v>
      </c>
      <c r="DG256" s="794" t="s">
        <v>6472</v>
      </c>
      <c r="DH256" s="844">
        <f ca="1">IF(DH127&lt;&gt;DM127,1,0)</f>
        <v>0</v>
      </c>
      <c r="DJ256" s="794" t="s">
        <v>7276</v>
      </c>
      <c r="DK256" s="844">
        <f ca="1">IF(AND(DI152=1,DH112=0),1,0)</f>
        <v>0</v>
      </c>
    </row>
    <row r="257" spans="52:105" x14ac:dyDescent="0.25">
      <c r="AZ257" s="470" t="s">
        <v>6172</v>
      </c>
      <c r="BB257" s="844">
        <f ca="1">IF(BO256&lt;&gt;BU256,1,0)</f>
        <v>0</v>
      </c>
      <c r="BC257" s="426" t="s">
        <v>6201</v>
      </c>
      <c r="BH257" s="790" t="s">
        <v>6133</v>
      </c>
      <c r="BI257" s="597" cm="1">
        <f t="array" aca="1" ref="BI257" ca="1">INDIRECT($BJ$253&amp;BI255,1)</f>
        <v>0</v>
      </c>
      <c r="BJ257" s="709"/>
      <c r="BK257" s="709"/>
      <c r="BL257" s="709"/>
      <c r="BM257" s="597" cm="1">
        <f t="array" aca="1" ref="BM257" ca="1">INDIRECT($BJ$253&amp;BM255,1)</f>
        <v>0</v>
      </c>
      <c r="BN257" s="597" cm="1">
        <f t="array" aca="1" ref="BN257" ca="1">INDIRECT($BJ$253&amp;BN255,1)</f>
        <v>0</v>
      </c>
      <c r="BO257" s="597" cm="1">
        <f t="array" aca="1" ref="BO257" ca="1">INDIRECT($BJ$253&amp;BO255,1)</f>
        <v>0</v>
      </c>
      <c r="BP257" s="597" cm="1">
        <f t="array" aca="1" ref="BP257" ca="1">INDIRECT($BJ$253&amp;BP255,1)</f>
        <v>0</v>
      </c>
      <c r="BQ257" s="597" cm="1">
        <f t="array" aca="1" ref="BQ257" ca="1">INDIRECT($BJ$253&amp;BQ255,1)</f>
        <v>0</v>
      </c>
      <c r="BR257" s="597" cm="1">
        <f t="array" aca="1" ref="BR257" ca="1">INDIRECT($BJ$253&amp;BR255,1)</f>
        <v>0</v>
      </c>
      <c r="BS257" s="597" cm="1">
        <f t="array" aca="1" ref="BS257" ca="1">INDIRECT($BJ$253&amp;BS255,1)</f>
        <v>0</v>
      </c>
      <c r="BT257" s="597" cm="1">
        <f t="array" aca="1" ref="BT257" ca="1">INDIRECT($BJ$253&amp;BT255,1)</f>
        <v>0</v>
      </c>
      <c r="BU257" s="597" cm="1">
        <f t="array" aca="1" ref="BU257" ca="1">INDIRECT($BJ$253&amp;BU255,1)</f>
        <v>0</v>
      </c>
      <c r="BV257" s="597" cm="1">
        <f t="array" aca="1" ref="BV257" ca="1">INDIRECT($BJ$253&amp;BV255,1)</f>
        <v>0</v>
      </c>
      <c r="BW257" s="597" cm="1">
        <f t="array" aca="1" ref="BW257" ca="1">INDIRECT($BJ$253&amp;BW255,1)</f>
        <v>0</v>
      </c>
      <c r="BX257" s="597" t="str" cm="1">
        <f t="array" aca="1" ref="BX257" ca="1">INDIRECT($BJ$253&amp;BX255,1)</f>
        <v>Oryctolagus cuniculus</v>
      </c>
      <c r="BY257" s="597" cm="1">
        <f t="array" aca="1" ref="BY257" ca="1">INDIRECT($BJ$253&amp;BY255,1)</f>
        <v>0</v>
      </c>
      <c r="BZ257" s="597" cm="1">
        <f t="array" aca="1" ref="BZ257" ca="1">INDIRECT($BJ$253&amp;BZ255,1)</f>
        <v>0</v>
      </c>
      <c r="CA257" s="597" cm="1">
        <f t="array" aca="1" ref="CA257" ca="1">INDIRECT($BJ$253&amp;CA255,1)</f>
        <v>0</v>
      </c>
      <c r="CB257" s="597" cm="1">
        <f t="array" aca="1" ref="CB257" ca="1">INDIRECT($BJ$253&amp;CB255,1)</f>
        <v>0</v>
      </c>
      <c r="CC257" s="597" cm="1">
        <f t="array" aca="1" ref="CC257" ca="1">INDIRECT($BJ$253&amp;CC255,1)</f>
        <v>0</v>
      </c>
      <c r="CD257" s="597" cm="1">
        <f t="array" aca="1" ref="CD257" ca="1">INDIRECT($BJ$253&amp;CD255,1)</f>
        <v>0</v>
      </c>
      <c r="CE257" s="597" cm="1">
        <f t="array" aca="1" ref="CE257" ca="1">INDIRECT($BJ$253&amp;CE255,1)</f>
        <v>0</v>
      </c>
      <c r="CF257" s="597" cm="1">
        <f t="array" aca="1" ref="CF257" ca="1">INDIRECT($BJ$253&amp;CF255,1)</f>
        <v>0</v>
      </c>
      <c r="CG257" s="597" cm="1">
        <f t="array" aca="1" ref="CG257" ca="1">INDIRECT($BJ$253&amp;CG255,1)</f>
        <v>0</v>
      </c>
      <c r="CH257" s="709"/>
      <c r="CI257" s="709"/>
      <c r="CJ257" s="709"/>
      <c r="CK257" s="597" cm="1">
        <f t="array" aca="1" ref="CK257" ca="1">INDIRECT($BJ$253&amp;CK255,1)</f>
        <v>0</v>
      </c>
      <c r="CL257" s="597" cm="1">
        <f t="array" aca="1" ref="CL257" ca="1">INDIRECT($BJ$253&amp;CL255,1)</f>
        <v>0</v>
      </c>
      <c r="CM257" s="597" cm="1">
        <f t="array" aca="1" ref="CM257" ca="1">INDIRECT($BJ$253&amp;CM255,1)</f>
        <v>0</v>
      </c>
      <c r="CN257" s="709"/>
      <c r="CO257" s="709"/>
      <c r="CP257" s="709" cm="1">
        <f t="array" aca="1" ref="CP257" ca="1">INDIRECT(CP255,1)</f>
        <v>0</v>
      </c>
      <c r="DA257" s="470" t="s">
        <v>6172</v>
      </c>
    </row>
    <row r="258" spans="52:105" x14ac:dyDescent="0.25">
      <c r="AZ258" s="470" t="s">
        <v>6172</v>
      </c>
      <c r="BB258" s="844">
        <f ca="1">IF(BO256&lt;&gt;BV256,1,0)</f>
        <v>0</v>
      </c>
      <c r="BC258" s="426" t="s">
        <v>6202</v>
      </c>
      <c r="DA258" s="470" t="s">
        <v>6172</v>
      </c>
    </row>
    <row r="259" spans="52:105" x14ac:dyDescent="0.25">
      <c r="AZ259" s="470" t="s">
        <v>6172</v>
      </c>
      <c r="BB259" s="844">
        <f ca="1">IF(BO256&lt;&gt;BW256,1,0)</f>
        <v>0</v>
      </c>
      <c r="BC259" s="426" t="s">
        <v>6203</v>
      </c>
      <c r="DA259" s="470" t="s">
        <v>6172</v>
      </c>
    </row>
    <row r="260" spans="52:105" x14ac:dyDescent="0.25">
      <c r="AZ260" s="470" t="s">
        <v>6172</v>
      </c>
      <c r="BB260" s="844">
        <f ca="1">IF(AND(BO256=1,BX256=0),1,0)</f>
        <v>0</v>
      </c>
      <c r="BC260" s="426" t="s">
        <v>6204</v>
      </c>
      <c r="DA260" s="470" t="s">
        <v>6172</v>
      </c>
    </row>
    <row r="261" spans="52:105" x14ac:dyDescent="0.25">
      <c r="AZ261" s="470" t="s">
        <v>6172</v>
      </c>
      <c r="BB261" s="844">
        <f ca="1">IF(BO256&lt;&gt;BZ256,1,0)</f>
        <v>0</v>
      </c>
      <c r="BC261" s="426" t="s">
        <v>6266</v>
      </c>
      <c r="BI261" s="863" t="s">
        <v>35</v>
      </c>
      <c r="BJ261" s="863" t="s">
        <v>6286</v>
      </c>
      <c r="BK261" s="863" t="s">
        <v>6287</v>
      </c>
      <c r="BL261" s="863" t="s">
        <v>6288</v>
      </c>
      <c r="BM261" s="863" t="s">
        <v>6289</v>
      </c>
      <c r="BN261" s="863" t="s">
        <v>6290</v>
      </c>
      <c r="BO261" s="863" t="s">
        <v>6291</v>
      </c>
      <c r="BP261" s="863" t="s">
        <v>6292</v>
      </c>
      <c r="BQ261" s="863" t="s">
        <v>6293</v>
      </c>
      <c r="DA261" s="470" t="s">
        <v>6172</v>
      </c>
    </row>
    <row r="262" spans="52:105" x14ac:dyDescent="0.25">
      <c r="AZ262" s="470" t="s">
        <v>6172</v>
      </c>
      <c r="BB262" s="844">
        <f ca="1">IF(BZ256&lt;&gt;CA256,1,0)</f>
        <v>0</v>
      </c>
      <c r="BC262" s="426" t="s">
        <v>6297</v>
      </c>
      <c r="BH262" s="643" t="s">
        <v>5778</v>
      </c>
      <c r="BI262" s="597" t="s">
        <v>7483</v>
      </c>
      <c r="BJ262" s="597" t="s">
        <v>7484</v>
      </c>
      <c r="BK262" s="597" t="s">
        <v>7485</v>
      </c>
      <c r="BL262" s="597" t="s">
        <v>7486</v>
      </c>
      <c r="BM262" s="597" t="s">
        <v>7487</v>
      </c>
      <c r="BN262" s="597" t="s">
        <v>7488</v>
      </c>
      <c r="BO262" s="597" t="s">
        <v>7489</v>
      </c>
      <c r="BP262" s="597" t="s">
        <v>7490</v>
      </c>
      <c r="BQ262" s="597" t="s">
        <v>7491</v>
      </c>
      <c r="DA262" s="470" t="s">
        <v>6172</v>
      </c>
    </row>
    <row r="263" spans="52:105" x14ac:dyDescent="0.25">
      <c r="AZ263" s="470" t="s">
        <v>6172</v>
      </c>
      <c r="BB263" s="844">
        <f ca="1">IF(AND(CA257="Sim",CB256=0),1,0)</f>
        <v>0</v>
      </c>
      <c r="BC263" s="426" t="s">
        <v>6298</v>
      </c>
      <c r="BH263" s="643" t="s">
        <v>6222</v>
      </c>
      <c r="BI263" s="643">
        <f t="shared" ref="BI263:BQ263" ca="1" si="50">COUNTA(INDIRECT($BJ$253&amp;BI262,1))</f>
        <v>0</v>
      </c>
      <c r="BJ263" s="643">
        <f t="shared" ca="1" si="50"/>
        <v>0</v>
      </c>
      <c r="BK263" s="643">
        <f t="shared" ca="1" si="50"/>
        <v>0</v>
      </c>
      <c r="BL263" s="643">
        <f t="shared" ca="1" si="50"/>
        <v>0</v>
      </c>
      <c r="BM263" s="643">
        <f t="shared" ca="1" si="50"/>
        <v>0</v>
      </c>
      <c r="BN263" s="643">
        <f t="shared" ca="1" si="50"/>
        <v>0</v>
      </c>
      <c r="BO263" s="643">
        <f t="shared" ca="1" si="50"/>
        <v>0</v>
      </c>
      <c r="BP263" s="643">
        <f t="shared" ca="1" si="50"/>
        <v>10</v>
      </c>
      <c r="BQ263" s="643">
        <f t="shared" ca="1" si="50"/>
        <v>10</v>
      </c>
      <c r="DA263" s="470" t="s">
        <v>6172</v>
      </c>
    </row>
    <row r="264" spans="52:105" x14ac:dyDescent="0.25">
      <c r="AZ264" s="470" t="s">
        <v>6172</v>
      </c>
      <c r="BB264" s="844">
        <f ca="1">IF(BO256&lt;&gt;CC256,1,0)</f>
        <v>0</v>
      </c>
      <c r="BC264" s="426" t="s">
        <v>6299</v>
      </c>
      <c r="BH264" s="643" t="s">
        <v>6133</v>
      </c>
      <c r="BI264" s="643"/>
      <c r="BJ264" s="643"/>
      <c r="BK264" s="643"/>
      <c r="BL264" s="643"/>
      <c r="BM264" s="643"/>
      <c r="BN264" s="643"/>
      <c r="BO264" s="643"/>
      <c r="BP264" s="643"/>
      <c r="BQ264" s="643"/>
      <c r="DA264" s="470" t="s">
        <v>6172</v>
      </c>
    </row>
    <row r="265" spans="52:105" x14ac:dyDescent="0.25">
      <c r="AZ265" s="470" t="s">
        <v>6172</v>
      </c>
      <c r="BB265" s="844">
        <f ca="1">IF(BO256&lt;&gt;CD256,1,0)</f>
        <v>0</v>
      </c>
      <c r="BC265" s="426" t="s">
        <v>6269</v>
      </c>
      <c r="BH265" s="643" t="s">
        <v>14</v>
      </c>
      <c r="BI265" s="643" t="s">
        <v>7322</v>
      </c>
      <c r="BJ265" s="643" t="s">
        <v>7329</v>
      </c>
      <c r="BK265" s="643" t="s">
        <v>7329</v>
      </c>
      <c r="BL265" s="643" t="s">
        <v>7329</v>
      </c>
      <c r="BM265" s="643" t="s">
        <v>7329</v>
      </c>
      <c r="BN265" s="643" t="s">
        <v>7329</v>
      </c>
      <c r="BO265" s="643" t="s">
        <v>7329</v>
      </c>
      <c r="BP265" s="643" t="s">
        <v>7329</v>
      </c>
      <c r="BQ265" s="643" t="s">
        <v>7329</v>
      </c>
      <c r="DA265" s="470" t="s">
        <v>6172</v>
      </c>
    </row>
    <row r="266" spans="52:105" x14ac:dyDescent="0.25">
      <c r="AZ266" s="470" t="s">
        <v>6172</v>
      </c>
      <c r="BB266" s="844">
        <f ca="1">BJ282</f>
        <v>0</v>
      </c>
      <c r="BC266" s="426" t="s">
        <v>6272</v>
      </c>
      <c r="DA266" s="470" t="s">
        <v>6172</v>
      </c>
    </row>
    <row r="267" spans="52:105" x14ac:dyDescent="0.25">
      <c r="AZ267" s="470" t="s">
        <v>6172</v>
      </c>
      <c r="BB267" s="844">
        <f ca="1">IF(AND(BO256=1,CO256=0),1,0)</f>
        <v>0</v>
      </c>
      <c r="BC267" s="426" t="s">
        <v>6284</v>
      </c>
      <c r="DA267" s="470" t="s">
        <v>6172</v>
      </c>
    </row>
    <row r="268" spans="52:105" x14ac:dyDescent="0.25">
      <c r="AZ268" s="470" t="s">
        <v>6172</v>
      </c>
      <c r="BB268" s="844">
        <f ca="1">IF(BO256&lt;&gt;CF256,1,0)</f>
        <v>0</v>
      </c>
      <c r="BC268" s="426" t="s">
        <v>6273</v>
      </c>
      <c r="BH268" s="472"/>
      <c r="BI268" s="757" t="s">
        <v>7850</v>
      </c>
      <c r="BJ268" s="525">
        <f ca="1">IF(BO256=1,1,0)</f>
        <v>0</v>
      </c>
      <c r="DA268" s="470" t="s">
        <v>6172</v>
      </c>
    </row>
    <row r="269" spans="52:105" x14ac:dyDescent="0.25">
      <c r="AZ269" s="470" t="s">
        <v>6172</v>
      </c>
      <c r="BB269" s="844">
        <f ca="1">IF(AND(BO256&lt;&gt;0,CP257=0),1,0)</f>
        <v>0</v>
      </c>
      <c r="BC269" s="426" t="s">
        <v>6209</v>
      </c>
      <c r="BH269" s="472"/>
      <c r="BI269" s="871" t="s">
        <v>6211</v>
      </c>
      <c r="BJ269" s="525">
        <f ca="1">BW257</f>
        <v>0</v>
      </c>
      <c r="BL269" s="2"/>
      <c r="BM269" s="2"/>
      <c r="BN269" s="2"/>
      <c r="BO269" s="2"/>
      <c r="BP269" s="2"/>
      <c r="BQ269" s="2"/>
      <c r="BV269" s="2"/>
      <c r="BW269" s="2"/>
      <c r="BX269" s="2"/>
      <c r="BY269" s="2"/>
      <c r="BZ269" s="2"/>
      <c r="CA269" s="2"/>
      <c r="CB269" s="2"/>
      <c r="CC269" s="2"/>
      <c r="CD269" s="2"/>
      <c r="CE269" s="2"/>
      <c r="CF269" s="2"/>
      <c r="CG269" s="2"/>
      <c r="CH269" s="2"/>
      <c r="CI269" s="2"/>
      <c r="CJ269" s="2"/>
      <c r="CK269" s="2"/>
      <c r="DA269" s="470" t="s">
        <v>6172</v>
      </c>
    </row>
    <row r="270" spans="52:105" x14ac:dyDescent="0.25">
      <c r="AZ270" s="470" t="s">
        <v>6172</v>
      </c>
      <c r="BB270" s="844">
        <f ca="1">IF(AND(BO256&lt;&gt;0,CM256=0),1,0)</f>
        <v>0</v>
      </c>
      <c r="BC270" s="426" t="s">
        <v>6196</v>
      </c>
      <c r="BH270" s="469"/>
      <c r="BI270" s="872" t="s">
        <v>6223</v>
      </c>
      <c r="BJ270" s="759">
        <f ca="1">IF(BJ269&lt;&gt;0,
IF(COUNTIF($M$65:$M$94,BJ269)=0,1,0),0)</f>
        <v>0</v>
      </c>
      <c r="DA270" s="470" t="s">
        <v>6172</v>
      </c>
    </row>
    <row r="271" spans="52:105" x14ac:dyDescent="0.25">
      <c r="AZ271" s="470" t="s">
        <v>6172</v>
      </c>
      <c r="BB271" s="25">
        <f ca="1">IF(CC257="Não relatado",1,0)</f>
        <v>0</v>
      </c>
      <c r="BC271" s="426" t="s">
        <v>6301</v>
      </c>
      <c r="BH271" s="472"/>
      <c r="BI271" s="871" t="s">
        <v>6178</v>
      </c>
      <c r="BJ271" s="525">
        <f ca="1">IFERROR(VLOOKUP(BJ269,$M$65:$P$94,4,0),0)</f>
        <v>0</v>
      </c>
      <c r="DA271" s="470" t="s">
        <v>6172</v>
      </c>
    </row>
    <row r="272" spans="52:105" x14ac:dyDescent="0.25">
      <c r="AZ272" s="470" t="s">
        <v>6172</v>
      </c>
      <c r="BB272" s="25">
        <f ca="1">IF(AND(CC257="Sim",CD257&lt;4),1,0)</f>
        <v>0</v>
      </c>
      <c r="BC272" s="426" t="s">
        <v>6302</v>
      </c>
      <c r="BH272" s="472"/>
      <c r="BI272" s="871" t="s">
        <v>6213</v>
      </c>
      <c r="BJ272" s="525">
        <f ca="1">BV257</f>
        <v>0</v>
      </c>
      <c r="DA272" s="470" t="s">
        <v>6172</v>
      </c>
    </row>
    <row r="273" spans="52:105" x14ac:dyDescent="0.25">
      <c r="AZ273" s="470" t="s">
        <v>6172</v>
      </c>
      <c r="BB273" s="25">
        <f ca="1">BJ276</f>
        <v>0</v>
      </c>
      <c r="BC273" s="426" t="s">
        <v>6067</v>
      </c>
      <c r="BH273" s="469"/>
      <c r="BI273" s="872" t="s">
        <v>6179</v>
      </c>
      <c r="BJ273" s="759">
        <f ca="1">IF(BJ270&lt;&gt;1,
IF((BJ271-BJ272)&lt;0,1,0),
0)</f>
        <v>0</v>
      </c>
      <c r="DA273" s="470" t="s">
        <v>6172</v>
      </c>
    </row>
    <row r="274" spans="52:105" x14ac:dyDescent="0.25">
      <c r="AZ274" s="470" t="s">
        <v>6172</v>
      </c>
      <c r="BB274" s="25">
        <f ca="1">BJ277</f>
        <v>0</v>
      </c>
      <c r="BC274" s="426" t="s">
        <v>6210</v>
      </c>
      <c r="BH274" s="469"/>
      <c r="BI274" s="872" t="s">
        <v>7354</v>
      </c>
      <c r="BJ274" s="759">
        <f ca="1">IF(COUNTIFS($M$65:$M$94,BJ269,$AA$65:$AA$94,2)&gt;0,1,0)</f>
        <v>0</v>
      </c>
      <c r="DA274" s="470" t="s">
        <v>6172</v>
      </c>
    </row>
    <row r="275" spans="52:105" x14ac:dyDescent="0.25">
      <c r="AZ275" s="470" t="s">
        <v>6172</v>
      </c>
      <c r="BB275" s="25">
        <f ca="1">BJ270</f>
        <v>0</v>
      </c>
      <c r="BC275" s="426" t="s">
        <v>6243</v>
      </c>
      <c r="BH275" s="469"/>
      <c r="BI275" s="872" t="s">
        <v>7356</v>
      </c>
      <c r="BJ275" s="767">
        <f ca="1">IF(BR257="Não",1,0)</f>
        <v>0</v>
      </c>
      <c r="DA275" s="470" t="s">
        <v>6172</v>
      </c>
    </row>
    <row r="276" spans="52:105" x14ac:dyDescent="0.25">
      <c r="AZ276" s="470" t="s">
        <v>6172</v>
      </c>
      <c r="BB276" s="25">
        <f ca="1">BJ273</f>
        <v>0</v>
      </c>
      <c r="BC276" s="426" t="s">
        <v>6068</v>
      </c>
      <c r="BH276" s="469"/>
      <c r="BI276" s="758" t="s">
        <v>6067</v>
      </c>
      <c r="BJ276" s="767">
        <f ca="1">IF(CP257=2,1,0)</f>
        <v>0</v>
      </c>
      <c r="DA276" s="470" t="s">
        <v>6172</v>
      </c>
    </row>
    <row r="277" spans="52:105" x14ac:dyDescent="0.25">
      <c r="AZ277" s="470" t="s">
        <v>6172</v>
      </c>
      <c r="BB277" s="25">
        <f ca="1">BJ274</f>
        <v>0</v>
      </c>
      <c r="BC277" s="426" t="s">
        <v>6069</v>
      </c>
      <c r="BH277" s="469"/>
      <c r="BI277" s="872" t="s">
        <v>7360</v>
      </c>
      <c r="BJ277" s="767">
        <f ca="1">IF(CP257=2,
IF(COUNTIF(INDIRECT(BJ253&amp;CJ255,1),"sim")&gt;0,1,0),
0)</f>
        <v>0</v>
      </c>
      <c r="DA277" s="470" t="s">
        <v>6172</v>
      </c>
    </row>
    <row r="278" spans="52:105" x14ac:dyDescent="0.25">
      <c r="AZ278" s="470" t="s">
        <v>6172</v>
      </c>
      <c r="BB278" s="25">
        <f ca="1">BJ289</f>
        <v>0</v>
      </c>
      <c r="BC278" s="426" t="s">
        <v>6082</v>
      </c>
      <c r="BH278" s="469"/>
      <c r="DA278" s="470" t="s">
        <v>6172</v>
      </c>
    </row>
    <row r="279" spans="52:105" x14ac:dyDescent="0.25">
      <c r="AZ279" s="470" t="s">
        <v>6172</v>
      </c>
      <c r="BB279" s="25">
        <f ca="1">BJ291</f>
        <v>0</v>
      </c>
      <c r="BC279" s="426" t="s">
        <v>6081</v>
      </c>
      <c r="BH279" s="469"/>
      <c r="BI279" s="872" t="s">
        <v>7363</v>
      </c>
      <c r="BJ279" s="767">
        <f ca="1">IF(CK257="sim",1,0)</f>
        <v>0</v>
      </c>
      <c r="DA279" s="470" t="s">
        <v>6172</v>
      </c>
    </row>
    <row r="280" spans="52:105" x14ac:dyDescent="0.25">
      <c r="AZ280" s="470" t="s">
        <v>6172</v>
      </c>
      <c r="BB280" s="25"/>
      <c r="BC280" s="426"/>
      <c r="BH280" s="472"/>
      <c r="BI280" s="871" t="s">
        <v>7492</v>
      </c>
      <c r="BJ280" s="717">
        <v>6</v>
      </c>
      <c r="BN280" s="898" t="s">
        <v>7496</v>
      </c>
      <c r="DA280" s="470" t="s">
        <v>6172</v>
      </c>
    </row>
    <row r="281" spans="52:105" x14ac:dyDescent="0.25">
      <c r="AZ281" s="470" t="s">
        <v>6172</v>
      </c>
      <c r="BB281" s="25"/>
      <c r="BC281" s="426"/>
      <c r="BH281" s="472"/>
      <c r="BI281" s="871" t="s">
        <v>7463</v>
      </c>
      <c r="BJ281" s="717">
        <f ca="1">COUNTBLANK(INDIRECT($BJ$253&amp;BN281,1))</f>
        <v>12</v>
      </c>
      <c r="BN281" s="899" t="s">
        <v>8338</v>
      </c>
      <c r="DA281" s="470" t="s">
        <v>6172</v>
      </c>
    </row>
    <row r="282" spans="52:105" x14ac:dyDescent="0.25">
      <c r="AZ282" s="470" t="s">
        <v>6172</v>
      </c>
      <c r="BB282" s="25"/>
      <c r="BC282" s="426"/>
      <c r="BH282" s="469"/>
      <c r="BI282" s="872" t="s">
        <v>7465</v>
      </c>
      <c r="BJ282" s="767">
        <f ca="1">IF(BJ268=1,
IF(BJ280=BJ281,0,1),0)</f>
        <v>0</v>
      </c>
      <c r="DA282" s="470" t="s">
        <v>6172</v>
      </c>
    </row>
    <row r="283" spans="52:105" x14ac:dyDescent="0.25">
      <c r="AZ283" s="470" t="s">
        <v>6172</v>
      </c>
      <c r="BB283" s="25"/>
      <c r="BC283" s="426"/>
      <c r="BH283" s="469"/>
      <c r="BI283" s="872" t="s">
        <v>7495</v>
      </c>
      <c r="BJ283" s="767"/>
      <c r="DA283" s="470" t="s">
        <v>6172</v>
      </c>
    </row>
    <row r="284" spans="52:105" x14ac:dyDescent="0.25">
      <c r="AZ284" s="470" t="s">
        <v>6172</v>
      </c>
      <c r="BB284" s="25"/>
      <c r="BC284" s="426"/>
      <c r="BH284" s="469"/>
      <c r="BI284" s="872"/>
      <c r="BJ284" s="900"/>
      <c r="DA284" s="470" t="s">
        <v>6172</v>
      </c>
    </row>
    <row r="285" spans="52:105" x14ac:dyDescent="0.25">
      <c r="AZ285" s="470" t="s">
        <v>6172</v>
      </c>
      <c r="BB285" s="25"/>
      <c r="BC285" s="426"/>
      <c r="BH285" s="472"/>
      <c r="BI285" s="871"/>
      <c r="BJ285" s="902"/>
      <c r="DA285" s="470" t="s">
        <v>6172</v>
      </c>
    </row>
    <row r="286" spans="52:105" x14ac:dyDescent="0.25">
      <c r="AZ286" s="470" t="s">
        <v>6172</v>
      </c>
      <c r="BB286" s="25"/>
      <c r="BC286" s="426"/>
      <c r="BH286" s="469"/>
      <c r="BI286" s="872"/>
      <c r="BJ286" s="900"/>
      <c r="DA286" s="470" t="s">
        <v>6172</v>
      </c>
    </row>
    <row r="287" spans="52:105" x14ac:dyDescent="0.25">
      <c r="AZ287" s="470" t="s">
        <v>6172</v>
      </c>
      <c r="BB287" s="25"/>
      <c r="BC287" s="426"/>
      <c r="BH287" s="472"/>
      <c r="BI287" s="871" t="s">
        <v>7471</v>
      </c>
      <c r="BJ287" s="903">
        <f ca="1">IF(Calculos!J192=1,2,IF(Calculos!J193=1,5,0))</f>
        <v>0</v>
      </c>
      <c r="DA287" s="470" t="s">
        <v>6172</v>
      </c>
    </row>
    <row r="288" spans="52:105" x14ac:dyDescent="0.25">
      <c r="AZ288" s="470" t="s">
        <v>6172</v>
      </c>
      <c r="BB288" s="25"/>
      <c r="BC288" s="426"/>
      <c r="BH288" s="472"/>
      <c r="BI288" s="871" t="s">
        <v>7472</v>
      </c>
      <c r="BJ288" s="904">
        <f ca="1">IFERROR(MATCH(TRUE,INDIRECT(CO255),0),0)</f>
        <v>0</v>
      </c>
      <c r="DA288" s="470" t="s">
        <v>6172</v>
      </c>
    </row>
    <row r="289" spans="52:105" x14ac:dyDescent="0.25">
      <c r="AZ289" s="470" t="s">
        <v>6172</v>
      </c>
      <c r="BB289" s="25"/>
      <c r="BC289" s="426"/>
      <c r="BH289" s="469"/>
      <c r="BI289" s="872" t="s">
        <v>7473</v>
      </c>
      <c r="BJ289" s="900">
        <f ca="1">IF(AND(BJ287&lt;&gt;0,BJ287&lt;&gt;BJ288),1,0)</f>
        <v>0</v>
      </c>
      <c r="DA289" s="470" t="s">
        <v>6172</v>
      </c>
    </row>
    <row r="290" spans="52:105" x14ac:dyDescent="0.25">
      <c r="AZ290" s="470" t="s">
        <v>6172</v>
      </c>
      <c r="BB290" s="25"/>
      <c r="BC290" s="426"/>
      <c r="BH290" s="469"/>
      <c r="BI290" s="758" t="s">
        <v>6226</v>
      </c>
      <c r="BJ290" s="767">
        <f ca="1">IF(BN257="Sim",1,0)</f>
        <v>0</v>
      </c>
      <c r="DA290" s="470" t="s">
        <v>6172</v>
      </c>
    </row>
    <row r="291" spans="52:105" x14ac:dyDescent="0.25">
      <c r="AZ291" s="470" t="s">
        <v>6172</v>
      </c>
      <c r="BB291" s="25"/>
      <c r="BC291" s="426"/>
      <c r="BH291" s="469"/>
      <c r="BI291" s="872" t="s">
        <v>7859</v>
      </c>
      <c r="BJ291" s="900">
        <f ca="1">IF(COUNTIF(INDIRECT(BN292,1),TRUE)&gt;1,1,0)</f>
        <v>0</v>
      </c>
      <c r="BN291" s="880" t="s">
        <v>7860</v>
      </c>
      <c r="DA291" s="470" t="s">
        <v>6172</v>
      </c>
    </row>
    <row r="292" spans="52:105" x14ac:dyDescent="0.25">
      <c r="AZ292" s="470" t="s">
        <v>6172</v>
      </c>
      <c r="BB292" s="25"/>
      <c r="BC292" s="426"/>
      <c r="BH292" s="469"/>
      <c r="BI292" s="758" t="s">
        <v>7863</v>
      </c>
      <c r="BJ292" s="767">
        <f ca="1">IF(CA257="Não relatado",1,0)</f>
        <v>0</v>
      </c>
      <c r="BN292" s="905" t="s">
        <v>8549</v>
      </c>
      <c r="DA292" s="470" t="s">
        <v>6172</v>
      </c>
    </row>
    <row r="293" spans="52:105" x14ac:dyDescent="0.25">
      <c r="AZ293" s="470" t="s">
        <v>6172</v>
      </c>
      <c r="BB293" s="25"/>
      <c r="BC293" s="426"/>
      <c r="BH293" s="469"/>
      <c r="BI293" s="758" t="s">
        <v>7862</v>
      </c>
      <c r="BJ293" s="767"/>
      <c r="DA293" s="470" t="s">
        <v>6172</v>
      </c>
    </row>
    <row r="294" spans="52:105" x14ac:dyDescent="0.25">
      <c r="AZ294" s="470" t="s">
        <v>6172</v>
      </c>
      <c r="DA294" s="470" t="s">
        <v>6172</v>
      </c>
    </row>
    <row r="295" spans="52:105" ht="15.75" thickBot="1" x14ac:dyDescent="0.3">
      <c r="AZ295" s="470" t="s">
        <v>6172</v>
      </c>
      <c r="BB295" s="730" t="s">
        <v>6119</v>
      </c>
      <c r="BC295" s="730"/>
      <c r="BD295" s="730"/>
      <c r="BE295" s="730"/>
      <c r="BF295" s="730"/>
      <c r="BG295" s="730"/>
      <c r="BH295" s="730"/>
      <c r="BI295" s="730"/>
      <c r="BJ295" s="730"/>
      <c r="BK295" s="730"/>
      <c r="BL295" s="730"/>
      <c r="BM295" s="730"/>
      <c r="BN295" s="730"/>
      <c r="BO295" s="730"/>
      <c r="BP295" s="730"/>
      <c r="BQ295" s="730"/>
      <c r="BR295" s="730"/>
      <c r="BS295" s="730"/>
      <c r="BT295" s="730"/>
      <c r="BU295" s="730"/>
      <c r="BV295" s="730"/>
      <c r="BW295" s="730"/>
      <c r="BX295" s="730"/>
      <c r="BY295" s="730"/>
      <c r="BZ295" s="730"/>
      <c r="CA295" s="730"/>
      <c r="CB295" s="730"/>
      <c r="CC295" s="730"/>
      <c r="CD295" s="730"/>
      <c r="CE295" s="730"/>
      <c r="CF295" s="730"/>
      <c r="CG295" s="730"/>
      <c r="CH295" s="730"/>
      <c r="CI295" s="730"/>
      <c r="DA295" s="470" t="s">
        <v>6172</v>
      </c>
    </row>
    <row r="296" spans="52:105" x14ac:dyDescent="0.25">
      <c r="AZ296" s="470" t="s">
        <v>6172</v>
      </c>
      <c r="BB296" s="477" t="s">
        <v>8104</v>
      </c>
      <c r="BC296" s="477" t="s">
        <v>8294</v>
      </c>
      <c r="DA296" s="470" t="s">
        <v>6172</v>
      </c>
    </row>
    <row r="297" spans="52:105" x14ac:dyDescent="0.25">
      <c r="AZ297" s="470" t="s">
        <v>6172</v>
      </c>
      <c r="BB297" s="25">
        <f t="shared" ref="BB297:BB317" ca="1" si="51">BP340</f>
        <v>0</v>
      </c>
      <c r="BC297" s="426" t="s">
        <v>6197</v>
      </c>
      <c r="BI297" s="733" t="s">
        <v>7321</v>
      </c>
      <c r="BJ297" s="797" t="s">
        <v>5579</v>
      </c>
      <c r="DA297" s="470" t="s">
        <v>6172</v>
      </c>
    </row>
    <row r="298" spans="52:105" x14ac:dyDescent="0.25">
      <c r="AZ298" s="470" t="s">
        <v>6172</v>
      </c>
      <c r="BB298" s="25">
        <f t="shared" ca="1" si="51"/>
        <v>0</v>
      </c>
      <c r="BC298" s="426" t="s">
        <v>6198</v>
      </c>
      <c r="BI298" s="864" t="s">
        <v>30</v>
      </c>
      <c r="BJ298" s="864" t="s">
        <v>6174</v>
      </c>
      <c r="BK298" s="864" t="s">
        <v>6173</v>
      </c>
      <c r="BL298" s="864" t="s">
        <v>6029</v>
      </c>
      <c r="BM298" s="864" t="s">
        <v>218</v>
      </c>
      <c r="BN298" s="864" t="s">
        <v>6183</v>
      </c>
      <c r="BO298" s="864" t="s">
        <v>6184</v>
      </c>
      <c r="BP298" s="864" t="s">
        <v>31</v>
      </c>
      <c r="BQ298" s="864" t="s">
        <v>5720</v>
      </c>
      <c r="BR298" s="864" t="s">
        <v>85</v>
      </c>
      <c r="BS298" s="864" t="s">
        <v>235</v>
      </c>
      <c r="BT298" s="864" t="s">
        <v>126</v>
      </c>
      <c r="BU298" s="864" t="s">
        <v>72</v>
      </c>
      <c r="BV298" s="864" t="s">
        <v>6303</v>
      </c>
      <c r="BW298" s="864" t="s">
        <v>6304</v>
      </c>
      <c r="BX298" s="864" t="s">
        <v>74</v>
      </c>
      <c r="BY298" s="864" t="s">
        <v>6308</v>
      </c>
      <c r="BZ298" s="864" t="s">
        <v>75</v>
      </c>
      <c r="CA298" s="864" t="s">
        <v>76</v>
      </c>
      <c r="CB298" s="864" t="s">
        <v>319</v>
      </c>
      <c r="CC298" s="864" t="s">
        <v>141</v>
      </c>
      <c r="CD298" s="864" t="s">
        <v>35</v>
      </c>
      <c r="CE298" s="864" t="s">
        <v>320</v>
      </c>
      <c r="CF298" s="864" t="s">
        <v>6305</v>
      </c>
      <c r="CG298" s="738" t="s">
        <v>293</v>
      </c>
      <c r="CH298" s="738" t="s">
        <v>301</v>
      </c>
      <c r="CI298" s="738" t="s">
        <v>302</v>
      </c>
      <c r="CJ298" s="864" t="s">
        <v>6242</v>
      </c>
      <c r="CK298" s="864" t="s">
        <v>143</v>
      </c>
      <c r="CL298" s="864" t="s">
        <v>6189</v>
      </c>
      <c r="CM298" s="738" t="s">
        <v>6187</v>
      </c>
      <c r="DA298" s="470" t="s">
        <v>6172</v>
      </c>
    </row>
    <row r="299" spans="52:105" x14ac:dyDescent="0.25">
      <c r="AZ299" s="470" t="s">
        <v>6172</v>
      </c>
      <c r="BB299" s="25">
        <f t="shared" ca="1" si="51"/>
        <v>0</v>
      </c>
      <c r="BC299" s="426" t="s">
        <v>6199</v>
      </c>
      <c r="BH299" s="790" t="s">
        <v>5778</v>
      </c>
      <c r="BI299" s="761" t="s">
        <v>1592</v>
      </c>
      <c r="BJ299" s="761" t="s">
        <v>7333</v>
      </c>
      <c r="BK299" s="761" t="s">
        <v>7334</v>
      </c>
      <c r="BL299" s="827" t="s">
        <v>5798</v>
      </c>
      <c r="BM299" s="761" t="s">
        <v>7335</v>
      </c>
      <c r="BN299" s="761" t="s">
        <v>7336</v>
      </c>
      <c r="BO299" s="845" t="s">
        <v>7337</v>
      </c>
      <c r="BP299" s="845" t="s">
        <v>7338</v>
      </c>
      <c r="BQ299" s="911" t="s">
        <v>5796</v>
      </c>
      <c r="BR299" s="912" t="s">
        <v>7339</v>
      </c>
      <c r="BS299" s="761" t="s">
        <v>7340</v>
      </c>
      <c r="BT299" s="827" t="s">
        <v>7385</v>
      </c>
      <c r="BU299" s="827" t="s">
        <v>7406</v>
      </c>
      <c r="BV299" s="845" t="s">
        <v>7504</v>
      </c>
      <c r="BW299" s="845" t="s">
        <v>7505</v>
      </c>
      <c r="BX299" s="827" t="s">
        <v>6553</v>
      </c>
      <c r="BY299" s="827" t="s">
        <v>7341</v>
      </c>
      <c r="BZ299" s="827" t="s">
        <v>7342</v>
      </c>
      <c r="CA299" s="827" t="s">
        <v>7343</v>
      </c>
      <c r="CB299" s="761" t="s">
        <v>7449</v>
      </c>
      <c r="CC299" s="761" t="s">
        <v>7303</v>
      </c>
      <c r="CD299" s="761" t="s">
        <v>7375</v>
      </c>
      <c r="CE299" s="913" t="s">
        <v>7454</v>
      </c>
      <c r="CF299" s="761" t="s">
        <v>7506</v>
      </c>
      <c r="CG299" s="846" t="s">
        <v>7498</v>
      </c>
      <c r="CH299" s="846" t="s">
        <v>7499</v>
      </c>
      <c r="CI299" s="846" t="s">
        <v>7500</v>
      </c>
      <c r="CJ299" s="761" t="s">
        <v>5685</v>
      </c>
      <c r="CK299" s="761" t="s">
        <v>7507</v>
      </c>
      <c r="CL299" s="761" t="s">
        <v>7508</v>
      </c>
      <c r="CM299" s="829" t="s">
        <v>8551</v>
      </c>
      <c r="CN299" s="472"/>
      <c r="DA299" s="470" t="s">
        <v>6172</v>
      </c>
    </row>
    <row r="300" spans="52:105" x14ac:dyDescent="0.25">
      <c r="AZ300" s="470" t="s">
        <v>6172</v>
      </c>
      <c r="BB300" s="25">
        <f t="shared" ca="1" si="51"/>
        <v>0</v>
      </c>
      <c r="BC300" s="426" t="s">
        <v>6200</v>
      </c>
      <c r="BH300" s="790" t="s">
        <v>6222</v>
      </c>
      <c r="BI300" s="716">
        <f t="shared" ref="BI300:CL300" ca="1" si="52">COUNTA(INDIRECT($BJ$297&amp;BI299,1))</f>
        <v>0</v>
      </c>
      <c r="BJ300" s="716">
        <f t="shared" ca="1" si="52"/>
        <v>0</v>
      </c>
      <c r="BK300" s="716">
        <f t="shared" ca="1" si="52"/>
        <v>0</v>
      </c>
      <c r="BL300" s="716">
        <f t="shared" ca="1" si="52"/>
        <v>0</v>
      </c>
      <c r="BM300" s="716">
        <f t="shared" ca="1" si="52"/>
        <v>0</v>
      </c>
      <c r="BN300" s="716">
        <f t="shared" ca="1" si="52"/>
        <v>0</v>
      </c>
      <c r="BO300" s="716">
        <f t="shared" ca="1" si="52"/>
        <v>0</v>
      </c>
      <c r="BP300" s="716">
        <f t="shared" ca="1" si="52"/>
        <v>0</v>
      </c>
      <c r="BQ300" s="716">
        <f t="shared" ca="1" si="52"/>
        <v>0</v>
      </c>
      <c r="BR300" s="716">
        <f t="shared" ca="1" si="52"/>
        <v>1</v>
      </c>
      <c r="BS300" s="716">
        <f t="shared" ca="1" si="52"/>
        <v>0</v>
      </c>
      <c r="BT300" s="716">
        <f t="shared" ca="1" si="52"/>
        <v>0</v>
      </c>
      <c r="BU300" s="716">
        <f t="shared" ca="1" si="52"/>
        <v>0</v>
      </c>
      <c r="BV300" s="716">
        <f t="shared" ca="1" si="52"/>
        <v>0</v>
      </c>
      <c r="BW300" s="716">
        <f t="shared" ca="1" si="52"/>
        <v>0</v>
      </c>
      <c r="BX300" s="716">
        <f t="shared" ca="1" si="52"/>
        <v>0</v>
      </c>
      <c r="BY300" s="716">
        <f t="shared" ca="1" si="52"/>
        <v>0</v>
      </c>
      <c r="BZ300" s="716">
        <f t="shared" ca="1" si="52"/>
        <v>0</v>
      </c>
      <c r="CA300" s="716">
        <f t="shared" ca="1" si="52"/>
        <v>0</v>
      </c>
      <c r="CB300" s="716">
        <f t="shared" ca="1" si="52"/>
        <v>0</v>
      </c>
      <c r="CC300" s="716">
        <f t="shared" ca="1" si="52"/>
        <v>0</v>
      </c>
      <c r="CD300" s="716">
        <f t="shared" ca="1" si="52"/>
        <v>0</v>
      </c>
      <c r="CE300" s="716">
        <f t="shared" ca="1" si="52"/>
        <v>0</v>
      </c>
      <c r="CF300" s="716">
        <f t="shared" ca="1" si="52"/>
        <v>0</v>
      </c>
      <c r="CG300" s="716">
        <f t="shared" ca="1" si="52"/>
        <v>0</v>
      </c>
      <c r="CH300" s="716">
        <f t="shared" ca="1" si="52"/>
        <v>0</v>
      </c>
      <c r="CI300" s="716">
        <f t="shared" ca="1" si="52"/>
        <v>0</v>
      </c>
      <c r="CJ300" s="716">
        <f t="shared" ca="1" si="52"/>
        <v>0</v>
      </c>
      <c r="CK300" s="716">
        <f t="shared" ca="1" si="52"/>
        <v>0</v>
      </c>
      <c r="CL300" s="716">
        <f t="shared" ca="1" si="52"/>
        <v>0</v>
      </c>
      <c r="CM300" s="716">
        <f ca="1">COUNTA(INDIRECT(CM299,1))</f>
        <v>1</v>
      </c>
      <c r="CN300" s="472"/>
      <c r="DA300" s="470" t="s">
        <v>6172</v>
      </c>
    </row>
    <row r="301" spans="52:105" x14ac:dyDescent="0.25">
      <c r="AZ301" s="470" t="s">
        <v>6172</v>
      </c>
      <c r="BB301" s="25">
        <f t="shared" ca="1" si="51"/>
        <v>0</v>
      </c>
      <c r="BC301" s="426" t="s">
        <v>6201</v>
      </c>
      <c r="BH301" s="790" t="s">
        <v>6133</v>
      </c>
      <c r="BI301" s="643" cm="1">
        <f t="array" aca="1" ref="BI301" ca="1">INDIRECT($BJ$297&amp;BI299,1)</f>
        <v>0</v>
      </c>
      <c r="BJ301" s="643" cm="1">
        <f t="array" aca="1" ref="BJ301" ca="1">INDIRECT($BJ$297&amp;BJ299,1)</f>
        <v>0</v>
      </c>
      <c r="BK301" s="643" cm="1">
        <f t="array" aca="1" ref="BK301" ca="1">INDIRECT($BJ$297&amp;BK299,1)</f>
        <v>0</v>
      </c>
      <c r="BL301" s="643" cm="1">
        <f t="array" aca="1" ref="BL301" ca="1">INDIRECT($BJ$297&amp;BL299,1)</f>
        <v>0</v>
      </c>
      <c r="BM301" s="643" cm="1">
        <f t="array" aca="1" ref="BM301" ca="1">INDIRECT($BJ$297&amp;BM299,1)</f>
        <v>0</v>
      </c>
      <c r="BN301" s="643" cm="1">
        <f t="array" aca="1" ref="BN301" ca="1">INDIRECT($BJ$297&amp;BN299,1)</f>
        <v>0</v>
      </c>
      <c r="BO301" s="643" cm="1">
        <f t="array" aca="1" ref="BO301" ca="1">INDIRECT($BJ$297&amp;BO299,1)</f>
        <v>0</v>
      </c>
      <c r="BP301" s="643" cm="1">
        <f t="array" aca="1" ref="BP301" ca="1">INDIRECT($BJ$297&amp;BP299,1)</f>
        <v>0</v>
      </c>
      <c r="BQ301" s="643" cm="1">
        <f t="array" aca="1" ref="BQ301" ca="1">INDIRECT($BJ$297&amp;BQ299,1)</f>
        <v>0</v>
      </c>
      <c r="BR301" s="643" t="str" cm="1">
        <f t="array" aca="1" ref="BR301" ca="1">INDIRECT($BJ$297&amp;BR299,1)</f>
        <v>Mus musculus</v>
      </c>
      <c r="BS301" s="643" cm="1">
        <f t="array" aca="1" ref="BS301" ca="1">INDIRECT($BJ$297&amp;BS299,1)</f>
        <v>0</v>
      </c>
      <c r="BT301" s="643" cm="1">
        <f t="array" aca="1" ref="BT301" ca="1">INDIRECT($BJ$297&amp;BT299,1)</f>
        <v>0</v>
      </c>
      <c r="BU301" s="643" cm="1">
        <f t="array" aca="1" ref="BU301" ca="1">INDIRECT($BJ$297&amp;BU299,1)</f>
        <v>0</v>
      </c>
      <c r="BV301" s="643" cm="1">
        <f t="array" aca="1" ref="BV301" ca="1">INDIRECT($BJ$297&amp;BV299,1)</f>
        <v>0</v>
      </c>
      <c r="BW301" s="643" cm="1">
        <f t="array" aca="1" ref="BW301" ca="1">INDIRECT($BJ$297&amp;BW299,1)</f>
        <v>0</v>
      </c>
      <c r="BX301" s="643" cm="1">
        <f t="array" aca="1" ref="BX301" ca="1">INDIRECT($BJ$297&amp;BX299,1)</f>
        <v>0</v>
      </c>
      <c r="BY301" s="643" cm="1">
        <f t="array" aca="1" ref="BY301" ca="1">INDIRECT($BJ$297&amp;BY299,1)</f>
        <v>0</v>
      </c>
      <c r="BZ301" s="643" cm="1">
        <f t="array" aca="1" ref="BZ301" ca="1">INDIRECT($BJ$297&amp;BZ299,1)</f>
        <v>0</v>
      </c>
      <c r="CA301" s="643" cm="1">
        <f t="array" aca="1" ref="CA301" ca="1">INDIRECT($BJ$297&amp;CA299,1)</f>
        <v>0</v>
      </c>
      <c r="CB301" s="643" cm="1">
        <f t="array" aca="1" ref="CB301" ca="1">INDIRECT($BJ$297&amp;CB299,1)</f>
        <v>0</v>
      </c>
      <c r="CC301" s="643" cm="1">
        <f t="array" aca="1" ref="CC301" ca="1">INDIRECT($BJ$297&amp;CC299,1)</f>
        <v>0</v>
      </c>
      <c r="CD301" s="643" cm="1">
        <f t="array" aca="1" ref="CD301" ca="1">INDIRECT($BJ$297&amp;CD299,1)</f>
        <v>0</v>
      </c>
      <c r="CE301" s="643" cm="1">
        <f t="array" aca="1" ref="CE301" ca="1">INDIRECT($BJ$297&amp;CE299,1)</f>
        <v>0</v>
      </c>
      <c r="CF301" s="643" cm="1">
        <f t="array" aca="1" ref="CF301" ca="1">INDIRECT($BJ$297&amp;CF299,1)</f>
        <v>0</v>
      </c>
      <c r="CG301" s="713"/>
      <c r="CH301" s="713"/>
      <c r="CI301" s="713"/>
      <c r="CJ301" s="643" cm="1">
        <f t="array" aca="1" ref="CJ301" ca="1">INDIRECT($BJ$297&amp;CJ299,1)</f>
        <v>0</v>
      </c>
      <c r="CK301" s="643" cm="1">
        <f t="array" aca="1" ref="CK301" ca="1">INDIRECT($BJ$297&amp;CK299,1)</f>
        <v>0</v>
      </c>
      <c r="CL301" s="643" cm="1">
        <f t="array" aca="1" ref="CL301" ca="1">INDIRECT($BJ$297&amp;CL299,1)</f>
        <v>0</v>
      </c>
      <c r="CM301" s="643" cm="1">
        <f t="array" aca="1" ref="CM301" ca="1">INDIRECT(CM299,1)</f>
        <v>0</v>
      </c>
      <c r="CN301" s="472"/>
      <c r="DA301" s="470" t="s">
        <v>6172</v>
      </c>
    </row>
    <row r="302" spans="52:105" x14ac:dyDescent="0.25">
      <c r="AZ302" s="470" t="s">
        <v>6172</v>
      </c>
      <c r="BB302" s="25">
        <f t="shared" ca="1" si="51"/>
        <v>0</v>
      </c>
      <c r="BC302" s="426" t="s">
        <v>6202</v>
      </c>
      <c r="CN302" s="472"/>
      <c r="DA302" s="470" t="s">
        <v>6172</v>
      </c>
    </row>
    <row r="303" spans="52:105" x14ac:dyDescent="0.25">
      <c r="AZ303" s="470" t="s">
        <v>6172</v>
      </c>
      <c r="BB303" s="25">
        <f t="shared" ca="1" si="51"/>
        <v>0</v>
      </c>
      <c r="BC303" s="426" t="s">
        <v>6203</v>
      </c>
      <c r="BI303" s="472"/>
      <c r="BJ303" s="472"/>
      <c r="BK303" s="472"/>
      <c r="BL303" s="472"/>
      <c r="BM303" s="472"/>
      <c r="BN303" s="472"/>
      <c r="BO303" s="472"/>
      <c r="BP303" s="472"/>
      <c r="BQ303" s="472"/>
      <c r="BR303" s="472"/>
      <c r="BS303" s="472"/>
      <c r="BT303" s="472"/>
      <c r="BU303" s="472"/>
      <c r="BV303" s="472"/>
      <c r="BW303" s="472"/>
      <c r="BX303" s="472"/>
      <c r="BY303" s="472"/>
      <c r="BZ303" s="472"/>
      <c r="CA303" s="472"/>
      <c r="CB303" s="472"/>
      <c r="CC303" s="472"/>
      <c r="CD303" s="472"/>
      <c r="CE303" s="472"/>
      <c r="CF303" s="472"/>
      <c r="CG303" s="472"/>
      <c r="CH303" s="472"/>
      <c r="CI303" s="472"/>
      <c r="CJ303" s="472"/>
      <c r="CK303" s="472"/>
      <c r="CL303" s="472"/>
      <c r="CM303" s="472"/>
      <c r="CN303" s="472"/>
      <c r="DA303" s="470" t="s">
        <v>6172</v>
      </c>
    </row>
    <row r="304" spans="52:105" x14ac:dyDescent="0.25">
      <c r="AZ304" s="470" t="s">
        <v>6172</v>
      </c>
      <c r="BB304" s="25">
        <f t="shared" ca="1" si="51"/>
        <v>0</v>
      </c>
      <c r="BC304" s="426" t="s">
        <v>6204</v>
      </c>
      <c r="BI304" s="472"/>
      <c r="BJ304" s="472"/>
      <c r="BK304" s="472"/>
      <c r="BL304" s="472"/>
      <c r="BM304" s="472"/>
      <c r="BN304" s="472"/>
      <c r="BU304" s="472"/>
      <c r="BV304" s="472"/>
      <c r="BW304" s="472"/>
      <c r="BX304" s="472"/>
      <c r="BY304" s="472"/>
      <c r="BZ304" s="472"/>
      <c r="CA304" s="472"/>
      <c r="CB304" s="472"/>
      <c r="CC304" s="2"/>
      <c r="CD304" s="2"/>
      <c r="CE304" s="2"/>
      <c r="CF304" s="2"/>
      <c r="CG304" s="2"/>
      <c r="CH304" s="2"/>
      <c r="CI304" s="472"/>
      <c r="CJ304" s="472"/>
      <c r="CK304" s="472"/>
      <c r="CL304" s="472"/>
      <c r="CM304" s="472"/>
      <c r="CN304" s="472"/>
      <c r="DA304" s="470" t="s">
        <v>6172</v>
      </c>
    </row>
    <row r="305" spans="52:105" x14ac:dyDescent="0.25">
      <c r="AZ305" s="470" t="s">
        <v>6172</v>
      </c>
      <c r="BB305" s="25">
        <f t="shared" ca="1" si="51"/>
        <v>0</v>
      </c>
      <c r="BC305" s="426" t="s">
        <v>6309</v>
      </c>
      <c r="BH305" s="472"/>
      <c r="BI305" s="914" t="s">
        <v>7510</v>
      </c>
      <c r="BU305" s="472"/>
      <c r="BV305" s="472"/>
      <c r="BW305" s="472"/>
      <c r="BX305" s="472"/>
      <c r="BY305" s="472"/>
      <c r="BZ305" s="472"/>
      <c r="CA305" s="472"/>
      <c r="CB305" s="472"/>
      <c r="CE305" s="2" t="s">
        <v>6320</v>
      </c>
      <c r="CF305" s="2"/>
      <c r="CG305" s="2" t="s">
        <v>6326</v>
      </c>
      <c r="CH305" s="2"/>
      <c r="CI305" s="472"/>
      <c r="CJ305" s="472"/>
      <c r="CK305" s="472"/>
      <c r="CL305" s="472"/>
      <c r="CM305" s="472"/>
      <c r="CN305" s="472"/>
      <c r="DA305" s="470" t="s">
        <v>6172</v>
      </c>
    </row>
    <row r="306" spans="52:105" x14ac:dyDescent="0.25">
      <c r="AZ306" s="470" t="s">
        <v>6172</v>
      </c>
      <c r="BB306" s="25">
        <f t="shared" ca="1" si="51"/>
        <v>0</v>
      </c>
      <c r="BC306" s="426" t="s">
        <v>6310</v>
      </c>
      <c r="BI306" s="864" t="s">
        <v>7261</v>
      </c>
      <c r="BJ306" s="864" t="s">
        <v>7262</v>
      </c>
      <c r="BK306" s="864" t="s">
        <v>142</v>
      </c>
      <c r="BL306" s="864" t="s">
        <v>81</v>
      </c>
      <c r="BU306" s="472"/>
      <c r="BV306" s="472"/>
      <c r="BW306" s="472"/>
      <c r="BX306" s="472"/>
      <c r="BY306" s="472"/>
      <c r="BZ306" s="472"/>
      <c r="CA306" s="472"/>
      <c r="CB306" s="472"/>
      <c r="CC306" s="915" t="s">
        <v>5579</v>
      </c>
      <c r="CD306" s="716" t="s">
        <v>5734</v>
      </c>
      <c r="CE306" s="716" t="s">
        <v>5739</v>
      </c>
      <c r="CF306" s="643" t="s">
        <v>6321</v>
      </c>
      <c r="CI306" s="472"/>
      <c r="CJ306" s="472"/>
      <c r="CK306" s="472"/>
      <c r="CL306" s="472"/>
      <c r="CM306" s="472"/>
      <c r="CN306" s="472"/>
      <c r="DA306" s="470" t="s">
        <v>6172</v>
      </c>
    </row>
    <row r="307" spans="52:105" x14ac:dyDescent="0.25">
      <c r="AZ307" s="470" t="s">
        <v>6172</v>
      </c>
      <c r="BB307" s="25">
        <f t="shared" ca="1" si="51"/>
        <v>0</v>
      </c>
      <c r="BC307" s="426" t="s">
        <v>6311</v>
      </c>
      <c r="BH307" s="790" t="s">
        <v>5778</v>
      </c>
      <c r="BI307" s="833" t="s">
        <v>7511</v>
      </c>
      <c r="BJ307" s="833" t="s">
        <v>7512</v>
      </c>
      <c r="BK307" s="597" t="s">
        <v>7513</v>
      </c>
      <c r="BL307" s="597" t="s">
        <v>7514</v>
      </c>
      <c r="BU307" s="472"/>
      <c r="BV307" s="472"/>
      <c r="BW307" s="472"/>
      <c r="BX307" s="472"/>
      <c r="BY307" s="472"/>
      <c r="BZ307" s="472"/>
      <c r="CA307" s="472"/>
      <c r="CB307" s="472"/>
      <c r="CD307" s="916" t="s">
        <v>6325</v>
      </c>
      <c r="CE307" s="916" t="s">
        <v>6322</v>
      </c>
      <c r="CF307" s="916" t="s">
        <v>6323</v>
      </c>
      <c r="CG307" s="916" t="s">
        <v>6324</v>
      </c>
      <c r="CH307" s="916" t="s">
        <v>6300</v>
      </c>
      <c r="CI307" s="472"/>
      <c r="CJ307" s="472"/>
      <c r="CK307" s="472"/>
      <c r="CL307" s="472"/>
      <c r="CM307" s="472"/>
      <c r="CN307" s="472"/>
      <c r="DA307" s="470" t="s">
        <v>6172</v>
      </c>
    </row>
    <row r="308" spans="52:105" x14ac:dyDescent="0.25">
      <c r="AZ308" s="470" t="s">
        <v>6172</v>
      </c>
      <c r="BB308" s="25">
        <f t="shared" ca="1" si="51"/>
        <v>0</v>
      </c>
      <c r="BC308" s="426" t="s">
        <v>6312</v>
      </c>
      <c r="BH308" s="790" t="s">
        <v>6222</v>
      </c>
      <c r="BI308" s="716">
        <f ca="1">COUNTA(INDIRECT($BJ$297&amp;BI307,1))</f>
        <v>0</v>
      </c>
      <c r="BJ308" s="716">
        <f ca="1">COUNTA(INDIRECT($BJ$297&amp;BJ307,1))</f>
        <v>0</v>
      </c>
      <c r="BK308" s="716">
        <f ca="1">COUNTA(INDIRECT($BJ$297&amp;BK307,1))</f>
        <v>0</v>
      </c>
      <c r="BL308" s="716">
        <f ca="1">COUNTA(INDIRECT($BJ$297&amp;BL307,1))</f>
        <v>0</v>
      </c>
      <c r="BU308" s="472"/>
      <c r="BV308" s="472"/>
      <c r="BW308" s="472"/>
      <c r="BX308" s="472"/>
      <c r="BY308" s="472"/>
      <c r="BZ308" s="472"/>
      <c r="CA308" s="472"/>
      <c r="CB308" s="472"/>
      <c r="CC308" s="917">
        <v>30</v>
      </c>
      <c r="CD308" s="832">
        <f t="shared" ref="CD308:CF317" ca="1" si="53">COUNTA(INDIRECT($CC$306&amp;CD$306&amp;$CC308,1))</f>
        <v>0</v>
      </c>
      <c r="CE308" s="832">
        <f t="shared" ca="1" si="53"/>
        <v>0</v>
      </c>
      <c r="CF308" s="832">
        <f t="shared" ca="1" si="53"/>
        <v>0</v>
      </c>
      <c r="CG308" s="832">
        <f ca="1">IF(CD308&gt;SUM(CE308:CF308),1,0)</f>
        <v>0</v>
      </c>
      <c r="CH308" s="832">
        <f ca="1">IF(SUM(CG308:CG317)&gt;0,1,0)</f>
        <v>0</v>
      </c>
      <c r="CI308" s="472"/>
      <c r="CJ308" s="472"/>
      <c r="CK308" s="472"/>
      <c r="CL308" s="472"/>
      <c r="CM308" s="472"/>
      <c r="CN308" s="472"/>
      <c r="DA308" s="470" t="s">
        <v>6172</v>
      </c>
    </row>
    <row r="309" spans="52:105" x14ac:dyDescent="0.25">
      <c r="AZ309" s="470" t="s">
        <v>6172</v>
      </c>
      <c r="BB309" s="25">
        <f t="shared" ca="1" si="51"/>
        <v>0</v>
      </c>
      <c r="BC309" s="426" t="s">
        <v>6313</v>
      </c>
      <c r="BH309" s="790" t="s">
        <v>6133</v>
      </c>
      <c r="BI309" s="643" cm="1">
        <f t="array" aca="1" ref="BI309" ca="1">INDIRECT($BJ$297&amp;BI307,1)</f>
        <v>0</v>
      </c>
      <c r="BJ309" s="643" cm="1">
        <f t="array" aca="1" ref="BJ309" ca="1">INDIRECT($BJ$297&amp;BJ307,1)</f>
        <v>0</v>
      </c>
      <c r="BK309" s="643" cm="1">
        <f t="array" aca="1" ref="BK309" ca="1">INDIRECT($BJ$297&amp;BK307,1)</f>
        <v>0</v>
      </c>
      <c r="BL309" s="643" cm="1">
        <f t="array" aca="1" ref="BL309" ca="1">INDIRECT($BJ$297&amp;BL307,1)</f>
        <v>0</v>
      </c>
      <c r="CC309" s="917">
        <v>31</v>
      </c>
      <c r="CD309" s="832">
        <f t="shared" ca="1" si="53"/>
        <v>0</v>
      </c>
      <c r="CE309" s="832">
        <f t="shared" ca="1" si="53"/>
        <v>0</v>
      </c>
      <c r="CF309" s="832">
        <f t="shared" ca="1" si="53"/>
        <v>0</v>
      </c>
      <c r="CG309" s="832">
        <f t="shared" ref="CG309:CG317" ca="1" si="54">IF(CD309&gt;SUM(CE309:CF309),1,0)</f>
        <v>0</v>
      </c>
      <c r="DA309" s="470" t="s">
        <v>6172</v>
      </c>
    </row>
    <row r="310" spans="52:105" x14ac:dyDescent="0.25">
      <c r="AZ310" s="470" t="s">
        <v>6172</v>
      </c>
      <c r="BB310" s="25">
        <f t="shared" ca="1" si="51"/>
        <v>0</v>
      </c>
      <c r="BC310" s="426" t="s">
        <v>6327</v>
      </c>
      <c r="BH310" s="790" t="s">
        <v>14</v>
      </c>
      <c r="BI310" s="597" t="s">
        <v>7328</v>
      </c>
      <c r="BJ310" s="597" t="s">
        <v>7328</v>
      </c>
      <c r="BK310" s="597" t="s">
        <v>7330</v>
      </c>
      <c r="BL310" s="597" t="s">
        <v>7330</v>
      </c>
      <c r="CC310" s="917">
        <v>32</v>
      </c>
      <c r="CD310" s="832">
        <f t="shared" ca="1" si="53"/>
        <v>0</v>
      </c>
      <c r="CE310" s="832">
        <f t="shared" ca="1" si="53"/>
        <v>0</v>
      </c>
      <c r="CF310" s="832">
        <f t="shared" ca="1" si="53"/>
        <v>0</v>
      </c>
      <c r="CG310" s="832">
        <f t="shared" ca="1" si="54"/>
        <v>0</v>
      </c>
      <c r="DA310" s="470" t="s">
        <v>6172</v>
      </c>
    </row>
    <row r="311" spans="52:105" x14ac:dyDescent="0.25">
      <c r="AZ311" s="470" t="s">
        <v>6172</v>
      </c>
      <c r="BB311" s="25">
        <f t="shared" ca="1" si="51"/>
        <v>0</v>
      </c>
      <c r="BC311" s="426" t="s">
        <v>6314</v>
      </c>
      <c r="CC311" s="917">
        <v>33</v>
      </c>
      <c r="CD311" s="832">
        <f t="shared" ca="1" si="53"/>
        <v>0</v>
      </c>
      <c r="CE311" s="832">
        <f t="shared" ca="1" si="53"/>
        <v>0</v>
      </c>
      <c r="CF311" s="832">
        <f t="shared" ca="1" si="53"/>
        <v>0</v>
      </c>
      <c r="CG311" s="832">
        <f t="shared" ca="1" si="54"/>
        <v>0</v>
      </c>
      <c r="DA311" s="470" t="s">
        <v>6172</v>
      </c>
    </row>
    <row r="312" spans="52:105" x14ac:dyDescent="0.25">
      <c r="AZ312" s="470" t="s">
        <v>6172</v>
      </c>
      <c r="BB312" s="25">
        <f t="shared" ca="1" si="51"/>
        <v>0</v>
      </c>
      <c r="BC312" s="426" t="s">
        <v>6315</v>
      </c>
      <c r="CC312" s="917">
        <v>34</v>
      </c>
      <c r="CD312" s="832">
        <f t="shared" ca="1" si="53"/>
        <v>0</v>
      </c>
      <c r="CE312" s="832">
        <f t="shared" ca="1" si="53"/>
        <v>0</v>
      </c>
      <c r="CF312" s="832">
        <f t="shared" ca="1" si="53"/>
        <v>0</v>
      </c>
      <c r="CG312" s="832">
        <f t="shared" ca="1" si="54"/>
        <v>0</v>
      </c>
      <c r="DA312" s="470" t="s">
        <v>6172</v>
      </c>
    </row>
    <row r="313" spans="52:105" x14ac:dyDescent="0.25">
      <c r="AZ313" s="470" t="s">
        <v>6172</v>
      </c>
      <c r="BB313" s="25">
        <f t="shared" ca="1" si="51"/>
        <v>0</v>
      </c>
      <c r="BC313" s="426" t="s">
        <v>6316</v>
      </c>
      <c r="BI313" s="918" t="s">
        <v>5706</v>
      </c>
      <c r="BJ313" s="472"/>
      <c r="BK313" s="472"/>
      <c r="CC313" s="917">
        <v>35</v>
      </c>
      <c r="CD313" s="832">
        <f t="shared" ca="1" si="53"/>
        <v>0</v>
      </c>
      <c r="CE313" s="832">
        <f t="shared" ca="1" si="53"/>
        <v>0</v>
      </c>
      <c r="CF313" s="832">
        <f t="shared" ca="1" si="53"/>
        <v>0</v>
      </c>
      <c r="CG313" s="832">
        <f t="shared" ca="1" si="54"/>
        <v>0</v>
      </c>
      <c r="DA313" s="470" t="s">
        <v>6172</v>
      </c>
    </row>
    <row r="314" spans="52:105" x14ac:dyDescent="0.25">
      <c r="AZ314" s="470" t="s">
        <v>6172</v>
      </c>
      <c r="BB314" s="25">
        <f t="shared" ca="1" si="51"/>
        <v>0</v>
      </c>
      <c r="BC314" s="426" t="s">
        <v>6317</v>
      </c>
      <c r="BI314" s="863" t="s">
        <v>84</v>
      </c>
      <c r="BJ314" s="863" t="s">
        <v>246</v>
      </c>
      <c r="BK314" s="863" t="s">
        <v>247</v>
      </c>
      <c r="CC314" s="917">
        <v>36</v>
      </c>
      <c r="CD314" s="832">
        <f t="shared" ca="1" si="53"/>
        <v>0</v>
      </c>
      <c r="CE314" s="832">
        <f t="shared" ca="1" si="53"/>
        <v>0</v>
      </c>
      <c r="CF314" s="832">
        <f t="shared" ca="1" si="53"/>
        <v>0</v>
      </c>
      <c r="CG314" s="832">
        <f t="shared" ca="1" si="54"/>
        <v>0</v>
      </c>
      <c r="DA314" s="470" t="s">
        <v>6172</v>
      </c>
    </row>
    <row r="315" spans="52:105" x14ac:dyDescent="0.25">
      <c r="AZ315" s="470" t="s">
        <v>6172</v>
      </c>
      <c r="BB315" s="25">
        <f t="shared" ca="1" si="51"/>
        <v>0</v>
      </c>
      <c r="BC315" s="426" t="s">
        <v>6318</v>
      </c>
      <c r="BH315" s="790" t="s">
        <v>5778</v>
      </c>
      <c r="BI315" s="919" t="s">
        <v>7501</v>
      </c>
      <c r="BJ315" s="919" t="s">
        <v>7502</v>
      </c>
      <c r="BK315" s="919" t="s">
        <v>7503</v>
      </c>
      <c r="CC315" s="917">
        <v>37</v>
      </c>
      <c r="CD315" s="832">
        <f t="shared" ca="1" si="53"/>
        <v>0</v>
      </c>
      <c r="CE315" s="832">
        <f t="shared" ca="1" si="53"/>
        <v>0</v>
      </c>
      <c r="CF315" s="832">
        <f t="shared" ca="1" si="53"/>
        <v>0</v>
      </c>
      <c r="CG315" s="832">
        <f t="shared" ca="1" si="54"/>
        <v>0</v>
      </c>
      <c r="DA315" s="470" t="s">
        <v>6172</v>
      </c>
    </row>
    <row r="316" spans="52:105" x14ac:dyDescent="0.25">
      <c r="AZ316" s="470" t="s">
        <v>6172</v>
      </c>
      <c r="BB316" s="25">
        <f t="shared" ca="1" si="51"/>
        <v>0</v>
      </c>
      <c r="BC316" s="426" t="s">
        <v>6319</v>
      </c>
      <c r="BH316" s="790" t="s">
        <v>6222</v>
      </c>
      <c r="BI316" s="716">
        <f ca="1">COUNTA(INDIRECT($BJ$297&amp;BI315,1))</f>
        <v>0</v>
      </c>
      <c r="BJ316" s="716">
        <f ca="1">COUNTA(INDIRECT($BJ$297&amp;BJ315,1))</f>
        <v>0</v>
      </c>
      <c r="BK316" s="716">
        <f ca="1">COUNTA(INDIRECT($BJ$297&amp;BK315,1))</f>
        <v>0</v>
      </c>
      <c r="CC316" s="917">
        <v>38</v>
      </c>
      <c r="CD316" s="832">
        <f t="shared" ca="1" si="53"/>
        <v>0</v>
      </c>
      <c r="CE316" s="832">
        <f t="shared" ca="1" si="53"/>
        <v>0</v>
      </c>
      <c r="CF316" s="832">
        <f t="shared" ca="1" si="53"/>
        <v>0</v>
      </c>
      <c r="CG316" s="832">
        <f t="shared" ca="1" si="54"/>
        <v>0</v>
      </c>
      <c r="DA316" s="470" t="s">
        <v>6172</v>
      </c>
    </row>
    <row r="317" spans="52:105" x14ac:dyDescent="0.25">
      <c r="AZ317" s="470" t="s">
        <v>6172</v>
      </c>
      <c r="BB317" s="25">
        <f t="shared" ca="1" si="51"/>
        <v>0</v>
      </c>
      <c r="BC317" s="426" t="s">
        <v>7864</v>
      </c>
      <c r="BH317" s="790" t="s">
        <v>6133</v>
      </c>
      <c r="BI317" s="643"/>
      <c r="BJ317" s="643"/>
      <c r="BK317" s="643"/>
      <c r="CC317" s="917">
        <v>39</v>
      </c>
      <c r="CD317" s="832">
        <f t="shared" ca="1" si="53"/>
        <v>0</v>
      </c>
      <c r="CE317" s="832">
        <f t="shared" ca="1" si="53"/>
        <v>0</v>
      </c>
      <c r="CF317" s="832">
        <f t="shared" ca="1" si="53"/>
        <v>0</v>
      </c>
      <c r="CG317" s="832">
        <f t="shared" ca="1" si="54"/>
        <v>0</v>
      </c>
      <c r="DA317" s="470" t="s">
        <v>6172</v>
      </c>
    </row>
    <row r="318" spans="52:105" x14ac:dyDescent="0.25">
      <c r="AZ318" s="470" t="s">
        <v>6172</v>
      </c>
      <c r="BB318" s="25">
        <f ca="1">IF(AND(BI300&lt;&gt;0,CM301=0),1,0)</f>
        <v>0</v>
      </c>
      <c r="BC318" s="426" t="s">
        <v>6209</v>
      </c>
      <c r="DA318" s="470" t="s">
        <v>6172</v>
      </c>
    </row>
    <row r="319" spans="52:105" x14ac:dyDescent="0.25">
      <c r="AZ319" s="470" t="s">
        <v>6172</v>
      </c>
      <c r="BB319" s="25">
        <f ca="1">BP363</f>
        <v>0</v>
      </c>
      <c r="BC319" s="426" t="s">
        <v>6196</v>
      </c>
      <c r="DA319" s="470" t="s">
        <v>6172</v>
      </c>
    </row>
    <row r="320" spans="52:105" x14ac:dyDescent="0.25">
      <c r="AZ320" s="470" t="s">
        <v>6172</v>
      </c>
      <c r="BB320" s="25">
        <f ca="1">BJ349</f>
        <v>0</v>
      </c>
      <c r="BC320" s="426" t="s">
        <v>6071</v>
      </c>
      <c r="DA320" s="470" t="s">
        <v>6172</v>
      </c>
    </row>
    <row r="321" spans="52:105" x14ac:dyDescent="0.25">
      <c r="AZ321" s="470" t="s">
        <v>6172</v>
      </c>
      <c r="BB321" s="25">
        <f ca="1">BJ359</f>
        <v>0</v>
      </c>
      <c r="BC321" s="426" t="s">
        <v>6083</v>
      </c>
      <c r="DA321" s="470" t="s">
        <v>6172</v>
      </c>
    </row>
    <row r="322" spans="52:105" x14ac:dyDescent="0.25">
      <c r="AZ322" s="470" t="s">
        <v>6172</v>
      </c>
      <c r="BB322" s="25">
        <f ca="1">BT346</f>
        <v>0</v>
      </c>
      <c r="BC322" s="426" t="s">
        <v>6084</v>
      </c>
      <c r="DA322" s="470" t="s">
        <v>6172</v>
      </c>
    </row>
    <row r="323" spans="52:105" x14ac:dyDescent="0.25">
      <c r="AZ323" s="470" t="s">
        <v>6172</v>
      </c>
      <c r="BB323" s="25">
        <f ca="1">BT348</f>
        <v>0</v>
      </c>
      <c r="BC323" s="426" t="s">
        <v>6085</v>
      </c>
      <c r="DA323" s="470" t="s">
        <v>6172</v>
      </c>
    </row>
    <row r="324" spans="52:105" x14ac:dyDescent="0.25">
      <c r="AZ324" s="470" t="s">
        <v>6172</v>
      </c>
      <c r="BB324" s="25">
        <f ca="1">BJ361</f>
        <v>0</v>
      </c>
      <c r="BC324" s="426" t="s">
        <v>6086</v>
      </c>
      <c r="CM324" s="2"/>
      <c r="CN324" s="2"/>
      <c r="DA324" s="470" t="s">
        <v>6172</v>
      </c>
    </row>
    <row r="325" spans="52:105" x14ac:dyDescent="0.25">
      <c r="AZ325" s="470" t="s">
        <v>6172</v>
      </c>
      <c r="BB325" s="25">
        <f ca="1">BT350</f>
        <v>0</v>
      </c>
      <c r="BC325" s="426" t="s">
        <v>7883</v>
      </c>
      <c r="CM325" s="2"/>
      <c r="CN325" s="2"/>
      <c r="DA325" s="470" t="s">
        <v>6172</v>
      </c>
    </row>
    <row r="326" spans="52:105" x14ac:dyDescent="0.25">
      <c r="AZ326" s="470" t="s">
        <v>6172</v>
      </c>
      <c r="BB326" s="25">
        <f ca="1">BT351</f>
        <v>0</v>
      </c>
      <c r="BC326" s="426" t="s">
        <v>7884</v>
      </c>
      <c r="DA326" s="470" t="s">
        <v>6172</v>
      </c>
    </row>
    <row r="327" spans="52:105" x14ac:dyDescent="0.25">
      <c r="AZ327" s="470" t="s">
        <v>6172</v>
      </c>
      <c r="BB327" s="25">
        <f ca="1">BT355</f>
        <v>0</v>
      </c>
      <c r="BC327" s="426" t="s">
        <v>7891</v>
      </c>
      <c r="DA327" s="470" t="s">
        <v>6172</v>
      </c>
    </row>
    <row r="328" spans="52:105" x14ac:dyDescent="0.25">
      <c r="AZ328" s="470" t="s">
        <v>6172</v>
      </c>
      <c r="BB328" s="25">
        <f ca="1">BT357</f>
        <v>0</v>
      </c>
      <c r="BC328" s="426" t="s">
        <v>6087</v>
      </c>
      <c r="DA328" s="470" t="s">
        <v>6172</v>
      </c>
    </row>
    <row r="329" spans="52:105" x14ac:dyDescent="0.25">
      <c r="AZ329" s="470" t="s">
        <v>6172</v>
      </c>
      <c r="BB329" s="25">
        <f ca="1">BT358</f>
        <v>0</v>
      </c>
      <c r="BC329" s="426" t="s">
        <v>6088</v>
      </c>
      <c r="DA329" s="470" t="s">
        <v>6172</v>
      </c>
    </row>
    <row r="330" spans="52:105" x14ac:dyDescent="0.25">
      <c r="AZ330" s="470" t="s">
        <v>6172</v>
      </c>
      <c r="BB330" s="25">
        <f ca="1">BJ363</f>
        <v>0</v>
      </c>
      <c r="BC330" s="426" t="s">
        <v>6089</v>
      </c>
      <c r="DA330" s="470" t="s">
        <v>6172</v>
      </c>
    </row>
    <row r="331" spans="52:105" x14ac:dyDescent="0.25">
      <c r="AZ331" s="470" t="s">
        <v>6172</v>
      </c>
      <c r="BB331" s="25">
        <f ca="1">BJ350</f>
        <v>0</v>
      </c>
      <c r="BC331" s="426" t="s">
        <v>6067</v>
      </c>
      <c r="BI331" s="920" t="s">
        <v>7497</v>
      </c>
      <c r="BR331" s="700" t="s">
        <v>7509</v>
      </c>
      <c r="BZ331" s="700" t="s">
        <v>7868</v>
      </c>
      <c r="DA331" s="470" t="s">
        <v>6172</v>
      </c>
    </row>
    <row r="332" spans="52:105" x14ac:dyDescent="0.25">
      <c r="AZ332" s="470" t="s">
        <v>6172</v>
      </c>
      <c r="BB332" s="25">
        <f ca="1">BJ351</f>
        <v>0</v>
      </c>
      <c r="BC332" s="426" t="s">
        <v>6210</v>
      </c>
      <c r="BJ332" s="921" t="s">
        <v>133</v>
      </c>
      <c r="BK332" s="921" t="s">
        <v>134</v>
      </c>
      <c r="BL332" s="921" t="s">
        <v>136</v>
      </c>
      <c r="BM332" s="921" t="s">
        <v>137</v>
      </c>
      <c r="BN332" s="921" t="s">
        <v>138</v>
      </c>
      <c r="BO332" s="921" t="s">
        <v>135</v>
      </c>
      <c r="BS332" s="921" t="s">
        <v>133</v>
      </c>
      <c r="BT332" s="921" t="s">
        <v>134</v>
      </c>
      <c r="BU332" s="921" t="s">
        <v>136</v>
      </c>
      <c r="BV332" s="921" t="s">
        <v>137</v>
      </c>
      <c r="BW332" s="921" t="s">
        <v>138</v>
      </c>
      <c r="BX332" s="921" t="s">
        <v>135</v>
      </c>
      <c r="CA332" s="921" t="s">
        <v>133</v>
      </c>
      <c r="CB332" s="921" t="s">
        <v>134</v>
      </c>
      <c r="CC332" s="921" t="s">
        <v>136</v>
      </c>
      <c r="CD332" s="921" t="s">
        <v>137</v>
      </c>
      <c r="CE332" s="921" t="s">
        <v>138</v>
      </c>
      <c r="CF332" s="921" t="s">
        <v>135</v>
      </c>
      <c r="DA332" s="470" t="s">
        <v>6172</v>
      </c>
    </row>
    <row r="333" spans="52:105" x14ac:dyDescent="0.25">
      <c r="AZ333" s="470" t="s">
        <v>6172</v>
      </c>
      <c r="BB333" s="25">
        <f ca="1">BJ344</f>
        <v>0</v>
      </c>
      <c r="BC333" s="426" t="s">
        <v>6243</v>
      </c>
      <c r="BI333" s="922" t="s">
        <v>140</v>
      </c>
      <c r="BJ333" s="597" t="s">
        <v>7734</v>
      </c>
      <c r="BK333" s="597" t="s">
        <v>8339</v>
      </c>
      <c r="BL333" s="597" t="s">
        <v>8340</v>
      </c>
      <c r="BM333" s="597" t="s">
        <v>8341</v>
      </c>
      <c r="BN333" s="597" t="s">
        <v>7873</v>
      </c>
      <c r="BO333" s="597" t="s">
        <v>8342</v>
      </c>
      <c r="BR333" s="922" t="s">
        <v>140</v>
      </c>
      <c r="BS333" s="709">
        <f t="shared" ref="BS333:BX338" ca="1" si="55">COUNTA(INDIRECT($BJ$297&amp;BJ333,1))</f>
        <v>1</v>
      </c>
      <c r="BT333" s="709">
        <f t="shared" ca="1" si="55"/>
        <v>1</v>
      </c>
      <c r="BU333" s="709">
        <f t="shared" ca="1" si="55"/>
        <v>1</v>
      </c>
      <c r="BV333" s="709">
        <f t="shared" ca="1" si="55"/>
        <v>1</v>
      </c>
      <c r="BW333" s="709">
        <f t="shared" ca="1" si="55"/>
        <v>1</v>
      </c>
      <c r="BX333" s="709">
        <f t="shared" ca="1" si="55"/>
        <v>1</v>
      </c>
      <c r="BZ333" s="922" t="s">
        <v>140</v>
      </c>
      <c r="CA333" s="709" t="str" cm="1">
        <f t="array" aca="1" ref="CA333" ca="1">INDIRECT($BJ$297&amp;BJ333,1)</f>
        <v>Grupo controle negativo</v>
      </c>
      <c r="CB333" s="709" t="str" cm="1">
        <f t="array" aca="1" ref="CB333" ca="1">INDIRECT($BJ$297&amp;BK333,1)</f>
        <v>Grupo 1</v>
      </c>
      <c r="CC333" s="709" t="str" cm="1">
        <f t="array" aca="1" ref="CC333" ca="1">INDIRECT($BJ$297&amp;BL333,1)</f>
        <v>Grupo 2</v>
      </c>
      <c r="CD333" s="709" t="str" cm="1">
        <f t="array" aca="1" ref="CD333" ca="1">INDIRECT($BJ$297&amp;BM333,1)</f>
        <v>Grupo 3</v>
      </c>
      <c r="CE333" s="709" t="str" cm="1">
        <f t="array" aca="1" ref="CE333" ca="1">INDIRECT($BJ$297&amp;BN333,1)</f>
        <v>Grupo 4</v>
      </c>
      <c r="CF333" s="709" t="str" cm="1">
        <f t="array" aca="1" ref="CF333" ca="1">INDIRECT($BJ$297&amp;BO333,1)</f>
        <v>Grupo controle positivo</v>
      </c>
      <c r="DA333" s="470" t="s">
        <v>6172</v>
      </c>
    </row>
    <row r="334" spans="52:105" x14ac:dyDescent="0.25">
      <c r="AZ334" s="470" t="s">
        <v>6172</v>
      </c>
      <c r="BB334" s="25">
        <f ca="1">BJ347</f>
        <v>0</v>
      </c>
      <c r="BC334" s="426" t="s">
        <v>6068</v>
      </c>
      <c r="BI334" s="922" t="s">
        <v>146</v>
      </c>
      <c r="BJ334" s="597" t="s">
        <v>7736</v>
      </c>
      <c r="BK334" s="597" t="s">
        <v>8343</v>
      </c>
      <c r="BL334" s="597" t="s">
        <v>8344</v>
      </c>
      <c r="BM334" s="597" t="s">
        <v>8345</v>
      </c>
      <c r="BN334" s="597" t="s">
        <v>7874</v>
      </c>
      <c r="BO334" s="597" t="s">
        <v>8346</v>
      </c>
      <c r="BR334" s="922" t="s">
        <v>146</v>
      </c>
      <c r="BS334" s="709">
        <f t="shared" ca="1" si="55"/>
        <v>0</v>
      </c>
      <c r="BT334" s="709">
        <f t="shared" ca="1" si="55"/>
        <v>0</v>
      </c>
      <c r="BU334" s="709">
        <f t="shared" ca="1" si="55"/>
        <v>0</v>
      </c>
      <c r="BV334" s="709">
        <f t="shared" ca="1" si="55"/>
        <v>0</v>
      </c>
      <c r="BW334" s="709">
        <f t="shared" ca="1" si="55"/>
        <v>0</v>
      </c>
      <c r="BX334" s="709">
        <f t="shared" ca="1" si="55"/>
        <v>0</v>
      </c>
      <c r="BZ334" s="922" t="s">
        <v>146</v>
      </c>
      <c r="CA334" s="709" cm="1">
        <f t="array" aca="1" ref="CA334" ca="1">INDIRECT($BJ$297&amp;BJ334,1)</f>
        <v>0</v>
      </c>
      <c r="CB334" s="709" cm="1">
        <f t="array" aca="1" ref="CB334" ca="1">INDIRECT($BJ$297&amp;BK334,1)</f>
        <v>0</v>
      </c>
      <c r="CC334" s="709" cm="1">
        <f t="array" aca="1" ref="CC334" ca="1">INDIRECT($BJ$297&amp;BL334,1)</f>
        <v>0</v>
      </c>
      <c r="CD334" s="709" cm="1">
        <f t="array" aca="1" ref="CD334" ca="1">INDIRECT($BJ$297&amp;BM334,1)</f>
        <v>0</v>
      </c>
      <c r="CE334" s="709" cm="1">
        <f t="array" aca="1" ref="CE334" ca="1">INDIRECT($BJ$297&amp;BN334,1)</f>
        <v>0</v>
      </c>
      <c r="CF334" s="709" cm="1">
        <f t="array" aca="1" ref="CF334" ca="1">INDIRECT($BJ$297&amp;BO334,1)</f>
        <v>0</v>
      </c>
      <c r="DA334" s="470" t="s">
        <v>6172</v>
      </c>
    </row>
    <row r="335" spans="52:105" x14ac:dyDescent="0.25">
      <c r="AZ335" s="470" t="s">
        <v>6172</v>
      </c>
      <c r="BB335" s="25">
        <f ca="1">BJ348</f>
        <v>0</v>
      </c>
      <c r="BC335" s="426" t="s">
        <v>6069</v>
      </c>
      <c r="BI335" s="922" t="s">
        <v>142</v>
      </c>
      <c r="BJ335" s="597" t="s">
        <v>7869</v>
      </c>
      <c r="BK335" s="597" t="s">
        <v>8347</v>
      </c>
      <c r="BL335" s="597" t="s">
        <v>8348</v>
      </c>
      <c r="BM335" s="597" t="s">
        <v>8349</v>
      </c>
      <c r="BN335" s="597" t="s">
        <v>7875</v>
      </c>
      <c r="BO335" s="597" t="s">
        <v>8350</v>
      </c>
      <c r="BR335" s="922" t="s">
        <v>142</v>
      </c>
      <c r="BS335" s="709">
        <f t="shared" ca="1" si="55"/>
        <v>0</v>
      </c>
      <c r="BT335" s="709">
        <f t="shared" ca="1" si="55"/>
        <v>0</v>
      </c>
      <c r="BU335" s="709">
        <f t="shared" ca="1" si="55"/>
        <v>0</v>
      </c>
      <c r="BV335" s="709">
        <f t="shared" ca="1" si="55"/>
        <v>0</v>
      </c>
      <c r="BW335" s="709">
        <f t="shared" ca="1" si="55"/>
        <v>0</v>
      </c>
      <c r="BX335" s="709">
        <f t="shared" ca="1" si="55"/>
        <v>0</v>
      </c>
      <c r="BZ335" s="922" t="s">
        <v>142</v>
      </c>
      <c r="CA335" s="709" cm="1">
        <f t="array" aca="1" ref="CA335" ca="1">INDIRECT($BJ$297&amp;BJ335,1)</f>
        <v>0</v>
      </c>
      <c r="CB335" s="709" cm="1">
        <f t="array" aca="1" ref="CB335" ca="1">INDIRECT($BJ$297&amp;BK335,1)</f>
        <v>0</v>
      </c>
      <c r="CC335" s="709" cm="1">
        <f t="array" aca="1" ref="CC335" ca="1">INDIRECT($BJ$297&amp;BL335,1)</f>
        <v>0</v>
      </c>
      <c r="CD335" s="709" cm="1">
        <f t="array" aca="1" ref="CD335" ca="1">INDIRECT($BJ$297&amp;BM335,1)</f>
        <v>0</v>
      </c>
      <c r="CE335" s="709" cm="1">
        <f t="array" aca="1" ref="CE335" ca="1">INDIRECT($BJ$297&amp;BN335,1)</f>
        <v>0</v>
      </c>
      <c r="CF335" s="709" cm="1">
        <f t="array" aca="1" ref="CF335" ca="1">INDIRECT($BJ$297&amp;BO335,1)</f>
        <v>0</v>
      </c>
      <c r="DA335" s="470" t="s">
        <v>6172</v>
      </c>
    </row>
    <row r="336" spans="52:105" x14ac:dyDescent="0.25">
      <c r="AZ336" s="470" t="s">
        <v>6172</v>
      </c>
      <c r="BB336" s="25">
        <f ca="1">BJ357</f>
        <v>0</v>
      </c>
      <c r="BC336" s="426" t="s">
        <v>7896</v>
      </c>
      <c r="BI336" s="922" t="s">
        <v>6306</v>
      </c>
      <c r="BJ336" s="597" t="s">
        <v>7870</v>
      </c>
      <c r="BK336" s="597" t="s">
        <v>8351</v>
      </c>
      <c r="BL336" s="597" t="s">
        <v>8352</v>
      </c>
      <c r="BM336" s="597" t="s">
        <v>8353</v>
      </c>
      <c r="BN336" s="597" t="s">
        <v>7876</v>
      </c>
      <c r="BO336" s="597" t="s">
        <v>8354</v>
      </c>
      <c r="BR336" s="922" t="s">
        <v>6306</v>
      </c>
      <c r="BS336" s="709">
        <f t="shared" ca="1" si="55"/>
        <v>0</v>
      </c>
      <c r="BT336" s="709">
        <f t="shared" ca="1" si="55"/>
        <v>0</v>
      </c>
      <c r="BU336" s="709">
        <f t="shared" ca="1" si="55"/>
        <v>0</v>
      </c>
      <c r="BV336" s="709">
        <f t="shared" ca="1" si="55"/>
        <v>0</v>
      </c>
      <c r="BW336" s="709">
        <f t="shared" ca="1" si="55"/>
        <v>0</v>
      </c>
      <c r="BX336" s="709">
        <f t="shared" ca="1" si="55"/>
        <v>0</v>
      </c>
      <c r="BZ336" s="922" t="s">
        <v>6306</v>
      </c>
      <c r="CA336" s="709" cm="1">
        <f t="array" aca="1" ref="CA336" ca="1">INDIRECT($BJ$297&amp;BJ336,1)</f>
        <v>0</v>
      </c>
      <c r="CB336" s="709" cm="1">
        <f t="array" aca="1" ref="CB336" ca="1">INDIRECT($BJ$297&amp;BK336,1)</f>
        <v>0</v>
      </c>
      <c r="CC336" s="709" cm="1">
        <f t="array" aca="1" ref="CC336" ca="1">INDIRECT($BJ$297&amp;BL336,1)</f>
        <v>0</v>
      </c>
      <c r="CD336" s="709" cm="1">
        <f t="array" aca="1" ref="CD336" ca="1">INDIRECT($BJ$297&amp;BM336,1)</f>
        <v>0</v>
      </c>
      <c r="CE336" s="709" cm="1">
        <f t="array" aca="1" ref="CE336" ca="1">INDIRECT($BJ$297&amp;BN336,1)</f>
        <v>0</v>
      </c>
      <c r="CF336" s="709" cm="1">
        <f t="array" aca="1" ref="CF336" ca="1">INDIRECT($BJ$297&amp;BO336,1)</f>
        <v>0</v>
      </c>
      <c r="DA336" s="470" t="s">
        <v>6172</v>
      </c>
    </row>
    <row r="337" spans="52:105" x14ac:dyDescent="0.25">
      <c r="AZ337" s="470" t="s">
        <v>6172</v>
      </c>
      <c r="BB337" s="25"/>
      <c r="BC337" s="752" t="s">
        <v>8297</v>
      </c>
      <c r="BI337" s="922" t="s">
        <v>82</v>
      </c>
      <c r="BJ337" s="597" t="s">
        <v>7871</v>
      </c>
      <c r="BK337" s="597" t="s">
        <v>8355</v>
      </c>
      <c r="BL337" s="597" t="s">
        <v>8356</v>
      </c>
      <c r="BM337" s="597" t="s">
        <v>8357</v>
      </c>
      <c r="BN337" s="597" t="s">
        <v>7877</v>
      </c>
      <c r="BO337" s="597" t="s">
        <v>8358</v>
      </c>
      <c r="BR337" s="922" t="s">
        <v>82</v>
      </c>
      <c r="BS337" s="709">
        <f t="shared" ca="1" si="55"/>
        <v>1</v>
      </c>
      <c r="BT337" s="709">
        <f t="shared" ca="1" si="55"/>
        <v>1</v>
      </c>
      <c r="BU337" s="709">
        <f t="shared" ca="1" si="55"/>
        <v>1</v>
      </c>
      <c r="BV337" s="709">
        <f t="shared" ca="1" si="55"/>
        <v>1</v>
      </c>
      <c r="BW337" s="709">
        <f t="shared" ca="1" si="55"/>
        <v>1</v>
      </c>
      <c r="BX337" s="709">
        <f t="shared" ca="1" si="55"/>
        <v>1</v>
      </c>
      <c r="BZ337" s="922" t="s">
        <v>82</v>
      </c>
      <c r="CA337" s="709" cm="1">
        <f t="array" aca="1" ref="CA337" ca="1">INDIRECT($BJ$297&amp;BJ337,1)</f>
        <v>0</v>
      </c>
      <c r="CB337" s="709" cm="1">
        <f t="array" aca="1" ref="CB337" ca="1">INDIRECT($BJ$297&amp;BK337,1)</f>
        <v>0</v>
      </c>
      <c r="CC337" s="709" cm="1">
        <f t="array" aca="1" ref="CC337" ca="1">INDIRECT($BJ$297&amp;BL337,1)</f>
        <v>0</v>
      </c>
      <c r="CD337" s="709" cm="1">
        <f t="array" aca="1" ref="CD337" ca="1">INDIRECT($BJ$297&amp;BM337,1)</f>
        <v>0</v>
      </c>
      <c r="CE337" s="709" cm="1">
        <f t="array" aca="1" ref="CE337" ca="1">INDIRECT($BJ$297&amp;BN337,1)</f>
        <v>0</v>
      </c>
      <c r="CF337" s="709" cm="1">
        <f t="array" aca="1" ref="CF337" ca="1">INDIRECT($BJ$297&amp;BO337,1)</f>
        <v>0</v>
      </c>
      <c r="DA337" s="470" t="s">
        <v>6172</v>
      </c>
    </row>
    <row r="338" spans="52:105" x14ac:dyDescent="0.25">
      <c r="AZ338" s="470" t="s">
        <v>6172</v>
      </c>
      <c r="BB338" s="25"/>
      <c r="BC338" s="752" t="s">
        <v>8297</v>
      </c>
      <c r="BI338" s="922" t="s">
        <v>81</v>
      </c>
      <c r="BJ338" s="597" t="s">
        <v>7872</v>
      </c>
      <c r="BK338" s="597" t="s">
        <v>8359</v>
      </c>
      <c r="BL338" s="597" t="s">
        <v>8360</v>
      </c>
      <c r="BM338" s="597" t="s">
        <v>8361</v>
      </c>
      <c r="BN338" s="597" t="s">
        <v>7878</v>
      </c>
      <c r="BO338" s="597" t="s">
        <v>8362</v>
      </c>
      <c r="BR338" s="922" t="s">
        <v>81</v>
      </c>
      <c r="BS338" s="709">
        <f t="shared" ca="1" si="55"/>
        <v>1</v>
      </c>
      <c r="BT338" s="709">
        <f t="shared" ca="1" si="55"/>
        <v>1</v>
      </c>
      <c r="BU338" s="709">
        <f t="shared" ca="1" si="55"/>
        <v>1</v>
      </c>
      <c r="BV338" s="709">
        <f t="shared" ca="1" si="55"/>
        <v>1</v>
      </c>
      <c r="BW338" s="709">
        <f t="shared" ca="1" si="55"/>
        <v>1</v>
      </c>
      <c r="BX338" s="709">
        <f t="shared" ca="1" si="55"/>
        <v>1</v>
      </c>
      <c r="BZ338" s="922" t="s">
        <v>81</v>
      </c>
      <c r="CA338" s="709" cm="1">
        <f t="array" aca="1" ref="CA338" ca="1">INDIRECT($BJ$297&amp;BJ338,1)</f>
        <v>0</v>
      </c>
      <c r="CB338" s="709" cm="1">
        <f t="array" aca="1" ref="CB338" ca="1">INDIRECT($BJ$297&amp;BK338,1)</f>
        <v>0</v>
      </c>
      <c r="CC338" s="709" cm="1">
        <f t="array" aca="1" ref="CC338" ca="1">INDIRECT($BJ$297&amp;BL338,1)</f>
        <v>0</v>
      </c>
      <c r="CD338" s="709" cm="1">
        <f t="array" aca="1" ref="CD338" ca="1">INDIRECT($BJ$297&amp;BM338,1)</f>
        <v>0</v>
      </c>
      <c r="CE338" s="709" cm="1">
        <f t="array" aca="1" ref="CE338" ca="1">INDIRECT($BJ$297&amp;BN338,1)</f>
        <v>0</v>
      </c>
      <c r="CF338" s="709" cm="1">
        <f t="array" aca="1" ref="CF338" ca="1">INDIRECT($BJ$297&amp;BO338,1)</f>
        <v>0</v>
      </c>
      <c r="DA338" s="470" t="s">
        <v>6172</v>
      </c>
    </row>
    <row r="339" spans="52:105" x14ac:dyDescent="0.25">
      <c r="AZ339" s="470" t="s">
        <v>6172</v>
      </c>
      <c r="BB339" s="25"/>
      <c r="BC339" s="752" t="s">
        <v>8297</v>
      </c>
      <c r="DA339" s="470" t="s">
        <v>6172</v>
      </c>
    </row>
    <row r="340" spans="52:105" x14ac:dyDescent="0.25">
      <c r="AZ340" s="470" t="s">
        <v>6172</v>
      </c>
      <c r="BB340" s="25"/>
      <c r="BC340" s="752" t="s">
        <v>8297</v>
      </c>
      <c r="BO340" s="794" t="s">
        <v>6197</v>
      </c>
      <c r="BP340" s="923">
        <f ca="1">IF(BI300&lt;&gt;BJ300,1,0)</f>
        <v>0</v>
      </c>
      <c r="DA340" s="470" t="s">
        <v>6172</v>
      </c>
    </row>
    <row r="341" spans="52:105" x14ac:dyDescent="0.25">
      <c r="AZ341" s="470" t="s">
        <v>6172</v>
      </c>
      <c r="BB341" s="25"/>
      <c r="BC341" s="752" t="s">
        <v>8297</v>
      </c>
      <c r="BO341" s="794" t="s">
        <v>6198</v>
      </c>
      <c r="BP341" s="923">
        <f ca="1">IF(BI300&lt;&gt;BK300,1,0)</f>
        <v>0</v>
      </c>
      <c r="DA341" s="470" t="s">
        <v>6172</v>
      </c>
    </row>
    <row r="342" spans="52:105" x14ac:dyDescent="0.25">
      <c r="AZ342" s="470" t="s">
        <v>6172</v>
      </c>
      <c r="BB342" s="25"/>
      <c r="BC342" s="752" t="s">
        <v>8297</v>
      </c>
      <c r="BH342" s="472" t="s">
        <v>7849</v>
      </c>
      <c r="BI342" s="757" t="s">
        <v>7850</v>
      </c>
      <c r="BJ342" s="525">
        <f ca="1">IF(BI300=1,1,0)</f>
        <v>0</v>
      </c>
      <c r="BK342" s="20" t="s">
        <v>7851</v>
      </c>
      <c r="BO342" s="794" t="s">
        <v>6199</v>
      </c>
      <c r="BP342" s="923">
        <f ca="1">IF(BI300&lt;&gt;BL300,1,0)</f>
        <v>0</v>
      </c>
      <c r="BR342" s="472" t="s">
        <v>7352</v>
      </c>
      <c r="BS342" s="871" t="s">
        <v>7584</v>
      </c>
      <c r="BT342" s="525">
        <f ca="1">IF(BU301="sim",BP301-BV301,0)</f>
        <v>0</v>
      </c>
      <c r="BU342" s="20" t="s">
        <v>7586</v>
      </c>
      <c r="DA342" s="470" t="s">
        <v>6172</v>
      </c>
    </row>
    <row r="343" spans="52:105" x14ac:dyDescent="0.25">
      <c r="AZ343" s="470" t="s">
        <v>6172</v>
      </c>
      <c r="BB343" s="25"/>
      <c r="BC343" s="752" t="s">
        <v>8297</v>
      </c>
      <c r="BH343" s="472" t="s">
        <v>7352</v>
      </c>
      <c r="BI343" s="871" t="s">
        <v>6211</v>
      </c>
      <c r="BJ343" s="525">
        <f ca="1">BQ301</f>
        <v>0</v>
      </c>
      <c r="BO343" s="794" t="s">
        <v>6200</v>
      </c>
      <c r="BP343" s="923">
        <f ca="1">IF(BI300&lt;&gt;BM300,1,0)</f>
        <v>0</v>
      </c>
      <c r="BR343" s="472" t="s">
        <v>7353</v>
      </c>
      <c r="BS343" s="871" t="s">
        <v>7589</v>
      </c>
      <c r="BT343" s="525">
        <f ca="1">BT342/30</f>
        <v>0</v>
      </c>
      <c r="BU343" s="20" t="s">
        <v>7592</v>
      </c>
      <c r="DA343" s="470" t="s">
        <v>6172</v>
      </c>
    </row>
    <row r="344" spans="52:105" x14ac:dyDescent="0.25">
      <c r="AZ344" s="470" t="s">
        <v>6172</v>
      </c>
      <c r="BB344" s="25"/>
      <c r="BC344" s="752" t="s">
        <v>8297</v>
      </c>
      <c r="BH344" s="469" t="s">
        <v>5448</v>
      </c>
      <c r="BI344" s="872" t="s">
        <v>6223</v>
      </c>
      <c r="BJ344" s="759">
        <f ca="1">IF(BJ343&lt;&gt;0,
IF(COUNTIF($M$65:$M$94,BJ343)=0,1,0),0)</f>
        <v>0</v>
      </c>
      <c r="BK344" s="20" t="s">
        <v>6212</v>
      </c>
      <c r="BO344" s="794" t="s">
        <v>6201</v>
      </c>
      <c r="BP344" s="923">
        <f ca="1">IF(BI300&lt;&gt;BO300,1,0)</f>
        <v>0</v>
      </c>
      <c r="BR344" s="472" t="s">
        <v>7520</v>
      </c>
      <c r="BS344" s="871" t="s">
        <v>7587</v>
      </c>
      <c r="BT344" s="525">
        <f ca="1">INT(BT343)</f>
        <v>0</v>
      </c>
      <c r="BU344" s="20" t="s">
        <v>7593</v>
      </c>
      <c r="DA344" s="470" t="s">
        <v>6172</v>
      </c>
    </row>
    <row r="345" spans="52:105" x14ac:dyDescent="0.25">
      <c r="AZ345" s="470" t="s">
        <v>6172</v>
      </c>
      <c r="BB345" s="25"/>
      <c r="BC345" s="752" t="s">
        <v>8297</v>
      </c>
      <c r="BH345" s="472" t="s">
        <v>7352</v>
      </c>
      <c r="BI345" s="871" t="s">
        <v>6178</v>
      </c>
      <c r="BJ345" s="525">
        <f ca="1">IFERROR(VLOOKUP(BJ343,$M$65:$P$94,4,0),0)</f>
        <v>0</v>
      </c>
      <c r="BO345" s="794" t="s">
        <v>6202</v>
      </c>
      <c r="BP345" s="923">
        <f ca="1">IF(BI300&lt;&gt;BP300,1,0)</f>
        <v>0</v>
      </c>
      <c r="BR345" s="472" t="s">
        <v>7574</v>
      </c>
      <c r="BS345" s="871" t="s">
        <v>7588</v>
      </c>
      <c r="BT345" s="525">
        <f ca="1">ROUNDUP(((TRUNC(BT343,4)-BT344)*30),2)</f>
        <v>0</v>
      </c>
      <c r="BU345" s="20" t="s">
        <v>7594</v>
      </c>
      <c r="DA345" s="470" t="s">
        <v>6172</v>
      </c>
    </row>
    <row r="346" spans="52:105" x14ac:dyDescent="0.25">
      <c r="AZ346" s="470" t="s">
        <v>6172</v>
      </c>
      <c r="BB346" s="25"/>
      <c r="BC346" s="752" t="s">
        <v>8297</v>
      </c>
      <c r="BH346" s="472" t="s">
        <v>7353</v>
      </c>
      <c r="BI346" s="871" t="s">
        <v>6213</v>
      </c>
      <c r="BJ346" s="525">
        <f ca="1">BP301</f>
        <v>0</v>
      </c>
      <c r="BL346" s="372"/>
      <c r="BM346" s="372"/>
      <c r="BN346" s="372"/>
      <c r="BO346" s="794" t="s">
        <v>6203</v>
      </c>
      <c r="BP346" s="923">
        <f ca="1">IF(BI300&lt;&gt;BQ300,1,0)</f>
        <v>0</v>
      </c>
      <c r="BR346" s="469" t="s">
        <v>5448</v>
      </c>
      <c r="BS346" s="872" t="s">
        <v>7590</v>
      </c>
      <c r="BT346" s="767">
        <f ca="1">IF(BT343&gt;6,1,0)</f>
        <v>0</v>
      </c>
      <c r="BU346" s="20" t="s">
        <v>7595</v>
      </c>
      <c r="DA346" s="470" t="s">
        <v>6172</v>
      </c>
    </row>
    <row r="347" spans="52:105" x14ac:dyDescent="0.25">
      <c r="AZ347" s="470" t="s">
        <v>6172</v>
      </c>
      <c r="BB347" s="25"/>
      <c r="BC347" s="752" t="s">
        <v>8297</v>
      </c>
      <c r="BH347" s="469" t="s">
        <v>5448</v>
      </c>
      <c r="BI347" s="872" t="s">
        <v>6179</v>
      </c>
      <c r="BJ347" s="759">
        <f ca="1">IF(BJ344&lt;&gt;1,
IF((BJ345-BJ346)&lt;0,1,0),
0)</f>
        <v>0</v>
      </c>
      <c r="BK347" s="20" t="s">
        <v>6180</v>
      </c>
      <c r="BO347" s="794" t="s">
        <v>6204</v>
      </c>
      <c r="BP347" s="923">
        <f ca="1">IF(AND(BI300=1,BR300=0),1,0)</f>
        <v>0</v>
      </c>
      <c r="BR347" s="469" t="s">
        <v>7865</v>
      </c>
      <c r="BS347" s="872" t="s">
        <v>7590</v>
      </c>
      <c r="BT347" s="796" t="str">
        <f ca="1">IF(BT346=1,"A diferença é de "&amp;BT344&amp;" mês(es) e "&amp;BT345&amp;" dia(s)","")</f>
        <v/>
      </c>
      <c r="CA347" s="20" t="s">
        <v>7885</v>
      </c>
      <c r="DA347" s="470" t="s">
        <v>6172</v>
      </c>
    </row>
    <row r="348" spans="52:105" x14ac:dyDescent="0.25">
      <c r="AZ348" s="470" t="s">
        <v>6172</v>
      </c>
      <c r="BH348" s="469" t="s">
        <v>5448</v>
      </c>
      <c r="BI348" s="872" t="s">
        <v>7354</v>
      </c>
      <c r="BJ348" s="759">
        <f ca="1">IF(COUNTIFS($M$65:$M$94,BJ343,$AA$65:$AA$94,2)&gt;0,1,0)</f>
        <v>0</v>
      </c>
      <c r="BK348" s="20" t="s">
        <v>7355</v>
      </c>
      <c r="BO348" s="801" t="s">
        <v>6309</v>
      </c>
      <c r="BP348" s="923">
        <f ca="1">IF(BI300&lt;&gt;BT300,1,0)</f>
        <v>0</v>
      </c>
      <c r="BR348" s="469" t="s">
        <v>5448</v>
      </c>
      <c r="BS348" s="924" t="s">
        <v>7522</v>
      </c>
      <c r="BT348" s="925">
        <f ca="1">IF((BP301-BV301)&lt;0,1,0)</f>
        <v>0</v>
      </c>
      <c r="BU348" s="20" t="s">
        <v>7523</v>
      </c>
      <c r="CA348" s="926">
        <v>429</v>
      </c>
      <c r="CB348" s="926">
        <v>442</v>
      </c>
      <c r="DA348" s="470" t="s">
        <v>6172</v>
      </c>
    </row>
    <row r="349" spans="52:105" x14ac:dyDescent="0.25">
      <c r="AZ349" s="470" t="s">
        <v>6172</v>
      </c>
      <c r="BH349" s="469" t="s">
        <v>5448</v>
      </c>
      <c r="BI349" s="872" t="s">
        <v>7356</v>
      </c>
      <c r="BJ349" s="767">
        <f ca="1">IF(BL301="Não",1,0)</f>
        <v>0</v>
      </c>
      <c r="BK349" s="20" t="s">
        <v>7357</v>
      </c>
      <c r="BO349" s="794" t="s">
        <v>6310</v>
      </c>
      <c r="BP349" s="923">
        <f ca="1">IF(AND(BT301="Não",BI300&lt;&gt;BU300),1,0)</f>
        <v>0</v>
      </c>
      <c r="BR349" s="469" t="s">
        <v>5448</v>
      </c>
      <c r="BS349" s="924" t="s">
        <v>7866</v>
      </c>
      <c r="BT349" s="925">
        <f>IF(COUNTIFS(BS325:BX326,"&gt;0",BS325:BX326,"&lt;4")&gt;0,1,0)</f>
        <v>0</v>
      </c>
      <c r="BU349" s="20" t="s">
        <v>7867</v>
      </c>
      <c r="CA349" s="25">
        <v>3</v>
      </c>
      <c r="CB349" s="25">
        <v>1.6</v>
      </c>
      <c r="CH349" s="927"/>
      <c r="CI349" s="927"/>
      <c r="DA349" s="470" t="s">
        <v>6172</v>
      </c>
    </row>
    <row r="350" spans="52:105" x14ac:dyDescent="0.25">
      <c r="AZ350" s="470" t="s">
        <v>6172</v>
      </c>
      <c r="BH350" s="469" t="s">
        <v>5448</v>
      </c>
      <c r="BI350" s="758" t="s">
        <v>6067</v>
      </c>
      <c r="BJ350" s="767">
        <f ca="1">IF(CM301=2,1,0)</f>
        <v>0</v>
      </c>
      <c r="BO350" s="794" t="s">
        <v>6311</v>
      </c>
      <c r="BP350" s="923">
        <f ca="1">IF(AND(BU301="Sim",BV300=0),1,0)</f>
        <v>0</v>
      </c>
      <c r="BR350" s="469" t="s">
        <v>5448</v>
      </c>
      <c r="BS350" s="924" t="s">
        <v>7879</v>
      </c>
      <c r="BT350" s="925">
        <f ca="1">IF(AND(BX301="sim",BZ301="sim"),1,0)</f>
        <v>0</v>
      </c>
      <c r="BU350" s="20" t="s">
        <v>7880</v>
      </c>
      <c r="DA350" s="470" t="s">
        <v>6172</v>
      </c>
    </row>
    <row r="351" spans="52:105" x14ac:dyDescent="0.25">
      <c r="AZ351" s="470" t="s">
        <v>6172</v>
      </c>
      <c r="BH351" s="469" t="s">
        <v>5448</v>
      </c>
      <c r="BI351" s="872" t="s">
        <v>7360</v>
      </c>
      <c r="BJ351" s="767">
        <f ca="1">IF(CM301=2,
IF(COUNTIF(INDIRECT(BJ297&amp;CI299,1),"sim")&gt;0,1,0),
0)</f>
        <v>0</v>
      </c>
      <c r="BK351" s="20" t="s">
        <v>7361</v>
      </c>
      <c r="BO351" s="794" t="s">
        <v>6312</v>
      </c>
      <c r="BP351" s="923">
        <f ca="1">IF(AND(BU301="Não",BW300=0),1,0)</f>
        <v>0</v>
      </c>
      <c r="BR351" s="469" t="s">
        <v>5448</v>
      </c>
      <c r="BS351" s="924" t="s">
        <v>7882</v>
      </c>
      <c r="BT351" s="925">
        <f ca="1">IF(AND(BX301="sim",CA301="sim"),1,0)</f>
        <v>0</v>
      </c>
      <c r="BU351" s="20" t="s">
        <v>7881</v>
      </c>
      <c r="DA351" s="470" t="s">
        <v>6172</v>
      </c>
    </row>
    <row r="352" spans="52:105" x14ac:dyDescent="0.25">
      <c r="AZ352" s="470" t="s">
        <v>6172</v>
      </c>
      <c r="BH352" s="469"/>
      <c r="BO352" s="928" t="s">
        <v>6313</v>
      </c>
      <c r="BP352" s="923">
        <f ca="1">IF(BI300&lt;&gt;BX300,1,0)</f>
        <v>0</v>
      </c>
      <c r="BR352" s="472" t="s">
        <v>7352</v>
      </c>
      <c r="BS352" s="871" t="s">
        <v>7886</v>
      </c>
      <c r="BT352" s="802">
        <f ca="1">BM301</f>
        <v>0</v>
      </c>
      <c r="DA352" s="470" t="s">
        <v>6172</v>
      </c>
    </row>
    <row r="353" spans="52:105" x14ac:dyDescent="0.25">
      <c r="AZ353" s="470" t="s">
        <v>6172</v>
      </c>
      <c r="BH353" s="469" t="s">
        <v>5448</v>
      </c>
      <c r="BI353" s="872" t="s">
        <v>7363</v>
      </c>
      <c r="BJ353" s="767">
        <f ca="1">IF(CJ301="sim",1,0)</f>
        <v>0</v>
      </c>
      <c r="BK353" s="20" t="s">
        <v>7364</v>
      </c>
      <c r="BL353" s="898" t="s">
        <v>7517</v>
      </c>
      <c r="BO353" s="929" t="s">
        <v>6327</v>
      </c>
      <c r="BP353" s="923">
        <f ca="1">IF(AND(BX301="sim",SUM(BJ316:BK316)=0),1,0)</f>
        <v>0</v>
      </c>
      <c r="BR353" s="472" t="s">
        <v>7353</v>
      </c>
      <c r="BS353" s="871" t="s">
        <v>7887</v>
      </c>
      <c r="BT353" s="525">
        <f ca="1">IF(COUNTIF(BT352,"*429*"),3,IF(COUNTIF(BT352,"*442*"),1.6,0))</f>
        <v>0</v>
      </c>
      <c r="DA353" s="470" t="s">
        <v>6172</v>
      </c>
    </row>
    <row r="354" spans="52:105" x14ac:dyDescent="0.25">
      <c r="AZ354" s="470" t="s">
        <v>6172</v>
      </c>
      <c r="BH354" s="472" t="s">
        <v>7352</v>
      </c>
      <c r="BI354" s="871"/>
      <c r="BJ354" s="525"/>
      <c r="BL354" s="899"/>
      <c r="BO354" s="929" t="s">
        <v>6314</v>
      </c>
      <c r="BP354" s="923">
        <f ca="1">IF(AND(BX301="sim",BJ360="g/Kg",BY300=0),1,0)</f>
        <v>0</v>
      </c>
      <c r="BR354" s="472" t="s">
        <v>7353</v>
      </c>
      <c r="BS354" s="871" t="s">
        <v>7889</v>
      </c>
      <c r="BT354" s="525">
        <f ca="1">IF(CF327&lt;&gt;0,CF327,CF337)</f>
        <v>0</v>
      </c>
      <c r="DA354" s="470" t="s">
        <v>6172</v>
      </c>
    </row>
    <row r="355" spans="52:105" x14ac:dyDescent="0.25">
      <c r="AZ355" s="470" t="s">
        <v>6172</v>
      </c>
      <c r="BH355" s="472" t="s">
        <v>7353</v>
      </c>
      <c r="BI355" s="871" t="s">
        <v>7519</v>
      </c>
      <c r="BJ355" s="525">
        <f ca="1">IFERROR(LARGE(INDIRECT($BJ$297&amp;BL355,1),1),0)</f>
        <v>0</v>
      </c>
      <c r="BL355" s="899" t="s">
        <v>7518</v>
      </c>
      <c r="BO355" s="801" t="s">
        <v>6315</v>
      </c>
      <c r="BP355" s="923">
        <f ca="1">IF(AND(BX301="sim",BZ300=0),1,0)</f>
        <v>0</v>
      </c>
      <c r="BR355" s="469" t="s">
        <v>5448</v>
      </c>
      <c r="BS355" s="924" t="s">
        <v>7888</v>
      </c>
      <c r="BT355" s="925">
        <f ca="1">IF(BT354&lt;BT353,1,0)</f>
        <v>0</v>
      </c>
      <c r="DA355" s="470" t="s">
        <v>6172</v>
      </c>
    </row>
    <row r="356" spans="52:105" x14ac:dyDescent="0.25">
      <c r="AZ356" s="470" t="s">
        <v>6172</v>
      </c>
      <c r="BH356" s="472" t="s">
        <v>7520</v>
      </c>
      <c r="BI356" s="871" t="s">
        <v>7516</v>
      </c>
      <c r="BJ356" s="525">
        <f ca="1">BJ355</f>
        <v>0</v>
      </c>
      <c r="BO356" s="794" t="s">
        <v>6316</v>
      </c>
      <c r="BP356" s="923">
        <f ca="1">IF(AND(BX301="sim",CA300=0),1,0)</f>
        <v>0</v>
      </c>
      <c r="BR356" s="469" t="s">
        <v>7865</v>
      </c>
      <c r="BS356" s="872" t="s">
        <v>7890</v>
      </c>
      <c r="BT356" s="796" t="str">
        <f ca="1">IF(BT355=1,"(índice de estimulação) valor mínimo esperado "&amp;BT353&amp;". Valor do CP "&amp;BT354,"")</f>
        <v/>
      </c>
      <c r="DA356" s="470" t="s">
        <v>6172</v>
      </c>
    </row>
    <row r="357" spans="52:105" x14ac:dyDescent="0.25">
      <c r="AZ357" s="470" t="s">
        <v>6172</v>
      </c>
      <c r="BH357" s="469" t="s">
        <v>5448</v>
      </c>
      <c r="BI357" s="924" t="s">
        <v>7521</v>
      </c>
      <c r="BJ357" s="767">
        <f ca="1">IF(
         AND(BX301="sim",
             BJ356&lt;&gt;0,
             COUNTIF(INDIRECT($BJ$297&amp;BI315,1),BJ356)=0
             ),
1,0)</f>
        <v>0</v>
      </c>
      <c r="BK357" s="20" t="s">
        <v>7515</v>
      </c>
      <c r="BO357" s="801" t="s">
        <v>6317</v>
      </c>
      <c r="BP357" s="930">
        <f ca="1">IF(AND(BX301="sim",CB300=0),1,0)</f>
        <v>0</v>
      </c>
      <c r="BR357" s="469" t="s">
        <v>5448</v>
      </c>
      <c r="BS357" s="924" t="s">
        <v>7892</v>
      </c>
      <c r="BT357" s="925">
        <f ca="1">IF(AND(BX301="sim",BZ301="não relatado"),1,0)</f>
        <v>0</v>
      </c>
      <c r="DA357" s="470" t="s">
        <v>6172</v>
      </c>
    </row>
    <row r="358" spans="52:105" x14ac:dyDescent="0.25">
      <c r="AZ358" s="470" t="s">
        <v>6172</v>
      </c>
      <c r="BO358" s="794" t="s">
        <v>6318</v>
      </c>
      <c r="BP358" s="923">
        <f ca="1">IF(BI300&lt;&gt;CC300,1,0)</f>
        <v>0</v>
      </c>
      <c r="BR358" s="469" t="s">
        <v>5448</v>
      </c>
      <c r="BS358" s="924" t="s">
        <v>7893</v>
      </c>
      <c r="BT358" s="925">
        <f ca="1">IF(AND(BX301="sim",CA301="não relatado"),1,0)</f>
        <v>0</v>
      </c>
      <c r="DA358" s="470" t="s">
        <v>6172</v>
      </c>
    </row>
    <row r="359" spans="52:105" x14ac:dyDescent="0.25">
      <c r="AZ359" s="470" t="s">
        <v>6172</v>
      </c>
      <c r="BH359" s="469" t="s">
        <v>5448</v>
      </c>
      <c r="BI359" s="924" t="s">
        <v>7897</v>
      </c>
      <c r="BJ359" s="925">
        <f ca="1">IF(AND(BJ342=1,AND(BT301="não",BU301="não")),1,0)</f>
        <v>0</v>
      </c>
      <c r="BO359" s="801" t="s">
        <v>6319</v>
      </c>
      <c r="BP359" s="930">
        <f ca="1">IF(BI300&lt;&gt;CD300,1,0)</f>
        <v>0</v>
      </c>
      <c r="DA359" s="470" t="s">
        <v>6172</v>
      </c>
    </row>
    <row r="360" spans="52:105" x14ac:dyDescent="0.25">
      <c r="AZ360" s="470" t="s">
        <v>6172</v>
      </c>
      <c r="BH360" s="472" t="s">
        <v>7352</v>
      </c>
      <c r="BI360" s="871" t="s">
        <v>7466</v>
      </c>
      <c r="BJ360" s="717" cm="1">
        <f t="array" aca="1" ref="BJ360" ca="1">INDIRECT("Composição!I15",1)</f>
        <v>0</v>
      </c>
      <c r="BK360" s="20" t="s">
        <v>7467</v>
      </c>
      <c r="BO360" s="794" t="s">
        <v>7864</v>
      </c>
      <c r="BP360" s="923">
        <f ca="1">IF(AND(BI300=1,AND(SUM(BS324:BX326)=0,SUM(BS334:BX336)=0)),1,0)</f>
        <v>0</v>
      </c>
      <c r="DA360" s="470" t="s">
        <v>6172</v>
      </c>
    </row>
    <row r="361" spans="52:105" x14ac:dyDescent="0.25">
      <c r="AZ361" s="470" t="s">
        <v>6172</v>
      </c>
      <c r="BH361" s="469" t="s">
        <v>5448</v>
      </c>
      <c r="BI361" s="924" t="s">
        <v>7524</v>
      </c>
      <c r="BJ361" s="925">
        <f ca="1">IF(AND(BJ360="g/L",BX301="sim",COUNTIF(INDIRECT($BJ$297&amp;BI315,1),1)=0),1,0)</f>
        <v>0</v>
      </c>
      <c r="BK361" s="20" t="s">
        <v>7525</v>
      </c>
      <c r="BO361" s="931"/>
      <c r="BP361" s="932"/>
      <c r="DA361" s="470" t="s">
        <v>6172</v>
      </c>
    </row>
    <row r="362" spans="52:105" x14ac:dyDescent="0.25">
      <c r="AZ362" s="470" t="s">
        <v>6172</v>
      </c>
      <c r="BH362" s="472" t="s">
        <v>7353</v>
      </c>
      <c r="BI362" s="871" t="s">
        <v>7894</v>
      </c>
      <c r="BJ362" s="717">
        <f ca="1">IF((COUNTIF(CB324:CE324,1)+COUNTIF(CB334:CE334,1))=0,1,0)</f>
        <v>1</v>
      </c>
      <c r="BO362" s="794" t="s">
        <v>6227</v>
      </c>
      <c r="BP362" s="923">
        <f ca="1">IF(BI300&lt;&gt;CJ300,1,0)</f>
        <v>0</v>
      </c>
      <c r="DA362" s="470" t="s">
        <v>6172</v>
      </c>
    </row>
    <row r="363" spans="52:105" x14ac:dyDescent="0.25">
      <c r="AZ363" s="470" t="s">
        <v>6172</v>
      </c>
      <c r="BH363" s="469" t="s">
        <v>5448</v>
      </c>
      <c r="BI363" s="924" t="s">
        <v>7895</v>
      </c>
      <c r="BJ363" s="925">
        <f ca="1">IF(AND(BX301="não",BJ362=1),1,0)</f>
        <v>0</v>
      </c>
      <c r="BO363" s="794" t="s">
        <v>6196</v>
      </c>
      <c r="BP363" s="923">
        <f ca="1">IF(BI300&lt;&gt;CL300,1,0)</f>
        <v>0</v>
      </c>
      <c r="DA363" s="470" t="s">
        <v>6172</v>
      </c>
    </row>
    <row r="364" spans="52:105" x14ac:dyDescent="0.25">
      <c r="AZ364" s="470" t="s">
        <v>6172</v>
      </c>
      <c r="DA364" s="470" t="s">
        <v>6172</v>
      </c>
    </row>
    <row r="365" spans="52:105" ht="15.75" thickBot="1" x14ac:dyDescent="0.3">
      <c r="AZ365" s="470" t="s">
        <v>6172</v>
      </c>
      <c r="BB365" s="730" t="s">
        <v>6329</v>
      </c>
      <c r="BC365" s="730"/>
      <c r="BD365" s="730"/>
      <c r="BE365" s="730"/>
      <c r="BF365" s="730"/>
      <c r="BG365" s="730"/>
      <c r="BH365" s="730"/>
      <c r="BI365" s="730"/>
      <c r="BJ365" s="730"/>
      <c r="BK365" s="730"/>
      <c r="BL365" s="730"/>
      <c r="BM365" s="730"/>
      <c r="BN365" s="730"/>
      <c r="BO365" s="730"/>
      <c r="BP365" s="730"/>
      <c r="BQ365" s="730"/>
      <c r="BR365" s="730"/>
      <c r="BS365" s="730"/>
      <c r="BT365" s="730"/>
      <c r="BU365" s="730"/>
      <c r="BV365" s="730"/>
      <c r="BW365" s="730"/>
      <c r="BX365" s="730"/>
      <c r="BY365" s="730"/>
      <c r="BZ365" s="730"/>
      <c r="CA365" s="730"/>
      <c r="CB365" s="730"/>
      <c r="CC365" s="730"/>
      <c r="CD365" s="730"/>
      <c r="CE365" s="730"/>
      <c r="CF365" s="730"/>
      <c r="CG365" s="730"/>
      <c r="CH365" s="730"/>
      <c r="CI365" s="730"/>
      <c r="DA365" s="470" t="s">
        <v>6172</v>
      </c>
    </row>
    <row r="366" spans="52:105" x14ac:dyDescent="0.25">
      <c r="AZ366" s="470" t="s">
        <v>6172</v>
      </c>
      <c r="BB366" s="477" t="s">
        <v>8104</v>
      </c>
      <c r="BC366" s="477" t="s">
        <v>8294</v>
      </c>
      <c r="DA366" s="470" t="s">
        <v>6172</v>
      </c>
    </row>
    <row r="367" spans="52:105" x14ac:dyDescent="0.25">
      <c r="AZ367" s="470" t="s">
        <v>6172</v>
      </c>
      <c r="BB367" s="844">
        <f ca="1">IF(AND(BI370&lt;&gt;0,BJ370=0),1,0)</f>
        <v>0</v>
      </c>
      <c r="BC367" s="450" t="s">
        <v>6197</v>
      </c>
      <c r="BI367" s="733"/>
      <c r="BJ367" s="797" t="s">
        <v>5581</v>
      </c>
      <c r="DA367" s="470" t="s">
        <v>6172</v>
      </c>
    </row>
    <row r="368" spans="52:105" x14ac:dyDescent="0.25">
      <c r="AZ368" s="470" t="s">
        <v>6172</v>
      </c>
      <c r="BB368" s="844">
        <f ca="1">IF(AND(BI370&lt;&gt;0,BK370=0),1,0)</f>
        <v>0</v>
      </c>
      <c r="BC368" s="426" t="s">
        <v>6198</v>
      </c>
      <c r="BI368" s="933" t="s">
        <v>30</v>
      </c>
      <c r="BJ368" s="933" t="s">
        <v>6174</v>
      </c>
      <c r="BK368" s="933" t="s">
        <v>6173</v>
      </c>
      <c r="BL368" s="933" t="s">
        <v>6029</v>
      </c>
      <c r="BM368" s="933" t="s">
        <v>218</v>
      </c>
      <c r="BN368" s="933" t="s">
        <v>6183</v>
      </c>
      <c r="BO368" s="933" t="s">
        <v>6184</v>
      </c>
      <c r="BP368" s="933" t="s">
        <v>31</v>
      </c>
      <c r="BQ368" s="933" t="s">
        <v>5720</v>
      </c>
      <c r="BR368" s="933" t="s">
        <v>85</v>
      </c>
      <c r="BS368" s="933" t="s">
        <v>235</v>
      </c>
      <c r="BT368" s="934" t="s">
        <v>83</v>
      </c>
      <c r="BU368" s="934" t="s">
        <v>6034</v>
      </c>
      <c r="BV368" s="934" t="s">
        <v>6330</v>
      </c>
      <c r="DA368" s="470" t="s">
        <v>6172</v>
      </c>
    </row>
    <row r="369" spans="52:105" x14ac:dyDescent="0.25">
      <c r="AZ369" s="470" t="s">
        <v>6172</v>
      </c>
      <c r="BB369" s="844">
        <f ca="1">IF(AND(BI370&lt;&gt;0,BL370=0),1,0)</f>
        <v>0</v>
      </c>
      <c r="BC369" s="426" t="s">
        <v>6199</v>
      </c>
      <c r="BH369" s="935" t="s">
        <v>5778</v>
      </c>
      <c r="BI369" s="936" t="s">
        <v>1592</v>
      </c>
      <c r="BJ369" s="936" t="s">
        <v>7333</v>
      </c>
      <c r="BK369" s="936" t="s">
        <v>7334</v>
      </c>
      <c r="BL369" s="937" t="s">
        <v>5798</v>
      </c>
      <c r="BM369" s="936" t="s">
        <v>7335</v>
      </c>
      <c r="BN369" s="937" t="s">
        <v>7336</v>
      </c>
      <c r="BO369" s="938" t="s">
        <v>7337</v>
      </c>
      <c r="BP369" s="938" t="s">
        <v>7338</v>
      </c>
      <c r="BQ369" s="937" t="s">
        <v>5796</v>
      </c>
      <c r="BR369" s="937" t="s">
        <v>7339</v>
      </c>
      <c r="BS369" s="937" t="s">
        <v>7340</v>
      </c>
      <c r="BT369" s="937" t="s">
        <v>5797</v>
      </c>
      <c r="BU369" s="937" t="s">
        <v>7409</v>
      </c>
      <c r="BV369" s="938" t="s">
        <v>7412</v>
      </c>
      <c r="DA369" s="470" t="s">
        <v>6172</v>
      </c>
    </row>
    <row r="370" spans="52:105" x14ac:dyDescent="0.25">
      <c r="AZ370" s="470" t="s">
        <v>6172</v>
      </c>
      <c r="BB370" s="844">
        <f ca="1">IF(AND(BI370&lt;&gt;0,BM370=0),1,0)</f>
        <v>0</v>
      </c>
      <c r="BC370" s="426" t="s">
        <v>6200</v>
      </c>
      <c r="BH370" s="643" t="s">
        <v>6222</v>
      </c>
      <c r="BI370" s="835">
        <f t="shared" ref="BI370:BV370" ca="1" si="56">COUNTA(INDIRECT($BJ$367&amp;BI369,1))</f>
        <v>0</v>
      </c>
      <c r="BJ370" s="835">
        <f t="shared" ca="1" si="56"/>
        <v>0</v>
      </c>
      <c r="BK370" s="835">
        <f t="shared" ca="1" si="56"/>
        <v>0</v>
      </c>
      <c r="BL370" s="835">
        <f t="shared" ca="1" si="56"/>
        <v>0</v>
      </c>
      <c r="BM370" s="835">
        <f t="shared" ca="1" si="56"/>
        <v>0</v>
      </c>
      <c r="BN370" s="835">
        <f t="shared" ca="1" si="56"/>
        <v>0</v>
      </c>
      <c r="BO370" s="835">
        <f t="shared" ca="1" si="56"/>
        <v>0</v>
      </c>
      <c r="BP370" s="835">
        <f t="shared" ca="1" si="56"/>
        <v>0</v>
      </c>
      <c r="BQ370" s="835">
        <f t="shared" ca="1" si="56"/>
        <v>0</v>
      </c>
      <c r="BR370" s="835">
        <f t="shared" ca="1" si="56"/>
        <v>1</v>
      </c>
      <c r="BS370" s="835">
        <f t="shared" ca="1" si="56"/>
        <v>0</v>
      </c>
      <c r="BT370" s="835">
        <f t="shared" ca="1" si="56"/>
        <v>0</v>
      </c>
      <c r="BU370" s="835">
        <f t="shared" ca="1" si="56"/>
        <v>0</v>
      </c>
      <c r="BV370" s="835">
        <f t="shared" ca="1" si="56"/>
        <v>0</v>
      </c>
      <c r="DA370" s="470" t="s">
        <v>6172</v>
      </c>
    </row>
    <row r="371" spans="52:105" x14ac:dyDescent="0.25">
      <c r="AZ371" s="470" t="s">
        <v>6172</v>
      </c>
      <c r="BB371" s="844">
        <f ca="1">IF(AND(BI370&lt;&gt;0,BO370=0),1,0)</f>
        <v>0</v>
      </c>
      <c r="BC371" s="426" t="s">
        <v>6201</v>
      </c>
      <c r="BH371" s="643" t="s">
        <v>6133</v>
      </c>
      <c r="BI371" s="643" cm="1">
        <f t="array" aca="1" ref="BI371" ca="1">INDIRECT($BJ$367&amp;BI369,1)</f>
        <v>0</v>
      </c>
      <c r="BJ371" s="643" cm="1">
        <f t="array" aca="1" ref="BJ371" ca="1">INDIRECT($BJ$367&amp;BJ369,1)</f>
        <v>0</v>
      </c>
      <c r="BK371" s="643" cm="1">
        <f t="array" aca="1" ref="BK371" ca="1">INDIRECT($BJ$367&amp;BK369,1)</f>
        <v>0</v>
      </c>
      <c r="BL371" s="643" cm="1">
        <f t="array" aca="1" ref="BL371" ca="1">INDIRECT($BJ$367&amp;BL369,1)</f>
        <v>0</v>
      </c>
      <c r="BM371" s="643" cm="1">
        <f t="array" aca="1" ref="BM371" ca="1">INDIRECT($BJ$367&amp;BM369,1)</f>
        <v>0</v>
      </c>
      <c r="BN371" s="643" cm="1">
        <f t="array" aca="1" ref="BN371" ca="1">INDIRECT($BJ$367&amp;BN369,1)</f>
        <v>0</v>
      </c>
      <c r="BO371" s="643" cm="1">
        <f t="array" aca="1" ref="BO371" ca="1">INDIRECT($BJ$367&amp;BO369,1)</f>
        <v>0</v>
      </c>
      <c r="BP371" s="643" cm="1">
        <f t="array" aca="1" ref="BP371" ca="1">INDIRECT($BJ$367&amp;BP369,1)</f>
        <v>0</v>
      </c>
      <c r="BQ371" s="643" cm="1">
        <f t="array" aca="1" ref="BQ371" ca="1">INDIRECT($BJ$367&amp;BQ369,1)</f>
        <v>0</v>
      </c>
      <c r="BR371" s="643" t="str" cm="1">
        <f t="array" aca="1" ref="BR371" ca="1">INDIRECT($BJ$367&amp;BR369,1)</f>
        <v>Cavia porcellus</v>
      </c>
      <c r="BS371" s="643" cm="1">
        <f t="array" aca="1" ref="BS371" ca="1">INDIRECT($BJ$367&amp;BS369,1)</f>
        <v>0</v>
      </c>
      <c r="BT371" s="643" cm="1">
        <f t="array" aca="1" ref="BT371" ca="1">INDIRECT($BJ$367&amp;BT369,1)</f>
        <v>0</v>
      </c>
      <c r="BU371" s="643" cm="1">
        <f t="array" aca="1" ref="BU371" ca="1">INDIRECT($BJ$367&amp;BU369,1)</f>
        <v>0</v>
      </c>
      <c r="BV371" s="643" cm="1">
        <f t="array" aca="1" ref="BV371" ca="1">INDIRECT($BJ$367&amp;BV369,1)</f>
        <v>0</v>
      </c>
      <c r="DA371" s="470" t="s">
        <v>6172</v>
      </c>
    </row>
    <row r="372" spans="52:105" x14ac:dyDescent="0.25">
      <c r="AZ372" s="470" t="s">
        <v>6172</v>
      </c>
      <c r="BB372" s="844">
        <f ca="1">IF(AND(BI370&lt;&gt;0,BP370=0),1,0)</f>
        <v>0</v>
      </c>
      <c r="BC372" s="426" t="s">
        <v>6202</v>
      </c>
      <c r="BH372" s="643" t="s">
        <v>14</v>
      </c>
      <c r="BI372" s="597" t="s">
        <v>7328</v>
      </c>
      <c r="BJ372" s="597" t="s">
        <v>7328</v>
      </c>
      <c r="BK372" s="643" t="s">
        <v>7328</v>
      </c>
      <c r="BL372" s="643" t="s">
        <v>7322</v>
      </c>
      <c r="BM372" s="643" t="s">
        <v>7322</v>
      </c>
      <c r="BN372" s="643" t="s">
        <v>7328</v>
      </c>
      <c r="BO372" s="643" t="s">
        <v>7323</v>
      </c>
      <c r="BP372" s="643" t="s">
        <v>7323</v>
      </c>
      <c r="BQ372" s="643" t="s">
        <v>7322</v>
      </c>
      <c r="BR372" s="643" t="s">
        <v>7328</v>
      </c>
      <c r="BS372" s="643" t="s">
        <v>7328</v>
      </c>
      <c r="BT372" s="643" t="s">
        <v>7322</v>
      </c>
      <c r="BU372" s="643" t="s">
        <v>7322</v>
      </c>
      <c r="BV372" s="643" t="s">
        <v>7323</v>
      </c>
      <c r="DA372" s="470" t="s">
        <v>6172</v>
      </c>
    </row>
    <row r="373" spans="52:105" x14ac:dyDescent="0.25">
      <c r="AZ373" s="470" t="s">
        <v>6172</v>
      </c>
      <c r="BB373" s="844">
        <f ca="1">IF(AND(BI370&lt;&gt;0,BQ370=0),1,0)</f>
        <v>0</v>
      </c>
      <c r="BC373" s="426" t="s">
        <v>6203</v>
      </c>
      <c r="DA373" s="470" t="s">
        <v>6172</v>
      </c>
    </row>
    <row r="374" spans="52:105" x14ac:dyDescent="0.25">
      <c r="AZ374" s="470" t="s">
        <v>6172</v>
      </c>
      <c r="BB374" s="844">
        <f ca="1">IF(AND(BI370&lt;&gt;0,BR370=0),1,0)</f>
        <v>0</v>
      </c>
      <c r="BC374" s="426" t="s">
        <v>6204</v>
      </c>
      <c r="DA374" s="470" t="s">
        <v>6172</v>
      </c>
    </row>
    <row r="375" spans="52:105" x14ac:dyDescent="0.25">
      <c r="AZ375" s="470" t="s">
        <v>6172</v>
      </c>
      <c r="BB375" s="844">
        <f ca="1">IF(AND(BI370&lt;&gt;0,BT370=0),1,0)</f>
        <v>0</v>
      </c>
      <c r="BC375" s="426" t="s">
        <v>6349</v>
      </c>
      <c r="BI375" s="2" t="s">
        <v>73</v>
      </c>
      <c r="BJ375" s="2"/>
      <c r="BK375" s="2"/>
      <c r="BL375" s="2"/>
      <c r="BM375" s="2"/>
      <c r="BN375" s="2"/>
      <c r="BO375" s="2"/>
      <c r="BP375" s="2"/>
      <c r="BQ375" s="2"/>
      <c r="BR375" s="2"/>
      <c r="BS375" s="2"/>
      <c r="BT375" s="2"/>
      <c r="BU375" s="2"/>
      <c r="DA375" s="470" t="s">
        <v>6172</v>
      </c>
    </row>
    <row r="376" spans="52:105" x14ac:dyDescent="0.25">
      <c r="AZ376" s="470" t="s">
        <v>6172</v>
      </c>
      <c r="BB376" s="844">
        <f ca="1">IF(AND(BI370&lt;&gt;0,BU370=0),1,0)</f>
        <v>0</v>
      </c>
      <c r="BC376" s="426" t="s">
        <v>6350</v>
      </c>
      <c r="BI376" s="939" t="s">
        <v>35</v>
      </c>
      <c r="BJ376" s="940" t="s">
        <v>6331</v>
      </c>
      <c r="BK376" s="940" t="s">
        <v>6332</v>
      </c>
      <c r="BL376" s="940" t="s">
        <v>6333</v>
      </c>
      <c r="BM376" s="940" t="s">
        <v>6334</v>
      </c>
      <c r="BN376" s="940" t="s">
        <v>6341</v>
      </c>
      <c r="BO376" s="940" t="s">
        <v>6342</v>
      </c>
      <c r="BP376" s="940" t="s">
        <v>6343</v>
      </c>
      <c r="BQ376" s="940" t="s">
        <v>6344</v>
      </c>
      <c r="BR376" s="941" t="s">
        <v>6335</v>
      </c>
      <c r="BS376" s="941" t="s">
        <v>6336</v>
      </c>
      <c r="BT376" s="941" t="s">
        <v>6337</v>
      </c>
      <c r="BU376" s="941" t="s">
        <v>339</v>
      </c>
      <c r="DA376" s="470" t="s">
        <v>6172</v>
      </c>
    </row>
    <row r="377" spans="52:105" x14ac:dyDescent="0.25">
      <c r="AZ377" s="470" t="s">
        <v>6172</v>
      </c>
      <c r="BB377" s="844">
        <f ca="1">IF(AND(BI370&lt;&gt;0,BV370=0),1,0)</f>
        <v>0</v>
      </c>
      <c r="BC377" s="426" t="s">
        <v>6311</v>
      </c>
      <c r="BH377" s="790" t="s">
        <v>5778</v>
      </c>
      <c r="BI377" s="788" t="s">
        <v>7526</v>
      </c>
      <c r="BJ377" s="942" t="s">
        <v>7527</v>
      </c>
      <c r="BK377" s="942" t="s">
        <v>7528</v>
      </c>
      <c r="BL377" s="942" t="s">
        <v>7529</v>
      </c>
      <c r="BM377" s="942" t="s">
        <v>7530</v>
      </c>
      <c r="BN377" s="942" t="s">
        <v>7531</v>
      </c>
      <c r="BO377" s="942" t="s">
        <v>7532</v>
      </c>
      <c r="BP377" s="942" t="s">
        <v>7533</v>
      </c>
      <c r="BQ377" s="942" t="s">
        <v>7534</v>
      </c>
      <c r="BR377" s="788" t="s">
        <v>7451</v>
      </c>
      <c r="BS377" s="942" t="s">
        <v>7540</v>
      </c>
      <c r="BT377" s="942" t="s">
        <v>7541</v>
      </c>
      <c r="BU377" s="942" t="s">
        <v>7542</v>
      </c>
      <c r="DA377" s="470" t="s">
        <v>6172</v>
      </c>
    </row>
    <row r="378" spans="52:105" x14ac:dyDescent="0.25">
      <c r="AZ378" s="470" t="s">
        <v>6172</v>
      </c>
      <c r="BB378" s="844">
        <f ca="1">BJ404</f>
        <v>0</v>
      </c>
      <c r="BC378" s="426" t="s">
        <v>6351</v>
      </c>
      <c r="BH378" s="790" t="s">
        <v>6222</v>
      </c>
      <c r="BI378" s="718">
        <f t="shared" ref="BI378:BU378" ca="1" si="57">COUNTA(INDIRECT($BJ$367&amp;BI377,1))</f>
        <v>0</v>
      </c>
      <c r="BJ378" s="718">
        <f t="shared" ca="1" si="57"/>
        <v>0</v>
      </c>
      <c r="BK378" s="718">
        <f t="shared" ca="1" si="57"/>
        <v>0</v>
      </c>
      <c r="BL378" s="718">
        <f t="shared" ca="1" si="57"/>
        <v>0</v>
      </c>
      <c r="BM378" s="718">
        <f t="shared" ca="1" si="57"/>
        <v>0</v>
      </c>
      <c r="BN378" s="718">
        <f t="shared" ca="1" si="57"/>
        <v>0</v>
      </c>
      <c r="BO378" s="718">
        <f t="shared" ca="1" si="57"/>
        <v>0</v>
      </c>
      <c r="BP378" s="718">
        <f t="shared" ca="1" si="57"/>
        <v>0</v>
      </c>
      <c r="BQ378" s="718">
        <f t="shared" ca="1" si="57"/>
        <v>0</v>
      </c>
      <c r="BR378" s="718">
        <f t="shared" ca="1" si="57"/>
        <v>0</v>
      </c>
      <c r="BS378" s="718">
        <f t="shared" ca="1" si="57"/>
        <v>0</v>
      </c>
      <c r="BT378" s="718">
        <f t="shared" ca="1" si="57"/>
        <v>0</v>
      </c>
      <c r="BU378" s="718">
        <f t="shared" ca="1" si="57"/>
        <v>0</v>
      </c>
      <c r="DA378" s="470" t="s">
        <v>6172</v>
      </c>
    </row>
    <row r="379" spans="52:105" x14ac:dyDescent="0.25">
      <c r="AZ379" s="470" t="s">
        <v>6172</v>
      </c>
      <c r="BB379" s="844">
        <f ca="1">IF(COUNTA(INDIRECT($BJ$367&amp;BI377,1))&lt;&gt;COUNTA(INDIRECT($BJ$367&amp;BN377,1)),1,0)</f>
        <v>0</v>
      </c>
      <c r="BC379" s="426" t="s">
        <v>6352</v>
      </c>
      <c r="BH379" s="790" t="s">
        <v>6133</v>
      </c>
      <c r="BI379" s="943"/>
      <c r="BJ379" s="943"/>
      <c r="BK379" s="943"/>
      <c r="BL379" s="943"/>
      <c r="BM379" s="943"/>
      <c r="BN379" s="943"/>
      <c r="BO379" s="943"/>
      <c r="BP379" s="943"/>
      <c r="BQ379" s="943"/>
      <c r="BR379" s="597" cm="1">
        <f t="array" aca="1" ref="BR379" ca="1">INDIRECT($BJ$367&amp;BR377,1)</f>
        <v>0</v>
      </c>
      <c r="BS379" s="597" cm="1">
        <f t="array" aca="1" ref="BS379" ca="1">INDIRECT($BJ$367&amp;BS377,1)</f>
        <v>0</v>
      </c>
      <c r="BT379" s="597" cm="1">
        <f t="array" aca="1" ref="BT379" ca="1">INDIRECT($BJ$367&amp;BT377,1)</f>
        <v>0</v>
      </c>
      <c r="BU379" s="597" cm="1">
        <f t="array" aca="1" ref="BU379" ca="1">INDIRECT($BJ$367&amp;BU377,1)</f>
        <v>0</v>
      </c>
      <c r="DA379" s="470" t="s">
        <v>6172</v>
      </c>
    </row>
    <row r="380" spans="52:105" x14ac:dyDescent="0.25">
      <c r="AZ380" s="470" t="s">
        <v>6172</v>
      </c>
      <c r="BB380" s="844">
        <f ca="1">IF(AND(BI370&lt;&gt;0,BR378=0),1,0)</f>
        <v>0</v>
      </c>
      <c r="BC380" s="426" t="s">
        <v>6317</v>
      </c>
      <c r="BH380" s="790" t="s">
        <v>14</v>
      </c>
      <c r="BI380" s="597" t="s">
        <v>7322</v>
      </c>
      <c r="BJ380" s="597" t="s">
        <v>7330</v>
      </c>
      <c r="BK380" s="597" t="s">
        <v>7330</v>
      </c>
      <c r="BL380" s="597" t="s">
        <v>7330</v>
      </c>
      <c r="BM380" s="597" t="s">
        <v>7330</v>
      </c>
      <c r="BN380" s="597" t="s">
        <v>7330</v>
      </c>
      <c r="BO380" s="597" t="s">
        <v>7330</v>
      </c>
      <c r="BP380" s="597" t="s">
        <v>7330</v>
      </c>
      <c r="BQ380" s="597" t="s">
        <v>7330</v>
      </c>
      <c r="BR380" s="597" t="s">
        <v>7328</v>
      </c>
      <c r="BS380" s="597" t="s">
        <v>7330</v>
      </c>
      <c r="BT380" s="597" t="s">
        <v>7330</v>
      </c>
      <c r="BU380" s="597" t="s">
        <v>7330</v>
      </c>
      <c r="DA380" s="470" t="s">
        <v>6172</v>
      </c>
    </row>
    <row r="381" spans="52:105" x14ac:dyDescent="0.25">
      <c r="AZ381" s="470" t="s">
        <v>6172</v>
      </c>
      <c r="BB381" s="844">
        <f ca="1">IF(AND(BJ391=1,BS378=0),1,0)</f>
        <v>0</v>
      </c>
      <c r="BC381" s="426" t="s">
        <v>7044</v>
      </c>
      <c r="DA381" s="470" t="s">
        <v>6172</v>
      </c>
    </row>
    <row r="382" spans="52:105" x14ac:dyDescent="0.25">
      <c r="AZ382" s="470" t="s">
        <v>6172</v>
      </c>
      <c r="BB382" s="844">
        <f ca="1">IF(AND(BI370&lt;&gt;0,BT378=0),1,0)</f>
        <v>0</v>
      </c>
      <c r="BC382" s="426" t="s">
        <v>7045</v>
      </c>
      <c r="DA382" s="470" t="s">
        <v>6172</v>
      </c>
    </row>
    <row r="383" spans="52:105" x14ac:dyDescent="0.25">
      <c r="AZ383" s="470" t="s">
        <v>6172</v>
      </c>
      <c r="BB383" s="844">
        <f ca="1">IF(AND(BI370&lt;&gt;0,BU378=0),1,0)</f>
        <v>0</v>
      </c>
      <c r="BC383" s="426" t="s">
        <v>7046</v>
      </c>
      <c r="BI383" s="20" t="s">
        <v>7603</v>
      </c>
      <c r="DA383" s="470" t="s">
        <v>6172</v>
      </c>
    </row>
    <row r="384" spans="52:105" x14ac:dyDescent="0.25">
      <c r="AZ384" s="470" t="s">
        <v>6172</v>
      </c>
      <c r="BB384" s="844">
        <f ca="1">IF(AND(BI370&lt;&gt;0,BI386=0),1,0)</f>
        <v>0</v>
      </c>
      <c r="BC384" s="426" t="s">
        <v>6353</v>
      </c>
      <c r="BH384" s="639"/>
      <c r="BI384" s="944" t="s">
        <v>256</v>
      </c>
      <c r="BJ384" s="944" t="s">
        <v>6338</v>
      </c>
      <c r="BK384" s="944" t="s">
        <v>6347</v>
      </c>
      <c r="BL384" s="944" t="s">
        <v>6347</v>
      </c>
      <c r="BM384" s="944" t="s">
        <v>8373</v>
      </c>
      <c r="BN384" s="944" t="s">
        <v>8373</v>
      </c>
      <c r="BO384" s="944" t="s">
        <v>6339</v>
      </c>
      <c r="BQ384" s="944" t="s">
        <v>342</v>
      </c>
      <c r="BR384" s="944" t="s">
        <v>6340</v>
      </c>
      <c r="BS384" s="944" t="s">
        <v>188</v>
      </c>
      <c r="BT384" s="944" t="s">
        <v>32</v>
      </c>
      <c r="BU384" s="944" t="s">
        <v>228</v>
      </c>
      <c r="BV384" s="944" t="s">
        <v>229</v>
      </c>
      <c r="BW384" s="944" t="s">
        <v>341</v>
      </c>
      <c r="BX384" s="944" t="s">
        <v>189</v>
      </c>
      <c r="BY384" s="944" t="s">
        <v>343</v>
      </c>
      <c r="BZ384" s="944" t="s">
        <v>32</v>
      </c>
      <c r="CA384" s="944" t="s">
        <v>228</v>
      </c>
      <c r="CB384" s="944" t="s">
        <v>229</v>
      </c>
      <c r="CC384" s="945" t="s">
        <v>293</v>
      </c>
      <c r="CD384" s="945" t="s">
        <v>301</v>
      </c>
      <c r="CE384" s="945" t="s">
        <v>302</v>
      </c>
      <c r="CF384" s="946" t="s">
        <v>6242</v>
      </c>
      <c r="CG384" s="946" t="s">
        <v>143</v>
      </c>
      <c r="CH384" s="946" t="s">
        <v>6189</v>
      </c>
      <c r="CI384" s="947" t="s">
        <v>6187</v>
      </c>
      <c r="DA384" s="470" t="s">
        <v>6172</v>
      </c>
    </row>
    <row r="385" spans="52:105" x14ac:dyDescent="0.25">
      <c r="AZ385" s="470" t="s">
        <v>6172</v>
      </c>
      <c r="BB385" s="844">
        <f ca="1">IF(AND(BI370&lt;&gt;0,BJ386=0),1,0)</f>
        <v>0</v>
      </c>
      <c r="BC385" s="426" t="s">
        <v>6354</v>
      </c>
      <c r="BH385" s="790" t="s">
        <v>5778</v>
      </c>
      <c r="BI385" s="948" t="s">
        <v>7302</v>
      </c>
      <c r="BJ385" s="948" t="s">
        <v>7304</v>
      </c>
      <c r="BK385" s="948" t="s">
        <v>7543</v>
      </c>
      <c r="BL385" s="948" t="s">
        <v>7544</v>
      </c>
      <c r="BM385" s="948" t="s">
        <v>7545</v>
      </c>
      <c r="BN385" s="948" t="s">
        <v>7546</v>
      </c>
      <c r="BO385" s="948" t="s">
        <v>7413</v>
      </c>
      <c r="BQ385" s="948" t="s">
        <v>7547</v>
      </c>
      <c r="BR385" s="948" t="s">
        <v>7548</v>
      </c>
      <c r="BS385" s="948" t="s">
        <v>7456</v>
      </c>
      <c r="BT385" s="948" t="s">
        <v>7549</v>
      </c>
      <c r="BU385" s="948" t="s">
        <v>7050</v>
      </c>
      <c r="BV385" s="948" t="s">
        <v>7051</v>
      </c>
      <c r="BW385" s="948" t="s">
        <v>7306</v>
      </c>
      <c r="BX385" s="948" t="s">
        <v>7457</v>
      </c>
      <c r="BY385" s="948" t="s">
        <v>7550</v>
      </c>
      <c r="BZ385" s="948" t="s">
        <v>7458</v>
      </c>
      <c r="CA385" s="948" t="s">
        <v>7052</v>
      </c>
      <c r="CB385" s="948" t="s">
        <v>7037</v>
      </c>
      <c r="CC385" s="948" t="s">
        <v>7535</v>
      </c>
      <c r="CD385" s="948" t="s">
        <v>7536</v>
      </c>
      <c r="CE385" s="948" t="s">
        <v>7537</v>
      </c>
      <c r="CF385" s="948" t="s">
        <v>5700</v>
      </c>
      <c r="CG385" s="948" t="s">
        <v>7551</v>
      </c>
      <c r="CH385" s="948" t="s">
        <v>7552</v>
      </c>
      <c r="CI385" s="949" t="s">
        <v>8552</v>
      </c>
      <c r="DA385" s="470" t="s">
        <v>6172</v>
      </c>
    </row>
    <row r="386" spans="52:105" x14ac:dyDescent="0.25">
      <c r="AZ386" s="470" t="s">
        <v>6172</v>
      </c>
      <c r="BB386" s="844">
        <f ca="1">IF(AND(BJ391=1,BI370&lt;&gt;BK386),1,0)</f>
        <v>0</v>
      </c>
      <c r="BC386" s="426" t="s">
        <v>6355</v>
      </c>
      <c r="BH386" s="790" t="s">
        <v>6222</v>
      </c>
      <c r="BI386" s="835">
        <f t="shared" ref="BI386:BO386" ca="1" si="58">COUNTA(INDIRECT($BJ$367&amp;BI385,1))</f>
        <v>0</v>
      </c>
      <c r="BJ386" s="835">
        <f t="shared" ca="1" si="58"/>
        <v>0</v>
      </c>
      <c r="BK386" s="835">
        <f t="shared" ca="1" si="58"/>
        <v>0</v>
      </c>
      <c r="BL386" s="835">
        <f t="shared" ca="1" si="58"/>
        <v>0</v>
      </c>
      <c r="BM386" s="835">
        <f t="shared" ca="1" si="58"/>
        <v>0</v>
      </c>
      <c r="BN386" s="835">
        <f t="shared" ca="1" si="58"/>
        <v>0</v>
      </c>
      <c r="BO386" s="835">
        <f t="shared" ca="1" si="58"/>
        <v>0</v>
      </c>
      <c r="BQ386" s="835">
        <f t="shared" ref="BQ386:CH386" ca="1" si="59">COUNTA(INDIRECT($BJ$367&amp;BQ385,1))</f>
        <v>0</v>
      </c>
      <c r="BR386" s="835">
        <f t="shared" ca="1" si="59"/>
        <v>0</v>
      </c>
      <c r="BS386" s="835">
        <f t="shared" ca="1" si="59"/>
        <v>0</v>
      </c>
      <c r="BT386" s="835">
        <f t="shared" ca="1" si="59"/>
        <v>0</v>
      </c>
      <c r="BU386" s="835">
        <f t="shared" ca="1" si="59"/>
        <v>0</v>
      </c>
      <c r="BV386" s="835">
        <f t="shared" ca="1" si="59"/>
        <v>0</v>
      </c>
      <c r="BW386" s="835">
        <f t="shared" ca="1" si="59"/>
        <v>0</v>
      </c>
      <c r="BX386" s="835">
        <f t="shared" ca="1" si="59"/>
        <v>0</v>
      </c>
      <c r="BY386" s="835">
        <f t="shared" ca="1" si="59"/>
        <v>0</v>
      </c>
      <c r="BZ386" s="835">
        <f t="shared" ca="1" si="59"/>
        <v>0</v>
      </c>
      <c r="CA386" s="835">
        <f t="shared" ca="1" si="59"/>
        <v>0</v>
      </c>
      <c r="CB386" s="835">
        <f t="shared" ca="1" si="59"/>
        <v>0</v>
      </c>
      <c r="CC386" s="835">
        <f t="shared" ca="1" si="59"/>
        <v>0</v>
      </c>
      <c r="CD386" s="835">
        <f t="shared" ca="1" si="59"/>
        <v>0</v>
      </c>
      <c r="CE386" s="835">
        <f t="shared" ca="1" si="59"/>
        <v>0</v>
      </c>
      <c r="CF386" s="835">
        <f t="shared" ca="1" si="59"/>
        <v>0</v>
      </c>
      <c r="CG386" s="835">
        <f t="shared" ca="1" si="59"/>
        <v>0</v>
      </c>
      <c r="CH386" s="835">
        <f t="shared" ca="1" si="59"/>
        <v>0</v>
      </c>
      <c r="CI386" s="910">
        <f ca="1">COUNTA(INDIRECT(CI385,1))</f>
        <v>1</v>
      </c>
      <c r="DA386" s="470" t="s">
        <v>6172</v>
      </c>
    </row>
    <row r="387" spans="52:105" x14ac:dyDescent="0.25">
      <c r="AZ387" s="470" t="s">
        <v>6172</v>
      </c>
      <c r="BB387" s="844">
        <f ca="1">IF(AND(BI370&lt;&gt;0,BM386=0),1,0)</f>
        <v>0</v>
      </c>
      <c r="BC387" s="426" t="s">
        <v>6356</v>
      </c>
      <c r="BH387" s="790" t="s">
        <v>6133</v>
      </c>
      <c r="BI387" s="597" cm="1">
        <f t="array" aca="1" ref="BI387" ca="1">INDIRECT($BJ$367&amp;BI385,1)</f>
        <v>0</v>
      </c>
      <c r="BJ387" s="597" cm="1">
        <f t="array" aca="1" ref="BJ387" ca="1">INDIRECT($BJ$367&amp;BJ385,1)</f>
        <v>0</v>
      </c>
      <c r="BK387" s="597" cm="1">
        <f t="array" aca="1" ref="BK387" ca="1">INDIRECT($BJ$367&amp;BK385,1)</f>
        <v>0</v>
      </c>
      <c r="BL387" s="597" cm="1">
        <f t="array" aca="1" ref="BL387" ca="1">INDIRECT($BJ$367&amp;BL385,1)</f>
        <v>0</v>
      </c>
      <c r="BM387" s="597" cm="1">
        <f t="array" aca="1" ref="BM387" ca="1">INDIRECT($BJ$367&amp;BM385,1)</f>
        <v>0</v>
      </c>
      <c r="BN387" s="597" cm="1">
        <f t="array" aca="1" ref="BN387" ca="1">INDIRECT($BJ$367&amp;BN385,1)</f>
        <v>0</v>
      </c>
      <c r="BO387" s="597" cm="1">
        <f t="array" aca="1" ref="BO387" ca="1">INDIRECT($BJ$367&amp;BO385,1)</f>
        <v>0</v>
      </c>
      <c r="BQ387" s="597" cm="1">
        <f t="array" aca="1" ref="BQ387" ca="1">INDIRECT($BJ$367&amp;BQ385,1)</f>
        <v>0</v>
      </c>
      <c r="BR387" s="597" cm="1">
        <f t="array" aca="1" ref="BR387" ca="1">INDIRECT($BJ$367&amp;BR385,1)</f>
        <v>0</v>
      </c>
      <c r="BS387" s="597" cm="1">
        <f t="array" aca="1" ref="BS387" ca="1">INDIRECT($BJ$367&amp;BS385,1)</f>
        <v>0</v>
      </c>
      <c r="BT387" s="597" cm="1">
        <f t="array" aca="1" ref="BT387" ca="1">INDIRECT($BJ$367&amp;BT385,1)</f>
        <v>0</v>
      </c>
      <c r="BU387" s="597" cm="1">
        <f t="array" aca="1" ref="BU387" ca="1">INDIRECT($BJ$367&amp;BU385,1)</f>
        <v>0</v>
      </c>
      <c r="BV387" s="597" cm="1">
        <f t="array" aca="1" ref="BV387" ca="1">INDIRECT($BJ$367&amp;BV385,1)</f>
        <v>0</v>
      </c>
      <c r="BW387" s="597" cm="1">
        <f t="array" aca="1" ref="BW387" ca="1">INDIRECT($BJ$367&amp;BW385,1)</f>
        <v>0</v>
      </c>
      <c r="BX387" s="597" cm="1">
        <f t="array" aca="1" ref="BX387" ca="1">INDIRECT($BJ$367&amp;BX385,1)</f>
        <v>0</v>
      </c>
      <c r="BY387" s="597" cm="1">
        <f t="array" aca="1" ref="BY387" ca="1">INDIRECT($BJ$367&amp;BY385,1)</f>
        <v>0</v>
      </c>
      <c r="BZ387" s="597" cm="1">
        <f t="array" aca="1" ref="BZ387" ca="1">INDIRECT($BJ$367&amp;BZ385,1)</f>
        <v>0</v>
      </c>
      <c r="CA387" s="597" cm="1">
        <f t="array" aca="1" ref="CA387" ca="1">INDIRECT($BJ$367&amp;CA385,1)</f>
        <v>0</v>
      </c>
      <c r="CB387" s="597" cm="1">
        <f t="array" aca="1" ref="CB387" ca="1">INDIRECT($BJ$367&amp;CB385,1)</f>
        <v>0</v>
      </c>
      <c r="CC387" s="943"/>
      <c r="CD387" s="943"/>
      <c r="CE387" s="943"/>
      <c r="CF387" s="597" cm="1">
        <f t="array" aca="1" ref="CF387" ca="1">INDIRECT($BJ$367&amp;CF385,1)</f>
        <v>0</v>
      </c>
      <c r="CG387" s="597" cm="1">
        <f t="array" aca="1" ref="CG387" ca="1">INDIRECT($BJ$367&amp;CG385,1)</f>
        <v>0</v>
      </c>
      <c r="CH387" s="597" cm="1">
        <f t="array" aca="1" ref="CH387" ca="1">INDIRECT($BJ$367&amp;CH385,1)</f>
        <v>0</v>
      </c>
      <c r="CI387" s="910" cm="1">
        <f t="array" aca="1" ref="CI387" ca="1">INDIRECT(CI385,1)</f>
        <v>0</v>
      </c>
      <c r="DA387" s="470" t="s">
        <v>6172</v>
      </c>
    </row>
    <row r="388" spans="52:105" x14ac:dyDescent="0.25">
      <c r="AZ388" s="470" t="s">
        <v>6172</v>
      </c>
      <c r="BB388" s="844">
        <f ca="1">IF(AND(BJ436=1,BO386=0),1,0)</f>
        <v>0</v>
      </c>
      <c r="BC388" s="426" t="s">
        <v>6359</v>
      </c>
      <c r="BH388" s="790" t="s">
        <v>14</v>
      </c>
      <c r="BI388" s="597" t="s">
        <v>7329</v>
      </c>
      <c r="BJ388" s="597" t="s">
        <v>7329</v>
      </c>
      <c r="BK388" s="597" t="s">
        <v>7330</v>
      </c>
      <c r="BL388" s="597" t="s">
        <v>7330</v>
      </c>
      <c r="BM388" s="597" t="s">
        <v>7330</v>
      </c>
      <c r="BN388" s="597" t="s">
        <v>7330</v>
      </c>
      <c r="BO388" s="597" t="s">
        <v>7328</v>
      </c>
      <c r="BQ388" s="597" t="s">
        <v>7330</v>
      </c>
      <c r="BR388" s="597" t="s">
        <v>7328</v>
      </c>
      <c r="BS388" s="597" t="s">
        <v>7322</v>
      </c>
      <c r="BT388" s="597" t="s">
        <v>7328</v>
      </c>
      <c r="BU388" s="597" t="s">
        <v>7330</v>
      </c>
      <c r="BV388" s="597" t="s">
        <v>7330</v>
      </c>
      <c r="BW388" s="597" t="s">
        <v>7322</v>
      </c>
      <c r="BX388" s="597" t="s">
        <v>7329</v>
      </c>
      <c r="BY388" s="597" t="s">
        <v>7330</v>
      </c>
      <c r="BZ388" s="597" t="s">
        <v>7328</v>
      </c>
      <c r="CA388" s="597" t="s">
        <v>7330</v>
      </c>
      <c r="CB388" s="597" t="s">
        <v>7330</v>
      </c>
      <c r="CC388" s="597" t="s">
        <v>7328</v>
      </c>
      <c r="CD388" s="597" t="s">
        <v>7328</v>
      </c>
      <c r="CE388" s="597" t="s">
        <v>7328</v>
      </c>
      <c r="CF388" s="597" t="s">
        <v>7328</v>
      </c>
      <c r="CG388" s="597" t="s">
        <v>7328</v>
      </c>
      <c r="CH388" s="597" t="s">
        <v>7328</v>
      </c>
      <c r="CI388" s="597" t="s">
        <v>7332</v>
      </c>
      <c r="DA388" s="470" t="s">
        <v>6172</v>
      </c>
    </row>
    <row r="389" spans="52:105" x14ac:dyDescent="0.25">
      <c r="AZ389" s="470" t="s">
        <v>6172</v>
      </c>
      <c r="BB389" s="844">
        <f ca="1">IF(AND(BI370&lt;&gt;0,BQ386=0),1,0)</f>
        <v>0</v>
      </c>
      <c r="BC389" s="426" t="s">
        <v>6357</v>
      </c>
      <c r="BV389" s="2"/>
      <c r="BW389" s="2"/>
      <c r="BX389" s="2"/>
      <c r="BY389" s="2"/>
      <c r="BZ389" s="2"/>
      <c r="CA389" s="2"/>
      <c r="CB389" s="2"/>
      <c r="CC389" s="2"/>
      <c r="CD389" s="2"/>
      <c r="CE389" s="2"/>
      <c r="CF389" s="2"/>
      <c r="CG389" s="2"/>
      <c r="DA389" s="470" t="s">
        <v>6172</v>
      </c>
    </row>
    <row r="390" spans="52:105" x14ac:dyDescent="0.25">
      <c r="AZ390" s="470" t="s">
        <v>6172</v>
      </c>
      <c r="BB390" s="844">
        <f ca="1">IF(AND(BJ431=1,BR386=0),1,0)</f>
        <v>0</v>
      </c>
      <c r="BC390" s="426" t="s">
        <v>6358</v>
      </c>
      <c r="DA390" s="470" t="s">
        <v>6172</v>
      </c>
    </row>
    <row r="391" spans="52:105" x14ac:dyDescent="0.25">
      <c r="AZ391" s="470" t="s">
        <v>6172</v>
      </c>
      <c r="BB391" s="844">
        <f ca="1">IF(AND(BI370&lt;&gt;0,BS386=0),1,0)</f>
        <v>0</v>
      </c>
      <c r="BC391" s="426" t="s">
        <v>6360</v>
      </c>
      <c r="BH391" s="506" t="s">
        <v>7898</v>
      </c>
      <c r="BI391" s="757" t="s">
        <v>7899</v>
      </c>
      <c r="BJ391" s="525">
        <f ca="1">IF(BT371="maximização",1,0)</f>
        <v>0</v>
      </c>
      <c r="BK391" s="20" t="s">
        <v>7900</v>
      </c>
      <c r="DA391" s="470" t="s">
        <v>6172</v>
      </c>
    </row>
    <row r="392" spans="52:105" x14ac:dyDescent="0.25">
      <c r="AZ392" s="470" t="s">
        <v>6172</v>
      </c>
      <c r="BB392" s="844">
        <f ca="1">IF(AND(BI370&lt;&gt;0,BT386=0),1,0)</f>
        <v>0</v>
      </c>
      <c r="BC392" s="426" t="s">
        <v>6361</v>
      </c>
      <c r="BH392" s="472" t="s">
        <v>7849</v>
      </c>
      <c r="BI392" s="757" t="s">
        <v>7850</v>
      </c>
      <c r="BJ392" s="525">
        <f ca="1">IF(BI370=1,1,0)</f>
        <v>0</v>
      </c>
      <c r="BK392" s="20" t="s">
        <v>7851</v>
      </c>
      <c r="CC392" s="2"/>
      <c r="CD392" s="2"/>
      <c r="CE392" s="2"/>
      <c r="CF392" s="2"/>
      <c r="CG392" s="2"/>
      <c r="DA392" s="470" t="s">
        <v>6172</v>
      </c>
    </row>
    <row r="393" spans="52:105" x14ac:dyDescent="0.25">
      <c r="AZ393" s="470" t="s">
        <v>6172</v>
      </c>
      <c r="BB393" s="844">
        <f ca="1">IF(AND(BI370&lt;&gt;0,BU386=0),1,0)</f>
        <v>0</v>
      </c>
      <c r="BC393" s="426" t="s">
        <v>6362</v>
      </c>
      <c r="BH393" s="472" t="s">
        <v>7352</v>
      </c>
      <c r="BI393" s="871" t="s">
        <v>6211</v>
      </c>
      <c r="BJ393" s="525">
        <f ca="1">BQ371</f>
        <v>0</v>
      </c>
      <c r="CC393" s="2"/>
      <c r="CD393" s="2"/>
      <c r="CE393" s="2"/>
      <c r="CF393" s="2"/>
      <c r="CG393" s="2"/>
      <c r="DA393" s="470" t="s">
        <v>6172</v>
      </c>
    </row>
    <row r="394" spans="52:105" x14ac:dyDescent="0.25">
      <c r="AZ394" s="470" t="s">
        <v>6172</v>
      </c>
      <c r="BB394" s="844">
        <f ca="1">IF(AND(BI370&lt;&gt;0,BV386=0),1,0)</f>
        <v>0</v>
      </c>
      <c r="BC394" s="426" t="s">
        <v>6363</v>
      </c>
      <c r="BH394" s="469" t="s">
        <v>5448</v>
      </c>
      <c r="BI394" s="872" t="s">
        <v>6223</v>
      </c>
      <c r="BJ394" s="759">
        <f ca="1">IF(BJ393&lt;&gt;0,
IF(COUNTIF($M$65:$M$94,BJ393)=0,1,0),0)</f>
        <v>0</v>
      </c>
      <c r="BK394" s="20" t="s">
        <v>6212</v>
      </c>
      <c r="DA394" s="470" t="s">
        <v>6172</v>
      </c>
    </row>
    <row r="395" spans="52:105" x14ac:dyDescent="0.25">
      <c r="AZ395" s="470" t="s">
        <v>6172</v>
      </c>
      <c r="BB395" s="844">
        <f ca="1">IF(AND(BI370&lt;&gt;0,BW386=0),1,0)</f>
        <v>0</v>
      </c>
      <c r="BC395" s="426" t="s">
        <v>6364</v>
      </c>
      <c r="BH395" s="472" t="s">
        <v>7352</v>
      </c>
      <c r="BI395" s="871" t="s">
        <v>6178</v>
      </c>
      <c r="BJ395" s="525">
        <f ca="1">IFERROR(VLOOKUP(BJ393,$M$65:$P$94,4,0),0)</f>
        <v>0</v>
      </c>
      <c r="DA395" s="470" t="s">
        <v>6172</v>
      </c>
    </row>
    <row r="396" spans="52:105" x14ac:dyDescent="0.25">
      <c r="AZ396" s="470" t="s">
        <v>6172</v>
      </c>
      <c r="BB396" s="844">
        <f ca="1">IF(AND(BW387="sim",BX386=0),1,0)</f>
        <v>0</v>
      </c>
      <c r="BC396" s="426" t="s">
        <v>6365</v>
      </c>
      <c r="BH396" s="472" t="s">
        <v>7353</v>
      </c>
      <c r="BI396" s="871" t="s">
        <v>6213</v>
      </c>
      <c r="BJ396" s="525">
        <f ca="1">BP371</f>
        <v>0</v>
      </c>
      <c r="DA396" s="470" t="s">
        <v>6172</v>
      </c>
    </row>
    <row r="397" spans="52:105" x14ac:dyDescent="0.25">
      <c r="AZ397" s="470" t="s">
        <v>6172</v>
      </c>
      <c r="BB397" s="844">
        <f ca="1">IF(AND(BW387="sim",BY386=0),1,0)</f>
        <v>0</v>
      </c>
      <c r="BC397" s="426" t="s">
        <v>6366</v>
      </c>
      <c r="BH397" s="469" t="s">
        <v>5448</v>
      </c>
      <c r="BI397" s="872" t="s">
        <v>6179</v>
      </c>
      <c r="BJ397" s="759">
        <f ca="1">IF(BJ394&lt;&gt;1,
IF((BJ395-BJ396)&lt;0,1,0),
0)</f>
        <v>0</v>
      </c>
      <c r="BK397" s="20" t="s">
        <v>6180</v>
      </c>
      <c r="DA397" s="470" t="s">
        <v>6172</v>
      </c>
    </row>
    <row r="398" spans="52:105" x14ac:dyDescent="0.25">
      <c r="AZ398" s="470" t="s">
        <v>6172</v>
      </c>
      <c r="BB398" s="844">
        <f ca="1">IF(AND(BW387="sim",BZ386=0),1,0)</f>
        <v>0</v>
      </c>
      <c r="BC398" s="426" t="s">
        <v>6367</v>
      </c>
      <c r="BH398" s="469" t="s">
        <v>5448</v>
      </c>
      <c r="BI398" s="872" t="s">
        <v>7354</v>
      </c>
      <c r="BJ398" s="759">
        <f ca="1">IF(COUNTIFS($M$65:$M$94,BJ393,$AA$65:$AA$94,2)&gt;0,1,0)</f>
        <v>0</v>
      </c>
      <c r="BK398" s="20" t="s">
        <v>7355</v>
      </c>
      <c r="DA398" s="470" t="s">
        <v>6172</v>
      </c>
    </row>
    <row r="399" spans="52:105" x14ac:dyDescent="0.25">
      <c r="AZ399" s="470" t="s">
        <v>6172</v>
      </c>
      <c r="BB399" s="844">
        <f ca="1">IF(AND(BW387="sim",CA386=0),1,0)</f>
        <v>0</v>
      </c>
      <c r="BC399" s="426" t="s">
        <v>6368</v>
      </c>
      <c r="BH399" s="469" t="s">
        <v>5448</v>
      </c>
      <c r="BI399" s="872" t="s">
        <v>7356</v>
      </c>
      <c r="BJ399" s="767">
        <f ca="1">IF(BL371="Não",1,0)</f>
        <v>0</v>
      </c>
      <c r="BK399" s="20" t="s">
        <v>7357</v>
      </c>
      <c r="DA399" s="470" t="s">
        <v>6172</v>
      </c>
    </row>
    <row r="400" spans="52:105" x14ac:dyDescent="0.25">
      <c r="AZ400" s="470" t="s">
        <v>6172</v>
      </c>
      <c r="BB400" s="844">
        <f ca="1">IF(AND(BW387="sim",CB386),1,0)</f>
        <v>0</v>
      </c>
      <c r="BC400" s="426" t="s">
        <v>6369</v>
      </c>
      <c r="BH400" s="469" t="s">
        <v>5448</v>
      </c>
      <c r="BI400" s="758" t="s">
        <v>6067</v>
      </c>
      <c r="BJ400" s="767">
        <f ca="1">IF(CI387=2,1,0)</f>
        <v>0</v>
      </c>
      <c r="DA400" s="470" t="s">
        <v>6172</v>
      </c>
    </row>
    <row r="401" spans="52:105" x14ac:dyDescent="0.25">
      <c r="AZ401" s="470" t="s">
        <v>6172</v>
      </c>
      <c r="BB401" s="25">
        <f ca="1">IF(AND(BI370&lt;&gt;0,CI387=0),1,0)</f>
        <v>0</v>
      </c>
      <c r="BC401" s="426" t="s">
        <v>6209</v>
      </c>
      <c r="BH401" s="469" t="s">
        <v>5448</v>
      </c>
      <c r="BI401" s="872" t="s">
        <v>7360</v>
      </c>
      <c r="BJ401" s="767">
        <f ca="1">IF(CI387=2,
IF(COUNTIF(INDIRECT(BJ367&amp;CE385,1),"sim")&gt;0,1,0),
0)</f>
        <v>0</v>
      </c>
      <c r="BK401" s="20" t="s">
        <v>7361</v>
      </c>
      <c r="DA401" s="470" t="s">
        <v>6172</v>
      </c>
    </row>
    <row r="402" spans="52:105" x14ac:dyDescent="0.25">
      <c r="AZ402" s="470" t="s">
        <v>6172</v>
      </c>
      <c r="BB402" s="844">
        <f ca="1">IF(AND(BI370&lt;&gt;0,CH386=0),1,0)</f>
        <v>0</v>
      </c>
      <c r="BC402" s="426" t="s">
        <v>6196</v>
      </c>
      <c r="BH402" s="469"/>
      <c r="DA402" s="470" t="s">
        <v>6172</v>
      </c>
    </row>
    <row r="403" spans="52:105" x14ac:dyDescent="0.25">
      <c r="AZ403" s="470" t="s">
        <v>6172</v>
      </c>
      <c r="BB403" s="25">
        <f ca="1">BJ399</f>
        <v>0</v>
      </c>
      <c r="BC403" s="426" t="s">
        <v>6071</v>
      </c>
      <c r="BH403" s="469" t="s">
        <v>5448</v>
      </c>
      <c r="BI403" s="872" t="s">
        <v>7363</v>
      </c>
      <c r="BJ403" s="767">
        <f ca="1">IF(CF387="sim",1,0)</f>
        <v>0</v>
      </c>
      <c r="BK403" s="20" t="s">
        <v>7364</v>
      </c>
      <c r="DA403" s="470" t="s">
        <v>6172</v>
      </c>
    </row>
    <row r="404" spans="52:105" x14ac:dyDescent="0.25">
      <c r="AZ404" s="470" t="s">
        <v>6172</v>
      </c>
      <c r="BB404" s="25"/>
      <c r="BC404" s="426"/>
      <c r="BH404" s="469" t="s">
        <v>5448</v>
      </c>
      <c r="BI404" s="872" t="s">
        <v>7554</v>
      </c>
      <c r="BJ404" s="767">
        <f ca="1">IF(AND(BT371="maximização",COUNTA(INDIRECT($BJ$367&amp;BI377,1))&gt;0,COUNTA(INDIRECT($BJ$367&amp;BJ377,1))=0),1,0)</f>
        <v>0</v>
      </c>
      <c r="BK404" s="20" t="s">
        <v>7553</v>
      </c>
      <c r="DA404" s="470" t="s">
        <v>6172</v>
      </c>
    </row>
    <row r="405" spans="52:105" x14ac:dyDescent="0.25">
      <c r="AZ405" s="470" t="s">
        <v>6172</v>
      </c>
      <c r="BB405" s="25">
        <f ca="1">BJ425</f>
        <v>0</v>
      </c>
      <c r="BC405" s="426" t="s">
        <v>6098</v>
      </c>
      <c r="BH405" s="469" t="s">
        <v>5448</v>
      </c>
      <c r="BI405" s="872" t="s">
        <v>7555</v>
      </c>
      <c r="BJ405" s="767">
        <f ca="1">IF(COUNTA(INDIRECT($BJ$367&amp;BI377,1))&lt;&gt;COUNTA(INDIRECT($BJ$367&amp;BN377,1)),1,0)</f>
        <v>0</v>
      </c>
      <c r="BK405" s="20" t="s">
        <v>7556</v>
      </c>
      <c r="BL405" s="738" t="s">
        <v>7558</v>
      </c>
      <c r="DA405" s="470" t="s">
        <v>6172</v>
      </c>
    </row>
    <row r="406" spans="52:105" x14ac:dyDescent="0.25">
      <c r="AZ406" s="470" t="s">
        <v>6172</v>
      </c>
      <c r="BB406" s="25">
        <f ca="1">BJ427</f>
        <v>0</v>
      </c>
      <c r="BC406" s="426" t="s">
        <v>6371</v>
      </c>
      <c r="BH406" s="469" t="s">
        <v>5448</v>
      </c>
      <c r="BI406" s="872" t="s">
        <v>7524</v>
      </c>
      <c r="BJ406" s="767">
        <f ca="1">IF(
         AND(BI370=1,
            COUNTIF(INDIRECT($BJ$367&amp;BL406,1),1)=0),
1,0)</f>
        <v>0</v>
      </c>
      <c r="BK406" s="20" t="s">
        <v>7559</v>
      </c>
      <c r="BL406" s="950" t="s">
        <v>7557</v>
      </c>
      <c r="DA406" s="470" t="s">
        <v>6172</v>
      </c>
    </row>
    <row r="407" spans="52:105" x14ac:dyDescent="0.25">
      <c r="AZ407" s="470" t="s">
        <v>6172</v>
      </c>
      <c r="BB407" s="25">
        <f ca="1">BJ406</f>
        <v>0</v>
      </c>
      <c r="BC407" s="426" t="s">
        <v>7904</v>
      </c>
      <c r="BH407" s="469" t="s">
        <v>5448</v>
      </c>
      <c r="BI407" s="872" t="s">
        <v>7560</v>
      </c>
      <c r="BJ407" s="767">
        <f ca="1">IF(AND($BT$371=BL409,BI387&gt;0,BI387&lt;BN408),1,0)</f>
        <v>0</v>
      </c>
      <c r="BK407" s="20" t="s">
        <v>7561</v>
      </c>
      <c r="BL407" s="951" t="s">
        <v>5801</v>
      </c>
      <c r="BM407" s="951" t="s">
        <v>6370</v>
      </c>
      <c r="BN407" s="951" t="s">
        <v>7566</v>
      </c>
      <c r="BO407" s="951" t="s">
        <v>7567</v>
      </c>
      <c r="DA407" s="470" t="s">
        <v>6172</v>
      </c>
    </row>
    <row r="408" spans="52:105" x14ac:dyDescent="0.25">
      <c r="AZ408" s="470" t="s">
        <v>6172</v>
      </c>
      <c r="BB408" s="25">
        <f ca="1">BJ409</f>
        <v>0</v>
      </c>
      <c r="BC408" s="426" t="s">
        <v>6094</v>
      </c>
      <c r="BH408" s="469" t="s">
        <v>5448</v>
      </c>
      <c r="BI408" s="872" t="s">
        <v>7562</v>
      </c>
      <c r="BJ408" s="767">
        <f ca="1">IF(AND($BT$371=BL409,BJ387&gt;0,BJ387&lt;BO408),1,0)</f>
        <v>0</v>
      </c>
      <c r="BK408" s="20" t="s">
        <v>7563</v>
      </c>
      <c r="BL408" s="525" t="s">
        <v>5689</v>
      </c>
      <c r="BM408" s="525">
        <v>0.15</v>
      </c>
      <c r="BN408" s="525">
        <v>5</v>
      </c>
      <c r="BO408" s="525">
        <v>10</v>
      </c>
      <c r="DA408" s="470" t="s">
        <v>6172</v>
      </c>
    </row>
    <row r="409" spans="52:105" x14ac:dyDescent="0.25">
      <c r="AZ409" s="470" t="s">
        <v>6172</v>
      </c>
      <c r="BB409" s="25">
        <f ca="1">BJ410</f>
        <v>0</v>
      </c>
      <c r="BC409" s="426" t="s">
        <v>6096</v>
      </c>
      <c r="BH409" s="469" t="s">
        <v>5448</v>
      </c>
      <c r="BI409" s="872" t="s">
        <v>7564</v>
      </c>
      <c r="BJ409" s="767">
        <f ca="1">IF(AND($BT$371=BL408,BI387&gt;0,BI387&lt;BN409),1,0)</f>
        <v>0</v>
      </c>
      <c r="BK409" s="20" t="s">
        <v>7568</v>
      </c>
      <c r="BL409" s="525" t="s">
        <v>5690</v>
      </c>
      <c r="BM409" s="525">
        <v>0.3</v>
      </c>
      <c r="BN409" s="525">
        <v>10</v>
      </c>
      <c r="BO409" s="525">
        <v>20</v>
      </c>
      <c r="DA409" s="470" t="s">
        <v>6172</v>
      </c>
    </row>
    <row r="410" spans="52:105" x14ac:dyDescent="0.25">
      <c r="AZ410" s="470" t="s">
        <v>6172</v>
      </c>
      <c r="BB410" s="25">
        <f ca="1">BJ414</f>
        <v>0</v>
      </c>
      <c r="BC410" s="426" t="s">
        <v>6090</v>
      </c>
      <c r="BH410" s="469" t="s">
        <v>5448</v>
      </c>
      <c r="BI410" s="872" t="s">
        <v>7565</v>
      </c>
      <c r="BJ410" s="767">
        <f ca="1">IF(AND($BT$371=BL408,BJ387&gt;0,BJ387&lt;BO409),1,0)</f>
        <v>0</v>
      </c>
      <c r="BK410" s="20" t="s">
        <v>7569</v>
      </c>
      <c r="DA410" s="470" t="s">
        <v>6172</v>
      </c>
    </row>
    <row r="411" spans="52:105" x14ac:dyDescent="0.25">
      <c r="AZ411" s="470" t="s">
        <v>6172</v>
      </c>
      <c r="BB411" s="25">
        <f ca="1">BJ407</f>
        <v>0</v>
      </c>
      <c r="BC411" s="426" t="s">
        <v>6095</v>
      </c>
      <c r="BH411" s="472" t="s">
        <v>7352</v>
      </c>
      <c r="BI411" s="871" t="s">
        <v>7570</v>
      </c>
      <c r="BJ411" s="525">
        <f ca="1">LARGE(BU387:BV387,1)</f>
        <v>0</v>
      </c>
      <c r="DA411" s="470" t="s">
        <v>6172</v>
      </c>
    </row>
    <row r="412" spans="52:105" x14ac:dyDescent="0.25">
      <c r="AZ412" s="470" t="s">
        <v>6172</v>
      </c>
      <c r="BB412" s="25">
        <f ca="1">BJ408</f>
        <v>0</v>
      </c>
      <c r="BC412" s="426" t="s">
        <v>6097</v>
      </c>
      <c r="BH412" s="472" t="s">
        <v>7353</v>
      </c>
      <c r="BI412" s="871" t="s">
        <v>7571</v>
      </c>
      <c r="BJ412" s="525">
        <f ca="1">LARGE(CA387:CB387,1)</f>
        <v>0</v>
      </c>
      <c r="DA412" s="470" t="s">
        <v>6172</v>
      </c>
    </row>
    <row r="413" spans="52:105" x14ac:dyDescent="0.25">
      <c r="AZ413" s="470" t="s">
        <v>6172</v>
      </c>
      <c r="BB413" s="25">
        <f ca="1">BJ415</f>
        <v>0</v>
      </c>
      <c r="BC413" s="426" t="s">
        <v>6091</v>
      </c>
      <c r="BH413" s="472" t="s">
        <v>7520</v>
      </c>
      <c r="BI413" s="871" t="s">
        <v>7572</v>
      </c>
      <c r="BJ413" s="525">
        <f ca="1">LARGE(BJ411:BJ412,1)</f>
        <v>0</v>
      </c>
      <c r="DA413" s="470" t="s">
        <v>6172</v>
      </c>
    </row>
    <row r="414" spans="52:105" x14ac:dyDescent="0.25">
      <c r="AZ414" s="470" t="s">
        <v>6172</v>
      </c>
      <c r="BB414" s="25">
        <f ca="1">BJ436</f>
        <v>0</v>
      </c>
      <c r="BC414" s="426" t="s">
        <v>7907</v>
      </c>
      <c r="BH414" s="472" t="s">
        <v>7574</v>
      </c>
      <c r="BI414" s="871" t="s">
        <v>7576</v>
      </c>
      <c r="BJ414" s="525">
        <f ca="1">IF(AND(BT371=BL408,BJ413&gt;=BM408),1,0)</f>
        <v>0</v>
      </c>
      <c r="BK414" s="20" t="s">
        <v>7578</v>
      </c>
    </row>
    <row r="415" spans="52:105" x14ac:dyDescent="0.25">
      <c r="AZ415" s="470" t="s">
        <v>6172</v>
      </c>
      <c r="BB415" s="22">
        <f ca="1">BJ431</f>
        <v>0</v>
      </c>
      <c r="BC415" s="426" t="s">
        <v>7908</v>
      </c>
      <c r="BH415" s="472" t="s">
        <v>7575</v>
      </c>
      <c r="BI415" s="871" t="s">
        <v>7577</v>
      </c>
      <c r="BJ415" s="525">
        <f ca="1">IF(AND(BT371=BL409,BJ413&gt;=BM409),1,0)</f>
        <v>0</v>
      </c>
      <c r="BK415" s="20" t="s">
        <v>7580</v>
      </c>
    </row>
    <row r="416" spans="52:105" x14ac:dyDescent="0.25">
      <c r="AZ416" s="470" t="s">
        <v>6172</v>
      </c>
      <c r="BB416" s="22">
        <f ca="1">BJ440</f>
        <v>0</v>
      </c>
      <c r="BC416" s="426" t="s">
        <v>6092</v>
      </c>
      <c r="BH416" s="469" t="s">
        <v>5448</v>
      </c>
      <c r="BI416" s="872" t="s">
        <v>7573</v>
      </c>
      <c r="BJ416" s="767">
        <f ca="1">LARGE(BJ414:BJ415,1)</f>
        <v>0</v>
      </c>
      <c r="BK416" s="20" t="s">
        <v>7579</v>
      </c>
    </row>
    <row r="417" spans="52:63" x14ac:dyDescent="0.25">
      <c r="AZ417" s="470" t="s">
        <v>6172</v>
      </c>
      <c r="BB417" s="22">
        <f ca="1">BJ438</f>
        <v>0</v>
      </c>
      <c r="BC417" s="426" t="s">
        <v>6093</v>
      </c>
      <c r="BH417" s="469" t="s">
        <v>7865</v>
      </c>
      <c r="BI417" s="872" t="s">
        <v>7905</v>
      </c>
      <c r="BJ417" s="796" t="str">
        <f ca="1">IF(BJ414=1,"O estudo provocou a taxa de sensibilização de "&amp;BJ413*100&amp;"%","")</f>
        <v/>
      </c>
    </row>
    <row r="418" spans="52:63" x14ac:dyDescent="0.25">
      <c r="AZ418" s="470" t="s">
        <v>6172</v>
      </c>
      <c r="BB418" s="22">
        <f ca="1">BJ400</f>
        <v>0</v>
      </c>
      <c r="BC418" s="426" t="s">
        <v>6067</v>
      </c>
      <c r="BH418" s="469" t="s">
        <v>7865</v>
      </c>
      <c r="BI418" s="872" t="s">
        <v>7906</v>
      </c>
      <c r="BJ418" s="796" t="str">
        <f ca="1">IF(BJ415=1,"O estudo provocou a taxa de sensibilização de "&amp;BJ413*100&amp;"%","")</f>
        <v/>
      </c>
    </row>
    <row r="419" spans="52:63" x14ac:dyDescent="0.25">
      <c r="AZ419" s="470" t="s">
        <v>6172</v>
      </c>
      <c r="BB419" s="22">
        <f ca="1">BJ401</f>
        <v>0</v>
      </c>
      <c r="BC419" s="426" t="s">
        <v>6210</v>
      </c>
      <c r="BH419" s="469" t="s">
        <v>5448</v>
      </c>
      <c r="BI419" s="872" t="s">
        <v>7581</v>
      </c>
      <c r="BJ419" s="767">
        <f>IF(BY371=1,0,1)</f>
        <v>1</v>
      </c>
      <c r="BK419" s="20" t="s">
        <v>7582</v>
      </c>
    </row>
    <row r="420" spans="52:63" x14ac:dyDescent="0.25">
      <c r="AZ420" s="470" t="s">
        <v>6172</v>
      </c>
      <c r="BB420" s="22">
        <f ca="1">BJ403</f>
        <v>0</v>
      </c>
      <c r="BC420" s="426" t="s">
        <v>6070</v>
      </c>
      <c r="BH420" s="469" t="s">
        <v>5448</v>
      </c>
      <c r="BI420" s="872" t="s">
        <v>7583</v>
      </c>
      <c r="BJ420" s="767">
        <f ca="1">IF(AND(BU371="Sim",BT371&lt;&gt;BW371),1,0)</f>
        <v>0</v>
      </c>
      <c r="BK420" s="20" t="s">
        <v>7585</v>
      </c>
    </row>
    <row r="421" spans="52:63" x14ac:dyDescent="0.25">
      <c r="AZ421" s="470" t="s">
        <v>6172</v>
      </c>
      <c r="BB421" s="22">
        <f ca="1">BJ394</f>
        <v>0</v>
      </c>
      <c r="BC421" s="426" t="s">
        <v>6243</v>
      </c>
      <c r="BH421" s="472" t="s">
        <v>7352</v>
      </c>
      <c r="BI421" s="871" t="s">
        <v>7584</v>
      </c>
      <c r="BJ421" s="525">
        <f ca="1">IF(BU371="sim",BP371-BV371,0)</f>
        <v>0</v>
      </c>
      <c r="BK421" s="20" t="s">
        <v>7586</v>
      </c>
    </row>
    <row r="422" spans="52:63" x14ac:dyDescent="0.25">
      <c r="AZ422" s="470" t="s">
        <v>6172</v>
      </c>
      <c r="BB422" s="22">
        <f ca="1">BJ397</f>
        <v>0</v>
      </c>
      <c r="BC422" s="426" t="s">
        <v>6068</v>
      </c>
      <c r="BH422" s="472" t="s">
        <v>7353</v>
      </c>
      <c r="BI422" s="871" t="s">
        <v>7589</v>
      </c>
      <c r="BJ422" s="525">
        <f ca="1">BJ421/30</f>
        <v>0</v>
      </c>
      <c r="BK422" s="20" t="s">
        <v>7592</v>
      </c>
    </row>
    <row r="423" spans="52:63" x14ac:dyDescent="0.25">
      <c r="AZ423" s="470" t="s">
        <v>6172</v>
      </c>
      <c r="BB423" s="22">
        <f ca="1">BJ398</f>
        <v>0</v>
      </c>
      <c r="BC423" s="426" t="s">
        <v>6069</v>
      </c>
      <c r="BH423" s="472" t="s">
        <v>7520</v>
      </c>
      <c r="BI423" s="871" t="s">
        <v>7587</v>
      </c>
      <c r="BJ423" s="525">
        <f ca="1">INT(BJ422)</f>
        <v>0</v>
      </c>
      <c r="BK423" s="20" t="s">
        <v>7593</v>
      </c>
    </row>
    <row r="424" spans="52:63" x14ac:dyDescent="0.25">
      <c r="AZ424" s="470" t="s">
        <v>6172</v>
      </c>
      <c r="BH424" s="472" t="s">
        <v>7574</v>
      </c>
      <c r="BI424" s="871" t="s">
        <v>7588</v>
      </c>
      <c r="BJ424" s="525">
        <f ca="1">ROUNDUP(((TRUNC(BJ422,4)-BJ423)*30),2)</f>
        <v>0</v>
      </c>
      <c r="BK424" s="20" t="s">
        <v>7594</v>
      </c>
    </row>
    <row r="425" spans="52:63" x14ac:dyDescent="0.25">
      <c r="AZ425" s="470" t="s">
        <v>6172</v>
      </c>
      <c r="BH425" s="469" t="s">
        <v>5448</v>
      </c>
      <c r="BI425" s="872" t="s">
        <v>7590</v>
      </c>
      <c r="BJ425" s="767">
        <f ca="1">IF(BJ422&gt;6,1,0)</f>
        <v>0</v>
      </c>
      <c r="BK425" s="20" t="s">
        <v>7595</v>
      </c>
    </row>
    <row r="426" spans="52:63" x14ac:dyDescent="0.25">
      <c r="AZ426" s="470" t="s">
        <v>6172</v>
      </c>
      <c r="BH426" s="469" t="s">
        <v>7865</v>
      </c>
      <c r="BI426" s="872" t="s">
        <v>7590</v>
      </c>
      <c r="BJ426" s="796" t="str">
        <f ca="1">IF(BJ425=1,"A diferença é de "&amp;BJ423&amp;" mês(es) e "&amp;BJ424&amp;" dia(s)","")</f>
        <v/>
      </c>
    </row>
    <row r="427" spans="52:63" x14ac:dyDescent="0.25">
      <c r="AZ427" s="470" t="s">
        <v>6172</v>
      </c>
      <c r="BH427" s="469" t="s">
        <v>5448</v>
      </c>
      <c r="BI427" s="872" t="s">
        <v>7591</v>
      </c>
      <c r="BJ427" s="767">
        <f ca="1">IF(BJ422&lt;0,1,0)</f>
        <v>0</v>
      </c>
      <c r="BK427" s="20" t="s">
        <v>7596</v>
      </c>
    </row>
    <row r="428" spans="52:63" x14ac:dyDescent="0.25">
      <c r="AZ428" s="470" t="s">
        <v>6172</v>
      </c>
      <c r="BH428" s="469" t="s">
        <v>7865</v>
      </c>
      <c r="BI428" s="872" t="s">
        <v>7903</v>
      </c>
      <c r="BJ428" s="796" t="str">
        <f ca="1">IF(BJ427=1,"O estudo é de "&amp;TEXT(BP371,"dd/mm/aa")&amp;" e o teste de confiabilidade é de "&amp;TEXT(BV371,"dd/mm/aa"),"")</f>
        <v/>
      </c>
    </row>
    <row r="429" spans="52:63" x14ac:dyDescent="0.25">
      <c r="AZ429" s="470" t="s">
        <v>6172</v>
      </c>
      <c r="BH429" s="472" t="s">
        <v>7352</v>
      </c>
      <c r="BI429" s="871" t="s">
        <v>7597</v>
      </c>
      <c r="BJ429" s="525">
        <f ca="1">BU379</f>
        <v>0</v>
      </c>
    </row>
    <row r="430" spans="52:63" x14ac:dyDescent="0.25">
      <c r="AZ430" s="470" t="s">
        <v>6172</v>
      </c>
      <c r="BH430" s="472" t="s">
        <v>7353</v>
      </c>
      <c r="BI430" s="871" t="s">
        <v>7598</v>
      </c>
      <c r="BJ430" s="525">
        <f ca="1">BQ387</f>
        <v>0</v>
      </c>
    </row>
    <row r="431" spans="52:63" x14ac:dyDescent="0.25">
      <c r="AZ431" s="470" t="s">
        <v>6172</v>
      </c>
      <c r="BH431" s="469" t="s">
        <v>5448</v>
      </c>
      <c r="BI431" s="872" t="s">
        <v>7610</v>
      </c>
      <c r="BJ431" s="767">
        <f ca="1">IF(BJ430&lt;&gt;BJ429,1,0)</f>
        <v>0</v>
      </c>
      <c r="BK431" s="20" t="s">
        <v>7599</v>
      </c>
    </row>
    <row r="432" spans="52:63" x14ac:dyDescent="0.25">
      <c r="AZ432" s="470" t="s">
        <v>6172</v>
      </c>
      <c r="BH432" s="472" t="s">
        <v>7352</v>
      </c>
      <c r="BI432" s="871" t="s">
        <v>7600</v>
      </c>
      <c r="BJ432" s="525">
        <f ca="1">BS379</f>
        <v>0</v>
      </c>
    </row>
    <row r="433" spans="52:66" x14ac:dyDescent="0.25">
      <c r="AZ433" s="470" t="s">
        <v>6172</v>
      </c>
      <c r="BH433" s="472" t="s">
        <v>7353</v>
      </c>
      <c r="BI433" s="871" t="s">
        <v>7597</v>
      </c>
      <c r="BJ433" s="525">
        <f ca="1">BT379</f>
        <v>0</v>
      </c>
    </row>
    <row r="434" spans="52:66" x14ac:dyDescent="0.25">
      <c r="AZ434" s="470" t="s">
        <v>6172</v>
      </c>
      <c r="BH434" s="472" t="s">
        <v>7520</v>
      </c>
      <c r="BI434" s="871" t="s">
        <v>7601</v>
      </c>
      <c r="BJ434" s="525">
        <f ca="1">BK387</f>
        <v>0</v>
      </c>
    </row>
    <row r="435" spans="52:66" x14ac:dyDescent="0.25">
      <c r="AZ435" s="470" t="s">
        <v>6172</v>
      </c>
      <c r="BH435" s="472" t="s">
        <v>7574</v>
      </c>
      <c r="BI435" s="871" t="s">
        <v>7602</v>
      </c>
      <c r="BJ435" s="525">
        <f ca="1">BM387</f>
        <v>0</v>
      </c>
    </row>
    <row r="436" spans="52:66" x14ac:dyDescent="0.25">
      <c r="AZ436" s="470" t="s">
        <v>6172</v>
      </c>
      <c r="BH436" s="469" t="s">
        <v>5448</v>
      </c>
      <c r="BI436" s="872" t="s">
        <v>7901</v>
      </c>
      <c r="BJ436" s="767">
        <f ca="1">IF(BJ391=1,IF(AND(BJ432=BJ434,BJ433=BJ435),0,1),IF(BJ433=BJ435,0,1))</f>
        <v>0</v>
      </c>
      <c r="BK436" s="20" t="s">
        <v>7902</v>
      </c>
    </row>
    <row r="437" spans="52:66" x14ac:dyDescent="0.25">
      <c r="AZ437" s="470" t="s">
        <v>6172</v>
      </c>
      <c r="BH437" s="472" t="s">
        <v>7352</v>
      </c>
      <c r="BI437" s="871" t="s">
        <v>7604</v>
      </c>
      <c r="BJ437" s="525">
        <f ca="1">BX387</f>
        <v>0</v>
      </c>
      <c r="BM437" s="951" t="s">
        <v>7606</v>
      </c>
      <c r="BN437" s="951" t="s">
        <v>7605</v>
      </c>
    </row>
    <row r="438" spans="52:66" x14ac:dyDescent="0.25">
      <c r="AZ438" s="470" t="s">
        <v>6172</v>
      </c>
      <c r="BH438" s="469" t="s">
        <v>5448</v>
      </c>
      <c r="BI438" s="872" t="s">
        <v>7909</v>
      </c>
      <c r="BJ438" s="767">
        <f ca="1">IF(AND(BW387="sim",BJ437&gt;BN438),1,0)</f>
        <v>0</v>
      </c>
      <c r="BK438" s="20" t="s">
        <v>7611</v>
      </c>
      <c r="BL438" s="506" t="s">
        <v>7607</v>
      </c>
      <c r="BM438" s="525">
        <v>10</v>
      </c>
      <c r="BN438" s="525">
        <v>7</v>
      </c>
    </row>
    <row r="439" spans="52:66" x14ac:dyDescent="0.25">
      <c r="AZ439" s="470" t="s">
        <v>6172</v>
      </c>
      <c r="BH439" s="472" t="s">
        <v>7352</v>
      </c>
      <c r="BI439" s="871" t="s">
        <v>7609</v>
      </c>
      <c r="BJ439" s="525">
        <f ca="1">BS387</f>
        <v>0</v>
      </c>
      <c r="BL439" s="506" t="s">
        <v>7608</v>
      </c>
      <c r="BM439" s="525">
        <v>14</v>
      </c>
      <c r="BN439" s="525">
        <v>7</v>
      </c>
    </row>
    <row r="440" spans="52:66" x14ac:dyDescent="0.25">
      <c r="AZ440" s="470" t="s">
        <v>6172</v>
      </c>
      <c r="BH440" s="469" t="s">
        <v>5448</v>
      </c>
      <c r="BI440" s="872" t="s">
        <v>7910</v>
      </c>
      <c r="BJ440" s="767">
        <f ca="1">IF(AND(BJ439&lt;BM438,BJ439&gt;BM439),1,0)</f>
        <v>0</v>
      </c>
      <c r="BK440" s="20" t="s">
        <v>7612</v>
      </c>
    </row>
    <row r="441" spans="52:66" x14ac:dyDescent="0.25">
      <c r="AZ441" s="470" t="s">
        <v>6172</v>
      </c>
    </row>
    <row r="442" spans="52:66" x14ac:dyDescent="0.25">
      <c r="AZ442" s="470" t="s">
        <v>6172</v>
      </c>
    </row>
    <row r="443" spans="52:66" x14ac:dyDescent="0.25">
      <c r="AZ443" s="470" t="s">
        <v>6172</v>
      </c>
    </row>
    <row r="444" spans="52:66" x14ac:dyDescent="0.25">
      <c r="AZ444" s="470" t="s">
        <v>6172</v>
      </c>
    </row>
    <row r="445" spans="52:66" x14ac:dyDescent="0.25">
      <c r="AZ445" s="470" t="s">
        <v>6172</v>
      </c>
    </row>
    <row r="446" spans="52:66" x14ac:dyDescent="0.25">
      <c r="AZ446" s="470" t="s">
        <v>6172</v>
      </c>
    </row>
    <row r="447" spans="52:66" x14ac:dyDescent="0.25">
      <c r="AZ447" s="470" t="s">
        <v>6172</v>
      </c>
    </row>
    <row r="448" spans="52:66" x14ac:dyDescent="0.25">
      <c r="AZ448" s="470" t="s">
        <v>6172</v>
      </c>
    </row>
    <row r="449" spans="52:52" x14ac:dyDescent="0.25">
      <c r="AZ449" s="470" t="s">
        <v>6172</v>
      </c>
    </row>
    <row r="450" spans="52:52" x14ac:dyDescent="0.25">
      <c r="AZ450" s="470" t="s">
        <v>6172</v>
      </c>
    </row>
    <row r="451" spans="52:52" x14ac:dyDescent="0.25">
      <c r="AZ451" s="470" t="s">
        <v>6172</v>
      </c>
    </row>
    <row r="452" spans="52:52" x14ac:dyDescent="0.25">
      <c r="AZ452" s="470" t="s">
        <v>6172</v>
      </c>
    </row>
    <row r="453" spans="52:52" x14ac:dyDescent="0.25">
      <c r="AZ453" s="470" t="s">
        <v>6172</v>
      </c>
    </row>
    <row r="454" spans="52:52" x14ac:dyDescent="0.25">
      <c r="AZ454" s="470" t="s">
        <v>6172</v>
      </c>
    </row>
    <row r="455" spans="52:52" x14ac:dyDescent="0.25">
      <c r="AZ455" s="470" t="s">
        <v>6172</v>
      </c>
    </row>
  </sheetData>
  <sheetProtection algorithmName="SHA-512" hashValue="Z5y45akcBV2vq58rsrnivBY2Fv8uhprCxwrUu1jhvSltlt5t6d8AhZMMQ7ZJQU2qY9c137UH7eVkGlmN+2FsEw==" saltValue="jX61NuK0YugIOA7jrCRpcg==" spinCount="100000" sheet="1" objects="1" scenarios="1" formatColumns="0" formatRows="0"/>
  <conditionalFormatting sqref="BC40:CI40">
    <cfRule type="expression" dxfId="0" priority="1">
      <formula>COUNTIF($K$102,"*vencida*")&gt;0</formula>
    </cfRule>
  </conditionalFormatting>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D0EF5-2F6D-462A-AD17-D119FACC1EA9}">
  <sheetPr codeName="Planilha7"/>
  <dimension ref="D1:AC73"/>
  <sheetViews>
    <sheetView showGridLines="0" topLeftCell="R1" workbookViewId="0">
      <selection activeCell="D1" sqref="D1"/>
    </sheetView>
  </sheetViews>
  <sheetFormatPr defaultRowHeight="15" x14ac:dyDescent="0.25"/>
  <cols>
    <col min="1" max="1" width="16" style="20" customWidth="1"/>
    <col min="2" max="2" width="18.5703125" style="20" customWidth="1"/>
    <col min="3" max="3" width="5" style="20" customWidth="1"/>
    <col min="4" max="4" width="16" style="20" customWidth="1"/>
    <col min="5" max="5" width="18.7109375" style="20" customWidth="1"/>
    <col min="6" max="6" width="9.140625" style="20"/>
    <col min="7" max="7" width="28.140625" style="20" customWidth="1"/>
    <col min="8" max="8" width="9.140625" style="20"/>
    <col min="9" max="9" width="20" style="20" customWidth="1"/>
    <col min="10" max="10" width="23.85546875" style="20" customWidth="1"/>
    <col min="11" max="12" width="13.140625" style="20" customWidth="1"/>
    <col min="13" max="13" width="12" style="472" customWidth="1"/>
    <col min="14" max="14" width="18.7109375" style="20" customWidth="1"/>
    <col min="15" max="15" width="14.5703125" style="20" customWidth="1"/>
    <col min="16" max="16" width="14.140625" style="20" customWidth="1"/>
    <col min="17" max="17" width="5.28515625" style="20" customWidth="1"/>
    <col min="18" max="18" width="10" style="20" customWidth="1"/>
    <col min="19" max="27" width="26.28515625" style="20" bestFit="1" customWidth="1"/>
    <col min="28" max="34" width="20.7109375" style="20" customWidth="1"/>
    <col min="35" max="52" width="9.140625" style="20"/>
    <col min="53" max="53" width="9.140625" style="20" customWidth="1"/>
    <col min="54" max="16384" width="9.140625" style="20"/>
  </cols>
  <sheetData>
    <row r="1" spans="4:29" x14ac:dyDescent="0.25">
      <c r="D1" s="605" t="s">
        <v>132</v>
      </c>
      <c r="G1" s="605" t="s">
        <v>233</v>
      </c>
      <c r="J1" s="470" t="s">
        <v>116</v>
      </c>
      <c r="K1" s="470" t="s">
        <v>5537</v>
      </c>
      <c r="L1" s="470" t="s">
        <v>5560</v>
      </c>
      <c r="M1" s="20"/>
      <c r="Q1" s="470"/>
      <c r="S1" s="479" t="s">
        <v>5598</v>
      </c>
      <c r="T1" s="535" t="b">
        <v>0</v>
      </c>
      <c r="U1" s="479" t="s">
        <v>5600</v>
      </c>
      <c r="V1" s="535" t="b">
        <v>0</v>
      </c>
      <c r="W1" s="479" t="s">
        <v>5645</v>
      </c>
      <c r="X1" s="535" t="b">
        <v>0</v>
      </c>
      <c r="Y1" s="479" t="s">
        <v>5648</v>
      </c>
      <c r="Z1" s="535" t="b">
        <v>0</v>
      </c>
      <c r="AB1" s="954"/>
      <c r="AC1" s="954"/>
    </row>
    <row r="2" spans="4:29" x14ac:dyDescent="0.25">
      <c r="D2" s="484" t="s">
        <v>488</v>
      </c>
      <c r="E2" s="535" t="b">
        <v>0</v>
      </c>
      <c r="G2" s="535" t="b">
        <v>0</v>
      </c>
      <c r="J2" s="535" t="s">
        <v>5566</v>
      </c>
      <c r="K2" s="643">
        <v>0</v>
      </c>
      <c r="L2" s="535" t="b">
        <v>0</v>
      </c>
      <c r="M2" s="20"/>
      <c r="R2" s="535" t="s">
        <v>5597</v>
      </c>
      <c r="S2" s="479" t="s">
        <v>5599</v>
      </c>
      <c r="T2" s="535" t="b">
        <v>0</v>
      </c>
      <c r="U2" s="479" t="s">
        <v>5601</v>
      </c>
      <c r="V2" s="535" t="b">
        <v>0</v>
      </c>
      <c r="W2" s="479" t="s">
        <v>5646</v>
      </c>
      <c r="X2" s="535" t="b">
        <v>0</v>
      </c>
      <c r="Y2" s="479" t="s">
        <v>5649</v>
      </c>
      <c r="Z2" s="535" t="b">
        <v>0</v>
      </c>
      <c r="AB2" s="480" t="s">
        <v>8004</v>
      </c>
      <c r="AC2" s="480" t="s">
        <v>8005</v>
      </c>
    </row>
    <row r="3" spans="4:29" x14ac:dyDescent="0.25">
      <c r="D3" s="484" t="s">
        <v>489</v>
      </c>
      <c r="E3" s="535" t="b">
        <v>0</v>
      </c>
      <c r="J3" s="535" t="s">
        <v>5567</v>
      </c>
      <c r="K3" s="643">
        <v>0</v>
      </c>
      <c r="L3" s="535" t="b">
        <v>0</v>
      </c>
      <c r="M3" s="20"/>
      <c r="W3" s="479" t="s">
        <v>5647</v>
      </c>
      <c r="X3" s="535" t="b">
        <v>0</v>
      </c>
      <c r="Y3" s="479" t="s">
        <v>5650</v>
      </c>
      <c r="Z3" s="535" t="b">
        <v>0</v>
      </c>
      <c r="AB3" s="593" t="s">
        <v>7765</v>
      </c>
      <c r="AC3" s="593" t="s">
        <v>7765</v>
      </c>
    </row>
    <row r="4" spans="4:29" x14ac:dyDescent="0.25">
      <c r="D4" s="484" t="s">
        <v>490</v>
      </c>
      <c r="E4" s="535" t="b">
        <v>0</v>
      </c>
      <c r="J4" s="535" t="s">
        <v>5568</v>
      </c>
      <c r="K4" s="643">
        <v>0</v>
      </c>
      <c r="L4" s="535" t="b">
        <v>0</v>
      </c>
      <c r="M4" s="20"/>
      <c r="AB4" s="597" t="b">
        <v>0</v>
      </c>
      <c r="AC4" s="597" t="b">
        <v>0</v>
      </c>
    </row>
    <row r="5" spans="4:29" x14ac:dyDescent="0.25">
      <c r="D5" s="484" cm="1">
        <f t="array" aca="1" ref="D5" ca="1">INDIRECT("Formulário!AB26",1)</f>
        <v>0</v>
      </c>
      <c r="E5" s="535" t="b">
        <f ca="1">IF(D5&lt;&gt;0,TRUE,FALSE)</f>
        <v>0</v>
      </c>
      <c r="J5" s="535" t="s">
        <v>5569</v>
      </c>
      <c r="K5" s="643">
        <v>0</v>
      </c>
      <c r="L5" s="535" t="b">
        <v>0</v>
      </c>
      <c r="M5" s="20"/>
      <c r="AB5" s="597" t="b">
        <v>0</v>
      </c>
      <c r="AC5" s="597" t="b">
        <v>0</v>
      </c>
    </row>
    <row r="6" spans="4:29" x14ac:dyDescent="0.25">
      <c r="J6" s="535" t="s">
        <v>5570</v>
      </c>
      <c r="K6" s="643">
        <v>0</v>
      </c>
      <c r="L6" s="535" t="b">
        <v>0</v>
      </c>
      <c r="M6" s="20"/>
      <c r="S6" s="479" t="s">
        <v>5602</v>
      </c>
      <c r="T6" s="535" t="b">
        <v>0</v>
      </c>
      <c r="U6" s="479" t="s">
        <v>5605</v>
      </c>
      <c r="V6" s="535" t="b">
        <v>0</v>
      </c>
      <c r="W6" s="479" t="s">
        <v>5651</v>
      </c>
      <c r="X6" s="643" t="b">
        <v>0</v>
      </c>
      <c r="Y6" s="479" t="s">
        <v>5657</v>
      </c>
      <c r="Z6" s="643" t="b">
        <v>0</v>
      </c>
      <c r="AB6" s="597" t="b">
        <v>0</v>
      </c>
      <c r="AC6" s="597" t="b">
        <v>0</v>
      </c>
    </row>
    <row r="7" spans="4:29" x14ac:dyDescent="0.25">
      <c r="J7" s="535" t="s">
        <v>5571</v>
      </c>
      <c r="K7" s="643">
        <v>0</v>
      </c>
      <c r="L7" s="535" t="b">
        <v>0</v>
      </c>
      <c r="M7" s="20"/>
      <c r="S7" s="479" t="s">
        <v>5603</v>
      </c>
      <c r="T7" s="535" t="b">
        <v>0</v>
      </c>
      <c r="U7" s="479" t="s">
        <v>5606</v>
      </c>
      <c r="V7" s="535" t="b">
        <v>0</v>
      </c>
      <c r="W7" s="479" t="s">
        <v>5652</v>
      </c>
      <c r="X7" s="643" t="b">
        <v>0</v>
      </c>
      <c r="Y7" s="479" t="s">
        <v>5658</v>
      </c>
      <c r="Z7" s="643" t="b">
        <v>0</v>
      </c>
      <c r="AB7" s="597" t="b">
        <v>0</v>
      </c>
      <c r="AC7" s="597" t="b">
        <v>0</v>
      </c>
    </row>
    <row r="8" spans="4:29" x14ac:dyDescent="0.25">
      <c r="J8" s="535" t="s">
        <v>5572</v>
      </c>
      <c r="K8" s="643">
        <v>0</v>
      </c>
      <c r="L8" s="535" t="b">
        <v>0</v>
      </c>
      <c r="M8" s="20"/>
      <c r="S8" s="479" t="s">
        <v>5604</v>
      </c>
      <c r="T8" s="535" t="b">
        <v>0</v>
      </c>
      <c r="U8" s="479" t="s">
        <v>5607</v>
      </c>
      <c r="V8" s="535" t="b">
        <v>0</v>
      </c>
      <c r="W8" s="479" t="s">
        <v>5653</v>
      </c>
      <c r="X8" s="643" t="b">
        <v>0</v>
      </c>
      <c r="Y8" s="479" t="s">
        <v>5659</v>
      </c>
      <c r="Z8" s="643" t="b">
        <v>0</v>
      </c>
      <c r="AB8" s="597" t="b">
        <v>0</v>
      </c>
      <c r="AC8" s="597" t="b">
        <v>0</v>
      </c>
    </row>
    <row r="9" spans="4:29" x14ac:dyDescent="0.25">
      <c r="J9" s="535" t="s">
        <v>5573</v>
      </c>
      <c r="K9" s="643">
        <v>0</v>
      </c>
      <c r="L9" s="535" t="b">
        <v>0</v>
      </c>
      <c r="M9" s="20"/>
      <c r="W9" s="479" t="s">
        <v>5654</v>
      </c>
      <c r="X9" s="643" t="b">
        <v>0</v>
      </c>
      <c r="Y9" s="479" t="s">
        <v>5660</v>
      </c>
      <c r="Z9" s="643" t="b">
        <v>0</v>
      </c>
      <c r="AB9" s="597" t="b">
        <v>0</v>
      </c>
      <c r="AC9" s="597" t="b">
        <v>0</v>
      </c>
    </row>
    <row r="10" spans="4:29" x14ac:dyDescent="0.25">
      <c r="J10" s="535" t="s">
        <v>5574</v>
      </c>
      <c r="K10" s="643">
        <v>0</v>
      </c>
      <c r="M10" s="20"/>
      <c r="W10" s="479" t="s">
        <v>5655</v>
      </c>
      <c r="X10" s="643" t="b">
        <v>0</v>
      </c>
      <c r="Y10" s="479" t="s">
        <v>5661</v>
      </c>
      <c r="Z10" s="643" t="b">
        <v>0</v>
      </c>
      <c r="AB10" s="597" t="b">
        <v>0</v>
      </c>
      <c r="AC10" s="597" t="b">
        <v>0</v>
      </c>
    </row>
    <row r="11" spans="4:29" x14ac:dyDescent="0.25">
      <c r="J11" s="535" t="s">
        <v>5575</v>
      </c>
      <c r="K11" s="643">
        <v>0</v>
      </c>
      <c r="M11" s="20"/>
      <c r="S11" s="479" t="s">
        <v>5637</v>
      </c>
      <c r="T11" s="643" t="b">
        <v>0</v>
      </c>
      <c r="U11" s="479" t="s">
        <v>5641</v>
      </c>
      <c r="V11" s="644" t="b">
        <v>0</v>
      </c>
      <c r="W11" s="479" t="s">
        <v>5656</v>
      </c>
      <c r="X11" s="643" t="b">
        <v>0</v>
      </c>
      <c r="Y11" s="479" t="s">
        <v>5662</v>
      </c>
      <c r="Z11" s="643" t="b">
        <v>0</v>
      </c>
      <c r="AB11" s="597" t="b">
        <v>0</v>
      </c>
      <c r="AC11" s="597" t="b">
        <v>0</v>
      </c>
    </row>
    <row r="12" spans="4:29" x14ac:dyDescent="0.25">
      <c r="J12" s="535" t="s">
        <v>5576</v>
      </c>
      <c r="K12" s="643">
        <v>0</v>
      </c>
      <c r="M12" s="20"/>
      <c r="S12" s="479" t="s">
        <v>5638</v>
      </c>
      <c r="T12" s="643" t="b">
        <v>0</v>
      </c>
      <c r="U12" s="479" t="s">
        <v>5642</v>
      </c>
      <c r="V12" s="535" t="b">
        <v>0</v>
      </c>
      <c r="AB12" s="597" t="b">
        <v>0</v>
      </c>
      <c r="AC12" s="597" t="b">
        <v>0</v>
      </c>
    </row>
    <row r="13" spans="4:29" x14ac:dyDescent="0.25">
      <c r="J13" s="535" t="s">
        <v>5577</v>
      </c>
      <c r="K13" s="643">
        <v>0</v>
      </c>
      <c r="M13" s="20"/>
      <c r="S13" s="479" t="s">
        <v>5639</v>
      </c>
      <c r="T13" s="643" t="b">
        <v>0</v>
      </c>
      <c r="U13" s="479" t="s">
        <v>5643</v>
      </c>
      <c r="V13" s="535" t="b">
        <v>0</v>
      </c>
      <c r="AB13" s="597" t="b">
        <v>0</v>
      </c>
      <c r="AC13" s="597" t="b">
        <v>0</v>
      </c>
    </row>
    <row r="14" spans="4:29" x14ac:dyDescent="0.25">
      <c r="J14" s="535" t="s">
        <v>5578</v>
      </c>
      <c r="K14" s="643">
        <v>0</v>
      </c>
      <c r="M14" s="20"/>
      <c r="S14" s="479" t="s">
        <v>5640</v>
      </c>
      <c r="T14" s="643" t="b">
        <v>0</v>
      </c>
      <c r="U14" s="479" t="s">
        <v>5644</v>
      </c>
      <c r="V14" s="535" t="b">
        <v>0</v>
      </c>
      <c r="AB14" s="597" t="b">
        <v>0</v>
      </c>
      <c r="AC14" s="597" t="b">
        <v>0</v>
      </c>
    </row>
    <row r="15" spans="4:29" x14ac:dyDescent="0.25">
      <c r="J15" s="535" t="s">
        <v>5579</v>
      </c>
      <c r="K15" s="643">
        <v>0</v>
      </c>
      <c r="M15" s="20"/>
      <c r="AB15" s="597" t="b">
        <v>0</v>
      </c>
      <c r="AC15" s="597" t="b">
        <v>0</v>
      </c>
    </row>
    <row r="16" spans="4:29" x14ac:dyDescent="0.25">
      <c r="J16" s="535" t="s">
        <v>5580</v>
      </c>
      <c r="K16" s="643">
        <v>0</v>
      </c>
      <c r="M16" s="20"/>
      <c r="AB16" s="597" t="b">
        <v>0</v>
      </c>
      <c r="AC16" s="597" t="b">
        <v>0</v>
      </c>
    </row>
    <row r="17" spans="10:29" x14ac:dyDescent="0.25">
      <c r="J17" s="535" t="s">
        <v>5581</v>
      </c>
      <c r="K17" s="643">
        <v>0</v>
      </c>
      <c r="M17" s="20"/>
      <c r="S17" s="479" t="s">
        <v>6006</v>
      </c>
      <c r="T17" s="479" t="s">
        <v>6041</v>
      </c>
      <c r="AB17" s="597" t="b">
        <v>0</v>
      </c>
      <c r="AC17" s="597" t="b">
        <v>0</v>
      </c>
    </row>
    <row r="18" spans="10:29" x14ac:dyDescent="0.25">
      <c r="J18" s="535" t="s">
        <v>5582</v>
      </c>
      <c r="K18" s="643">
        <v>0</v>
      </c>
      <c r="M18" s="20"/>
      <c r="R18" s="643" t="s">
        <v>5597</v>
      </c>
      <c r="S18" s="643" t="b">
        <v>0</v>
      </c>
      <c r="T18" s="643" t="b">
        <v>0</v>
      </c>
      <c r="AB18" s="597" t="b">
        <v>0</v>
      </c>
      <c r="AC18" s="597" t="b">
        <v>0</v>
      </c>
    </row>
    <row r="19" spans="10:29" x14ac:dyDescent="0.25">
      <c r="J19" s="535" t="s">
        <v>5583</v>
      </c>
      <c r="K19" s="643">
        <v>0</v>
      </c>
      <c r="M19" s="20"/>
    </row>
    <row r="20" spans="10:29" x14ac:dyDescent="0.25">
      <c r="J20" s="535" t="s">
        <v>5584</v>
      </c>
      <c r="K20" s="643">
        <v>0</v>
      </c>
      <c r="M20" s="20"/>
      <c r="S20" s="516" t="s">
        <v>7807</v>
      </c>
    </row>
    <row r="21" spans="10:29" x14ac:dyDescent="0.25">
      <c r="J21" s="535" t="s">
        <v>5585</v>
      </c>
      <c r="K21" s="643">
        <v>0</v>
      </c>
      <c r="M21" s="20"/>
      <c r="S21" s="479" t="s">
        <v>6019</v>
      </c>
    </row>
    <row r="22" spans="10:29" x14ac:dyDescent="0.25">
      <c r="R22" s="643" t="s">
        <v>6020</v>
      </c>
      <c r="S22" s="643" t="b">
        <v>0</v>
      </c>
      <c r="AB22" s="480" t="s">
        <v>8006</v>
      </c>
      <c r="AC22" s="480" t="s">
        <v>8007</v>
      </c>
    </row>
    <row r="23" spans="10:29" x14ac:dyDescent="0.25">
      <c r="R23" s="643" t="s">
        <v>6021</v>
      </c>
      <c r="S23" s="643" t="b">
        <v>0</v>
      </c>
      <c r="AB23" s="593" t="s">
        <v>7765</v>
      </c>
      <c r="AC23" s="593" t="s">
        <v>7765</v>
      </c>
    </row>
    <row r="24" spans="10:29" x14ac:dyDescent="0.25">
      <c r="R24" s="643" t="s">
        <v>6022</v>
      </c>
      <c r="S24" s="643" t="b">
        <v>0</v>
      </c>
      <c r="AB24" s="597" t="b">
        <v>0</v>
      </c>
      <c r="AC24" s="597" t="b">
        <v>0</v>
      </c>
    </row>
    <row r="25" spans="10:29" x14ac:dyDescent="0.25">
      <c r="M25" s="20"/>
      <c r="R25" s="643" t="s">
        <v>6023</v>
      </c>
      <c r="S25" s="643" t="b">
        <v>0</v>
      </c>
      <c r="AB25" s="597" t="b">
        <v>0</v>
      </c>
      <c r="AC25" s="597" t="b">
        <v>0</v>
      </c>
    </row>
    <row r="26" spans="10:29" x14ac:dyDescent="0.25">
      <c r="M26" s="20"/>
      <c r="AB26" s="597" t="b">
        <v>0</v>
      </c>
      <c r="AC26" s="597" t="b">
        <v>0</v>
      </c>
    </row>
    <row r="27" spans="10:29" x14ac:dyDescent="0.25">
      <c r="M27" s="20"/>
      <c r="AB27" s="597" t="b">
        <v>0</v>
      </c>
      <c r="AC27" s="597" t="b">
        <v>0</v>
      </c>
    </row>
    <row r="28" spans="10:29" x14ac:dyDescent="0.25">
      <c r="M28" s="20"/>
      <c r="AB28" s="597" t="b">
        <v>0</v>
      </c>
      <c r="AC28" s="597" t="b">
        <v>0</v>
      </c>
    </row>
    <row r="29" spans="10:29" x14ac:dyDescent="0.25">
      <c r="M29" s="20"/>
      <c r="AB29" s="597" t="b">
        <v>0</v>
      </c>
      <c r="AC29" s="597" t="b">
        <v>0</v>
      </c>
    </row>
    <row r="30" spans="10:29" x14ac:dyDescent="0.25">
      <c r="M30" s="20"/>
      <c r="AB30" s="597" t="b">
        <v>0</v>
      </c>
      <c r="AC30" s="597" t="b">
        <v>0</v>
      </c>
    </row>
    <row r="31" spans="10:29" x14ac:dyDescent="0.25">
      <c r="M31" s="20"/>
      <c r="S31" s="535"/>
      <c r="AB31" s="597" t="b">
        <v>0</v>
      </c>
      <c r="AC31" s="597" t="b">
        <v>0</v>
      </c>
    </row>
    <row r="32" spans="10:29" x14ac:dyDescent="0.25">
      <c r="AB32" s="597" t="b">
        <v>0</v>
      </c>
      <c r="AC32" s="597" t="b">
        <v>0</v>
      </c>
    </row>
    <row r="33" spans="19:29" x14ac:dyDescent="0.25">
      <c r="AB33" s="597" t="b">
        <v>0</v>
      </c>
      <c r="AC33" s="597" t="b">
        <v>0</v>
      </c>
    </row>
    <row r="34" spans="19:29" x14ac:dyDescent="0.25">
      <c r="S34" s="643"/>
      <c r="AB34" s="597" t="b">
        <v>0</v>
      </c>
      <c r="AC34" s="597" t="b">
        <v>0</v>
      </c>
    </row>
    <row r="35" spans="19:29" x14ac:dyDescent="0.25">
      <c r="AB35" s="597" t="b">
        <v>0</v>
      </c>
      <c r="AC35" s="597" t="b">
        <v>0</v>
      </c>
    </row>
    <row r="36" spans="19:29" x14ac:dyDescent="0.25">
      <c r="AB36" s="597" t="b">
        <v>0</v>
      </c>
      <c r="AC36" s="597" t="b">
        <v>0</v>
      </c>
    </row>
    <row r="37" spans="19:29" x14ac:dyDescent="0.25">
      <c r="S37" s="535"/>
      <c r="AB37" s="597" t="b">
        <v>0</v>
      </c>
      <c r="AC37" s="597" t="b">
        <v>0</v>
      </c>
    </row>
    <row r="38" spans="19:29" x14ac:dyDescent="0.25">
      <c r="AB38" s="597" t="b">
        <v>0</v>
      </c>
      <c r="AC38" s="597" t="b">
        <v>0</v>
      </c>
    </row>
    <row r="40" spans="19:29" x14ac:dyDescent="0.25">
      <c r="S40" s="643"/>
    </row>
    <row r="42" spans="19:29" x14ac:dyDescent="0.25">
      <c r="AB42" s="480" t="s">
        <v>8010</v>
      </c>
      <c r="AC42" s="480" t="s">
        <v>8011</v>
      </c>
    </row>
    <row r="43" spans="19:29" x14ac:dyDescent="0.25">
      <c r="AB43" s="593" t="s">
        <v>7765</v>
      </c>
      <c r="AC43" s="593" t="s">
        <v>7765</v>
      </c>
    </row>
    <row r="44" spans="19:29" x14ac:dyDescent="0.25">
      <c r="AB44" s="597" t="b">
        <v>0</v>
      </c>
      <c r="AC44" s="597" t="b">
        <v>0</v>
      </c>
    </row>
    <row r="45" spans="19:29" x14ac:dyDescent="0.25">
      <c r="AB45" s="597" t="b">
        <v>0</v>
      </c>
      <c r="AC45" s="597" t="b">
        <v>0</v>
      </c>
    </row>
    <row r="46" spans="19:29" x14ac:dyDescent="0.25">
      <c r="AB46" s="597" t="b">
        <v>0</v>
      </c>
      <c r="AC46" s="597" t="b">
        <v>0</v>
      </c>
    </row>
    <row r="47" spans="19:29" x14ac:dyDescent="0.25">
      <c r="AB47" s="597" t="b">
        <v>0</v>
      </c>
      <c r="AC47" s="597" t="b">
        <v>0</v>
      </c>
    </row>
    <row r="48" spans="19:29" x14ac:dyDescent="0.25">
      <c r="AB48" s="597" t="b">
        <v>0</v>
      </c>
      <c r="AC48" s="597" t="b">
        <v>0</v>
      </c>
    </row>
    <row r="49" spans="28:29" x14ac:dyDescent="0.25">
      <c r="AB49" s="597" t="b">
        <v>0</v>
      </c>
      <c r="AC49" s="597" t="b">
        <v>0</v>
      </c>
    </row>
    <row r="50" spans="28:29" x14ac:dyDescent="0.25">
      <c r="AB50" s="597" t="b">
        <v>0</v>
      </c>
      <c r="AC50" s="597" t="b">
        <v>0</v>
      </c>
    </row>
    <row r="51" spans="28:29" x14ac:dyDescent="0.25">
      <c r="AB51" s="597" t="b">
        <v>0</v>
      </c>
      <c r="AC51" s="597" t="b">
        <v>0</v>
      </c>
    </row>
    <row r="52" spans="28:29" x14ac:dyDescent="0.25">
      <c r="AB52" s="597" t="b">
        <v>0</v>
      </c>
      <c r="AC52" s="597" t="b">
        <v>0</v>
      </c>
    </row>
    <row r="53" spans="28:29" x14ac:dyDescent="0.25">
      <c r="AB53" s="597" t="b">
        <v>0</v>
      </c>
      <c r="AC53" s="597" t="b">
        <v>0</v>
      </c>
    </row>
    <row r="54" spans="28:29" x14ac:dyDescent="0.25">
      <c r="AB54" s="597" t="b">
        <v>0</v>
      </c>
      <c r="AC54" s="597" t="b">
        <v>0</v>
      </c>
    </row>
    <row r="55" spans="28:29" x14ac:dyDescent="0.25">
      <c r="AB55" s="597" t="b">
        <v>0</v>
      </c>
      <c r="AC55" s="597" t="b">
        <v>0</v>
      </c>
    </row>
    <row r="56" spans="28:29" x14ac:dyDescent="0.25">
      <c r="AB56" s="597" t="b">
        <v>0</v>
      </c>
      <c r="AC56" s="597" t="b">
        <v>0</v>
      </c>
    </row>
    <row r="57" spans="28:29" x14ac:dyDescent="0.25">
      <c r="AB57" s="597" t="b">
        <v>0</v>
      </c>
      <c r="AC57" s="597" t="b">
        <v>0</v>
      </c>
    </row>
    <row r="58" spans="28:29" x14ac:dyDescent="0.25">
      <c r="AB58" s="597" t="b">
        <v>0</v>
      </c>
      <c r="AC58" s="597" t="b">
        <v>0</v>
      </c>
    </row>
    <row r="62" spans="28:29" x14ac:dyDescent="0.25">
      <c r="AB62" s="480" t="s">
        <v>8012</v>
      </c>
      <c r="AC62" s="480" t="s">
        <v>8013</v>
      </c>
    </row>
    <row r="63" spans="28:29" x14ac:dyDescent="0.25">
      <c r="AB63" s="593" t="s">
        <v>7765</v>
      </c>
      <c r="AC63" s="593" t="s">
        <v>7765</v>
      </c>
    </row>
    <row r="64" spans="28:29" x14ac:dyDescent="0.25">
      <c r="AB64" s="597" t="b">
        <v>0</v>
      </c>
      <c r="AC64" s="597" t="b">
        <v>0</v>
      </c>
    </row>
    <row r="65" spans="28:29" x14ac:dyDescent="0.25">
      <c r="AB65" s="597" t="b">
        <v>0</v>
      </c>
      <c r="AC65" s="597" t="b">
        <v>0</v>
      </c>
    </row>
    <row r="66" spans="28:29" x14ac:dyDescent="0.25">
      <c r="AB66" s="597" t="b">
        <v>0</v>
      </c>
      <c r="AC66" s="597" t="b">
        <v>0</v>
      </c>
    </row>
    <row r="67" spans="28:29" x14ac:dyDescent="0.25">
      <c r="AB67" s="597" t="b">
        <v>0</v>
      </c>
      <c r="AC67" s="597" t="b">
        <v>0</v>
      </c>
    </row>
    <row r="68" spans="28:29" x14ac:dyDescent="0.25">
      <c r="AB68" s="597" t="b">
        <v>0</v>
      </c>
      <c r="AC68" s="597" t="b">
        <v>0</v>
      </c>
    </row>
    <row r="69" spans="28:29" x14ac:dyDescent="0.25">
      <c r="AB69" s="597" t="b">
        <v>0</v>
      </c>
      <c r="AC69" s="597" t="b">
        <v>0</v>
      </c>
    </row>
    <row r="70" spans="28:29" x14ac:dyDescent="0.25">
      <c r="AB70" s="597" t="b">
        <v>0</v>
      </c>
      <c r="AC70" s="597" t="b">
        <v>0</v>
      </c>
    </row>
    <row r="71" spans="28:29" x14ac:dyDescent="0.25">
      <c r="AB71" s="597" t="b">
        <v>0</v>
      </c>
      <c r="AC71" s="597" t="b">
        <v>0</v>
      </c>
    </row>
    <row r="72" spans="28:29" x14ac:dyDescent="0.25">
      <c r="AB72" s="597" t="b">
        <v>0</v>
      </c>
      <c r="AC72" s="597" t="b">
        <v>0</v>
      </c>
    </row>
    <row r="73" spans="28:29" x14ac:dyDescent="0.25">
      <c r="AB73" s="597" t="b">
        <v>0</v>
      </c>
      <c r="AC73" s="597" t="b">
        <v>0</v>
      </c>
    </row>
  </sheetData>
  <sheetProtection algorithmName="SHA-512" hashValue="qVPrkqob/1ae/NyPtMVB7gTRBIXtgc8Fg4PUtiA5SY0hEbUGgMsCKT1aqeJdTgFtTUJBD0V+6LZTaa3ZcNme7w==" saltValue="VqdYLSn2DBrj+bxEHWOmcw==" spinCount="100000" sheet="1" objects="1" scenarios="1" formatColumns="0" formatRows="0"/>
  <phoneticPr fontId="23" type="noConversion"/>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0AEA3-FE71-461A-94C7-7E960DC0D7A8}">
  <sheetPr codeName="Planilha10"/>
  <dimension ref="A1:AU1653"/>
  <sheetViews>
    <sheetView topLeftCell="X22" workbookViewId="0">
      <selection activeCell="D1" sqref="D1"/>
    </sheetView>
  </sheetViews>
  <sheetFormatPr defaultRowHeight="15" x14ac:dyDescent="0.25"/>
  <cols>
    <col min="1" max="1" width="36.5703125" style="20" customWidth="1"/>
    <col min="2" max="2" width="20.140625" style="472" customWidth="1"/>
    <col min="3" max="3" width="53.5703125" style="20" bestFit="1" customWidth="1"/>
    <col min="4" max="4" width="9.140625" style="20"/>
    <col min="5" max="5" width="20.7109375" style="20" bestFit="1" customWidth="1"/>
    <col min="6" max="6" width="22.85546875" style="20" bestFit="1" customWidth="1"/>
    <col min="7" max="7" width="33.28515625" style="20" customWidth="1"/>
    <col min="8" max="8" width="15.28515625" style="472" customWidth="1"/>
    <col min="9" max="9" width="31" style="20" customWidth="1"/>
    <col min="10" max="10" width="17" style="20" customWidth="1"/>
    <col min="11" max="11" width="21.28515625" style="20" customWidth="1"/>
    <col min="12" max="12" width="27.85546875" style="20" customWidth="1"/>
    <col min="13" max="14" width="10.28515625" style="20" customWidth="1"/>
    <col min="15" max="15" width="16.85546875" style="20" customWidth="1"/>
    <col min="16" max="16" width="19" style="20" customWidth="1"/>
    <col min="17" max="17" width="14.7109375" style="20" customWidth="1"/>
    <col min="18" max="18" width="9.140625" style="20"/>
    <col min="19" max="19" width="29.28515625" style="20" customWidth="1"/>
    <col min="20" max="20" width="9.140625" style="20"/>
    <col min="21" max="21" width="25.7109375" style="20" customWidth="1"/>
    <col min="22" max="22" width="9.140625" style="20"/>
    <col min="23" max="23" width="16.85546875" style="20" customWidth="1"/>
    <col min="24" max="26" width="9.140625" style="20"/>
    <col min="27" max="27" width="29.28515625" style="20" customWidth="1"/>
    <col min="28" max="28" width="9.140625" style="20"/>
    <col min="29" max="29" width="31" style="20" customWidth="1"/>
    <col min="30" max="30" width="9.140625" style="20"/>
    <col min="31" max="31" width="24.85546875" style="20" customWidth="1"/>
    <col min="32" max="32" width="9.140625" style="20"/>
    <col min="33" max="33" width="17" style="20" customWidth="1"/>
    <col min="34" max="34" width="9.140625" style="20"/>
    <col min="35" max="35" width="26.140625" style="20" customWidth="1"/>
    <col min="36" max="36" width="9.140625" style="20"/>
    <col min="37" max="37" width="27.7109375" style="20" customWidth="1"/>
    <col min="38" max="38" width="9.140625" style="20"/>
    <col min="39" max="39" width="25.28515625" style="20" customWidth="1"/>
    <col min="40" max="40" width="9.140625" style="20"/>
    <col min="41" max="41" width="34.28515625" style="20" customWidth="1"/>
    <col min="42" max="42" width="9.140625" style="20"/>
    <col min="43" max="43" width="24" style="20" customWidth="1"/>
    <col min="44" max="46" width="9.140625" style="20"/>
    <col min="47" max="47" width="19.7109375" style="20" customWidth="1"/>
    <col min="48" max="48" width="9.140625" style="20"/>
    <col min="49" max="49" width="27.28515625" style="20" customWidth="1"/>
    <col min="50" max="50" width="9.28515625" style="20" customWidth="1"/>
    <col min="51" max="51" width="39" style="20" customWidth="1"/>
    <col min="52" max="52" width="37.28515625" style="20" customWidth="1"/>
    <col min="53" max="53" width="18.140625" style="20" bestFit="1" customWidth="1"/>
    <col min="54" max="54" width="23.140625" style="20" customWidth="1"/>
    <col min="55" max="16384" width="9.140625" style="20"/>
  </cols>
  <sheetData>
    <row r="1" spans="1:47" x14ac:dyDescent="0.25">
      <c r="A1" s="372" t="s">
        <v>2038</v>
      </c>
      <c r="B1" s="372" t="s">
        <v>2039</v>
      </c>
      <c r="E1" s="955" t="s">
        <v>5907</v>
      </c>
      <c r="F1" s="955" t="s">
        <v>2076</v>
      </c>
      <c r="G1" s="372" t="s">
        <v>5446</v>
      </c>
      <c r="H1" s="372" t="s">
        <v>2032</v>
      </c>
      <c r="I1" s="956" t="s">
        <v>7143</v>
      </c>
      <c r="J1" s="955" t="s">
        <v>2037</v>
      </c>
      <c r="K1" s="955" t="s">
        <v>2076</v>
      </c>
      <c r="L1" s="23" t="s">
        <v>374</v>
      </c>
      <c r="M1" s="23"/>
      <c r="N1" s="955" t="s">
        <v>2037</v>
      </c>
      <c r="O1" s="955" t="s">
        <v>2076</v>
      </c>
      <c r="P1" s="23" t="s">
        <v>5447</v>
      </c>
      <c r="Q1" s="23" t="s">
        <v>2047</v>
      </c>
      <c r="R1" s="23"/>
      <c r="S1" s="23" t="s">
        <v>12</v>
      </c>
      <c r="T1" s="23"/>
      <c r="U1" s="23" t="s">
        <v>5512</v>
      </c>
      <c r="W1" s="20" t="s">
        <v>2046</v>
      </c>
      <c r="Y1" s="20" t="s">
        <v>2036</v>
      </c>
      <c r="AA1" s="20" t="s">
        <v>5525</v>
      </c>
      <c r="AC1" s="20" t="s">
        <v>5562</v>
      </c>
      <c r="AE1" s="20" t="s">
        <v>5586</v>
      </c>
      <c r="AG1" s="20" t="s">
        <v>5590</v>
      </c>
      <c r="AI1" s="20" t="s">
        <v>5608</v>
      </c>
      <c r="AK1" s="20" t="s">
        <v>5663</v>
      </c>
      <c r="AM1" s="20" t="s">
        <v>5686</v>
      </c>
      <c r="AO1" s="20" t="s">
        <v>5701</v>
      </c>
      <c r="AQ1" s="20" t="s">
        <v>5746</v>
      </c>
      <c r="AT1" s="20" t="s">
        <v>2039</v>
      </c>
      <c r="AU1" s="20" t="s">
        <v>5793</v>
      </c>
    </row>
    <row r="2" spans="1:47" x14ac:dyDescent="0.25">
      <c r="A2" s="607" t="s">
        <v>398</v>
      </c>
      <c r="B2" s="372">
        <v>5002</v>
      </c>
      <c r="E2" s="957" t="s">
        <v>541</v>
      </c>
      <c r="F2" s="957" t="s">
        <v>2093</v>
      </c>
      <c r="G2" s="20" t="s">
        <v>539</v>
      </c>
      <c r="H2" s="472" t="s">
        <v>540</v>
      </c>
      <c r="I2" s="700" t="str">
        <f>TRIM(UPPER(tb_ingredientes[[#This Row],[ingrediente_ativo]]))</f>
        <v>ACEFATO</v>
      </c>
      <c r="J2" s="20" t="s">
        <v>4304</v>
      </c>
      <c r="K2" s="20" t="s">
        <v>4304</v>
      </c>
      <c r="L2" s="20" t="s">
        <v>4305</v>
      </c>
      <c r="N2" s="957" t="s">
        <v>2050</v>
      </c>
      <c r="O2" s="957" t="s">
        <v>5443</v>
      </c>
      <c r="P2" s="20" t="s">
        <v>2048</v>
      </c>
      <c r="S2" s="20" t="s">
        <v>10</v>
      </c>
      <c r="W2" s="20" t="s">
        <v>2034</v>
      </c>
      <c r="Y2" s="20" t="s">
        <v>2043</v>
      </c>
      <c r="AA2" s="20" t="s">
        <v>5526</v>
      </c>
      <c r="AC2" s="20" t="s">
        <v>5563</v>
      </c>
      <c r="AE2" s="20" t="s">
        <v>5587</v>
      </c>
      <c r="AG2" s="20" t="s">
        <v>5591</v>
      </c>
      <c r="AI2" s="20" t="s">
        <v>5609</v>
      </c>
      <c r="AK2" s="20" t="s">
        <v>5664</v>
      </c>
      <c r="AM2" s="20" t="s">
        <v>5687</v>
      </c>
      <c r="AO2" s="20" t="s">
        <v>5702</v>
      </c>
      <c r="AQ2" s="20" t="s">
        <v>5747</v>
      </c>
      <c r="AT2" s="20">
        <v>1</v>
      </c>
      <c r="AU2" s="20" t="s">
        <v>223</v>
      </c>
    </row>
    <row r="3" spans="1:47" x14ac:dyDescent="0.25">
      <c r="A3" s="607" t="s">
        <v>399</v>
      </c>
      <c r="B3" s="372">
        <v>5066</v>
      </c>
      <c r="E3" s="958" t="s">
        <v>610</v>
      </c>
      <c r="F3" s="958" t="s">
        <v>2116</v>
      </c>
      <c r="G3" s="20" t="s">
        <v>608</v>
      </c>
      <c r="H3" s="472" t="s">
        <v>609</v>
      </c>
      <c r="I3" s="700" t="str">
        <f>TRIM(UPPER(tb_ingredientes[[#This Row],[ingrediente_ativo]]))</f>
        <v>ÁCIDO GIBERÉLICO</v>
      </c>
      <c r="J3" s="20" t="s">
        <v>2584</v>
      </c>
      <c r="K3" s="20" t="s">
        <v>2584</v>
      </c>
      <c r="L3" s="20" t="s">
        <v>2585</v>
      </c>
      <c r="N3" s="958" t="s">
        <v>2051</v>
      </c>
      <c r="O3" s="958" t="s">
        <v>2074</v>
      </c>
      <c r="P3" s="20" t="s">
        <v>2049</v>
      </c>
      <c r="S3" s="20" t="s">
        <v>5479</v>
      </c>
      <c r="U3" s="20" t="s">
        <v>5513</v>
      </c>
      <c r="W3" s="20" t="s">
        <v>2035</v>
      </c>
      <c r="Y3" s="20" t="s">
        <v>2044</v>
      </c>
      <c r="AA3" s="20" t="s">
        <v>5527</v>
      </c>
      <c r="AC3" s="20" t="s">
        <v>7136</v>
      </c>
      <c r="AE3" s="20" t="s">
        <v>5588</v>
      </c>
      <c r="AG3" s="20" t="s">
        <v>5592</v>
      </c>
      <c r="AI3" s="20" t="s">
        <v>5610</v>
      </c>
      <c r="AK3" s="20" t="s">
        <v>7038</v>
      </c>
      <c r="AM3" s="20" t="s">
        <v>7140</v>
      </c>
      <c r="AO3" s="20" t="s">
        <v>7040</v>
      </c>
      <c r="AQ3" s="20" t="s">
        <v>5748</v>
      </c>
      <c r="AT3" s="20">
        <v>2</v>
      </c>
      <c r="AU3" s="20" t="s">
        <v>201</v>
      </c>
    </row>
    <row r="4" spans="1:47" x14ac:dyDescent="0.25">
      <c r="A4" s="607" t="s">
        <v>400</v>
      </c>
      <c r="B4" s="372">
        <v>5065</v>
      </c>
      <c r="E4" s="957" t="s">
        <v>613</v>
      </c>
      <c r="F4" s="957" t="s">
        <v>2117</v>
      </c>
      <c r="G4" s="20" t="s">
        <v>611</v>
      </c>
      <c r="H4" s="472" t="s">
        <v>612</v>
      </c>
      <c r="I4" s="700" t="str">
        <f>TRIM(UPPER(tb_ingredientes[[#This Row],[ingrediente_ativo]]))</f>
        <v>ACIFLUORFEM</v>
      </c>
      <c r="J4" s="20" t="s">
        <v>5436</v>
      </c>
      <c r="K4" s="20" t="s">
        <v>5436</v>
      </c>
      <c r="L4" s="20" t="s">
        <v>5437</v>
      </c>
      <c r="N4" s="957" t="s">
        <v>2052</v>
      </c>
      <c r="O4" s="957" t="s">
        <v>4517</v>
      </c>
      <c r="P4" s="20" t="s">
        <v>2060</v>
      </c>
      <c r="Q4" s="20" t="s">
        <v>2065</v>
      </c>
      <c r="S4" s="20" t="s">
        <v>5497</v>
      </c>
      <c r="U4" s="20" t="s">
        <v>5515</v>
      </c>
      <c r="AA4" s="20" t="s">
        <v>5516</v>
      </c>
      <c r="AC4" s="20" t="s">
        <v>5564</v>
      </c>
      <c r="AE4" s="20" t="s">
        <v>5516</v>
      </c>
      <c r="AG4" s="20" t="s">
        <v>5594</v>
      </c>
      <c r="AI4" s="20" t="s">
        <v>5611</v>
      </c>
      <c r="AK4" s="20" t="s">
        <v>5665</v>
      </c>
      <c r="AM4" s="20" t="s">
        <v>5516</v>
      </c>
      <c r="AO4" s="20" t="s">
        <v>5516</v>
      </c>
      <c r="AQ4" s="20" t="s">
        <v>5749</v>
      </c>
      <c r="AT4" s="20">
        <v>3</v>
      </c>
      <c r="AU4" s="20" t="s">
        <v>202</v>
      </c>
    </row>
    <row r="5" spans="1:47" x14ac:dyDescent="0.25">
      <c r="A5" s="607" t="s">
        <v>401</v>
      </c>
      <c r="B5" s="372">
        <v>5016</v>
      </c>
      <c r="E5" s="958" t="s">
        <v>616</v>
      </c>
      <c r="F5" s="958" t="s">
        <v>2118</v>
      </c>
      <c r="G5" s="20" t="s">
        <v>614</v>
      </c>
      <c r="H5" s="472" t="s">
        <v>615</v>
      </c>
      <c r="I5" s="700" t="str">
        <f>TRIM(UPPER(tb_ingredientes[[#This Row],[ingrediente_ativo]]))</f>
        <v>ACIFLUORFEM-SÓDICO</v>
      </c>
      <c r="J5" s="20" t="s">
        <v>3093</v>
      </c>
      <c r="K5" s="20" t="s">
        <v>3093</v>
      </c>
      <c r="L5" s="20" t="s">
        <v>4349</v>
      </c>
      <c r="N5" s="957" t="s">
        <v>2045</v>
      </c>
      <c r="O5" s="957" t="s">
        <v>5444</v>
      </c>
      <c r="P5" s="20" t="s">
        <v>2062</v>
      </c>
      <c r="Q5" s="20" t="s">
        <v>2065</v>
      </c>
      <c r="S5" s="20" t="s">
        <v>5449</v>
      </c>
      <c r="U5" s="20" t="s">
        <v>5514</v>
      </c>
      <c r="Y5" s="20" t="s">
        <v>2036</v>
      </c>
      <c r="AC5" s="20" t="s">
        <v>7137</v>
      </c>
      <c r="AG5" s="20" t="s">
        <v>5593</v>
      </c>
      <c r="AI5" s="20" t="s">
        <v>5612</v>
      </c>
      <c r="AK5" s="20" t="s">
        <v>5666</v>
      </c>
      <c r="AQ5" s="20" t="s">
        <v>7268</v>
      </c>
      <c r="AT5" s="20">
        <v>4</v>
      </c>
      <c r="AU5" s="20" t="s">
        <v>5792</v>
      </c>
    </row>
    <row r="6" spans="1:47" x14ac:dyDescent="0.25">
      <c r="E6" s="957" t="s">
        <v>625</v>
      </c>
      <c r="F6" s="957" t="s">
        <v>2121</v>
      </c>
      <c r="G6" s="20" t="s">
        <v>623</v>
      </c>
      <c r="H6" s="472" t="s">
        <v>624</v>
      </c>
      <c r="I6" s="700" t="str">
        <f>TRIM(UPPER(tb_ingredientes[[#This Row],[ingrediente_ativo]]))</f>
        <v>ALACLORO</v>
      </c>
      <c r="J6" s="20" t="s">
        <v>4767</v>
      </c>
      <c r="K6" s="20" t="s">
        <v>4767</v>
      </c>
      <c r="L6" s="20" t="s">
        <v>4768</v>
      </c>
      <c r="N6" s="958" t="s">
        <v>2053</v>
      </c>
      <c r="O6" s="958" t="s">
        <v>4561</v>
      </c>
      <c r="P6" s="20" t="s">
        <v>2061</v>
      </c>
      <c r="Q6" s="20" t="s">
        <v>2065</v>
      </c>
      <c r="S6" s="20" t="s">
        <v>5450</v>
      </c>
      <c r="AA6" s="20" t="s">
        <v>5532</v>
      </c>
      <c r="AC6" s="20" t="s">
        <v>5565</v>
      </c>
      <c r="AG6" s="20" t="s">
        <v>7138</v>
      </c>
      <c r="AI6" s="20" t="s">
        <v>7960</v>
      </c>
      <c r="AK6" s="20" t="s">
        <v>5516</v>
      </c>
      <c r="AO6" s="20" t="s">
        <v>5516</v>
      </c>
      <c r="AQ6" s="20" t="s">
        <v>5516</v>
      </c>
      <c r="AT6" s="20">
        <v>5</v>
      </c>
      <c r="AU6" s="20" t="s">
        <v>5847</v>
      </c>
    </row>
    <row r="7" spans="1:47" x14ac:dyDescent="0.25">
      <c r="E7" s="957" t="s">
        <v>637</v>
      </c>
      <c r="F7" s="957" t="s">
        <v>2125</v>
      </c>
      <c r="G7" s="20" t="s">
        <v>635</v>
      </c>
      <c r="H7" s="472" t="s">
        <v>636</v>
      </c>
      <c r="I7" s="700" t="str">
        <f>TRIM(UPPER(tb_ingredientes[[#This Row],[ingrediente_ativo]]))</f>
        <v>ALDICARBE</v>
      </c>
      <c r="J7" s="20" t="s">
        <v>3083</v>
      </c>
      <c r="K7" s="20" t="s">
        <v>3083</v>
      </c>
      <c r="L7" s="20" t="s">
        <v>3084</v>
      </c>
      <c r="N7" s="958" t="s">
        <v>2056</v>
      </c>
      <c r="O7" s="958" t="s">
        <v>4538</v>
      </c>
      <c r="P7" s="20" t="s">
        <v>2063</v>
      </c>
      <c r="Q7" s="20" t="s">
        <v>2065</v>
      </c>
      <c r="S7" s="20" t="s">
        <v>5451</v>
      </c>
      <c r="U7" s="20" t="s">
        <v>5517</v>
      </c>
      <c r="W7" s="20" t="s">
        <v>5530</v>
      </c>
      <c r="Y7" s="20" t="s">
        <v>2043</v>
      </c>
      <c r="AA7" s="20" t="s">
        <v>5533</v>
      </c>
      <c r="AC7" s="20" t="s">
        <v>5516</v>
      </c>
      <c r="AG7" s="20" t="s">
        <v>5516</v>
      </c>
      <c r="AI7" s="20" t="s">
        <v>7139</v>
      </c>
      <c r="AT7" s="20">
        <v>6</v>
      </c>
      <c r="AU7" s="20" t="s">
        <v>224</v>
      </c>
    </row>
    <row r="8" spans="1:47" x14ac:dyDescent="0.25">
      <c r="E8" s="958" t="s">
        <v>640</v>
      </c>
      <c r="F8" s="958" t="s">
        <v>2126</v>
      </c>
      <c r="G8" s="20" t="s">
        <v>638</v>
      </c>
      <c r="H8" s="472" t="s">
        <v>639</v>
      </c>
      <c r="I8" s="700" t="str">
        <f>TRIM(UPPER(tb_ingredientes[[#This Row],[ingrediente_ativo]]))</f>
        <v>ALETRINA</v>
      </c>
      <c r="J8" s="20" t="s">
        <v>3093</v>
      </c>
      <c r="K8" s="20" t="s">
        <v>3093</v>
      </c>
      <c r="L8" s="20" t="s">
        <v>4760</v>
      </c>
      <c r="N8" s="958" t="s">
        <v>2058</v>
      </c>
      <c r="O8" s="958" t="s">
        <v>2781</v>
      </c>
      <c r="P8" s="20" t="s">
        <v>2054</v>
      </c>
      <c r="Q8" s="20" t="s">
        <v>2066</v>
      </c>
      <c r="S8" s="20" t="s">
        <v>5452</v>
      </c>
      <c r="U8" s="20" t="s">
        <v>5516</v>
      </c>
      <c r="W8" s="20" t="s">
        <v>5528</v>
      </c>
      <c r="Y8" s="20" t="s">
        <v>2044</v>
      </c>
      <c r="AA8" s="20" t="s">
        <v>5534</v>
      </c>
      <c r="AI8" s="20" t="s">
        <v>5516</v>
      </c>
    </row>
    <row r="9" spans="1:47" x14ac:dyDescent="0.25">
      <c r="A9" s="20" t="s">
        <v>5561</v>
      </c>
      <c r="E9" s="958" t="s">
        <v>646</v>
      </c>
      <c r="F9" s="958" t="s">
        <v>2128</v>
      </c>
      <c r="G9" s="20" t="s">
        <v>644</v>
      </c>
      <c r="H9" s="472" t="s">
        <v>645</v>
      </c>
      <c r="I9" s="700" t="str">
        <f>TRIM(UPPER(tb_ingredientes[[#This Row],[ingrediente_ativo]]))</f>
        <v>AMETRINA</v>
      </c>
      <c r="J9" s="20" t="s">
        <v>3093</v>
      </c>
      <c r="K9" s="20" t="s">
        <v>3093</v>
      </c>
      <c r="L9" s="20" t="s">
        <v>3478</v>
      </c>
      <c r="N9" s="957" t="s">
        <v>2059</v>
      </c>
      <c r="O9" s="957" t="s">
        <v>4739</v>
      </c>
      <c r="P9" s="20" t="s">
        <v>2055</v>
      </c>
      <c r="Q9" s="20" t="s">
        <v>2065</v>
      </c>
      <c r="S9" s="20" t="s">
        <v>5453</v>
      </c>
      <c r="W9" s="20" t="s">
        <v>5529</v>
      </c>
      <c r="AA9" s="20" t="s">
        <v>5535</v>
      </c>
      <c r="AI9" s="20" t="s">
        <v>5613</v>
      </c>
      <c r="AK9" s="20" t="s">
        <v>5670</v>
      </c>
      <c r="AM9" s="20" t="s">
        <v>5688</v>
      </c>
      <c r="AO9" s="20" t="s">
        <v>85</v>
      </c>
      <c r="AQ9" s="20" t="s">
        <v>5750</v>
      </c>
    </row>
    <row r="10" spans="1:47" x14ac:dyDescent="0.25">
      <c r="E10" s="958" t="s">
        <v>664</v>
      </c>
      <c r="F10" s="958" t="s">
        <v>2133</v>
      </c>
      <c r="G10" s="20" t="s">
        <v>662</v>
      </c>
      <c r="H10" s="472" t="s">
        <v>663</v>
      </c>
      <c r="I10" s="700" t="str">
        <f>TRIM(UPPER(tb_ingredientes[[#This Row],[ingrediente_ativo]]))</f>
        <v>ASULAM</v>
      </c>
      <c r="J10" s="20" t="s">
        <v>3093</v>
      </c>
      <c r="K10" s="20" t="s">
        <v>3093</v>
      </c>
      <c r="L10" s="20" t="s">
        <v>4363</v>
      </c>
      <c r="N10" s="959" t="s">
        <v>2057</v>
      </c>
      <c r="O10" s="957" t="s">
        <v>4569</v>
      </c>
      <c r="P10" s="20" t="s">
        <v>2064</v>
      </c>
      <c r="Q10" s="20" t="s">
        <v>2065</v>
      </c>
      <c r="S10" s="20" t="s">
        <v>5454</v>
      </c>
      <c r="AA10" s="20" t="s">
        <v>5536</v>
      </c>
      <c r="AI10" s="20" t="s">
        <v>5614</v>
      </c>
      <c r="AK10" s="20" t="s">
        <v>5671</v>
      </c>
      <c r="AM10" s="20" t="s">
        <v>5689</v>
      </c>
      <c r="AO10" s="20" t="s">
        <v>5703</v>
      </c>
      <c r="AQ10" s="20" t="s">
        <v>5751</v>
      </c>
    </row>
    <row r="11" spans="1:47" x14ac:dyDescent="0.25">
      <c r="E11" s="957" t="s">
        <v>667</v>
      </c>
      <c r="F11" s="957" t="s">
        <v>2134</v>
      </c>
      <c r="G11" s="20" t="s">
        <v>665</v>
      </c>
      <c r="H11" s="472" t="s">
        <v>666</v>
      </c>
      <c r="I11" s="700" t="str">
        <f>TRIM(UPPER(tb_ingredientes[[#This Row],[ingrediente_ativo]]))</f>
        <v>ATRAZINA</v>
      </c>
      <c r="J11" s="20" t="s">
        <v>4142</v>
      </c>
      <c r="K11" s="20" t="s">
        <v>4142</v>
      </c>
      <c r="L11" s="20" t="s">
        <v>4143</v>
      </c>
      <c r="S11" s="20" t="s">
        <v>5455</v>
      </c>
      <c r="U11" s="20" t="s">
        <v>6176</v>
      </c>
      <c r="W11" s="20" t="s">
        <v>5683</v>
      </c>
      <c r="AI11" s="20" t="s">
        <v>5615</v>
      </c>
      <c r="AK11" s="20" t="s">
        <v>5672</v>
      </c>
      <c r="AM11" s="20" t="s">
        <v>5690</v>
      </c>
      <c r="AO11" s="20" t="s">
        <v>5704</v>
      </c>
      <c r="AQ11" s="20" t="s">
        <v>5752</v>
      </c>
      <c r="AT11" s="20" t="s">
        <v>2039</v>
      </c>
      <c r="AU11" s="20" t="s">
        <v>5794</v>
      </c>
    </row>
    <row r="12" spans="1:47" x14ac:dyDescent="0.25">
      <c r="E12" s="958" t="s">
        <v>658</v>
      </c>
      <c r="F12" s="958" t="s">
        <v>2132</v>
      </c>
      <c r="G12" s="20" t="s">
        <v>656</v>
      </c>
      <c r="H12" s="472" t="s">
        <v>657</v>
      </c>
      <c r="I12" s="700" t="str">
        <f>TRIM(UPPER(tb_ingredientes[[#This Row],[ingrediente_ativo]]))</f>
        <v>ANILAZINA</v>
      </c>
      <c r="J12" s="20" t="s">
        <v>3405</v>
      </c>
      <c r="K12" s="20" t="s">
        <v>3405</v>
      </c>
      <c r="L12" s="20" t="s">
        <v>3406</v>
      </c>
      <c r="S12" s="20" t="s">
        <v>5456</v>
      </c>
      <c r="U12" s="20" t="s">
        <v>2043</v>
      </c>
      <c r="W12" s="20" t="s">
        <v>36</v>
      </c>
      <c r="AK12" s="20" t="s">
        <v>5673</v>
      </c>
      <c r="AT12" s="20">
        <v>1</v>
      </c>
      <c r="AU12" s="20" t="s">
        <v>203</v>
      </c>
    </row>
    <row r="13" spans="1:47" x14ac:dyDescent="0.25">
      <c r="E13" s="957" t="s">
        <v>607</v>
      </c>
      <c r="F13" s="957" t="s">
        <v>2115</v>
      </c>
      <c r="G13" s="20" t="s">
        <v>605</v>
      </c>
      <c r="H13" s="472" t="s">
        <v>606</v>
      </c>
      <c r="I13" s="700" t="str">
        <f>TRIM(UPPER(tb_ingredientes[[#This Row],[ingrediente_ativo]]))</f>
        <v>ÁCIDO BÓRICO</v>
      </c>
      <c r="J13" s="20" t="s">
        <v>4348</v>
      </c>
      <c r="K13" s="20" t="s">
        <v>4348</v>
      </c>
      <c r="L13" s="20" t="s">
        <v>3406</v>
      </c>
      <c r="S13" s="20" t="s">
        <v>5457</v>
      </c>
      <c r="U13" s="20" t="s">
        <v>2044</v>
      </c>
      <c r="W13" s="20" t="s">
        <v>37</v>
      </c>
      <c r="AK13" s="20" t="s">
        <v>5674</v>
      </c>
      <c r="AT13" s="20">
        <v>2</v>
      </c>
      <c r="AU13" s="20" t="s">
        <v>204</v>
      </c>
    </row>
    <row r="14" spans="1:47" x14ac:dyDescent="0.25">
      <c r="A14" s="472" t="s">
        <v>2040</v>
      </c>
      <c r="B14" s="472" t="s">
        <v>2041</v>
      </c>
      <c r="C14" s="472" t="s">
        <v>2042</v>
      </c>
      <c r="E14" s="958" t="s">
        <v>772</v>
      </c>
      <c r="F14" s="958" t="s">
        <v>2159</v>
      </c>
      <c r="G14" s="20" t="s">
        <v>770</v>
      </c>
      <c r="H14" s="472" t="s">
        <v>771</v>
      </c>
      <c r="I14" s="700" t="str">
        <f>TRIM(UPPER(tb_ingredientes[[#This Row],[ingrediente_ativo]]))</f>
        <v>BÓRAX</v>
      </c>
      <c r="J14" s="20" t="s">
        <v>2753</v>
      </c>
      <c r="K14" s="20" t="s">
        <v>2753</v>
      </c>
      <c r="L14" s="20" t="s">
        <v>2754</v>
      </c>
      <c r="S14" s="20" t="s">
        <v>5458</v>
      </c>
      <c r="U14" s="20" t="s">
        <v>5516</v>
      </c>
      <c r="W14" s="20" t="s">
        <v>5684</v>
      </c>
      <c r="AI14" s="20" t="s">
        <v>5616</v>
      </c>
      <c r="AK14" s="20" t="s">
        <v>5516</v>
      </c>
      <c r="AM14" s="20" t="s">
        <v>5694</v>
      </c>
      <c r="AO14" s="20" t="s">
        <v>5705</v>
      </c>
      <c r="AQ14" s="20" t="s">
        <v>5753</v>
      </c>
      <c r="AT14" s="20">
        <v>3</v>
      </c>
      <c r="AU14" s="20" t="s">
        <v>205</v>
      </c>
    </row>
    <row r="15" spans="1:47" x14ac:dyDescent="0.25">
      <c r="A15" s="20" t="s">
        <v>402</v>
      </c>
      <c r="B15" s="472" t="s">
        <v>403</v>
      </c>
      <c r="C15" s="20" t="str">
        <f t="shared" ref="C15:C57" si="0">A15&amp;" ("&amp;B15&amp;")"</f>
        <v>Concentrado dispersível (DC)</v>
      </c>
      <c r="E15" s="958" t="s">
        <v>1604</v>
      </c>
      <c r="F15" s="958" t="s">
        <v>2429</v>
      </c>
      <c r="G15" s="20" t="s">
        <v>1602</v>
      </c>
      <c r="H15" s="472" t="s">
        <v>1603</v>
      </c>
      <c r="I15" s="700" t="str">
        <f>TRIM(UPPER(tb_ingredientes[[#This Row],[ingrediente_ativo]]))</f>
        <v>OCTABORATO DISSÓDIO TETRAHIDRATADO</v>
      </c>
      <c r="J15" s="20" t="s">
        <v>3158</v>
      </c>
      <c r="K15" s="20" t="s">
        <v>3158</v>
      </c>
      <c r="L15" s="20" t="s">
        <v>3159</v>
      </c>
      <c r="S15" s="20" t="s">
        <v>5459</v>
      </c>
      <c r="AI15" s="20" t="s">
        <v>44</v>
      </c>
      <c r="AM15" s="20" t="s">
        <v>5691</v>
      </c>
      <c r="AO15" s="20" t="s">
        <v>5706</v>
      </c>
      <c r="AQ15" s="20" t="s">
        <v>5754</v>
      </c>
      <c r="AT15" s="20">
        <v>4</v>
      </c>
      <c r="AU15" s="20" t="s">
        <v>193</v>
      </c>
    </row>
    <row r="16" spans="1:47" x14ac:dyDescent="0.25">
      <c r="A16" s="20" t="s">
        <v>404</v>
      </c>
      <c r="B16" s="472" t="s">
        <v>405</v>
      </c>
      <c r="C16" s="20" t="str">
        <f t="shared" si="0"/>
        <v>Concentrado emulsionável (EC)</v>
      </c>
      <c r="E16" s="958" t="s">
        <v>538</v>
      </c>
      <c r="F16" s="958" t="s">
        <v>2092</v>
      </c>
      <c r="G16" s="20" t="s">
        <v>536</v>
      </c>
      <c r="H16" s="472" t="s">
        <v>537</v>
      </c>
      <c r="I16" s="700" t="str">
        <f>TRIM(UPPER(tb_ingredientes[[#This Row],[ingrediente_ativo]]))</f>
        <v>ABAMECTINA</v>
      </c>
      <c r="J16" s="20" t="s">
        <v>2605</v>
      </c>
      <c r="K16" s="20" t="s">
        <v>2605</v>
      </c>
      <c r="L16" s="20" t="s">
        <v>2606</v>
      </c>
      <c r="S16" s="20" t="s">
        <v>5460</v>
      </c>
      <c r="AI16" s="20" t="s">
        <v>47</v>
      </c>
      <c r="AK16" s="20" t="s">
        <v>17</v>
      </c>
      <c r="AM16" s="20" t="s">
        <v>5692</v>
      </c>
      <c r="AO16" s="20" t="s">
        <v>5707</v>
      </c>
      <c r="AQ16" s="20" t="s">
        <v>5755</v>
      </c>
    </row>
    <row r="17" spans="1:43" x14ac:dyDescent="0.25">
      <c r="A17" s="20" t="s">
        <v>406</v>
      </c>
      <c r="B17" s="472" t="s">
        <v>407</v>
      </c>
      <c r="C17" s="20" t="str">
        <f t="shared" si="0"/>
        <v>Concentrado para nebulização a frio (KN)</v>
      </c>
      <c r="E17" s="958" t="s">
        <v>682</v>
      </c>
      <c r="F17" s="958" t="s">
        <v>2139</v>
      </c>
      <c r="G17" s="20" t="s">
        <v>680</v>
      </c>
      <c r="H17" s="472" t="s">
        <v>681</v>
      </c>
      <c r="I17" s="700" t="str">
        <f>TRIM(UPPER(tb_ingredientes[[#This Row],[ingrediente_ativo]]))</f>
        <v>AZOCICLOTINA</v>
      </c>
      <c r="J17" s="20" t="s">
        <v>2638</v>
      </c>
      <c r="K17" s="20" t="s">
        <v>2638</v>
      </c>
      <c r="L17" s="20" t="s">
        <v>2639</v>
      </c>
      <c r="S17" s="20" t="s">
        <v>5496</v>
      </c>
      <c r="AI17" s="20" t="s">
        <v>48</v>
      </c>
      <c r="AK17" s="20" t="s">
        <v>5675</v>
      </c>
      <c r="AM17" s="20" t="s">
        <v>5693</v>
      </c>
      <c r="AO17" s="20" t="s">
        <v>5708</v>
      </c>
      <c r="AQ17" s="20" t="s">
        <v>5756</v>
      </c>
    </row>
    <row r="18" spans="1:43" x14ac:dyDescent="0.25">
      <c r="A18" s="20" t="s">
        <v>408</v>
      </c>
      <c r="B18" s="472" t="s">
        <v>409</v>
      </c>
      <c r="C18" s="20" t="str">
        <f t="shared" si="0"/>
        <v>Concentrado para termonebulização (HN)</v>
      </c>
      <c r="E18" s="958" t="s">
        <v>676</v>
      </c>
      <c r="F18" s="958" t="s">
        <v>2137</v>
      </c>
      <c r="G18" s="20" t="s">
        <v>674</v>
      </c>
      <c r="H18" s="472" t="s">
        <v>675</v>
      </c>
      <c r="I18" s="700" t="str">
        <f>TRIM(UPPER(tb_ingredientes[[#This Row],[ingrediente_ativo]]))</f>
        <v>AZAMETIFÓS</v>
      </c>
      <c r="J18" s="20" t="s">
        <v>2749</v>
      </c>
      <c r="K18" s="20" t="s">
        <v>2749</v>
      </c>
      <c r="L18" s="20" t="s">
        <v>2750</v>
      </c>
      <c r="S18" s="20" t="s">
        <v>5461</v>
      </c>
      <c r="U18" s="20" t="s">
        <v>6280</v>
      </c>
      <c r="AI18" s="20" t="s">
        <v>5617</v>
      </c>
      <c r="AK18" s="20" t="s">
        <v>5676</v>
      </c>
      <c r="AQ18" s="20" t="s">
        <v>5757</v>
      </c>
    </row>
    <row r="19" spans="1:43" x14ac:dyDescent="0.25">
      <c r="A19" s="20" t="s">
        <v>410</v>
      </c>
      <c r="B19" s="472" t="s">
        <v>411</v>
      </c>
      <c r="C19" s="20" t="str">
        <f t="shared" si="0"/>
        <v>Concentrado solúvel (SL)</v>
      </c>
      <c r="E19" s="958" t="s">
        <v>622</v>
      </c>
      <c r="F19" s="958" t="s">
        <v>2120</v>
      </c>
      <c r="G19" s="20" t="s">
        <v>620</v>
      </c>
      <c r="H19" s="472" t="s">
        <v>621</v>
      </c>
      <c r="I19" s="700" t="str">
        <f>TRIM(UPPER(tb_ingredientes[[#This Row],[ingrediente_ativo]]))</f>
        <v>ACRINATRINA</v>
      </c>
      <c r="J19" s="20" t="s">
        <v>2711</v>
      </c>
      <c r="K19" s="20" t="s">
        <v>2711</v>
      </c>
      <c r="L19" s="20" t="s">
        <v>2712</v>
      </c>
      <c r="S19" s="20" t="s">
        <v>5462</v>
      </c>
      <c r="U19" s="20" t="s">
        <v>2043</v>
      </c>
      <c r="AI19" s="20" t="s">
        <v>5618</v>
      </c>
      <c r="AK19" s="20" t="s">
        <v>5677</v>
      </c>
    </row>
    <row r="20" spans="1:43" x14ac:dyDescent="0.25">
      <c r="A20" s="20" t="s">
        <v>412</v>
      </c>
      <c r="B20" s="472" t="s">
        <v>413</v>
      </c>
      <c r="C20" s="20" t="str">
        <f t="shared" si="0"/>
        <v>Concentrado técnico/pré-mistura (TK)</v>
      </c>
      <c r="E20" s="957" t="s">
        <v>655</v>
      </c>
      <c r="F20" s="957" t="s">
        <v>2131</v>
      </c>
      <c r="G20" s="20" t="s">
        <v>653</v>
      </c>
      <c r="H20" s="472" t="s">
        <v>654</v>
      </c>
      <c r="I20" s="700" t="str">
        <f>TRIM(UPPER(tb_ingredientes[[#This Row],[ingrediente_ativo]]))</f>
        <v>AMITRAZ</v>
      </c>
      <c r="J20" s="20" t="s">
        <v>3860</v>
      </c>
      <c r="K20" s="20" t="s">
        <v>3860</v>
      </c>
      <c r="L20" s="20" t="s">
        <v>3861</v>
      </c>
      <c r="S20" s="20" t="s">
        <v>5463</v>
      </c>
      <c r="U20" s="20" t="s">
        <v>2044</v>
      </c>
      <c r="AI20" s="20" t="s">
        <v>5619</v>
      </c>
      <c r="AK20" s="20" t="s">
        <v>5678</v>
      </c>
      <c r="AO20" s="20" t="s">
        <v>5709</v>
      </c>
      <c r="AQ20" s="20" t="s">
        <v>5758</v>
      </c>
    </row>
    <row r="21" spans="1:43" x14ac:dyDescent="0.25">
      <c r="A21" s="20" t="s">
        <v>414</v>
      </c>
      <c r="B21" s="472" t="s">
        <v>415</v>
      </c>
      <c r="C21" s="20" t="str">
        <f t="shared" si="0"/>
        <v>Dispersão de óleo (OD)</v>
      </c>
      <c r="E21" s="957" t="s">
        <v>595</v>
      </c>
      <c r="F21" s="957" t="s">
        <v>2111</v>
      </c>
      <c r="G21" s="20" t="s">
        <v>593</v>
      </c>
      <c r="H21" s="472" t="s">
        <v>594</v>
      </c>
      <c r="I21" s="700" t="str">
        <f>TRIM(UPPER(tb_ingredientes[[#This Row],[ingrediente_ativo]]))</f>
        <v>ACETOCLORO</v>
      </c>
      <c r="J21" s="20" t="s">
        <v>4335</v>
      </c>
      <c r="K21" s="20" t="s">
        <v>4335</v>
      </c>
      <c r="L21" s="20" t="s">
        <v>4336</v>
      </c>
      <c r="S21" s="20" t="s">
        <v>5464</v>
      </c>
      <c r="U21" s="20" t="s">
        <v>6281</v>
      </c>
      <c r="AI21" s="20" t="s">
        <v>5620</v>
      </c>
      <c r="AO21" s="20" t="s">
        <v>5710</v>
      </c>
      <c r="AQ21" s="20" t="s">
        <v>5759</v>
      </c>
    </row>
    <row r="22" spans="1:43" x14ac:dyDescent="0.25">
      <c r="A22" s="20" t="s">
        <v>416</v>
      </c>
      <c r="B22" s="472" t="s">
        <v>417</v>
      </c>
      <c r="C22" s="20" t="str">
        <f t="shared" si="0"/>
        <v>Emulsão de água em óleo (EO)</v>
      </c>
      <c r="E22" s="957" t="s">
        <v>685</v>
      </c>
      <c r="F22" s="957" t="s">
        <v>2140</v>
      </c>
      <c r="G22" s="20" t="s">
        <v>683</v>
      </c>
      <c r="H22" s="472" t="s">
        <v>684</v>
      </c>
      <c r="I22" s="700" t="str">
        <f>TRIM(UPPER(tb_ingredientes[[#This Row],[ingrediente_ativo]]))</f>
        <v>AZOXISTROBINA</v>
      </c>
      <c r="J22" s="20" t="s">
        <v>2713</v>
      </c>
      <c r="K22" s="20" t="s">
        <v>2713</v>
      </c>
      <c r="L22" s="20" t="s">
        <v>2714</v>
      </c>
      <c r="S22" s="20" t="s">
        <v>5465</v>
      </c>
      <c r="AI22" s="20" t="s">
        <v>5621</v>
      </c>
      <c r="AK22" s="20" t="s">
        <v>5680</v>
      </c>
      <c r="AO22" s="20" t="s">
        <v>5711</v>
      </c>
      <c r="AQ22" s="20" t="s">
        <v>5760</v>
      </c>
    </row>
    <row r="23" spans="1:43" x14ac:dyDescent="0.25">
      <c r="A23" s="20" t="s">
        <v>418</v>
      </c>
      <c r="B23" s="472" t="s">
        <v>419</v>
      </c>
      <c r="C23" s="20" t="str">
        <f t="shared" si="0"/>
        <v>Emulsão de óleo em água (EW)</v>
      </c>
      <c r="E23" s="958" t="s">
        <v>628</v>
      </c>
      <c r="F23" s="958" t="s">
        <v>2122</v>
      </c>
      <c r="G23" s="20" t="s">
        <v>626</v>
      </c>
      <c r="H23" s="472" t="s">
        <v>627</v>
      </c>
      <c r="I23" s="700" t="str">
        <f>TRIM(UPPER(tb_ingredientes[[#This Row],[ingrediente_ativo]]))</f>
        <v>ALANICARBE</v>
      </c>
      <c r="J23" s="20" t="s">
        <v>5214</v>
      </c>
      <c r="K23" s="20" t="s">
        <v>5214</v>
      </c>
      <c r="L23" s="20" t="s">
        <v>5215</v>
      </c>
      <c r="S23" s="20" t="s">
        <v>5466</v>
      </c>
      <c r="AI23" s="20" t="s">
        <v>5622</v>
      </c>
      <c r="AK23" s="20" t="s">
        <v>5681</v>
      </c>
    </row>
    <row r="24" spans="1:43" x14ac:dyDescent="0.25">
      <c r="A24" s="20" t="s">
        <v>420</v>
      </c>
      <c r="B24" s="472" t="s">
        <v>421</v>
      </c>
      <c r="C24" s="20" t="str">
        <f t="shared" si="0"/>
        <v>Fumigante (FU)</v>
      </c>
      <c r="E24" s="958" t="s">
        <v>544</v>
      </c>
      <c r="F24" s="958" t="s">
        <v>2094</v>
      </c>
      <c r="G24" s="20" t="s">
        <v>542</v>
      </c>
      <c r="H24" s="472" t="s">
        <v>543</v>
      </c>
      <c r="I24" s="700" t="str">
        <f>TRIM(UPPER(tb_ingredientes[[#This Row],[ingrediente_ativo]]))</f>
        <v>ACETAMIPRIDO</v>
      </c>
      <c r="J24" s="20" t="s">
        <v>4820</v>
      </c>
      <c r="K24" s="20" t="s">
        <v>4820</v>
      </c>
      <c r="L24" s="20" t="s">
        <v>4821</v>
      </c>
      <c r="S24" s="20" t="s">
        <v>5467</v>
      </c>
      <c r="AI24" s="20" t="s">
        <v>5623</v>
      </c>
      <c r="AK24" s="20" t="s">
        <v>5682</v>
      </c>
      <c r="AO24" s="20" t="s">
        <v>5712</v>
      </c>
      <c r="AQ24" s="20" t="s">
        <v>5761</v>
      </c>
    </row>
    <row r="25" spans="1:43" x14ac:dyDescent="0.25">
      <c r="A25" s="20" t="s">
        <v>422</v>
      </c>
      <c r="B25" s="472" t="s">
        <v>423</v>
      </c>
      <c r="C25" s="20" t="str">
        <f t="shared" si="0"/>
        <v>Gás (GA)</v>
      </c>
      <c r="E25" s="957" t="s">
        <v>679</v>
      </c>
      <c r="F25" s="957" t="s">
        <v>2138</v>
      </c>
      <c r="G25" s="20" t="s">
        <v>677</v>
      </c>
      <c r="H25" s="472" t="s">
        <v>678</v>
      </c>
      <c r="I25" s="700" t="str">
        <f>TRIM(UPPER(tb_ingredientes[[#This Row],[ingrediente_ativo]]))</f>
        <v>AZINSULFUROM</v>
      </c>
      <c r="J25" s="20" t="s">
        <v>4823</v>
      </c>
      <c r="K25" s="20" t="s">
        <v>4823</v>
      </c>
      <c r="L25" s="20" t="s">
        <v>4824</v>
      </c>
      <c r="S25" s="20" t="s">
        <v>7157</v>
      </c>
      <c r="AI25" s="20" t="s">
        <v>5624</v>
      </c>
      <c r="AO25" s="20" t="s">
        <v>5713</v>
      </c>
      <c r="AQ25" s="20" t="s">
        <v>5762</v>
      </c>
    </row>
    <row r="26" spans="1:43" x14ac:dyDescent="0.25">
      <c r="A26" s="20" t="s">
        <v>424</v>
      </c>
      <c r="B26" s="472" t="s">
        <v>425</v>
      </c>
      <c r="C26" s="20" t="str">
        <f t="shared" si="0"/>
        <v>Gel emulsionável (GL)</v>
      </c>
      <c r="E26" s="957" t="s">
        <v>601</v>
      </c>
      <c r="F26" s="957" t="s">
        <v>2113</v>
      </c>
      <c r="G26" s="20" t="s">
        <v>599</v>
      </c>
      <c r="H26" s="472" t="s">
        <v>600</v>
      </c>
      <c r="I26" s="700" t="str">
        <f>TRIM(UPPER(tb_ingredientes[[#This Row],[ingrediente_ativo]]))</f>
        <v>ÁCIDO 4-INDOL-3-ILBUTÍRICO</v>
      </c>
      <c r="J26" s="20" t="s">
        <v>5125</v>
      </c>
      <c r="K26" s="20" t="s">
        <v>5125</v>
      </c>
      <c r="L26" s="20" t="s">
        <v>5126</v>
      </c>
      <c r="S26" s="20" t="s">
        <v>5468</v>
      </c>
      <c r="U26" s="20" t="s">
        <v>7055</v>
      </c>
      <c r="AI26" s="20" t="s">
        <v>5625</v>
      </c>
      <c r="AO26" s="20" t="s">
        <v>5714</v>
      </c>
      <c r="AQ26" s="20" t="s">
        <v>5763</v>
      </c>
    </row>
    <row r="27" spans="1:43" x14ac:dyDescent="0.25">
      <c r="A27" s="20" t="s">
        <v>426</v>
      </c>
      <c r="B27" s="472" t="s">
        <v>427</v>
      </c>
      <c r="C27" s="20" t="str">
        <f t="shared" si="0"/>
        <v>Gel solúvel em água (GW)</v>
      </c>
      <c r="E27" s="957" t="s">
        <v>619</v>
      </c>
      <c r="F27" s="957" t="s">
        <v>2119</v>
      </c>
      <c r="G27" s="20" t="s">
        <v>617</v>
      </c>
      <c r="H27" s="472" t="s">
        <v>618</v>
      </c>
      <c r="I27" s="700" t="str">
        <f>TRIM(UPPER(tb_ingredientes[[#This Row],[ingrediente_ativo]]))</f>
        <v>ACLONIFEM</v>
      </c>
      <c r="J27" s="20" t="s">
        <v>5211</v>
      </c>
      <c r="K27" s="20" t="s">
        <v>5211</v>
      </c>
      <c r="L27" s="20" t="s">
        <v>5212</v>
      </c>
      <c r="S27" s="20" t="s">
        <v>5469</v>
      </c>
      <c r="U27" s="492" t="s">
        <v>7056</v>
      </c>
      <c r="V27" s="495"/>
      <c r="AI27" s="20" t="s">
        <v>5626</v>
      </c>
      <c r="AO27" s="20" t="s">
        <v>5715</v>
      </c>
    </row>
    <row r="28" spans="1:43" x14ac:dyDescent="0.25">
      <c r="A28" s="20" t="s">
        <v>428</v>
      </c>
      <c r="B28" s="472" t="s">
        <v>429</v>
      </c>
      <c r="C28" s="20" t="str">
        <f t="shared" si="0"/>
        <v>Gerador de gás (GE)</v>
      </c>
      <c r="E28" s="958" t="s">
        <v>562</v>
      </c>
      <c r="F28" s="958" t="s">
        <v>2100</v>
      </c>
      <c r="G28" s="20" t="s">
        <v>560</v>
      </c>
      <c r="H28" s="472" t="s">
        <v>561</v>
      </c>
      <c r="I28" s="700" t="str">
        <f>TRIM(UPPER(tb_ingredientes[[#This Row],[ingrediente_ativo]]))</f>
        <v>ACETATO DE (E,Z,Z)-3,8,11-TETRADECATRIENILA</v>
      </c>
      <c r="J28" s="20" t="s">
        <v>5216</v>
      </c>
      <c r="K28" s="20" t="s">
        <v>5216</v>
      </c>
      <c r="L28" s="20" t="s">
        <v>5217</v>
      </c>
      <c r="S28" s="20" t="s">
        <v>5470</v>
      </c>
      <c r="U28" s="492" t="s">
        <v>7057</v>
      </c>
      <c r="V28" s="495"/>
      <c r="AI28" s="20" t="s">
        <v>5627</v>
      </c>
      <c r="AK28" s="20" t="s">
        <v>6539</v>
      </c>
    </row>
    <row r="29" spans="1:43" x14ac:dyDescent="0.25">
      <c r="A29" s="20" t="s">
        <v>430</v>
      </c>
      <c r="B29" s="472" t="s">
        <v>431</v>
      </c>
      <c r="C29" s="20" t="str">
        <f t="shared" si="0"/>
        <v>Grânulo (GR)</v>
      </c>
      <c r="E29" s="957" t="s">
        <v>589</v>
      </c>
      <c r="F29" s="957" t="s">
        <v>2109</v>
      </c>
      <c r="G29" s="20" t="s">
        <v>587</v>
      </c>
      <c r="H29" s="472" t="s">
        <v>588</v>
      </c>
      <c r="I29" s="700" t="str">
        <f>TRIM(UPPER(tb_ingredientes[[#This Row],[ingrediente_ativo]]))</f>
        <v>ACETATO DE (Z,E)-9,12-TETRADECADIENILA</v>
      </c>
      <c r="J29" s="20" t="s">
        <v>3343</v>
      </c>
      <c r="K29" s="20" t="s">
        <v>3343</v>
      </c>
      <c r="L29" s="20" t="s">
        <v>3344</v>
      </c>
      <c r="S29" s="20" t="s">
        <v>5471</v>
      </c>
      <c r="U29" s="492" t="s">
        <v>7058</v>
      </c>
      <c r="V29" s="495"/>
      <c r="AI29" s="20" t="s">
        <v>5628</v>
      </c>
      <c r="AK29" s="20" t="s">
        <v>5821</v>
      </c>
      <c r="AO29" s="20" t="s">
        <v>5712</v>
      </c>
      <c r="AQ29" s="20" t="s">
        <v>5764</v>
      </c>
    </row>
    <row r="30" spans="1:43" x14ac:dyDescent="0.25">
      <c r="A30" s="20" t="s">
        <v>432</v>
      </c>
      <c r="B30" s="472" t="s">
        <v>433</v>
      </c>
      <c r="C30" s="20" t="str">
        <f t="shared" si="0"/>
        <v>Grânulo solúvel em água (SG)</v>
      </c>
      <c r="E30" s="957" t="s">
        <v>553</v>
      </c>
      <c r="F30" s="957" t="s">
        <v>2097</v>
      </c>
      <c r="G30" s="20" t="s">
        <v>551</v>
      </c>
      <c r="H30" s="472" t="s">
        <v>552</v>
      </c>
      <c r="I30" s="700" t="str">
        <f>TRIM(UPPER(tb_ingredientes[[#This Row],[ingrediente_ativo]]))</f>
        <v>ACETATO DE (E,Z)-3,8-TETRADECADIENILA</v>
      </c>
      <c r="J30" s="20" t="s">
        <v>4306</v>
      </c>
      <c r="K30" s="20" t="s">
        <v>4306</v>
      </c>
      <c r="L30" s="20" t="s">
        <v>4307</v>
      </c>
      <c r="S30" s="20" t="s">
        <v>5472</v>
      </c>
      <c r="U30" s="492" t="s">
        <v>7059</v>
      </c>
      <c r="V30" s="495"/>
      <c r="AI30" s="20" t="s">
        <v>5629</v>
      </c>
      <c r="AK30" s="20" t="s">
        <v>5824</v>
      </c>
      <c r="AO30" s="20" t="s">
        <v>5713</v>
      </c>
      <c r="AQ30" s="20" t="s">
        <v>5766</v>
      </c>
    </row>
    <row r="31" spans="1:43" x14ac:dyDescent="0.25">
      <c r="A31" s="20" t="s">
        <v>434</v>
      </c>
      <c r="B31" s="472" t="s">
        <v>435</v>
      </c>
      <c r="C31" s="20" t="str">
        <f t="shared" si="0"/>
        <v>Grânulos dispersíveis em água (WG)</v>
      </c>
      <c r="E31" s="957" t="s">
        <v>583</v>
      </c>
      <c r="F31" s="957" t="s">
        <v>2107</v>
      </c>
      <c r="G31" s="20" t="s">
        <v>581</v>
      </c>
      <c r="H31" s="472" t="s">
        <v>582</v>
      </c>
      <c r="I31" s="700" t="str">
        <f>TRIM(UPPER(tb_ingredientes[[#This Row],[ingrediente_ativo]]))</f>
        <v>ACETATO DE (Z)-9-HEXADECENILA</v>
      </c>
      <c r="J31" s="20" t="s">
        <v>2785</v>
      </c>
      <c r="K31" s="20" t="s">
        <v>2785</v>
      </c>
      <c r="L31" s="20" t="s">
        <v>2786</v>
      </c>
      <c r="S31" s="20" t="s">
        <v>5473</v>
      </c>
      <c r="U31" s="492" t="s">
        <v>7060</v>
      </c>
      <c r="V31" s="495"/>
      <c r="AI31" s="20" t="s">
        <v>5630</v>
      </c>
      <c r="AK31" s="20" t="s">
        <v>5826</v>
      </c>
      <c r="AO31" s="20" t="s">
        <v>5714</v>
      </c>
      <c r="AQ31" s="20" t="s">
        <v>5765</v>
      </c>
    </row>
    <row r="32" spans="1:43" x14ac:dyDescent="0.25">
      <c r="A32" s="20" t="s">
        <v>436</v>
      </c>
      <c r="B32" s="472" t="s">
        <v>437</v>
      </c>
      <c r="C32" s="20" t="str">
        <f t="shared" si="0"/>
        <v>Isca (RB)</v>
      </c>
      <c r="E32" s="958" t="s">
        <v>550</v>
      </c>
      <c r="F32" s="958" t="s">
        <v>2096</v>
      </c>
      <c r="G32" s="20" t="s">
        <v>548</v>
      </c>
      <c r="H32" s="472" t="s">
        <v>549</v>
      </c>
      <c r="I32" s="700" t="str">
        <f>TRIM(UPPER(tb_ingredientes[[#This Row],[ingrediente_ativo]]))</f>
        <v>ACETATO DE (E,Z)-3,5-DODECADIENILA</v>
      </c>
      <c r="J32" s="20" t="s">
        <v>4315</v>
      </c>
      <c r="K32" s="20" t="s">
        <v>4315</v>
      </c>
      <c r="L32" s="20" t="s">
        <v>4316</v>
      </c>
      <c r="S32" s="20" t="s">
        <v>5474</v>
      </c>
      <c r="U32" s="636" t="s">
        <v>7061</v>
      </c>
      <c r="V32" s="495"/>
      <c r="AI32" s="20" t="s">
        <v>5631</v>
      </c>
      <c r="AK32" s="20" t="s">
        <v>5835</v>
      </c>
    </row>
    <row r="33" spans="1:43" x14ac:dyDescent="0.25">
      <c r="A33" s="20" t="s">
        <v>438</v>
      </c>
      <c r="B33" s="472" t="s">
        <v>439</v>
      </c>
      <c r="C33" s="20" t="str">
        <f t="shared" si="0"/>
        <v>Laca (LA)</v>
      </c>
      <c r="E33" s="958" t="s">
        <v>598</v>
      </c>
      <c r="F33" s="958" t="s">
        <v>2112</v>
      </c>
      <c r="G33" s="20" t="s">
        <v>596</v>
      </c>
      <c r="H33" s="472" t="s">
        <v>597</v>
      </c>
      <c r="I33" s="700" t="str">
        <f>TRIM(UPPER(tb_ingredientes[[#This Row],[ingrediente_ativo]]))</f>
        <v>ACIBENZOLAR-S-METÍLICO</v>
      </c>
      <c r="J33" s="20" t="s">
        <v>4068</v>
      </c>
      <c r="K33" s="20" t="s">
        <v>4068</v>
      </c>
      <c r="L33" s="20" t="s">
        <v>4069</v>
      </c>
      <c r="S33" s="20" t="s">
        <v>5475</v>
      </c>
      <c r="AI33" s="20" t="s">
        <v>5632</v>
      </c>
      <c r="AK33" s="20" t="s">
        <v>6540</v>
      </c>
      <c r="AO33" s="20" t="s">
        <v>5717</v>
      </c>
    </row>
    <row r="34" spans="1:43" x14ac:dyDescent="0.25">
      <c r="A34" s="20" t="s">
        <v>440</v>
      </c>
      <c r="B34" s="472" t="s">
        <v>441</v>
      </c>
      <c r="C34" s="20" t="str">
        <f t="shared" si="0"/>
        <v>Liberador de vapor (VP)</v>
      </c>
      <c r="E34" s="957" t="s">
        <v>547</v>
      </c>
      <c r="F34" s="957" t="s">
        <v>2095</v>
      </c>
      <c r="G34" s="20" t="s">
        <v>545</v>
      </c>
      <c r="H34" s="472" t="s">
        <v>546</v>
      </c>
      <c r="I34" s="700" t="str">
        <f>TRIM(UPPER(tb_ingredientes[[#This Row],[ingrediente_ativo]]))</f>
        <v>ACETATO DE (E)-8-DODECENILA</v>
      </c>
      <c r="J34" s="20" t="s">
        <v>3252</v>
      </c>
      <c r="K34" s="20" t="s">
        <v>3252</v>
      </c>
      <c r="L34" s="20" t="s">
        <v>3253</v>
      </c>
      <c r="S34" s="20" t="s">
        <v>5476</v>
      </c>
      <c r="AI34" s="20" t="s">
        <v>5633</v>
      </c>
      <c r="AO34" s="20" t="s">
        <v>5716</v>
      </c>
      <c r="AQ34" s="960" t="s">
        <v>7271</v>
      </c>
    </row>
    <row r="35" spans="1:43" x14ac:dyDescent="0.25">
      <c r="A35" s="20" t="s">
        <v>442</v>
      </c>
      <c r="B35" s="472" t="s">
        <v>443</v>
      </c>
      <c r="C35" s="20" t="str">
        <f t="shared" si="0"/>
        <v>Liquido de ultrabaixo volume (UL)</v>
      </c>
      <c r="E35" s="957" t="s">
        <v>577</v>
      </c>
      <c r="F35" s="957" t="s">
        <v>2105</v>
      </c>
      <c r="G35" s="20" t="s">
        <v>575</v>
      </c>
      <c r="H35" s="472" t="s">
        <v>576</v>
      </c>
      <c r="I35" s="700" t="str">
        <f>TRIM(UPPER(tb_ingredientes[[#This Row],[ingrediente_ativo]]))</f>
        <v>ACETATO DE (Z)-8-DODECENILA</v>
      </c>
      <c r="J35" s="20" t="s">
        <v>3362</v>
      </c>
      <c r="K35" s="20" t="s">
        <v>3362</v>
      </c>
      <c r="L35" s="20" t="s">
        <v>3363</v>
      </c>
      <c r="S35" s="20" t="s">
        <v>5477</v>
      </c>
      <c r="AI35" s="20" t="s">
        <v>5634</v>
      </c>
      <c r="AQ35" s="957" t="s">
        <v>7272</v>
      </c>
    </row>
    <row r="36" spans="1:43" x14ac:dyDescent="0.25">
      <c r="A36" s="20" t="s">
        <v>444</v>
      </c>
      <c r="B36" s="472" t="s">
        <v>445</v>
      </c>
      <c r="C36" s="20" t="str">
        <f t="shared" si="0"/>
        <v>Líquido miscível em óleo (OL)</v>
      </c>
      <c r="E36" s="957" t="s">
        <v>649</v>
      </c>
      <c r="F36" s="957" t="s">
        <v>2129</v>
      </c>
      <c r="G36" s="20" t="s">
        <v>647</v>
      </c>
      <c r="H36" s="472" t="s">
        <v>648</v>
      </c>
      <c r="I36" s="700" t="str">
        <f>TRIM(UPPER(tb_ingredientes[[#This Row],[ingrediente_ativo]]))</f>
        <v>AMICARBAZONA</v>
      </c>
      <c r="J36" s="20" t="s">
        <v>4310</v>
      </c>
      <c r="K36" s="20" t="s">
        <v>4310</v>
      </c>
      <c r="L36" s="20" t="s">
        <v>4311</v>
      </c>
      <c r="S36" s="20" t="s">
        <v>5478</v>
      </c>
      <c r="AO36" s="20" t="s">
        <v>5718</v>
      </c>
      <c r="AQ36" s="961" t="s">
        <v>7273</v>
      </c>
    </row>
    <row r="37" spans="1:43" x14ac:dyDescent="0.25">
      <c r="A37" s="20" t="s">
        <v>446</v>
      </c>
      <c r="B37" s="472" t="s">
        <v>447</v>
      </c>
      <c r="C37" s="20" t="str">
        <f t="shared" si="0"/>
        <v>Microemulsão (ME)</v>
      </c>
      <c r="E37" s="958" t="s">
        <v>568</v>
      </c>
      <c r="F37" s="958" t="s">
        <v>2102</v>
      </c>
      <c r="G37" s="20" t="s">
        <v>566</v>
      </c>
      <c r="H37" s="472" t="s">
        <v>567</v>
      </c>
      <c r="I37" s="700" t="str">
        <f>TRIM(UPPER(tb_ingredientes[[#This Row],[ingrediente_ativo]]))</f>
        <v>ACETATO DE (Z)-11-HEXADECENILA</v>
      </c>
      <c r="J37" s="20" t="s">
        <v>4989</v>
      </c>
      <c r="K37" s="20" t="s">
        <v>4989</v>
      </c>
      <c r="L37" s="20" t="s">
        <v>4990</v>
      </c>
      <c r="S37" s="20" t="s">
        <v>5480</v>
      </c>
      <c r="AO37" s="20" t="s">
        <v>5719</v>
      </c>
      <c r="AQ37" s="957" t="s">
        <v>6540</v>
      </c>
    </row>
    <row r="38" spans="1:43" x14ac:dyDescent="0.25">
      <c r="A38" s="20" t="s">
        <v>448</v>
      </c>
      <c r="B38" s="472" t="s">
        <v>449</v>
      </c>
      <c r="C38" s="20" t="str">
        <f t="shared" si="0"/>
        <v>Mistura de CS e EW (ZW)</v>
      </c>
      <c r="E38" s="958" t="s">
        <v>574</v>
      </c>
      <c r="F38" s="958" t="s">
        <v>2104</v>
      </c>
      <c r="G38" s="20" t="s">
        <v>572</v>
      </c>
      <c r="H38" s="472" t="s">
        <v>573</v>
      </c>
      <c r="I38" s="700" t="str">
        <f>TRIM(UPPER(tb_ingredientes[[#This Row],[ingrediente_ativo]]))</f>
        <v>ACETATO DE (Z)-7-DODECENILA</v>
      </c>
      <c r="J38" s="20" t="s">
        <v>4582</v>
      </c>
      <c r="K38" s="20" t="s">
        <v>4582</v>
      </c>
      <c r="L38" s="20" t="s">
        <v>4583</v>
      </c>
      <c r="S38" s="20" t="s">
        <v>5495</v>
      </c>
      <c r="AI38" s="20" t="s">
        <v>5635</v>
      </c>
      <c r="AO38" s="20" t="s">
        <v>5720</v>
      </c>
    </row>
    <row r="39" spans="1:43" x14ac:dyDescent="0.25">
      <c r="A39" s="20" t="s">
        <v>450</v>
      </c>
      <c r="B39" s="472" t="s">
        <v>451</v>
      </c>
      <c r="C39" s="20" t="str">
        <f t="shared" si="0"/>
        <v>Mistura de CS e SC (ZC)</v>
      </c>
      <c r="E39" s="958" t="s">
        <v>586</v>
      </c>
      <c r="F39" s="958" t="s">
        <v>2108</v>
      </c>
      <c r="G39" s="20" t="s">
        <v>584</v>
      </c>
      <c r="H39" s="472" t="s">
        <v>585</v>
      </c>
      <c r="I39" s="700" t="str">
        <f>TRIM(UPPER(tb_ingredientes[[#This Row],[ingrediente_ativo]]))</f>
        <v>ACETATO DE (Z)-9-TETRADECENILA</v>
      </c>
      <c r="J39" s="20" t="s">
        <v>4264</v>
      </c>
      <c r="K39" s="20" t="s">
        <v>4264</v>
      </c>
      <c r="L39" s="20" t="s">
        <v>4265</v>
      </c>
      <c r="S39" s="20" t="s">
        <v>5481</v>
      </c>
      <c r="AI39" s="20" t="s">
        <v>237</v>
      </c>
      <c r="AO39" s="20" t="s">
        <v>5715</v>
      </c>
    </row>
    <row r="40" spans="1:43" x14ac:dyDescent="0.25">
      <c r="A40" s="20" t="s">
        <v>452</v>
      </c>
      <c r="B40" s="472" t="s">
        <v>453</v>
      </c>
      <c r="C40" s="20" t="str">
        <f t="shared" si="0"/>
        <v>Mistura de CS e SE (ZE)</v>
      </c>
      <c r="E40" s="958" t="s">
        <v>634</v>
      </c>
      <c r="F40" s="958" t="s">
        <v>2124</v>
      </c>
      <c r="G40" s="20" t="s">
        <v>632</v>
      </c>
      <c r="H40" s="472" t="s">
        <v>633</v>
      </c>
      <c r="I40" s="700" t="str">
        <f>TRIM(UPPER(tb_ingredientes[[#This Row],[ingrediente_ativo]]))</f>
        <v>ÁLCOOL LAURÍLICO</v>
      </c>
      <c r="J40" s="20" t="s">
        <v>4727</v>
      </c>
      <c r="K40" s="20" t="s">
        <v>4727</v>
      </c>
      <c r="L40" s="20" t="s">
        <v>4728</v>
      </c>
      <c r="S40" s="20" t="s">
        <v>5482</v>
      </c>
      <c r="AI40" s="20" t="s">
        <v>10</v>
      </c>
      <c r="AQ40" s="20" t="s">
        <v>7949</v>
      </c>
    </row>
    <row r="41" spans="1:43" x14ac:dyDescent="0.25">
      <c r="A41" s="20" t="s">
        <v>454</v>
      </c>
      <c r="B41" s="472" t="s">
        <v>455</v>
      </c>
      <c r="C41" s="20" t="str">
        <f t="shared" si="0"/>
        <v>Óleo para pulverização (SO)</v>
      </c>
      <c r="E41" s="958" t="s">
        <v>580</v>
      </c>
      <c r="F41" s="958" t="s">
        <v>2106</v>
      </c>
      <c r="G41" s="20" t="s">
        <v>578</v>
      </c>
      <c r="H41" s="472" t="s">
        <v>579</v>
      </c>
      <c r="I41" s="700" t="str">
        <f>TRIM(UPPER(tb_ingredientes[[#This Row],[ingrediente_ativo]]))</f>
        <v>ACETATO DE (Z)-9-DODECENILA</v>
      </c>
      <c r="J41" s="20" t="s">
        <v>5020</v>
      </c>
      <c r="K41" s="20" t="s">
        <v>5020</v>
      </c>
      <c r="L41" s="20" t="s">
        <v>5021</v>
      </c>
      <c r="S41" s="20" t="s">
        <v>5483</v>
      </c>
      <c r="AI41" s="20" t="s">
        <v>5636</v>
      </c>
      <c r="AO41" s="20" t="s">
        <v>5724</v>
      </c>
      <c r="AQ41" s="20" t="s">
        <v>44</v>
      </c>
    </row>
    <row r="42" spans="1:43" x14ac:dyDescent="0.25">
      <c r="A42" s="20" t="s">
        <v>456</v>
      </c>
      <c r="B42" s="472" t="s">
        <v>457</v>
      </c>
      <c r="C42" s="20" t="str">
        <f t="shared" si="0"/>
        <v>Outras formulações (XX)</v>
      </c>
      <c r="E42" s="958" t="s">
        <v>670</v>
      </c>
      <c r="F42" s="958" t="s">
        <v>2135</v>
      </c>
      <c r="G42" s="20" t="s">
        <v>668</v>
      </c>
      <c r="H42" s="472" t="s">
        <v>669</v>
      </c>
      <c r="I42" s="700" t="str">
        <f>TRIM(UPPER(tb_ingredientes[[#This Row],[ingrediente_ativo]]))</f>
        <v>AVIGLICINA</v>
      </c>
      <c r="J42" s="20" t="s">
        <v>2797</v>
      </c>
      <c r="K42" s="20" t="s">
        <v>2797</v>
      </c>
      <c r="L42" s="20" t="s">
        <v>2798</v>
      </c>
      <c r="S42" s="20" t="s">
        <v>5484</v>
      </c>
      <c r="AO42" s="20" t="s">
        <v>5721</v>
      </c>
      <c r="AQ42" s="20" t="s">
        <v>47</v>
      </c>
    </row>
    <row r="43" spans="1:43" x14ac:dyDescent="0.25">
      <c r="A43" s="20" t="s">
        <v>458</v>
      </c>
      <c r="B43" s="472" t="s">
        <v>459</v>
      </c>
      <c r="C43" s="20" t="str">
        <f t="shared" si="0"/>
        <v>Outros líquidos para aplicação direta (AL)</v>
      </c>
      <c r="E43" s="957" t="s">
        <v>933</v>
      </c>
      <c r="F43" s="957" t="s">
        <v>2211</v>
      </c>
      <c r="G43" s="20" t="s">
        <v>931</v>
      </c>
      <c r="H43" s="472" t="s">
        <v>932</v>
      </c>
      <c r="I43" s="700" t="str">
        <f>TRIM(UPPER(tb_ingredientes[[#This Row],[ingrediente_ativo]]))</f>
        <v>CLORIDRATO DE AVIGLICINA</v>
      </c>
      <c r="J43" s="20" t="s">
        <v>3469</v>
      </c>
      <c r="K43" s="20" t="s">
        <v>3469</v>
      </c>
      <c r="L43" s="20" t="s">
        <v>3470</v>
      </c>
      <c r="S43" s="20" t="s">
        <v>5485</v>
      </c>
      <c r="AO43" s="20" t="s">
        <v>5722</v>
      </c>
    </row>
    <row r="44" spans="1:43" x14ac:dyDescent="0.25">
      <c r="A44" s="20" t="s">
        <v>460</v>
      </c>
      <c r="B44" s="472" t="s">
        <v>461</v>
      </c>
      <c r="C44" s="20" t="str">
        <f t="shared" si="0"/>
        <v>Outros pós para aplicação direta (AP)</v>
      </c>
      <c r="E44" s="957" t="s">
        <v>640</v>
      </c>
      <c r="F44" s="957" t="s">
        <v>2126</v>
      </c>
      <c r="G44" s="20" t="s">
        <v>990</v>
      </c>
      <c r="H44" s="472" t="s">
        <v>991</v>
      </c>
      <c r="I44" s="700" t="str">
        <f>TRIM(UPPER(tb_ingredientes[[#This Row],[ingrediente_ativo]]))</f>
        <v>D-ALETRINA</v>
      </c>
      <c r="J44" s="20" t="s">
        <v>2751</v>
      </c>
      <c r="K44" s="20" t="s">
        <v>2751</v>
      </c>
      <c r="L44" s="20" t="s">
        <v>2752</v>
      </c>
      <c r="S44" s="20" t="s">
        <v>5486</v>
      </c>
      <c r="AO44" s="20" t="s">
        <v>5723</v>
      </c>
    </row>
    <row r="45" spans="1:43" x14ac:dyDescent="0.25">
      <c r="A45" s="20" t="s">
        <v>462</v>
      </c>
      <c r="B45" s="472" t="s">
        <v>463</v>
      </c>
      <c r="C45" s="20" t="str">
        <f t="shared" si="0"/>
        <v>Pasta (PA)</v>
      </c>
      <c r="E45" s="957" t="s">
        <v>565</v>
      </c>
      <c r="F45" s="957" t="s">
        <v>2101</v>
      </c>
      <c r="G45" s="20" t="s">
        <v>563</v>
      </c>
      <c r="H45" s="472" t="s">
        <v>564</v>
      </c>
      <c r="I45" s="700" t="str">
        <f>TRIM(UPPER(tb_ingredientes[[#This Row],[ingrediente_ativo]]))</f>
        <v>ACETATO DE (E,Z,Z)-4,7,10-TRIDECATRIENILA</v>
      </c>
      <c r="J45" s="20" t="s">
        <v>2719</v>
      </c>
      <c r="K45" s="20" t="s">
        <v>2719</v>
      </c>
      <c r="L45" s="20" t="s">
        <v>2720</v>
      </c>
      <c r="S45" s="20" t="s">
        <v>5487</v>
      </c>
      <c r="AI45" s="20" t="s">
        <v>6541</v>
      </c>
    </row>
    <row r="46" spans="1:43" x14ac:dyDescent="0.25">
      <c r="A46" s="20" t="s">
        <v>464</v>
      </c>
      <c r="B46" s="472" t="s">
        <v>465</v>
      </c>
      <c r="C46" s="20" t="str">
        <f t="shared" si="0"/>
        <v>Pó dispersível em água para tratamento de sementes (WS)</v>
      </c>
      <c r="E46" s="958" t="s">
        <v>556</v>
      </c>
      <c r="F46" s="958" t="s">
        <v>2098</v>
      </c>
      <c r="G46" s="20" t="s">
        <v>554</v>
      </c>
      <c r="H46" s="472" t="s">
        <v>555</v>
      </c>
      <c r="I46" s="700" t="str">
        <f>TRIM(UPPER(tb_ingredientes[[#This Row],[ingrediente_ativo]]))</f>
        <v>ACETATO DE (E,Z)-4,7-TRIDECADIENILA</v>
      </c>
      <c r="J46" s="20" t="s">
        <v>2969</v>
      </c>
      <c r="K46" s="20" t="s">
        <v>2969</v>
      </c>
      <c r="L46" s="20" t="s">
        <v>2970</v>
      </c>
      <c r="S46" s="20" t="s">
        <v>5488</v>
      </c>
      <c r="AI46" s="20" t="s">
        <v>5821</v>
      </c>
      <c r="AO46" s="20" t="s">
        <v>5725</v>
      </c>
    </row>
    <row r="47" spans="1:43" x14ac:dyDescent="0.25">
      <c r="A47" s="20" t="s">
        <v>466</v>
      </c>
      <c r="B47" s="472" t="s">
        <v>467</v>
      </c>
      <c r="C47" s="20" t="str">
        <f t="shared" si="0"/>
        <v>Pó molhável (WP)</v>
      </c>
      <c r="E47" s="957" t="s">
        <v>631</v>
      </c>
      <c r="F47" s="957" t="s">
        <v>2123</v>
      </c>
      <c r="G47" s="20" t="s">
        <v>629</v>
      </c>
      <c r="H47" s="472" t="s">
        <v>630</v>
      </c>
      <c r="I47" s="700" t="str">
        <f>TRIM(UPPER(tb_ingredientes[[#This Row],[ingrediente_ativo]]))</f>
        <v>ÁLCOOL ISOESTEREARÍLICO ETOXILADO</v>
      </c>
      <c r="J47" s="20" t="s">
        <v>3140</v>
      </c>
      <c r="K47" s="20" t="s">
        <v>3140</v>
      </c>
      <c r="L47" s="20" t="s">
        <v>3141</v>
      </c>
      <c r="S47" s="20" t="s">
        <v>5489</v>
      </c>
      <c r="AI47" s="20" t="s">
        <v>5824</v>
      </c>
      <c r="AO47" s="20" t="s">
        <v>5726</v>
      </c>
    </row>
    <row r="48" spans="1:43" x14ac:dyDescent="0.25">
      <c r="A48" s="20" t="s">
        <v>468</v>
      </c>
      <c r="B48" s="472" t="s">
        <v>469</v>
      </c>
      <c r="C48" s="20" t="str">
        <f t="shared" si="0"/>
        <v>Pó para tratamento a seco de sementes (DS)</v>
      </c>
      <c r="E48" s="958" t="s">
        <v>652</v>
      </c>
      <c r="F48" s="958" t="s">
        <v>2130</v>
      </c>
      <c r="G48" s="20" t="s">
        <v>650</v>
      </c>
      <c r="H48" s="472" t="s">
        <v>651</v>
      </c>
      <c r="I48" s="700" t="str">
        <f>TRIM(UPPER(tb_ingredientes[[#This Row],[ingrediente_ativo]]))</f>
        <v>AMINOPIRALIDE</v>
      </c>
      <c r="J48" s="20" t="s">
        <v>3093</v>
      </c>
      <c r="K48" s="20" t="s">
        <v>3093</v>
      </c>
      <c r="L48" s="20" t="s">
        <v>5075</v>
      </c>
      <c r="S48" s="20" t="s">
        <v>5490</v>
      </c>
      <c r="AI48" s="20" t="s">
        <v>5835</v>
      </c>
      <c r="AO48" s="20" t="s">
        <v>5727</v>
      </c>
    </row>
    <row r="49" spans="1:41" x14ac:dyDescent="0.25">
      <c r="A49" s="20" t="s">
        <v>470</v>
      </c>
      <c r="B49" s="472" t="s">
        <v>471</v>
      </c>
      <c r="C49" s="20" t="str">
        <f t="shared" si="0"/>
        <v>Pó seco (DP)</v>
      </c>
      <c r="E49" s="957" t="s">
        <v>673</v>
      </c>
      <c r="F49" s="957" t="s">
        <v>2136</v>
      </c>
      <c r="G49" s="20" t="s">
        <v>671</v>
      </c>
      <c r="H49" s="472" t="s">
        <v>672</v>
      </c>
      <c r="I49" s="700" t="str">
        <f>TRIM(UPPER(tb_ingredientes[[#This Row],[ingrediente_ativo]]))</f>
        <v>AZADIRACTINA</v>
      </c>
      <c r="J49" s="20" t="s">
        <v>5163</v>
      </c>
      <c r="K49" s="20" t="s">
        <v>5163</v>
      </c>
      <c r="L49" s="20" t="s">
        <v>5164</v>
      </c>
      <c r="S49" s="20" t="s">
        <v>5491</v>
      </c>
      <c r="AI49" s="20" t="s">
        <v>6540</v>
      </c>
      <c r="AO49" s="20" t="s">
        <v>5728</v>
      </c>
    </row>
    <row r="50" spans="1:41" x14ac:dyDescent="0.25">
      <c r="A50" s="20" t="s">
        <v>472</v>
      </c>
      <c r="B50" s="472" t="s">
        <v>473</v>
      </c>
      <c r="C50" s="20" t="str">
        <f t="shared" si="0"/>
        <v>Pó solúvel em água (SP)</v>
      </c>
      <c r="E50" s="957" t="s">
        <v>571</v>
      </c>
      <c r="F50" s="957" t="s">
        <v>2103</v>
      </c>
      <c r="G50" s="20" t="s">
        <v>569</v>
      </c>
      <c r="H50" s="472" t="s">
        <v>570</v>
      </c>
      <c r="I50" s="700" t="str">
        <f>TRIM(UPPER(tb_ingredientes[[#This Row],[ingrediente_ativo]]))</f>
        <v>ACETATO DE (Z)-5-DODECENILA</v>
      </c>
      <c r="J50" s="20" t="s">
        <v>5016</v>
      </c>
      <c r="K50" s="20" t="s">
        <v>5016</v>
      </c>
      <c r="L50" s="20" t="s">
        <v>5017</v>
      </c>
      <c r="S50" s="20" t="s">
        <v>5492</v>
      </c>
    </row>
    <row r="51" spans="1:41" x14ac:dyDescent="0.25">
      <c r="A51" s="20" t="s">
        <v>474</v>
      </c>
      <c r="B51" s="472" t="s">
        <v>475</v>
      </c>
      <c r="C51" s="20" t="str">
        <f t="shared" si="0"/>
        <v>Produto técnico (TC)</v>
      </c>
      <c r="E51" s="957" t="s">
        <v>661</v>
      </c>
      <c r="F51" s="957" t="s">
        <v>661</v>
      </c>
      <c r="G51" s="20" t="s">
        <v>659</v>
      </c>
      <c r="H51" s="472" t="s">
        <v>660</v>
      </c>
      <c r="I51" s="700" t="str">
        <f>TRIM(UPPER(tb_ingredientes[[#This Row],[ingrediente_ativo]]))</f>
        <v>ASPERGILLUS FLAVUS</v>
      </c>
      <c r="J51" s="20" t="s">
        <v>3093</v>
      </c>
      <c r="K51" s="20" t="s">
        <v>3093</v>
      </c>
      <c r="L51" s="20" t="s">
        <v>5292</v>
      </c>
      <c r="S51" s="20" t="s">
        <v>5493</v>
      </c>
    </row>
    <row r="52" spans="1:41" x14ac:dyDescent="0.25">
      <c r="A52" s="20" t="s">
        <v>476</v>
      </c>
      <c r="B52" s="472" t="s">
        <v>477</v>
      </c>
      <c r="C52" s="20" t="str">
        <f t="shared" si="0"/>
        <v>Solução para tratamento de sementes (LS)</v>
      </c>
      <c r="E52" s="957" t="s">
        <v>559</v>
      </c>
      <c r="F52" s="957" t="s">
        <v>2099</v>
      </c>
      <c r="G52" s="20" t="s">
        <v>557</v>
      </c>
      <c r="H52" s="472" t="s">
        <v>558</v>
      </c>
      <c r="I52" s="700" t="str">
        <f>TRIM(UPPER(tb_ingredientes[[#This Row],[ingrediente_ativo]]))</f>
        <v>ACETATO DE (E,Z)-7,9-DODECADINILA</v>
      </c>
      <c r="J52" s="20" t="s">
        <v>2624</v>
      </c>
      <c r="K52" s="20" t="s">
        <v>2624</v>
      </c>
      <c r="L52" s="20" t="s">
        <v>2625</v>
      </c>
      <c r="S52" s="20" t="s">
        <v>5494</v>
      </c>
      <c r="AO52" s="20" t="s">
        <v>5998</v>
      </c>
    </row>
    <row r="53" spans="1:41" x14ac:dyDescent="0.25">
      <c r="A53" s="20" t="s">
        <v>478</v>
      </c>
      <c r="B53" s="472" t="s">
        <v>479</v>
      </c>
      <c r="C53" s="20" t="str">
        <f t="shared" si="0"/>
        <v>Suspensão concentrada (SC)</v>
      </c>
      <c r="E53" s="958" t="s">
        <v>604</v>
      </c>
      <c r="F53" s="958" t="s">
        <v>2114</v>
      </c>
      <c r="G53" s="20" t="s">
        <v>602</v>
      </c>
      <c r="H53" s="472" t="s">
        <v>603</v>
      </c>
      <c r="I53" s="700" t="str">
        <f>TRIM(UPPER(tb_ingredientes[[#This Row],[ingrediente_ativo]]))</f>
        <v>ÁCIDO ABSCÍSICO</v>
      </c>
      <c r="J53" s="20" t="s">
        <v>3419</v>
      </c>
      <c r="K53" s="20" t="s">
        <v>3419</v>
      </c>
      <c r="L53" s="20" t="s">
        <v>3420</v>
      </c>
      <c r="AO53" s="20" t="s">
        <v>5675</v>
      </c>
    </row>
    <row r="54" spans="1:41" x14ac:dyDescent="0.25">
      <c r="A54" s="20" t="s">
        <v>480</v>
      </c>
      <c r="B54" s="472" t="s">
        <v>481</v>
      </c>
      <c r="C54" s="20" t="str">
        <f t="shared" si="0"/>
        <v>Suspensão concentrada para tratamento de sementes (FS)</v>
      </c>
      <c r="E54" s="957" t="s">
        <v>661</v>
      </c>
      <c r="F54" s="957" t="s">
        <v>661</v>
      </c>
      <c r="G54" s="20" t="s">
        <v>701</v>
      </c>
      <c r="H54" s="472" t="s">
        <v>702</v>
      </c>
      <c r="I54" s="700" t="str">
        <f>TRIM(UPPER(tb_ingredientes[[#This Row],[ingrediente_ativo]]))</f>
        <v>BACILLUS THURINGIENSIS</v>
      </c>
      <c r="J54" s="20" t="s">
        <v>3184</v>
      </c>
      <c r="K54" s="20" t="s">
        <v>3184</v>
      </c>
      <c r="L54" s="20" t="s">
        <v>3185</v>
      </c>
      <c r="AO54" s="20" t="s">
        <v>5999</v>
      </c>
    </row>
    <row r="55" spans="1:41" x14ac:dyDescent="0.25">
      <c r="A55" s="20" t="s">
        <v>482</v>
      </c>
      <c r="B55" s="472" t="s">
        <v>483</v>
      </c>
      <c r="C55" s="20" t="str">
        <f t="shared" si="0"/>
        <v>Suspensão de cápsulas (CS)</v>
      </c>
      <c r="E55" s="957" t="s">
        <v>728</v>
      </c>
      <c r="F55" s="957" t="s">
        <v>2146</v>
      </c>
      <c r="G55" s="20" t="s">
        <v>726</v>
      </c>
      <c r="H55" s="472" t="s">
        <v>727</v>
      </c>
      <c r="I55" s="700" t="str">
        <f>TRIM(UPPER(tb_ingredientes[[#This Row],[ingrediente_ativo]]))</f>
        <v>BENTAZONA</v>
      </c>
      <c r="J55" s="20" t="s">
        <v>2897</v>
      </c>
      <c r="K55" s="20" t="s">
        <v>2897</v>
      </c>
      <c r="L55" s="20" t="s">
        <v>2898</v>
      </c>
    </row>
    <row r="56" spans="1:41" x14ac:dyDescent="0.25">
      <c r="A56" s="20" t="s">
        <v>484</v>
      </c>
      <c r="B56" s="472" t="s">
        <v>485</v>
      </c>
      <c r="C56" s="20" t="str">
        <f t="shared" si="0"/>
        <v>Suspoemulsão (SE)</v>
      </c>
      <c r="E56" s="958" t="s">
        <v>640</v>
      </c>
      <c r="F56" s="958" t="s">
        <v>2126</v>
      </c>
      <c r="G56" s="20" t="s">
        <v>753</v>
      </c>
      <c r="H56" s="472" t="s">
        <v>754</v>
      </c>
      <c r="I56" s="700" t="str">
        <f>TRIM(UPPER(tb_ingredientes[[#This Row],[ingrediente_ativo]]))</f>
        <v>BIOALETRINA</v>
      </c>
      <c r="J56" s="20" t="s">
        <v>2889</v>
      </c>
      <c r="K56" s="20" t="s">
        <v>2889</v>
      </c>
      <c r="L56" s="20" t="s">
        <v>2890</v>
      </c>
    </row>
    <row r="57" spans="1:41" x14ac:dyDescent="0.25">
      <c r="A57" s="20" t="s">
        <v>486</v>
      </c>
      <c r="B57" s="472" t="s">
        <v>487</v>
      </c>
      <c r="C57" s="20" t="str">
        <f t="shared" si="0"/>
        <v>Tela/saco formulado (LN)</v>
      </c>
      <c r="E57" s="957" t="s">
        <v>757</v>
      </c>
      <c r="F57" s="957" t="s">
        <v>2154</v>
      </c>
      <c r="G57" s="20" t="s">
        <v>755</v>
      </c>
      <c r="H57" s="472" t="s">
        <v>756</v>
      </c>
      <c r="I57" s="700" t="str">
        <f>TRIM(UPPER(tb_ingredientes[[#This Row],[ingrediente_ativo]]))</f>
        <v>BIORESMETRINA</v>
      </c>
      <c r="J57" s="20" t="s">
        <v>2124</v>
      </c>
      <c r="K57" s="20" t="s">
        <v>2124</v>
      </c>
      <c r="L57" s="20" t="s">
        <v>2903</v>
      </c>
      <c r="AO57" s="20" t="s">
        <v>6003</v>
      </c>
    </row>
    <row r="58" spans="1:41" x14ac:dyDescent="0.25">
      <c r="E58" s="958" t="s">
        <v>778</v>
      </c>
      <c r="F58" s="958" t="s">
        <v>2161</v>
      </c>
      <c r="G58" s="20" t="s">
        <v>776</v>
      </c>
      <c r="H58" s="472" t="s">
        <v>777</v>
      </c>
      <c r="I58" s="700" t="str">
        <f>TRIM(UPPER(tb_ingredientes[[#This Row],[ingrediente_ativo]]))</f>
        <v>BRODIFACUM</v>
      </c>
      <c r="J58" s="20" t="s">
        <v>3144</v>
      </c>
      <c r="K58" s="20" t="s">
        <v>3144</v>
      </c>
      <c r="L58" s="20" t="s">
        <v>3145</v>
      </c>
      <c r="AO58" s="20" t="s">
        <v>2043</v>
      </c>
    </row>
    <row r="59" spans="1:41" x14ac:dyDescent="0.25">
      <c r="E59" s="957" t="s">
        <v>781</v>
      </c>
      <c r="F59" s="957" t="s">
        <v>2162</v>
      </c>
      <c r="G59" s="20" t="s">
        <v>779</v>
      </c>
      <c r="H59" s="472" t="s">
        <v>780</v>
      </c>
      <c r="I59" s="700" t="str">
        <f>TRIM(UPPER(tb_ingredientes[[#This Row],[ingrediente_ativo]]))</f>
        <v>BROMACILA</v>
      </c>
      <c r="J59" s="20" t="s">
        <v>4375</v>
      </c>
      <c r="K59" s="20" t="s">
        <v>4375</v>
      </c>
      <c r="L59" s="20" t="s">
        <v>4376</v>
      </c>
      <c r="AO59" s="20" t="s">
        <v>2044</v>
      </c>
    </row>
    <row r="60" spans="1:41" x14ac:dyDescent="0.25">
      <c r="E60" s="958" t="s">
        <v>790</v>
      </c>
      <c r="F60" s="958" t="s">
        <v>2165</v>
      </c>
      <c r="G60" s="20" t="s">
        <v>788</v>
      </c>
      <c r="H60" s="472" t="s">
        <v>789</v>
      </c>
      <c r="I60" s="700" t="str">
        <f>TRIM(UPPER(tb_ingredientes[[#This Row],[ingrediente_ativo]]))</f>
        <v>BROMOFÓS</v>
      </c>
      <c r="J60" s="20" t="s">
        <v>4361</v>
      </c>
      <c r="K60" s="20" t="s">
        <v>4361</v>
      </c>
      <c r="L60" s="20" t="s">
        <v>4362</v>
      </c>
      <c r="AO60" s="20" t="s">
        <v>6004</v>
      </c>
    </row>
    <row r="61" spans="1:41" x14ac:dyDescent="0.25">
      <c r="E61" s="958" t="s">
        <v>796</v>
      </c>
      <c r="F61" s="958" t="s">
        <v>2167</v>
      </c>
      <c r="G61" s="20" t="s">
        <v>794</v>
      </c>
      <c r="H61" s="472" t="s">
        <v>795</v>
      </c>
      <c r="I61" s="700" t="str">
        <f>TRIM(UPPER(tb_ingredientes[[#This Row],[ingrediente_ativo]]))</f>
        <v>BROMOXINIL</v>
      </c>
      <c r="J61" s="20" t="s">
        <v>3093</v>
      </c>
      <c r="K61" s="20" t="s">
        <v>3093</v>
      </c>
      <c r="L61" s="20" t="s">
        <v>5058</v>
      </c>
    </row>
    <row r="62" spans="1:41" x14ac:dyDescent="0.25">
      <c r="E62" s="957" t="s">
        <v>722</v>
      </c>
      <c r="F62" s="957" t="s">
        <v>2144</v>
      </c>
      <c r="G62" s="20" t="s">
        <v>720</v>
      </c>
      <c r="H62" s="472" t="s">
        <v>721</v>
      </c>
      <c r="I62" s="700" t="str">
        <f>TRIM(UPPER(tb_ingredientes[[#This Row],[ingrediente_ativo]]))</f>
        <v>BENDIOCARBE</v>
      </c>
      <c r="J62" s="20" t="s">
        <v>3142</v>
      </c>
      <c r="K62" s="20" t="s">
        <v>3142</v>
      </c>
      <c r="L62" s="20" t="s">
        <v>3143</v>
      </c>
    </row>
    <row r="63" spans="1:41" x14ac:dyDescent="0.25">
      <c r="E63" s="957" t="s">
        <v>793</v>
      </c>
      <c r="F63" s="957" t="s">
        <v>2166</v>
      </c>
      <c r="G63" s="20" t="s">
        <v>791</v>
      </c>
      <c r="H63" s="472" t="s">
        <v>792</v>
      </c>
      <c r="I63" s="700" t="str">
        <f>TRIM(UPPER(tb_ingredientes[[#This Row],[ingrediente_ativo]]))</f>
        <v>BROMOPROPILATO</v>
      </c>
      <c r="J63" s="20" t="s">
        <v>2859</v>
      </c>
      <c r="K63" s="20" t="s">
        <v>2859</v>
      </c>
      <c r="L63" s="20" t="s">
        <v>2860</v>
      </c>
    </row>
    <row r="64" spans="1:41" x14ac:dyDescent="0.25">
      <c r="E64" s="957" t="s">
        <v>787</v>
      </c>
      <c r="F64" s="957" t="s">
        <v>2164</v>
      </c>
      <c r="G64" s="20" t="s">
        <v>785</v>
      </c>
      <c r="H64" s="472" t="s">
        <v>786</v>
      </c>
      <c r="I64" s="700" t="str">
        <f>TRIM(UPPER(tb_ingredientes[[#This Row],[ingrediente_ativo]]))</f>
        <v>BROMETO DE METILA</v>
      </c>
      <c r="J64" s="20" t="s">
        <v>4875</v>
      </c>
      <c r="K64" s="20" t="s">
        <v>4875</v>
      </c>
      <c r="L64" s="20" t="s">
        <v>4876</v>
      </c>
    </row>
    <row r="65" spans="5:12" x14ac:dyDescent="0.25">
      <c r="E65" s="958" t="s">
        <v>766</v>
      </c>
      <c r="F65" s="958" t="s">
        <v>2157</v>
      </c>
      <c r="G65" s="20" t="s">
        <v>764</v>
      </c>
      <c r="H65" s="472" t="s">
        <v>765</v>
      </c>
      <c r="I65" s="700" t="str">
        <f>TRIM(UPPER(tb_ingredientes[[#This Row],[ingrediente_ativo]]))</f>
        <v>BITERTANOL</v>
      </c>
      <c r="J65" s="20" t="s">
        <v>4478</v>
      </c>
      <c r="K65" s="20" t="s">
        <v>4478</v>
      </c>
      <c r="L65" s="20" t="s">
        <v>4479</v>
      </c>
    </row>
    <row r="66" spans="5:12" x14ac:dyDescent="0.25">
      <c r="E66" s="957" t="s">
        <v>805</v>
      </c>
      <c r="F66" s="957" t="s">
        <v>2170</v>
      </c>
      <c r="G66" s="20" t="s">
        <v>803</v>
      </c>
      <c r="H66" s="472" t="s">
        <v>804</v>
      </c>
      <c r="I66" s="700" t="str">
        <f>TRIM(UPPER(tb_ingredientes[[#This Row],[ingrediente_ativo]]))</f>
        <v>BUTRALINA</v>
      </c>
      <c r="J66" s="20" t="s">
        <v>4887</v>
      </c>
      <c r="K66" s="20" t="s">
        <v>4887</v>
      </c>
      <c r="L66" s="20" t="s">
        <v>4888</v>
      </c>
    </row>
    <row r="67" spans="5:12" x14ac:dyDescent="0.25">
      <c r="E67" s="957" t="s">
        <v>752</v>
      </c>
      <c r="F67" s="957" t="s">
        <v>2153</v>
      </c>
      <c r="G67" s="20" t="s">
        <v>750</v>
      </c>
      <c r="H67" s="472" t="s">
        <v>751</v>
      </c>
      <c r="I67" s="700" t="str">
        <f>TRIM(UPPER(tb_ingredientes[[#This Row],[ingrediente_ativo]]))</f>
        <v>BIFENTRINA</v>
      </c>
      <c r="J67" s="20" t="s">
        <v>3399</v>
      </c>
      <c r="K67" s="20" t="s">
        <v>3399</v>
      </c>
      <c r="L67" s="20" t="s">
        <v>3400</v>
      </c>
    </row>
    <row r="68" spans="5:12" x14ac:dyDescent="0.25">
      <c r="E68" s="958" t="s">
        <v>784</v>
      </c>
      <c r="F68" s="958" t="s">
        <v>2163</v>
      </c>
      <c r="G68" s="20" t="s">
        <v>782</v>
      </c>
      <c r="H68" s="472" t="s">
        <v>783</v>
      </c>
      <c r="I68" s="700" t="str">
        <f>TRIM(UPPER(tb_ingredientes[[#This Row],[ingrediente_ativo]]))</f>
        <v>BROMADIOLONA</v>
      </c>
      <c r="J68" s="20" t="s">
        <v>2932</v>
      </c>
      <c r="K68" s="20" t="s">
        <v>2932</v>
      </c>
      <c r="L68" s="20" t="s">
        <v>2933</v>
      </c>
    </row>
    <row r="69" spans="5:12" x14ac:dyDescent="0.25">
      <c r="E69" s="958" t="s">
        <v>802</v>
      </c>
      <c r="F69" s="958" t="s">
        <v>2169</v>
      </c>
      <c r="G69" s="20" t="s">
        <v>800</v>
      </c>
      <c r="H69" s="472" t="s">
        <v>801</v>
      </c>
      <c r="I69" s="700" t="str">
        <f>TRIM(UPPER(tb_ingredientes[[#This Row],[ingrediente_ativo]]))</f>
        <v>BUPROFENZINA</v>
      </c>
      <c r="J69" s="20" t="s">
        <v>3355</v>
      </c>
      <c r="K69" s="20" t="s">
        <v>3355</v>
      </c>
      <c r="L69" s="20" t="s">
        <v>3356</v>
      </c>
    </row>
    <row r="70" spans="5:12" x14ac:dyDescent="0.25">
      <c r="E70" s="958" t="s">
        <v>705</v>
      </c>
      <c r="F70" s="958" t="s">
        <v>705</v>
      </c>
      <c r="G70" s="20" t="s">
        <v>703</v>
      </c>
      <c r="H70" s="472" t="s">
        <v>704</v>
      </c>
      <c r="I70" s="700" t="str">
        <f>TRIM(UPPER(tb_ingredientes[[#This Row],[ingrediente_ativo]]))</f>
        <v>BACULOVIRUS ANTICARSIA</v>
      </c>
      <c r="J70" s="20" t="s">
        <v>2815</v>
      </c>
      <c r="K70" s="20" t="s">
        <v>2815</v>
      </c>
      <c r="L70" s="20" t="s">
        <v>2816</v>
      </c>
    </row>
    <row r="71" spans="5:12" x14ac:dyDescent="0.25">
      <c r="E71" s="957" t="s">
        <v>698</v>
      </c>
      <c r="F71" s="957" t="s">
        <v>2141</v>
      </c>
      <c r="G71" s="20" t="s">
        <v>696</v>
      </c>
      <c r="H71" s="472" t="s">
        <v>697</v>
      </c>
      <c r="I71" s="700" t="str">
        <f>TRIM(UPPER(tb_ingredientes[[#This Row],[ingrediente_ativo]]))</f>
        <v>BACILLUS SPHAERICUS</v>
      </c>
      <c r="J71" s="20" t="s">
        <v>3178</v>
      </c>
      <c r="K71" s="20" t="s">
        <v>3178</v>
      </c>
      <c r="L71" s="20" t="s">
        <v>3179</v>
      </c>
    </row>
    <row r="72" spans="5:12" x14ac:dyDescent="0.25">
      <c r="E72" s="957" t="s">
        <v>799</v>
      </c>
      <c r="F72" s="957" t="s">
        <v>2168</v>
      </c>
      <c r="G72" s="20" t="s">
        <v>797</v>
      </c>
      <c r="H72" s="472" t="s">
        <v>798</v>
      </c>
      <c r="I72" s="700" t="str">
        <f>TRIM(UPPER(tb_ingredientes[[#This Row],[ingrediente_ativo]]))</f>
        <v>BROMUCONAZOL</v>
      </c>
      <c r="J72" s="20" t="s">
        <v>2918</v>
      </c>
      <c r="K72" s="20" t="s">
        <v>2918</v>
      </c>
      <c r="L72" s="20" t="s">
        <v>2919</v>
      </c>
    </row>
    <row r="73" spans="5:12" x14ac:dyDescent="0.25">
      <c r="E73" s="958" t="s">
        <v>760</v>
      </c>
      <c r="F73" s="958" t="s">
        <v>2155</v>
      </c>
      <c r="G73" s="20" t="s">
        <v>758</v>
      </c>
      <c r="H73" s="472" t="s">
        <v>759</v>
      </c>
      <c r="I73" s="700" t="str">
        <f>TRIM(UPPER(tb_ingredientes[[#This Row],[ingrediente_ativo]]))</f>
        <v>BISPIRIBAQUE</v>
      </c>
      <c r="J73" s="20" t="s">
        <v>3492</v>
      </c>
      <c r="K73" s="20" t="s">
        <v>3492</v>
      </c>
      <c r="L73" s="20" t="s">
        <v>3493</v>
      </c>
    </row>
    <row r="74" spans="5:12" x14ac:dyDescent="0.25">
      <c r="E74" s="957" t="s">
        <v>763</v>
      </c>
      <c r="F74" s="957" t="s">
        <v>2156</v>
      </c>
      <c r="G74" s="20" t="s">
        <v>761</v>
      </c>
      <c r="H74" s="472" t="s">
        <v>762</v>
      </c>
      <c r="I74" s="700" t="str">
        <f>TRIM(UPPER(tb_ingredientes[[#This Row],[ingrediente_ativo]]))</f>
        <v>BISPIRIBAQUE-SÓDICO</v>
      </c>
      <c r="J74" s="20" t="s">
        <v>2879</v>
      </c>
      <c r="K74" s="20" t="s">
        <v>2879</v>
      </c>
      <c r="L74" s="20" t="s">
        <v>2880</v>
      </c>
    </row>
    <row r="75" spans="5:12" x14ac:dyDescent="0.25">
      <c r="E75" s="958" t="s">
        <v>808</v>
      </c>
      <c r="F75" s="958" t="s">
        <v>2171</v>
      </c>
      <c r="G75" s="20" t="s">
        <v>806</v>
      </c>
      <c r="H75" s="472" t="s">
        <v>807</v>
      </c>
      <c r="I75" s="700" t="str">
        <f>TRIM(UPPER(tb_ingredientes[[#This Row],[ingrediente_ativo]]))</f>
        <v>BUTROXIDIM</v>
      </c>
      <c r="J75" s="20" t="s">
        <v>4174</v>
      </c>
      <c r="K75" s="20" t="s">
        <v>4174</v>
      </c>
      <c r="L75" s="20" t="s">
        <v>4175</v>
      </c>
    </row>
    <row r="76" spans="5:12" x14ac:dyDescent="0.25">
      <c r="E76" s="958" t="s">
        <v>725</v>
      </c>
      <c r="F76" s="958" t="s">
        <v>2145</v>
      </c>
      <c r="G76" s="20" t="s">
        <v>723</v>
      </c>
      <c r="H76" s="472" t="s">
        <v>724</v>
      </c>
      <c r="I76" s="700" t="str">
        <f>TRIM(UPPER(tb_ingredientes[[#This Row],[ingrediente_ativo]]))</f>
        <v>BENFURACARBE</v>
      </c>
      <c r="J76" s="20" t="s">
        <v>2945</v>
      </c>
      <c r="K76" s="20" t="s">
        <v>2945</v>
      </c>
      <c r="L76" s="20" t="s">
        <v>2946</v>
      </c>
    </row>
    <row r="77" spans="5:12" x14ac:dyDescent="0.25">
      <c r="E77" s="958" t="s">
        <v>749</v>
      </c>
      <c r="F77" s="958" t="s">
        <v>2152</v>
      </c>
      <c r="G77" s="20" t="s">
        <v>747</v>
      </c>
      <c r="H77" s="472" t="s">
        <v>748</v>
      </c>
      <c r="I77" s="700" t="str">
        <f>TRIM(UPPER(tb_ingredientes[[#This Row],[ingrediente_ativo]]))</f>
        <v>BICARBONATO DE POTÁSSIO</v>
      </c>
      <c r="J77" s="20" t="s">
        <v>5089</v>
      </c>
      <c r="K77" s="20" t="s">
        <v>5089</v>
      </c>
      <c r="L77" s="20" t="s">
        <v>5090</v>
      </c>
    </row>
    <row r="78" spans="5:12" x14ac:dyDescent="0.25">
      <c r="E78" s="958" t="s">
        <v>719</v>
      </c>
      <c r="F78" s="958" t="s">
        <v>2143</v>
      </c>
      <c r="G78" s="20" t="s">
        <v>717</v>
      </c>
      <c r="H78" s="472" t="s">
        <v>718</v>
      </c>
      <c r="I78" s="700" t="str">
        <f>TRIM(UPPER(tb_ingredientes[[#This Row],[ingrediente_ativo]]))</f>
        <v>BENALAXIL</v>
      </c>
      <c r="J78" s="20" t="s">
        <v>2622</v>
      </c>
      <c r="K78" s="20" t="s">
        <v>2622</v>
      </c>
      <c r="L78" s="20" t="s">
        <v>2623</v>
      </c>
    </row>
    <row r="79" spans="5:12" x14ac:dyDescent="0.25">
      <c r="E79" s="957" t="s">
        <v>734</v>
      </c>
      <c r="F79" s="957" t="s">
        <v>2148</v>
      </c>
      <c r="G79" s="20" t="s">
        <v>732</v>
      </c>
      <c r="H79" s="472" t="s">
        <v>733</v>
      </c>
      <c r="I79" s="700" t="str">
        <f>TRIM(UPPER(tb_ingredientes[[#This Row],[ingrediente_ativo]]))</f>
        <v>BENZILADENINA</v>
      </c>
      <c r="J79" s="20" t="s">
        <v>2665</v>
      </c>
      <c r="K79" s="20" t="s">
        <v>2665</v>
      </c>
      <c r="L79" s="20" t="s">
        <v>2666</v>
      </c>
    </row>
    <row r="80" spans="5:12" x14ac:dyDescent="0.25">
      <c r="E80" s="957" t="s">
        <v>716</v>
      </c>
      <c r="F80" s="957" t="s">
        <v>2142</v>
      </c>
      <c r="G80" s="20" t="s">
        <v>714</v>
      </c>
      <c r="H80" s="472" t="s">
        <v>715</v>
      </c>
      <c r="I80" s="700" t="str">
        <f>TRIM(UPPER(tb_ingredientes[[#This Row],[ingrediente_ativo]]))</f>
        <v>BEAUVERIA BASSIANA</v>
      </c>
      <c r="J80" s="20" t="s">
        <v>3168</v>
      </c>
      <c r="K80" s="20" t="s">
        <v>3168</v>
      </c>
      <c r="L80" s="20" t="s">
        <v>3169</v>
      </c>
    </row>
    <row r="81" spans="5:12" x14ac:dyDescent="0.25">
      <c r="E81" s="957" t="s">
        <v>775</v>
      </c>
      <c r="F81" s="957" t="s">
        <v>2160</v>
      </c>
      <c r="G81" s="20" t="s">
        <v>773</v>
      </c>
      <c r="H81" s="472" t="s">
        <v>774</v>
      </c>
      <c r="I81" s="700" t="str">
        <f>TRIM(UPPER(tb_ingredientes[[#This Row],[ingrediente_ativo]]))</f>
        <v>BOSCALIDA</v>
      </c>
      <c r="J81" s="20" t="s">
        <v>3370</v>
      </c>
      <c r="K81" s="20" t="s">
        <v>3370</v>
      </c>
      <c r="L81" s="20" t="s">
        <v>3371</v>
      </c>
    </row>
    <row r="82" spans="5:12" x14ac:dyDescent="0.25">
      <c r="E82" s="958" t="s">
        <v>731</v>
      </c>
      <c r="F82" s="958" t="s">
        <v>2147</v>
      </c>
      <c r="G82" s="20" t="s">
        <v>729</v>
      </c>
      <c r="H82" s="472" t="s">
        <v>730</v>
      </c>
      <c r="I82" s="700" t="str">
        <f>TRIM(UPPER(tb_ingredientes[[#This Row],[ingrediente_ativo]]))</f>
        <v>BENTIAVALICARBE ISOPROPÍLICO</v>
      </c>
      <c r="J82" s="20" t="s">
        <v>3335</v>
      </c>
      <c r="K82" s="20" t="s">
        <v>3335</v>
      </c>
      <c r="L82" s="20" t="s">
        <v>3336</v>
      </c>
    </row>
    <row r="83" spans="5:12" x14ac:dyDescent="0.25">
      <c r="E83" s="958" t="s">
        <v>661</v>
      </c>
      <c r="F83" s="958" t="s">
        <v>661</v>
      </c>
      <c r="G83" s="20" t="s">
        <v>694</v>
      </c>
      <c r="H83" s="472" t="s">
        <v>695</v>
      </c>
      <c r="I83" s="700" t="str">
        <f>TRIM(UPPER(tb_ingredientes[[#This Row],[ingrediente_ativo]]))</f>
        <v>BACILLUS PUMILUS</v>
      </c>
      <c r="J83" s="20" t="s">
        <v>3396</v>
      </c>
      <c r="K83" s="20" t="s">
        <v>3396</v>
      </c>
      <c r="L83" s="20" t="s">
        <v>3397</v>
      </c>
    </row>
    <row r="84" spans="5:12" x14ac:dyDescent="0.25">
      <c r="E84" s="958" t="s">
        <v>661</v>
      </c>
      <c r="F84" s="958" t="s">
        <v>661</v>
      </c>
      <c r="G84" s="20" t="s">
        <v>699</v>
      </c>
      <c r="H84" s="472" t="s">
        <v>700</v>
      </c>
      <c r="I84" s="700" t="str">
        <f>TRIM(UPPER(tb_ingredientes[[#This Row],[ingrediente_ativo]]))</f>
        <v>BACILLUS SUBTILIS</v>
      </c>
      <c r="J84" s="20" t="s">
        <v>3372</v>
      </c>
      <c r="K84" s="20" t="s">
        <v>3372</v>
      </c>
      <c r="L84" s="20" t="s">
        <v>3373</v>
      </c>
    </row>
    <row r="85" spans="5:12" x14ac:dyDescent="0.25">
      <c r="E85" s="957" t="s">
        <v>661</v>
      </c>
      <c r="F85" s="957" t="s">
        <v>661</v>
      </c>
      <c r="G85" s="20" t="s">
        <v>706</v>
      </c>
      <c r="H85" s="472" t="s">
        <v>707</v>
      </c>
      <c r="I85" s="700" t="str">
        <f>TRIM(UPPER(tb_ingredientes[[#This Row],[ingrediente_ativo]]))</f>
        <v>BACULOVIRUS CONDYLORRHIZA VESTIGIALIS</v>
      </c>
      <c r="J85" s="20" t="s">
        <v>4298</v>
      </c>
      <c r="K85" s="20" t="s">
        <v>4298</v>
      </c>
      <c r="L85" s="20" t="s">
        <v>4299</v>
      </c>
    </row>
    <row r="86" spans="5:12" x14ac:dyDescent="0.25">
      <c r="E86" s="957" t="s">
        <v>740</v>
      </c>
      <c r="F86" s="957" t="s">
        <v>740</v>
      </c>
      <c r="G86" s="20" t="s">
        <v>738</v>
      </c>
      <c r="H86" s="472" t="s">
        <v>739</v>
      </c>
      <c r="I86" s="700" t="str">
        <f>TRIM(UPPER(tb_ingredientes[[#This Row],[ingrediente_ativo]]))</f>
        <v>BENZOVINDIFLUPIR</v>
      </c>
      <c r="J86" s="20" t="s">
        <v>4083</v>
      </c>
      <c r="K86" s="20" t="s">
        <v>4083</v>
      </c>
      <c r="L86" s="20" t="s">
        <v>4084</v>
      </c>
    </row>
    <row r="87" spans="5:12" x14ac:dyDescent="0.25">
      <c r="E87" s="957" t="s">
        <v>661</v>
      </c>
      <c r="F87" s="957" t="s">
        <v>661</v>
      </c>
      <c r="G87" s="20" t="s">
        <v>710</v>
      </c>
      <c r="H87" s="472" t="s">
        <v>711</v>
      </c>
      <c r="I87" s="700" t="str">
        <f>TRIM(UPPER(tb_ingredientes[[#This Row],[ingrediente_ativo]]))</f>
        <v>BACULOVIRUS HELICOVERPA ZEA</v>
      </c>
      <c r="J87" s="20" t="s">
        <v>3093</v>
      </c>
      <c r="K87" s="20" t="s">
        <v>3093</v>
      </c>
      <c r="L87" s="20" t="s">
        <v>4314</v>
      </c>
    </row>
    <row r="88" spans="5:12" x14ac:dyDescent="0.25">
      <c r="E88" s="958" t="s">
        <v>661</v>
      </c>
      <c r="F88" s="958" t="s">
        <v>661</v>
      </c>
      <c r="G88" s="20" t="s">
        <v>708</v>
      </c>
      <c r="H88" s="472" t="s">
        <v>709</v>
      </c>
      <c r="I88" s="700" t="str">
        <f>TRIM(UPPER(tb_ingredientes[[#This Row],[ingrediente_ativo]]))</f>
        <v>BACULOVIRUS HELICOVERPA ARMIGERA</v>
      </c>
      <c r="J88" s="20" t="s">
        <v>2791</v>
      </c>
      <c r="K88" s="20" t="s">
        <v>2791</v>
      </c>
      <c r="L88" s="20" t="s">
        <v>2792</v>
      </c>
    </row>
    <row r="89" spans="5:12" x14ac:dyDescent="0.25">
      <c r="E89" s="958" t="s">
        <v>661</v>
      </c>
      <c r="F89" s="958" t="s">
        <v>661</v>
      </c>
      <c r="G89" s="20" t="s">
        <v>686</v>
      </c>
      <c r="H89" s="472" t="s">
        <v>687</v>
      </c>
      <c r="I89" s="700" t="str">
        <f>TRIM(UPPER(tb_ingredientes[[#This Row],[ingrediente_ativo]]))</f>
        <v>BACILLUS AMYLOLIQUEFACIENS</v>
      </c>
      <c r="J89" s="20" t="s">
        <v>4122</v>
      </c>
      <c r="K89" s="20" t="s">
        <v>4122</v>
      </c>
      <c r="L89" s="20" t="s">
        <v>4123</v>
      </c>
    </row>
    <row r="90" spans="5:12" x14ac:dyDescent="0.25">
      <c r="E90" s="957" t="s">
        <v>661</v>
      </c>
      <c r="F90" s="957" t="s">
        <v>661</v>
      </c>
      <c r="G90" s="20" t="s">
        <v>692</v>
      </c>
      <c r="H90" s="472" t="s">
        <v>693</v>
      </c>
      <c r="I90" s="700" t="str">
        <f>TRIM(UPPER(tb_ingredientes[[#This Row],[ingrediente_ativo]]))</f>
        <v>BACILLUS METHYLOTROPHICUS</v>
      </c>
      <c r="J90" s="20" t="s">
        <v>4364</v>
      </c>
      <c r="K90" s="20" t="s">
        <v>4364</v>
      </c>
      <c r="L90" s="20" t="s">
        <v>4365</v>
      </c>
    </row>
    <row r="91" spans="5:12" x14ac:dyDescent="0.25">
      <c r="E91" s="958" t="s">
        <v>661</v>
      </c>
      <c r="F91" s="958" t="s">
        <v>661</v>
      </c>
      <c r="G91" s="20" t="s">
        <v>712</v>
      </c>
      <c r="H91" s="472" t="s">
        <v>713</v>
      </c>
      <c r="I91" s="700" t="str">
        <f>TRIM(UPPER(tb_ingredientes[[#This Row],[ingrediente_ativo]]))</f>
        <v>BACULOVIRUS SPODOPTERA FRUGIPERDA</v>
      </c>
      <c r="J91" s="20" t="s">
        <v>3075</v>
      </c>
      <c r="K91" s="20" t="s">
        <v>3075</v>
      </c>
      <c r="L91" s="20" t="s">
        <v>3076</v>
      </c>
    </row>
    <row r="92" spans="5:12" x14ac:dyDescent="0.25">
      <c r="E92" s="957" t="s">
        <v>661</v>
      </c>
      <c r="F92" s="957" t="s">
        <v>661</v>
      </c>
      <c r="G92" s="20" t="s">
        <v>688</v>
      </c>
      <c r="H92" s="472" t="s">
        <v>689</v>
      </c>
      <c r="I92" s="700" t="str">
        <f>TRIM(UPPER(tb_ingredientes[[#This Row],[ingrediente_ativo]]))</f>
        <v>BACILLUS FIRMU</v>
      </c>
      <c r="J92" s="20" t="s">
        <v>2695</v>
      </c>
      <c r="K92" s="20" t="s">
        <v>2695</v>
      </c>
      <c r="L92" s="20" t="s">
        <v>2696</v>
      </c>
    </row>
    <row r="93" spans="5:12" x14ac:dyDescent="0.25">
      <c r="E93" s="958" t="s">
        <v>661</v>
      </c>
      <c r="F93" s="958" t="s">
        <v>661</v>
      </c>
      <c r="G93" s="20" t="s">
        <v>690</v>
      </c>
      <c r="H93" s="472" t="s">
        <v>691</v>
      </c>
      <c r="I93" s="700" t="str">
        <f>TRIM(UPPER(tb_ingredientes[[#This Row],[ingrediente_ativo]]))</f>
        <v>BACILLUS LICHENIFORMIS</v>
      </c>
      <c r="J93" s="20" t="s">
        <v>3077</v>
      </c>
      <c r="K93" s="20" t="s">
        <v>3077</v>
      </c>
      <c r="L93" s="20" t="s">
        <v>3078</v>
      </c>
    </row>
    <row r="94" spans="5:12" x14ac:dyDescent="0.25">
      <c r="E94" s="957" t="s">
        <v>769</v>
      </c>
      <c r="F94" s="957" t="s">
        <v>2158</v>
      </c>
      <c r="G94" s="20" t="s">
        <v>767</v>
      </c>
      <c r="H94" s="472" t="s">
        <v>768</v>
      </c>
      <c r="I94" s="700" t="str">
        <f>TRIM(UPPER(tb_ingredientes[[#This Row],[ingrediente_ativo]]))</f>
        <v>BIXAFEM</v>
      </c>
      <c r="J94" s="20" t="s">
        <v>2789</v>
      </c>
      <c r="K94" s="20" t="s">
        <v>2789</v>
      </c>
      <c r="L94" s="20" t="s">
        <v>2790</v>
      </c>
    </row>
    <row r="95" spans="5:12" x14ac:dyDescent="0.25">
      <c r="E95" s="958" t="s">
        <v>737</v>
      </c>
      <c r="F95" s="958" t="s">
        <v>2149</v>
      </c>
      <c r="G95" s="20" t="s">
        <v>735</v>
      </c>
      <c r="H95" s="472" t="s">
        <v>736</v>
      </c>
      <c r="I95" s="700" t="str">
        <f>TRIM(UPPER(tb_ingredientes[[#This Row],[ingrediente_ativo]]))</f>
        <v>BENZOATO DE EMAMECTINA</v>
      </c>
      <c r="J95" s="20" t="s">
        <v>5056</v>
      </c>
      <c r="K95" s="20" t="s">
        <v>5056</v>
      </c>
      <c r="L95" s="20" t="s">
        <v>5057</v>
      </c>
    </row>
    <row r="96" spans="5:12" x14ac:dyDescent="0.25">
      <c r="E96" s="958" t="s">
        <v>814</v>
      </c>
      <c r="F96" s="958" t="s">
        <v>2173</v>
      </c>
      <c r="G96" s="20" t="s">
        <v>812</v>
      </c>
      <c r="H96" s="472" t="s">
        <v>813</v>
      </c>
      <c r="I96" s="700" t="str">
        <f>TRIM(UPPER(tb_ingredientes[[#This Row],[ingrediente_ativo]]))</f>
        <v>CAPTANA</v>
      </c>
      <c r="J96" s="20" t="s">
        <v>3429</v>
      </c>
      <c r="K96" s="20" t="s">
        <v>3429</v>
      </c>
      <c r="L96" s="20" t="s">
        <v>3430</v>
      </c>
    </row>
    <row r="97" spans="5:12" x14ac:dyDescent="0.25">
      <c r="E97" s="957" t="s">
        <v>817</v>
      </c>
      <c r="F97" s="957" t="s">
        <v>2174</v>
      </c>
      <c r="G97" s="20" t="s">
        <v>815</v>
      </c>
      <c r="H97" s="472" t="s">
        <v>816</v>
      </c>
      <c r="I97" s="700" t="str">
        <f>TRIM(UPPER(tb_ingredientes[[#This Row],[ingrediente_ativo]]))</f>
        <v>CARBARIL</v>
      </c>
      <c r="J97" s="20" t="s">
        <v>2985</v>
      </c>
      <c r="K97" s="20" t="s">
        <v>2985</v>
      </c>
      <c r="L97" s="20" t="s">
        <v>2986</v>
      </c>
    </row>
    <row r="98" spans="5:12" x14ac:dyDescent="0.25">
      <c r="E98" s="957" t="s">
        <v>828</v>
      </c>
      <c r="F98" s="957" t="s">
        <v>2178</v>
      </c>
      <c r="G98" s="20" t="s">
        <v>826</v>
      </c>
      <c r="H98" s="472" t="s">
        <v>827</v>
      </c>
      <c r="I98" s="700" t="str">
        <f>TRIM(UPPER(tb_ingredientes[[#This Row],[ingrediente_ativo]]))</f>
        <v>CARBOXINA</v>
      </c>
      <c r="J98" s="20" t="s">
        <v>3427</v>
      </c>
      <c r="K98" s="20" t="s">
        <v>3427</v>
      </c>
      <c r="L98" s="20" t="s">
        <v>3428</v>
      </c>
    </row>
    <row r="99" spans="5:12" x14ac:dyDescent="0.25">
      <c r="E99" s="957" t="s">
        <v>840</v>
      </c>
      <c r="F99" s="957" t="s">
        <v>2182</v>
      </c>
      <c r="G99" s="20" t="s">
        <v>838</v>
      </c>
      <c r="H99" s="472" t="s">
        <v>839</v>
      </c>
      <c r="I99" s="700" t="str">
        <f>TRIM(UPPER(tb_ingredientes[[#This Row],[ingrediente_ativo]]))</f>
        <v>CASUGAMICINA</v>
      </c>
      <c r="J99" s="20" t="s">
        <v>4060</v>
      </c>
      <c r="K99" s="20" t="s">
        <v>4060</v>
      </c>
      <c r="L99" s="20" t="s">
        <v>4061</v>
      </c>
    </row>
    <row r="100" spans="5:12" x14ac:dyDescent="0.25">
      <c r="E100" s="958" t="s">
        <v>853</v>
      </c>
      <c r="F100" s="958" t="s">
        <v>2185</v>
      </c>
      <c r="G100" s="20" t="s">
        <v>851</v>
      </c>
      <c r="H100" s="472" t="s">
        <v>852</v>
      </c>
      <c r="I100" s="700" t="str">
        <f>TRIM(UPPER(tb_ingredientes[[#This Row],[ingrediente_ativo]]))</f>
        <v>CIANAZINA</v>
      </c>
      <c r="J100" s="20" t="s">
        <v>2863</v>
      </c>
      <c r="K100" s="20" t="s">
        <v>2863</v>
      </c>
      <c r="L100" s="20" t="s">
        <v>2864</v>
      </c>
    </row>
    <row r="101" spans="5:12" x14ac:dyDescent="0.25">
      <c r="E101" s="958" t="s">
        <v>876</v>
      </c>
      <c r="F101" s="958" t="s">
        <v>2192</v>
      </c>
      <c r="G101" s="20" t="s">
        <v>874</v>
      </c>
      <c r="H101" s="472" t="s">
        <v>875</v>
      </c>
      <c r="I101" s="700" t="str">
        <f>TRIM(UPPER(tb_ingredientes[[#This Row],[ingrediente_ativo]]))</f>
        <v>CIMOXANIL</v>
      </c>
      <c r="J101" s="20" t="s">
        <v>2979</v>
      </c>
      <c r="K101" s="20" t="s">
        <v>2979</v>
      </c>
      <c r="L101" s="20" t="s">
        <v>2980</v>
      </c>
    </row>
    <row r="102" spans="5:12" x14ac:dyDescent="0.25">
      <c r="E102" s="958" t="s">
        <v>882</v>
      </c>
      <c r="F102" s="958" t="s">
        <v>2194</v>
      </c>
      <c r="G102" s="20" t="s">
        <v>880</v>
      </c>
      <c r="H102" s="472" t="s">
        <v>881</v>
      </c>
      <c r="I102" s="700" t="str">
        <f>TRIM(UPPER(tb_ingredientes[[#This Row],[ingrediente_ativo]]))</f>
        <v>CIPERMETRINA</v>
      </c>
      <c r="J102" s="20" t="s">
        <v>4236</v>
      </c>
      <c r="K102" s="20" t="s">
        <v>4236</v>
      </c>
      <c r="L102" s="20" t="s">
        <v>4237</v>
      </c>
    </row>
    <row r="103" spans="5:12" x14ac:dyDescent="0.25">
      <c r="E103" s="957" t="s">
        <v>951</v>
      </c>
      <c r="F103" s="957" t="s">
        <v>2217</v>
      </c>
      <c r="G103" s="20" t="s">
        <v>949</v>
      </c>
      <c r="H103" s="472" t="s">
        <v>950</v>
      </c>
      <c r="I103" s="700" t="str">
        <f>TRIM(UPPER(tb_ingredientes[[#This Row],[ingrediente_ativo]]))</f>
        <v>CLORMEQUATE</v>
      </c>
      <c r="J103" s="20" t="s">
        <v>3443</v>
      </c>
      <c r="K103" s="20" t="s">
        <v>3443</v>
      </c>
      <c r="L103" s="20" t="s">
        <v>3444</v>
      </c>
    </row>
    <row r="104" spans="5:12" x14ac:dyDescent="0.25">
      <c r="E104" s="958" t="s">
        <v>918</v>
      </c>
      <c r="F104" s="958" t="s">
        <v>2206</v>
      </c>
      <c r="G104" s="20" t="s">
        <v>916</v>
      </c>
      <c r="H104" s="472" t="s">
        <v>917</v>
      </c>
      <c r="I104" s="700" t="str">
        <f>TRIM(UPPER(tb_ingredientes[[#This Row],[ingrediente_ativo]]))</f>
        <v>CLORETO DE CLORMEQUATE</v>
      </c>
      <c r="J104" s="20" t="s">
        <v>2667</v>
      </c>
      <c r="K104" s="20" t="s">
        <v>2667</v>
      </c>
      <c r="L104" s="20" t="s">
        <v>2668</v>
      </c>
    </row>
    <row r="105" spans="5:12" x14ac:dyDescent="0.25">
      <c r="E105" s="958" t="s">
        <v>954</v>
      </c>
      <c r="F105" s="958" t="s">
        <v>2218</v>
      </c>
      <c r="G105" s="20" t="s">
        <v>952</v>
      </c>
      <c r="H105" s="472" t="s">
        <v>953</v>
      </c>
      <c r="I105" s="700" t="str">
        <f>TRIM(UPPER(tb_ingredientes[[#This Row],[ingrediente_ativo]]))</f>
        <v>CLOROTALONIL</v>
      </c>
      <c r="J105" s="20" t="s">
        <v>2769</v>
      </c>
      <c r="K105" s="20" t="s">
        <v>2769</v>
      </c>
      <c r="L105" s="20" t="s">
        <v>2770</v>
      </c>
    </row>
    <row r="106" spans="5:12" x14ac:dyDescent="0.25">
      <c r="E106" s="957" t="s">
        <v>957</v>
      </c>
      <c r="F106" s="957" t="s">
        <v>2219</v>
      </c>
      <c r="G106" s="20" t="s">
        <v>955</v>
      </c>
      <c r="H106" s="472" t="s">
        <v>956</v>
      </c>
      <c r="I106" s="700" t="str">
        <f>TRIM(UPPER(tb_ingredientes[[#This Row],[ingrediente_ativo]]))</f>
        <v>CLORPIRIFÓS</v>
      </c>
      <c r="J106" s="20" t="s">
        <v>3059</v>
      </c>
      <c r="K106" s="20" t="s">
        <v>3059</v>
      </c>
      <c r="L106" s="20" t="s">
        <v>3060</v>
      </c>
    </row>
    <row r="107" spans="5:12" x14ac:dyDescent="0.25">
      <c r="E107" s="958" t="s">
        <v>960</v>
      </c>
      <c r="F107" s="958" t="s">
        <v>2220</v>
      </c>
      <c r="G107" s="20" t="s">
        <v>958</v>
      </c>
      <c r="H107" s="472" t="s">
        <v>959</v>
      </c>
      <c r="I107" s="700" t="str">
        <f>TRIM(UPPER(tb_ingredientes[[#This Row],[ingrediente_ativo]]))</f>
        <v>CLORTAL-DIMETÍLICO</v>
      </c>
      <c r="J107" s="20" t="s">
        <v>2999</v>
      </c>
      <c r="K107" s="20" t="s">
        <v>2999</v>
      </c>
      <c r="L107" s="20" t="s">
        <v>3000</v>
      </c>
    </row>
    <row r="108" spans="5:12" x14ac:dyDescent="0.25">
      <c r="E108" s="958" t="s">
        <v>983</v>
      </c>
      <c r="F108" s="958" t="s">
        <v>2227</v>
      </c>
      <c r="G108" s="20" t="s">
        <v>981</v>
      </c>
      <c r="H108" s="472" t="s">
        <v>982</v>
      </c>
      <c r="I108" s="700" t="str">
        <f>TRIM(UPPER(tb_ingredientes[[#This Row],[ingrediente_ativo]]))</f>
        <v>CUMACLORO</v>
      </c>
      <c r="J108" s="20" t="s">
        <v>3093</v>
      </c>
      <c r="K108" s="20" t="s">
        <v>3093</v>
      </c>
      <c r="L108" s="20" t="s">
        <v>4209</v>
      </c>
    </row>
    <row r="109" spans="5:12" x14ac:dyDescent="0.25">
      <c r="E109" s="958" t="s">
        <v>820</v>
      </c>
      <c r="F109" s="958" t="s">
        <v>2175</v>
      </c>
      <c r="G109" s="20" t="s">
        <v>818</v>
      </c>
      <c r="H109" s="472" t="s">
        <v>819</v>
      </c>
      <c r="I109" s="700" t="str">
        <f>TRIM(UPPER(tb_ingredientes[[#This Row],[ingrediente_ativo]]))</f>
        <v>CARBENDAZIM</v>
      </c>
      <c r="J109" s="20" t="s">
        <v>5173</v>
      </c>
      <c r="K109" s="20" t="s">
        <v>5173</v>
      </c>
      <c r="L109" s="20" t="s">
        <v>5174</v>
      </c>
    </row>
    <row r="110" spans="5:12" x14ac:dyDescent="0.25">
      <c r="E110" s="958" t="s">
        <v>837</v>
      </c>
      <c r="F110" s="958" t="s">
        <v>2181</v>
      </c>
      <c r="G110" s="20" t="s">
        <v>835</v>
      </c>
      <c r="H110" s="472" t="s">
        <v>836</v>
      </c>
      <c r="I110" s="700" t="str">
        <f>TRIM(UPPER(tb_ingredientes[[#This Row],[ingrediente_ativo]]))</f>
        <v>CARTAPE</v>
      </c>
      <c r="J110" s="20" t="s">
        <v>3937</v>
      </c>
      <c r="K110" s="20" t="s">
        <v>3937</v>
      </c>
      <c r="L110" s="20" t="s">
        <v>3938</v>
      </c>
    </row>
    <row r="111" spans="5:12" x14ac:dyDescent="0.25">
      <c r="E111" s="958" t="s">
        <v>936</v>
      </c>
      <c r="F111" s="958" t="s">
        <v>2212</v>
      </c>
      <c r="G111" s="20" t="s">
        <v>934</v>
      </c>
      <c r="H111" s="472" t="s">
        <v>935</v>
      </c>
      <c r="I111" s="700" t="str">
        <f>TRIM(UPPER(tb_ingredientes[[#This Row],[ingrediente_ativo]]))</f>
        <v>CLORIDRATO DE CARTAPE</v>
      </c>
      <c r="J111" s="20" t="s">
        <v>2995</v>
      </c>
      <c r="K111" s="20" t="s">
        <v>2995</v>
      </c>
      <c r="L111" s="20" t="s">
        <v>2996</v>
      </c>
    </row>
    <row r="112" spans="5:12" x14ac:dyDescent="0.25">
      <c r="E112" s="958" t="s">
        <v>825</v>
      </c>
      <c r="F112" s="958" t="s">
        <v>2177</v>
      </c>
      <c r="G112" s="20" t="s">
        <v>7160</v>
      </c>
      <c r="H112" s="472" t="s">
        <v>824</v>
      </c>
      <c r="I112" s="700" t="str">
        <f>TRIM(UPPER(tb_ingredientes[[#This Row],[ingrediente_ativo]]))</f>
        <v>CARBOSSULFANO</v>
      </c>
      <c r="J112" s="20" t="s">
        <v>3312</v>
      </c>
      <c r="K112" s="20" t="s">
        <v>3312</v>
      </c>
      <c r="L112" s="20" t="s">
        <v>3313</v>
      </c>
    </row>
    <row r="113" spans="5:12" x14ac:dyDescent="0.25">
      <c r="E113" s="957" t="s">
        <v>945</v>
      </c>
      <c r="F113" s="957" t="s">
        <v>2215</v>
      </c>
      <c r="G113" s="20" t="s">
        <v>943</v>
      </c>
      <c r="H113" s="472" t="s">
        <v>944</v>
      </c>
      <c r="I113" s="700" t="str">
        <f>TRIM(UPPER(tb_ingredientes[[#This Row],[ingrediente_ativo]]))</f>
        <v>CLORIMUROM</v>
      </c>
      <c r="J113" s="20" t="s">
        <v>2803</v>
      </c>
      <c r="K113" s="20" t="s">
        <v>2803</v>
      </c>
      <c r="L113" s="20" t="s">
        <v>2804</v>
      </c>
    </row>
    <row r="114" spans="5:12" x14ac:dyDescent="0.25">
      <c r="E114" s="958" t="s">
        <v>948</v>
      </c>
      <c r="F114" s="958" t="s">
        <v>2216</v>
      </c>
      <c r="G114" s="20" t="s">
        <v>946</v>
      </c>
      <c r="H114" s="472" t="s">
        <v>947</v>
      </c>
      <c r="I114" s="700" t="str">
        <f>TRIM(UPPER(tb_ingredientes[[#This Row],[ingrediente_ativo]]))</f>
        <v>CLORIMUROM-ETÍLICO</v>
      </c>
      <c r="J114" s="20" t="s">
        <v>3302</v>
      </c>
      <c r="K114" s="20" t="s">
        <v>3302</v>
      </c>
      <c r="L114" s="20" t="s">
        <v>3303</v>
      </c>
    </row>
    <row r="115" spans="5:12" x14ac:dyDescent="0.25">
      <c r="E115" s="957" t="s">
        <v>743</v>
      </c>
      <c r="F115" s="957" t="s">
        <v>2150</v>
      </c>
      <c r="G115" s="20" t="s">
        <v>872</v>
      </c>
      <c r="H115" s="472" t="s">
        <v>873</v>
      </c>
      <c r="I115" s="700" t="str">
        <f>TRIM(UPPER(tb_ingredientes[[#This Row],[ingrediente_ativo]]))</f>
        <v>CIFLUTRINA</v>
      </c>
      <c r="J115" s="20" t="s">
        <v>3322</v>
      </c>
      <c r="K115" s="20" t="s">
        <v>3322</v>
      </c>
      <c r="L115" s="20" t="s">
        <v>3323</v>
      </c>
    </row>
    <row r="116" spans="5:12" x14ac:dyDescent="0.25">
      <c r="E116" s="957" t="s">
        <v>903</v>
      </c>
      <c r="F116" s="957" t="s">
        <v>2201</v>
      </c>
      <c r="G116" s="20" t="s">
        <v>901</v>
      </c>
      <c r="H116" s="472" t="s">
        <v>902</v>
      </c>
      <c r="I116" s="700" t="str">
        <f>TRIM(UPPER(tb_ingredientes[[#This Row],[ingrediente_ativo]]))</f>
        <v>CLOFENTEZINA</v>
      </c>
      <c r="J116" s="20" t="s">
        <v>3347</v>
      </c>
      <c r="K116" s="20" t="s">
        <v>3347</v>
      </c>
      <c r="L116" s="20" t="s">
        <v>3348</v>
      </c>
    </row>
    <row r="117" spans="5:12" x14ac:dyDescent="0.25">
      <c r="E117" s="958" t="s">
        <v>894</v>
      </c>
      <c r="F117" s="958" t="s">
        <v>2198</v>
      </c>
      <c r="G117" s="20" t="s">
        <v>892</v>
      </c>
      <c r="H117" s="472" t="s">
        <v>893</v>
      </c>
      <c r="I117" s="700" t="str">
        <f>TRIM(UPPER(tb_ingredientes[[#This Row],[ingrediente_ativo]]))</f>
        <v>CLETODIM</v>
      </c>
      <c r="J117" s="20" t="s">
        <v>3473</v>
      </c>
      <c r="K117" s="20" t="s">
        <v>3473</v>
      </c>
      <c r="L117" s="20" t="s">
        <v>3474</v>
      </c>
    </row>
    <row r="118" spans="5:12" x14ac:dyDescent="0.25">
      <c r="E118" s="957" t="s">
        <v>986</v>
      </c>
      <c r="F118" s="957" t="s">
        <v>2228</v>
      </c>
      <c r="G118" s="20" t="s">
        <v>984</v>
      </c>
      <c r="H118" s="472" t="s">
        <v>985</v>
      </c>
      <c r="I118" s="700" t="str">
        <f>TRIM(UPPER(tb_ingredientes[[#This Row],[ingrediente_ativo]]))</f>
        <v>CUMAFENO</v>
      </c>
      <c r="J118" s="20" t="s">
        <v>3983</v>
      </c>
      <c r="K118" s="20" t="s">
        <v>3983</v>
      </c>
      <c r="L118" s="20" t="s">
        <v>3984</v>
      </c>
    </row>
    <row r="119" spans="5:12" x14ac:dyDescent="0.25">
      <c r="E119" s="957" t="s">
        <v>868</v>
      </c>
      <c r="F119" s="957" t="s">
        <v>2190</v>
      </c>
      <c r="G119" s="20" t="s">
        <v>866</v>
      </c>
      <c r="H119" s="472" t="s">
        <v>867</v>
      </c>
      <c r="I119" s="700" t="str">
        <f>TRIM(UPPER(tb_ingredientes[[#This Row],[ingrediente_ativo]]))</f>
        <v>CIFENOTRINA</v>
      </c>
      <c r="J119" s="20" t="s">
        <v>3466</v>
      </c>
      <c r="K119" s="20" t="s">
        <v>3466</v>
      </c>
      <c r="L119" s="20" t="s">
        <v>3467</v>
      </c>
    </row>
    <row r="120" spans="5:12" x14ac:dyDescent="0.25">
      <c r="E120" s="958" t="s">
        <v>906</v>
      </c>
      <c r="F120" s="958" t="s">
        <v>2202</v>
      </c>
      <c r="G120" s="20" t="s">
        <v>904</v>
      </c>
      <c r="H120" s="472" t="s">
        <v>905</v>
      </c>
      <c r="I120" s="700" t="str">
        <f>TRIM(UPPER(tb_ingredientes[[#This Row],[ingrediente_ativo]]))</f>
        <v>CLOMAZONA</v>
      </c>
      <c r="J120" s="20" t="s">
        <v>5076</v>
      </c>
      <c r="K120" s="20" t="s">
        <v>5076</v>
      </c>
      <c r="L120" s="20" t="s">
        <v>5077</v>
      </c>
    </row>
    <row r="121" spans="5:12" x14ac:dyDescent="0.25">
      <c r="E121" s="957" t="s">
        <v>885</v>
      </c>
      <c r="F121" s="957" t="s">
        <v>2195</v>
      </c>
      <c r="G121" s="20" t="s">
        <v>883</v>
      </c>
      <c r="H121" s="472" t="s">
        <v>884</v>
      </c>
      <c r="I121" s="700" t="str">
        <f>TRIM(UPPER(tb_ingredientes[[#This Row],[ingrediente_ativo]]))</f>
        <v>CIPROCONAZOL</v>
      </c>
      <c r="J121" s="20" t="s">
        <v>4341</v>
      </c>
      <c r="K121" s="20" t="s">
        <v>4341</v>
      </c>
      <c r="L121" s="20" t="s">
        <v>4342</v>
      </c>
    </row>
    <row r="122" spans="5:12" x14ac:dyDescent="0.25">
      <c r="E122" s="957" t="s">
        <v>891</v>
      </c>
      <c r="F122" s="957" t="s">
        <v>2197</v>
      </c>
      <c r="G122" s="20" t="s">
        <v>889</v>
      </c>
      <c r="H122" s="472" t="s">
        <v>890</v>
      </c>
      <c r="I122" s="700" t="str">
        <f>TRIM(UPPER(tb_ingredientes[[#This Row],[ingrediente_ativo]]))</f>
        <v>CIROMAZINA</v>
      </c>
      <c r="J122" s="20" t="s">
        <v>2961</v>
      </c>
      <c r="K122" s="20" t="s">
        <v>2961</v>
      </c>
      <c r="L122" s="20" t="s">
        <v>2962</v>
      </c>
    </row>
    <row r="123" spans="5:12" x14ac:dyDescent="0.25">
      <c r="E123" s="958" t="s">
        <v>930</v>
      </c>
      <c r="F123" s="958" t="s">
        <v>2210</v>
      </c>
      <c r="G123" s="20" t="s">
        <v>928</v>
      </c>
      <c r="H123" s="472" t="s">
        <v>929</v>
      </c>
      <c r="I123" s="700" t="str">
        <f>TRIM(UPPER(tb_ingredientes[[#This Row],[ingrediente_ativo]]))</f>
        <v>CLORFLUAZUROM</v>
      </c>
      <c r="J123" s="20" t="s">
        <v>4387</v>
      </c>
      <c r="K123" s="20" t="s">
        <v>4387</v>
      </c>
      <c r="L123" s="20" t="s">
        <v>4388</v>
      </c>
    </row>
    <row r="124" spans="5:12" x14ac:dyDescent="0.25">
      <c r="E124" s="957" t="s">
        <v>850</v>
      </c>
      <c r="F124" s="957" t="s">
        <v>2184</v>
      </c>
      <c r="G124" s="20" t="s">
        <v>848</v>
      </c>
      <c r="H124" s="472" t="s">
        <v>849</v>
      </c>
      <c r="I124" s="700" t="str">
        <f>TRIM(UPPER(tb_ingredientes[[#This Row],[ingrediente_ativo]]))</f>
        <v>CIANAMIDA</v>
      </c>
      <c r="J124" s="20" t="s">
        <v>3425</v>
      </c>
      <c r="K124" s="20" t="s">
        <v>3425</v>
      </c>
      <c r="L124" s="20" t="s">
        <v>3426</v>
      </c>
    </row>
    <row r="125" spans="5:12" x14ac:dyDescent="0.25">
      <c r="E125" s="957" t="s">
        <v>927</v>
      </c>
      <c r="F125" s="957" t="s">
        <v>2209</v>
      </c>
      <c r="G125" s="20" t="s">
        <v>925</v>
      </c>
      <c r="H125" s="472" t="s">
        <v>926</v>
      </c>
      <c r="I125" s="700" t="str">
        <f>TRIM(UPPER(tb_ingredientes[[#This Row],[ingrediente_ativo]]))</f>
        <v>CLORFENAPIR</v>
      </c>
      <c r="J125" s="20" t="s">
        <v>4327</v>
      </c>
      <c r="K125" s="20" t="s">
        <v>4327</v>
      </c>
      <c r="L125" s="20" t="s">
        <v>4328</v>
      </c>
    </row>
    <row r="126" spans="5:12" x14ac:dyDescent="0.25">
      <c r="E126" s="958" t="s">
        <v>924</v>
      </c>
      <c r="F126" s="958" t="s">
        <v>2208</v>
      </c>
      <c r="G126" s="20" t="s">
        <v>922</v>
      </c>
      <c r="H126" s="472" t="s">
        <v>923</v>
      </c>
      <c r="I126" s="700" t="str">
        <f>TRIM(UPPER(tb_ingredientes[[#This Row],[ingrediente_ativo]]))</f>
        <v>CLORFACINONA</v>
      </c>
      <c r="J126" s="20" t="s">
        <v>2612</v>
      </c>
      <c r="K126" s="20" t="s">
        <v>2612</v>
      </c>
      <c r="L126" s="20" t="s">
        <v>2613</v>
      </c>
    </row>
    <row r="127" spans="5:12" x14ac:dyDescent="0.25">
      <c r="E127" s="958" t="s">
        <v>989</v>
      </c>
      <c r="F127" s="958" t="s">
        <v>2229</v>
      </c>
      <c r="G127" s="20" t="s">
        <v>987</v>
      </c>
      <c r="H127" s="472" t="s">
        <v>988</v>
      </c>
      <c r="I127" s="700" t="str">
        <f>TRIM(UPPER(tb_ingredientes[[#This Row],[ingrediente_ativo]]))</f>
        <v>CUMATETRALIL</v>
      </c>
      <c r="J127" s="20" t="s">
        <v>3156</v>
      </c>
      <c r="K127" s="20" t="s">
        <v>3156</v>
      </c>
      <c r="L127" s="20" t="s">
        <v>3157</v>
      </c>
    </row>
    <row r="128" spans="5:12" x14ac:dyDescent="0.25">
      <c r="E128" s="957" t="s">
        <v>862</v>
      </c>
      <c r="F128" s="957" t="s">
        <v>2188</v>
      </c>
      <c r="G128" s="20" t="s">
        <v>860</v>
      </c>
      <c r="H128" s="472" t="s">
        <v>861</v>
      </c>
      <c r="I128" s="700" t="str">
        <f>TRIM(UPPER(tb_ingredientes[[#This Row],[ingrediente_ativo]]))</f>
        <v>CICLANILIDA</v>
      </c>
      <c r="J128" s="20" t="s">
        <v>2642</v>
      </c>
      <c r="K128" s="20" t="s">
        <v>2642</v>
      </c>
      <c r="L128" s="20" t="s">
        <v>2643</v>
      </c>
    </row>
    <row r="129" spans="5:12" x14ac:dyDescent="0.25">
      <c r="E129" s="958" t="s">
        <v>865</v>
      </c>
      <c r="F129" s="958" t="s">
        <v>2189</v>
      </c>
      <c r="G129" s="20" t="s">
        <v>863</v>
      </c>
      <c r="H129" s="472" t="s">
        <v>864</v>
      </c>
      <c r="I129" s="700" t="str">
        <f>TRIM(UPPER(tb_ingredientes[[#This Row],[ingrediente_ativo]]))</f>
        <v>CICLOSSULFAMUROM</v>
      </c>
      <c r="J129" s="20" t="s">
        <v>3494</v>
      </c>
      <c r="K129" s="20" t="s">
        <v>3494</v>
      </c>
      <c r="L129" s="20" t="s">
        <v>3495</v>
      </c>
    </row>
    <row r="130" spans="5:12" x14ac:dyDescent="0.25">
      <c r="E130" s="958" t="s">
        <v>888</v>
      </c>
      <c r="F130" s="958" t="s">
        <v>2196</v>
      </c>
      <c r="G130" s="20" t="s">
        <v>886</v>
      </c>
      <c r="H130" s="472" t="s">
        <v>887</v>
      </c>
      <c r="I130" s="700" t="str">
        <f>TRIM(UPPER(tb_ingredientes[[#This Row],[ingrediente_ativo]]))</f>
        <v>CIPRODINIL</v>
      </c>
      <c r="J130" s="20" t="s">
        <v>3783</v>
      </c>
      <c r="K130" s="20" t="s">
        <v>3783</v>
      </c>
      <c r="L130" s="20" t="s">
        <v>3784</v>
      </c>
    </row>
    <row r="131" spans="5:12" x14ac:dyDescent="0.25">
      <c r="E131" s="957" t="s">
        <v>879</v>
      </c>
      <c r="F131" s="957" t="s">
        <v>2193</v>
      </c>
      <c r="G131" s="20" t="s">
        <v>877</v>
      </c>
      <c r="H131" s="472" t="s">
        <v>878</v>
      </c>
      <c r="I131" s="700" t="str">
        <f>TRIM(UPPER(tb_ingredientes[[#This Row],[ingrediente_ativo]]))</f>
        <v>CINETINA</v>
      </c>
      <c r="J131" s="20" t="s">
        <v>5222</v>
      </c>
      <c r="K131" s="20" t="s">
        <v>5222</v>
      </c>
      <c r="L131" s="20" t="s">
        <v>5426</v>
      </c>
    </row>
    <row r="132" spans="5:12" x14ac:dyDescent="0.25">
      <c r="E132" s="958" t="s">
        <v>831</v>
      </c>
      <c r="F132" s="958" t="s">
        <v>2179</v>
      </c>
      <c r="G132" s="20" t="s">
        <v>829</v>
      </c>
      <c r="H132" s="472" t="s">
        <v>830</v>
      </c>
      <c r="I132" s="700" t="str">
        <f>TRIM(UPPER(tb_ingredientes[[#This Row],[ingrediente_ativo]]))</f>
        <v>CARFENTRAZONA-ETÍLICA</v>
      </c>
      <c r="J132" s="20" t="s">
        <v>4277</v>
      </c>
      <c r="K132" s="20" t="s">
        <v>4277</v>
      </c>
      <c r="L132" s="20" t="s">
        <v>4278</v>
      </c>
    </row>
    <row r="133" spans="5:12" x14ac:dyDescent="0.25">
      <c r="E133" s="957" t="s">
        <v>909</v>
      </c>
      <c r="F133" s="957" t="s">
        <v>2203</v>
      </c>
      <c r="G133" s="20" t="s">
        <v>907</v>
      </c>
      <c r="H133" s="472" t="s">
        <v>908</v>
      </c>
      <c r="I133" s="700" t="str">
        <f>TRIM(UPPER(tb_ingredientes[[#This Row],[ingrediente_ativo]]))</f>
        <v>CLORANSULAM-METÍLICO</v>
      </c>
      <c r="J133" s="20" t="s">
        <v>4207</v>
      </c>
      <c r="K133" s="20" t="s">
        <v>4207</v>
      </c>
      <c r="L133" s="20" t="s">
        <v>4208</v>
      </c>
    </row>
    <row r="134" spans="5:12" x14ac:dyDescent="0.25">
      <c r="E134" s="958" t="s">
        <v>966</v>
      </c>
      <c r="F134" s="958" t="s">
        <v>2222</v>
      </c>
      <c r="G134" s="20" t="s">
        <v>964</v>
      </c>
      <c r="H134" s="472" t="s">
        <v>965</v>
      </c>
      <c r="I134" s="700" t="str">
        <f>TRIM(UPPER(tb_ingredientes[[#This Row],[ingrediente_ativo]]))</f>
        <v>CODLELURE</v>
      </c>
      <c r="J134" s="20" t="s">
        <v>5034</v>
      </c>
      <c r="K134" s="20" t="s">
        <v>5034</v>
      </c>
      <c r="L134" s="20" t="s">
        <v>5035</v>
      </c>
    </row>
    <row r="135" spans="5:12" x14ac:dyDescent="0.25">
      <c r="E135" s="957" t="s">
        <v>915</v>
      </c>
      <c r="F135" s="957" t="s">
        <v>2205</v>
      </c>
      <c r="G135" s="20" t="s">
        <v>913</v>
      </c>
      <c r="H135" s="472" t="s">
        <v>914</v>
      </c>
      <c r="I135" s="700" t="str">
        <f>TRIM(UPPER(tb_ingredientes[[#This Row],[ingrediente_ativo]]))</f>
        <v>CLORETO DE BENZALCÔNIO</v>
      </c>
      <c r="J135" s="20" t="s">
        <v>4812</v>
      </c>
      <c r="K135" s="20" t="s">
        <v>4812</v>
      </c>
      <c r="L135" s="20" t="s">
        <v>4813</v>
      </c>
    </row>
    <row r="136" spans="5:12" x14ac:dyDescent="0.25">
      <c r="E136" s="957" t="s">
        <v>811</v>
      </c>
      <c r="F136" s="957" t="s">
        <v>2172</v>
      </c>
      <c r="G136" s="20" t="s">
        <v>809</v>
      </c>
      <c r="H136" s="472" t="s">
        <v>810</v>
      </c>
      <c r="I136" s="700" t="str">
        <f>TRIM(UPPER(tb_ingredientes[[#This Row],[ingrediente_ativo]]))</f>
        <v>CADUSAFÓS</v>
      </c>
      <c r="J136" s="20" t="s">
        <v>4252</v>
      </c>
      <c r="K136" s="20" t="s">
        <v>4252</v>
      </c>
      <c r="L136" s="20" t="s">
        <v>4253</v>
      </c>
    </row>
    <row r="137" spans="5:12" x14ac:dyDescent="0.25">
      <c r="E137" s="958" t="s">
        <v>847</v>
      </c>
      <c r="F137" s="958" t="s">
        <v>2183</v>
      </c>
      <c r="G137" s="20" t="s">
        <v>845</v>
      </c>
      <c r="H137" s="472" t="s">
        <v>846</v>
      </c>
      <c r="I137" s="700" t="str">
        <f>TRIM(UPPER(tb_ingredientes[[#This Row],[ingrediente_ativo]]))</f>
        <v>CIALOFOPE-BUTÍLICO</v>
      </c>
      <c r="J137" s="20" t="s">
        <v>2934</v>
      </c>
      <c r="K137" s="20" t="s">
        <v>2934</v>
      </c>
      <c r="L137" s="20" t="s">
        <v>2935</v>
      </c>
    </row>
    <row r="138" spans="5:12" x14ac:dyDescent="0.25">
      <c r="E138" s="957" t="s">
        <v>969</v>
      </c>
      <c r="F138" s="957" t="s">
        <v>2223</v>
      </c>
      <c r="G138" s="20" t="s">
        <v>967</v>
      </c>
      <c r="H138" s="472" t="s">
        <v>968</v>
      </c>
      <c r="I138" s="700" t="str">
        <f>TRIM(UPPER(tb_ingredientes[[#This Row],[ingrediente_ativo]]))</f>
        <v>COMPOSTOS A BASE DE COBRE</v>
      </c>
      <c r="J138" s="20" t="s">
        <v>5087</v>
      </c>
      <c r="K138" s="20" t="s">
        <v>5087</v>
      </c>
      <c r="L138" s="20" t="s">
        <v>5088</v>
      </c>
    </row>
    <row r="139" spans="5:12" x14ac:dyDescent="0.25">
      <c r="E139" s="958" t="s">
        <v>1398</v>
      </c>
      <c r="F139" s="958" t="s">
        <v>2363</v>
      </c>
      <c r="G139" s="20" t="s">
        <v>1396</v>
      </c>
      <c r="H139" s="472" t="s">
        <v>1397</v>
      </c>
      <c r="I139" s="700" t="str">
        <f>TRIM(UPPER(tb_ingredientes[[#This Row],[ingrediente_ativo]]))</f>
        <v>HIDRÓXIDO DE COBRE</v>
      </c>
      <c r="J139" s="20" t="s">
        <v>2661</v>
      </c>
      <c r="K139" s="20" t="s">
        <v>2661</v>
      </c>
      <c r="L139" s="20" t="s">
        <v>2662</v>
      </c>
    </row>
    <row r="140" spans="5:12" x14ac:dyDescent="0.25">
      <c r="E140" s="958" t="s">
        <v>1639</v>
      </c>
      <c r="F140" s="958" t="s">
        <v>2440</v>
      </c>
      <c r="G140" s="20" t="s">
        <v>1637</v>
      </c>
      <c r="H140" s="472" t="s">
        <v>1638</v>
      </c>
      <c r="I140" s="700" t="str">
        <f>TRIM(UPPER(tb_ingredientes[[#This Row],[ingrediente_ativo]]))</f>
        <v>OXICLORETO DE COBRE</v>
      </c>
      <c r="J140" s="20" t="s">
        <v>3452</v>
      </c>
      <c r="K140" s="20" t="s">
        <v>3452</v>
      </c>
      <c r="L140" s="20" t="s">
        <v>3453</v>
      </c>
    </row>
    <row r="141" spans="5:12" x14ac:dyDescent="0.25">
      <c r="E141" s="957" t="s">
        <v>1642</v>
      </c>
      <c r="F141" s="957" t="s">
        <v>2441</v>
      </c>
      <c r="G141" s="20" t="s">
        <v>1640</v>
      </c>
      <c r="H141" s="472" t="s">
        <v>1641</v>
      </c>
      <c r="I141" s="700" t="str">
        <f>TRIM(UPPER(tb_ingredientes[[#This Row],[ingrediente_ativo]]))</f>
        <v>ÓXIDO CUPROSO</v>
      </c>
      <c r="J141" s="20" t="s">
        <v>2799</v>
      </c>
      <c r="K141" s="20" t="s">
        <v>2799</v>
      </c>
      <c r="L141" s="20" t="s">
        <v>2800</v>
      </c>
    </row>
    <row r="142" spans="5:12" x14ac:dyDescent="0.25">
      <c r="E142" s="958" t="s">
        <v>1847</v>
      </c>
      <c r="F142" s="958" t="s">
        <v>2504</v>
      </c>
      <c r="G142" s="20" t="s">
        <v>1845</v>
      </c>
      <c r="H142" s="472" t="s">
        <v>1846</v>
      </c>
      <c r="I142" s="700" t="str">
        <f>TRIM(UPPER(tb_ingredientes[[#This Row],[ingrediente_ativo]]))</f>
        <v>SULFATO DE COBRE</v>
      </c>
      <c r="J142" s="20" t="s">
        <v>5285</v>
      </c>
      <c r="K142" s="20" t="s">
        <v>5285</v>
      </c>
      <c r="L142" s="20" t="s">
        <v>5286</v>
      </c>
    </row>
    <row r="143" spans="5:12" x14ac:dyDescent="0.25">
      <c r="E143" s="958" t="s">
        <v>1651</v>
      </c>
      <c r="F143" s="958" t="s">
        <v>2444</v>
      </c>
      <c r="G143" s="20" t="s">
        <v>1649</v>
      </c>
      <c r="H143" s="472" t="s">
        <v>1650</v>
      </c>
      <c r="I143" s="700" t="str">
        <f>TRIM(UPPER(tb_ingredientes[[#This Row],[ingrediente_ativo]]))</f>
        <v>OXINA-COBRE</v>
      </c>
      <c r="J143" s="20" t="s">
        <v>3021</v>
      </c>
      <c r="K143" s="20" t="s">
        <v>3021</v>
      </c>
      <c r="L143" s="20" t="s">
        <v>3022</v>
      </c>
    </row>
    <row r="144" spans="5:12" x14ac:dyDescent="0.25">
      <c r="E144" s="957" t="s">
        <v>823</v>
      </c>
      <c r="F144" s="957" t="s">
        <v>2176</v>
      </c>
      <c r="G144" s="20" t="s">
        <v>821</v>
      </c>
      <c r="H144" s="472" t="s">
        <v>822</v>
      </c>
      <c r="I144" s="700" t="str">
        <f>TRIM(UPPER(tb_ingredientes[[#This Row],[ingrediente_ativo]]))</f>
        <v>CARBONATO BÁSICO DE COBRE</v>
      </c>
      <c r="J144" s="20" t="s">
        <v>4081</v>
      </c>
      <c r="K144" s="20" t="s">
        <v>4081</v>
      </c>
      <c r="L144" s="20" t="s">
        <v>4082</v>
      </c>
    </row>
    <row r="145" spans="5:12" x14ac:dyDescent="0.25">
      <c r="E145" s="957" t="s">
        <v>974</v>
      </c>
      <c r="F145" s="957" t="s">
        <v>2224</v>
      </c>
      <c r="G145" s="20" t="s">
        <v>972</v>
      </c>
      <c r="H145" s="472" t="s">
        <v>973</v>
      </c>
      <c r="I145" s="700" t="str">
        <f>TRIM(UPPER(tb_ingredientes[[#This Row],[ingrediente_ativo]]))</f>
        <v>CRESOXIM-METÍLICO</v>
      </c>
      <c r="J145" s="20" t="s">
        <v>4195</v>
      </c>
      <c r="K145" s="20" t="s">
        <v>4195</v>
      </c>
      <c r="L145" s="20" t="s">
        <v>4196</v>
      </c>
    </row>
    <row r="146" spans="5:12" x14ac:dyDescent="0.25">
      <c r="E146" s="957" t="s">
        <v>643</v>
      </c>
      <c r="F146" s="957" t="s">
        <v>2127</v>
      </c>
      <c r="G146" s="20" t="s">
        <v>641</v>
      </c>
      <c r="H146" s="472" t="s">
        <v>642</v>
      </c>
      <c r="I146" s="700" t="str">
        <f>TRIM(UPPER(tb_ingredientes[[#This Row],[ingrediente_ativo]]))</f>
        <v>ALFA-CIPERMETRINA</v>
      </c>
      <c r="J146" s="20" t="s">
        <v>4346</v>
      </c>
      <c r="K146" s="20" t="s">
        <v>4346</v>
      </c>
      <c r="L146" s="20" t="s">
        <v>4347</v>
      </c>
    </row>
    <row r="147" spans="5:12" x14ac:dyDescent="0.25">
      <c r="E147" s="957" t="s">
        <v>746</v>
      </c>
      <c r="F147" s="957" t="s">
        <v>2151</v>
      </c>
      <c r="G147" s="20" t="s">
        <v>744</v>
      </c>
      <c r="H147" s="472" t="s">
        <v>745</v>
      </c>
      <c r="I147" s="700" t="str">
        <f>TRIM(UPPER(tb_ingredientes[[#This Row],[ingrediente_ativo]]))</f>
        <v>BETA-CIPERMETRINA</v>
      </c>
      <c r="J147" s="20" t="s">
        <v>4072</v>
      </c>
      <c r="K147" s="20" t="s">
        <v>4072</v>
      </c>
      <c r="L147" s="20" t="s">
        <v>4073</v>
      </c>
    </row>
    <row r="148" spans="5:12" x14ac:dyDescent="0.25">
      <c r="E148" s="957" t="s">
        <v>882</v>
      </c>
      <c r="F148" s="957" t="s">
        <v>2194</v>
      </c>
      <c r="G148" s="20" t="s">
        <v>2027</v>
      </c>
      <c r="H148" s="472" t="s">
        <v>2028</v>
      </c>
      <c r="I148" s="700" t="str">
        <f>TRIM(UPPER(tb_ingredientes[[#This Row],[ingrediente_ativo]]))</f>
        <v>ZETA-CIPERMETRINA</v>
      </c>
      <c r="J148" s="20" t="s">
        <v>3093</v>
      </c>
      <c r="K148" s="20" t="s">
        <v>3093</v>
      </c>
      <c r="L148" s="20" t="s">
        <v>3475</v>
      </c>
    </row>
    <row r="149" spans="5:12" x14ac:dyDescent="0.25">
      <c r="E149" s="958" t="s">
        <v>7079</v>
      </c>
      <c r="F149" s="958" t="s">
        <v>7079</v>
      </c>
      <c r="G149" s="20" t="s">
        <v>741</v>
      </c>
      <c r="H149" s="472" t="s">
        <v>742</v>
      </c>
      <c r="I149" s="700" t="str">
        <f>TRIM(UPPER(tb_ingredientes[[#This Row],[ingrediente_ativo]]))</f>
        <v>BETA-CIFLUTRINA</v>
      </c>
      <c r="J149" s="20" t="s">
        <v>2924</v>
      </c>
      <c r="K149" s="20" t="s">
        <v>2924</v>
      </c>
      <c r="L149" s="20" t="s">
        <v>2925</v>
      </c>
    </row>
    <row r="150" spans="5:12" x14ac:dyDescent="0.25">
      <c r="E150" s="957" t="s">
        <v>834</v>
      </c>
      <c r="F150" s="957" t="s">
        <v>2180</v>
      </c>
      <c r="G150" s="20" t="s">
        <v>832</v>
      </c>
      <c r="H150" s="472" t="s">
        <v>833</v>
      </c>
      <c r="I150" s="700" t="str">
        <f>TRIM(UPPER(tb_ingredientes[[#This Row],[ingrediente_ativo]]))</f>
        <v>CARPROPAMIDA</v>
      </c>
      <c r="J150" s="20" t="s">
        <v>5116</v>
      </c>
      <c r="K150" s="20" t="s">
        <v>5116</v>
      </c>
      <c r="L150" s="20" t="s">
        <v>5117</v>
      </c>
    </row>
    <row r="151" spans="5:12" x14ac:dyDescent="0.25">
      <c r="E151" s="958" t="s">
        <v>1469</v>
      </c>
      <c r="F151" s="958" t="s">
        <v>2386</v>
      </c>
      <c r="G151" s="20" t="s">
        <v>1467</v>
      </c>
      <c r="H151" s="472" t="s">
        <v>1468</v>
      </c>
      <c r="I151" s="700" t="str">
        <f>TRIM(UPPER(tb_ingredientes[[#This Row],[ingrediente_ativo]]))</f>
        <v>LAMBDA-CIALOTRINA</v>
      </c>
      <c r="J151" s="20" t="s">
        <v>2725</v>
      </c>
      <c r="K151" s="20" t="s">
        <v>2725</v>
      </c>
      <c r="L151" s="20" t="s">
        <v>2726</v>
      </c>
    </row>
    <row r="152" spans="5:12" x14ac:dyDescent="0.25">
      <c r="E152" s="957" t="s">
        <v>963</v>
      </c>
      <c r="F152" s="957" t="s">
        <v>2221</v>
      </c>
      <c r="G152" s="20" t="s">
        <v>961</v>
      </c>
      <c r="H152" s="472" t="s">
        <v>962</v>
      </c>
      <c r="I152" s="700" t="str">
        <f>TRIM(UPPER(tb_ingredientes[[#This Row],[ingrediente_ativo]]))</f>
        <v>CLOTIANIDINA</v>
      </c>
      <c r="J152" s="20" t="s">
        <v>3013</v>
      </c>
      <c r="K152" s="20" t="s">
        <v>3013</v>
      </c>
      <c r="L152" s="20" t="s">
        <v>3014</v>
      </c>
    </row>
    <row r="153" spans="5:12" x14ac:dyDescent="0.25">
      <c r="E153" s="958" t="s">
        <v>1338</v>
      </c>
      <c r="F153" s="958" t="s">
        <v>2343</v>
      </c>
      <c r="G153" s="20" t="s">
        <v>1336</v>
      </c>
      <c r="H153" s="472" t="s">
        <v>1337</v>
      </c>
      <c r="I153" s="700" t="str">
        <f>TRIM(UPPER(tb_ingredientes[[#This Row],[ingrediente_ativo]]))</f>
        <v>GAMA-CIALOTRINA</v>
      </c>
      <c r="J153" s="20" t="s">
        <v>4774</v>
      </c>
      <c r="K153" s="20" t="s">
        <v>4774</v>
      </c>
      <c r="L153" s="20" t="s">
        <v>4775</v>
      </c>
    </row>
    <row r="154" spans="5:12" x14ac:dyDescent="0.25">
      <c r="E154" s="958" t="s">
        <v>859</v>
      </c>
      <c r="F154" s="958" t="s">
        <v>2187</v>
      </c>
      <c r="G154" s="20" t="s">
        <v>857</v>
      </c>
      <c r="H154" s="472" t="s">
        <v>858</v>
      </c>
      <c r="I154" s="700" t="str">
        <f>TRIM(UPPER(tb_ingredientes[[#This Row],[ingrediente_ativo]]))</f>
        <v>CIAZOFAMIDA</v>
      </c>
      <c r="J154" s="20" t="s">
        <v>5401</v>
      </c>
      <c r="K154" s="20" t="s">
        <v>5401</v>
      </c>
      <c r="L154" s="20" t="s">
        <v>5402</v>
      </c>
    </row>
    <row r="155" spans="5:12" x14ac:dyDescent="0.25">
      <c r="E155" s="958" t="s">
        <v>977</v>
      </c>
      <c r="F155" s="958" t="s">
        <v>2225</v>
      </c>
      <c r="G155" s="20" t="s">
        <v>975</v>
      </c>
      <c r="H155" s="472" t="s">
        <v>976</v>
      </c>
      <c r="I155" s="700" t="str">
        <f>TRIM(UPPER(tb_ingredientes[[#This Row],[ingrediente_ativo]]))</f>
        <v>CROMAFENOZIDA</v>
      </c>
      <c r="J155" s="20" t="s">
        <v>5401</v>
      </c>
      <c r="K155" s="20" t="s">
        <v>5401</v>
      </c>
      <c r="L155" s="20" t="s">
        <v>5438</v>
      </c>
    </row>
    <row r="156" spans="5:12" x14ac:dyDescent="0.25">
      <c r="E156" s="957" t="s">
        <v>897</v>
      </c>
      <c r="F156" s="957" t="s">
        <v>2199</v>
      </c>
      <c r="G156" s="20" t="s">
        <v>895</v>
      </c>
      <c r="H156" s="472" t="s">
        <v>896</v>
      </c>
      <c r="I156" s="700" t="str">
        <f>TRIM(UPPER(tb_ingredientes[[#This Row],[ingrediente_ativo]]))</f>
        <v>CLODINAFOPE</v>
      </c>
      <c r="J156" s="20" t="s">
        <v>4169</v>
      </c>
      <c r="K156" s="20" t="s">
        <v>4169</v>
      </c>
      <c r="L156" s="20" t="s">
        <v>4170</v>
      </c>
    </row>
    <row r="157" spans="5:12" x14ac:dyDescent="0.25">
      <c r="E157" s="958" t="s">
        <v>900</v>
      </c>
      <c r="F157" s="958" t="s">
        <v>2200</v>
      </c>
      <c r="G157" s="20" t="s">
        <v>898</v>
      </c>
      <c r="H157" s="472" t="s">
        <v>899</v>
      </c>
      <c r="I157" s="700" t="str">
        <f>TRIM(UPPER(tb_ingredientes[[#This Row],[ingrediente_ativo]]))</f>
        <v>CLODINAFOPE-PROPARGIL</v>
      </c>
      <c r="J157" s="20" t="s">
        <v>2833</v>
      </c>
      <c r="K157" s="20" t="s">
        <v>2833</v>
      </c>
      <c r="L157" s="20" t="s">
        <v>2834</v>
      </c>
    </row>
    <row r="158" spans="5:12" x14ac:dyDescent="0.25">
      <c r="E158" s="957" t="s">
        <v>980</v>
      </c>
      <c r="F158" s="957" t="s">
        <v>2226</v>
      </c>
      <c r="G158" s="20" t="s">
        <v>978</v>
      </c>
      <c r="H158" s="472" t="s">
        <v>979</v>
      </c>
      <c r="I158" s="700" t="str">
        <f>TRIM(UPPER(tb_ingredientes[[#This Row],[ingrediente_ativo]]))</f>
        <v>CUELURE</v>
      </c>
      <c r="J158" s="20" t="s">
        <v>3162</v>
      </c>
      <c r="K158" s="20" t="s">
        <v>3162</v>
      </c>
      <c r="L158" s="20" t="s">
        <v>3163</v>
      </c>
    </row>
    <row r="159" spans="5:12" x14ac:dyDescent="0.25">
      <c r="E159" s="958" t="s">
        <v>912</v>
      </c>
      <c r="F159" s="958" t="s">
        <v>2204</v>
      </c>
      <c r="G159" s="20" t="s">
        <v>910</v>
      </c>
      <c r="H159" s="472" t="s">
        <v>911</v>
      </c>
      <c r="I159" s="700" t="str">
        <f>TRIM(UPPER(tb_ingredientes[[#This Row],[ingrediente_ativo]]))</f>
        <v>CLORANTRANILIPROLE</v>
      </c>
      <c r="J159" s="20" t="s">
        <v>4717</v>
      </c>
      <c r="K159" s="20" t="s">
        <v>4717</v>
      </c>
      <c r="L159" s="20" t="s">
        <v>4718</v>
      </c>
    </row>
    <row r="160" spans="5:12" x14ac:dyDescent="0.25">
      <c r="E160" s="958" t="s">
        <v>661</v>
      </c>
      <c r="F160" s="958" t="s">
        <v>661</v>
      </c>
      <c r="G160" s="20" t="s">
        <v>970</v>
      </c>
      <c r="H160" s="472" t="s">
        <v>971</v>
      </c>
      <c r="I160" s="700" t="str">
        <f>TRIM(UPPER(tb_ingredientes[[#This Row],[ingrediente_ativo]]))</f>
        <v>COTESIA FLAVIPES</v>
      </c>
      <c r="J160" s="20" t="s">
        <v>3093</v>
      </c>
      <c r="K160" s="20" t="s">
        <v>3093</v>
      </c>
      <c r="L160" s="20" t="s">
        <v>3094</v>
      </c>
    </row>
    <row r="161" spans="5:12" x14ac:dyDescent="0.25">
      <c r="E161" s="958" t="s">
        <v>661</v>
      </c>
      <c r="F161" s="958" t="s">
        <v>661</v>
      </c>
      <c r="G161" s="20" t="s">
        <v>841</v>
      </c>
      <c r="H161" s="472" t="s">
        <v>842</v>
      </c>
      <c r="I161" s="700" t="str">
        <f>TRIM(UPPER(tb_ingredientes[[#This Row],[ingrediente_ativo]]))</f>
        <v>CERATITIS CAPITATA</v>
      </c>
      <c r="J161" s="20" t="s">
        <v>5079</v>
      </c>
      <c r="K161" s="20" t="s">
        <v>5079</v>
      </c>
      <c r="L161" s="20" t="s">
        <v>5080</v>
      </c>
    </row>
    <row r="162" spans="5:12" x14ac:dyDescent="0.25">
      <c r="E162" s="958" t="s">
        <v>871</v>
      </c>
      <c r="F162" s="958" t="s">
        <v>2191</v>
      </c>
      <c r="G162" s="20" t="s">
        <v>869</v>
      </c>
      <c r="H162" s="472" t="s">
        <v>870</v>
      </c>
      <c r="I162" s="700" t="str">
        <f>TRIM(UPPER(tb_ingredientes[[#This Row],[ingrediente_ativo]]))</f>
        <v>CIFLUMETOFEM</v>
      </c>
      <c r="J162" s="20" t="s">
        <v>3186</v>
      </c>
      <c r="K162" s="20" t="s">
        <v>3186</v>
      </c>
      <c r="L162" s="20" t="s">
        <v>3187</v>
      </c>
    </row>
    <row r="163" spans="5:12" x14ac:dyDescent="0.25">
      <c r="E163" s="957" t="s">
        <v>856</v>
      </c>
      <c r="F163" s="957" t="s">
        <v>2186</v>
      </c>
      <c r="G163" s="20" t="s">
        <v>854</v>
      </c>
      <c r="H163" s="472" t="s">
        <v>855</v>
      </c>
      <c r="I163" s="700" t="str">
        <f>TRIM(UPPER(tb_ingredientes[[#This Row],[ingrediente_ativo]]))</f>
        <v>CIANTRANILIPROLE</v>
      </c>
      <c r="J163" s="20" t="s">
        <v>3051</v>
      </c>
      <c r="K163" s="20" t="s">
        <v>3051</v>
      </c>
      <c r="L163" s="20" t="s">
        <v>3052</v>
      </c>
    </row>
    <row r="164" spans="5:12" x14ac:dyDescent="0.25">
      <c r="E164" s="957" t="s">
        <v>661</v>
      </c>
      <c r="F164" s="957" t="s">
        <v>661</v>
      </c>
      <c r="G164" s="20" t="s">
        <v>843</v>
      </c>
      <c r="H164" s="472" t="s">
        <v>844</v>
      </c>
      <c r="I164" s="700" t="str">
        <f>TRIM(UPPER(tb_ingredientes[[#This Row],[ingrediente_ativo]]))</f>
        <v>CHRYSODEIXIS INCLUDENS NUCLEOPOLYHEDROVIRUS</v>
      </c>
      <c r="J164" s="20" t="s">
        <v>3047</v>
      </c>
      <c r="K164" s="20" t="s">
        <v>3047</v>
      </c>
      <c r="L164" s="20" t="s">
        <v>3048</v>
      </c>
    </row>
    <row r="165" spans="5:12" x14ac:dyDescent="0.25">
      <c r="E165" s="958" t="s">
        <v>7162</v>
      </c>
      <c r="F165" s="958" t="s">
        <v>7162</v>
      </c>
      <c r="G165" s="20" t="s">
        <v>7161</v>
      </c>
      <c r="H165" s="472" t="s">
        <v>7163</v>
      </c>
      <c r="I165" s="700" t="str">
        <f>TRIM(UPPER(tb_ingredientes[[#This Row],[ingrediente_ativo]]))</f>
        <v>CICLANILIPROLE</v>
      </c>
      <c r="J165" s="20" t="s">
        <v>3049</v>
      </c>
      <c r="K165" s="20" t="s">
        <v>3049</v>
      </c>
      <c r="L165" s="20" t="s">
        <v>3050</v>
      </c>
    </row>
    <row r="166" spans="5:12" x14ac:dyDescent="0.25">
      <c r="E166" s="958" t="s">
        <v>7165</v>
      </c>
      <c r="F166" s="958" t="s">
        <v>7174</v>
      </c>
      <c r="G166" s="20" t="s">
        <v>7164</v>
      </c>
      <c r="H166" s="472" t="s">
        <v>7166</v>
      </c>
      <c r="I166" s="700" t="str">
        <f>TRIM(UPPER(tb_ingredientes[[#This Row],[ingrediente_ativo]]))</f>
        <v>COLECALCIFEROL</v>
      </c>
      <c r="J166" s="20" t="s">
        <v>3039</v>
      </c>
      <c r="K166" s="20" t="s">
        <v>3039</v>
      </c>
      <c r="L166" s="20" t="s">
        <v>3040</v>
      </c>
    </row>
    <row r="167" spans="5:12" x14ac:dyDescent="0.25">
      <c r="E167" s="958" t="s">
        <v>661</v>
      </c>
      <c r="F167" s="958" t="s">
        <v>661</v>
      </c>
      <c r="G167" s="20" t="s">
        <v>7167</v>
      </c>
      <c r="H167" s="472" t="s">
        <v>7168</v>
      </c>
      <c r="I167" s="700" t="str">
        <f>TRIM(UPPER(tb_ingredientes[[#This Row],[ingrediente_ativo]]))</f>
        <v>CATOLACCUS GRANDIS</v>
      </c>
      <c r="J167" s="20" t="s">
        <v>2632</v>
      </c>
      <c r="K167" s="20" t="s">
        <v>2632</v>
      </c>
      <c r="L167" s="20" t="s">
        <v>2633</v>
      </c>
    </row>
    <row r="168" spans="5:12" x14ac:dyDescent="0.25">
      <c r="E168" s="958" t="s">
        <v>661</v>
      </c>
      <c r="F168" s="958" t="s">
        <v>661</v>
      </c>
      <c r="G168" s="20" t="s">
        <v>7169</v>
      </c>
      <c r="H168" s="472" t="s">
        <v>7170</v>
      </c>
      <c r="I168" s="700" t="str">
        <f>TRIM(UPPER(tb_ingredientes[[#This Row],[ingrediente_ativo]]))</f>
        <v>CINNAMOMUM VERUM</v>
      </c>
      <c r="J168" s="20" t="s">
        <v>2601</v>
      </c>
      <c r="K168" s="20" t="s">
        <v>2601</v>
      </c>
      <c r="L168" s="20" t="s">
        <v>2602</v>
      </c>
    </row>
    <row r="169" spans="5:12" x14ac:dyDescent="0.25">
      <c r="E169" s="957" t="s">
        <v>997</v>
      </c>
      <c r="F169" s="957" t="s">
        <v>2231</v>
      </c>
      <c r="G169" s="20" t="s">
        <v>995</v>
      </c>
      <c r="H169" s="472" t="s">
        <v>996</v>
      </c>
      <c r="I169" s="700" t="str">
        <f>TRIM(UPPER(tb_ingredientes[[#This Row],[ingrediente_ativo]]))</f>
        <v>DAZOMETE</v>
      </c>
      <c r="J169" s="20" t="s">
        <v>5175</v>
      </c>
      <c r="K169" s="20" t="s">
        <v>5175</v>
      </c>
      <c r="L169" s="20" t="s">
        <v>5176</v>
      </c>
    </row>
    <row r="170" spans="5:12" x14ac:dyDescent="0.25">
      <c r="E170" s="958" t="s">
        <v>1005</v>
      </c>
      <c r="F170" s="958" t="s">
        <v>2233</v>
      </c>
      <c r="G170" s="20" t="s">
        <v>1003</v>
      </c>
      <c r="H170" s="472" t="s">
        <v>1004</v>
      </c>
      <c r="I170" s="700" t="str">
        <f>TRIM(UPPER(tb_ingredientes[[#This Row],[ingrediente_ativo]]))</f>
        <v>DELTAMETRINA</v>
      </c>
      <c r="J170" s="20" t="s">
        <v>5385</v>
      </c>
      <c r="K170" s="20" t="s">
        <v>5385</v>
      </c>
      <c r="L170" s="20" t="s">
        <v>5386</v>
      </c>
    </row>
    <row r="171" spans="5:12" x14ac:dyDescent="0.25">
      <c r="E171" s="957" t="s">
        <v>1013</v>
      </c>
      <c r="F171" s="957" t="s">
        <v>2235</v>
      </c>
      <c r="G171" s="20" t="s">
        <v>1011</v>
      </c>
      <c r="H171" s="472" t="s">
        <v>1012</v>
      </c>
      <c r="I171" s="700" t="str">
        <f>TRIM(UPPER(tb_ingredientes[[#This Row],[ingrediente_ativo]]))</f>
        <v>DIAZINONA</v>
      </c>
      <c r="J171" s="20" t="s">
        <v>3146</v>
      </c>
      <c r="K171" s="20" t="s">
        <v>3146</v>
      </c>
      <c r="L171" s="20" t="s">
        <v>3147</v>
      </c>
    </row>
    <row r="172" spans="5:12" x14ac:dyDescent="0.25">
      <c r="E172" s="957" t="s">
        <v>1018</v>
      </c>
      <c r="F172" s="957" t="s">
        <v>2237</v>
      </c>
      <c r="G172" s="20" t="s">
        <v>1016</v>
      </c>
      <c r="H172" s="472" t="s">
        <v>1017</v>
      </c>
      <c r="I172" s="700" t="str">
        <f>TRIM(UPPER(tb_ingredientes[[#This Row],[ingrediente_ativo]]))</f>
        <v>DICAMBA</v>
      </c>
      <c r="J172" s="20" t="s">
        <v>2957</v>
      </c>
      <c r="K172" s="20" t="s">
        <v>2957</v>
      </c>
      <c r="L172" s="20" t="s">
        <v>2958</v>
      </c>
    </row>
    <row r="173" spans="5:12" x14ac:dyDescent="0.25">
      <c r="E173" s="958" t="s">
        <v>1021</v>
      </c>
      <c r="F173" s="958" t="s">
        <v>2238</v>
      </c>
      <c r="G173" s="20" t="s">
        <v>1019</v>
      </c>
      <c r="H173" s="472" t="s">
        <v>1020</v>
      </c>
      <c r="I173" s="700" t="str">
        <f>TRIM(UPPER(tb_ingredientes[[#This Row],[ingrediente_ativo]]))</f>
        <v>DICLOFOPE</v>
      </c>
      <c r="J173" s="20" t="s">
        <v>5205</v>
      </c>
      <c r="K173" s="20" t="s">
        <v>5205</v>
      </c>
      <c r="L173" s="20" t="s">
        <v>5206</v>
      </c>
    </row>
    <row r="174" spans="5:12" x14ac:dyDescent="0.25">
      <c r="E174" s="957" t="s">
        <v>1024</v>
      </c>
      <c r="F174" s="957" t="s">
        <v>2239</v>
      </c>
      <c r="G174" s="20" t="s">
        <v>1022</v>
      </c>
      <c r="H174" s="472" t="s">
        <v>1023</v>
      </c>
      <c r="I174" s="700" t="str">
        <f>TRIM(UPPER(tb_ingredientes[[#This Row],[ingrediente_ativo]]))</f>
        <v>DICLOFOPE-METÍLICO</v>
      </c>
      <c r="J174" s="20" t="s">
        <v>4402</v>
      </c>
      <c r="K174" s="20" t="s">
        <v>4402</v>
      </c>
      <c r="L174" s="20" t="s">
        <v>4403</v>
      </c>
    </row>
    <row r="175" spans="5:12" x14ac:dyDescent="0.25">
      <c r="E175" s="958" t="s">
        <v>1033</v>
      </c>
      <c r="F175" s="958" t="s">
        <v>2242</v>
      </c>
      <c r="G175" s="20" t="s">
        <v>1031</v>
      </c>
      <c r="H175" s="472" t="s">
        <v>1032</v>
      </c>
      <c r="I175" s="700" t="str">
        <f>TRIM(UPPER(tb_ingredientes[[#This Row],[ingrediente_ativo]]))</f>
        <v>DICLORVÓS</v>
      </c>
      <c r="J175" s="20" t="s">
        <v>4087</v>
      </c>
      <c r="K175" s="20" t="s">
        <v>4087</v>
      </c>
      <c r="L175" s="20" t="s">
        <v>4088</v>
      </c>
    </row>
    <row r="176" spans="5:12" x14ac:dyDescent="0.25">
      <c r="E176" s="958" t="s">
        <v>1051</v>
      </c>
      <c r="F176" s="958" t="s">
        <v>2248</v>
      </c>
      <c r="G176" s="20" t="s">
        <v>1049</v>
      </c>
      <c r="H176" s="472" t="s">
        <v>1050</v>
      </c>
      <c r="I176" s="700" t="str">
        <f>TRIM(UPPER(tb_ingredientes[[#This Row],[ingrediente_ativo]]))</f>
        <v>DIFLUBENZUROM</v>
      </c>
      <c r="J176" s="20" t="s">
        <v>2989</v>
      </c>
      <c r="K176" s="20" t="s">
        <v>2989</v>
      </c>
      <c r="L176" s="20" t="s">
        <v>2990</v>
      </c>
    </row>
    <row r="177" spans="5:12" x14ac:dyDescent="0.25">
      <c r="E177" s="958" t="s">
        <v>1063</v>
      </c>
      <c r="F177" s="958" t="s">
        <v>2252</v>
      </c>
      <c r="G177" s="20" t="s">
        <v>1061</v>
      </c>
      <c r="H177" s="472" t="s">
        <v>1062</v>
      </c>
      <c r="I177" s="700" t="str">
        <f>TRIM(UPPER(tb_ingredientes[[#This Row],[ingrediente_ativo]]))</f>
        <v>DIMETOATO</v>
      </c>
      <c r="J177" s="20" t="s">
        <v>2807</v>
      </c>
      <c r="K177" s="20" t="s">
        <v>2807</v>
      </c>
      <c r="L177" s="20" t="s">
        <v>2808</v>
      </c>
    </row>
    <row r="178" spans="5:12" x14ac:dyDescent="0.25">
      <c r="E178" s="958" t="s">
        <v>1075</v>
      </c>
      <c r="F178" s="958" t="s">
        <v>2256</v>
      </c>
      <c r="G178" s="20" t="s">
        <v>1073</v>
      </c>
      <c r="H178" s="472" t="s">
        <v>1074</v>
      </c>
      <c r="I178" s="700" t="str">
        <f>TRIM(UPPER(tb_ingredientes[[#This Row],[ingrediente_ativo]]))</f>
        <v>DIQUATE</v>
      </c>
      <c r="J178" s="20" t="s">
        <v>3095</v>
      </c>
      <c r="K178" s="20" t="s">
        <v>3095</v>
      </c>
      <c r="L178" s="20" t="s">
        <v>3096</v>
      </c>
    </row>
    <row r="179" spans="5:12" x14ac:dyDescent="0.25">
      <c r="E179" s="958" t="s">
        <v>1015</v>
      </c>
      <c r="F179" s="958" t="s">
        <v>2236</v>
      </c>
      <c r="G179" s="20" t="s">
        <v>7083</v>
      </c>
      <c r="H179" s="472" t="s">
        <v>1014</v>
      </c>
      <c r="I179" s="700" t="str">
        <f>TRIM(UPPER(tb_ingredientes[[#This Row],[ingrediente_ativo]]))</f>
        <v>DIBROMETO DE DIQUATE</v>
      </c>
      <c r="J179" s="20" t="s">
        <v>2614</v>
      </c>
      <c r="K179" s="20" t="s">
        <v>2614</v>
      </c>
      <c r="L179" s="20" t="s">
        <v>2615</v>
      </c>
    </row>
    <row r="180" spans="5:12" x14ac:dyDescent="0.25">
      <c r="E180" s="957" t="s">
        <v>1078</v>
      </c>
      <c r="F180" s="957" t="s">
        <v>2257</v>
      </c>
      <c r="G180" s="20" t="s">
        <v>1076</v>
      </c>
      <c r="H180" s="472" t="s">
        <v>1077</v>
      </c>
      <c r="I180" s="700" t="str">
        <f>TRIM(UPPER(tb_ingredientes[[#This Row],[ingrediente_ativo]]))</f>
        <v>DISSULFOTOM</v>
      </c>
      <c r="J180" s="20" t="s">
        <v>2630</v>
      </c>
      <c r="K180" s="20" t="s">
        <v>2630</v>
      </c>
      <c r="L180" s="20" t="s">
        <v>2631</v>
      </c>
    </row>
    <row r="181" spans="5:12" x14ac:dyDescent="0.25">
      <c r="E181" s="958" t="s">
        <v>1081</v>
      </c>
      <c r="F181" s="958" t="s">
        <v>2258</v>
      </c>
      <c r="G181" s="20" t="s">
        <v>1079</v>
      </c>
      <c r="H181" s="472" t="s">
        <v>1080</v>
      </c>
      <c r="I181" s="700" t="str">
        <f>TRIM(UPPER(tb_ingredientes[[#This Row],[ingrediente_ativo]]))</f>
        <v>DITIANONA</v>
      </c>
      <c r="J181" s="20" t="s">
        <v>2729</v>
      </c>
      <c r="K181" s="20" t="s">
        <v>2729</v>
      </c>
      <c r="L181" s="20" t="s">
        <v>2730</v>
      </c>
    </row>
    <row r="182" spans="5:12" x14ac:dyDescent="0.25">
      <c r="E182" s="957" t="s">
        <v>1084</v>
      </c>
      <c r="F182" s="957" t="s">
        <v>2259</v>
      </c>
      <c r="G182" s="20" t="s">
        <v>1082</v>
      </c>
      <c r="H182" s="472" t="s">
        <v>1083</v>
      </c>
      <c r="I182" s="700" t="str">
        <f>TRIM(UPPER(tb_ingredientes[[#This Row],[ingrediente_ativo]]))</f>
        <v>DIUROM</v>
      </c>
      <c r="J182" s="20" t="s">
        <v>2649</v>
      </c>
      <c r="K182" s="20" t="s">
        <v>2649</v>
      </c>
      <c r="L182" s="20" t="s">
        <v>2650</v>
      </c>
    </row>
    <row r="183" spans="5:12" x14ac:dyDescent="0.25">
      <c r="E183" s="958" t="s">
        <v>1087</v>
      </c>
      <c r="F183" s="958" t="s">
        <v>2260</v>
      </c>
      <c r="G183" s="20" t="s">
        <v>1085</v>
      </c>
      <c r="H183" s="472" t="s">
        <v>1086</v>
      </c>
      <c r="I183" s="700" t="str">
        <f>TRIM(UPPER(tb_ingredientes[[#This Row],[ingrediente_ativo]]))</f>
        <v>DODINA</v>
      </c>
      <c r="J183" s="20" t="s">
        <v>3093</v>
      </c>
      <c r="K183" s="20" t="s">
        <v>3093</v>
      </c>
      <c r="L183" s="20" t="s">
        <v>4173</v>
      </c>
    </row>
    <row r="184" spans="5:12" x14ac:dyDescent="0.25">
      <c r="E184" s="957" t="s">
        <v>517</v>
      </c>
      <c r="F184" s="957" t="s">
        <v>2085</v>
      </c>
      <c r="G184" s="20" t="s">
        <v>515</v>
      </c>
      <c r="H184" s="472" t="s">
        <v>516</v>
      </c>
      <c r="I184" s="700" t="str">
        <f>TRIM(UPPER(tb_ingredientes[[#This Row],[ingrediente_ativo]]))</f>
        <v>2,4-D</v>
      </c>
      <c r="J184" s="20" t="s">
        <v>3093</v>
      </c>
      <c r="K184" s="20" t="s">
        <v>3093</v>
      </c>
      <c r="L184" s="20" t="s">
        <v>4695</v>
      </c>
    </row>
    <row r="185" spans="5:12" x14ac:dyDescent="0.25">
      <c r="E185" s="957" t="s">
        <v>523</v>
      </c>
      <c r="F185" s="957" t="s">
        <v>2087</v>
      </c>
      <c r="G185" s="20" t="s">
        <v>521</v>
      </c>
      <c r="H185" s="472" t="s">
        <v>522</v>
      </c>
      <c r="I185" s="700" t="str">
        <f>TRIM(UPPER(tb_ingredientes[[#This Row],[ingrediente_ativo]]))</f>
        <v>2,4-D-DIMETILAMINA</v>
      </c>
      <c r="J185" s="20" t="s">
        <v>5393</v>
      </c>
      <c r="K185" s="20" t="s">
        <v>5393</v>
      </c>
      <c r="L185" s="20" t="s">
        <v>5394</v>
      </c>
    </row>
    <row r="186" spans="5:12" x14ac:dyDescent="0.25">
      <c r="E186" s="958" t="s">
        <v>526</v>
      </c>
      <c r="F186" s="958" t="s">
        <v>2088</v>
      </c>
      <c r="G186" s="20" t="s">
        <v>524</v>
      </c>
      <c r="H186" s="472" t="s">
        <v>525</v>
      </c>
      <c r="I186" s="700" t="str">
        <f>TRIM(UPPER(tb_ingredientes[[#This Row],[ingrediente_ativo]]))</f>
        <v>2,4-D-TRIETANOLAMINA</v>
      </c>
      <c r="J186" s="20" t="s">
        <v>3093</v>
      </c>
      <c r="K186" s="20" t="s">
        <v>3093</v>
      </c>
      <c r="L186" s="20" t="s">
        <v>4862</v>
      </c>
    </row>
    <row r="187" spans="5:12" x14ac:dyDescent="0.25">
      <c r="E187" s="958" t="s">
        <v>520</v>
      </c>
      <c r="F187" s="958" t="s">
        <v>2086</v>
      </c>
      <c r="G187" s="20" t="s">
        <v>518</v>
      </c>
      <c r="H187" s="472" t="s">
        <v>519</v>
      </c>
      <c r="I187" s="700" t="str">
        <f>TRIM(UPPER(tb_ingredientes[[#This Row],[ingrediente_ativo]]))</f>
        <v>2,4-D-BUTÍLICO</v>
      </c>
      <c r="J187" s="20" t="s">
        <v>3093</v>
      </c>
      <c r="K187" s="20" t="s">
        <v>3093</v>
      </c>
      <c r="L187" s="20" t="s">
        <v>4862</v>
      </c>
    </row>
    <row r="188" spans="5:12" x14ac:dyDescent="0.25">
      <c r="E188" s="957" t="s">
        <v>529</v>
      </c>
      <c r="F188" s="957" t="s">
        <v>2089</v>
      </c>
      <c r="G188" s="20" t="s">
        <v>527</v>
      </c>
      <c r="H188" s="472" t="s">
        <v>528</v>
      </c>
      <c r="I188" s="700" t="str">
        <f>TRIM(UPPER(tb_ingredientes[[#This Row],[ingrediente_ativo]]))</f>
        <v>2,4-D-TRIISOPROPANOLAMINA</v>
      </c>
      <c r="J188" s="20" t="s">
        <v>3093</v>
      </c>
      <c r="K188" s="20" t="s">
        <v>3093</v>
      </c>
      <c r="L188" s="20" t="s">
        <v>4745</v>
      </c>
    </row>
    <row r="189" spans="5:12" x14ac:dyDescent="0.25">
      <c r="E189" s="958" t="s">
        <v>1027</v>
      </c>
      <c r="F189" s="958" t="s">
        <v>2240</v>
      </c>
      <c r="G189" s="20" t="s">
        <v>1025</v>
      </c>
      <c r="H189" s="472" t="s">
        <v>1026</v>
      </c>
      <c r="I189" s="700" t="str">
        <f>TRIM(UPPER(tb_ingredientes[[#This Row],[ingrediente_ativo]]))</f>
        <v>DICLORANA</v>
      </c>
      <c r="J189" s="20" t="s">
        <v>2673</v>
      </c>
      <c r="K189" s="20" t="s">
        <v>2673</v>
      </c>
      <c r="L189" s="20" t="s">
        <v>2674</v>
      </c>
    </row>
    <row r="190" spans="5:12" x14ac:dyDescent="0.25">
      <c r="E190" s="958" t="s">
        <v>994</v>
      </c>
      <c r="F190" s="958" t="s">
        <v>2230</v>
      </c>
      <c r="G190" s="20" t="s">
        <v>992</v>
      </c>
      <c r="H190" s="472" t="s">
        <v>993</v>
      </c>
      <c r="I190" s="700" t="str">
        <f>TRIM(UPPER(tb_ingredientes[[#This Row],[ingrediente_ativo]]))</f>
        <v>DAMINOZIDA</v>
      </c>
      <c r="J190" s="20" t="s">
        <v>3771</v>
      </c>
      <c r="K190" s="20" t="s">
        <v>3771</v>
      </c>
      <c r="L190" s="20" t="s">
        <v>3772</v>
      </c>
    </row>
    <row r="191" spans="5:12" x14ac:dyDescent="0.25">
      <c r="E191" s="958" t="s">
        <v>1000</v>
      </c>
      <c r="F191" s="958" t="s">
        <v>2232</v>
      </c>
      <c r="G191" s="20" t="s">
        <v>998</v>
      </c>
      <c r="H191" s="472" t="s">
        <v>999</v>
      </c>
      <c r="I191" s="700" t="str">
        <f>TRIM(UPPER(tb_ingredientes[[#This Row],[ingrediente_ativo]]))</f>
        <v>DECANOL</v>
      </c>
      <c r="J191" s="20" t="s">
        <v>3773</v>
      </c>
      <c r="K191" s="20" t="s">
        <v>3773</v>
      </c>
      <c r="L191" s="20" t="s">
        <v>3774</v>
      </c>
    </row>
    <row r="192" spans="5:12" x14ac:dyDescent="0.25">
      <c r="E192" s="958" t="s">
        <v>1045</v>
      </c>
      <c r="F192" s="958" t="s">
        <v>2246</v>
      </c>
      <c r="G192" s="20" t="s">
        <v>1043</v>
      </c>
      <c r="H192" s="472" t="s">
        <v>1044</v>
      </c>
      <c r="I192" s="700" t="str">
        <f>TRIM(UPPER(tb_ingredientes[[#This Row],[ingrediente_ativo]]))</f>
        <v>DIFENOCONAZOL</v>
      </c>
      <c r="J192" s="20" t="s">
        <v>2777</v>
      </c>
      <c r="K192" s="20" t="s">
        <v>2777</v>
      </c>
      <c r="L192" s="20" t="s">
        <v>2778</v>
      </c>
    </row>
    <row r="193" spans="5:12" x14ac:dyDescent="0.25">
      <c r="E193" s="958" t="s">
        <v>1057</v>
      </c>
      <c r="F193" s="958" t="s">
        <v>2250</v>
      </c>
      <c r="G193" s="20" t="s">
        <v>1055</v>
      </c>
      <c r="H193" s="472" t="s">
        <v>1056</v>
      </c>
      <c r="I193" s="700" t="str">
        <f>TRIM(UPPER(tb_ingredientes[[#This Row],[ingrediente_ativo]]))</f>
        <v>DIMETENAMIDA</v>
      </c>
      <c r="J193" s="20" t="s">
        <v>3858</v>
      </c>
      <c r="K193" s="20" t="s">
        <v>3858</v>
      </c>
      <c r="L193" s="20" t="s">
        <v>3859</v>
      </c>
    </row>
    <row r="194" spans="5:12" x14ac:dyDescent="0.25">
      <c r="E194" s="957" t="s">
        <v>1048</v>
      </c>
      <c r="F194" s="957" t="s">
        <v>2247</v>
      </c>
      <c r="G194" s="20" t="s">
        <v>1046</v>
      </c>
      <c r="H194" s="472" t="s">
        <v>1047</v>
      </c>
      <c r="I194" s="700" t="str">
        <f>TRIM(UPPER(tb_ingredientes[[#This Row],[ingrediente_ativo]]))</f>
        <v>DIFETIALONA</v>
      </c>
      <c r="J194" s="20" t="s">
        <v>4250</v>
      </c>
      <c r="K194" s="20" t="s">
        <v>4250</v>
      </c>
      <c r="L194" s="20" t="s">
        <v>4251</v>
      </c>
    </row>
    <row r="195" spans="5:12" x14ac:dyDescent="0.25">
      <c r="E195" s="957" t="s">
        <v>1066</v>
      </c>
      <c r="F195" s="957" t="s">
        <v>2253</v>
      </c>
      <c r="G195" s="20" t="s">
        <v>1064</v>
      </c>
      <c r="H195" s="472" t="s">
        <v>1065</v>
      </c>
      <c r="I195" s="700" t="str">
        <f>TRIM(UPPER(tb_ingredientes[[#This Row],[ingrediente_ativo]]))</f>
        <v>DIMETOMORFE</v>
      </c>
      <c r="J195" s="20" t="s">
        <v>2965</v>
      </c>
      <c r="K195" s="20" t="s">
        <v>2965</v>
      </c>
      <c r="L195" s="20" t="s">
        <v>2966</v>
      </c>
    </row>
    <row r="196" spans="5:12" x14ac:dyDescent="0.25">
      <c r="E196" s="957" t="s">
        <v>1042</v>
      </c>
      <c r="F196" s="957" t="s">
        <v>2245</v>
      </c>
      <c r="G196" s="20" t="s">
        <v>1040</v>
      </c>
      <c r="H196" s="472" t="s">
        <v>1041</v>
      </c>
      <c r="I196" s="700" t="str">
        <f>TRIM(UPPER(tb_ingredientes[[#This Row],[ingrediente_ativo]]))</f>
        <v>DIFENACUMA</v>
      </c>
      <c r="J196" s="20" t="s">
        <v>2759</v>
      </c>
      <c r="K196" s="20" t="s">
        <v>2759</v>
      </c>
      <c r="L196" s="20" t="s">
        <v>2760</v>
      </c>
    </row>
    <row r="197" spans="5:12" x14ac:dyDescent="0.25">
      <c r="E197" s="958" t="s">
        <v>1010</v>
      </c>
      <c r="F197" s="958" t="s">
        <v>2234</v>
      </c>
      <c r="G197" s="20" t="s">
        <v>1008</v>
      </c>
      <c r="H197" s="472" t="s">
        <v>1009</v>
      </c>
      <c r="I197" s="700" t="str">
        <f>TRIM(UPPER(tb_ingredientes[[#This Row],[ingrediente_ativo]]))</f>
        <v>DIAFENTIUROM</v>
      </c>
      <c r="J197" s="20" t="s">
        <v>2773</v>
      </c>
      <c r="K197" s="20" t="s">
        <v>2773</v>
      </c>
      <c r="L197" s="20" t="s">
        <v>2774</v>
      </c>
    </row>
    <row r="198" spans="5:12" x14ac:dyDescent="0.25">
      <c r="E198" s="957" t="s">
        <v>1072</v>
      </c>
      <c r="F198" s="957" t="s">
        <v>2255</v>
      </c>
      <c r="G198" s="20" t="s">
        <v>1070</v>
      </c>
      <c r="H198" s="472" t="s">
        <v>1071</v>
      </c>
      <c r="I198" s="700" t="str">
        <f>TRIM(UPPER(tb_ingredientes[[#This Row],[ingrediente_ativo]]))</f>
        <v>DINOCAPE</v>
      </c>
      <c r="J198" s="20" t="s">
        <v>4218</v>
      </c>
      <c r="K198" s="20" t="s">
        <v>4218</v>
      </c>
      <c r="L198" s="20" t="s">
        <v>4219</v>
      </c>
    </row>
    <row r="199" spans="5:12" x14ac:dyDescent="0.25">
      <c r="E199" s="957" t="s">
        <v>1036</v>
      </c>
      <c r="F199" s="957" t="s">
        <v>2243</v>
      </c>
      <c r="G199" s="20" t="s">
        <v>1034</v>
      </c>
      <c r="H199" s="472" t="s">
        <v>1035</v>
      </c>
      <c r="I199" s="700" t="str">
        <f>TRIM(UPPER(tb_ingredientes[[#This Row],[ingrediente_ativo]]))</f>
        <v>DICLOSULAM</v>
      </c>
      <c r="J199" s="20" t="s">
        <v>3961</v>
      </c>
      <c r="K199" s="20" t="s">
        <v>3961</v>
      </c>
      <c r="L199" s="20" t="s">
        <v>3962</v>
      </c>
    </row>
    <row r="200" spans="5:12" x14ac:dyDescent="0.25">
      <c r="E200" s="957" t="s">
        <v>1054</v>
      </c>
      <c r="F200" s="957" t="s">
        <v>2249</v>
      </c>
      <c r="G200" s="20" t="s">
        <v>1052</v>
      </c>
      <c r="H200" s="472" t="s">
        <v>1053</v>
      </c>
      <c r="I200" s="700" t="str">
        <f>TRIM(UPPER(tb_ingredientes[[#This Row],[ingrediente_ativo]]))</f>
        <v>DIFLUFENICAM</v>
      </c>
      <c r="J200" s="20" t="s">
        <v>4022</v>
      </c>
      <c r="K200" s="20" t="s">
        <v>4022</v>
      </c>
      <c r="L200" s="20" t="s">
        <v>4023</v>
      </c>
    </row>
    <row r="201" spans="5:12" x14ac:dyDescent="0.25">
      <c r="E201" s="957" t="s">
        <v>535</v>
      </c>
      <c r="F201" s="957" t="s">
        <v>2091</v>
      </c>
      <c r="G201" s="20" t="s">
        <v>533</v>
      </c>
      <c r="H201" s="472" t="s">
        <v>534</v>
      </c>
      <c r="I201" s="700" t="str">
        <f>TRIM(UPPER(tb_ingredientes[[#This Row],[ingrediente_ativo]]))</f>
        <v>5,9-DIMETILPENTADECANO</v>
      </c>
      <c r="J201" s="20" t="s">
        <v>5094</v>
      </c>
      <c r="K201" s="20" t="s">
        <v>5094</v>
      </c>
      <c r="L201" s="20" t="s">
        <v>5095</v>
      </c>
    </row>
    <row r="202" spans="5:12" x14ac:dyDescent="0.25">
      <c r="E202" s="957" t="s">
        <v>493</v>
      </c>
      <c r="F202" s="957" t="s">
        <v>2077</v>
      </c>
      <c r="G202" s="20" t="s">
        <v>491</v>
      </c>
      <c r="H202" s="472" t="s">
        <v>492</v>
      </c>
      <c r="I202" s="700" t="str">
        <f>TRIM(UPPER(tb_ingredientes[[#This Row],[ingrediente_ativo]]))</f>
        <v>(E)-8-DODECENOL</v>
      </c>
      <c r="J202" s="20" t="s">
        <v>4860</v>
      </c>
      <c r="K202" s="20" t="s">
        <v>4860</v>
      </c>
      <c r="L202" s="20" t="s">
        <v>4861</v>
      </c>
    </row>
    <row r="203" spans="5:12" x14ac:dyDescent="0.25">
      <c r="E203" s="957" t="s">
        <v>505</v>
      </c>
      <c r="F203" s="957" t="s">
        <v>2081</v>
      </c>
      <c r="G203" s="20" t="s">
        <v>503</v>
      </c>
      <c r="H203" s="472" t="s">
        <v>504</v>
      </c>
      <c r="I203" s="700" t="str">
        <f>TRIM(UPPER(tb_ingredientes[[#This Row],[ingrediente_ativo]]))</f>
        <v>(Z)-8-DODECENOL</v>
      </c>
      <c r="J203" s="20" t="s">
        <v>4934</v>
      </c>
      <c r="K203" s="20" t="s">
        <v>4934</v>
      </c>
      <c r="L203" s="20" t="s">
        <v>4935</v>
      </c>
    </row>
    <row r="204" spans="5:12" x14ac:dyDescent="0.25">
      <c r="E204" s="958" t="s">
        <v>1039</v>
      </c>
      <c r="F204" s="958" t="s">
        <v>2244</v>
      </c>
      <c r="G204" s="20" t="s">
        <v>1037</v>
      </c>
      <c r="H204" s="472" t="s">
        <v>1038</v>
      </c>
      <c r="I204" s="700" t="str">
        <f>TRIM(UPPER(tb_ingredientes[[#This Row],[ingrediente_ativo]]))</f>
        <v>DIFACINONA</v>
      </c>
      <c r="J204" s="20" t="s">
        <v>4704</v>
      </c>
      <c r="K204" s="20" t="s">
        <v>4704</v>
      </c>
      <c r="L204" s="20" t="s">
        <v>4705</v>
      </c>
    </row>
    <row r="205" spans="5:12" x14ac:dyDescent="0.25">
      <c r="E205" s="958" t="s">
        <v>532</v>
      </c>
      <c r="F205" s="958" t="s">
        <v>2090</v>
      </c>
      <c r="G205" s="20" t="s">
        <v>530</v>
      </c>
      <c r="H205" s="472" t="s">
        <v>531</v>
      </c>
      <c r="I205" s="700" t="str">
        <f>TRIM(UPPER(tb_ingredientes[[#This Row],[ingrediente_ativo]]))</f>
        <v>4,8-DIMETILDECANAL</v>
      </c>
      <c r="J205" s="20" t="s">
        <v>4607</v>
      </c>
      <c r="K205" s="20" t="s">
        <v>4607</v>
      </c>
      <c r="L205" s="20" t="s">
        <v>4608</v>
      </c>
    </row>
    <row r="206" spans="5:12" x14ac:dyDescent="0.25">
      <c r="E206" s="957" t="s">
        <v>661</v>
      </c>
      <c r="F206" s="957" t="s">
        <v>661</v>
      </c>
      <c r="G206" s="20" t="s">
        <v>1006</v>
      </c>
      <c r="H206" s="472" t="s">
        <v>1007</v>
      </c>
      <c r="I206" s="700" t="str">
        <f>TRIM(UPPER(tb_ingredientes[[#This Row],[ingrediente_ativo]]))</f>
        <v>DIACHASMIMORPHA LONGICAUDATA</v>
      </c>
      <c r="J206" s="20" t="s">
        <v>4634</v>
      </c>
      <c r="K206" s="20" t="s">
        <v>4634</v>
      </c>
      <c r="L206" s="20" t="s">
        <v>4635</v>
      </c>
    </row>
    <row r="207" spans="5:12" x14ac:dyDescent="0.25">
      <c r="E207" s="957" t="s">
        <v>1060</v>
      </c>
      <c r="F207" s="957" t="s">
        <v>2251</v>
      </c>
      <c r="G207" s="20" t="s">
        <v>1058</v>
      </c>
      <c r="H207" s="472" t="s">
        <v>1059</v>
      </c>
      <c r="I207" s="700" t="str">
        <f>TRIM(UPPER(tb_ingredientes[[#This Row],[ingrediente_ativo]]))</f>
        <v>DIMETENAMIDA -P</v>
      </c>
      <c r="J207" s="20" t="s">
        <v>4659</v>
      </c>
      <c r="K207" s="20" t="s">
        <v>4659</v>
      </c>
      <c r="L207" s="20" t="s">
        <v>4660</v>
      </c>
    </row>
    <row r="208" spans="5:12" x14ac:dyDescent="0.25">
      <c r="E208" s="958" t="s">
        <v>514</v>
      </c>
      <c r="F208" s="958" t="s">
        <v>2084</v>
      </c>
      <c r="G208" s="20" t="s">
        <v>512</v>
      </c>
      <c r="H208" s="472" t="s">
        <v>513</v>
      </c>
      <c r="I208" s="700" t="str">
        <f>TRIM(UPPER(tb_ingredientes[[#This Row],[ingrediente_ativo]]))</f>
        <v>1,4-DIMETOXIBENZENO</v>
      </c>
      <c r="J208" s="20" t="s">
        <v>4835</v>
      </c>
      <c r="K208" s="20" t="s">
        <v>4835</v>
      </c>
      <c r="L208" s="20" t="s">
        <v>4836</v>
      </c>
    </row>
    <row r="209" spans="5:12" x14ac:dyDescent="0.25">
      <c r="E209" s="958" t="s">
        <v>1069</v>
      </c>
      <c r="F209" s="958" t="s">
        <v>2254</v>
      </c>
      <c r="G209" s="20" t="s">
        <v>1067</v>
      </c>
      <c r="H209" s="472" t="s">
        <v>1068</v>
      </c>
      <c r="I209" s="700" t="str">
        <f>TRIM(UPPER(tb_ingredientes[[#This Row],[ingrediente_ativo]]))</f>
        <v>DIMOXISTROBINA</v>
      </c>
      <c r="J209" s="20" t="s">
        <v>4781</v>
      </c>
      <c r="K209" s="20" t="s">
        <v>4781</v>
      </c>
      <c r="L209" s="20" t="s">
        <v>4782</v>
      </c>
    </row>
    <row r="210" spans="5:12" x14ac:dyDescent="0.25">
      <c r="E210" s="957" t="s">
        <v>661</v>
      </c>
      <c r="F210" s="957" t="s">
        <v>661</v>
      </c>
      <c r="G210" s="20" t="s">
        <v>1001</v>
      </c>
      <c r="H210" s="472" t="s">
        <v>1002</v>
      </c>
      <c r="I210" s="700" t="str">
        <f>TRIM(UPPER(tb_ingredientes[[#This Row],[ingrediente_ativo]]))</f>
        <v>DELADENUS SIRICIDICOLA</v>
      </c>
      <c r="J210" s="20" t="s">
        <v>5268</v>
      </c>
      <c r="K210" s="20" t="s">
        <v>5268</v>
      </c>
      <c r="L210" s="20" t="s">
        <v>5269</v>
      </c>
    </row>
    <row r="211" spans="5:12" x14ac:dyDescent="0.25">
      <c r="E211" s="958" t="s">
        <v>7172</v>
      </c>
      <c r="F211" s="958" t="s">
        <v>7175</v>
      </c>
      <c r="G211" s="20" t="s">
        <v>7171</v>
      </c>
      <c r="H211" s="472" t="s">
        <v>7173</v>
      </c>
      <c r="I211" s="700" t="str">
        <f>TRIM(UPPER(tb_ingredientes[[#This Row],[ingrediente_ativo]]))</f>
        <v>DINOTEFURANO</v>
      </c>
      <c r="J211" s="20" t="s">
        <v>5108</v>
      </c>
      <c r="K211" s="20" t="s">
        <v>5108</v>
      </c>
      <c r="L211" s="20" t="s">
        <v>5109</v>
      </c>
    </row>
    <row r="212" spans="5:12" x14ac:dyDescent="0.25">
      <c r="E212" s="958" t="s">
        <v>1099</v>
      </c>
      <c r="F212" s="958" t="s">
        <v>2264</v>
      </c>
      <c r="G212" s="20" t="s">
        <v>1097</v>
      </c>
      <c r="H212" s="472" t="s">
        <v>1098</v>
      </c>
      <c r="I212" s="700" t="str">
        <f>TRIM(UPPER(tb_ingredientes[[#This Row],[ingrediente_ativo]]))</f>
        <v>EDIFENFÓS</v>
      </c>
      <c r="J212" s="20" t="s">
        <v>4685</v>
      </c>
      <c r="K212" s="20" t="s">
        <v>4685</v>
      </c>
      <c r="L212" s="20" t="s">
        <v>4686</v>
      </c>
    </row>
    <row r="213" spans="5:12" x14ac:dyDescent="0.25">
      <c r="E213" s="958" t="s">
        <v>1105</v>
      </c>
      <c r="F213" s="958" t="s">
        <v>2266</v>
      </c>
      <c r="G213" s="20" t="s">
        <v>1103</v>
      </c>
      <c r="H213" s="472" t="s">
        <v>1104</v>
      </c>
      <c r="I213" s="700" t="str">
        <f>TRIM(UPPER(tb_ingredientes[[#This Row],[ingrediente_ativo]]))</f>
        <v>ENXOFRE</v>
      </c>
      <c r="J213" s="20" t="s">
        <v>4839</v>
      </c>
      <c r="K213" s="20" t="s">
        <v>4839</v>
      </c>
      <c r="L213" s="20" t="s">
        <v>4840</v>
      </c>
    </row>
    <row r="214" spans="5:12" x14ac:dyDescent="0.25">
      <c r="E214" s="958" t="s">
        <v>1134</v>
      </c>
      <c r="F214" s="958" t="s">
        <v>2275</v>
      </c>
      <c r="G214" s="20" t="s">
        <v>1132</v>
      </c>
      <c r="H214" s="472" t="s">
        <v>1133</v>
      </c>
      <c r="I214" s="700" t="str">
        <f>TRIM(UPPER(tb_ingredientes[[#This Row],[ingrediente_ativo]]))</f>
        <v>ETEFOM</v>
      </c>
      <c r="J214" s="20" t="s">
        <v>5225</v>
      </c>
      <c r="K214" s="20" t="s">
        <v>5225</v>
      </c>
      <c r="L214" s="20" t="s">
        <v>5226</v>
      </c>
    </row>
    <row r="215" spans="5:12" x14ac:dyDescent="0.25">
      <c r="E215" s="958" t="s">
        <v>1146</v>
      </c>
      <c r="F215" s="958" t="s">
        <v>2279</v>
      </c>
      <c r="G215" s="20" t="s">
        <v>1144</v>
      </c>
      <c r="H215" s="472" t="s">
        <v>1145</v>
      </c>
      <c r="I215" s="700" t="str">
        <f>TRIM(UPPER(tb_ingredientes[[#This Row],[ingrediente_ativo]]))</f>
        <v>ETOPROFÓS</v>
      </c>
      <c r="J215" s="20" t="s">
        <v>4837</v>
      </c>
      <c r="K215" s="20" t="s">
        <v>4837</v>
      </c>
      <c r="L215" s="20" t="s">
        <v>4838</v>
      </c>
    </row>
    <row r="216" spans="5:12" x14ac:dyDescent="0.25">
      <c r="E216" s="957" t="s">
        <v>1137</v>
      </c>
      <c r="F216" s="957" t="s">
        <v>2276</v>
      </c>
      <c r="G216" s="20" t="s">
        <v>1135</v>
      </c>
      <c r="H216" s="472" t="s">
        <v>1136</v>
      </c>
      <c r="I216" s="700" t="str">
        <f>TRIM(UPPER(tb_ingredientes[[#This Row],[ingrediente_ativo]]))</f>
        <v>ETIONA</v>
      </c>
      <c r="J216" s="20" t="s">
        <v>5104</v>
      </c>
      <c r="K216" s="20" t="s">
        <v>5104</v>
      </c>
      <c r="L216" s="20" t="s">
        <v>5105</v>
      </c>
    </row>
    <row r="217" spans="5:12" x14ac:dyDescent="0.25">
      <c r="E217" s="957" t="s">
        <v>1155</v>
      </c>
      <c r="F217" s="957" t="s">
        <v>2282</v>
      </c>
      <c r="G217" s="20" t="s">
        <v>1153</v>
      </c>
      <c r="H217" s="472" t="s">
        <v>1154</v>
      </c>
      <c r="I217" s="700" t="str">
        <f>TRIM(UPPER(tb_ingredientes[[#This Row],[ingrediente_ativo]]))</f>
        <v>ETRIDIAZOL</v>
      </c>
      <c r="J217" s="20" t="s">
        <v>5010</v>
      </c>
      <c r="K217" s="20" t="s">
        <v>5010</v>
      </c>
      <c r="L217" s="20" t="s">
        <v>5011</v>
      </c>
    </row>
    <row r="218" spans="5:12" x14ac:dyDescent="0.25">
      <c r="E218" s="957" t="s">
        <v>1102</v>
      </c>
      <c r="F218" s="957" t="s">
        <v>2265</v>
      </c>
      <c r="G218" s="20" t="s">
        <v>1100</v>
      </c>
      <c r="H218" s="472" t="s">
        <v>1101</v>
      </c>
      <c r="I218" s="700" t="str">
        <f>TRIM(UPPER(tb_ingredientes[[#This Row],[ingrediente_ativo]]))</f>
        <v>EMPENTRINA</v>
      </c>
      <c r="J218" s="20" t="s">
        <v>4972</v>
      </c>
      <c r="K218" s="20" t="s">
        <v>4972</v>
      </c>
      <c r="L218" s="20" t="s">
        <v>4973</v>
      </c>
    </row>
    <row r="219" spans="5:12" x14ac:dyDescent="0.25">
      <c r="E219" s="958" t="s">
        <v>1111</v>
      </c>
      <c r="F219" s="958" t="s">
        <v>2268</v>
      </c>
      <c r="G219" s="20" t="s">
        <v>1109</v>
      </c>
      <c r="H219" s="472" t="s">
        <v>1110</v>
      </c>
      <c r="I219" s="700" t="str">
        <f>TRIM(UPPER(tb_ingredientes[[#This Row],[ingrediente_ativo]]))</f>
        <v>ESBIOL</v>
      </c>
      <c r="J219" s="20" t="s">
        <v>4628</v>
      </c>
      <c r="K219" s="20" t="s">
        <v>4628</v>
      </c>
      <c r="L219" s="20" t="s">
        <v>4629</v>
      </c>
    </row>
    <row r="220" spans="5:12" x14ac:dyDescent="0.25">
      <c r="E220" s="958" t="s">
        <v>1116</v>
      </c>
      <c r="F220" s="958" t="s">
        <v>2269</v>
      </c>
      <c r="G220" s="20" t="s">
        <v>1114</v>
      </c>
      <c r="H220" s="472" t="s">
        <v>1115</v>
      </c>
      <c r="I220" s="700" t="str">
        <f>TRIM(UPPER(tb_ingredientes[[#This Row],[ingrediente_ativo]]))</f>
        <v>ESFENVALERATO</v>
      </c>
      <c r="J220" s="20" t="s">
        <v>4655</v>
      </c>
      <c r="K220" s="20" t="s">
        <v>4655</v>
      </c>
      <c r="L220" s="20" t="s">
        <v>4656</v>
      </c>
    </row>
    <row r="221" spans="5:12" x14ac:dyDescent="0.25">
      <c r="E221" s="957" t="s">
        <v>1143</v>
      </c>
      <c r="F221" s="957" t="s">
        <v>2278</v>
      </c>
      <c r="G221" s="20" t="s">
        <v>1141</v>
      </c>
      <c r="H221" s="472" t="s">
        <v>1142</v>
      </c>
      <c r="I221" s="700" t="str">
        <f>TRIM(UPPER(tb_ingredientes[[#This Row],[ingrediente_ativo]]))</f>
        <v>ETOFENPROXI</v>
      </c>
      <c r="J221" s="20" t="s">
        <v>4950</v>
      </c>
      <c r="K221" s="20" t="s">
        <v>4950</v>
      </c>
      <c r="L221" s="20" t="s">
        <v>4951</v>
      </c>
    </row>
    <row r="222" spans="5:12" x14ac:dyDescent="0.25">
      <c r="E222" s="957" t="s">
        <v>1111</v>
      </c>
      <c r="F222" s="957" t="s">
        <v>2268</v>
      </c>
      <c r="G222" s="20" t="s">
        <v>1112</v>
      </c>
      <c r="H222" s="472" t="s">
        <v>1113</v>
      </c>
      <c r="I222" s="700" t="str">
        <f>TRIM(UPPER(tb_ingredientes[[#This Row],[ingrediente_ativo]]))</f>
        <v>ESBIOTRIM</v>
      </c>
      <c r="J222" s="20" t="s">
        <v>4779</v>
      </c>
      <c r="K222" s="20" t="s">
        <v>4779</v>
      </c>
      <c r="L222" s="20" t="s">
        <v>4780</v>
      </c>
    </row>
    <row r="223" spans="5:12" x14ac:dyDescent="0.25">
      <c r="E223" s="957" t="s">
        <v>1108</v>
      </c>
      <c r="F223" s="957" t="s">
        <v>2267</v>
      </c>
      <c r="G223" s="20" t="s">
        <v>1106</v>
      </c>
      <c r="H223" s="472" t="s">
        <v>1107</v>
      </c>
      <c r="I223" s="700" t="str">
        <f>TRIM(UPPER(tb_ingredientes[[#This Row],[ingrediente_ativo]]))</f>
        <v>EPOXICONAZOL</v>
      </c>
      <c r="J223" s="20" t="s">
        <v>4657</v>
      </c>
      <c r="K223" s="20" t="s">
        <v>4657</v>
      </c>
      <c r="L223" s="20" t="s">
        <v>4658</v>
      </c>
    </row>
    <row r="224" spans="5:12" x14ac:dyDescent="0.25">
      <c r="E224" s="958" t="s">
        <v>1152</v>
      </c>
      <c r="F224" s="958" t="s">
        <v>2281</v>
      </c>
      <c r="G224" s="20" t="s">
        <v>1150</v>
      </c>
      <c r="H224" s="472" t="s">
        <v>1151</v>
      </c>
      <c r="I224" s="700" t="str">
        <f>TRIM(UPPER(tb_ingredientes[[#This Row],[ingrediente_ativo]]))</f>
        <v>ETOXISSULFUROM</v>
      </c>
      <c r="J224" s="20" t="s">
        <v>5037</v>
      </c>
      <c r="K224" s="20" t="s">
        <v>5037</v>
      </c>
      <c r="L224" s="20" t="s">
        <v>5038</v>
      </c>
    </row>
    <row r="225" spans="5:12" x14ac:dyDescent="0.25">
      <c r="E225" s="958" t="s">
        <v>1122</v>
      </c>
      <c r="F225" s="958" t="s">
        <v>2271</v>
      </c>
      <c r="G225" s="20" t="s">
        <v>1120</v>
      </c>
      <c r="H225" s="472" t="s">
        <v>1121</v>
      </c>
      <c r="I225" s="700" t="str">
        <f>TRIM(UPPER(tb_ingredientes[[#This Row],[ingrediente_ativo]]))</f>
        <v>ESPINOSADE</v>
      </c>
      <c r="J225" s="20" t="s">
        <v>4777</v>
      </c>
      <c r="K225" s="20" t="s">
        <v>4777</v>
      </c>
      <c r="L225" s="20" t="s">
        <v>4778</v>
      </c>
    </row>
    <row r="226" spans="5:12" x14ac:dyDescent="0.25">
      <c r="E226" s="957" t="s">
        <v>1125</v>
      </c>
      <c r="F226" s="957" t="s">
        <v>2272</v>
      </c>
      <c r="G226" s="20" t="s">
        <v>1123</v>
      </c>
      <c r="H226" s="472" t="s">
        <v>1124</v>
      </c>
      <c r="I226" s="700" t="str">
        <f>TRIM(UPPER(tb_ingredientes[[#This Row],[ingrediente_ativo]]))</f>
        <v>ESPIRODICLOFENO</v>
      </c>
      <c r="J226" s="20" t="s">
        <v>4833</v>
      </c>
      <c r="K226" s="20" t="s">
        <v>4833</v>
      </c>
      <c r="L226" s="20" t="s">
        <v>4834</v>
      </c>
    </row>
    <row r="227" spans="5:12" x14ac:dyDescent="0.25">
      <c r="E227" s="958" t="s">
        <v>1128</v>
      </c>
      <c r="F227" s="958" t="s">
        <v>2273</v>
      </c>
      <c r="G227" s="20" t="s">
        <v>1126</v>
      </c>
      <c r="H227" s="472" t="s">
        <v>1127</v>
      </c>
      <c r="I227" s="700" t="str">
        <f>TRIM(UPPER(tb_ingredientes[[#This Row],[ingrediente_ativo]]))</f>
        <v>ESPIROMESIFENO</v>
      </c>
      <c r="J227" s="20" t="s">
        <v>5092</v>
      </c>
      <c r="K227" s="20" t="s">
        <v>5092</v>
      </c>
      <c r="L227" s="20" t="s">
        <v>5093</v>
      </c>
    </row>
    <row r="228" spans="5:12" x14ac:dyDescent="0.25">
      <c r="E228" s="957" t="s">
        <v>1131</v>
      </c>
      <c r="F228" s="957" t="s">
        <v>2274</v>
      </c>
      <c r="G228" s="20" t="s">
        <v>1129</v>
      </c>
      <c r="H228" s="472" t="s">
        <v>1130</v>
      </c>
      <c r="I228" s="700" t="str">
        <f>TRIM(UPPER(tb_ingredientes[[#This Row],[ingrediente_ativo]]))</f>
        <v>ETANOL</v>
      </c>
      <c r="J228" s="20" t="s">
        <v>3702</v>
      </c>
      <c r="K228" s="20" t="s">
        <v>3702</v>
      </c>
      <c r="L228" s="20" t="s">
        <v>3703</v>
      </c>
    </row>
    <row r="229" spans="5:12" x14ac:dyDescent="0.25">
      <c r="E229" s="958" t="s">
        <v>1158</v>
      </c>
      <c r="F229" s="958" t="s">
        <v>2283</v>
      </c>
      <c r="G229" s="20" t="s">
        <v>1156</v>
      </c>
      <c r="H229" s="472" t="s">
        <v>1157</v>
      </c>
      <c r="I229" s="700" t="str">
        <f>TRIM(UPPER(tb_ingredientes[[#This Row],[ingrediente_ativo]]))</f>
        <v>EUGENOL-METÍLICO</v>
      </c>
      <c r="J229" s="20" t="s">
        <v>4471</v>
      </c>
      <c r="K229" s="20" t="s">
        <v>4471</v>
      </c>
      <c r="L229" s="20" t="s">
        <v>4472</v>
      </c>
    </row>
    <row r="230" spans="5:12" x14ac:dyDescent="0.25">
      <c r="E230" s="958" t="s">
        <v>1140</v>
      </c>
      <c r="F230" s="958" t="s">
        <v>2277</v>
      </c>
      <c r="G230" s="20" t="s">
        <v>1138</v>
      </c>
      <c r="H230" s="472" t="s">
        <v>1139</v>
      </c>
      <c r="I230" s="700" t="str">
        <f>TRIM(UPPER(tb_ingredientes[[#This Row],[ingrediente_ativo]]))</f>
        <v>ETIPROLE</v>
      </c>
      <c r="J230" s="20" t="s">
        <v>4997</v>
      </c>
      <c r="K230" s="20" t="s">
        <v>4997</v>
      </c>
      <c r="L230" s="20" t="s">
        <v>4998</v>
      </c>
    </row>
    <row r="231" spans="5:12" x14ac:dyDescent="0.25">
      <c r="E231" s="957" t="s">
        <v>1149</v>
      </c>
      <c r="F231" s="957" t="s">
        <v>2280</v>
      </c>
      <c r="G231" s="20" t="s">
        <v>1147</v>
      </c>
      <c r="H231" s="472" t="s">
        <v>1148</v>
      </c>
      <c r="I231" s="700" t="str">
        <f>TRIM(UPPER(tb_ingredientes[[#This Row],[ingrediente_ativo]]))</f>
        <v>ETOXAZOL</v>
      </c>
      <c r="J231" s="20" t="s">
        <v>3093</v>
      </c>
      <c r="K231" s="20" t="s">
        <v>3093</v>
      </c>
      <c r="L231" s="20" t="s">
        <v>5343</v>
      </c>
    </row>
    <row r="232" spans="5:12" x14ac:dyDescent="0.25">
      <c r="E232" s="957" t="s">
        <v>1096</v>
      </c>
      <c r="F232" s="957" t="s">
        <v>2263</v>
      </c>
      <c r="G232" s="20" t="s">
        <v>1094</v>
      </c>
      <c r="H232" s="472" t="s">
        <v>1095</v>
      </c>
      <c r="I232" s="700" t="str">
        <f>TRIM(UPPER(tb_ingredientes[[#This Row],[ingrediente_ativo]]))</f>
        <v>ECKLONIA MAXIMA</v>
      </c>
      <c r="J232" s="20" t="s">
        <v>4841</v>
      </c>
      <c r="K232" s="20" t="s">
        <v>4841</v>
      </c>
      <c r="L232" s="20" t="s">
        <v>4842</v>
      </c>
    </row>
    <row r="233" spans="5:12" x14ac:dyDescent="0.25">
      <c r="E233" s="957" t="s">
        <v>1119</v>
      </c>
      <c r="F233" s="957" t="s">
        <v>2270</v>
      </c>
      <c r="G233" s="20" t="s">
        <v>1117</v>
      </c>
      <c r="H233" s="472" t="s">
        <v>1118</v>
      </c>
      <c r="I233" s="700" t="str">
        <f>TRIM(UPPER(tb_ingredientes[[#This Row],[ingrediente_ativo]]))</f>
        <v>ESPINETORAM</v>
      </c>
      <c r="J233" s="20" t="s">
        <v>5154</v>
      </c>
      <c r="K233" s="20" t="s">
        <v>5154</v>
      </c>
      <c r="L233" s="20" t="s">
        <v>5155</v>
      </c>
    </row>
    <row r="234" spans="5:12" x14ac:dyDescent="0.25">
      <c r="E234" s="957" t="s">
        <v>1167</v>
      </c>
      <c r="F234" s="957" t="s">
        <v>2286</v>
      </c>
      <c r="G234" s="20" t="s">
        <v>1165</v>
      </c>
      <c r="H234" s="472" t="s">
        <v>1166</v>
      </c>
      <c r="I234" s="700" t="str">
        <f>TRIM(UPPER(tb_ingredientes[[#This Row],[ingrediente_ativo]]))</f>
        <v>FENAMIFÓS</v>
      </c>
      <c r="J234" s="20" t="s">
        <v>4783</v>
      </c>
      <c r="K234" s="20" t="s">
        <v>4783</v>
      </c>
      <c r="L234" s="20" t="s">
        <v>4784</v>
      </c>
    </row>
    <row r="235" spans="5:12" x14ac:dyDescent="0.25">
      <c r="E235" s="958" t="s">
        <v>1170</v>
      </c>
      <c r="F235" s="958" t="s">
        <v>2287</v>
      </c>
      <c r="G235" s="20" t="s">
        <v>1168</v>
      </c>
      <c r="H235" s="472" t="s">
        <v>1169</v>
      </c>
      <c r="I235" s="700" t="str">
        <f>TRIM(UPPER(tb_ingredientes[[#This Row],[ingrediente_ativo]]))</f>
        <v>FENARIMOL</v>
      </c>
      <c r="J235" s="20" t="s">
        <v>4680</v>
      </c>
      <c r="K235" s="20" t="s">
        <v>4680</v>
      </c>
      <c r="L235" s="20" t="s">
        <v>4681</v>
      </c>
    </row>
    <row r="236" spans="5:12" x14ac:dyDescent="0.25">
      <c r="E236" s="957" t="s">
        <v>1173</v>
      </c>
      <c r="F236" s="957" t="s">
        <v>2288</v>
      </c>
      <c r="G236" s="20" t="s">
        <v>1171</v>
      </c>
      <c r="H236" s="472" t="s">
        <v>1172</v>
      </c>
      <c r="I236" s="700" t="str">
        <f>TRIM(UPPER(tb_ingredientes[[#This Row],[ingrediente_ativo]]))</f>
        <v>FENCLORFÓS</v>
      </c>
      <c r="J236" s="20" t="s">
        <v>3669</v>
      </c>
      <c r="K236" s="20" t="s">
        <v>3669</v>
      </c>
      <c r="L236" s="20" t="s">
        <v>3670</v>
      </c>
    </row>
    <row r="237" spans="5:12" x14ac:dyDescent="0.25">
      <c r="E237" s="958" t="s">
        <v>1176</v>
      </c>
      <c r="F237" s="958" t="s">
        <v>2289</v>
      </c>
      <c r="G237" s="20" t="s">
        <v>1174</v>
      </c>
      <c r="H237" s="472" t="s">
        <v>1175</v>
      </c>
      <c r="I237" s="700" t="str">
        <f>TRIM(UPPER(tb_ingredientes[[#This Row],[ingrediente_ativo]]))</f>
        <v>FENITROTIONA</v>
      </c>
      <c r="J237" s="20" t="s">
        <v>3093</v>
      </c>
      <c r="K237" s="20" t="s">
        <v>3093</v>
      </c>
      <c r="L237" s="20" t="s">
        <v>5305</v>
      </c>
    </row>
    <row r="238" spans="5:12" x14ac:dyDescent="0.25">
      <c r="E238" s="957" t="s">
        <v>1203</v>
      </c>
      <c r="F238" s="957" t="s">
        <v>2298</v>
      </c>
      <c r="G238" s="20" t="s">
        <v>1201</v>
      </c>
      <c r="H238" s="472" t="s">
        <v>1202</v>
      </c>
      <c r="I238" s="700" t="str">
        <f>TRIM(UPPER(tb_ingredientes[[#This Row],[ingrediente_ativo]]))</f>
        <v>FENTIONA</v>
      </c>
      <c r="J238" s="20" t="s">
        <v>4613</v>
      </c>
      <c r="K238" s="20" t="s">
        <v>4613</v>
      </c>
      <c r="L238" s="20" t="s">
        <v>4614</v>
      </c>
    </row>
    <row r="239" spans="5:12" x14ac:dyDescent="0.25">
      <c r="E239" s="957" t="s">
        <v>1209</v>
      </c>
      <c r="F239" s="957" t="s">
        <v>2300</v>
      </c>
      <c r="G239" s="20" t="s">
        <v>1207</v>
      </c>
      <c r="H239" s="472" t="s">
        <v>1208</v>
      </c>
      <c r="I239" s="700" t="str">
        <f>TRIM(UPPER(tb_ingredientes[[#This Row],[ingrediente_ativo]]))</f>
        <v>FENVALERATO</v>
      </c>
      <c r="J239" s="20" t="s">
        <v>3637</v>
      </c>
      <c r="K239" s="20" t="s">
        <v>3637</v>
      </c>
      <c r="L239" s="20" t="s">
        <v>3638</v>
      </c>
    </row>
    <row r="240" spans="5:12" x14ac:dyDescent="0.25">
      <c r="E240" s="958" t="s">
        <v>1296</v>
      </c>
      <c r="F240" s="958" t="s">
        <v>2329</v>
      </c>
      <c r="G240" s="20" t="s">
        <v>1294</v>
      </c>
      <c r="H240" s="472" t="s">
        <v>1295</v>
      </c>
      <c r="I240" s="700" t="str">
        <f>TRIM(UPPER(tb_ingredientes[[#This Row],[ingrediente_ativo]]))</f>
        <v>FOLPETE</v>
      </c>
      <c r="J240" s="20" t="s">
        <v>4589</v>
      </c>
      <c r="K240" s="20" t="s">
        <v>4589</v>
      </c>
      <c r="L240" s="20" t="s">
        <v>4590</v>
      </c>
    </row>
    <row r="241" spans="5:12" x14ac:dyDescent="0.25">
      <c r="E241" s="958" t="s">
        <v>1308</v>
      </c>
      <c r="F241" s="958" t="s">
        <v>2333</v>
      </c>
      <c r="G241" s="20" t="s">
        <v>1306</v>
      </c>
      <c r="H241" s="472" t="s">
        <v>1307</v>
      </c>
      <c r="I241" s="700" t="str">
        <f>TRIM(UPPER(tb_ingredientes[[#This Row],[ingrediente_ativo]]))</f>
        <v>FOSALONA</v>
      </c>
      <c r="J241" s="20" t="s">
        <v>2739</v>
      </c>
      <c r="K241" s="20" t="s">
        <v>2739</v>
      </c>
      <c r="L241" s="20" t="s">
        <v>2740</v>
      </c>
    </row>
    <row r="242" spans="5:12" x14ac:dyDescent="0.25">
      <c r="E242" s="957" t="s">
        <v>1311</v>
      </c>
      <c r="F242" s="957" t="s">
        <v>2334</v>
      </c>
      <c r="G242" s="20" t="s">
        <v>1309</v>
      </c>
      <c r="H242" s="472" t="s">
        <v>1310</v>
      </c>
      <c r="I242" s="700" t="str">
        <f>TRIM(UPPER(tb_ingredientes[[#This Row],[ingrediente_ativo]]))</f>
        <v>FOSETIL</v>
      </c>
      <c r="J242" s="20" t="s">
        <v>3910</v>
      </c>
      <c r="K242" s="20" t="s">
        <v>3910</v>
      </c>
      <c r="L242" s="20" t="s">
        <v>3911</v>
      </c>
    </row>
    <row r="243" spans="5:12" x14ac:dyDescent="0.25">
      <c r="E243" s="957" t="s">
        <v>1323</v>
      </c>
      <c r="F243" s="957" t="s">
        <v>2338</v>
      </c>
      <c r="G243" s="20" t="s">
        <v>1321</v>
      </c>
      <c r="H243" s="472" t="s">
        <v>1322</v>
      </c>
      <c r="I243" s="700" t="str">
        <f>TRIM(UPPER(tb_ingredientes[[#This Row],[ingrediente_ativo]]))</f>
        <v>FOSFINA</v>
      </c>
      <c r="J243" s="20" t="s">
        <v>3435</v>
      </c>
      <c r="K243" s="20" t="s">
        <v>3435</v>
      </c>
      <c r="L243" s="20" t="s">
        <v>3436</v>
      </c>
    </row>
    <row r="244" spans="5:12" x14ac:dyDescent="0.25">
      <c r="E244" s="957" t="s">
        <v>1317</v>
      </c>
      <c r="F244" s="957" t="s">
        <v>2336</v>
      </c>
      <c r="G244" s="20" t="s">
        <v>1315</v>
      </c>
      <c r="H244" s="472" t="s">
        <v>1316</v>
      </c>
      <c r="I244" s="700" t="str">
        <f>TRIM(UPPER(tb_ingredientes[[#This Row],[ingrediente_ativo]]))</f>
        <v>FOSFETO DE ALUMÍNIO</v>
      </c>
      <c r="J244" s="20" t="s">
        <v>4575</v>
      </c>
      <c r="K244" s="20" t="s">
        <v>4575</v>
      </c>
      <c r="L244" s="20" t="s">
        <v>4576</v>
      </c>
    </row>
    <row r="245" spans="5:12" x14ac:dyDescent="0.25">
      <c r="E245" s="958" t="s">
        <v>1320</v>
      </c>
      <c r="F245" s="958" t="s">
        <v>2337</v>
      </c>
      <c r="G245" s="20" t="s">
        <v>1318</v>
      </c>
      <c r="H245" s="472" t="s">
        <v>1319</v>
      </c>
      <c r="I245" s="700" t="str">
        <f>TRIM(UPPER(tb_ingredientes[[#This Row],[ingrediente_ativo]]))</f>
        <v>FOSFETO DE MAGNÉSIO</v>
      </c>
      <c r="J245" s="20" t="s">
        <v>3496</v>
      </c>
      <c r="K245" s="20" t="s">
        <v>3496</v>
      </c>
      <c r="L245" s="20" t="s">
        <v>3497</v>
      </c>
    </row>
    <row r="246" spans="5:12" x14ac:dyDescent="0.25">
      <c r="E246" s="958" t="s">
        <v>1326</v>
      </c>
      <c r="F246" s="958" t="s">
        <v>2339</v>
      </c>
      <c r="G246" s="20" t="s">
        <v>1324</v>
      </c>
      <c r="H246" s="472" t="s">
        <v>1325</v>
      </c>
      <c r="I246" s="700" t="str">
        <f>TRIM(UPPER(tb_ingredientes[[#This Row],[ingrediente_ativo]]))</f>
        <v>FOSMETE</v>
      </c>
      <c r="J246" s="20" t="s">
        <v>4085</v>
      </c>
      <c r="K246" s="20" t="s">
        <v>4085</v>
      </c>
      <c r="L246" s="20" t="s">
        <v>4086</v>
      </c>
    </row>
    <row r="247" spans="5:12" x14ac:dyDescent="0.25">
      <c r="E247" s="958" t="s">
        <v>1224</v>
      </c>
      <c r="F247" s="958" t="s">
        <v>2305</v>
      </c>
      <c r="G247" s="20" t="s">
        <v>1222</v>
      </c>
      <c r="H247" s="472" t="s">
        <v>1223</v>
      </c>
      <c r="I247" s="700" t="str">
        <f>TRIM(UPPER(tb_ingredientes[[#This Row],[ingrediente_ativo]]))</f>
        <v>FLUASIFOPE-P</v>
      </c>
      <c r="J247" s="20" t="s">
        <v>3067</v>
      </c>
      <c r="K247" s="20" t="s">
        <v>3067</v>
      </c>
      <c r="L247" s="20" t="s">
        <v>3068</v>
      </c>
    </row>
    <row r="248" spans="5:12" x14ac:dyDescent="0.25">
      <c r="E248" s="957" t="s">
        <v>1227</v>
      </c>
      <c r="F248" s="957" t="s">
        <v>2306</v>
      </c>
      <c r="G248" s="20" t="s">
        <v>1225</v>
      </c>
      <c r="H248" s="472" t="s">
        <v>1226</v>
      </c>
      <c r="I248" s="700" t="str">
        <f>TRIM(UPPER(tb_ingredientes[[#This Row],[ingrediente_ativo]]))</f>
        <v>FLUASIFOPE-P-BUTÍLICO</v>
      </c>
      <c r="J248" s="20" t="s">
        <v>3260</v>
      </c>
      <c r="K248" s="20" t="s">
        <v>3260</v>
      </c>
      <c r="L248" s="20" t="s">
        <v>3261</v>
      </c>
    </row>
    <row r="249" spans="5:12" x14ac:dyDescent="0.25">
      <c r="E249" s="957" t="s">
        <v>1197</v>
      </c>
      <c r="F249" s="957" t="s">
        <v>2296</v>
      </c>
      <c r="G249" s="20" t="s">
        <v>1195</v>
      </c>
      <c r="H249" s="472" t="s">
        <v>1196</v>
      </c>
      <c r="I249" s="700" t="str">
        <f>TRIM(UPPER(tb_ingredientes[[#This Row],[ingrediente_ativo]]))</f>
        <v>FENPROPIMORFE</v>
      </c>
      <c r="J249" s="20" t="s">
        <v>3294</v>
      </c>
      <c r="K249" s="20" t="s">
        <v>3294</v>
      </c>
      <c r="L249" s="20" t="s">
        <v>3295</v>
      </c>
    </row>
    <row r="250" spans="5:12" x14ac:dyDescent="0.25">
      <c r="E250" s="958" t="s">
        <v>1290</v>
      </c>
      <c r="F250" s="958" t="s">
        <v>2327</v>
      </c>
      <c r="G250" s="20" t="s">
        <v>1288</v>
      </c>
      <c r="H250" s="472" t="s">
        <v>1289</v>
      </c>
      <c r="I250" s="700" t="str">
        <f>TRIM(UPPER(tb_ingredientes[[#This Row],[ingrediente_ativo]]))</f>
        <v>FLUVALINATO</v>
      </c>
      <c r="J250" s="20" t="s">
        <v>3920</v>
      </c>
      <c r="K250" s="20" t="s">
        <v>3920</v>
      </c>
      <c r="L250" s="20" t="s">
        <v>3921</v>
      </c>
    </row>
    <row r="251" spans="5:12" x14ac:dyDescent="0.25">
      <c r="E251" s="957" t="s">
        <v>1299</v>
      </c>
      <c r="F251" s="957" t="s">
        <v>2330</v>
      </c>
      <c r="G251" s="20" t="s">
        <v>1297</v>
      </c>
      <c r="H251" s="472" t="s">
        <v>1298</v>
      </c>
      <c r="I251" s="700" t="str">
        <f>TRIM(UPPER(tb_ingredientes[[#This Row],[ingrediente_ativo]]))</f>
        <v>FOMESAFEM</v>
      </c>
      <c r="J251" s="20" t="s">
        <v>4696</v>
      </c>
      <c r="K251" s="20" t="s">
        <v>4696</v>
      </c>
      <c r="L251" s="20" t="s">
        <v>4697</v>
      </c>
    </row>
    <row r="252" spans="5:12" x14ac:dyDescent="0.25">
      <c r="E252" s="958" t="s">
        <v>1194</v>
      </c>
      <c r="F252" s="958" t="s">
        <v>2295</v>
      </c>
      <c r="G252" s="20" t="s">
        <v>1192</v>
      </c>
      <c r="H252" s="472" t="s">
        <v>1193</v>
      </c>
      <c r="I252" s="700" t="str">
        <f>TRIM(UPPER(tb_ingredientes[[#This Row],[ingrediente_ativo]]))</f>
        <v>FENPROPATRINA</v>
      </c>
      <c r="J252" s="20" t="s">
        <v>4865</v>
      </c>
      <c r="K252" s="20" t="s">
        <v>4865</v>
      </c>
      <c r="L252" s="20" t="s">
        <v>4866</v>
      </c>
    </row>
    <row r="253" spans="5:12" x14ac:dyDescent="0.25">
      <c r="E253" s="957" t="s">
        <v>1335</v>
      </c>
      <c r="F253" s="957" t="s">
        <v>2342</v>
      </c>
      <c r="G253" s="20" t="s">
        <v>1333</v>
      </c>
      <c r="H253" s="472" t="s">
        <v>1334</v>
      </c>
      <c r="I253" s="700" t="str">
        <f>TRIM(UPPER(tb_ingredientes[[#This Row],[ingrediente_ativo]]))</f>
        <v>FTALIDA</v>
      </c>
      <c r="J253" s="20" t="s">
        <v>4769</v>
      </c>
      <c r="K253" s="20" t="s">
        <v>4769</v>
      </c>
      <c r="L253" s="20" t="s">
        <v>4770</v>
      </c>
    </row>
    <row r="254" spans="5:12" x14ac:dyDescent="0.25">
      <c r="E254" s="957" t="s">
        <v>1185</v>
      </c>
      <c r="F254" s="957" t="s">
        <v>2292</v>
      </c>
      <c r="G254" s="20" t="s">
        <v>1183</v>
      </c>
      <c r="H254" s="472" t="s">
        <v>1184</v>
      </c>
      <c r="I254" s="700" t="str">
        <f>TRIM(UPPER(tb_ingredientes[[#This Row],[ingrediente_ativo]]))</f>
        <v>FENOXAPROPE-P</v>
      </c>
      <c r="J254" s="20" t="s">
        <v>4706</v>
      </c>
      <c r="K254" s="20" t="s">
        <v>4706</v>
      </c>
      <c r="L254" s="20" t="s">
        <v>4707</v>
      </c>
    </row>
    <row r="255" spans="5:12" x14ac:dyDescent="0.25">
      <c r="E255" s="958" t="s">
        <v>1188</v>
      </c>
      <c r="F255" s="958" t="s">
        <v>2293</v>
      </c>
      <c r="G255" s="20" t="s">
        <v>1186</v>
      </c>
      <c r="H255" s="472" t="s">
        <v>1187</v>
      </c>
      <c r="I255" s="700" t="str">
        <f>TRIM(UPPER(tb_ingredientes[[#This Row],[ingrediente_ativo]]))</f>
        <v>FENOXAPROPE-P-ETÍLICO</v>
      </c>
      <c r="J255" s="20" t="s">
        <v>4441</v>
      </c>
      <c r="K255" s="20" t="s">
        <v>4441</v>
      </c>
      <c r="L255" s="20" t="s">
        <v>4442</v>
      </c>
    </row>
    <row r="256" spans="5:12" x14ac:dyDescent="0.25">
      <c r="E256" s="958" t="s">
        <v>1206</v>
      </c>
      <c r="F256" s="958" t="s">
        <v>2299</v>
      </c>
      <c r="G256" s="20" t="s">
        <v>1204</v>
      </c>
      <c r="H256" s="472" t="s">
        <v>1205</v>
      </c>
      <c r="I256" s="700" t="str">
        <f>TRIM(UPPER(tb_ingredientes[[#This Row],[ingrediente_ativo]]))</f>
        <v>FENTOATO</v>
      </c>
      <c r="J256" s="20" t="s">
        <v>4467</v>
      </c>
      <c r="K256" s="20" t="s">
        <v>4467</v>
      </c>
      <c r="L256" s="20" t="s">
        <v>4468</v>
      </c>
    </row>
    <row r="257" spans="5:12" x14ac:dyDescent="0.25">
      <c r="E257" s="958" t="s">
        <v>1218</v>
      </c>
      <c r="F257" s="958" t="s">
        <v>2303</v>
      </c>
      <c r="G257" s="20" t="s">
        <v>1216</v>
      </c>
      <c r="H257" s="472" t="s">
        <v>1217</v>
      </c>
      <c r="I257" s="700" t="str">
        <f>TRIM(UPPER(tb_ingredientes[[#This Row],[ingrediente_ativo]]))</f>
        <v>FLOCUMAFENO</v>
      </c>
      <c r="J257" s="20" t="s">
        <v>4469</v>
      </c>
      <c r="K257" s="20" t="s">
        <v>4469</v>
      </c>
      <c r="L257" s="20" t="s">
        <v>4470</v>
      </c>
    </row>
    <row r="258" spans="5:12" x14ac:dyDescent="0.25">
      <c r="E258" s="958" t="s">
        <v>1182</v>
      </c>
      <c r="F258" s="958" t="s">
        <v>2291</v>
      </c>
      <c r="G258" s="20" t="s">
        <v>1180</v>
      </c>
      <c r="H258" s="472" t="s">
        <v>1181</v>
      </c>
      <c r="I258" s="700" t="str">
        <f>TRIM(UPPER(tb_ingredientes[[#This Row],[ingrediente_ativo]]))</f>
        <v>FENOTRINA</v>
      </c>
      <c r="J258" s="20" t="s">
        <v>4443</v>
      </c>
      <c r="K258" s="20" t="s">
        <v>4443</v>
      </c>
      <c r="L258" s="20" t="s">
        <v>4444</v>
      </c>
    </row>
    <row r="259" spans="5:12" x14ac:dyDescent="0.25">
      <c r="E259" s="957" t="s">
        <v>1287</v>
      </c>
      <c r="F259" s="957" t="s">
        <v>2326</v>
      </c>
      <c r="G259" s="20" t="s">
        <v>1285</v>
      </c>
      <c r="H259" s="472" t="s">
        <v>1286</v>
      </c>
      <c r="I259" s="700" t="str">
        <f>TRIM(UPPER(tb_ingredientes[[#This Row],[ingrediente_ativo]]))</f>
        <v>FLUTRIAFOL</v>
      </c>
      <c r="J259" s="20" t="s">
        <v>5405</v>
      </c>
      <c r="K259" s="20" t="s">
        <v>5405</v>
      </c>
      <c r="L259" s="20" t="s">
        <v>5406</v>
      </c>
    </row>
    <row r="260" spans="5:12" x14ac:dyDescent="0.25">
      <c r="E260" s="957" t="s">
        <v>1191</v>
      </c>
      <c r="F260" s="957" t="s">
        <v>2294</v>
      </c>
      <c r="G260" s="20" t="s">
        <v>1189</v>
      </c>
      <c r="H260" s="472" t="s">
        <v>1190</v>
      </c>
      <c r="I260" s="700" t="str">
        <f>TRIM(UPPER(tb_ingredientes[[#This Row],[ingrediente_ativo]]))</f>
        <v>FENPIROXIMATO</v>
      </c>
      <c r="J260" s="20" t="s">
        <v>3009</v>
      </c>
      <c r="K260" s="20" t="s">
        <v>3009</v>
      </c>
      <c r="L260" s="20" t="s">
        <v>3010</v>
      </c>
    </row>
    <row r="261" spans="5:12" x14ac:dyDescent="0.25">
      <c r="E261" s="957" t="s">
        <v>1251</v>
      </c>
      <c r="F261" s="957" t="s">
        <v>2314</v>
      </c>
      <c r="G261" s="20" t="s">
        <v>1249</v>
      </c>
      <c r="H261" s="472" t="s">
        <v>1250</v>
      </c>
      <c r="I261" s="700" t="str">
        <f>TRIM(UPPER(tb_ingredientes[[#This Row],[ingrediente_ativo]]))</f>
        <v>FLUMETRALINA</v>
      </c>
      <c r="J261" s="20" t="s">
        <v>3538</v>
      </c>
      <c r="K261" s="20" t="s">
        <v>3538</v>
      </c>
      <c r="L261" s="20" t="s">
        <v>3539</v>
      </c>
    </row>
    <row r="262" spans="5:12" x14ac:dyDescent="0.25">
      <c r="E262" s="958" t="s">
        <v>1254</v>
      </c>
      <c r="F262" s="958" t="s">
        <v>2315</v>
      </c>
      <c r="G262" s="20" t="s">
        <v>1252</v>
      </c>
      <c r="H262" s="472" t="s">
        <v>1253</v>
      </c>
      <c r="I262" s="700" t="str">
        <f>TRIM(UPPER(tb_ingredientes[[#This Row],[ingrediente_ativo]]))</f>
        <v>FLUMETSULAM</v>
      </c>
      <c r="J262" s="20" t="s">
        <v>3940</v>
      </c>
      <c r="K262" s="20" t="s">
        <v>3940</v>
      </c>
      <c r="L262" s="20" t="s">
        <v>3941</v>
      </c>
    </row>
    <row r="263" spans="5:12" x14ac:dyDescent="0.25">
      <c r="E263" s="957" t="s">
        <v>1305</v>
      </c>
      <c r="F263" s="957" t="s">
        <v>2332</v>
      </c>
      <c r="G263" s="20" t="s">
        <v>1303</v>
      </c>
      <c r="H263" s="472" t="s">
        <v>1304</v>
      </c>
      <c r="I263" s="700" t="str">
        <f>TRIM(UPPER(tb_ingredientes[[#This Row],[ingrediente_ativo]]))</f>
        <v>FORMETANATO</v>
      </c>
      <c r="J263" s="20" t="s">
        <v>3180</v>
      </c>
      <c r="K263" s="20" t="s">
        <v>3180</v>
      </c>
      <c r="L263" s="20" t="s">
        <v>3181</v>
      </c>
    </row>
    <row r="264" spans="5:12" x14ac:dyDescent="0.25">
      <c r="E264" s="957" t="s">
        <v>939</v>
      </c>
      <c r="F264" s="957" t="s">
        <v>2213</v>
      </c>
      <c r="G264" s="20" t="s">
        <v>937</v>
      </c>
      <c r="H264" s="472" t="s">
        <v>938</v>
      </c>
      <c r="I264" s="700" t="str">
        <f>TRIM(UPPER(tb_ingredientes[[#This Row],[ingrediente_ativo]]))</f>
        <v>CLORIDRATO DE FORMETANATO</v>
      </c>
      <c r="J264" s="20" t="s">
        <v>5419</v>
      </c>
      <c r="K264" s="20" t="s">
        <v>5419</v>
      </c>
      <c r="L264" s="20" t="s">
        <v>5420</v>
      </c>
    </row>
    <row r="265" spans="5:12" x14ac:dyDescent="0.25">
      <c r="E265" s="958" t="s">
        <v>1278</v>
      </c>
      <c r="F265" s="958" t="s">
        <v>2323</v>
      </c>
      <c r="G265" s="20" t="s">
        <v>1276</v>
      </c>
      <c r="H265" s="472" t="s">
        <v>1277</v>
      </c>
      <c r="I265" s="700" t="str">
        <f>TRIM(UPPER(tb_ingredientes[[#This Row],[ingrediente_ativo]]))</f>
        <v>FLUROXIPIR</v>
      </c>
      <c r="J265" s="20" t="s">
        <v>3959</v>
      </c>
      <c r="K265" s="20" t="s">
        <v>3959</v>
      </c>
      <c r="L265" s="20" t="s">
        <v>3960</v>
      </c>
    </row>
    <row r="266" spans="5:12" x14ac:dyDescent="0.25">
      <c r="E266" s="957" t="s">
        <v>1281</v>
      </c>
      <c r="F266" s="957" t="s">
        <v>2324</v>
      </c>
      <c r="G266" s="20" t="s">
        <v>1279</v>
      </c>
      <c r="H266" s="472" t="s">
        <v>1280</v>
      </c>
      <c r="I266" s="700" t="str">
        <f>TRIM(UPPER(tb_ingredientes[[#This Row],[ingrediente_ativo]]))</f>
        <v>FLUROXIPIR-MEPTÍLICO</v>
      </c>
      <c r="J266" s="20" t="s">
        <v>3276</v>
      </c>
      <c r="K266" s="20" t="s">
        <v>3276</v>
      </c>
      <c r="L266" s="20" t="s">
        <v>3277</v>
      </c>
    </row>
    <row r="267" spans="5:12" x14ac:dyDescent="0.25">
      <c r="E267" s="958" t="s">
        <v>1212</v>
      </c>
      <c r="F267" s="958" t="s">
        <v>2301</v>
      </c>
      <c r="G267" s="20" t="s">
        <v>1210</v>
      </c>
      <c r="H267" s="472" t="s">
        <v>1211</v>
      </c>
      <c r="I267" s="700" t="str">
        <f>TRIM(UPPER(tb_ingredientes[[#This Row],[ingrediente_ativo]]))</f>
        <v>FIPRONIL</v>
      </c>
      <c r="J267" s="20" t="s">
        <v>3471</v>
      </c>
      <c r="K267" s="20" t="s">
        <v>3471</v>
      </c>
      <c r="L267" s="20" t="s">
        <v>3472</v>
      </c>
    </row>
    <row r="268" spans="5:12" x14ac:dyDescent="0.25">
      <c r="E268" s="958" t="s">
        <v>1242</v>
      </c>
      <c r="F268" s="958" t="s">
        <v>2311</v>
      </c>
      <c r="G268" s="20" t="s">
        <v>1240</v>
      </c>
      <c r="H268" s="472" t="s">
        <v>1241</v>
      </c>
      <c r="I268" s="700" t="str">
        <f>TRIM(UPPER(tb_ingredientes[[#This Row],[ingrediente_ativo]]))</f>
        <v>FLUFENOXUROM</v>
      </c>
      <c r="J268" s="20" t="s">
        <v>3553</v>
      </c>
      <c r="K268" s="20" t="s">
        <v>3553</v>
      </c>
      <c r="L268" s="20" t="s">
        <v>3554</v>
      </c>
    </row>
    <row r="269" spans="5:12" x14ac:dyDescent="0.25">
      <c r="E269" s="957" t="s">
        <v>1257</v>
      </c>
      <c r="F269" s="957" t="s">
        <v>2316</v>
      </c>
      <c r="G269" s="20" t="s">
        <v>1255</v>
      </c>
      <c r="H269" s="472" t="s">
        <v>1256</v>
      </c>
      <c r="I269" s="700" t="str">
        <f>TRIM(UPPER(tb_ingredientes[[#This Row],[ingrediente_ativo]]))</f>
        <v>FLUMICLORAQUE-PENTÍLICO</v>
      </c>
      <c r="J269" s="20" t="s">
        <v>3093</v>
      </c>
      <c r="K269" s="20" t="s">
        <v>3093</v>
      </c>
      <c r="L269" s="20" t="s">
        <v>3901</v>
      </c>
    </row>
    <row r="270" spans="5:12" x14ac:dyDescent="0.25">
      <c r="E270" s="958" t="s">
        <v>1260</v>
      </c>
      <c r="F270" s="958" t="s">
        <v>2317</v>
      </c>
      <c r="G270" s="20" t="s">
        <v>1258</v>
      </c>
      <c r="H270" s="472" t="s">
        <v>1259</v>
      </c>
      <c r="I270" s="700" t="str">
        <f>TRIM(UPPER(tb_ingredientes[[#This Row],[ingrediente_ativo]]))</f>
        <v>FLUMIOXAZINA</v>
      </c>
      <c r="J270" s="20" t="s">
        <v>3093</v>
      </c>
      <c r="K270" s="20" t="s">
        <v>3093</v>
      </c>
      <c r="L270" s="20" t="s">
        <v>3901</v>
      </c>
    </row>
    <row r="271" spans="5:12" x14ac:dyDescent="0.25">
      <c r="E271" s="958" t="s">
        <v>1230</v>
      </c>
      <c r="F271" s="958" t="s">
        <v>2307</v>
      </c>
      <c r="G271" s="20" t="s">
        <v>1228</v>
      </c>
      <c r="H271" s="472" t="s">
        <v>1229</v>
      </c>
      <c r="I271" s="700" t="str">
        <f>TRIM(UPPER(tb_ingredientes[[#This Row],[ingrediente_ativo]]))</f>
        <v>FLUAZINAM</v>
      </c>
      <c r="J271" s="20" t="s">
        <v>3093</v>
      </c>
      <c r="K271" s="20" t="s">
        <v>3093</v>
      </c>
      <c r="L271" s="20" t="s">
        <v>3901</v>
      </c>
    </row>
    <row r="272" spans="5:12" x14ac:dyDescent="0.25">
      <c r="E272" s="957" t="s">
        <v>1215</v>
      </c>
      <c r="F272" s="957" t="s">
        <v>2302</v>
      </c>
      <c r="G272" s="20" t="s">
        <v>1213</v>
      </c>
      <c r="H272" s="472" t="s">
        <v>1214</v>
      </c>
      <c r="I272" s="700" t="str">
        <f>TRIM(UPPER(tb_ingredientes[[#This Row],[ingrediente_ativo]]))</f>
        <v>FLAZASSULFUROM</v>
      </c>
      <c r="J272" s="20" t="s">
        <v>3600</v>
      </c>
      <c r="K272" s="20" t="s">
        <v>3600</v>
      </c>
      <c r="L272" s="20" t="s">
        <v>3601</v>
      </c>
    </row>
    <row r="273" spans="5:12" x14ac:dyDescent="0.25">
      <c r="E273" s="958" t="s">
        <v>1236</v>
      </c>
      <c r="F273" s="958" t="s">
        <v>2309</v>
      </c>
      <c r="G273" s="20" t="s">
        <v>1234</v>
      </c>
      <c r="H273" s="472" t="s">
        <v>1235</v>
      </c>
      <c r="I273" s="700" t="str">
        <f>TRIM(UPPER(tb_ingredientes[[#This Row],[ingrediente_ativo]]))</f>
        <v>FLUDIOXONIL</v>
      </c>
      <c r="J273" s="20" t="s">
        <v>3310</v>
      </c>
      <c r="K273" s="20" t="s">
        <v>3310</v>
      </c>
      <c r="L273" s="20" t="s">
        <v>3311</v>
      </c>
    </row>
    <row r="274" spans="5:12" x14ac:dyDescent="0.25">
      <c r="E274" s="957" t="s">
        <v>1329</v>
      </c>
      <c r="F274" s="957" t="s">
        <v>2340</v>
      </c>
      <c r="G274" s="20" t="s">
        <v>1327</v>
      </c>
      <c r="H274" s="472" t="s">
        <v>1328</v>
      </c>
      <c r="I274" s="700" t="str">
        <f>TRIM(UPPER(tb_ingredientes[[#This Row],[ingrediente_ativo]]))</f>
        <v>FOSTIAZATO</v>
      </c>
      <c r="J274" s="20" t="s">
        <v>3148</v>
      </c>
      <c r="K274" s="20" t="s">
        <v>3148</v>
      </c>
      <c r="L274" s="20" t="s">
        <v>3149</v>
      </c>
    </row>
    <row r="275" spans="5:12" x14ac:dyDescent="0.25">
      <c r="E275" s="958" t="s">
        <v>1272</v>
      </c>
      <c r="F275" s="958" t="s">
        <v>2321</v>
      </c>
      <c r="G275" s="20" t="s">
        <v>1270</v>
      </c>
      <c r="H275" s="472" t="s">
        <v>1271</v>
      </c>
      <c r="I275" s="700" t="str">
        <f>TRIM(UPPER(tb_ingredientes[[#This Row],[ingrediente_ativo]]))</f>
        <v>FLUQUINCONAZOL</v>
      </c>
      <c r="J275" s="20" t="s">
        <v>4164</v>
      </c>
      <c r="K275" s="20" t="s">
        <v>4164</v>
      </c>
      <c r="L275" s="20" t="s">
        <v>4165</v>
      </c>
    </row>
    <row r="276" spans="5:12" x14ac:dyDescent="0.25">
      <c r="E276" s="957" t="s">
        <v>1161</v>
      </c>
      <c r="F276" s="957" t="s">
        <v>2284</v>
      </c>
      <c r="G276" s="20" t="s">
        <v>1159</v>
      </c>
      <c r="H276" s="472" t="s">
        <v>1160</v>
      </c>
      <c r="I276" s="700" t="str">
        <f>TRIM(UPPER(tb_ingredientes[[#This Row],[ingrediente_ativo]]))</f>
        <v>FAMOXADONA</v>
      </c>
      <c r="J276" s="20" t="s">
        <v>4955</v>
      </c>
      <c r="K276" s="20" t="s">
        <v>4955</v>
      </c>
      <c r="L276" s="20" t="s">
        <v>4956</v>
      </c>
    </row>
    <row r="277" spans="5:12" x14ac:dyDescent="0.25">
      <c r="E277" s="958" t="s">
        <v>1302</v>
      </c>
      <c r="F277" s="958" t="s">
        <v>2331</v>
      </c>
      <c r="G277" s="20" t="s">
        <v>1300</v>
      </c>
      <c r="H277" s="472" t="s">
        <v>1301</v>
      </c>
      <c r="I277" s="700" t="str">
        <f>TRIM(UPPER(tb_ingredientes[[#This Row],[ingrediente_ativo]]))</f>
        <v>FORANSULFUROM</v>
      </c>
      <c r="J277" s="20" t="s">
        <v>3234</v>
      </c>
      <c r="K277" s="20" t="s">
        <v>3234</v>
      </c>
      <c r="L277" s="20" t="s">
        <v>3235</v>
      </c>
    </row>
    <row r="278" spans="5:12" x14ac:dyDescent="0.25">
      <c r="E278" s="958" t="s">
        <v>1164</v>
      </c>
      <c r="F278" s="958" t="s">
        <v>2285</v>
      </c>
      <c r="G278" s="20" t="s">
        <v>1162</v>
      </c>
      <c r="H278" s="472" t="s">
        <v>1163</v>
      </c>
      <c r="I278" s="700" t="str">
        <f>TRIM(UPPER(tb_ingredientes[[#This Row],[ingrediente_ativo]]))</f>
        <v>FENAMIDONA</v>
      </c>
      <c r="J278" s="20" t="s">
        <v>3093</v>
      </c>
      <c r="K278" s="20" t="s">
        <v>3093</v>
      </c>
      <c r="L278" s="20" t="s">
        <v>5198</v>
      </c>
    </row>
    <row r="279" spans="5:12" x14ac:dyDescent="0.25">
      <c r="E279" s="957" t="s">
        <v>1275</v>
      </c>
      <c r="F279" s="957" t="s">
        <v>2322</v>
      </c>
      <c r="G279" s="20" t="s">
        <v>1273</v>
      </c>
      <c r="H279" s="472" t="s">
        <v>1274</v>
      </c>
      <c r="I279" s="700" t="str">
        <f>TRIM(UPPER(tb_ingredientes[[#This Row],[ingrediente_ativo]]))</f>
        <v>FLURIDONA</v>
      </c>
      <c r="J279" s="20" t="s">
        <v>3093</v>
      </c>
      <c r="K279" s="20" t="s">
        <v>3093</v>
      </c>
      <c r="L279" s="20" t="s">
        <v>4822</v>
      </c>
    </row>
    <row r="280" spans="5:12" x14ac:dyDescent="0.25">
      <c r="E280" s="957" t="s">
        <v>1179</v>
      </c>
      <c r="F280" s="957" t="s">
        <v>2290</v>
      </c>
      <c r="G280" s="20" t="s">
        <v>1177</v>
      </c>
      <c r="H280" s="472" t="s">
        <v>1178</v>
      </c>
      <c r="I280" s="700" t="str">
        <f>TRIM(UPPER(tb_ingredientes[[#This Row],[ingrediente_ativo]]))</f>
        <v>FENOTIOL</v>
      </c>
      <c r="J280" s="20" t="s">
        <v>3093</v>
      </c>
      <c r="K280" s="20" t="s">
        <v>3093</v>
      </c>
      <c r="L280" s="20" t="s">
        <v>4822</v>
      </c>
    </row>
    <row r="281" spans="5:12" x14ac:dyDescent="0.25">
      <c r="E281" s="958" t="s">
        <v>1332</v>
      </c>
      <c r="F281" s="958" t="s">
        <v>2341</v>
      </c>
      <c r="G281" s="20" t="s">
        <v>1330</v>
      </c>
      <c r="H281" s="472" t="s">
        <v>1331</v>
      </c>
      <c r="I281" s="700" t="str">
        <f>TRIM(UPPER(tb_ingredientes[[#This Row],[ingrediente_ativo]]))</f>
        <v>FOXIM</v>
      </c>
      <c r="J281" s="20" t="s">
        <v>3093</v>
      </c>
      <c r="K281" s="20" t="s">
        <v>3093</v>
      </c>
      <c r="L281" s="20" t="s">
        <v>5081</v>
      </c>
    </row>
    <row r="282" spans="5:12" x14ac:dyDescent="0.25">
      <c r="E282" s="958" t="s">
        <v>1200</v>
      </c>
      <c r="F282" s="958" t="s">
        <v>2297</v>
      </c>
      <c r="G282" s="20" t="s">
        <v>1198</v>
      </c>
      <c r="H282" s="472" t="s">
        <v>1199</v>
      </c>
      <c r="I282" s="700" t="str">
        <f>TRIM(UPPER(tb_ingredientes[[#This Row],[ingrediente_ativo]]))</f>
        <v>FENTINA</v>
      </c>
      <c r="J282" s="20" t="s">
        <v>3093</v>
      </c>
      <c r="K282" s="20" t="s">
        <v>3093</v>
      </c>
      <c r="L282" s="20" t="s">
        <v>4600</v>
      </c>
    </row>
    <row r="283" spans="5:12" x14ac:dyDescent="0.25">
      <c r="E283" s="958" t="s">
        <v>592</v>
      </c>
      <c r="F283" s="958" t="s">
        <v>2110</v>
      </c>
      <c r="G283" s="20" t="s">
        <v>590</v>
      </c>
      <c r="H283" s="472" t="s">
        <v>591</v>
      </c>
      <c r="I283" s="700" t="str">
        <f>TRIM(UPPER(tb_ingredientes[[#This Row],[ingrediente_ativo]]))</f>
        <v>ACETATO DE FENTINA</v>
      </c>
      <c r="J283" s="20" t="s">
        <v>3093</v>
      </c>
      <c r="K283" s="20" t="s">
        <v>3093</v>
      </c>
      <c r="L283" s="20" t="s">
        <v>4600</v>
      </c>
    </row>
    <row r="284" spans="5:12" x14ac:dyDescent="0.25">
      <c r="E284" s="957" t="s">
        <v>1401</v>
      </c>
      <c r="F284" s="957" t="s">
        <v>2364</v>
      </c>
      <c r="G284" s="20" t="s">
        <v>1399</v>
      </c>
      <c r="H284" s="472" t="s">
        <v>1400</v>
      </c>
      <c r="I284" s="700" t="str">
        <f>TRIM(UPPER(tb_ingredientes[[#This Row],[ingrediente_ativo]]))</f>
        <v>HIDRÓXIDO DE FENTINA</v>
      </c>
      <c r="J284" s="20" t="s">
        <v>3093</v>
      </c>
      <c r="K284" s="20" t="s">
        <v>3093</v>
      </c>
      <c r="L284" s="20" t="s">
        <v>4663</v>
      </c>
    </row>
    <row r="285" spans="5:12" x14ac:dyDescent="0.25">
      <c r="E285" s="957" t="s">
        <v>1245</v>
      </c>
      <c r="F285" s="957" t="s">
        <v>2312</v>
      </c>
      <c r="G285" s="20" t="s">
        <v>1243</v>
      </c>
      <c r="H285" s="472" t="s">
        <v>1244</v>
      </c>
      <c r="I285" s="700" t="str">
        <f>TRIM(UPPER(tb_ingredientes[[#This Row],[ingrediente_ativo]]))</f>
        <v>FLUFENPIR</v>
      </c>
      <c r="J285" s="20" t="s">
        <v>3093</v>
      </c>
      <c r="K285" s="20" t="s">
        <v>3093</v>
      </c>
      <c r="L285" s="20" t="s">
        <v>5322</v>
      </c>
    </row>
    <row r="286" spans="5:12" x14ac:dyDescent="0.25">
      <c r="E286" s="958" t="s">
        <v>1248</v>
      </c>
      <c r="F286" s="958" t="s">
        <v>2313</v>
      </c>
      <c r="G286" s="20" t="s">
        <v>1246</v>
      </c>
      <c r="H286" s="472" t="s">
        <v>1247</v>
      </c>
      <c r="I286" s="700" t="str">
        <f>TRIM(UPPER(tb_ingredientes[[#This Row],[ingrediente_ativo]]))</f>
        <v>FLUFENPIR-ETÍLICO</v>
      </c>
      <c r="J286" s="20" t="s">
        <v>3093</v>
      </c>
      <c r="K286" s="20" t="s">
        <v>3093</v>
      </c>
      <c r="L286" s="20" t="s">
        <v>5344</v>
      </c>
    </row>
    <row r="287" spans="5:12" x14ac:dyDescent="0.25">
      <c r="E287" s="957" t="s">
        <v>1221</v>
      </c>
      <c r="F287" s="957" t="s">
        <v>2304</v>
      </c>
      <c r="G287" s="20" t="s">
        <v>1219</v>
      </c>
      <c r="H287" s="472" t="s">
        <v>1220</v>
      </c>
      <c r="I287" s="700" t="str">
        <f>TRIM(UPPER(tb_ingredientes[[#This Row],[ingrediente_ativo]]))</f>
        <v>FLONICAMIDA</v>
      </c>
      <c r="J287" s="20" t="s">
        <v>3093</v>
      </c>
      <c r="K287" s="20" t="s">
        <v>3093</v>
      </c>
      <c r="L287" s="20" t="s">
        <v>5345</v>
      </c>
    </row>
    <row r="288" spans="5:12" x14ac:dyDescent="0.25">
      <c r="E288" s="958" t="s">
        <v>1266</v>
      </c>
      <c r="F288" s="958" t="s">
        <v>2319</v>
      </c>
      <c r="G288" s="20" t="s">
        <v>1264</v>
      </c>
      <c r="H288" s="472" t="s">
        <v>1265</v>
      </c>
      <c r="I288" s="700" t="str">
        <f>TRIM(UPPER(tb_ingredientes[[#This Row],[ingrediente_ativo]]))</f>
        <v>FLUORETO DE SÓDIO</v>
      </c>
      <c r="J288" s="20" t="s">
        <v>5030</v>
      </c>
      <c r="K288" s="20" t="s">
        <v>5030</v>
      </c>
      <c r="L288" s="20" t="s">
        <v>5031</v>
      </c>
    </row>
    <row r="289" spans="5:12" x14ac:dyDescent="0.25">
      <c r="E289" s="958" t="s">
        <v>1314</v>
      </c>
      <c r="F289" s="958" t="s">
        <v>2335</v>
      </c>
      <c r="G289" s="20" t="s">
        <v>1312</v>
      </c>
      <c r="H289" s="472" t="s">
        <v>1313</v>
      </c>
      <c r="I289" s="700" t="str">
        <f>TRIM(UPPER(tb_ingredientes[[#This Row],[ingrediente_ativo]]))</f>
        <v>FOSFATO FÉRRICO</v>
      </c>
      <c r="J289" s="20" t="s">
        <v>4049</v>
      </c>
      <c r="K289" s="20" t="s">
        <v>4049</v>
      </c>
      <c r="L289" s="20" t="s">
        <v>4050</v>
      </c>
    </row>
    <row r="290" spans="5:12" x14ac:dyDescent="0.25">
      <c r="E290" s="957" t="s">
        <v>1263</v>
      </c>
      <c r="F290" s="957" t="s">
        <v>2318</v>
      </c>
      <c r="G290" s="20" t="s">
        <v>1261</v>
      </c>
      <c r="H290" s="472" t="s">
        <v>1262</v>
      </c>
      <c r="I290" s="700" t="str">
        <f>TRIM(UPPER(tb_ingredientes[[#This Row],[ingrediente_ativo]]))</f>
        <v>FLUOPICOLIDA</v>
      </c>
      <c r="J290" s="20" t="s">
        <v>5443</v>
      </c>
      <c r="K290" s="20" t="s">
        <v>5443</v>
      </c>
      <c r="L290" s="20" t="s">
        <v>2048</v>
      </c>
    </row>
    <row r="291" spans="5:12" x14ac:dyDescent="0.25">
      <c r="E291" s="957" t="s">
        <v>1233</v>
      </c>
      <c r="F291" s="957" t="s">
        <v>2308</v>
      </c>
      <c r="G291" s="20" t="s">
        <v>1231</v>
      </c>
      <c r="H291" s="472" t="s">
        <v>1232</v>
      </c>
      <c r="I291" s="700" t="str">
        <f>TRIM(UPPER(tb_ingredientes[[#This Row],[ingrediente_ativo]]))</f>
        <v>FLUBENDIAMIDA</v>
      </c>
      <c r="J291" s="20" t="s">
        <v>5114</v>
      </c>
      <c r="K291" s="20" t="s">
        <v>5114</v>
      </c>
      <c r="L291" s="20" t="s">
        <v>5115</v>
      </c>
    </row>
    <row r="292" spans="5:12" x14ac:dyDescent="0.25">
      <c r="E292" s="958" t="s">
        <v>1284</v>
      </c>
      <c r="F292" s="958" t="s">
        <v>2325</v>
      </c>
      <c r="G292" s="20" t="s">
        <v>1282</v>
      </c>
      <c r="H292" s="472" t="s">
        <v>1283</v>
      </c>
      <c r="I292" s="700" t="str">
        <f>TRIM(UPPER(tb_ingredientes[[#This Row],[ingrediente_ativo]]))</f>
        <v>FLUTOLANIL</v>
      </c>
      <c r="J292" s="20" t="s">
        <v>3007</v>
      </c>
      <c r="K292" s="20" t="s">
        <v>3007</v>
      </c>
      <c r="L292" s="20" t="s">
        <v>3008</v>
      </c>
    </row>
    <row r="293" spans="5:12" x14ac:dyDescent="0.25">
      <c r="E293" s="957" t="s">
        <v>1293</v>
      </c>
      <c r="F293" s="957" t="s">
        <v>2328</v>
      </c>
      <c r="G293" s="20" t="s">
        <v>1291</v>
      </c>
      <c r="H293" s="472" t="s">
        <v>1292</v>
      </c>
      <c r="I293" s="700" t="str">
        <f>TRIM(UPPER(tb_ingredientes[[#This Row],[ingrediente_ativo]]))</f>
        <v>FLUXAPIROXADE</v>
      </c>
      <c r="J293" s="20" t="s">
        <v>3733</v>
      </c>
      <c r="K293" s="20" t="s">
        <v>3733</v>
      </c>
      <c r="L293" s="20" t="s">
        <v>3734</v>
      </c>
    </row>
    <row r="294" spans="5:12" x14ac:dyDescent="0.25">
      <c r="E294" s="957" t="s">
        <v>1269</v>
      </c>
      <c r="F294" s="957" t="s">
        <v>2320</v>
      </c>
      <c r="G294" s="20" t="s">
        <v>1267</v>
      </c>
      <c r="H294" s="472" t="s">
        <v>1268</v>
      </c>
      <c r="I294" s="700" t="str">
        <f>TRIM(UPPER(tb_ingredientes[[#This Row],[ingrediente_ativo]]))</f>
        <v>FLUPIRADIFURONE</v>
      </c>
      <c r="J294" s="20" t="s">
        <v>3977</v>
      </c>
      <c r="K294" s="20" t="s">
        <v>3977</v>
      </c>
      <c r="L294" s="20" t="s">
        <v>3978</v>
      </c>
    </row>
    <row r="295" spans="5:12" x14ac:dyDescent="0.25">
      <c r="E295" s="957" t="s">
        <v>1239</v>
      </c>
      <c r="F295" s="957" t="s">
        <v>2310</v>
      </c>
      <c r="G295" s="20" t="s">
        <v>1237</v>
      </c>
      <c r="H295" s="472" t="s">
        <v>1238</v>
      </c>
      <c r="I295" s="700" t="str">
        <f>TRIM(UPPER(tb_ingredientes[[#This Row],[ingrediente_ativo]]))</f>
        <v>FLUENSULFONA</v>
      </c>
      <c r="J295" s="20" t="s">
        <v>3093</v>
      </c>
      <c r="K295" s="20" t="s">
        <v>3093</v>
      </c>
      <c r="L295" s="20" t="s">
        <v>5306</v>
      </c>
    </row>
    <row r="296" spans="5:12" x14ac:dyDescent="0.25">
      <c r="E296" s="958" t="s">
        <v>7181</v>
      </c>
      <c r="F296" s="958" t="s">
        <v>7181</v>
      </c>
      <c r="G296" s="20" t="s">
        <v>7180</v>
      </c>
      <c r="H296" s="472" t="s">
        <v>7183</v>
      </c>
      <c r="I296" s="700" t="str">
        <f>TRIM(UPPER(tb_ingredientes[[#This Row],[ingrediente_ativo]]))</f>
        <v>FLORPIRAUXIFENO BENZÍLICO</v>
      </c>
      <c r="J296" s="20" t="s">
        <v>2963</v>
      </c>
      <c r="K296" s="20" t="s">
        <v>2963</v>
      </c>
      <c r="L296" s="20" t="s">
        <v>2964</v>
      </c>
    </row>
    <row r="297" spans="5:12" x14ac:dyDescent="0.25">
      <c r="E297" s="958" t="s">
        <v>7185</v>
      </c>
      <c r="F297" s="958" t="s">
        <v>7186</v>
      </c>
      <c r="G297" s="20" t="s">
        <v>7184</v>
      </c>
      <c r="H297" s="472" t="s">
        <v>7182</v>
      </c>
      <c r="I297" s="700" t="str">
        <f>TRIM(UPPER(tb_ingredientes[[#This Row],[ingrediente_ativo]]))</f>
        <v>FLUOPIRAM</v>
      </c>
      <c r="J297" s="20" t="s">
        <v>2955</v>
      </c>
      <c r="K297" s="20" t="s">
        <v>2955</v>
      </c>
      <c r="L297" s="20" t="s">
        <v>2956</v>
      </c>
    </row>
    <row r="298" spans="5:12" x14ac:dyDescent="0.25">
      <c r="E298" s="958" t="s">
        <v>7177</v>
      </c>
      <c r="F298" s="958" t="s">
        <v>7178</v>
      </c>
      <c r="G298" s="20" t="s">
        <v>7176</v>
      </c>
      <c r="H298" s="472" t="s">
        <v>7179</v>
      </c>
      <c r="I298" s="700" t="str">
        <f>TRIM(UPPER(tb_ingredientes[[#This Row],[ingrediente_ativo]]))</f>
        <v>FENPIRAZAMINA</v>
      </c>
      <c r="J298" s="20" t="s">
        <v>3337</v>
      </c>
      <c r="K298" s="20" t="s">
        <v>3337</v>
      </c>
      <c r="L298" s="20" t="s">
        <v>3338</v>
      </c>
    </row>
    <row r="299" spans="5:12" x14ac:dyDescent="0.25">
      <c r="E299" s="958" t="s">
        <v>1344</v>
      </c>
      <c r="F299" s="958" t="s">
        <v>2345</v>
      </c>
      <c r="G299" s="20" t="s">
        <v>1342</v>
      </c>
      <c r="H299" s="472" t="s">
        <v>1343</v>
      </c>
      <c r="I299" s="700" t="str">
        <f>TRIM(UPPER(tb_ingredientes[[#This Row],[ingrediente_ativo]]))</f>
        <v>GLIFOSATO</v>
      </c>
      <c r="J299" s="20" t="s">
        <v>3560</v>
      </c>
      <c r="K299" s="20" t="s">
        <v>3560</v>
      </c>
      <c r="L299" s="20" t="s">
        <v>3561</v>
      </c>
    </row>
    <row r="300" spans="5:12" x14ac:dyDescent="0.25">
      <c r="E300" s="958" t="s">
        <v>1350</v>
      </c>
      <c r="F300" s="958" t="s">
        <v>2347</v>
      </c>
      <c r="G300" s="20" t="s">
        <v>1348</v>
      </c>
      <c r="H300" s="472" t="s">
        <v>1349</v>
      </c>
      <c r="I300" s="700" t="str">
        <f>TRIM(UPPER(tb_ingredientes[[#This Row],[ingrediente_ativo]]))</f>
        <v>GLIFOSATO-SAL DE ISOPROPILAMINA</v>
      </c>
      <c r="J300" s="20" t="s">
        <v>3093</v>
      </c>
      <c r="K300" s="20" t="s">
        <v>3093</v>
      </c>
      <c r="L300" s="20" t="s">
        <v>5346</v>
      </c>
    </row>
    <row r="301" spans="5:12" x14ac:dyDescent="0.25">
      <c r="E301" s="957" t="s">
        <v>1353</v>
      </c>
      <c r="F301" s="957" t="s">
        <v>2348</v>
      </c>
      <c r="G301" s="20" t="s">
        <v>1351</v>
      </c>
      <c r="H301" s="472" t="s">
        <v>1352</v>
      </c>
      <c r="I301" s="700" t="str">
        <f>TRIM(UPPER(tb_ingredientes[[#This Row],[ingrediente_ativo]]))</f>
        <v>GLIFOSATO-SAL DE POTÁSSIO</v>
      </c>
      <c r="J301" s="20" t="s">
        <v>5069</v>
      </c>
      <c r="K301" s="20" t="s">
        <v>5069</v>
      </c>
      <c r="L301" s="20" t="s">
        <v>5070</v>
      </c>
    </row>
    <row r="302" spans="5:12" x14ac:dyDescent="0.25">
      <c r="E302" s="957" t="s">
        <v>1347</v>
      </c>
      <c r="F302" s="957" t="s">
        <v>2346</v>
      </c>
      <c r="G302" s="20" t="s">
        <v>1345</v>
      </c>
      <c r="H302" s="472" t="s">
        <v>1346</v>
      </c>
      <c r="I302" s="700" t="str">
        <f>TRIM(UPPER(tb_ingredientes[[#This Row],[ingrediente_ativo]]))</f>
        <v>GLIFOSATO-SAL DE AMÔNIO</v>
      </c>
      <c r="J302" s="20" t="s">
        <v>3093</v>
      </c>
      <c r="K302" s="20" t="s">
        <v>3093</v>
      </c>
      <c r="L302" s="20" t="s">
        <v>5347</v>
      </c>
    </row>
    <row r="303" spans="5:12" x14ac:dyDescent="0.25">
      <c r="E303" s="957" t="s">
        <v>1365</v>
      </c>
      <c r="F303" s="957" t="s">
        <v>2352</v>
      </c>
      <c r="G303" s="20" t="s">
        <v>1363</v>
      </c>
      <c r="H303" s="472" t="s">
        <v>1364</v>
      </c>
      <c r="I303" s="700" t="str">
        <f>TRIM(UPPER(tb_ingredientes[[#This Row],[ingrediente_ativo]]))</f>
        <v>GRANDLURE</v>
      </c>
      <c r="J303" s="20" t="s">
        <v>3093</v>
      </c>
      <c r="K303" s="20" t="s">
        <v>3093</v>
      </c>
      <c r="L303" s="20" t="s">
        <v>5348</v>
      </c>
    </row>
    <row r="304" spans="5:12" x14ac:dyDescent="0.25">
      <c r="E304" s="958" t="s">
        <v>1356</v>
      </c>
      <c r="F304" s="958" t="s">
        <v>2349</v>
      </c>
      <c r="G304" s="20" t="s">
        <v>1354</v>
      </c>
      <c r="H304" s="472" t="s">
        <v>1355</v>
      </c>
      <c r="I304" s="700" t="str">
        <f>TRIM(UPPER(tb_ingredientes[[#This Row],[ingrediente_ativo]]))</f>
        <v>GLUFOSINATO</v>
      </c>
      <c r="J304" s="20" t="s">
        <v>3679</v>
      </c>
      <c r="K304" s="20" t="s">
        <v>3679</v>
      </c>
      <c r="L304" s="20" t="s">
        <v>3680</v>
      </c>
    </row>
    <row r="305" spans="5:12" x14ac:dyDescent="0.25">
      <c r="E305" s="957" t="s">
        <v>1359</v>
      </c>
      <c r="F305" s="957" t="s">
        <v>2350</v>
      </c>
      <c r="G305" s="20" t="s">
        <v>1357</v>
      </c>
      <c r="H305" s="472" t="s">
        <v>1358</v>
      </c>
      <c r="I305" s="700" t="str">
        <f>TRIM(UPPER(tb_ingredientes[[#This Row],[ingrediente_ativo]]))</f>
        <v>GLUFOSINATO-SAL DE AMÔNIO</v>
      </c>
      <c r="J305" s="20" t="s">
        <v>3093</v>
      </c>
      <c r="K305" s="20" t="s">
        <v>3093</v>
      </c>
      <c r="L305" s="20" t="s">
        <v>5349</v>
      </c>
    </row>
    <row r="306" spans="5:12" x14ac:dyDescent="0.25">
      <c r="E306" s="958" t="s">
        <v>1362</v>
      </c>
      <c r="F306" s="958" t="s">
        <v>2351</v>
      </c>
      <c r="G306" s="20" t="s">
        <v>1360</v>
      </c>
      <c r="H306" s="472" t="s">
        <v>1361</v>
      </c>
      <c r="I306" s="700" t="str">
        <f>TRIM(UPPER(tb_ingredientes[[#This Row],[ingrediente_ativo]]))</f>
        <v>GOSSIPLURE</v>
      </c>
      <c r="J306" s="20" t="s">
        <v>3192</v>
      </c>
      <c r="K306" s="20" t="s">
        <v>3192</v>
      </c>
      <c r="L306" s="20" t="s">
        <v>3193</v>
      </c>
    </row>
    <row r="307" spans="5:12" x14ac:dyDescent="0.25">
      <c r="E307" s="957" t="s">
        <v>1341</v>
      </c>
      <c r="F307" s="957" t="s">
        <v>2344</v>
      </c>
      <c r="G307" s="20" t="s">
        <v>1339</v>
      </c>
      <c r="H307" s="472" t="s">
        <v>1340</v>
      </c>
      <c r="I307" s="700" t="str">
        <f>TRIM(UPPER(tb_ingredientes[[#This Row],[ingrediente_ativo]]))</f>
        <v>GERANIOL</v>
      </c>
      <c r="J307" s="20" t="s">
        <v>2743</v>
      </c>
      <c r="K307" s="20" t="s">
        <v>2743</v>
      </c>
      <c r="L307" s="20" t="s">
        <v>2744</v>
      </c>
    </row>
    <row r="308" spans="5:12" x14ac:dyDescent="0.25">
      <c r="E308" s="958" t="s">
        <v>1386</v>
      </c>
      <c r="F308" s="958" t="s">
        <v>2359</v>
      </c>
      <c r="G308" s="20" t="s">
        <v>1384</v>
      </c>
      <c r="H308" s="472" t="s">
        <v>1385</v>
      </c>
      <c r="I308" s="700" t="str">
        <f>TRIM(UPPER(tb_ingredientes[[#This Row],[ingrediente_ativo]]))</f>
        <v>HEXAZINONA</v>
      </c>
      <c r="J308" s="20" t="s">
        <v>4814</v>
      </c>
      <c r="K308" s="20" t="s">
        <v>4814</v>
      </c>
      <c r="L308" s="20" t="s">
        <v>4815</v>
      </c>
    </row>
    <row r="309" spans="5:12" x14ac:dyDescent="0.25">
      <c r="E309" s="957" t="s">
        <v>1395</v>
      </c>
      <c r="F309" s="957" t="s">
        <v>2362</v>
      </c>
      <c r="G309" s="20" t="s">
        <v>1393</v>
      </c>
      <c r="H309" s="472" t="s">
        <v>1394</v>
      </c>
      <c r="I309" s="700" t="str">
        <f>TRIM(UPPER(tb_ingredientes[[#This Row],[ingrediente_ativo]]))</f>
        <v>HIDRAZIDA MALÊICA</v>
      </c>
      <c r="J309" s="20" t="s">
        <v>3458</v>
      </c>
      <c r="K309" s="20" t="s">
        <v>3458</v>
      </c>
      <c r="L309" s="20" t="s">
        <v>3459</v>
      </c>
    </row>
    <row r="310" spans="5:12" x14ac:dyDescent="0.25">
      <c r="E310" s="958" t="s">
        <v>1392</v>
      </c>
      <c r="F310" s="958" t="s">
        <v>2361</v>
      </c>
      <c r="G310" s="20" t="s">
        <v>1390</v>
      </c>
      <c r="H310" s="472" t="s">
        <v>1391</v>
      </c>
      <c r="I310" s="700" t="str">
        <f>TRIM(UPPER(tb_ingredientes[[#This Row],[ingrediente_ativo]]))</f>
        <v>HIDRAMETILNONA</v>
      </c>
      <c r="J310" s="20" t="s">
        <v>4641</v>
      </c>
      <c r="K310" s="20" t="s">
        <v>4641</v>
      </c>
      <c r="L310" s="20" t="s">
        <v>4642</v>
      </c>
    </row>
    <row r="311" spans="5:12" x14ac:dyDescent="0.25">
      <c r="E311" s="957" t="s">
        <v>1389</v>
      </c>
      <c r="F311" s="957" t="s">
        <v>2360</v>
      </c>
      <c r="G311" s="20" t="s">
        <v>1387</v>
      </c>
      <c r="H311" s="472" t="s">
        <v>1388</v>
      </c>
      <c r="I311" s="700" t="str">
        <f>TRIM(UPPER(tb_ingredientes[[#This Row],[ingrediente_ativo]]))</f>
        <v>HEXITIAZOXI</v>
      </c>
      <c r="J311" s="20" t="s">
        <v>4901</v>
      </c>
      <c r="K311" s="20" t="s">
        <v>4901</v>
      </c>
      <c r="L311" s="20" t="s">
        <v>4902</v>
      </c>
    </row>
    <row r="312" spans="5:12" x14ac:dyDescent="0.25">
      <c r="E312" s="958" t="s">
        <v>1374</v>
      </c>
      <c r="F312" s="958" t="s">
        <v>2355</v>
      </c>
      <c r="G312" s="20" t="s">
        <v>1372</v>
      </c>
      <c r="H312" s="472" t="s">
        <v>1373</v>
      </c>
      <c r="I312" s="700" t="str">
        <f>TRIM(UPPER(tb_ingredientes[[#This Row],[ingrediente_ativo]]))</f>
        <v>HALOXIFOPE-P</v>
      </c>
      <c r="J312" s="20" t="s">
        <v>4916</v>
      </c>
      <c r="K312" s="20" t="s">
        <v>4916</v>
      </c>
      <c r="L312" s="20" t="s">
        <v>4917</v>
      </c>
    </row>
    <row r="313" spans="5:12" x14ac:dyDescent="0.25">
      <c r="E313" s="957" t="s">
        <v>1377</v>
      </c>
      <c r="F313" s="957" t="s">
        <v>2356</v>
      </c>
      <c r="G313" s="20" t="s">
        <v>1375</v>
      </c>
      <c r="H313" s="472" t="s">
        <v>1376</v>
      </c>
      <c r="I313" s="700" t="str">
        <f>TRIM(UPPER(tb_ingredientes[[#This Row],[ingrediente_ativo]]))</f>
        <v>HALOXIFOPE-P-METÍLICO</v>
      </c>
      <c r="J313" s="20" t="s">
        <v>4130</v>
      </c>
      <c r="K313" s="20" t="s">
        <v>4130</v>
      </c>
      <c r="L313" s="20" t="s">
        <v>4131</v>
      </c>
    </row>
    <row r="314" spans="5:12" x14ac:dyDescent="0.25">
      <c r="E314" s="958" t="s">
        <v>1368</v>
      </c>
      <c r="F314" s="958" t="s">
        <v>2353</v>
      </c>
      <c r="G314" s="20" t="s">
        <v>1366</v>
      </c>
      <c r="H314" s="472" t="s">
        <v>1367</v>
      </c>
      <c r="I314" s="700" t="str">
        <f>TRIM(UPPER(tb_ingredientes[[#This Row],[ingrediente_ativo]]))</f>
        <v>HALOSSULFUROM</v>
      </c>
      <c r="J314" s="20" t="s">
        <v>4922</v>
      </c>
      <c r="K314" s="20" t="s">
        <v>4922</v>
      </c>
      <c r="L314" s="20" t="s">
        <v>4923</v>
      </c>
    </row>
    <row r="315" spans="5:12" x14ac:dyDescent="0.25">
      <c r="E315" s="957" t="s">
        <v>1371</v>
      </c>
      <c r="F315" s="957" t="s">
        <v>2354</v>
      </c>
      <c r="G315" s="20" t="s">
        <v>1369</v>
      </c>
      <c r="H315" s="472" t="s">
        <v>1370</v>
      </c>
      <c r="I315" s="700" t="str">
        <f>TRIM(UPPER(tb_ingredientes[[#This Row],[ingrediente_ativo]]))</f>
        <v>HALOSSULFUROM-METÍLICO</v>
      </c>
      <c r="J315" s="20" t="s">
        <v>5278</v>
      </c>
      <c r="K315" s="20" t="s">
        <v>5278</v>
      </c>
      <c r="L315" s="20" t="s">
        <v>5279</v>
      </c>
    </row>
    <row r="316" spans="5:12" x14ac:dyDescent="0.25">
      <c r="E316" s="958" t="s">
        <v>1380</v>
      </c>
      <c r="F316" s="958" t="s">
        <v>2357</v>
      </c>
      <c r="G316" s="20" t="s">
        <v>1378</v>
      </c>
      <c r="H316" s="472" t="s">
        <v>1379</v>
      </c>
      <c r="I316" s="700" t="str">
        <f>TRIM(UPPER(tb_ingredientes[[#This Row],[ingrediente_ativo]]))</f>
        <v>HEXACONAZOL</v>
      </c>
      <c r="J316" s="20" t="s">
        <v>3446</v>
      </c>
      <c r="K316" s="20" t="s">
        <v>3446</v>
      </c>
      <c r="L316" s="20" t="s">
        <v>3447</v>
      </c>
    </row>
    <row r="317" spans="5:12" x14ac:dyDescent="0.25">
      <c r="E317" s="957" t="s">
        <v>1383</v>
      </c>
      <c r="F317" s="957" t="s">
        <v>2358</v>
      </c>
      <c r="G317" s="20" t="s">
        <v>1381</v>
      </c>
      <c r="H317" s="472" t="s">
        <v>1382</v>
      </c>
      <c r="I317" s="700" t="str">
        <f>TRIM(UPPER(tb_ingredientes[[#This Row],[ingrediente_ativo]]))</f>
        <v>HEXAFLUMUROM</v>
      </c>
      <c r="J317" s="20" t="s">
        <v>4424</v>
      </c>
      <c r="K317" s="20" t="s">
        <v>4424</v>
      </c>
      <c r="L317" s="20" t="s">
        <v>4425</v>
      </c>
    </row>
    <row r="318" spans="5:12" x14ac:dyDescent="0.25">
      <c r="E318" s="958" t="s">
        <v>1093</v>
      </c>
      <c r="F318" s="958" t="s">
        <v>2262</v>
      </c>
      <c r="G318" s="20" t="s">
        <v>1091</v>
      </c>
      <c r="H318" s="472" t="s">
        <v>1092</v>
      </c>
      <c r="I318" s="700" t="str">
        <f>TRIM(UPPER(tb_ingredientes[[#This Row],[ingrediente_ativo]]))</f>
        <v>E -11-HEXADECENOL</v>
      </c>
      <c r="J318" s="20" t="s">
        <v>3476</v>
      </c>
      <c r="K318" s="20" t="s">
        <v>3476</v>
      </c>
      <c r="L318" s="20" t="s">
        <v>3477</v>
      </c>
    </row>
    <row r="319" spans="5:12" x14ac:dyDescent="0.25">
      <c r="E319" s="958" t="s">
        <v>496</v>
      </c>
      <c r="F319" s="958" t="s">
        <v>2078</v>
      </c>
      <c r="G319" s="20" t="s">
        <v>494</v>
      </c>
      <c r="H319" s="472" t="s">
        <v>495</v>
      </c>
      <c r="I319" s="700" t="str">
        <f>TRIM(UPPER(tb_ingredientes[[#This Row],[ingrediente_ativo]]))</f>
        <v>(Z)-11-HEXADECENAL</v>
      </c>
      <c r="J319" s="20" t="s">
        <v>4241</v>
      </c>
      <c r="K319" s="20" t="s">
        <v>4241</v>
      </c>
      <c r="L319" s="20" t="s">
        <v>4242</v>
      </c>
    </row>
    <row r="320" spans="5:12" x14ac:dyDescent="0.25">
      <c r="E320" s="958" t="s">
        <v>508</v>
      </c>
      <c r="F320" s="958" t="s">
        <v>2082</v>
      </c>
      <c r="G320" s="20" t="s">
        <v>506</v>
      </c>
      <c r="H320" s="472" t="s">
        <v>507</v>
      </c>
      <c r="I320" s="700" t="str">
        <f>TRIM(UPPER(tb_ingredientes[[#This Row],[ingrediente_ativo]]))</f>
        <v>(Z)-9-HEXADECENAL</v>
      </c>
      <c r="J320" s="20" t="s">
        <v>3349</v>
      </c>
      <c r="K320" s="20" t="s">
        <v>3349</v>
      </c>
      <c r="L320" s="20" t="s">
        <v>3350</v>
      </c>
    </row>
    <row r="321" spans="5:12" x14ac:dyDescent="0.25">
      <c r="E321" s="958" t="s">
        <v>502</v>
      </c>
      <c r="F321" s="958" t="s">
        <v>2080</v>
      </c>
      <c r="G321" s="20" t="s">
        <v>500</v>
      </c>
      <c r="H321" s="472" t="s">
        <v>501</v>
      </c>
      <c r="I321" s="700" t="str">
        <f>TRIM(UPPER(tb_ingredientes[[#This Row],[ingrediente_ativo]]))</f>
        <v>(Z)-7-HEXADECENAL</v>
      </c>
      <c r="J321" s="20" t="s">
        <v>5118</v>
      </c>
      <c r="K321" s="20" t="s">
        <v>5118</v>
      </c>
      <c r="L321" s="20" t="s">
        <v>5119</v>
      </c>
    </row>
    <row r="322" spans="5:12" x14ac:dyDescent="0.25">
      <c r="E322" s="958" t="s">
        <v>7188</v>
      </c>
      <c r="F322" s="958" t="s">
        <v>7189</v>
      </c>
      <c r="G322" s="20" t="s">
        <v>7187</v>
      </c>
      <c r="H322" s="472" t="s">
        <v>7190</v>
      </c>
      <c r="I322" s="700" t="str">
        <f>TRIM(UPPER(tb_ingredientes[[#This Row],[ingrediente_ativo]]))</f>
        <v>HALAUXIFENO METÍLICO</v>
      </c>
      <c r="J322" s="20" t="s">
        <v>5145</v>
      </c>
      <c r="K322" s="20" t="s">
        <v>5145</v>
      </c>
      <c r="L322" s="20" t="s">
        <v>5146</v>
      </c>
    </row>
    <row r="323" spans="5:12" x14ac:dyDescent="0.25">
      <c r="E323" s="957" t="s">
        <v>1443</v>
      </c>
      <c r="F323" s="957" t="s">
        <v>2378</v>
      </c>
      <c r="G323" s="20" t="s">
        <v>1441</v>
      </c>
      <c r="H323" s="472" t="s">
        <v>1442</v>
      </c>
      <c r="I323" s="700" t="str">
        <f>TRIM(UPPER(tb_ingredientes[[#This Row],[ingrediente_ativo]]))</f>
        <v>IODOFENFÓS</v>
      </c>
      <c r="J323" s="20" t="s">
        <v>4648</v>
      </c>
      <c r="K323" s="20" t="s">
        <v>4648</v>
      </c>
      <c r="L323" s="20" t="s">
        <v>4649</v>
      </c>
    </row>
    <row r="324" spans="5:12" x14ac:dyDescent="0.25">
      <c r="E324" s="957" t="s">
        <v>1455</v>
      </c>
      <c r="F324" s="957" t="s">
        <v>2382</v>
      </c>
      <c r="G324" s="20" t="s">
        <v>1453</v>
      </c>
      <c r="H324" s="472" t="s">
        <v>1454</v>
      </c>
      <c r="I324" s="700" t="str">
        <f>TRIM(UPPER(tb_ingredientes[[#This Row],[ingrediente_ativo]]))</f>
        <v>IPRODIONA</v>
      </c>
      <c r="J324" s="20" t="s">
        <v>4748</v>
      </c>
      <c r="K324" s="20" t="s">
        <v>4748</v>
      </c>
      <c r="L324" s="20" t="s">
        <v>4749</v>
      </c>
    </row>
    <row r="325" spans="5:12" x14ac:dyDescent="0.25">
      <c r="E325" s="958" t="s">
        <v>1416</v>
      </c>
      <c r="F325" s="958" t="s">
        <v>2369</v>
      </c>
      <c r="G325" s="20" t="s">
        <v>1414</v>
      </c>
      <c r="H325" s="472" t="s">
        <v>1415</v>
      </c>
      <c r="I325" s="700" t="str">
        <f>TRIM(UPPER(tb_ingredientes[[#This Row],[ingrediente_ativo]]))</f>
        <v>IMAZAQUIM</v>
      </c>
      <c r="J325" s="20" t="s">
        <v>4856</v>
      </c>
      <c r="K325" s="20" t="s">
        <v>4856</v>
      </c>
      <c r="L325" s="20" t="s">
        <v>4857</v>
      </c>
    </row>
    <row r="326" spans="5:12" x14ac:dyDescent="0.25">
      <c r="E326" s="957" t="s">
        <v>1419</v>
      </c>
      <c r="F326" s="957" t="s">
        <v>2370</v>
      </c>
      <c r="G326" s="20" t="s">
        <v>1417</v>
      </c>
      <c r="H326" s="472" t="s">
        <v>1418</v>
      </c>
      <c r="I326" s="700" t="str">
        <f>TRIM(UPPER(tb_ingredientes[[#This Row],[ingrediente_ativo]]))</f>
        <v>IMAZETAPIR</v>
      </c>
      <c r="J326" s="20" t="s">
        <v>4858</v>
      </c>
      <c r="K326" s="20" t="s">
        <v>4858</v>
      </c>
      <c r="L326" s="20" t="s">
        <v>4859</v>
      </c>
    </row>
    <row r="327" spans="5:12" x14ac:dyDescent="0.25">
      <c r="E327" s="957" t="s">
        <v>1413</v>
      </c>
      <c r="F327" s="957" t="s">
        <v>2368</v>
      </c>
      <c r="G327" s="20" t="s">
        <v>1411</v>
      </c>
      <c r="H327" s="472" t="s">
        <v>1412</v>
      </c>
      <c r="I327" s="700" t="str">
        <f>TRIM(UPPER(tb_ingredientes[[#This Row],[ingrediente_ativo]]))</f>
        <v>IMAZAPIR</v>
      </c>
      <c r="J327" s="20" t="s">
        <v>4670</v>
      </c>
      <c r="K327" s="20" t="s">
        <v>4670</v>
      </c>
      <c r="L327" s="20" t="s">
        <v>4671</v>
      </c>
    </row>
    <row r="328" spans="5:12" x14ac:dyDescent="0.25">
      <c r="E328" s="957" t="s">
        <v>1425</v>
      </c>
      <c r="F328" s="957" t="s">
        <v>2372</v>
      </c>
      <c r="G328" s="20" t="s">
        <v>1423</v>
      </c>
      <c r="H328" s="472" t="s">
        <v>1424</v>
      </c>
      <c r="I328" s="700" t="str">
        <f>TRIM(UPPER(tb_ingredientes[[#This Row],[ingrediente_ativo]]))</f>
        <v>IMIDACLOPRIDO</v>
      </c>
      <c r="J328" s="20" t="s">
        <v>4751</v>
      </c>
      <c r="K328" s="20" t="s">
        <v>4751</v>
      </c>
      <c r="L328" s="20" t="s">
        <v>4752</v>
      </c>
    </row>
    <row r="329" spans="5:12" x14ac:dyDescent="0.25">
      <c r="E329" s="957" t="s">
        <v>1407</v>
      </c>
      <c r="F329" s="957" t="s">
        <v>2366</v>
      </c>
      <c r="G329" s="20" t="s">
        <v>1405</v>
      </c>
      <c r="H329" s="472" t="s">
        <v>1406</v>
      </c>
      <c r="I329" s="700" t="str">
        <f>TRIM(UPPER(tb_ingredientes[[#This Row],[ingrediente_ativo]]))</f>
        <v>IMAZAMOXI</v>
      </c>
      <c r="J329" s="20" t="s">
        <v>5025</v>
      </c>
      <c r="K329" s="20" t="s">
        <v>5025</v>
      </c>
      <c r="L329" s="20" t="s">
        <v>5026</v>
      </c>
    </row>
    <row r="330" spans="5:12" x14ac:dyDescent="0.25">
      <c r="E330" s="958" t="s">
        <v>1422</v>
      </c>
      <c r="F330" s="958" t="s">
        <v>2371</v>
      </c>
      <c r="G330" s="20" t="s">
        <v>1420</v>
      </c>
      <c r="H330" s="472" t="s">
        <v>1421</v>
      </c>
      <c r="I330" s="700" t="str">
        <f>TRIM(UPPER(tb_ingredientes[[#This Row],[ingrediente_ativo]]))</f>
        <v>IMIBENCONAZOL</v>
      </c>
      <c r="J330" s="20" t="s">
        <v>5300</v>
      </c>
      <c r="K330" s="20" t="s">
        <v>5300</v>
      </c>
      <c r="L330" s="20" t="s">
        <v>5301</v>
      </c>
    </row>
    <row r="331" spans="5:12" x14ac:dyDescent="0.25">
      <c r="E331" s="958" t="s">
        <v>1434</v>
      </c>
      <c r="F331" s="958" t="s">
        <v>2375</v>
      </c>
      <c r="G331" s="20" t="s">
        <v>1432</v>
      </c>
      <c r="H331" s="472" t="s">
        <v>1433</v>
      </c>
      <c r="I331" s="700" t="str">
        <f>TRIM(UPPER(tb_ingredientes[[#This Row],[ingrediente_ativo]]))</f>
        <v>IMIPROTRIM</v>
      </c>
      <c r="J331" s="20" t="s">
        <v>4261</v>
      </c>
      <c r="K331" s="20" t="s">
        <v>4261</v>
      </c>
      <c r="L331" s="20" t="s">
        <v>4262</v>
      </c>
    </row>
    <row r="332" spans="5:12" x14ac:dyDescent="0.25">
      <c r="E332" s="958" t="s">
        <v>1463</v>
      </c>
      <c r="F332" s="958" t="s">
        <v>2384</v>
      </c>
      <c r="G332" s="20" t="s">
        <v>1461</v>
      </c>
      <c r="H332" s="472" t="s">
        <v>1462</v>
      </c>
      <c r="I332" s="700" t="str">
        <f>TRIM(UPPER(tb_ingredientes[[#This Row],[ingrediente_ativo]]))</f>
        <v>ISOXAFLUTOL</v>
      </c>
      <c r="J332" s="20" t="s">
        <v>5149</v>
      </c>
      <c r="K332" s="20" t="s">
        <v>5149</v>
      </c>
      <c r="L332" s="20" t="s">
        <v>5150</v>
      </c>
    </row>
    <row r="333" spans="5:12" x14ac:dyDescent="0.25">
      <c r="E333" s="958" t="s">
        <v>1404</v>
      </c>
      <c r="F333" s="958" t="s">
        <v>2365</v>
      </c>
      <c r="G333" s="20" t="s">
        <v>1402</v>
      </c>
      <c r="H333" s="472" t="s">
        <v>1403</v>
      </c>
      <c r="I333" s="700" t="str">
        <f>TRIM(UPPER(tb_ingredientes[[#This Row],[ingrediente_ativo]]))</f>
        <v>IMAZALIL</v>
      </c>
      <c r="J333" s="20" t="s">
        <v>5147</v>
      </c>
      <c r="K333" s="20" t="s">
        <v>5147</v>
      </c>
      <c r="L333" s="20" t="s">
        <v>5148</v>
      </c>
    </row>
    <row r="334" spans="5:12" x14ac:dyDescent="0.25">
      <c r="E334" s="958" t="s">
        <v>1410</v>
      </c>
      <c r="F334" s="958" t="s">
        <v>2367</v>
      </c>
      <c r="G334" s="20" t="s">
        <v>1408</v>
      </c>
      <c r="H334" s="472" t="s">
        <v>1409</v>
      </c>
      <c r="I334" s="700" t="str">
        <f>TRIM(UPPER(tb_ingredientes[[#This Row],[ingrediente_ativo]]))</f>
        <v>IMAZAPIQUE</v>
      </c>
      <c r="J334" s="20" t="s">
        <v>5121</v>
      </c>
      <c r="K334" s="20" t="s">
        <v>5121</v>
      </c>
      <c r="L334" s="20" t="s">
        <v>5122</v>
      </c>
    </row>
    <row r="335" spans="5:12" x14ac:dyDescent="0.25">
      <c r="E335" s="958" t="s">
        <v>1440</v>
      </c>
      <c r="F335" s="958" t="s">
        <v>2377</v>
      </c>
      <c r="G335" s="20" t="s">
        <v>1438</v>
      </c>
      <c r="H335" s="472" t="s">
        <v>1439</v>
      </c>
      <c r="I335" s="700" t="str">
        <f>TRIM(UPPER(tb_ingredientes[[#This Row],[ingrediente_ativo]]))</f>
        <v>INDOXACARBE</v>
      </c>
      <c r="J335" s="20" t="s">
        <v>4978</v>
      </c>
      <c r="K335" s="20" t="s">
        <v>4978</v>
      </c>
      <c r="L335" s="20" t="s">
        <v>4979</v>
      </c>
    </row>
    <row r="336" spans="5:12" x14ac:dyDescent="0.25">
      <c r="E336" s="958" t="s">
        <v>1446</v>
      </c>
      <c r="F336" s="958" t="s">
        <v>2379</v>
      </c>
      <c r="G336" s="20" t="s">
        <v>1444</v>
      </c>
      <c r="H336" s="472" t="s">
        <v>1445</v>
      </c>
      <c r="I336" s="700" t="str">
        <f>TRIM(UPPER(tb_ingredientes[[#This Row],[ingrediente_ativo]]))</f>
        <v>IODOSSULFUROM-METÍLICO-SÓDICO</v>
      </c>
      <c r="J336" s="20" t="s">
        <v>4903</v>
      </c>
      <c r="K336" s="20" t="s">
        <v>4903</v>
      </c>
      <c r="L336" s="20" t="s">
        <v>4904</v>
      </c>
    </row>
    <row r="337" spans="5:12" x14ac:dyDescent="0.25">
      <c r="E337" s="957" t="s">
        <v>1449</v>
      </c>
      <c r="F337" s="957" t="s">
        <v>2380</v>
      </c>
      <c r="G337" s="20" t="s">
        <v>1447</v>
      </c>
      <c r="H337" s="472" t="s">
        <v>1448</v>
      </c>
      <c r="I337" s="700" t="str">
        <f>TRIM(UPPER(tb_ingredientes[[#This Row],[ingrediente_ativo]]))</f>
        <v>IPBC</v>
      </c>
      <c r="J337" s="20" t="s">
        <v>5018</v>
      </c>
      <c r="K337" s="20" t="s">
        <v>5018</v>
      </c>
      <c r="L337" s="20" t="s">
        <v>5019</v>
      </c>
    </row>
    <row r="338" spans="5:12" x14ac:dyDescent="0.25">
      <c r="E338" s="958" t="s">
        <v>1458</v>
      </c>
      <c r="F338" s="958" t="s">
        <v>2383</v>
      </c>
      <c r="G338" s="20" t="s">
        <v>1456</v>
      </c>
      <c r="H338" s="472" t="s">
        <v>1457</v>
      </c>
      <c r="I338" s="700" t="str">
        <f>TRIM(UPPER(tb_ingredientes[[#This Row],[ingrediente_ativo]]))</f>
        <v>IPROVALICARBE</v>
      </c>
      <c r="J338" s="20" t="s">
        <v>2603</v>
      </c>
      <c r="K338" s="20" t="s">
        <v>2603</v>
      </c>
      <c r="L338" s="20" t="s">
        <v>2604</v>
      </c>
    </row>
    <row r="339" spans="5:12" x14ac:dyDescent="0.25">
      <c r="E339" s="958" t="s">
        <v>1428</v>
      </c>
      <c r="F339" s="958" t="s">
        <v>2373</v>
      </c>
      <c r="G339" s="20" t="s">
        <v>1426</v>
      </c>
      <c r="H339" s="472" t="s">
        <v>1427</v>
      </c>
      <c r="I339" s="700" t="str">
        <f>TRIM(UPPER(tb_ingredientes[[#This Row],[ingrediente_ativo]]))</f>
        <v>IMINOCTADINA</v>
      </c>
      <c r="J339" s="20" t="s">
        <v>4678</v>
      </c>
      <c r="K339" s="20" t="s">
        <v>4678</v>
      </c>
      <c r="L339" s="20" t="s">
        <v>4679</v>
      </c>
    </row>
    <row r="340" spans="5:12" x14ac:dyDescent="0.25">
      <c r="E340" s="957" t="s">
        <v>1431</v>
      </c>
      <c r="F340" s="957" t="s">
        <v>2374</v>
      </c>
      <c r="G340" s="20" t="s">
        <v>1429</v>
      </c>
      <c r="H340" s="472" t="s">
        <v>1430</v>
      </c>
      <c r="I340" s="700" t="str">
        <f>TRIM(UPPER(tb_ingredientes[[#This Row],[ingrediente_ativo]]))</f>
        <v>IMINOCTADINA TRIS(ALBESILATO)</v>
      </c>
      <c r="J340" s="20" t="s">
        <v>4676</v>
      </c>
      <c r="K340" s="20" t="s">
        <v>4676</v>
      </c>
      <c r="L340" s="20" t="s">
        <v>4677</v>
      </c>
    </row>
    <row r="341" spans="5:12" x14ac:dyDescent="0.25">
      <c r="E341" s="958" t="s">
        <v>1452</v>
      </c>
      <c r="F341" s="958" t="s">
        <v>2381</v>
      </c>
      <c r="G341" s="20" t="s">
        <v>1450</v>
      </c>
      <c r="H341" s="472" t="s">
        <v>1451</v>
      </c>
      <c r="I341" s="700" t="str">
        <f>TRIM(UPPER(tb_ingredientes[[#This Row],[ingrediente_ativo]]))</f>
        <v>IPCONAZOL</v>
      </c>
      <c r="J341" s="20" t="s">
        <v>3415</v>
      </c>
      <c r="K341" s="20" t="s">
        <v>3415</v>
      </c>
      <c r="L341" s="20" t="s">
        <v>3416</v>
      </c>
    </row>
    <row r="342" spans="5:12" x14ac:dyDescent="0.25">
      <c r="E342" s="957" t="s">
        <v>1437</v>
      </c>
      <c r="F342" s="957" t="s">
        <v>2376</v>
      </c>
      <c r="G342" s="20" t="s">
        <v>1435</v>
      </c>
      <c r="H342" s="472" t="s">
        <v>1436</v>
      </c>
      <c r="I342" s="700" t="str">
        <f>TRIM(UPPER(tb_ingredientes[[#This Row],[ingrediente_ativo]]))</f>
        <v>INDAZIFLAM</v>
      </c>
      <c r="J342" s="20" t="s">
        <v>4746</v>
      </c>
      <c r="K342" s="20" t="s">
        <v>4746</v>
      </c>
      <c r="L342" s="20" t="s">
        <v>4747</v>
      </c>
    </row>
    <row r="343" spans="5:12" x14ac:dyDescent="0.25">
      <c r="E343" s="957" t="s">
        <v>661</v>
      </c>
      <c r="F343" s="957" t="s">
        <v>661</v>
      </c>
      <c r="G343" s="20" t="s">
        <v>1459</v>
      </c>
      <c r="H343" s="472" t="s">
        <v>1460</v>
      </c>
      <c r="I343" s="700" t="str">
        <f>TRIM(UPPER(tb_ingredientes[[#This Row],[ingrediente_ativo]]))</f>
        <v>ISARIA FUMOSOROSEA</v>
      </c>
      <c r="J343" s="20" t="s">
        <v>3320</v>
      </c>
      <c r="K343" s="20" t="s">
        <v>3320</v>
      </c>
      <c r="L343" s="20" t="s">
        <v>3321</v>
      </c>
    </row>
    <row r="344" spans="5:12" x14ac:dyDescent="0.25">
      <c r="E344" s="958" t="s">
        <v>7192</v>
      </c>
      <c r="F344" s="958" t="s">
        <v>7193</v>
      </c>
      <c r="G344" s="20" t="s">
        <v>7191</v>
      </c>
      <c r="H344" s="472" t="s">
        <v>7194</v>
      </c>
      <c r="I344" s="700" t="str">
        <f>TRIM(UPPER(tb_ingredientes[[#This Row],[ingrediente_ativo]]))</f>
        <v>ISOFETAMIDA</v>
      </c>
      <c r="J344" s="20" t="s">
        <v>3103</v>
      </c>
      <c r="K344" s="20" t="s">
        <v>3103</v>
      </c>
      <c r="L344" s="20" t="s">
        <v>3104</v>
      </c>
    </row>
    <row r="345" spans="5:12" x14ac:dyDescent="0.25">
      <c r="E345" s="958" t="s">
        <v>7196</v>
      </c>
      <c r="F345" s="958" t="s">
        <v>7196</v>
      </c>
      <c r="G345" s="20" t="s">
        <v>7195</v>
      </c>
      <c r="H345" s="472" t="s">
        <v>7197</v>
      </c>
      <c r="I345" s="700" t="str">
        <f>TRIM(UPPER(tb_ingredientes[[#This Row],[ingrediente_ativo]]))</f>
        <v>IMPIRFLUXAM</v>
      </c>
      <c r="J345" s="20" t="s">
        <v>3112</v>
      </c>
      <c r="K345" s="20" t="s">
        <v>3112</v>
      </c>
      <c r="L345" s="20" t="s">
        <v>3113</v>
      </c>
    </row>
    <row r="346" spans="5:12" x14ac:dyDescent="0.25">
      <c r="E346" s="958" t="s">
        <v>661</v>
      </c>
      <c r="F346" s="958" t="s">
        <v>661</v>
      </c>
      <c r="G346" s="20" t="s">
        <v>7198</v>
      </c>
      <c r="H346" s="472" t="s">
        <v>7199</v>
      </c>
      <c r="I346" s="700" t="str">
        <f>TRIM(UPPER(tb_ingredientes[[#This Row],[ingrediente_ativo]]))</f>
        <v>ISARIA JAVANICA</v>
      </c>
      <c r="J346" s="20" t="s">
        <v>3093</v>
      </c>
      <c r="K346" s="20" t="s">
        <v>3093</v>
      </c>
      <c r="L346" s="20" t="s">
        <v>4776</v>
      </c>
    </row>
    <row r="347" spans="5:12" x14ac:dyDescent="0.25">
      <c r="E347" s="957" t="s">
        <v>1472</v>
      </c>
      <c r="F347" s="957" t="s">
        <v>2387</v>
      </c>
      <c r="G347" s="20" t="s">
        <v>1470</v>
      </c>
      <c r="H347" s="472" t="s">
        <v>1471</v>
      </c>
      <c r="I347" s="700" t="str">
        <f>TRIM(UPPER(tb_ingredientes[[#This Row],[ingrediente_ativo]]))</f>
        <v>LINUROM</v>
      </c>
      <c r="J347" s="20" t="s">
        <v>2741</v>
      </c>
      <c r="K347" s="20" t="s">
        <v>2741</v>
      </c>
      <c r="L347" s="20" t="s">
        <v>2742</v>
      </c>
    </row>
    <row r="348" spans="5:12" x14ac:dyDescent="0.25">
      <c r="E348" s="957" t="s">
        <v>1466</v>
      </c>
      <c r="F348" s="957" t="s">
        <v>2385</v>
      </c>
      <c r="G348" s="20" t="s">
        <v>1464</v>
      </c>
      <c r="H348" s="472" t="s">
        <v>1465</v>
      </c>
      <c r="I348" s="700" t="str">
        <f>TRIM(UPPER(tb_ingredientes[[#This Row],[ingrediente_ativo]]))</f>
        <v>LACTOFEM</v>
      </c>
      <c r="J348" s="20" t="s">
        <v>3486</v>
      </c>
      <c r="K348" s="20" t="s">
        <v>3486</v>
      </c>
      <c r="L348" s="20" t="s">
        <v>3487</v>
      </c>
    </row>
    <row r="349" spans="5:12" x14ac:dyDescent="0.25">
      <c r="E349" s="958" t="s">
        <v>1475</v>
      </c>
      <c r="F349" s="958" t="s">
        <v>2388</v>
      </c>
      <c r="G349" s="20" t="s">
        <v>1473</v>
      </c>
      <c r="H349" s="472" t="s">
        <v>1474</v>
      </c>
      <c r="I349" s="700" t="str">
        <f>TRIM(UPPER(tb_ingredientes[[#This Row],[ingrediente_ativo]]))</f>
        <v>LUFENUROM</v>
      </c>
      <c r="J349" s="20" t="s">
        <v>2703</v>
      </c>
      <c r="K349" s="20" t="s">
        <v>2703</v>
      </c>
      <c r="L349" s="20" t="s">
        <v>2704</v>
      </c>
    </row>
    <row r="350" spans="5:12" x14ac:dyDescent="0.25">
      <c r="E350" s="957" t="s">
        <v>1478</v>
      </c>
      <c r="F350" s="957" t="s">
        <v>2389</v>
      </c>
      <c r="G350" s="20" t="s">
        <v>1476</v>
      </c>
      <c r="H350" s="472" t="s">
        <v>1477</v>
      </c>
      <c r="I350" s="700" t="str">
        <f>TRIM(UPPER(tb_ingredientes[[#This Row],[ingrediente_ativo]]))</f>
        <v>MALATIONA</v>
      </c>
      <c r="J350" s="20" t="s">
        <v>2761</v>
      </c>
      <c r="K350" s="20" t="s">
        <v>2761</v>
      </c>
      <c r="L350" s="20" t="s">
        <v>2762</v>
      </c>
    </row>
    <row r="351" spans="5:12" x14ac:dyDescent="0.25">
      <c r="E351" s="958" t="s">
        <v>1481</v>
      </c>
      <c r="F351" s="958" t="s">
        <v>2390</v>
      </c>
      <c r="G351" s="20" t="s">
        <v>1479</v>
      </c>
      <c r="H351" s="472" t="s">
        <v>1480</v>
      </c>
      <c r="I351" s="700" t="str">
        <f>TRIM(UPPER(tb_ingredientes[[#This Row],[ingrediente_ativo]]))</f>
        <v>MANCOZEBE</v>
      </c>
      <c r="J351" s="20" t="s">
        <v>4941</v>
      </c>
      <c r="K351" s="20" t="s">
        <v>4941</v>
      </c>
      <c r="L351" s="20" t="s">
        <v>4942</v>
      </c>
    </row>
    <row r="352" spans="5:12" x14ac:dyDescent="0.25">
      <c r="E352" s="958" t="s">
        <v>1487</v>
      </c>
      <c r="F352" s="958" t="s">
        <v>2392</v>
      </c>
      <c r="G352" s="20" t="s">
        <v>1485</v>
      </c>
      <c r="H352" s="472" t="s">
        <v>1486</v>
      </c>
      <c r="I352" s="700" t="str">
        <f>TRIM(UPPER(tb_ingredientes[[#This Row],[ingrediente_ativo]]))</f>
        <v>MCPA</v>
      </c>
      <c r="J352" s="20" t="s">
        <v>4103</v>
      </c>
      <c r="K352" s="20" t="s">
        <v>4103</v>
      </c>
      <c r="L352" s="20" t="s">
        <v>4104</v>
      </c>
    </row>
    <row r="353" spans="5:12" x14ac:dyDescent="0.25">
      <c r="E353" s="957" t="s">
        <v>1490</v>
      </c>
      <c r="F353" s="957" t="s">
        <v>2393</v>
      </c>
      <c r="G353" s="20" t="s">
        <v>1488</v>
      </c>
      <c r="H353" s="472" t="s">
        <v>1489</v>
      </c>
      <c r="I353" s="700" t="str">
        <f>TRIM(UPPER(tb_ingredientes[[#This Row],[ingrediente_ativo]]))</f>
        <v>MCPA-DIMETILAMÔNIO</v>
      </c>
      <c r="J353" s="20" t="s">
        <v>3093</v>
      </c>
      <c r="K353" s="20" t="s">
        <v>3093</v>
      </c>
      <c r="L353" s="20" t="s">
        <v>5103</v>
      </c>
    </row>
    <row r="354" spans="5:12" x14ac:dyDescent="0.25">
      <c r="E354" s="958" t="s">
        <v>1510</v>
      </c>
      <c r="F354" s="958" t="s">
        <v>2399</v>
      </c>
      <c r="G354" s="20" t="s">
        <v>1508</v>
      </c>
      <c r="H354" s="472" t="s">
        <v>1509</v>
      </c>
      <c r="I354" s="700" t="str">
        <f>TRIM(UPPER(tb_ingredientes[[#This Row],[ingrediente_ativo]]))</f>
        <v>METALDEÍDO</v>
      </c>
      <c r="J354" s="20" t="s">
        <v>4948</v>
      </c>
      <c r="K354" s="20" t="s">
        <v>4948</v>
      </c>
      <c r="L354" s="20" t="s">
        <v>4949</v>
      </c>
    </row>
    <row r="355" spans="5:12" x14ac:dyDescent="0.25">
      <c r="E355" s="957" t="s">
        <v>1530</v>
      </c>
      <c r="F355" s="957" t="s">
        <v>2405</v>
      </c>
      <c r="G355" s="20" t="s">
        <v>1528</v>
      </c>
      <c r="H355" s="472" t="s">
        <v>1529</v>
      </c>
      <c r="I355" s="700" t="str">
        <f>TRIM(UPPER(tb_ingredientes[[#This Row],[ingrediente_ativo]]))</f>
        <v>METIDATIONA</v>
      </c>
      <c r="J355" s="20" t="s">
        <v>2159</v>
      </c>
      <c r="K355" s="20" t="s">
        <v>2159</v>
      </c>
      <c r="L355" s="20" t="s">
        <v>3196</v>
      </c>
    </row>
    <row r="356" spans="5:12" x14ac:dyDescent="0.25">
      <c r="E356" s="957" t="s">
        <v>1542</v>
      </c>
      <c r="F356" s="957" t="s">
        <v>2409</v>
      </c>
      <c r="G356" s="20" t="s">
        <v>1540</v>
      </c>
      <c r="H356" s="472" t="s">
        <v>1541</v>
      </c>
      <c r="I356" s="700" t="str">
        <f>TRIM(UPPER(tb_ingredientes[[#This Row],[ingrediente_ativo]]))</f>
        <v>METIRAM</v>
      </c>
      <c r="J356" s="20" t="s">
        <v>2115</v>
      </c>
      <c r="K356" s="20" t="s">
        <v>2115</v>
      </c>
      <c r="L356" s="20" t="s">
        <v>3922</v>
      </c>
    </row>
    <row r="357" spans="5:12" x14ac:dyDescent="0.25">
      <c r="E357" s="957" t="s">
        <v>1548</v>
      </c>
      <c r="F357" s="957" t="s">
        <v>2411</v>
      </c>
      <c r="G357" s="20" t="s">
        <v>1546</v>
      </c>
      <c r="H357" s="472" t="s">
        <v>1547</v>
      </c>
      <c r="I357" s="700" t="str">
        <f>TRIM(UPPER(tb_ingredientes[[#This Row],[ingrediente_ativo]]))</f>
        <v>METOLACLORO</v>
      </c>
      <c r="J357" s="20" t="s">
        <v>3979</v>
      </c>
      <c r="K357" s="20" t="s">
        <v>3979</v>
      </c>
      <c r="L357" s="20" t="s">
        <v>3980</v>
      </c>
    </row>
    <row r="358" spans="5:12" x14ac:dyDescent="0.25">
      <c r="E358" s="958" t="s">
        <v>1551</v>
      </c>
      <c r="F358" s="958" t="s">
        <v>2412</v>
      </c>
      <c r="G358" s="20" t="s">
        <v>1549</v>
      </c>
      <c r="H358" s="472" t="s">
        <v>1550</v>
      </c>
      <c r="I358" s="700" t="str">
        <f>TRIM(UPPER(tb_ingredientes[[#This Row],[ingrediente_ativo]]))</f>
        <v>METOMIL</v>
      </c>
      <c r="J358" s="20" t="s">
        <v>3093</v>
      </c>
      <c r="K358" s="20" t="s">
        <v>3093</v>
      </c>
      <c r="L358" s="20" t="s">
        <v>5244</v>
      </c>
    </row>
    <row r="359" spans="5:12" x14ac:dyDescent="0.25">
      <c r="E359" s="957" t="s">
        <v>1560</v>
      </c>
      <c r="F359" s="957" t="s">
        <v>2415</v>
      </c>
      <c r="G359" s="20" t="s">
        <v>1558</v>
      </c>
      <c r="H359" s="472" t="s">
        <v>1559</v>
      </c>
      <c r="I359" s="700" t="str">
        <f>TRIM(UPPER(tb_ingredientes[[#This Row],[ingrediente_ativo]]))</f>
        <v>METRIBUZIM</v>
      </c>
      <c r="J359" s="20" t="s">
        <v>3093</v>
      </c>
      <c r="K359" s="20" t="s">
        <v>3093</v>
      </c>
      <c r="L359" s="20" t="s">
        <v>5350</v>
      </c>
    </row>
    <row r="360" spans="5:12" x14ac:dyDescent="0.25">
      <c r="E360" s="958" t="s">
        <v>1569</v>
      </c>
      <c r="F360" s="958" t="s">
        <v>2418</v>
      </c>
      <c r="G360" s="20" t="s">
        <v>1567</v>
      </c>
      <c r="H360" s="472" t="s">
        <v>1568</v>
      </c>
      <c r="I360" s="700" t="str">
        <f>TRIM(UPPER(tb_ingredientes[[#This Row],[ingrediente_ativo]]))</f>
        <v>MEVINFÓS</v>
      </c>
      <c r="J360" s="20" t="s">
        <v>2644</v>
      </c>
      <c r="K360" s="20" t="s">
        <v>2644</v>
      </c>
      <c r="L360" s="20" t="s">
        <v>2645</v>
      </c>
    </row>
    <row r="361" spans="5:12" x14ac:dyDescent="0.25">
      <c r="E361" s="957" t="s">
        <v>1578</v>
      </c>
      <c r="F361" s="957" t="s">
        <v>2421</v>
      </c>
      <c r="G361" s="20" t="s">
        <v>1576</v>
      </c>
      <c r="H361" s="472" t="s">
        <v>1577</v>
      </c>
      <c r="I361" s="700" t="str">
        <f>TRIM(UPPER(tb_ingredientes[[#This Row],[ingrediente_ativo]]))</f>
        <v>MOLINATO</v>
      </c>
      <c r="J361" s="20" t="s">
        <v>2566</v>
      </c>
      <c r="K361" s="20" t="s">
        <v>2566</v>
      </c>
      <c r="L361" s="20" t="s">
        <v>2567</v>
      </c>
    </row>
    <row r="362" spans="5:12" x14ac:dyDescent="0.25">
      <c r="E362" s="958" t="s">
        <v>1581</v>
      </c>
      <c r="F362" s="958" t="s">
        <v>2422</v>
      </c>
      <c r="G362" s="20" t="s">
        <v>1579</v>
      </c>
      <c r="H362" s="472" t="s">
        <v>1580</v>
      </c>
      <c r="I362" s="700" t="str">
        <f>TRIM(UPPER(tb_ingredientes[[#This Row],[ingrediente_ativo]]))</f>
        <v>MSMA</v>
      </c>
      <c r="J362" s="20" t="s">
        <v>4178</v>
      </c>
      <c r="K362" s="20" t="s">
        <v>4178</v>
      </c>
      <c r="L362" s="20" t="s">
        <v>4179</v>
      </c>
    </row>
    <row r="363" spans="5:12" x14ac:dyDescent="0.25">
      <c r="E363" s="957" t="s">
        <v>1554</v>
      </c>
      <c r="F363" s="957" t="s">
        <v>2413</v>
      </c>
      <c r="G363" s="20" t="s">
        <v>1552</v>
      </c>
      <c r="H363" s="472" t="s">
        <v>1553</v>
      </c>
      <c r="I363" s="700" t="str">
        <f>TRIM(UPPER(tb_ingredientes[[#This Row],[ingrediente_ativo]]))</f>
        <v>METOPRENO</v>
      </c>
      <c r="J363" s="20" t="s">
        <v>3455</v>
      </c>
      <c r="K363" s="20" t="s">
        <v>3455</v>
      </c>
      <c r="L363" s="20" t="s">
        <v>3456</v>
      </c>
    </row>
    <row r="364" spans="5:12" x14ac:dyDescent="0.25">
      <c r="E364" s="958" t="s">
        <v>1563</v>
      </c>
      <c r="F364" s="958" t="s">
        <v>2416</v>
      </c>
      <c r="G364" s="20" t="s">
        <v>1561</v>
      </c>
      <c r="H364" s="472" t="s">
        <v>1562</v>
      </c>
      <c r="I364" s="700" t="str">
        <f>TRIM(UPPER(tb_ingredientes[[#This Row],[ingrediente_ativo]]))</f>
        <v>METSULFUROM</v>
      </c>
      <c r="J364" s="20" t="s">
        <v>4244</v>
      </c>
      <c r="K364" s="20" t="s">
        <v>4244</v>
      </c>
      <c r="L364" s="20" t="s">
        <v>4245</v>
      </c>
    </row>
    <row r="365" spans="5:12" x14ac:dyDescent="0.25">
      <c r="E365" s="957" t="s">
        <v>1566</v>
      </c>
      <c r="F365" s="957" t="s">
        <v>2417</v>
      </c>
      <c r="G365" s="20" t="s">
        <v>1564</v>
      </c>
      <c r="H365" s="472" t="s">
        <v>1565</v>
      </c>
      <c r="I365" s="700" t="str">
        <f>TRIM(UPPER(tb_ingredientes[[#This Row],[ingrediente_ativo]]))</f>
        <v>METSULFUROM-METÍLICO</v>
      </c>
      <c r="J365" s="20" t="s">
        <v>3136</v>
      </c>
      <c r="K365" s="20" t="s">
        <v>3136</v>
      </c>
      <c r="L365" s="20" t="s">
        <v>3137</v>
      </c>
    </row>
    <row r="366" spans="5:12" x14ac:dyDescent="0.25">
      <c r="E366" s="957" t="s">
        <v>1572</v>
      </c>
      <c r="F366" s="957" t="s">
        <v>2419</v>
      </c>
      <c r="G366" s="20" t="s">
        <v>1570</v>
      </c>
      <c r="H366" s="472" t="s">
        <v>1571</v>
      </c>
      <c r="I366" s="700" t="str">
        <f>TRIM(UPPER(tb_ingredientes[[#This Row],[ingrediente_ativo]]))</f>
        <v>MICLOBUTANIL</v>
      </c>
      <c r="J366" s="20" t="s">
        <v>3330</v>
      </c>
      <c r="K366" s="20" t="s">
        <v>3330</v>
      </c>
      <c r="L366" s="20" t="s">
        <v>3331</v>
      </c>
    </row>
    <row r="367" spans="5:12" x14ac:dyDescent="0.25">
      <c r="E367" s="957" t="s">
        <v>1513</v>
      </c>
      <c r="F367" s="957" t="s">
        <v>2400</v>
      </c>
      <c r="G367" s="20" t="s">
        <v>1511</v>
      </c>
      <c r="H367" s="472" t="s">
        <v>1512</v>
      </c>
      <c r="I367" s="700" t="str">
        <f>TRIM(UPPER(tb_ingredientes[[#This Row],[ingrediente_ativo]]))</f>
        <v>METAM</v>
      </c>
      <c r="J367" s="20" t="s">
        <v>5266</v>
      </c>
      <c r="K367" s="20" t="s">
        <v>5266</v>
      </c>
      <c r="L367" s="20" t="s">
        <v>5267</v>
      </c>
    </row>
    <row r="368" spans="5:12" x14ac:dyDescent="0.25">
      <c r="E368" s="957" t="s">
        <v>1519</v>
      </c>
      <c r="F368" s="957" t="s">
        <v>2402</v>
      </c>
      <c r="G368" s="20" t="s">
        <v>1517</v>
      </c>
      <c r="H368" s="472" t="s">
        <v>1518</v>
      </c>
      <c r="I368" s="700" t="str">
        <f>TRIM(UPPER(tb_ingredientes[[#This Row],[ingrediente_ativo]]))</f>
        <v>METAM-SÓDICO</v>
      </c>
      <c r="J368" s="20" t="s">
        <v>3781</v>
      </c>
      <c r="K368" s="20" t="s">
        <v>3781</v>
      </c>
      <c r="L368" s="20" t="s">
        <v>3782</v>
      </c>
    </row>
    <row r="369" spans="5:12" x14ac:dyDescent="0.25">
      <c r="E369" s="958" t="s">
        <v>1533</v>
      </c>
      <c r="F369" s="958" t="s">
        <v>2406</v>
      </c>
      <c r="G369" s="20" t="s">
        <v>1531</v>
      </c>
      <c r="H369" s="472" t="s">
        <v>1532</v>
      </c>
      <c r="I369" s="700" t="str">
        <f>TRIM(UPPER(tb_ingredientes[[#This Row],[ingrediente_ativo]]))</f>
        <v>METIL NEODECANAMIDA</v>
      </c>
      <c r="J369" s="20" t="s">
        <v>3025</v>
      </c>
      <c r="K369" s="20" t="s">
        <v>3025</v>
      </c>
      <c r="L369" s="20" t="s">
        <v>3026</v>
      </c>
    </row>
    <row r="370" spans="5:12" x14ac:dyDescent="0.25">
      <c r="E370" s="958" t="s">
        <v>1539</v>
      </c>
      <c r="F370" s="958" t="s">
        <v>2408</v>
      </c>
      <c r="G370" s="20" t="s">
        <v>1537</v>
      </c>
      <c r="H370" s="472" t="s">
        <v>1538</v>
      </c>
      <c r="I370" s="700" t="str">
        <f>TRIM(UPPER(tb_ingredientes[[#This Row],[ingrediente_ativo]]))</f>
        <v>METIOCARBE</v>
      </c>
      <c r="J370" s="20" t="s">
        <v>3093</v>
      </c>
      <c r="K370" s="20" t="s">
        <v>3093</v>
      </c>
      <c r="L370" s="20" t="s">
        <v>3026</v>
      </c>
    </row>
    <row r="371" spans="5:12" x14ac:dyDescent="0.25">
      <c r="E371" s="957" t="s">
        <v>1507</v>
      </c>
      <c r="F371" s="957" t="s">
        <v>2398</v>
      </c>
      <c r="G371" s="20" t="s">
        <v>1505</v>
      </c>
      <c r="H371" s="472" t="s">
        <v>1506</v>
      </c>
      <c r="I371" s="700" t="str">
        <f>TRIM(UPPER(tb_ingredientes[[#This Row],[ingrediente_ativo]]))</f>
        <v>METALAXIL-M</v>
      </c>
      <c r="J371" s="20" t="s">
        <v>2687</v>
      </c>
      <c r="K371" s="20" t="s">
        <v>2687</v>
      </c>
      <c r="L371" s="20" t="s">
        <v>2688</v>
      </c>
    </row>
    <row r="372" spans="5:12" x14ac:dyDescent="0.25">
      <c r="E372" s="958" t="s">
        <v>1557</v>
      </c>
      <c r="F372" s="958" t="s">
        <v>2414</v>
      </c>
      <c r="G372" s="20" t="s">
        <v>1555</v>
      </c>
      <c r="H372" s="472" t="s">
        <v>1556</v>
      </c>
      <c r="I372" s="700" t="str">
        <f>TRIM(UPPER(tb_ingredientes[[#This Row],[ingrediente_ativo]]))</f>
        <v>METOXIFENOZIDA</v>
      </c>
      <c r="J372" s="20" t="s">
        <v>3093</v>
      </c>
      <c r="K372" s="20" t="s">
        <v>3093</v>
      </c>
      <c r="L372" s="20" t="s">
        <v>4849</v>
      </c>
    </row>
    <row r="373" spans="5:12" x14ac:dyDescent="0.25">
      <c r="E373" s="958" t="s">
        <v>1516</v>
      </c>
      <c r="F373" s="958" t="s">
        <v>2401</v>
      </c>
      <c r="G373" s="20" t="s">
        <v>1514</v>
      </c>
      <c r="H373" s="472" t="s">
        <v>1515</v>
      </c>
      <c r="I373" s="700" t="str">
        <f>TRIM(UPPER(tb_ingredientes[[#This Row],[ingrediente_ativo]]))</f>
        <v>METAMITRONA</v>
      </c>
      <c r="J373" s="20" t="s">
        <v>2709</v>
      </c>
      <c r="K373" s="20" t="s">
        <v>2709</v>
      </c>
      <c r="L373" s="20" t="s">
        <v>2710</v>
      </c>
    </row>
    <row r="374" spans="5:12" x14ac:dyDescent="0.25">
      <c r="E374" s="958" t="s">
        <v>1527</v>
      </c>
      <c r="F374" s="958" t="s">
        <v>2404</v>
      </c>
      <c r="G374" s="20" t="s">
        <v>1525</v>
      </c>
      <c r="H374" s="472" t="s">
        <v>1526</v>
      </c>
      <c r="I374" s="700" t="str">
        <f>TRIM(UPPER(tb_ingredientes[[#This Row],[ingrediente_ativo]]))</f>
        <v>METCONAZOL</v>
      </c>
      <c r="J374" s="20" t="s">
        <v>2829</v>
      </c>
      <c r="K374" s="20" t="s">
        <v>2829</v>
      </c>
      <c r="L374" s="20" t="s">
        <v>2830</v>
      </c>
    </row>
    <row r="375" spans="5:12" x14ac:dyDescent="0.25">
      <c r="E375" s="957" t="s">
        <v>1536</v>
      </c>
      <c r="F375" s="957" t="s">
        <v>2407</v>
      </c>
      <c r="G375" s="20" t="s">
        <v>1534</v>
      </c>
      <c r="H375" s="472" t="s">
        <v>1535</v>
      </c>
      <c r="I375" s="700" t="str">
        <f>TRIM(UPPER(tb_ingredientes[[#This Row],[ingrediente_ativo]]))</f>
        <v>METILCICLOPROPENO</v>
      </c>
      <c r="J375" s="20" t="s">
        <v>4096</v>
      </c>
      <c r="K375" s="20" t="s">
        <v>4096</v>
      </c>
      <c r="L375" s="20" t="s">
        <v>4097</v>
      </c>
    </row>
    <row r="376" spans="5:12" x14ac:dyDescent="0.25">
      <c r="E376" s="957" t="s">
        <v>1584</v>
      </c>
      <c r="F376" s="957" t="s">
        <v>2423</v>
      </c>
      <c r="G376" s="20" t="s">
        <v>1582</v>
      </c>
      <c r="H376" s="472" t="s">
        <v>1583</v>
      </c>
      <c r="I376" s="700" t="str">
        <f>TRIM(UPPER(tb_ingredientes[[#This Row],[ingrediente_ativo]]))</f>
        <v>N-2’S-METILBUTIL-2-METILBUTILAMIDA</v>
      </c>
      <c r="J376" s="20" t="s">
        <v>2991</v>
      </c>
      <c r="K376" s="20" t="s">
        <v>2991</v>
      </c>
      <c r="L376" s="20" t="s">
        <v>2992</v>
      </c>
    </row>
    <row r="377" spans="5:12" x14ac:dyDescent="0.25">
      <c r="E377" s="957" t="s">
        <v>1495</v>
      </c>
      <c r="F377" s="957" t="s">
        <v>2394</v>
      </c>
      <c r="G377" s="20" t="s">
        <v>1493</v>
      </c>
      <c r="H377" s="472" t="s">
        <v>1494</v>
      </c>
      <c r="I377" s="700" t="str">
        <f>TRIM(UPPER(tb_ingredientes[[#This Row],[ingrediente_ativo]]))</f>
        <v>MEPIQUATE</v>
      </c>
      <c r="J377" s="20" t="s">
        <v>4167</v>
      </c>
      <c r="K377" s="20" t="s">
        <v>4167</v>
      </c>
      <c r="L377" s="20" t="s">
        <v>4168</v>
      </c>
    </row>
    <row r="378" spans="5:12" x14ac:dyDescent="0.25">
      <c r="E378" s="957" t="s">
        <v>921</v>
      </c>
      <c r="F378" s="957" t="s">
        <v>2207</v>
      </c>
      <c r="G378" s="20" t="s">
        <v>919</v>
      </c>
      <c r="H378" s="472" t="s">
        <v>920</v>
      </c>
      <c r="I378" s="700" t="str">
        <f>TRIM(UPPER(tb_ingredientes[[#This Row],[ingrediente_ativo]]))</f>
        <v>CLORETO DE MEPIQUATE</v>
      </c>
      <c r="J378" s="20" t="s">
        <v>4176</v>
      </c>
      <c r="K378" s="20" t="s">
        <v>4176</v>
      </c>
      <c r="L378" s="20" t="s">
        <v>4177</v>
      </c>
    </row>
    <row r="379" spans="5:12" x14ac:dyDescent="0.25">
      <c r="E379" s="958" t="s">
        <v>1575</v>
      </c>
      <c r="F379" s="958" t="s">
        <v>2420</v>
      </c>
      <c r="G379" s="20" t="s">
        <v>1573</v>
      </c>
      <c r="H379" s="472" t="s">
        <v>1574</v>
      </c>
      <c r="I379" s="700" t="str">
        <f>TRIM(UPPER(tb_ingredientes[[#This Row],[ingrediente_ativo]]))</f>
        <v>MILBEMECTINA</v>
      </c>
      <c r="J379" s="20" t="s">
        <v>4149</v>
      </c>
      <c r="K379" s="20" t="s">
        <v>4149</v>
      </c>
      <c r="L379" s="20" t="s">
        <v>4150</v>
      </c>
    </row>
    <row r="380" spans="5:12" x14ac:dyDescent="0.25">
      <c r="E380" s="957" t="s">
        <v>1504</v>
      </c>
      <c r="F380" s="957" t="s">
        <v>2397</v>
      </c>
      <c r="G380" s="20" t="s">
        <v>1523</v>
      </c>
      <c r="H380" s="472" t="s">
        <v>1524</v>
      </c>
      <c r="I380" s="700" t="str">
        <f>TRIM(UPPER(tb_ingredientes[[#This Row],[ingrediente_ativo]]))</f>
        <v>METARHIZIUM ANISOPLIAE</v>
      </c>
      <c r="J380" s="20" t="s">
        <v>2953</v>
      </c>
      <c r="K380" s="20" t="s">
        <v>2953</v>
      </c>
      <c r="L380" s="20" t="s">
        <v>2954</v>
      </c>
    </row>
    <row r="381" spans="5:12" x14ac:dyDescent="0.25">
      <c r="E381" s="957" t="s">
        <v>1501</v>
      </c>
      <c r="F381" s="957" t="s">
        <v>2396</v>
      </c>
      <c r="G381" s="20" t="s">
        <v>1499</v>
      </c>
      <c r="H381" s="472" t="s">
        <v>1500</v>
      </c>
      <c r="I381" s="700" t="str">
        <f>TRIM(UPPER(tb_ingredientes[[#This Row],[ingrediente_ativo]]))</f>
        <v>MESOTRIONA</v>
      </c>
      <c r="J381" s="20" t="s">
        <v>2801</v>
      </c>
      <c r="K381" s="20" t="s">
        <v>2801</v>
      </c>
      <c r="L381" s="20" t="s">
        <v>2802</v>
      </c>
    </row>
    <row r="382" spans="5:12" x14ac:dyDescent="0.25">
      <c r="E382" s="958" t="s">
        <v>1522</v>
      </c>
      <c r="F382" s="958" t="s">
        <v>2403</v>
      </c>
      <c r="G382" s="20" t="s">
        <v>1520</v>
      </c>
      <c r="H382" s="472" t="s">
        <v>1521</v>
      </c>
      <c r="I382" s="700" t="str">
        <f>TRIM(UPPER(tb_ingredientes[[#This Row],[ingrediente_ativo]]))</f>
        <v>METANOL</v>
      </c>
      <c r="J382" s="20" t="s">
        <v>3513</v>
      </c>
      <c r="K382" s="20" t="s">
        <v>3513</v>
      </c>
      <c r="L382" s="20" t="s">
        <v>3514</v>
      </c>
    </row>
    <row r="383" spans="5:12" x14ac:dyDescent="0.25">
      <c r="E383" s="958" t="s">
        <v>1545</v>
      </c>
      <c r="F383" s="958" t="s">
        <v>2410</v>
      </c>
      <c r="G383" s="20" t="s">
        <v>1543</v>
      </c>
      <c r="H383" s="472" t="s">
        <v>1544</v>
      </c>
      <c r="I383" s="700" t="str">
        <f>TRIM(UPPER(tb_ingredientes[[#This Row],[ingrediente_ativo]]))</f>
        <v>METOFLUTRINA</v>
      </c>
      <c r="J383" s="20" t="s">
        <v>3464</v>
      </c>
      <c r="K383" s="20" t="s">
        <v>3464</v>
      </c>
      <c r="L383" s="20" t="s">
        <v>3465</v>
      </c>
    </row>
    <row r="384" spans="5:12" x14ac:dyDescent="0.25">
      <c r="E384" s="957" t="s">
        <v>1484</v>
      </c>
      <c r="F384" s="957" t="s">
        <v>2391</v>
      </c>
      <c r="G384" s="20" t="s">
        <v>1482</v>
      </c>
      <c r="H384" s="472" t="s">
        <v>1483</v>
      </c>
      <c r="I384" s="700" t="str">
        <f>TRIM(UPPER(tb_ingredientes[[#This Row],[ingrediente_ativo]]))</f>
        <v>MANDIPROPAMIDA</v>
      </c>
      <c r="J384" s="20" t="s">
        <v>3462</v>
      </c>
      <c r="K384" s="20" t="s">
        <v>3462</v>
      </c>
      <c r="L384" s="20" t="s">
        <v>3463</v>
      </c>
    </row>
    <row r="385" spans="5:12" x14ac:dyDescent="0.25">
      <c r="E385" s="958" t="s">
        <v>1498</v>
      </c>
      <c r="F385" s="958" t="s">
        <v>2395</v>
      </c>
      <c r="G385" s="20" t="s">
        <v>1496</v>
      </c>
      <c r="H385" s="472" t="s">
        <v>1497</v>
      </c>
      <c r="I385" s="700" t="str">
        <f>TRIM(UPPER(tb_ingredientes[[#This Row],[ingrediente_ativo]]))</f>
        <v>MESOSSULFUROM-METÍLICO</v>
      </c>
      <c r="J385" s="20" t="s">
        <v>3382</v>
      </c>
      <c r="K385" s="20" t="s">
        <v>3382</v>
      </c>
      <c r="L385" s="20" t="s">
        <v>3383</v>
      </c>
    </row>
    <row r="386" spans="5:12" x14ac:dyDescent="0.25">
      <c r="E386" s="958" t="s">
        <v>10</v>
      </c>
      <c r="F386" s="958" t="s">
        <v>10</v>
      </c>
      <c r="G386" s="20" t="s">
        <v>1491</v>
      </c>
      <c r="H386" s="472" t="s">
        <v>1492</v>
      </c>
      <c r="I386" s="700" t="str">
        <f>TRIM(UPPER(tb_ingredientes[[#This Row],[ingrediente_ativo]]))</f>
        <v>MELALEUCA ALTERNIFOLIA</v>
      </c>
      <c r="J386" s="20" t="s">
        <v>3413</v>
      </c>
      <c r="K386" s="20" t="s">
        <v>3413</v>
      </c>
      <c r="L386" s="20" t="s">
        <v>3414</v>
      </c>
    </row>
    <row r="387" spans="5:12" x14ac:dyDescent="0.25">
      <c r="E387" s="958" t="s">
        <v>1504</v>
      </c>
      <c r="F387" s="958" t="s">
        <v>2397</v>
      </c>
      <c r="G387" s="20" t="s">
        <v>1502</v>
      </c>
      <c r="H387" s="472" t="s">
        <v>1503</v>
      </c>
      <c r="I387" s="700" t="str">
        <f>TRIM(UPPER(tb_ingredientes[[#This Row],[ingrediente_ativo]]))</f>
        <v>METAFLUMIZONA</v>
      </c>
      <c r="J387" s="20" t="s">
        <v>4036</v>
      </c>
      <c r="K387" s="20" t="s">
        <v>4036</v>
      </c>
      <c r="L387" s="20" t="s">
        <v>4037</v>
      </c>
    </row>
    <row r="388" spans="5:12" x14ac:dyDescent="0.25">
      <c r="E388" s="958" t="s">
        <v>1504</v>
      </c>
      <c r="F388" s="958" t="s">
        <v>2397</v>
      </c>
      <c r="G388" s="20" t="s">
        <v>7200</v>
      </c>
      <c r="H388" s="472" t="s">
        <v>7201</v>
      </c>
      <c r="I388" s="700" t="str">
        <f>TRIM(UPPER(tb_ingredientes[[#This Row],[ingrediente_ativo]]))</f>
        <v>METOMINOSTROBINA</v>
      </c>
      <c r="J388" s="20" t="s">
        <v>3345</v>
      </c>
      <c r="K388" s="20" t="s">
        <v>3345</v>
      </c>
      <c r="L388" s="20" t="s">
        <v>3346</v>
      </c>
    </row>
    <row r="389" spans="5:12" x14ac:dyDescent="0.25">
      <c r="E389" s="958" t="s">
        <v>7203</v>
      </c>
      <c r="F389" s="958" t="s">
        <v>7204</v>
      </c>
      <c r="G389" s="20" t="s">
        <v>7202</v>
      </c>
      <c r="H389" s="472" t="s">
        <v>7205</v>
      </c>
      <c r="I389" s="700" t="str">
        <f>TRIM(UPPER(tb_ingredientes[[#This Row],[ingrediente_ativo]]))</f>
        <v>MONFLUOROTRINA</v>
      </c>
      <c r="J389" s="20" t="s">
        <v>3394</v>
      </c>
      <c r="K389" s="20" t="s">
        <v>3394</v>
      </c>
      <c r="L389" s="20" t="s">
        <v>3395</v>
      </c>
    </row>
    <row r="390" spans="5:12" x14ac:dyDescent="0.25">
      <c r="E390" s="958" t="s">
        <v>661</v>
      </c>
      <c r="F390" s="958" t="s">
        <v>661</v>
      </c>
      <c r="G390" s="20" t="s">
        <v>7206</v>
      </c>
      <c r="H390" s="472" t="s">
        <v>7207</v>
      </c>
      <c r="I390" s="700" t="str">
        <f>TRIM(UPPER(tb_ingredientes[[#This Row],[ingrediente_ativo]]))</f>
        <v>METARHIZIUM RILEYI</v>
      </c>
      <c r="J390" s="20" t="s">
        <v>4070</v>
      </c>
      <c r="K390" s="20" t="s">
        <v>4070</v>
      </c>
      <c r="L390" s="20" t="s">
        <v>4071</v>
      </c>
    </row>
    <row r="391" spans="5:12" x14ac:dyDescent="0.25">
      <c r="E391" s="958" t="s">
        <v>7209</v>
      </c>
      <c r="F391" s="958" t="s">
        <v>7209</v>
      </c>
      <c r="G391" s="20" t="s">
        <v>7208</v>
      </c>
      <c r="H391" s="472" t="s">
        <v>7210</v>
      </c>
      <c r="I391" s="700" t="str">
        <f>TRIM(UPPER(tb_ingredientes[[#This Row],[ingrediente_ativo]]))</f>
        <v>MEFENTRIFLUCONAZOL</v>
      </c>
      <c r="J391" s="20" t="s">
        <v>3998</v>
      </c>
      <c r="K391" s="20" t="s">
        <v>3998</v>
      </c>
      <c r="L391" s="20" t="s">
        <v>3999</v>
      </c>
    </row>
    <row r="392" spans="5:12" x14ac:dyDescent="0.25">
      <c r="E392" s="958" t="s">
        <v>1587</v>
      </c>
      <c r="F392" s="958" t="s">
        <v>2424</v>
      </c>
      <c r="G392" s="20" t="s">
        <v>1585</v>
      </c>
      <c r="H392" s="472" t="s">
        <v>1586</v>
      </c>
      <c r="I392" s="700" t="str">
        <f>TRIM(UPPER(tb_ingredientes[[#This Row],[ingrediente_ativo]]))</f>
        <v>NALEDE</v>
      </c>
      <c r="J392" s="20" t="s">
        <v>3150</v>
      </c>
      <c r="K392" s="20" t="s">
        <v>3150</v>
      </c>
      <c r="L392" s="20" t="s">
        <v>3151</v>
      </c>
    </row>
    <row r="393" spans="5:12" x14ac:dyDescent="0.25">
      <c r="E393" s="957" t="s">
        <v>1590</v>
      </c>
      <c r="F393" s="957" t="s">
        <v>2425</v>
      </c>
      <c r="G393" s="20" t="s">
        <v>1588</v>
      </c>
      <c r="H393" s="472" t="s">
        <v>1589</v>
      </c>
      <c r="I393" s="700" t="str">
        <f>TRIM(UPPER(tb_ingredientes[[#This Row],[ingrediente_ativo]]))</f>
        <v>NAPROPAMIDA</v>
      </c>
      <c r="J393" s="20" t="s">
        <v>3388</v>
      </c>
      <c r="K393" s="20" t="s">
        <v>3388</v>
      </c>
      <c r="L393" s="20" t="s">
        <v>3389</v>
      </c>
    </row>
    <row r="394" spans="5:12" x14ac:dyDescent="0.25">
      <c r="E394" s="957" t="s">
        <v>1595</v>
      </c>
      <c r="F394" s="957" t="s">
        <v>2426</v>
      </c>
      <c r="G394" s="20" t="s">
        <v>1593</v>
      </c>
      <c r="H394" s="472" t="s">
        <v>1594</v>
      </c>
      <c r="I394" s="700" t="str">
        <f>TRIM(UPPER(tb_ingredientes[[#This Row],[ingrediente_ativo]]))</f>
        <v>NICLOSAMIDA</v>
      </c>
      <c r="J394" s="20" t="s">
        <v>3386</v>
      </c>
      <c r="K394" s="20" t="s">
        <v>3386</v>
      </c>
      <c r="L394" s="20" t="s">
        <v>3387</v>
      </c>
    </row>
    <row r="395" spans="5:12" x14ac:dyDescent="0.25">
      <c r="E395" s="958" t="s">
        <v>1598</v>
      </c>
      <c r="F395" s="958" t="s">
        <v>2427</v>
      </c>
      <c r="G395" s="20" t="s">
        <v>1596</v>
      </c>
      <c r="H395" s="472" t="s">
        <v>1597</v>
      </c>
      <c r="I395" s="700" t="str">
        <f>TRIM(UPPER(tb_ingredientes[[#This Row],[ingrediente_ativo]]))</f>
        <v>NICOSSULFUROM</v>
      </c>
      <c r="J395" s="20" t="s">
        <v>3411</v>
      </c>
      <c r="K395" s="20" t="s">
        <v>3411</v>
      </c>
      <c r="L395" s="20" t="s">
        <v>3412</v>
      </c>
    </row>
    <row r="396" spans="5:12" x14ac:dyDescent="0.25">
      <c r="E396" s="957" t="s">
        <v>1601</v>
      </c>
      <c r="F396" s="957" t="s">
        <v>2428</v>
      </c>
      <c r="G396" s="20" t="s">
        <v>1599</v>
      </c>
      <c r="H396" s="472" t="s">
        <v>1600</v>
      </c>
      <c r="I396" s="700" t="str">
        <f>TRIM(UPPER(tb_ingredientes[[#This Row],[ingrediente_ativo]]))</f>
        <v>NOVALUROM</v>
      </c>
      <c r="J396" s="20" t="s">
        <v>3314</v>
      </c>
      <c r="K396" s="20" t="s">
        <v>3314</v>
      </c>
      <c r="L396" s="20" t="s">
        <v>3315</v>
      </c>
    </row>
    <row r="397" spans="5:12" x14ac:dyDescent="0.25">
      <c r="E397" s="958" t="s">
        <v>661</v>
      </c>
      <c r="F397" s="958" t="s">
        <v>661</v>
      </c>
      <c r="G397" s="20" t="s">
        <v>1591</v>
      </c>
      <c r="H397" s="472" t="s">
        <v>1592</v>
      </c>
      <c r="I397" s="700" t="str">
        <f>TRIM(UPPER(tb_ingredientes[[#This Row],[ingrediente_ativo]]))</f>
        <v>NEOSEIULUS CALIFORNICUS</v>
      </c>
      <c r="J397" s="20" t="s">
        <v>3657</v>
      </c>
      <c r="K397" s="20" t="s">
        <v>3657</v>
      </c>
      <c r="L397" s="20" t="s">
        <v>3658</v>
      </c>
    </row>
    <row r="398" spans="5:12" x14ac:dyDescent="0.25">
      <c r="E398" s="958" t="s">
        <v>7041</v>
      </c>
      <c r="F398" s="958" t="s">
        <v>7041</v>
      </c>
      <c r="G398" s="20" t="s">
        <v>7043</v>
      </c>
      <c r="H398" s="472" t="s">
        <v>7042</v>
      </c>
      <c r="I398" s="700" t="str">
        <f>TRIM(UPPER(tb_ingredientes[[#This Row],[ingrediente_ativo]]))</f>
        <v>PIDIFLUMETOFEM</v>
      </c>
      <c r="J398" s="20" t="s">
        <v>3126</v>
      </c>
      <c r="K398" s="20" t="s">
        <v>3126</v>
      </c>
      <c r="L398" s="20" t="s">
        <v>3127</v>
      </c>
    </row>
    <row r="399" spans="5:12" x14ac:dyDescent="0.25">
      <c r="E399" s="958" t="s">
        <v>1616</v>
      </c>
      <c r="F399" s="958" t="s">
        <v>2433</v>
      </c>
      <c r="G399" s="20" t="s">
        <v>1614</v>
      </c>
      <c r="H399" s="472" t="s">
        <v>1615</v>
      </c>
      <c r="I399" s="700" t="str">
        <f>TRIM(UPPER(tb_ingredientes[[#This Row],[ingrediente_ativo]]))</f>
        <v>ÓLEO VEGETAL</v>
      </c>
      <c r="J399" s="20" t="s">
        <v>3097</v>
      </c>
      <c r="K399" s="20" t="s">
        <v>3097</v>
      </c>
      <c r="L399" s="20" t="s">
        <v>3098</v>
      </c>
    </row>
    <row r="400" spans="5:12" x14ac:dyDescent="0.25">
      <c r="E400" s="957" t="s">
        <v>1613</v>
      </c>
      <c r="F400" s="957" t="s">
        <v>2432</v>
      </c>
      <c r="G400" s="20" t="s">
        <v>1611</v>
      </c>
      <c r="H400" s="472" t="s">
        <v>1612</v>
      </c>
      <c r="I400" s="700" t="str">
        <f>TRIM(UPPER(tb_ingredientes[[#This Row],[ingrediente_ativo]]))</f>
        <v>ÓLEO MINERAL</v>
      </c>
      <c r="J400" s="20" t="s">
        <v>2592</v>
      </c>
      <c r="K400" s="20" t="s">
        <v>2592</v>
      </c>
      <c r="L400" s="20" t="s">
        <v>2593</v>
      </c>
    </row>
    <row r="401" spans="5:12" x14ac:dyDescent="0.25">
      <c r="E401" s="958" t="s">
        <v>1621</v>
      </c>
      <c r="F401" s="958" t="s">
        <v>2434</v>
      </c>
      <c r="G401" s="20" t="s">
        <v>1619</v>
      </c>
      <c r="H401" s="472" t="s">
        <v>1620</v>
      </c>
      <c r="I401" s="700" t="str">
        <f>TRIM(UPPER(tb_ingredientes[[#This Row],[ingrediente_ativo]]))</f>
        <v>ORIZALINA</v>
      </c>
      <c r="J401" s="20" t="s">
        <v>3170</v>
      </c>
      <c r="K401" s="20" t="s">
        <v>3170</v>
      </c>
      <c r="L401" s="20" t="s">
        <v>3171</v>
      </c>
    </row>
    <row r="402" spans="5:12" x14ac:dyDescent="0.25">
      <c r="E402" s="957" t="s">
        <v>1630</v>
      </c>
      <c r="F402" s="957" t="s">
        <v>2437</v>
      </c>
      <c r="G402" s="20" t="s">
        <v>1628</v>
      </c>
      <c r="H402" s="472" t="s">
        <v>1629</v>
      </c>
      <c r="I402" s="700" t="str">
        <f>TRIM(UPPER(tb_ingredientes[[#This Row],[ingrediente_ativo]]))</f>
        <v>OXADIAZONA</v>
      </c>
      <c r="J402" s="20" t="s">
        <v>3655</v>
      </c>
      <c r="K402" s="20" t="s">
        <v>3655</v>
      </c>
      <c r="L402" s="20" t="s">
        <v>3656</v>
      </c>
    </row>
    <row r="403" spans="5:12" x14ac:dyDescent="0.25">
      <c r="E403" s="957" t="s">
        <v>1636</v>
      </c>
      <c r="F403" s="957" t="s">
        <v>2439</v>
      </c>
      <c r="G403" s="20" t="s">
        <v>1634</v>
      </c>
      <c r="H403" s="472" t="s">
        <v>1635</v>
      </c>
      <c r="I403" s="700" t="str">
        <f>TRIM(UPPER(tb_ingredientes[[#This Row],[ingrediente_ativo]]))</f>
        <v>OXICARBOXINA</v>
      </c>
      <c r="J403" s="20" t="s">
        <v>3266</v>
      </c>
      <c r="K403" s="20" t="s">
        <v>3266</v>
      </c>
      <c r="L403" s="20" t="s">
        <v>3267</v>
      </c>
    </row>
    <row r="404" spans="5:12" x14ac:dyDescent="0.25">
      <c r="E404" s="958" t="s">
        <v>1645</v>
      </c>
      <c r="F404" s="958" t="s">
        <v>2442</v>
      </c>
      <c r="G404" s="20" t="s">
        <v>1643</v>
      </c>
      <c r="H404" s="472" t="s">
        <v>1644</v>
      </c>
      <c r="I404" s="700" t="str">
        <f>TRIM(UPPER(tb_ingredientes[[#This Row],[ingrediente_ativo]]))</f>
        <v>ÓXIDO DE FEMBUTATINA</v>
      </c>
      <c r="J404" s="20" t="s">
        <v>3328</v>
      </c>
      <c r="K404" s="20" t="s">
        <v>3328</v>
      </c>
      <c r="L404" s="20" t="s">
        <v>3329</v>
      </c>
    </row>
    <row r="405" spans="5:12" x14ac:dyDescent="0.25">
      <c r="E405" s="957" t="s">
        <v>1648</v>
      </c>
      <c r="F405" s="957" t="s">
        <v>2443</v>
      </c>
      <c r="G405" s="20" t="s">
        <v>1646</v>
      </c>
      <c r="H405" s="472" t="s">
        <v>1647</v>
      </c>
      <c r="I405" s="700" t="str">
        <f>TRIM(UPPER(tb_ingredientes[[#This Row],[ingrediente_ativo]]))</f>
        <v>OXIFLUORFEM</v>
      </c>
      <c r="J405" s="20" t="s">
        <v>3353</v>
      </c>
      <c r="K405" s="20" t="s">
        <v>3353</v>
      </c>
      <c r="L405" s="20" t="s">
        <v>3354</v>
      </c>
    </row>
    <row r="406" spans="5:12" x14ac:dyDescent="0.25">
      <c r="E406" s="958" t="s">
        <v>1633</v>
      </c>
      <c r="F406" s="958" t="s">
        <v>2438</v>
      </c>
      <c r="G406" s="20" t="s">
        <v>1631</v>
      </c>
      <c r="H406" s="472" t="s">
        <v>1632</v>
      </c>
      <c r="I406" s="700" t="str">
        <f>TRIM(UPPER(tb_ingredientes[[#This Row],[ingrediente_ativo]]))</f>
        <v>OXASSULFUROM</v>
      </c>
      <c r="J406" s="20" t="s">
        <v>3988</v>
      </c>
      <c r="K406" s="20" t="s">
        <v>3988</v>
      </c>
      <c r="L406" s="20" t="s">
        <v>3989</v>
      </c>
    </row>
    <row r="407" spans="5:12" x14ac:dyDescent="0.25">
      <c r="E407" s="958" t="s">
        <v>1610</v>
      </c>
      <c r="F407" s="958" t="s">
        <v>2431</v>
      </c>
      <c r="G407" s="20" t="s">
        <v>1608</v>
      </c>
      <c r="H407" s="472" t="s">
        <v>1609</v>
      </c>
      <c r="I407" s="700" t="str">
        <f>TRIM(UPPER(tb_ingredientes[[#This Row],[ingrediente_ativo]]))</f>
        <v>ÓLEO CREOSOTO</v>
      </c>
      <c r="J407" s="20" t="s">
        <v>4379</v>
      </c>
      <c r="K407" s="20" t="s">
        <v>4379</v>
      </c>
      <c r="L407" s="20" t="s">
        <v>4380</v>
      </c>
    </row>
    <row r="408" spans="5:12" x14ac:dyDescent="0.25">
      <c r="E408" s="958" t="s">
        <v>1627</v>
      </c>
      <c r="F408" s="958" t="s">
        <v>2436</v>
      </c>
      <c r="G408" s="20" t="s">
        <v>1625</v>
      </c>
      <c r="H408" s="472" t="s">
        <v>1626</v>
      </c>
      <c r="I408" s="700" t="str">
        <f>TRIM(UPPER(tb_ingredientes[[#This Row],[ingrediente_ativo]]))</f>
        <v>OXADIARGIL</v>
      </c>
      <c r="J408" s="20" t="s">
        <v>4356</v>
      </c>
      <c r="K408" s="20" t="s">
        <v>4356</v>
      </c>
      <c r="L408" s="20" t="s">
        <v>4357</v>
      </c>
    </row>
    <row r="409" spans="5:12" x14ac:dyDescent="0.25">
      <c r="E409" s="957" t="s">
        <v>1607</v>
      </c>
      <c r="F409" s="957" t="s">
        <v>2430</v>
      </c>
      <c r="G409" s="20" t="s">
        <v>1605</v>
      </c>
      <c r="H409" s="472" t="s">
        <v>1606</v>
      </c>
      <c r="I409" s="700" t="str">
        <f>TRIM(UPPER(tb_ingredientes[[#This Row],[ingrediente_ativo]]))</f>
        <v>OCTANOATO DE IOXINILA</v>
      </c>
      <c r="J409" s="20" t="s">
        <v>3262</v>
      </c>
      <c r="K409" s="20" t="s">
        <v>3262</v>
      </c>
      <c r="L409" s="20" t="s">
        <v>3263</v>
      </c>
    </row>
    <row r="410" spans="5:12" x14ac:dyDescent="0.25">
      <c r="E410" s="957" t="s">
        <v>499</v>
      </c>
      <c r="F410" s="957" t="s">
        <v>2079</v>
      </c>
      <c r="G410" s="20" t="s">
        <v>497</v>
      </c>
      <c r="H410" s="472" t="s">
        <v>498</v>
      </c>
      <c r="I410" s="700" t="str">
        <f>TRIM(UPPER(tb_ingredientes[[#This Row],[ingrediente_ativo]]))</f>
        <v>(Z)-13-OCTADECENAL</v>
      </c>
      <c r="J410" s="20" t="s">
        <v>3990</v>
      </c>
      <c r="K410" s="20" t="s">
        <v>3990</v>
      </c>
      <c r="L410" s="20" t="s">
        <v>3991</v>
      </c>
    </row>
    <row r="411" spans="5:12" x14ac:dyDescent="0.25">
      <c r="E411" s="957" t="s">
        <v>1624</v>
      </c>
      <c r="F411" s="957" t="s">
        <v>2435</v>
      </c>
      <c r="G411" s="20" t="s">
        <v>1622</v>
      </c>
      <c r="H411" s="472" t="s">
        <v>1623</v>
      </c>
      <c r="I411" s="700" t="str">
        <f>TRIM(UPPER(tb_ingredientes[[#This Row],[ingrediente_ativo]]))</f>
        <v>ORTOSSULFAMUROM</v>
      </c>
      <c r="J411" s="20" t="s">
        <v>4392</v>
      </c>
      <c r="K411" s="20" t="s">
        <v>4392</v>
      </c>
      <c r="L411" s="20" t="s">
        <v>4393</v>
      </c>
    </row>
    <row r="412" spans="5:12" x14ac:dyDescent="0.25">
      <c r="E412" s="957" t="s">
        <v>661</v>
      </c>
      <c r="F412" s="957" t="s">
        <v>661</v>
      </c>
      <c r="G412" s="20" t="s">
        <v>1617</v>
      </c>
      <c r="H412" s="472" t="s">
        <v>1618</v>
      </c>
      <c r="I412" s="700" t="str">
        <f>TRIM(UPPER(tb_ingredientes[[#This Row],[ingrediente_ativo]]))</f>
        <v>ORIUS INSIDIOSUS</v>
      </c>
      <c r="J412" s="20" t="s">
        <v>3333</v>
      </c>
      <c r="K412" s="20" t="s">
        <v>3333</v>
      </c>
      <c r="L412" s="20" t="s">
        <v>3334</v>
      </c>
    </row>
    <row r="413" spans="5:12" x14ac:dyDescent="0.25">
      <c r="E413" s="958" t="s">
        <v>7213</v>
      </c>
      <c r="F413" s="958" t="s">
        <v>7213</v>
      </c>
      <c r="G413" s="20" t="s">
        <v>7211</v>
      </c>
      <c r="H413" s="472" t="s">
        <v>7212</v>
      </c>
      <c r="I413" s="700" t="str">
        <f>TRIM(UPPER(tb_ingredientes[[#This Row],[ingrediente_ativo]]))</f>
        <v>OXATIAPIPROLINA</v>
      </c>
      <c r="J413" s="20" t="s">
        <v>3484</v>
      </c>
      <c r="K413" s="20" t="s">
        <v>3484</v>
      </c>
      <c r="L413" s="20" t="s">
        <v>3485</v>
      </c>
    </row>
    <row r="414" spans="5:12" x14ac:dyDescent="0.25">
      <c r="E414" s="957" t="s">
        <v>1659</v>
      </c>
      <c r="F414" s="957" t="s">
        <v>2446</v>
      </c>
      <c r="G414" s="20" t="s">
        <v>1657</v>
      </c>
      <c r="H414" s="472" t="s">
        <v>1658</v>
      </c>
      <c r="I414" s="700" t="str">
        <f>TRIM(UPPER(tb_ingredientes[[#This Row],[ingrediente_ativo]]))</f>
        <v>PARAQUATE</v>
      </c>
      <c r="J414" s="20" t="s">
        <v>4032</v>
      </c>
      <c r="K414" s="20" t="s">
        <v>4032</v>
      </c>
      <c r="L414" s="20" t="s">
        <v>4033</v>
      </c>
    </row>
    <row r="415" spans="5:12" x14ac:dyDescent="0.25">
      <c r="E415" s="957" t="s">
        <v>1030</v>
      </c>
      <c r="F415" s="957" t="s">
        <v>2241</v>
      </c>
      <c r="G415" s="20" t="s">
        <v>1028</v>
      </c>
      <c r="H415" s="472" t="s">
        <v>1029</v>
      </c>
      <c r="I415" s="700" t="str">
        <f>TRIM(UPPER(tb_ingredientes[[#This Row],[ingrediente_ativo]]))</f>
        <v>DICLORETO DE PARAQUATE</v>
      </c>
      <c r="J415" s="20" t="s">
        <v>3421</v>
      </c>
      <c r="K415" s="20" t="s">
        <v>3421</v>
      </c>
      <c r="L415" s="20" t="s">
        <v>3422</v>
      </c>
    </row>
    <row r="416" spans="5:12" x14ac:dyDescent="0.25">
      <c r="E416" s="958" t="s">
        <v>1662</v>
      </c>
      <c r="F416" s="958" t="s">
        <v>2447</v>
      </c>
      <c r="G416" s="20" t="s">
        <v>1660</v>
      </c>
      <c r="H416" s="472" t="s">
        <v>1661</v>
      </c>
      <c r="I416" s="700" t="str">
        <f>TRIM(UPPER(tb_ingredientes[[#This Row],[ingrediente_ativo]]))</f>
        <v>PARATIONA-METÍLICA</v>
      </c>
      <c r="J416" s="20" t="s">
        <v>3384</v>
      </c>
      <c r="K416" s="20" t="s">
        <v>3384</v>
      </c>
      <c r="L416" s="20" t="s">
        <v>3385</v>
      </c>
    </row>
    <row r="417" spans="5:12" x14ac:dyDescent="0.25">
      <c r="E417" s="957" t="s">
        <v>1670</v>
      </c>
      <c r="F417" s="957" t="s">
        <v>2449</v>
      </c>
      <c r="G417" s="20" t="s">
        <v>1668</v>
      </c>
      <c r="H417" s="472" t="s">
        <v>1669</v>
      </c>
      <c r="I417" s="700" t="str">
        <f>TRIM(UPPER(tb_ingredientes[[#This Row],[ingrediente_ativo]]))</f>
        <v>PENDIMETALINA</v>
      </c>
      <c r="J417" s="20" t="s">
        <v>3986</v>
      </c>
      <c r="K417" s="20" t="s">
        <v>3986</v>
      </c>
      <c r="L417" s="20" t="s">
        <v>3987</v>
      </c>
    </row>
    <row r="418" spans="5:12" x14ac:dyDescent="0.25">
      <c r="E418" s="958" t="s">
        <v>1679</v>
      </c>
      <c r="F418" s="958" t="s">
        <v>2452</v>
      </c>
      <c r="G418" s="20" t="s">
        <v>1677</v>
      </c>
      <c r="H418" s="472" t="s">
        <v>1678</v>
      </c>
      <c r="I418" s="700" t="str">
        <f>TRIM(UPPER(tb_ingredientes[[#This Row],[ingrediente_ativo]]))</f>
        <v>PERMETRINA</v>
      </c>
      <c r="J418" s="20" t="s">
        <v>4034</v>
      </c>
      <c r="K418" s="20" t="s">
        <v>4034</v>
      </c>
      <c r="L418" s="20" t="s">
        <v>4035</v>
      </c>
    </row>
    <row r="419" spans="5:12" x14ac:dyDescent="0.25">
      <c r="E419" s="957" t="s">
        <v>1687</v>
      </c>
      <c r="F419" s="957" t="s">
        <v>2454</v>
      </c>
      <c r="G419" s="20" t="s">
        <v>1685</v>
      </c>
      <c r="H419" s="472" t="s">
        <v>1686</v>
      </c>
      <c r="I419" s="700" t="str">
        <f>TRIM(UPPER(tb_ingredientes[[#This Row],[ingrediente_ativo]]))</f>
        <v>PICLORAM</v>
      </c>
      <c r="J419" s="20" t="s">
        <v>4350</v>
      </c>
      <c r="K419" s="20" t="s">
        <v>4350</v>
      </c>
      <c r="L419" s="20" t="s">
        <v>4351</v>
      </c>
    </row>
    <row r="420" spans="5:12" x14ac:dyDescent="0.25">
      <c r="E420" s="957" t="s">
        <v>1705</v>
      </c>
      <c r="F420" s="957" t="s">
        <v>2460</v>
      </c>
      <c r="G420" s="20" t="s">
        <v>1703</v>
      </c>
      <c r="H420" s="472" t="s">
        <v>1704</v>
      </c>
      <c r="I420" s="700" t="str">
        <f>TRIM(UPPER(tb_ingredientes[[#This Row],[ingrediente_ativo]]))</f>
        <v>PIRAZOFÓS</v>
      </c>
      <c r="J420" s="20" t="s">
        <v>4014</v>
      </c>
      <c r="K420" s="20" t="s">
        <v>4014</v>
      </c>
      <c r="L420" s="20" t="s">
        <v>4015</v>
      </c>
    </row>
    <row r="421" spans="5:12" x14ac:dyDescent="0.25">
      <c r="E421" s="958" t="s">
        <v>1726</v>
      </c>
      <c r="F421" s="958" t="s">
        <v>2467</v>
      </c>
      <c r="G421" s="20" t="s">
        <v>1724</v>
      </c>
      <c r="H421" s="472" t="s">
        <v>1725</v>
      </c>
      <c r="I421" s="700" t="str">
        <f>TRIM(UPPER(tb_ingredientes[[#This Row],[ingrediente_ativo]]))</f>
        <v>PIRIMICARBE</v>
      </c>
      <c r="J421" s="20" t="s">
        <v>3992</v>
      </c>
      <c r="K421" s="20" t="s">
        <v>3992</v>
      </c>
      <c r="L421" s="20" t="s">
        <v>3993</v>
      </c>
    </row>
    <row r="422" spans="5:12" x14ac:dyDescent="0.25">
      <c r="E422" s="957" t="s">
        <v>1729</v>
      </c>
      <c r="F422" s="957" t="s">
        <v>2468</v>
      </c>
      <c r="G422" s="20" t="s">
        <v>1727</v>
      </c>
      <c r="H422" s="472" t="s">
        <v>1728</v>
      </c>
      <c r="I422" s="700" t="str">
        <f>TRIM(UPPER(tb_ingredientes[[#This Row],[ingrediente_ativo]]))</f>
        <v>PIRIMIFÓS-METÍLICO</v>
      </c>
      <c r="J422" s="20" t="s">
        <v>4054</v>
      </c>
      <c r="K422" s="20" t="s">
        <v>4054</v>
      </c>
      <c r="L422" s="20" t="s">
        <v>4055</v>
      </c>
    </row>
    <row r="423" spans="5:12" x14ac:dyDescent="0.25">
      <c r="E423" s="958" t="s">
        <v>1761</v>
      </c>
      <c r="F423" s="958" t="s">
        <v>2478</v>
      </c>
      <c r="G423" s="20" t="s">
        <v>1759</v>
      </c>
      <c r="H423" s="472" t="s">
        <v>1760</v>
      </c>
      <c r="I423" s="700" t="str">
        <f>TRIM(UPPER(tb_ingredientes[[#This Row],[ingrediente_ativo]]))</f>
        <v>PROFENOFÓS</v>
      </c>
      <c r="J423" s="20" t="s">
        <v>3409</v>
      </c>
      <c r="K423" s="20" t="s">
        <v>3409</v>
      </c>
      <c r="L423" s="20" t="s">
        <v>3410</v>
      </c>
    </row>
    <row r="424" spans="5:12" x14ac:dyDescent="0.25">
      <c r="E424" s="958" t="s">
        <v>1767</v>
      </c>
      <c r="F424" s="958" t="s">
        <v>2480</v>
      </c>
      <c r="G424" s="20" t="s">
        <v>1765</v>
      </c>
      <c r="H424" s="472" t="s">
        <v>1766</v>
      </c>
      <c r="I424" s="700" t="str">
        <f>TRIM(UPPER(tb_ingredientes[[#This Row],[ingrediente_ativo]]))</f>
        <v>PROMETRINA</v>
      </c>
      <c r="J424" s="20" t="s">
        <v>2689</v>
      </c>
      <c r="K424" s="20" t="s">
        <v>2689</v>
      </c>
      <c r="L424" s="20" t="s">
        <v>2690</v>
      </c>
    </row>
    <row r="425" spans="5:12" x14ac:dyDescent="0.25">
      <c r="E425" s="958" t="s">
        <v>1773</v>
      </c>
      <c r="F425" s="958" t="s">
        <v>2482</v>
      </c>
      <c r="G425" s="20" t="s">
        <v>1771</v>
      </c>
      <c r="H425" s="472" t="s">
        <v>1772</v>
      </c>
      <c r="I425" s="700" t="str">
        <f>TRIM(UPPER(tb_ingredientes[[#This Row],[ingrediente_ativo]]))</f>
        <v>PROPANIL</v>
      </c>
      <c r="J425" s="20" t="s">
        <v>3089</v>
      </c>
      <c r="K425" s="20" t="s">
        <v>3089</v>
      </c>
      <c r="L425" s="20" t="s">
        <v>3090</v>
      </c>
    </row>
    <row r="426" spans="5:12" x14ac:dyDescent="0.25">
      <c r="E426" s="958" t="s">
        <v>1779</v>
      </c>
      <c r="F426" s="958" t="s">
        <v>2484</v>
      </c>
      <c r="G426" s="20" t="s">
        <v>1777</v>
      </c>
      <c r="H426" s="472" t="s">
        <v>1778</v>
      </c>
      <c r="I426" s="700" t="str">
        <f>TRIM(UPPER(tb_ingredientes[[#This Row],[ingrediente_ativo]]))</f>
        <v>PROPARGITO</v>
      </c>
      <c r="J426" s="20" t="s">
        <v>2681</v>
      </c>
      <c r="K426" s="20" t="s">
        <v>2681</v>
      </c>
      <c r="L426" s="20" t="s">
        <v>2682</v>
      </c>
    </row>
    <row r="427" spans="5:12" x14ac:dyDescent="0.25">
      <c r="E427" s="957" t="s">
        <v>1788</v>
      </c>
      <c r="F427" s="957" t="s">
        <v>2487</v>
      </c>
      <c r="G427" s="20" t="s">
        <v>1786</v>
      </c>
      <c r="H427" s="472" t="s">
        <v>1787</v>
      </c>
      <c r="I427" s="700" t="str">
        <f>TRIM(UPPER(tb_ingredientes[[#This Row],[ingrediente_ativo]]))</f>
        <v>PROPOXUR</v>
      </c>
      <c r="J427" s="20" t="s">
        <v>3653</v>
      </c>
      <c r="K427" s="20" t="s">
        <v>3653</v>
      </c>
      <c r="L427" s="20" t="s">
        <v>3654</v>
      </c>
    </row>
    <row r="428" spans="5:12" x14ac:dyDescent="0.25">
      <c r="E428" s="957" t="s">
        <v>1782</v>
      </c>
      <c r="F428" s="957" t="s">
        <v>2485</v>
      </c>
      <c r="G428" s="20" t="s">
        <v>1780</v>
      </c>
      <c r="H428" s="472" t="s">
        <v>1781</v>
      </c>
      <c r="I428" s="700" t="str">
        <f>TRIM(UPPER(tb_ingredientes[[#This Row],[ingrediente_ativo]]))</f>
        <v>PROPICONAZOL</v>
      </c>
      <c r="J428" s="20" t="s">
        <v>3093</v>
      </c>
      <c r="K428" s="20" t="s">
        <v>3093</v>
      </c>
      <c r="L428" s="20" t="s">
        <v>4627</v>
      </c>
    </row>
    <row r="429" spans="5:12" x14ac:dyDescent="0.25">
      <c r="E429" s="958" t="s">
        <v>1714</v>
      </c>
      <c r="F429" s="958" t="s">
        <v>2463</v>
      </c>
      <c r="G429" s="20" t="s">
        <v>1712</v>
      </c>
      <c r="H429" s="472" t="s">
        <v>1713</v>
      </c>
      <c r="I429" s="700" t="str">
        <f>TRIM(UPPER(tb_ingredientes[[#This Row],[ingrediente_ativo]]))</f>
        <v>PIRETRINAS</v>
      </c>
      <c r="J429" s="20" t="s">
        <v>3093</v>
      </c>
      <c r="K429" s="20" t="s">
        <v>3093</v>
      </c>
      <c r="L429" s="20" t="s">
        <v>3233</v>
      </c>
    </row>
    <row r="430" spans="5:12" x14ac:dyDescent="0.25">
      <c r="E430" s="957" t="s">
        <v>1770</v>
      </c>
      <c r="F430" s="957" t="s">
        <v>2481</v>
      </c>
      <c r="G430" s="20" t="s">
        <v>1768</v>
      </c>
      <c r="H430" s="472" t="s">
        <v>1769</v>
      </c>
      <c r="I430" s="700" t="str">
        <f>TRIM(UPPER(tb_ingredientes[[#This Row],[ingrediente_ativo]]))</f>
        <v>PROPAMOCARBE</v>
      </c>
      <c r="J430" s="20" t="s">
        <v>2997</v>
      </c>
      <c r="K430" s="20" t="s">
        <v>2997</v>
      </c>
      <c r="L430" s="20" t="s">
        <v>2998</v>
      </c>
    </row>
    <row r="431" spans="5:12" x14ac:dyDescent="0.25">
      <c r="E431" s="958" t="s">
        <v>942</v>
      </c>
      <c r="F431" s="958" t="s">
        <v>2214</v>
      </c>
      <c r="G431" s="20" t="s">
        <v>940</v>
      </c>
      <c r="H431" s="472" t="s">
        <v>941</v>
      </c>
      <c r="I431" s="700" t="str">
        <f>TRIM(UPPER(tb_ingredientes[[#This Row],[ingrediente_ativo]]))</f>
        <v>CLORIDRATO DE PROPAMOCARBE</v>
      </c>
      <c r="J431" s="20" t="s">
        <v>5399</v>
      </c>
      <c r="K431" s="20" t="s">
        <v>5399</v>
      </c>
      <c r="L431" s="20" t="s">
        <v>5400</v>
      </c>
    </row>
    <row r="432" spans="5:12" x14ac:dyDescent="0.25">
      <c r="E432" s="957" t="s">
        <v>1741</v>
      </c>
      <c r="F432" s="957" t="s">
        <v>2472</v>
      </c>
      <c r="G432" s="20" t="s">
        <v>1739</v>
      </c>
      <c r="H432" s="472" t="s">
        <v>1740</v>
      </c>
      <c r="I432" s="700" t="str">
        <f>TRIM(UPPER(tb_ingredientes[[#This Row],[ingrediente_ativo]]))</f>
        <v>PIROQUILONA</v>
      </c>
      <c r="J432" s="20" t="s">
        <v>3081</v>
      </c>
      <c r="K432" s="20" t="s">
        <v>3081</v>
      </c>
      <c r="L432" s="20" t="s">
        <v>3082</v>
      </c>
    </row>
    <row r="433" spans="5:12" x14ac:dyDescent="0.25">
      <c r="E433" s="958" t="s">
        <v>1755</v>
      </c>
      <c r="F433" s="958" t="s">
        <v>2476</v>
      </c>
      <c r="G433" s="20" t="s">
        <v>1753</v>
      </c>
      <c r="H433" s="472" t="s">
        <v>1754</v>
      </c>
      <c r="I433" s="700" t="str">
        <f>TRIM(UPPER(tb_ingredientes[[#This Row],[ingrediente_ativo]]))</f>
        <v>PROCLORAZ</v>
      </c>
      <c r="J433" s="20" t="s">
        <v>3935</v>
      </c>
      <c r="K433" s="20" t="s">
        <v>3935</v>
      </c>
      <c r="L433" s="20" t="s">
        <v>3936</v>
      </c>
    </row>
    <row r="434" spans="5:12" x14ac:dyDescent="0.25">
      <c r="E434" s="958" t="s">
        <v>1708</v>
      </c>
      <c r="F434" s="958" t="s">
        <v>2461</v>
      </c>
      <c r="G434" s="20" t="s">
        <v>1706</v>
      </c>
      <c r="H434" s="472" t="s">
        <v>1707</v>
      </c>
      <c r="I434" s="700" t="str">
        <f>TRIM(UPPER(tb_ingredientes[[#This Row],[ingrediente_ativo]]))</f>
        <v>PIRAZOSSULFUROM</v>
      </c>
      <c r="J434" s="20" t="s">
        <v>3923</v>
      </c>
      <c r="K434" s="20" t="s">
        <v>3923</v>
      </c>
      <c r="L434" s="20" t="s">
        <v>3924</v>
      </c>
    </row>
    <row r="435" spans="5:12" x14ac:dyDescent="0.25">
      <c r="E435" s="957" t="s">
        <v>1711</v>
      </c>
      <c r="F435" s="957" t="s">
        <v>2462</v>
      </c>
      <c r="G435" s="20" t="s">
        <v>1709</v>
      </c>
      <c r="H435" s="472" t="s">
        <v>1710</v>
      </c>
      <c r="I435" s="700" t="str">
        <f>TRIM(UPPER(tb_ingredientes[[#This Row],[ingrediente_ativo]]))</f>
        <v>PIRAZOSSULFUROM-ETÍLICO</v>
      </c>
      <c r="J435" s="20" t="s">
        <v>3065</v>
      </c>
      <c r="K435" s="20" t="s">
        <v>3065</v>
      </c>
      <c r="L435" s="20" t="s">
        <v>3066</v>
      </c>
    </row>
    <row r="436" spans="5:12" x14ac:dyDescent="0.25">
      <c r="E436" s="958" t="s">
        <v>1749</v>
      </c>
      <c r="F436" s="958" t="s">
        <v>2474</v>
      </c>
      <c r="G436" s="20" t="s">
        <v>1747</v>
      </c>
      <c r="H436" s="472" t="s">
        <v>1748</v>
      </c>
      <c r="I436" s="700" t="str">
        <f>TRIM(UPPER(tb_ingredientes[[#This Row],[ingrediente_ativo]]))</f>
        <v>PRALETRINA</v>
      </c>
      <c r="J436" s="20" t="s">
        <v>3197</v>
      </c>
      <c r="K436" s="20" t="s">
        <v>3197</v>
      </c>
      <c r="L436" s="20" t="s">
        <v>3198</v>
      </c>
    </row>
    <row r="437" spans="5:12" x14ac:dyDescent="0.25">
      <c r="E437" s="957" t="s">
        <v>1776</v>
      </c>
      <c r="F437" s="957" t="s">
        <v>2483</v>
      </c>
      <c r="G437" s="20" t="s">
        <v>1774</v>
      </c>
      <c r="H437" s="472" t="s">
        <v>1775</v>
      </c>
      <c r="I437" s="700" t="str">
        <f>TRIM(UPPER(tb_ingredientes[[#This Row],[ingrediente_ativo]]))</f>
        <v>PROPAQUIZAFOPE</v>
      </c>
      <c r="J437" s="20" t="s">
        <v>3592</v>
      </c>
      <c r="K437" s="20" t="s">
        <v>3592</v>
      </c>
      <c r="L437" s="20" t="s">
        <v>3593</v>
      </c>
    </row>
    <row r="438" spans="5:12" x14ac:dyDescent="0.25">
      <c r="E438" s="958" t="s">
        <v>1720</v>
      </c>
      <c r="F438" s="958" t="s">
        <v>2465</v>
      </c>
      <c r="G438" s="20" t="s">
        <v>1718</v>
      </c>
      <c r="H438" s="472" t="s">
        <v>1719</v>
      </c>
      <c r="I438" s="700" t="str">
        <f>TRIM(UPPER(tb_ingredientes[[#This Row],[ingrediente_ativo]]))</f>
        <v>PIRIDAFENTIONA</v>
      </c>
      <c r="J438" s="20" t="s">
        <v>4420</v>
      </c>
      <c r="K438" s="20" t="s">
        <v>4420</v>
      </c>
      <c r="L438" s="20" t="s">
        <v>4421</v>
      </c>
    </row>
    <row r="439" spans="5:12" x14ac:dyDescent="0.25">
      <c r="E439" s="957" t="s">
        <v>1752</v>
      </c>
      <c r="F439" s="957" t="s">
        <v>2475</v>
      </c>
      <c r="G439" s="20" t="s">
        <v>1750</v>
      </c>
      <c r="H439" s="472" t="s">
        <v>1751</v>
      </c>
      <c r="I439" s="700" t="str">
        <f>TRIM(UPPER(tb_ingredientes[[#This Row],[ingrediente_ativo]]))</f>
        <v>PROCIMIDONA</v>
      </c>
      <c r="J439" s="20" t="s">
        <v>4232</v>
      </c>
      <c r="K439" s="20" t="s">
        <v>4232</v>
      </c>
      <c r="L439" s="20" t="s">
        <v>4233</v>
      </c>
    </row>
    <row r="440" spans="5:12" x14ac:dyDescent="0.25">
      <c r="E440" s="958" t="s">
        <v>1732</v>
      </c>
      <c r="F440" s="958" t="s">
        <v>2469</v>
      </c>
      <c r="G440" s="20" t="s">
        <v>1730</v>
      </c>
      <c r="H440" s="472" t="s">
        <v>1731</v>
      </c>
      <c r="I440" s="700" t="str">
        <f>TRIM(UPPER(tb_ingredientes[[#This Row],[ingrediente_ativo]]))</f>
        <v>PIRIPROXIFEM</v>
      </c>
      <c r="J440" s="20" t="s">
        <v>3199</v>
      </c>
      <c r="K440" s="20" t="s">
        <v>3199</v>
      </c>
      <c r="L440" s="20" t="s">
        <v>3200</v>
      </c>
    </row>
    <row r="441" spans="5:12" x14ac:dyDescent="0.25">
      <c r="E441" s="957" t="s">
        <v>1717</v>
      </c>
      <c r="F441" s="957" t="s">
        <v>2464</v>
      </c>
      <c r="G441" s="20" t="s">
        <v>1715</v>
      </c>
      <c r="H441" s="472" t="s">
        <v>1716</v>
      </c>
      <c r="I441" s="700" t="str">
        <f>TRIM(UPPER(tb_ingredientes[[#This Row],[ingrediente_ativo]]))</f>
        <v>PIRIDABEM</v>
      </c>
      <c r="J441" s="20" t="s">
        <v>3403</v>
      </c>
      <c r="K441" s="20" t="s">
        <v>3403</v>
      </c>
      <c r="L441" s="20" t="s">
        <v>3404</v>
      </c>
    </row>
    <row r="442" spans="5:12" x14ac:dyDescent="0.25">
      <c r="E442" s="958" t="s">
        <v>1667</v>
      </c>
      <c r="F442" s="958" t="s">
        <v>2448</v>
      </c>
      <c r="G442" s="20" t="s">
        <v>1665</v>
      </c>
      <c r="H442" s="472" t="s">
        <v>1666</v>
      </c>
      <c r="I442" s="700" t="str">
        <f>TRIM(UPPER(tb_ingredientes[[#This Row],[ingrediente_ativo]]))</f>
        <v>PENCICUROM</v>
      </c>
      <c r="J442" s="20" t="s">
        <v>4708</v>
      </c>
      <c r="K442" s="20" t="s">
        <v>4708</v>
      </c>
      <c r="L442" s="20" t="s">
        <v>4709</v>
      </c>
    </row>
    <row r="443" spans="5:12" x14ac:dyDescent="0.25">
      <c r="E443" s="957" t="s">
        <v>1794</v>
      </c>
      <c r="F443" s="957" t="s">
        <v>2489</v>
      </c>
      <c r="G443" s="20" t="s">
        <v>1792</v>
      </c>
      <c r="H443" s="472" t="s">
        <v>1793</v>
      </c>
      <c r="I443" s="700" t="str">
        <f>TRIM(UPPER(tb_ingredientes[[#This Row],[ingrediente_ativo]]))</f>
        <v>PROTIOFÓS</v>
      </c>
      <c r="J443" s="20" t="s">
        <v>3296</v>
      </c>
      <c r="K443" s="20" t="s">
        <v>3296</v>
      </c>
      <c r="L443" s="20" t="s">
        <v>3297</v>
      </c>
    </row>
    <row r="444" spans="5:12" x14ac:dyDescent="0.25">
      <c r="E444" s="957" t="s">
        <v>1735</v>
      </c>
      <c r="F444" s="957" t="s">
        <v>2470</v>
      </c>
      <c r="G444" s="20" t="s">
        <v>1733</v>
      </c>
      <c r="H444" s="472" t="s">
        <v>1734</v>
      </c>
      <c r="I444" s="700" t="str">
        <f>TRIM(UPPER(tb_ingredientes[[#This Row],[ingrediente_ativo]]))</f>
        <v>PIRITIOBAQUE</v>
      </c>
      <c r="J444" s="20" t="s">
        <v>3927</v>
      </c>
      <c r="K444" s="20" t="s">
        <v>3927</v>
      </c>
      <c r="L444" s="20" t="s">
        <v>3928</v>
      </c>
    </row>
    <row r="445" spans="5:12" x14ac:dyDescent="0.25">
      <c r="E445" s="958" t="s">
        <v>1738</v>
      </c>
      <c r="F445" s="958" t="s">
        <v>2471</v>
      </c>
      <c r="G445" s="20" t="s">
        <v>1736</v>
      </c>
      <c r="H445" s="472" t="s">
        <v>1737</v>
      </c>
      <c r="I445" s="700" t="str">
        <f>TRIM(UPPER(tb_ingredientes[[#This Row],[ingrediente_ativo]]))</f>
        <v>PIRITIOBAQUE-SÓDICO</v>
      </c>
      <c r="J445" s="20" t="s">
        <v>4995</v>
      </c>
      <c r="K445" s="20" t="s">
        <v>4995</v>
      </c>
      <c r="L445" s="20" t="s">
        <v>4996</v>
      </c>
    </row>
    <row r="446" spans="5:12" x14ac:dyDescent="0.25">
      <c r="E446" s="958" t="s">
        <v>1785</v>
      </c>
      <c r="F446" s="958" t="s">
        <v>2486</v>
      </c>
      <c r="G446" s="20" t="s">
        <v>1783</v>
      </c>
      <c r="H446" s="472" t="s">
        <v>1784</v>
      </c>
      <c r="I446" s="700" t="str">
        <f>TRIM(UPPER(tb_ingredientes[[#This Row],[ingrediente_ativo]]))</f>
        <v>PROPINEBE</v>
      </c>
      <c r="J446" s="20" t="s">
        <v>3093</v>
      </c>
      <c r="K446" s="20" t="s">
        <v>3093</v>
      </c>
      <c r="L446" s="20" t="s">
        <v>5351</v>
      </c>
    </row>
    <row r="447" spans="5:12" x14ac:dyDescent="0.25">
      <c r="E447" s="957" t="s">
        <v>1723</v>
      </c>
      <c r="F447" s="957" t="s">
        <v>2466</v>
      </c>
      <c r="G447" s="20" t="s">
        <v>1721</v>
      </c>
      <c r="H447" s="472" t="s">
        <v>1722</v>
      </c>
      <c r="I447" s="700" t="str">
        <f>TRIM(UPPER(tb_ingredientes[[#This Row],[ingrediente_ativo]]))</f>
        <v>PIRIMETANIL</v>
      </c>
      <c r="J447" s="20" t="s">
        <v>4804</v>
      </c>
      <c r="K447" s="20" t="s">
        <v>4804</v>
      </c>
      <c r="L447" s="20" t="s">
        <v>4805</v>
      </c>
    </row>
    <row r="448" spans="5:12" x14ac:dyDescent="0.25">
      <c r="E448" s="957" t="s">
        <v>1654</v>
      </c>
      <c r="F448" s="957" t="s">
        <v>2445</v>
      </c>
      <c r="G448" s="20" t="s">
        <v>1652</v>
      </c>
      <c r="H448" s="472" t="s">
        <v>1653</v>
      </c>
      <c r="I448" s="700" t="str">
        <f>TRIM(UPPER(tb_ingredientes[[#This Row],[ingrediente_ativo]]))</f>
        <v>PACLOBUTRAZOL</v>
      </c>
      <c r="J448" s="20" t="s">
        <v>5228</v>
      </c>
      <c r="K448" s="20" t="s">
        <v>5228</v>
      </c>
      <c r="L448" s="20" t="s">
        <v>5229</v>
      </c>
    </row>
    <row r="449" spans="5:12" x14ac:dyDescent="0.25">
      <c r="E449" s="958" t="s">
        <v>1696</v>
      </c>
      <c r="F449" s="958" t="s">
        <v>2457</v>
      </c>
      <c r="G449" s="20" t="s">
        <v>1694</v>
      </c>
      <c r="H449" s="472" t="s">
        <v>1695</v>
      </c>
      <c r="I449" s="700" t="str">
        <f>TRIM(UPPER(tb_ingredientes[[#This Row],[ingrediente_ativo]]))</f>
        <v>PIRACLOSTROBINA</v>
      </c>
      <c r="J449" s="20" t="s">
        <v>3093</v>
      </c>
      <c r="K449" s="20" t="s">
        <v>3093</v>
      </c>
      <c r="L449" s="20" t="s">
        <v>5307</v>
      </c>
    </row>
    <row r="450" spans="5:12" x14ac:dyDescent="0.25">
      <c r="E450" s="957" t="s">
        <v>1764</v>
      </c>
      <c r="F450" s="957" t="s">
        <v>2479</v>
      </c>
      <c r="G450" s="20" t="s">
        <v>1762</v>
      </c>
      <c r="H450" s="472" t="s">
        <v>1763</v>
      </c>
      <c r="I450" s="700" t="str">
        <f>TRIM(UPPER(tb_ingredientes[[#This Row],[ingrediente_ativo]]))</f>
        <v>PROFOXIDIM</v>
      </c>
      <c r="J450" s="20" t="s">
        <v>3706</v>
      </c>
      <c r="K450" s="20" t="s">
        <v>3706</v>
      </c>
      <c r="L450" s="20" t="s">
        <v>3707</v>
      </c>
    </row>
    <row r="451" spans="5:12" x14ac:dyDescent="0.25">
      <c r="E451" s="957" t="s">
        <v>1676</v>
      </c>
      <c r="F451" s="957" t="s">
        <v>2451</v>
      </c>
      <c r="G451" s="20" t="s">
        <v>1674</v>
      </c>
      <c r="H451" s="472" t="s">
        <v>1675</v>
      </c>
      <c r="I451" s="700" t="str">
        <f>TRIM(UPPER(tb_ingredientes[[#This Row],[ingrediente_ativo]]))</f>
        <v>PERFLUOROOCTANO SULFONATO DE LÍTIO</v>
      </c>
      <c r="J451" s="20" t="s">
        <v>3502</v>
      </c>
      <c r="K451" s="20" t="s">
        <v>3502</v>
      </c>
      <c r="L451" s="20" t="s">
        <v>3503</v>
      </c>
    </row>
    <row r="452" spans="5:12" x14ac:dyDescent="0.25">
      <c r="E452" s="957" t="s">
        <v>1699</v>
      </c>
      <c r="F452" s="957" t="s">
        <v>2458</v>
      </c>
      <c r="G452" s="20" t="s">
        <v>1697</v>
      </c>
      <c r="H452" s="472" t="s">
        <v>1698</v>
      </c>
      <c r="I452" s="700" t="str">
        <f>TRIM(UPPER(tb_ingredientes[[#This Row],[ingrediente_ativo]]))</f>
        <v>PIRAFLUFEM</v>
      </c>
      <c r="J452" s="20" t="s">
        <v>3274</v>
      </c>
      <c r="K452" s="20" t="s">
        <v>3274</v>
      </c>
      <c r="L452" s="20" t="s">
        <v>3275</v>
      </c>
    </row>
    <row r="453" spans="5:12" x14ac:dyDescent="0.25">
      <c r="E453" s="958" t="s">
        <v>1702</v>
      </c>
      <c r="F453" s="958" t="s">
        <v>2459</v>
      </c>
      <c r="G453" s="20" t="s">
        <v>1700</v>
      </c>
      <c r="H453" s="472" t="s">
        <v>1701</v>
      </c>
      <c r="I453" s="700" t="str">
        <f>TRIM(UPPER(tb_ingredientes[[#This Row],[ingrediente_ativo]]))</f>
        <v>PIRAFLUFEM-ETÍLICO</v>
      </c>
      <c r="J453" s="20" t="s">
        <v>2975</v>
      </c>
      <c r="K453" s="20" t="s">
        <v>2975</v>
      </c>
      <c r="L453" s="20" t="s">
        <v>2976</v>
      </c>
    </row>
    <row r="454" spans="5:12" x14ac:dyDescent="0.25">
      <c r="E454" s="958" t="s">
        <v>1690</v>
      </c>
      <c r="F454" s="958" t="s">
        <v>2455</v>
      </c>
      <c r="G454" s="20" t="s">
        <v>1688</v>
      </c>
      <c r="H454" s="472" t="s">
        <v>1689</v>
      </c>
      <c r="I454" s="700" t="str">
        <f>TRIM(UPPER(tb_ingredientes[[#This Row],[ingrediente_ativo]]))</f>
        <v>PICOXISTROBINA</v>
      </c>
      <c r="J454" s="20" t="s">
        <v>3122</v>
      </c>
      <c r="K454" s="20" t="s">
        <v>3122</v>
      </c>
      <c r="L454" s="20" t="s">
        <v>3123</v>
      </c>
    </row>
    <row r="455" spans="5:12" x14ac:dyDescent="0.25">
      <c r="E455" s="958" t="s">
        <v>1673</v>
      </c>
      <c r="F455" s="958" t="s">
        <v>2450</v>
      </c>
      <c r="G455" s="20" t="s">
        <v>1671</v>
      </c>
      <c r="H455" s="472" t="s">
        <v>1672</v>
      </c>
      <c r="I455" s="700" t="str">
        <f>TRIM(UPPER(tb_ingredientes[[#This Row],[ingrediente_ativo]]))</f>
        <v>PENOXSULAM</v>
      </c>
      <c r="J455" s="20" t="s">
        <v>3087</v>
      </c>
      <c r="K455" s="20" t="s">
        <v>3087</v>
      </c>
      <c r="L455" s="20" t="s">
        <v>3088</v>
      </c>
    </row>
    <row r="456" spans="5:12" x14ac:dyDescent="0.25">
      <c r="E456" s="957" t="s">
        <v>1693</v>
      </c>
      <c r="F456" s="957" t="s">
        <v>2456</v>
      </c>
      <c r="G456" s="20" t="s">
        <v>1691</v>
      </c>
      <c r="H456" s="472" t="s">
        <v>1692</v>
      </c>
      <c r="I456" s="700" t="str">
        <f>TRIM(UPPER(tb_ingredientes[[#This Row],[ingrediente_ativo]]))</f>
        <v>PIMETROZINA</v>
      </c>
      <c r="J456" s="20" t="s">
        <v>3110</v>
      </c>
      <c r="K456" s="20" t="s">
        <v>3110</v>
      </c>
      <c r="L456" s="20" t="s">
        <v>3111</v>
      </c>
    </row>
    <row r="457" spans="5:12" x14ac:dyDescent="0.25">
      <c r="E457" s="958" t="s">
        <v>1791</v>
      </c>
      <c r="F457" s="958" t="s">
        <v>2488</v>
      </c>
      <c r="G457" s="20" t="s">
        <v>1789</v>
      </c>
      <c r="H457" s="472" t="s">
        <v>1790</v>
      </c>
      <c r="I457" s="700" t="str">
        <f>TRIM(UPPER(tb_ingredientes[[#This Row],[ingrediente_ativo]]))</f>
        <v>PROTIOCONAZOL</v>
      </c>
      <c r="J457" s="20" t="s">
        <v>3174</v>
      </c>
      <c r="K457" s="20" t="s">
        <v>3174</v>
      </c>
      <c r="L457" s="20" t="s">
        <v>3175</v>
      </c>
    </row>
    <row r="458" spans="5:12" x14ac:dyDescent="0.25">
      <c r="E458" s="957" t="s">
        <v>1758</v>
      </c>
      <c r="F458" s="957" t="s">
        <v>2477</v>
      </c>
      <c r="G458" s="20" t="s">
        <v>1756</v>
      </c>
      <c r="H458" s="472" t="s">
        <v>1757</v>
      </c>
      <c r="I458" s="700" t="str">
        <f>TRIM(UPPER(tb_ingredientes[[#This Row],[ingrediente_ativo]]))</f>
        <v>PROEXADIONA CÁLCICA</v>
      </c>
      <c r="J458" s="20" t="s">
        <v>3053</v>
      </c>
      <c r="K458" s="20" t="s">
        <v>3053</v>
      </c>
      <c r="L458" s="20" t="s">
        <v>3054</v>
      </c>
    </row>
    <row r="459" spans="5:12" x14ac:dyDescent="0.25">
      <c r="E459" s="958" t="s">
        <v>661</v>
      </c>
      <c r="F459" s="958" t="s">
        <v>661</v>
      </c>
      <c r="G459" s="20" t="s">
        <v>1683</v>
      </c>
      <c r="H459" s="472" t="s">
        <v>1684</v>
      </c>
      <c r="I459" s="700" t="str">
        <f>TRIM(UPPER(tb_ingredientes[[#This Row],[ingrediente_ativo]]))</f>
        <v>PHYTOSEIULUS MACROPILIS</v>
      </c>
      <c r="J459" s="20" t="s">
        <v>3093</v>
      </c>
      <c r="K459" s="20" t="s">
        <v>3093</v>
      </c>
      <c r="L459" s="20" t="s">
        <v>5260</v>
      </c>
    </row>
    <row r="460" spans="5:12" x14ac:dyDescent="0.25">
      <c r="E460" s="958" t="s">
        <v>661</v>
      </c>
      <c r="F460" s="958" t="s">
        <v>661</v>
      </c>
      <c r="G460" s="20" t="s">
        <v>1655</v>
      </c>
      <c r="H460" s="472" t="s">
        <v>1656</v>
      </c>
      <c r="I460" s="700" t="str">
        <f>TRIM(UPPER(tb_ingredientes[[#This Row],[ingrediente_ativo]]))</f>
        <v>PAECILOMYCES LILACINUS</v>
      </c>
      <c r="J460" s="20" t="s">
        <v>3688</v>
      </c>
      <c r="K460" s="20" t="s">
        <v>3688</v>
      </c>
      <c r="L460" s="20" t="s">
        <v>3689</v>
      </c>
    </row>
    <row r="461" spans="5:12" x14ac:dyDescent="0.25">
      <c r="E461" s="958" t="s">
        <v>1744</v>
      </c>
      <c r="F461" s="958" t="s">
        <v>2473</v>
      </c>
      <c r="G461" s="20" t="s">
        <v>1742</v>
      </c>
      <c r="H461" s="472" t="s">
        <v>1743</v>
      </c>
      <c r="I461" s="700" t="str">
        <f>TRIM(UPPER(tb_ingredientes[[#This Row],[ingrediente_ativo]]))</f>
        <v>PIROXSULAM</v>
      </c>
      <c r="J461" s="20" t="s">
        <v>3753</v>
      </c>
      <c r="K461" s="20" t="s">
        <v>3753</v>
      </c>
      <c r="L461" s="20" t="s">
        <v>3754</v>
      </c>
    </row>
    <row r="462" spans="5:12" x14ac:dyDescent="0.25">
      <c r="E462" s="957" t="s">
        <v>661</v>
      </c>
      <c r="F462" s="957" t="s">
        <v>661</v>
      </c>
      <c r="G462" s="20" t="s">
        <v>1745</v>
      </c>
      <c r="H462" s="472" t="s">
        <v>1746</v>
      </c>
      <c r="I462" s="700" t="str">
        <f>TRIM(UPPER(tb_ingredientes[[#This Row],[ingrediente_ativo]]))</f>
        <v>POCHONIA CHLAMYDOSPORIA</v>
      </c>
      <c r="J462" s="20" t="s">
        <v>3749</v>
      </c>
      <c r="K462" s="20" t="s">
        <v>3749</v>
      </c>
      <c r="L462" s="20" t="s">
        <v>3750</v>
      </c>
    </row>
    <row r="463" spans="5:12" x14ac:dyDescent="0.25">
      <c r="E463" s="957" t="s">
        <v>661</v>
      </c>
      <c r="F463" s="957" t="s">
        <v>661</v>
      </c>
      <c r="G463" s="20" t="s">
        <v>1663</v>
      </c>
      <c r="H463" s="472" t="s">
        <v>1664</v>
      </c>
      <c r="I463" s="700" t="str">
        <f>TRIM(UPPER(tb_ingredientes[[#This Row],[ingrediente_ativo]]))</f>
        <v>PASTEURIA NISHIZAWAE</v>
      </c>
      <c r="J463" s="20" t="s">
        <v>3665</v>
      </c>
      <c r="K463" s="20" t="s">
        <v>3665</v>
      </c>
      <c r="L463" s="20" t="s">
        <v>3666</v>
      </c>
    </row>
    <row r="464" spans="5:12" x14ac:dyDescent="0.25">
      <c r="E464" s="957" t="s">
        <v>1682</v>
      </c>
      <c r="F464" s="957" t="s">
        <v>2453</v>
      </c>
      <c r="G464" s="20" t="s">
        <v>1680</v>
      </c>
      <c r="H464" s="472" t="s">
        <v>1681</v>
      </c>
      <c r="I464" s="700" t="str">
        <f>TRIM(UPPER(tb_ingredientes[[#This Row],[ingrediente_ativo]]))</f>
        <v>PERÓXIDO DE HIDROGÊNI</v>
      </c>
      <c r="J464" s="20" t="s">
        <v>3093</v>
      </c>
      <c r="K464" s="20" t="s">
        <v>3093</v>
      </c>
      <c r="L464" s="20" t="s">
        <v>5308</v>
      </c>
    </row>
    <row r="465" spans="5:12" x14ac:dyDescent="0.25">
      <c r="E465" s="958" t="s">
        <v>7215</v>
      </c>
      <c r="F465" s="958" t="s">
        <v>7216</v>
      </c>
      <c r="G465" s="20" t="s">
        <v>7214</v>
      </c>
      <c r="H465" s="472" t="s">
        <v>7217</v>
      </c>
      <c r="I465" s="700" t="str">
        <f>TRIM(UPPER(tb_ingredientes[[#This Row],[ingrediente_ativo]]))</f>
        <v>PIROXASULFONA</v>
      </c>
      <c r="J465" s="20" t="s">
        <v>3635</v>
      </c>
      <c r="K465" s="20" t="s">
        <v>3635</v>
      </c>
      <c r="L465" s="20" t="s">
        <v>3636</v>
      </c>
    </row>
    <row r="466" spans="5:12" x14ac:dyDescent="0.25">
      <c r="E466" s="958" t="s">
        <v>661</v>
      </c>
      <c r="F466" s="958" t="s">
        <v>661</v>
      </c>
      <c r="G466" s="20" t="s">
        <v>7218</v>
      </c>
      <c r="H466" s="472" t="s">
        <v>7219</v>
      </c>
      <c r="I466" s="700" t="str">
        <f>TRIM(UPPER(tb_ingredientes[[#This Row],[ingrediente_ativo]]))</f>
        <v>PEPTÍDEOS DERIVADOS DA PROTEÍNA HARPIN</v>
      </c>
      <c r="J466" s="20" t="s">
        <v>5403</v>
      </c>
      <c r="K466" s="20" t="s">
        <v>5403</v>
      </c>
      <c r="L466" s="20" t="s">
        <v>5404</v>
      </c>
    </row>
    <row r="467" spans="5:12" x14ac:dyDescent="0.25">
      <c r="E467" s="958" t="s">
        <v>661</v>
      </c>
      <c r="F467" s="958" t="s">
        <v>661</v>
      </c>
      <c r="G467" s="20" t="s">
        <v>7220</v>
      </c>
      <c r="H467" s="472" t="s">
        <v>7221</v>
      </c>
      <c r="I467" s="700" t="str">
        <f>TRIM(UPPER(tb_ingredientes[[#This Row],[ingrediente_ativo]]))</f>
        <v>PALMISTICHUS ELAEISIS</v>
      </c>
      <c r="J467" s="20" t="s">
        <v>3633</v>
      </c>
      <c r="K467" s="20" t="s">
        <v>3633</v>
      </c>
      <c r="L467" s="20" t="s">
        <v>3634</v>
      </c>
    </row>
    <row r="468" spans="5:12" x14ac:dyDescent="0.25">
      <c r="E468" s="958" t="s">
        <v>661</v>
      </c>
      <c r="F468" s="958" t="s">
        <v>661</v>
      </c>
      <c r="G468" s="20" t="s">
        <v>7222</v>
      </c>
      <c r="H468" s="472" t="s">
        <v>7223</v>
      </c>
      <c r="I468" s="700" t="str">
        <f>TRIM(UPPER(tb_ingredientes[[#This Row],[ingrediente_ativo]]))</f>
        <v>PSEUDOMONAS ORYZIHABITANS</v>
      </c>
      <c r="J468" s="20" t="s">
        <v>4412</v>
      </c>
      <c r="K468" s="20" t="s">
        <v>4412</v>
      </c>
      <c r="L468" s="20" t="s">
        <v>4413</v>
      </c>
    </row>
    <row r="469" spans="5:12" x14ac:dyDescent="0.25">
      <c r="E469" s="958" t="s">
        <v>7041</v>
      </c>
      <c r="F469" s="958" t="s">
        <v>7041</v>
      </c>
      <c r="G469" s="20" t="s">
        <v>7224</v>
      </c>
      <c r="H469" s="472" t="s">
        <v>7225</v>
      </c>
      <c r="I469" s="700" t="str">
        <f>TRIM(UPPER(tb_ingredientes[[#This Row],[ingrediente_ativo]]))</f>
        <v>PIDIFLUMETOFEM</v>
      </c>
      <c r="J469" s="20" t="s">
        <v>4710</v>
      </c>
      <c r="K469" s="20" t="s">
        <v>4710</v>
      </c>
      <c r="L469" s="20" t="s">
        <v>4711</v>
      </c>
    </row>
    <row r="470" spans="5:12" x14ac:dyDescent="0.25">
      <c r="E470" s="958" t="s">
        <v>661</v>
      </c>
      <c r="F470" s="958" t="s">
        <v>661</v>
      </c>
      <c r="G470" s="20" t="s">
        <v>7226</v>
      </c>
      <c r="H470" s="472" t="s">
        <v>7227</v>
      </c>
      <c r="I470" s="700" t="str">
        <f>TRIM(UPPER(tb_ingredientes[[#This Row],[ingrediente_ativo]]))</f>
        <v>PSEUDOMONAS CHLORORAPHIS</v>
      </c>
      <c r="J470" s="20" t="s">
        <v>3663</v>
      </c>
      <c r="K470" s="20" t="s">
        <v>3663</v>
      </c>
      <c r="L470" s="20" t="s">
        <v>3664</v>
      </c>
    </row>
    <row r="471" spans="5:12" x14ac:dyDescent="0.25">
      <c r="E471" s="958" t="s">
        <v>661</v>
      </c>
      <c r="F471" s="958" t="s">
        <v>661</v>
      </c>
      <c r="G471" s="20" t="s">
        <v>7228</v>
      </c>
      <c r="H471" s="472" t="s">
        <v>7229</v>
      </c>
      <c r="I471" s="700" t="str">
        <f>TRIM(UPPER(tb_ingredientes[[#This Row],[ingrediente_ativo]]))</f>
        <v>PSEUDOMONAS FLUORESCENS</v>
      </c>
      <c r="J471" s="20" t="s">
        <v>3795</v>
      </c>
      <c r="K471" s="20" t="s">
        <v>3795</v>
      </c>
      <c r="L471" s="20" t="s">
        <v>3796</v>
      </c>
    </row>
    <row r="472" spans="5:12" x14ac:dyDescent="0.25">
      <c r="E472" s="958" t="s">
        <v>661</v>
      </c>
      <c r="F472" s="958" t="s">
        <v>661</v>
      </c>
      <c r="G472" s="20" t="s">
        <v>7230</v>
      </c>
      <c r="H472" s="472" t="s">
        <v>7231</v>
      </c>
      <c r="I472" s="700" t="str">
        <f>TRIM(UPPER(tb_ingredientes[[#This Row],[ingrediente_ativo]]))</f>
        <v>PHTHORIMAEA OPERCULELLA
GRANULOVIRUS</v>
      </c>
      <c r="J472" s="20" t="s">
        <v>3793</v>
      </c>
      <c r="K472" s="20" t="s">
        <v>3793</v>
      </c>
      <c r="L472" s="20" t="s">
        <v>3794</v>
      </c>
    </row>
    <row r="473" spans="5:12" x14ac:dyDescent="0.25">
      <c r="E473" s="957" t="s">
        <v>1800</v>
      </c>
      <c r="F473" s="957" t="s">
        <v>2491</v>
      </c>
      <c r="G473" s="20" t="s">
        <v>1798</v>
      </c>
      <c r="H473" s="472" t="s">
        <v>1799</v>
      </c>
      <c r="I473" s="700" t="str">
        <f>TRIM(UPPER(tb_ingredientes[[#This Row],[ingrediente_ativo]]))</f>
        <v>QUINOMETIONATO</v>
      </c>
      <c r="J473" s="20" t="s">
        <v>3803</v>
      </c>
      <c r="K473" s="20" t="s">
        <v>3803</v>
      </c>
      <c r="L473" s="20" t="s">
        <v>3804</v>
      </c>
    </row>
    <row r="474" spans="5:12" x14ac:dyDescent="0.25">
      <c r="E474" s="958" t="s">
        <v>1803</v>
      </c>
      <c r="F474" s="958" t="s">
        <v>2492</v>
      </c>
      <c r="G474" s="20" t="s">
        <v>1801</v>
      </c>
      <c r="H474" s="472" t="s">
        <v>1802</v>
      </c>
      <c r="I474" s="700" t="str">
        <f>TRIM(UPPER(tb_ingredientes[[#This Row],[ingrediente_ativo]]))</f>
        <v>QUINTOZENO</v>
      </c>
      <c r="J474" s="20" t="s">
        <v>3883</v>
      </c>
      <c r="K474" s="20" t="s">
        <v>3883</v>
      </c>
      <c r="L474" s="20" t="s">
        <v>3884</v>
      </c>
    </row>
    <row r="475" spans="5:12" x14ac:dyDescent="0.25">
      <c r="E475" s="958" t="s">
        <v>1797</v>
      </c>
      <c r="F475" s="958" t="s">
        <v>2490</v>
      </c>
      <c r="G475" s="20" t="s">
        <v>1795</v>
      </c>
      <c r="H475" s="472" t="s">
        <v>1796</v>
      </c>
      <c r="I475" s="700" t="str">
        <f>TRIM(UPPER(tb_ingredientes[[#This Row],[ingrediente_ativo]]))</f>
        <v>QUINCLORAQUE</v>
      </c>
      <c r="J475" s="20" t="s">
        <v>3805</v>
      </c>
      <c r="K475" s="20" t="s">
        <v>3805</v>
      </c>
      <c r="L475" s="20" t="s">
        <v>3806</v>
      </c>
    </row>
    <row r="476" spans="5:12" x14ac:dyDescent="0.25">
      <c r="E476" s="957" t="s">
        <v>1806</v>
      </c>
      <c r="F476" s="957" t="s">
        <v>2493</v>
      </c>
      <c r="G476" s="20" t="s">
        <v>1804</v>
      </c>
      <c r="H476" s="472" t="s">
        <v>1805</v>
      </c>
      <c r="I476" s="700" t="str">
        <f>TRIM(UPPER(tb_ingredientes[[#This Row],[ingrediente_ativo]]))</f>
        <v>QUIZALOFOPE-P</v>
      </c>
      <c r="J476" s="20" t="s">
        <v>3807</v>
      </c>
      <c r="K476" s="20" t="s">
        <v>3807</v>
      </c>
      <c r="L476" s="20" t="s">
        <v>3808</v>
      </c>
    </row>
    <row r="477" spans="5:12" x14ac:dyDescent="0.25">
      <c r="E477" s="958" t="s">
        <v>1809</v>
      </c>
      <c r="F477" s="958" t="s">
        <v>2494</v>
      </c>
      <c r="G477" s="20" t="s">
        <v>1807</v>
      </c>
      <c r="H477" s="472" t="s">
        <v>1808</v>
      </c>
      <c r="I477" s="700" t="str">
        <f>TRIM(UPPER(tb_ingredientes[[#This Row],[ingrediente_ativo]]))</f>
        <v>QUIZALOFOPE-P-ETÍLICO</v>
      </c>
      <c r="J477" s="20" t="s">
        <v>4880</v>
      </c>
      <c r="K477" s="20" t="s">
        <v>4880</v>
      </c>
      <c r="L477" s="20" t="s">
        <v>4881</v>
      </c>
    </row>
    <row r="478" spans="5:12" x14ac:dyDescent="0.25">
      <c r="E478" s="957" t="s">
        <v>1812</v>
      </c>
      <c r="F478" s="957" t="s">
        <v>2495</v>
      </c>
      <c r="G478" s="20" t="s">
        <v>1810</v>
      </c>
      <c r="H478" s="472" t="s">
        <v>1811</v>
      </c>
      <c r="I478" s="700" t="str">
        <f>TRIM(UPPER(tb_ingredientes[[#This Row],[ingrediente_ativo]]))</f>
        <v>QUIZALOFOPE-P-TEFURÍLICO</v>
      </c>
      <c r="J478" s="20" t="s">
        <v>3801</v>
      </c>
      <c r="K478" s="20" t="s">
        <v>3801</v>
      </c>
      <c r="L478" s="20" t="s">
        <v>3802</v>
      </c>
    </row>
    <row r="479" spans="5:12" x14ac:dyDescent="0.25">
      <c r="E479" s="958" t="s">
        <v>1815</v>
      </c>
      <c r="F479" s="958" t="s">
        <v>2496</v>
      </c>
      <c r="G479" s="20" t="s">
        <v>1813</v>
      </c>
      <c r="H479" s="472" t="s">
        <v>1814</v>
      </c>
      <c r="I479" s="700" t="str">
        <f>TRIM(UPPER(tb_ingredientes[[#This Row],[ingrediente_ativo]]))</f>
        <v>RESMETRINA</v>
      </c>
      <c r="J479" s="20" t="s">
        <v>3799</v>
      </c>
      <c r="K479" s="20" t="s">
        <v>3799</v>
      </c>
      <c r="L479" s="20" t="s">
        <v>3800</v>
      </c>
    </row>
    <row r="480" spans="5:12" x14ac:dyDescent="0.25">
      <c r="E480" s="958" t="s">
        <v>1820</v>
      </c>
      <c r="F480" s="958" t="s">
        <v>2497</v>
      </c>
      <c r="G480" s="20" t="s">
        <v>1818</v>
      </c>
      <c r="H480" s="472" t="s">
        <v>1819</v>
      </c>
      <c r="I480" s="700" t="str">
        <f>TRIM(UPPER(tb_ingredientes[[#This Row],[ingrediente_ativo]]))</f>
        <v>RINCOFOROL</v>
      </c>
      <c r="J480" s="20" t="s">
        <v>5106</v>
      </c>
      <c r="K480" s="20" t="s">
        <v>5106</v>
      </c>
      <c r="L480" s="20" t="s">
        <v>5107</v>
      </c>
    </row>
    <row r="481" spans="5:12" x14ac:dyDescent="0.25">
      <c r="E481" s="957" t="s">
        <v>661</v>
      </c>
      <c r="F481" s="957" t="s">
        <v>661</v>
      </c>
      <c r="G481" s="20" t="s">
        <v>1816</v>
      </c>
      <c r="H481" s="472" t="s">
        <v>1817</v>
      </c>
      <c r="I481" s="700" t="str">
        <f>TRIM(UPPER(tb_ingredientes[[#This Row],[ingrediente_ativo]]))</f>
        <v>REYNOUTRIA SACHALINENSIS</v>
      </c>
      <c r="J481" s="20" t="s">
        <v>3809</v>
      </c>
      <c r="K481" s="20" t="s">
        <v>3809</v>
      </c>
      <c r="L481" s="20" t="s">
        <v>3810</v>
      </c>
    </row>
    <row r="482" spans="5:12" x14ac:dyDescent="0.25">
      <c r="E482" s="957" t="s">
        <v>1829</v>
      </c>
      <c r="F482" s="957" t="s">
        <v>2500</v>
      </c>
      <c r="G482" s="20" t="s">
        <v>1827</v>
      </c>
      <c r="H482" s="472" t="s">
        <v>1828</v>
      </c>
      <c r="I482" s="700" t="str">
        <f>TRIM(UPPER(tb_ingredientes[[#This Row],[ingrediente_ativo]]))</f>
        <v>SETOXIDIM</v>
      </c>
      <c r="J482" s="20" t="s">
        <v>3106</v>
      </c>
      <c r="K482" s="20" t="s">
        <v>3106</v>
      </c>
      <c r="L482" s="20" t="s">
        <v>3107</v>
      </c>
    </row>
    <row r="483" spans="5:12" x14ac:dyDescent="0.25">
      <c r="E483" s="958" t="s">
        <v>1832</v>
      </c>
      <c r="F483" s="958" t="s">
        <v>2501</v>
      </c>
      <c r="G483" s="20" t="s">
        <v>1830</v>
      </c>
      <c r="H483" s="472" t="s">
        <v>1831</v>
      </c>
      <c r="I483" s="700" t="str">
        <f>TRIM(UPPER(tb_ingredientes[[#This Row],[ingrediente_ativo]]))</f>
        <v>SIMAZINA</v>
      </c>
      <c r="J483" s="20" t="s">
        <v>4040</v>
      </c>
      <c r="K483" s="20" t="s">
        <v>4040</v>
      </c>
      <c r="L483" s="20" t="s">
        <v>4041</v>
      </c>
    </row>
    <row r="484" spans="5:12" x14ac:dyDescent="0.25">
      <c r="E484" s="958" t="s">
        <v>1182</v>
      </c>
      <c r="F484" s="958" t="s">
        <v>2291</v>
      </c>
      <c r="G484" s="20" t="s">
        <v>1862</v>
      </c>
      <c r="H484" s="472" t="s">
        <v>1863</v>
      </c>
      <c r="I484" s="700" t="str">
        <f>TRIM(UPPER(tb_ingredientes[[#This Row],[ingrediente_ativo]]))</f>
        <v>SUMITRINA</v>
      </c>
      <c r="J484" s="20" t="s">
        <v>3093</v>
      </c>
      <c r="K484" s="20" t="s">
        <v>3093</v>
      </c>
      <c r="L484" s="20" t="s">
        <v>5247</v>
      </c>
    </row>
    <row r="485" spans="5:12" x14ac:dyDescent="0.25">
      <c r="E485" s="958" t="s">
        <v>1826</v>
      </c>
      <c r="F485" s="958" t="s">
        <v>2499</v>
      </c>
      <c r="G485" s="20" t="s">
        <v>1824</v>
      </c>
      <c r="H485" s="472" t="s">
        <v>1825</v>
      </c>
      <c r="I485" s="700" t="str">
        <f>TRIM(UPPER(tb_ingredientes[[#This Row],[ingrediente_ativo]]))</f>
        <v>SERRICORNIM</v>
      </c>
      <c r="J485" s="20" t="s">
        <v>3093</v>
      </c>
      <c r="K485" s="20" t="s">
        <v>3093</v>
      </c>
      <c r="L485" s="20" t="s">
        <v>5213</v>
      </c>
    </row>
    <row r="486" spans="5:12" x14ac:dyDescent="0.25">
      <c r="E486" s="958" t="s">
        <v>1853</v>
      </c>
      <c r="F486" s="958" t="s">
        <v>2506</v>
      </c>
      <c r="G486" s="20" t="s">
        <v>1851</v>
      </c>
      <c r="H486" s="472" t="s">
        <v>1852</v>
      </c>
      <c r="I486" s="700" t="str">
        <f>TRIM(UPPER(tb_ingredientes[[#This Row],[ingrediente_ativo]]))</f>
        <v>SULFLURAMIDA</v>
      </c>
      <c r="J486" s="20" t="s">
        <v>3093</v>
      </c>
      <c r="K486" s="20" t="s">
        <v>3093</v>
      </c>
      <c r="L486" s="20" t="s">
        <v>5213</v>
      </c>
    </row>
    <row r="487" spans="5:12" x14ac:dyDescent="0.25">
      <c r="E487" s="958" t="s">
        <v>1859</v>
      </c>
      <c r="F487" s="958" t="s">
        <v>2508</v>
      </c>
      <c r="G487" s="20" t="s">
        <v>1857</v>
      </c>
      <c r="H487" s="472" t="s">
        <v>1858</v>
      </c>
      <c r="I487" s="700" t="str">
        <f>TRIM(UPPER(tb_ingredientes[[#This Row],[ingrediente_ativo]]))</f>
        <v>SULFOSATO</v>
      </c>
      <c r="J487" s="20" t="s">
        <v>3093</v>
      </c>
      <c r="K487" s="20" t="s">
        <v>3093</v>
      </c>
      <c r="L487" s="20" t="s">
        <v>5213</v>
      </c>
    </row>
    <row r="488" spans="5:12" x14ac:dyDescent="0.25">
      <c r="E488" s="957" t="s">
        <v>1850</v>
      </c>
      <c r="F488" s="957" t="s">
        <v>2505</v>
      </c>
      <c r="G488" s="20" t="s">
        <v>1848</v>
      </c>
      <c r="H488" s="472" t="s">
        <v>1849</v>
      </c>
      <c r="I488" s="700" t="str">
        <f>TRIM(UPPER(tb_ingredientes[[#This Row],[ingrediente_ativo]]))</f>
        <v>SULFENTRAZONA</v>
      </c>
      <c r="J488" s="20" t="s">
        <v>5171</v>
      </c>
      <c r="K488" s="20" t="s">
        <v>5171</v>
      </c>
      <c r="L488" s="20" t="s">
        <v>5172</v>
      </c>
    </row>
    <row r="489" spans="5:12" x14ac:dyDescent="0.25">
      <c r="E489" s="957" t="s">
        <v>1856</v>
      </c>
      <c r="F489" s="957" t="s">
        <v>2507</v>
      </c>
      <c r="G489" s="20" t="s">
        <v>1854</v>
      </c>
      <c r="H489" s="472" t="s">
        <v>1855</v>
      </c>
      <c r="I489" s="700" t="str">
        <f>TRIM(UPPER(tb_ingredientes[[#This Row],[ingrediente_ativo]]))</f>
        <v>SULFOMETUROM-METÍLICO</v>
      </c>
      <c r="J489" s="20" t="s">
        <v>3298</v>
      </c>
      <c r="K489" s="20" t="s">
        <v>3298</v>
      </c>
      <c r="L489" s="20" t="s">
        <v>3299</v>
      </c>
    </row>
    <row r="490" spans="5:12" x14ac:dyDescent="0.25">
      <c r="E490" s="957" t="s">
        <v>1835</v>
      </c>
      <c r="F490" s="957" t="s">
        <v>2502</v>
      </c>
      <c r="G490" s="20" t="s">
        <v>1833</v>
      </c>
      <c r="H490" s="472" t="s">
        <v>1834</v>
      </c>
      <c r="I490" s="700" t="str">
        <f>TRIM(UPPER(tb_ingredientes[[#This Row],[ingrediente_ativo]]))</f>
        <v>S-METOLACLORO</v>
      </c>
      <c r="J490" s="20" t="s">
        <v>3093</v>
      </c>
      <c r="K490" s="20" t="s">
        <v>3093</v>
      </c>
      <c r="L490" s="20" t="s">
        <v>4588</v>
      </c>
    </row>
    <row r="491" spans="5:12" x14ac:dyDescent="0.25">
      <c r="E491" s="957" t="s">
        <v>1840</v>
      </c>
      <c r="F491" s="957" t="s">
        <v>2503</v>
      </c>
      <c r="G491" s="20" t="s">
        <v>1838</v>
      </c>
      <c r="H491" s="472" t="s">
        <v>1839</v>
      </c>
      <c r="I491" s="700" t="str">
        <f>TRIM(UPPER(tb_ingredientes[[#This Row],[ingrediente_ativo]]))</f>
        <v>SORDIDIM</v>
      </c>
      <c r="J491" s="20" t="s">
        <v>3093</v>
      </c>
      <c r="K491" s="20" t="s">
        <v>3093</v>
      </c>
      <c r="L491" s="20" t="s">
        <v>4588</v>
      </c>
    </row>
    <row r="492" spans="5:12" x14ac:dyDescent="0.25">
      <c r="E492" s="958" t="s">
        <v>661</v>
      </c>
      <c r="F492" s="958" t="s">
        <v>661</v>
      </c>
      <c r="G492" s="20" t="s">
        <v>1841</v>
      </c>
      <c r="H492" s="472" t="s">
        <v>1842</v>
      </c>
      <c r="I492" s="700" t="str">
        <f>TRIM(UPPER(tb_ingredientes[[#This Row],[ingrediente_ativo]]))</f>
        <v>STEINERNEMA PUERTORICENSE</v>
      </c>
      <c r="J492" s="20" t="s">
        <v>3093</v>
      </c>
      <c r="K492" s="20" t="s">
        <v>3093</v>
      </c>
      <c r="L492" s="20" t="s">
        <v>4429</v>
      </c>
    </row>
    <row r="493" spans="5:12" x14ac:dyDescent="0.25">
      <c r="E493" s="957" t="s">
        <v>1823</v>
      </c>
      <c r="F493" s="957" t="s">
        <v>2498</v>
      </c>
      <c r="G493" s="20" t="s">
        <v>1821</v>
      </c>
      <c r="H493" s="472" t="s">
        <v>1822</v>
      </c>
      <c r="I493" s="700" t="str">
        <f>TRIM(UPPER(tb_ingredientes[[#This Row],[ingrediente_ativo]]))</f>
        <v>SAFLUFENACIL</v>
      </c>
      <c r="J493" s="20" t="s">
        <v>3093</v>
      </c>
      <c r="K493" s="20" t="s">
        <v>3093</v>
      </c>
      <c r="L493" s="20" t="s">
        <v>4429</v>
      </c>
    </row>
    <row r="494" spans="5:12" x14ac:dyDescent="0.25">
      <c r="E494" s="958" t="s">
        <v>661</v>
      </c>
      <c r="F494" s="958" t="s">
        <v>661</v>
      </c>
      <c r="G494" s="20" t="s">
        <v>1836</v>
      </c>
      <c r="H494" s="472" t="s">
        <v>1837</v>
      </c>
      <c r="I494" s="700" t="str">
        <f>TRIM(UPPER(tb_ingredientes[[#This Row],[ingrediente_ativo]]))</f>
        <v>SOPHORA FLAVESCENS</v>
      </c>
      <c r="J494" s="20" t="s">
        <v>4491</v>
      </c>
      <c r="K494" s="20" t="s">
        <v>4491</v>
      </c>
      <c r="L494" s="20" t="s">
        <v>4492</v>
      </c>
    </row>
    <row r="495" spans="5:12" x14ac:dyDescent="0.25">
      <c r="E495" s="957" t="s">
        <v>661</v>
      </c>
      <c r="F495" s="957" t="s">
        <v>661</v>
      </c>
      <c r="G495" s="20" t="s">
        <v>1843</v>
      </c>
      <c r="H495" s="472" t="s">
        <v>1844</v>
      </c>
      <c r="I495" s="700" t="str">
        <f>TRIM(UPPER(tb_ingredientes[[#This Row],[ingrediente_ativo]]))</f>
        <v>STRATIOLAELAPS SCIMITUS</v>
      </c>
      <c r="J495" s="20" t="s">
        <v>3246</v>
      </c>
      <c r="K495" s="20" t="s">
        <v>3246</v>
      </c>
      <c r="L495" s="20" t="s">
        <v>3247</v>
      </c>
    </row>
    <row r="496" spans="5:12" x14ac:dyDescent="0.25">
      <c r="E496" s="957" t="s">
        <v>1861</v>
      </c>
      <c r="F496" s="957" t="s">
        <v>2509</v>
      </c>
      <c r="G496" s="20" t="s">
        <v>7232</v>
      </c>
      <c r="H496" s="472" t="s">
        <v>1860</v>
      </c>
      <c r="I496" s="700" t="str">
        <f>TRIM(UPPER(tb_ingredientes[[#This Row],[ingrediente_ativo]]))</f>
        <v>SULFOXAFLOR</v>
      </c>
      <c r="J496" s="20" t="s">
        <v>2609</v>
      </c>
      <c r="K496" s="20" t="s">
        <v>2609</v>
      </c>
      <c r="L496" s="20" t="s">
        <v>2610</v>
      </c>
    </row>
    <row r="497" spans="5:12" x14ac:dyDescent="0.25">
      <c r="E497" s="958" t="s">
        <v>661</v>
      </c>
      <c r="F497" s="958" t="s">
        <v>661</v>
      </c>
      <c r="G497" s="20" t="s">
        <v>7233</v>
      </c>
      <c r="H497" s="472" t="s">
        <v>7234</v>
      </c>
      <c r="I497" s="700" t="str">
        <f>TRIM(UPPER(tb_ingredientes[[#This Row],[ingrediente_ativo]]))</f>
        <v>SACCHAROMYCES CEREVISIAE</v>
      </c>
      <c r="J497" s="20" t="s">
        <v>3203</v>
      </c>
      <c r="K497" s="20" t="s">
        <v>3203</v>
      </c>
      <c r="L497" s="20" t="s">
        <v>3204</v>
      </c>
    </row>
    <row r="498" spans="5:12" x14ac:dyDescent="0.25">
      <c r="E498" s="957" t="s">
        <v>1878</v>
      </c>
      <c r="F498" s="957" t="s">
        <v>2514</v>
      </c>
      <c r="G498" s="20" t="s">
        <v>1876</v>
      </c>
      <c r="H498" s="472" t="s">
        <v>1877</v>
      </c>
      <c r="I498" s="700" t="str">
        <f>TRIM(UPPER(tb_ingredientes[[#This Row],[ingrediente_ativo]]))</f>
        <v>TEBUTIUROM</v>
      </c>
      <c r="J498" s="20" t="s">
        <v>2651</v>
      </c>
      <c r="K498" s="20" t="s">
        <v>2651</v>
      </c>
      <c r="L498" s="20" t="s">
        <v>2652</v>
      </c>
    </row>
    <row r="499" spans="5:12" x14ac:dyDescent="0.25">
      <c r="E499" s="958" t="s">
        <v>1887</v>
      </c>
      <c r="F499" s="958" t="s">
        <v>2517</v>
      </c>
      <c r="G499" s="20" t="s">
        <v>1885</v>
      </c>
      <c r="H499" s="472" t="s">
        <v>1886</v>
      </c>
      <c r="I499" s="700" t="str">
        <f>TRIM(UPPER(tb_ingredientes[[#This Row],[ingrediente_ativo]]))</f>
        <v>TEMEFÓS</v>
      </c>
      <c r="J499" s="20" t="s">
        <v>3431</v>
      </c>
      <c r="K499" s="20" t="s">
        <v>3431</v>
      </c>
      <c r="L499" s="20" t="s">
        <v>3432</v>
      </c>
    </row>
    <row r="500" spans="5:12" x14ac:dyDescent="0.25">
      <c r="E500" s="957" t="s">
        <v>1907</v>
      </c>
      <c r="F500" s="957" t="s">
        <v>2523</v>
      </c>
      <c r="G500" s="20" t="s">
        <v>1905</v>
      </c>
      <c r="H500" s="472" t="s">
        <v>1906</v>
      </c>
      <c r="I500" s="700" t="str">
        <f>TRIM(UPPER(tb_ingredientes[[#This Row],[ingrediente_ativo]]))</f>
        <v>TETRADIFONA</v>
      </c>
      <c r="J500" s="20" t="s">
        <v>2618</v>
      </c>
      <c r="K500" s="20" t="s">
        <v>2618</v>
      </c>
      <c r="L500" s="20" t="s">
        <v>2619</v>
      </c>
    </row>
    <row r="501" spans="5:12" x14ac:dyDescent="0.25">
      <c r="E501" s="958" t="s">
        <v>1910</v>
      </c>
      <c r="F501" s="958" t="s">
        <v>2524</v>
      </c>
      <c r="G501" s="20" t="s">
        <v>1908</v>
      </c>
      <c r="H501" s="472" t="s">
        <v>1909</v>
      </c>
      <c r="I501" s="700" t="str">
        <f>TRIM(UPPER(tb_ingredientes[[#This Row],[ingrediente_ativo]]))</f>
        <v>TETRAMETRINA</v>
      </c>
      <c r="J501" s="20" t="s">
        <v>3441</v>
      </c>
      <c r="K501" s="20" t="s">
        <v>3441</v>
      </c>
      <c r="L501" s="20" t="s">
        <v>3442</v>
      </c>
    </row>
    <row r="502" spans="5:12" x14ac:dyDescent="0.25">
      <c r="E502" s="957" t="s">
        <v>1913</v>
      </c>
      <c r="F502" s="957" t="s">
        <v>2525</v>
      </c>
      <c r="G502" s="20" t="s">
        <v>1911</v>
      </c>
      <c r="H502" s="472" t="s">
        <v>1912</v>
      </c>
      <c r="I502" s="700" t="str">
        <f>TRIM(UPPER(tb_ingredientes[[#This Row],[ingrediente_ativo]]))</f>
        <v>TIABENDAZOL</v>
      </c>
      <c r="J502" s="20" t="s">
        <v>3093</v>
      </c>
      <c r="K502" s="20" t="s">
        <v>3093</v>
      </c>
      <c r="L502" s="20" t="s">
        <v>5309</v>
      </c>
    </row>
    <row r="503" spans="5:12" x14ac:dyDescent="0.25">
      <c r="E503" s="957" t="s">
        <v>1925</v>
      </c>
      <c r="F503" s="957" t="s">
        <v>2529</v>
      </c>
      <c r="G503" s="20" t="s">
        <v>1923</v>
      </c>
      <c r="H503" s="472" t="s">
        <v>1924</v>
      </c>
      <c r="I503" s="700" t="str">
        <f>TRIM(UPPER(tb_ingredientes[[#This Row],[ingrediente_ativo]]))</f>
        <v>TIDIAZUROM</v>
      </c>
      <c r="J503" s="20" t="s">
        <v>3093</v>
      </c>
      <c r="K503" s="20" t="s">
        <v>3093</v>
      </c>
      <c r="L503" s="20" t="s">
        <v>5120</v>
      </c>
    </row>
    <row r="504" spans="5:12" x14ac:dyDescent="0.25">
      <c r="E504" s="957" t="s">
        <v>1937</v>
      </c>
      <c r="F504" s="957" t="s">
        <v>2533</v>
      </c>
      <c r="G504" s="20" t="s">
        <v>1935</v>
      </c>
      <c r="H504" s="472" t="s">
        <v>1936</v>
      </c>
      <c r="I504" s="700" t="str">
        <f>TRIM(UPPER(tb_ingredientes[[#This Row],[ingrediente_ativo]]))</f>
        <v>TIOFANATO-METÍLICO</v>
      </c>
      <c r="J504" s="20" t="s">
        <v>3093</v>
      </c>
      <c r="K504" s="20" t="s">
        <v>3093</v>
      </c>
      <c r="L504" s="20" t="s">
        <v>5120</v>
      </c>
    </row>
    <row r="505" spans="5:12" x14ac:dyDescent="0.25">
      <c r="E505" s="958" t="s">
        <v>1940</v>
      </c>
      <c r="F505" s="958" t="s">
        <v>2534</v>
      </c>
      <c r="G505" s="20" t="s">
        <v>1938</v>
      </c>
      <c r="H505" s="472" t="s">
        <v>1939</v>
      </c>
      <c r="I505" s="700" t="str">
        <f>TRIM(UPPER(tb_ingredientes[[#This Row],[ingrediente_ativo]]))</f>
        <v>TIRAM</v>
      </c>
      <c r="J505" s="20" t="s">
        <v>3093</v>
      </c>
      <c r="K505" s="20" t="s">
        <v>3093</v>
      </c>
      <c r="L505" s="20" t="s">
        <v>4954</v>
      </c>
    </row>
    <row r="506" spans="5:12" x14ac:dyDescent="0.25">
      <c r="E506" s="957" t="s">
        <v>1949</v>
      </c>
      <c r="F506" s="957" t="s">
        <v>2537</v>
      </c>
      <c r="G506" s="20" t="s">
        <v>1947</v>
      </c>
      <c r="H506" s="472" t="s">
        <v>1948</v>
      </c>
      <c r="I506" s="700" t="str">
        <f>TRIM(UPPER(tb_ingredientes[[#This Row],[ingrediente_ativo]]))</f>
        <v>TRIADIMEFOM</v>
      </c>
      <c r="J506" s="20" t="s">
        <v>3971</v>
      </c>
      <c r="K506" s="20" t="s">
        <v>3971</v>
      </c>
      <c r="L506" s="20" t="s">
        <v>3972</v>
      </c>
    </row>
    <row r="507" spans="5:12" x14ac:dyDescent="0.25">
      <c r="E507" s="957" t="s">
        <v>1955</v>
      </c>
      <c r="F507" s="957" t="s">
        <v>2539</v>
      </c>
      <c r="G507" s="20" t="s">
        <v>1953</v>
      </c>
      <c r="H507" s="472" t="s">
        <v>1954</v>
      </c>
      <c r="I507" s="700" t="str">
        <f>TRIM(UPPER(tb_ingredientes[[#This Row],[ingrediente_ativo]]))</f>
        <v>TRIAZOFÓS</v>
      </c>
      <c r="J507" s="20" t="s">
        <v>4230</v>
      </c>
      <c r="K507" s="20" t="s">
        <v>4230</v>
      </c>
      <c r="L507" s="20" t="s">
        <v>4231</v>
      </c>
    </row>
    <row r="508" spans="5:12" x14ac:dyDescent="0.25">
      <c r="E508" s="958" t="s">
        <v>1985</v>
      </c>
      <c r="F508" s="958" t="s">
        <v>2543</v>
      </c>
      <c r="G508" s="20" t="s">
        <v>1983</v>
      </c>
      <c r="H508" s="472" t="s">
        <v>1984</v>
      </c>
      <c r="I508" s="700" t="str">
        <f>TRIM(UPPER(tb_ingredientes[[#This Row],[ingrediente_ativo]]))</f>
        <v>TRICICLAZOL</v>
      </c>
      <c r="J508" s="20" t="s">
        <v>3093</v>
      </c>
      <c r="K508" s="20" t="s">
        <v>3093</v>
      </c>
      <c r="L508" s="20" t="s">
        <v>4426</v>
      </c>
    </row>
    <row r="509" spans="5:12" x14ac:dyDescent="0.25">
      <c r="E509" s="957" t="s">
        <v>2012</v>
      </c>
      <c r="F509" s="957" t="s">
        <v>2552</v>
      </c>
      <c r="G509" s="20" t="s">
        <v>2010</v>
      </c>
      <c r="H509" s="472" t="s">
        <v>2011</v>
      </c>
      <c r="I509" s="700" t="str">
        <f>TRIM(UPPER(tb_ingredientes[[#This Row],[ingrediente_ativo]]))</f>
        <v>TRIFLURALINA</v>
      </c>
      <c r="J509" s="20" t="s">
        <v>3631</v>
      </c>
      <c r="K509" s="20" t="s">
        <v>3631</v>
      </c>
      <c r="L509" s="20" t="s">
        <v>3632</v>
      </c>
    </row>
    <row r="510" spans="5:12" x14ac:dyDescent="0.25">
      <c r="E510" s="958" t="s">
        <v>2015</v>
      </c>
      <c r="F510" s="958" t="s">
        <v>2553</v>
      </c>
      <c r="G510" s="20" t="s">
        <v>2013</v>
      </c>
      <c r="H510" s="472" t="s">
        <v>2014</v>
      </c>
      <c r="I510" s="700" t="str">
        <f>TRIM(UPPER(tb_ingredientes[[#This Row],[ingrediente_ativo]]))</f>
        <v>TRIFORINA</v>
      </c>
      <c r="J510" s="20" t="s">
        <v>3725</v>
      </c>
      <c r="K510" s="20" t="s">
        <v>3725</v>
      </c>
      <c r="L510" s="20" t="s">
        <v>3726</v>
      </c>
    </row>
    <row r="511" spans="5:12" x14ac:dyDescent="0.25">
      <c r="E511" s="957" t="s">
        <v>1994</v>
      </c>
      <c r="F511" s="957" t="s">
        <v>2546</v>
      </c>
      <c r="G511" s="20" t="s">
        <v>1992</v>
      </c>
      <c r="H511" s="472" t="s">
        <v>1993</v>
      </c>
      <c r="I511" s="700" t="str">
        <f>TRIM(UPPER(tb_ingredientes[[#This Row],[ingrediente_ativo]]))</f>
        <v>TRIDEMORFE</v>
      </c>
      <c r="J511" s="20" t="s">
        <v>3093</v>
      </c>
      <c r="K511" s="20" t="s">
        <v>3093</v>
      </c>
      <c r="L511" s="20" t="s">
        <v>5352</v>
      </c>
    </row>
    <row r="512" spans="5:12" x14ac:dyDescent="0.25">
      <c r="E512" s="957" t="s">
        <v>1988</v>
      </c>
      <c r="F512" s="957" t="s">
        <v>2544</v>
      </c>
      <c r="G512" s="20" t="s">
        <v>1986</v>
      </c>
      <c r="H512" s="472" t="s">
        <v>1987</v>
      </c>
      <c r="I512" s="700" t="str">
        <f>TRIM(UPPER(tb_ingredientes[[#This Row],[ingrediente_ativo]]))</f>
        <v>TRICLOPIR</v>
      </c>
      <c r="J512" s="20" t="s">
        <v>3093</v>
      </c>
      <c r="K512" s="20" t="s">
        <v>3093</v>
      </c>
      <c r="L512" s="20" t="s">
        <v>5353</v>
      </c>
    </row>
    <row r="513" spans="5:12" x14ac:dyDescent="0.25">
      <c r="E513" s="958" t="s">
        <v>1991</v>
      </c>
      <c r="F513" s="958" t="s">
        <v>2545</v>
      </c>
      <c r="G513" s="20" t="s">
        <v>1989</v>
      </c>
      <c r="H513" s="472" t="s">
        <v>1990</v>
      </c>
      <c r="I513" s="700" t="str">
        <f>TRIM(UPPER(tb_ingredientes[[#This Row],[ingrediente_ativo]]))</f>
        <v>TRICLOPIR-BUTOTÍLICO</v>
      </c>
      <c r="J513" s="20" t="s">
        <v>3093</v>
      </c>
      <c r="K513" s="20" t="s">
        <v>3093</v>
      </c>
      <c r="L513" s="20" t="s">
        <v>4503</v>
      </c>
    </row>
    <row r="514" spans="5:12" x14ac:dyDescent="0.25">
      <c r="E514" s="957" t="s">
        <v>1931</v>
      </c>
      <c r="F514" s="957" t="s">
        <v>2531</v>
      </c>
      <c r="G514" s="20" t="s">
        <v>1929</v>
      </c>
      <c r="H514" s="472" t="s">
        <v>1930</v>
      </c>
      <c r="I514" s="700" t="str">
        <f>TRIM(UPPER(tb_ingredientes[[#This Row],[ingrediente_ativo]]))</f>
        <v>TIOBENCARBE</v>
      </c>
      <c r="J514" s="20" t="s">
        <v>3093</v>
      </c>
      <c r="K514" s="20" t="s">
        <v>3093</v>
      </c>
      <c r="L514" s="20" t="s">
        <v>4503</v>
      </c>
    </row>
    <row r="515" spans="5:12" x14ac:dyDescent="0.25">
      <c r="E515" s="958" t="s">
        <v>1934</v>
      </c>
      <c r="F515" s="958" t="s">
        <v>2532</v>
      </c>
      <c r="G515" s="20" t="s">
        <v>1932</v>
      </c>
      <c r="H515" s="472" t="s">
        <v>1933</v>
      </c>
      <c r="I515" s="700" t="str">
        <f>TRIM(UPPER(tb_ingredientes[[#This Row],[ingrediente_ativo]]))</f>
        <v>TIODICARBE</v>
      </c>
      <c r="J515" s="20" t="s">
        <v>3093</v>
      </c>
      <c r="K515" s="20" t="s">
        <v>3093</v>
      </c>
      <c r="L515" s="20" t="s">
        <v>5310</v>
      </c>
    </row>
    <row r="516" spans="5:12" x14ac:dyDescent="0.25">
      <c r="E516" s="958" t="s">
        <v>1952</v>
      </c>
      <c r="F516" s="958" t="s">
        <v>2538</v>
      </c>
      <c r="G516" s="20" t="s">
        <v>1950</v>
      </c>
      <c r="H516" s="472" t="s">
        <v>1951</v>
      </c>
      <c r="I516" s="700" t="str">
        <f>TRIM(UPPER(tb_ingredientes[[#This Row],[ingrediente_ativo]]))</f>
        <v>TRIADIMENOL</v>
      </c>
      <c r="J516" s="20" t="s">
        <v>3093</v>
      </c>
      <c r="K516" s="20" t="s">
        <v>3093</v>
      </c>
      <c r="L516" s="20" t="s">
        <v>5312</v>
      </c>
    </row>
    <row r="517" spans="5:12" x14ac:dyDescent="0.25">
      <c r="E517" s="958" t="s">
        <v>1869</v>
      </c>
      <c r="F517" s="958" t="s">
        <v>2511</v>
      </c>
      <c r="G517" s="20" t="s">
        <v>1867</v>
      </c>
      <c r="H517" s="472" t="s">
        <v>1868</v>
      </c>
      <c r="I517" s="700" t="str">
        <f>TRIM(UPPER(tb_ingredientes[[#This Row],[ingrediente_ativo]]))</f>
        <v>TEBUCONAZOL</v>
      </c>
      <c r="J517" s="20" t="s">
        <v>3376</v>
      </c>
      <c r="K517" s="20" t="s">
        <v>3376</v>
      </c>
      <c r="L517" s="20" t="s">
        <v>3377</v>
      </c>
    </row>
    <row r="518" spans="5:12" x14ac:dyDescent="0.25">
      <c r="E518" s="958" t="s">
        <v>1881</v>
      </c>
      <c r="F518" s="958" t="s">
        <v>2515</v>
      </c>
      <c r="G518" s="20" t="s">
        <v>1879</v>
      </c>
      <c r="H518" s="472" t="s">
        <v>1880</v>
      </c>
      <c r="I518" s="700" t="str">
        <f>TRIM(UPPER(tb_ingredientes[[#This Row],[ingrediente_ativo]]))</f>
        <v>TEFLUBENZUROM</v>
      </c>
      <c r="J518" s="20" t="s">
        <v>2363</v>
      </c>
      <c r="K518" s="20" t="s">
        <v>2363</v>
      </c>
      <c r="L518" s="20" t="s">
        <v>4080</v>
      </c>
    </row>
    <row r="519" spans="5:12" x14ac:dyDescent="0.25">
      <c r="E519" s="958" t="s">
        <v>2009</v>
      </c>
      <c r="F519" s="958" t="s">
        <v>2551</v>
      </c>
      <c r="G519" s="20" t="s">
        <v>2007</v>
      </c>
      <c r="H519" s="472" t="s">
        <v>2008</v>
      </c>
      <c r="I519" s="700" t="str">
        <f>TRIM(UPPER(tb_ingredientes[[#This Row],[ingrediente_ativo]]))</f>
        <v>TRIFLUMUROM</v>
      </c>
      <c r="J519" s="20" t="s">
        <v>3278</v>
      </c>
      <c r="K519" s="20" t="s">
        <v>3278</v>
      </c>
      <c r="L519" s="20" t="s">
        <v>3279</v>
      </c>
    </row>
    <row r="520" spans="5:12" x14ac:dyDescent="0.25">
      <c r="E520" s="957" t="s">
        <v>2006</v>
      </c>
      <c r="F520" s="957" t="s">
        <v>2550</v>
      </c>
      <c r="G520" s="20" t="s">
        <v>2004</v>
      </c>
      <c r="H520" s="472" t="s">
        <v>2005</v>
      </c>
      <c r="I520" s="700" t="str">
        <f>TRIM(UPPER(tb_ingredientes[[#This Row],[ingrediente_ativo]]))</f>
        <v>TRIFLUMIZOL</v>
      </c>
      <c r="J520" s="20" t="s">
        <v>3057</v>
      </c>
      <c r="K520" s="20" t="s">
        <v>3057</v>
      </c>
      <c r="L520" s="20" t="s">
        <v>3058</v>
      </c>
    </row>
    <row r="521" spans="5:12" x14ac:dyDescent="0.25">
      <c r="E521" s="957" t="s">
        <v>1895</v>
      </c>
      <c r="F521" s="957" t="s">
        <v>2519</v>
      </c>
      <c r="G521" s="20" t="s">
        <v>1893</v>
      </c>
      <c r="H521" s="472" t="s">
        <v>1894</v>
      </c>
      <c r="I521" s="700" t="str">
        <f>TRIM(UPPER(tb_ingredientes[[#This Row],[ingrediente_ativo]]))</f>
        <v>TERBUFÓS</v>
      </c>
      <c r="J521" s="20" t="s">
        <v>4389</v>
      </c>
      <c r="K521" s="20" t="s">
        <v>4389</v>
      </c>
      <c r="L521" s="20" t="s">
        <v>4390</v>
      </c>
    </row>
    <row r="522" spans="5:12" x14ac:dyDescent="0.25">
      <c r="E522" s="957" t="s">
        <v>1943</v>
      </c>
      <c r="F522" s="957" t="s">
        <v>2535</v>
      </c>
      <c r="G522" s="20" t="s">
        <v>1941</v>
      </c>
      <c r="H522" s="472" t="s">
        <v>1942</v>
      </c>
      <c r="I522" s="700" t="str">
        <f>TRIM(UPPER(tb_ingredientes[[#This Row],[ingrediente_ativo]]))</f>
        <v>TOLIFLUANIDA</v>
      </c>
      <c r="J522" s="20" t="s">
        <v>5084</v>
      </c>
      <c r="K522" s="20" t="s">
        <v>5084</v>
      </c>
      <c r="L522" s="20" t="s">
        <v>5085</v>
      </c>
    </row>
    <row r="523" spans="5:12" x14ac:dyDescent="0.25">
      <c r="E523" s="958" t="s">
        <v>1898</v>
      </c>
      <c r="F523" s="958" t="s">
        <v>2520</v>
      </c>
      <c r="G523" s="20" t="s">
        <v>1896</v>
      </c>
      <c r="H523" s="472" t="s">
        <v>1897</v>
      </c>
      <c r="I523" s="700" t="str">
        <f>TRIM(UPPER(tb_ingredientes[[#This Row],[ingrediente_ativo]]))</f>
        <v>TERBUTILAZINA</v>
      </c>
      <c r="J523" s="20" t="s">
        <v>3093</v>
      </c>
      <c r="K523" s="20" t="s">
        <v>3093</v>
      </c>
      <c r="L523" s="20" t="s">
        <v>5354</v>
      </c>
    </row>
    <row r="524" spans="5:12" x14ac:dyDescent="0.25">
      <c r="E524" s="958" t="s">
        <v>2026</v>
      </c>
      <c r="F524" s="958" t="s">
        <v>2556</v>
      </c>
      <c r="G524" s="20" t="s">
        <v>2024</v>
      </c>
      <c r="H524" s="472" t="s">
        <v>2025</v>
      </c>
      <c r="I524" s="700" t="str">
        <f>TRIM(UPPER(tb_ingredientes[[#This Row],[ingrediente_ativo]]))</f>
        <v>TRITICONAZOL</v>
      </c>
      <c r="J524" s="20" t="s">
        <v>3093</v>
      </c>
      <c r="K524" s="20" t="s">
        <v>3093</v>
      </c>
      <c r="L524" s="20" t="s">
        <v>5355</v>
      </c>
    </row>
    <row r="525" spans="5:12" x14ac:dyDescent="0.25">
      <c r="E525" s="957" t="s">
        <v>1872</v>
      </c>
      <c r="F525" s="957" t="s">
        <v>2512</v>
      </c>
      <c r="G525" s="20" t="s">
        <v>1870</v>
      </c>
      <c r="H525" s="472" t="s">
        <v>1871</v>
      </c>
      <c r="I525" s="700" t="str">
        <f>TRIM(UPPER(tb_ingredientes[[#This Row],[ingrediente_ativo]]))</f>
        <v>TEBUFENOZIDA</v>
      </c>
      <c r="J525" s="20" t="s">
        <v>3629</v>
      </c>
      <c r="K525" s="20" t="s">
        <v>3629</v>
      </c>
      <c r="L525" s="20" t="s">
        <v>3630</v>
      </c>
    </row>
    <row r="526" spans="5:12" x14ac:dyDescent="0.25">
      <c r="E526" s="958" t="s">
        <v>1946</v>
      </c>
      <c r="F526" s="958" t="s">
        <v>2536</v>
      </c>
      <c r="G526" s="20" t="s">
        <v>1944</v>
      </c>
      <c r="H526" s="472" t="s">
        <v>1945</v>
      </c>
      <c r="I526" s="700" t="str">
        <f>TRIM(UPPER(tb_ingredientes[[#This Row],[ingrediente_ativo]]))</f>
        <v>TRANSFLUTRINA</v>
      </c>
      <c r="J526" s="20" t="s">
        <v>3708</v>
      </c>
      <c r="K526" s="20" t="s">
        <v>3708</v>
      </c>
      <c r="L526" s="20" t="s">
        <v>3709</v>
      </c>
    </row>
    <row r="527" spans="5:12" x14ac:dyDescent="0.25">
      <c r="E527" s="957" t="s">
        <v>1901</v>
      </c>
      <c r="F527" s="957" t="s">
        <v>2521</v>
      </c>
      <c r="G527" s="20" t="s">
        <v>1899</v>
      </c>
      <c r="H527" s="472" t="s">
        <v>1900</v>
      </c>
      <c r="I527" s="700" t="str">
        <f>TRIM(UPPER(tb_ingredientes[[#This Row],[ingrediente_ativo]]))</f>
        <v>TERRA DIATOMÁCEA</v>
      </c>
      <c r="J527" s="20" t="s">
        <v>4944</v>
      </c>
      <c r="K527" s="20" t="s">
        <v>4944</v>
      </c>
      <c r="L527" s="20" t="s">
        <v>4945</v>
      </c>
    </row>
    <row r="528" spans="5:12" x14ac:dyDescent="0.25">
      <c r="E528" s="958" t="s">
        <v>1922</v>
      </c>
      <c r="F528" s="958" t="s">
        <v>2528</v>
      </c>
      <c r="G528" s="20" t="s">
        <v>1920</v>
      </c>
      <c r="H528" s="472" t="s">
        <v>1921</v>
      </c>
      <c r="I528" s="700" t="str">
        <f>TRIM(UPPER(tb_ingredientes[[#This Row],[ingrediente_ativo]]))</f>
        <v>TIAZOPIR</v>
      </c>
      <c r="J528" s="20" t="s">
        <v>3627</v>
      </c>
      <c r="K528" s="20" t="s">
        <v>3627</v>
      </c>
      <c r="L528" s="20" t="s">
        <v>3628</v>
      </c>
    </row>
    <row r="529" spans="5:12" x14ac:dyDescent="0.25">
      <c r="E529" s="958" t="s">
        <v>1904</v>
      </c>
      <c r="F529" s="958" t="s">
        <v>2522</v>
      </c>
      <c r="G529" s="20" t="s">
        <v>1902</v>
      </c>
      <c r="H529" s="472" t="s">
        <v>1903</v>
      </c>
      <c r="I529" s="700" t="str">
        <f>TRIM(UPPER(tb_ingredientes[[#This Row],[ingrediente_ativo]]))</f>
        <v>TETRACONAZOL</v>
      </c>
      <c r="J529" s="20" t="s">
        <v>4018</v>
      </c>
      <c r="K529" s="20" t="s">
        <v>4018</v>
      </c>
      <c r="L529" s="20" t="s">
        <v>4019</v>
      </c>
    </row>
    <row r="530" spans="5:12" x14ac:dyDescent="0.25">
      <c r="E530" s="958" t="s">
        <v>1958</v>
      </c>
      <c r="F530" s="958" t="s">
        <v>2540</v>
      </c>
      <c r="G530" s="20" t="s">
        <v>1956</v>
      </c>
      <c r="H530" s="472" t="s">
        <v>1957</v>
      </c>
      <c r="I530" s="700" t="str">
        <f>TRIM(UPPER(tb_ingredientes[[#This Row],[ingrediente_ativo]]))</f>
        <v>TRIBROMOFENOL</v>
      </c>
      <c r="J530" s="20" t="s">
        <v>5082</v>
      </c>
      <c r="K530" s="20" t="s">
        <v>5082</v>
      </c>
      <c r="L530" s="20" t="s">
        <v>5083</v>
      </c>
    </row>
    <row r="531" spans="5:12" x14ac:dyDescent="0.25">
      <c r="E531" s="959" t="s">
        <v>1961</v>
      </c>
      <c r="F531" s="959" t="s">
        <v>2541</v>
      </c>
      <c r="G531" s="20" t="s">
        <v>1959</v>
      </c>
      <c r="H531" s="472" t="s">
        <v>1960</v>
      </c>
      <c r="I531" s="700" t="str">
        <f>TRIM(UPPER(tb_ingredientes[[#This Row],[ingrediente_ativo]]))</f>
        <v>TRIBROMOFENÓXIDO DE SÓDIO</v>
      </c>
      <c r="J531" s="20" t="s">
        <v>3093</v>
      </c>
      <c r="K531" s="20" t="s">
        <v>3093</v>
      </c>
      <c r="L531" s="20" t="s">
        <v>5372</v>
      </c>
    </row>
    <row r="532" spans="5:12" x14ac:dyDescent="0.25">
      <c r="E532" s="957" t="s">
        <v>1919</v>
      </c>
      <c r="F532" s="957" t="s">
        <v>2527</v>
      </c>
      <c r="G532" s="20" t="s">
        <v>1917</v>
      </c>
      <c r="H532" s="472" t="s">
        <v>1918</v>
      </c>
      <c r="I532" s="700" t="str">
        <f>TRIM(UPPER(tb_ingredientes[[#This Row],[ingrediente_ativo]]))</f>
        <v>TIAMETOXAM</v>
      </c>
      <c r="J532" s="20" t="s">
        <v>5387</v>
      </c>
      <c r="K532" s="20" t="s">
        <v>5387</v>
      </c>
      <c r="L532" s="20" t="s">
        <v>5388</v>
      </c>
    </row>
    <row r="533" spans="5:12" x14ac:dyDescent="0.25">
      <c r="E533" s="958" t="s">
        <v>1916</v>
      </c>
      <c r="F533" s="958" t="s">
        <v>2526</v>
      </c>
      <c r="G533" s="20" t="s">
        <v>1914</v>
      </c>
      <c r="H533" s="472" t="s">
        <v>1915</v>
      </c>
      <c r="I533" s="700" t="str">
        <f>TRIM(UPPER(tb_ingredientes[[#This Row],[ingrediente_ativo]]))</f>
        <v>TIACLOPRIDO</v>
      </c>
      <c r="J533" s="20" t="s">
        <v>3093</v>
      </c>
      <c r="K533" s="20" t="s">
        <v>3093</v>
      </c>
      <c r="L533" s="20" t="s">
        <v>4797</v>
      </c>
    </row>
    <row r="534" spans="5:12" x14ac:dyDescent="0.25">
      <c r="E534" s="958" t="s">
        <v>1892</v>
      </c>
      <c r="F534" s="958" t="s">
        <v>2518</v>
      </c>
      <c r="G534" s="20" t="s">
        <v>1890</v>
      </c>
      <c r="H534" s="472" t="s">
        <v>1891</v>
      </c>
      <c r="I534" s="700" t="str">
        <f>TRIM(UPPER(tb_ingredientes[[#This Row],[ingrediente_ativo]]))</f>
        <v>TEPRALOXIDIM</v>
      </c>
      <c r="J534" s="20" t="s">
        <v>2727</v>
      </c>
      <c r="K534" s="20" t="s">
        <v>2727</v>
      </c>
      <c r="L534" s="20" t="s">
        <v>2728</v>
      </c>
    </row>
    <row r="535" spans="5:12" x14ac:dyDescent="0.25">
      <c r="E535" s="957" t="s">
        <v>2018</v>
      </c>
      <c r="F535" s="957" t="s">
        <v>2554</v>
      </c>
      <c r="G535" s="20" t="s">
        <v>2016</v>
      </c>
      <c r="H535" s="472" t="s">
        <v>2017</v>
      </c>
      <c r="I535" s="700" t="str">
        <f>TRIM(UPPER(tb_ingredientes[[#This Row],[ingrediente_ativo]]))</f>
        <v>TRIMEDLURE</v>
      </c>
      <c r="J535" s="20" t="s">
        <v>3916</v>
      </c>
      <c r="K535" s="20" t="s">
        <v>3916</v>
      </c>
      <c r="L535" s="20" t="s">
        <v>3917</v>
      </c>
    </row>
    <row r="536" spans="5:12" x14ac:dyDescent="0.25">
      <c r="E536" s="958" t="s">
        <v>1928</v>
      </c>
      <c r="F536" s="958" t="s">
        <v>2530</v>
      </c>
      <c r="G536" s="20" t="s">
        <v>1926</v>
      </c>
      <c r="H536" s="472" t="s">
        <v>1927</v>
      </c>
      <c r="I536" s="700" t="str">
        <f>TRIM(UPPER(tb_ingredientes[[#This Row],[ingrediente_ativo]]))</f>
        <v>TIFLUZAMIDA</v>
      </c>
      <c r="J536" s="20" t="s">
        <v>2823</v>
      </c>
      <c r="K536" s="20" t="s">
        <v>2823</v>
      </c>
      <c r="L536" s="20" t="s">
        <v>2824</v>
      </c>
    </row>
    <row r="537" spans="5:12" x14ac:dyDescent="0.25">
      <c r="E537" s="957" t="s">
        <v>511</v>
      </c>
      <c r="F537" s="957" t="s">
        <v>2083</v>
      </c>
      <c r="G537" s="20" t="s">
        <v>509</v>
      </c>
      <c r="H537" s="472" t="s">
        <v>510</v>
      </c>
      <c r="I537" s="700" t="str">
        <f>TRIM(UPPER(tb_ingredientes[[#This Row],[ingrediente_ativo]]))</f>
        <v>(Z,Z,Z)-3,6,9-TRICOSATRIENO</v>
      </c>
      <c r="J537" s="20" t="s">
        <v>5389</v>
      </c>
      <c r="K537" s="20" t="s">
        <v>5389</v>
      </c>
      <c r="L537" s="20" t="s">
        <v>5390</v>
      </c>
    </row>
    <row r="538" spans="5:12" x14ac:dyDescent="0.25">
      <c r="E538" s="958" t="s">
        <v>2003</v>
      </c>
      <c r="F538" s="958" t="s">
        <v>2549</v>
      </c>
      <c r="G538" s="20" t="s">
        <v>2001</v>
      </c>
      <c r="H538" s="472" t="s">
        <v>2002</v>
      </c>
      <c r="I538" s="700" t="str">
        <f>TRIM(UPPER(tb_ingredientes[[#This Row],[ingrediente_ativo]]))</f>
        <v>TRIFLOXISTROBINA</v>
      </c>
      <c r="J538" s="20" t="s">
        <v>5012</v>
      </c>
      <c r="K538" s="20" t="s">
        <v>5012</v>
      </c>
      <c r="L538" s="20" t="s">
        <v>5013</v>
      </c>
    </row>
    <row r="539" spans="5:12" x14ac:dyDescent="0.25">
      <c r="E539" s="958" t="s">
        <v>1997</v>
      </c>
      <c r="F539" s="958" t="s">
        <v>2547</v>
      </c>
      <c r="G539" s="20" t="s">
        <v>1995</v>
      </c>
      <c r="H539" s="472" t="s">
        <v>1996</v>
      </c>
      <c r="I539" s="700" t="str">
        <f>TRIM(UPPER(tb_ingredientes[[#This Row],[ingrediente_ativo]]))</f>
        <v>TRIFLOXISSULFUROM</v>
      </c>
      <c r="J539" s="20" t="s">
        <v>2594</v>
      </c>
      <c r="K539" s="20" t="s">
        <v>2594</v>
      </c>
      <c r="L539" s="20" t="s">
        <v>2595</v>
      </c>
    </row>
    <row r="540" spans="5:12" x14ac:dyDescent="0.25">
      <c r="E540" s="957" t="s">
        <v>2000</v>
      </c>
      <c r="F540" s="957" t="s">
        <v>2548</v>
      </c>
      <c r="G540" s="20" t="s">
        <v>1998</v>
      </c>
      <c r="H540" s="472" t="s">
        <v>1999</v>
      </c>
      <c r="I540" s="700" t="str">
        <f>TRIM(UPPER(tb_ingredientes[[#This Row],[ingrediente_ativo]]))</f>
        <v>TRIFLOXISSULFUROM-SÓDICO</v>
      </c>
      <c r="J540" s="20" t="s">
        <v>3093</v>
      </c>
      <c r="K540" s="20" t="s">
        <v>3093</v>
      </c>
      <c r="L540" s="20" t="s">
        <v>5313</v>
      </c>
    </row>
    <row r="541" spans="5:12" x14ac:dyDescent="0.25">
      <c r="E541" s="958" t="s">
        <v>2021</v>
      </c>
      <c r="F541" s="958" t="s">
        <v>2555</v>
      </c>
      <c r="G541" s="20" t="s">
        <v>2019</v>
      </c>
      <c r="H541" s="472" t="s">
        <v>2020</v>
      </c>
      <c r="I541" s="700" t="str">
        <f>TRIM(UPPER(tb_ingredientes[[#This Row],[ingrediente_ativo]]))</f>
        <v>TRINEXAPAQUE-ETÍLICO</v>
      </c>
      <c r="J541" s="20" t="s">
        <v>2231</v>
      </c>
      <c r="K541" s="20" t="s">
        <v>2231</v>
      </c>
      <c r="L541" s="20" t="s">
        <v>3105</v>
      </c>
    </row>
    <row r="542" spans="5:12" x14ac:dyDescent="0.25">
      <c r="E542" s="958" t="s">
        <v>1875</v>
      </c>
      <c r="F542" s="958" t="s">
        <v>2513</v>
      </c>
      <c r="G542" s="20" t="s">
        <v>1873</v>
      </c>
      <c r="H542" s="472" t="s">
        <v>1874</v>
      </c>
      <c r="I542" s="700" t="str">
        <f>TRIM(UPPER(tb_ingredientes[[#This Row],[ingrediente_ativo]]))</f>
        <v>TEBUPIRINFÓS</v>
      </c>
      <c r="J542" s="20" t="s">
        <v>3108</v>
      </c>
      <c r="K542" s="20" t="s">
        <v>3108</v>
      </c>
      <c r="L542" s="20" t="s">
        <v>3109</v>
      </c>
    </row>
    <row r="543" spans="5:12" x14ac:dyDescent="0.25">
      <c r="E543" s="957" t="s">
        <v>1090</v>
      </c>
      <c r="F543" s="957" t="s">
        <v>2261</v>
      </c>
      <c r="G543" s="20" t="s">
        <v>1088</v>
      </c>
      <c r="H543" s="472" t="s">
        <v>1089</v>
      </c>
      <c r="I543" s="700" t="str">
        <f>TRIM(UPPER(tb_ingredientes[[#This Row],[ingrediente_ativo]]))</f>
        <v>D-TETRAMETRINA</v>
      </c>
      <c r="J543" s="20" t="s">
        <v>2857</v>
      </c>
      <c r="K543" s="20" t="s">
        <v>2857</v>
      </c>
      <c r="L543" s="20" t="s">
        <v>2858</v>
      </c>
    </row>
    <row r="544" spans="5:12" x14ac:dyDescent="0.25">
      <c r="E544" s="957" t="s">
        <v>1866</v>
      </c>
      <c r="F544" s="957" t="s">
        <v>2510</v>
      </c>
      <c r="G544" s="20" t="s">
        <v>1864</v>
      </c>
      <c r="H544" s="472" t="s">
        <v>1865</v>
      </c>
      <c r="I544" s="700" t="str">
        <f>TRIM(UPPER(tb_ingredientes[[#This Row],[ingrediente_ativo]]))</f>
        <v>TANINOS</v>
      </c>
      <c r="J544" s="20" t="s">
        <v>3073</v>
      </c>
      <c r="K544" s="20" t="s">
        <v>3073</v>
      </c>
      <c r="L544" s="20" t="s">
        <v>3074</v>
      </c>
    </row>
    <row r="545" spans="5:12" x14ac:dyDescent="0.25">
      <c r="E545" s="958" t="s">
        <v>1972</v>
      </c>
      <c r="F545" s="958" t="s">
        <v>2542</v>
      </c>
      <c r="G545" s="20" t="s">
        <v>1970</v>
      </c>
      <c r="H545" s="472" t="s">
        <v>1971</v>
      </c>
      <c r="I545" s="700" t="str">
        <f>TRIM(UPPER(tb_ingredientes[[#This Row],[ingrediente_ativo]]))</f>
        <v>TRICHODERMA HARZIANUM</v>
      </c>
      <c r="J545" s="20" t="s">
        <v>2843</v>
      </c>
      <c r="K545" s="20" t="s">
        <v>2843</v>
      </c>
      <c r="L545" s="20" t="s">
        <v>2844</v>
      </c>
    </row>
    <row r="546" spans="5:12" x14ac:dyDescent="0.25">
      <c r="E546" s="957" t="s">
        <v>1884</v>
      </c>
      <c r="F546" s="957" t="s">
        <v>2516</v>
      </c>
      <c r="G546" s="20" t="s">
        <v>1882</v>
      </c>
      <c r="H546" s="472" t="s">
        <v>1883</v>
      </c>
      <c r="I546" s="700" t="str">
        <f>TRIM(UPPER(tb_ingredientes[[#This Row],[ingrediente_ativo]]))</f>
        <v>TEMBOTRIONA</v>
      </c>
      <c r="J546" s="20" t="s">
        <v>4853</v>
      </c>
      <c r="K546" s="20" t="s">
        <v>4853</v>
      </c>
      <c r="L546" s="20" t="s">
        <v>4854</v>
      </c>
    </row>
    <row r="547" spans="5:12" x14ac:dyDescent="0.25">
      <c r="E547" s="958" t="s">
        <v>661</v>
      </c>
      <c r="F547" s="958" t="s">
        <v>661</v>
      </c>
      <c r="G547" s="20" t="s">
        <v>1979</v>
      </c>
      <c r="H547" s="472" t="s">
        <v>1980</v>
      </c>
      <c r="I547" s="700" t="str">
        <f>TRIM(UPPER(tb_ingredientes[[#This Row],[ingrediente_ativo]]))</f>
        <v>TRICHOGRAMMA GALLOI</v>
      </c>
      <c r="J547" s="20" t="s">
        <v>4506</v>
      </c>
      <c r="K547" s="20" t="s">
        <v>4506</v>
      </c>
      <c r="L547" s="20" t="s">
        <v>4507</v>
      </c>
    </row>
    <row r="548" spans="5:12" x14ac:dyDescent="0.25">
      <c r="E548" s="957" t="s">
        <v>661</v>
      </c>
      <c r="F548" s="957" t="s">
        <v>661</v>
      </c>
      <c r="G548" s="20" t="s">
        <v>1888</v>
      </c>
      <c r="H548" s="472" t="s">
        <v>1889</v>
      </c>
      <c r="I548" s="700" t="str">
        <f>TRIM(UPPER(tb_ingredientes[[#This Row],[ingrediente_ativo]]))</f>
        <v>TEPHROSIA CANDIDA</v>
      </c>
      <c r="J548" s="20" t="s">
        <v>3093</v>
      </c>
      <c r="K548" s="20" t="s">
        <v>3093</v>
      </c>
      <c r="L548" s="20" t="s">
        <v>4999</v>
      </c>
    </row>
    <row r="549" spans="5:12" x14ac:dyDescent="0.25">
      <c r="E549" s="958" t="s">
        <v>661</v>
      </c>
      <c r="F549" s="958" t="s">
        <v>661</v>
      </c>
      <c r="G549" s="20" t="s">
        <v>1962</v>
      </c>
      <c r="H549" s="472" t="s">
        <v>1963</v>
      </c>
      <c r="I549" s="700" t="str">
        <f>TRIM(UPPER(tb_ingredientes[[#This Row],[ingrediente_ativo]]))</f>
        <v>TRICHODERMA ASPERELLUM</v>
      </c>
      <c r="J549" s="20" t="s">
        <v>3099</v>
      </c>
      <c r="K549" s="20" t="s">
        <v>3099</v>
      </c>
      <c r="L549" s="20" t="s">
        <v>3100</v>
      </c>
    </row>
    <row r="550" spans="5:12" x14ac:dyDescent="0.25">
      <c r="E550" s="957" t="s">
        <v>661</v>
      </c>
      <c r="F550" s="957" t="s">
        <v>661</v>
      </c>
      <c r="G550" s="20" t="s">
        <v>1968</v>
      </c>
      <c r="H550" s="472" t="s">
        <v>1969</v>
      </c>
      <c r="I550" s="700" t="str">
        <f>TRIM(UPPER(tb_ingredientes[[#This Row],[ingrediente_ativo]]))</f>
        <v>TRICHODERMA ASPERELLUM (SAMUELS, LIECKF. &amp; NIRENBERG., 1999 ) ISOLADO T211 (CBMAI-840)</v>
      </c>
      <c r="J550" s="20" t="s">
        <v>3390</v>
      </c>
      <c r="K550" s="20" t="s">
        <v>3390</v>
      </c>
      <c r="L550" s="20" t="s">
        <v>3391</v>
      </c>
    </row>
    <row r="551" spans="5:12" x14ac:dyDescent="0.25">
      <c r="E551" s="958" t="s">
        <v>661</v>
      </c>
      <c r="F551" s="958" t="s">
        <v>661</v>
      </c>
      <c r="G551" s="20" t="s">
        <v>1966</v>
      </c>
      <c r="H551" s="472" t="s">
        <v>1967</v>
      </c>
      <c r="I551" s="700" t="str">
        <f>TRIM(UPPER(tb_ingredientes[[#This Row],[ingrediente_ativo]]))</f>
        <v>TRICHODERMA ASPERELLUM (SAMUELS, LIECKF. &amp; NIRENBERG., 1999 ) ISOLADO SF04 (URM-5911)</v>
      </c>
      <c r="J551" s="20" t="s">
        <v>3093</v>
      </c>
      <c r="K551" s="20" t="s">
        <v>3093</v>
      </c>
      <c r="L551" s="20" t="s">
        <v>3454</v>
      </c>
    </row>
    <row r="552" spans="5:12" x14ac:dyDescent="0.25">
      <c r="E552" s="957" t="s">
        <v>661</v>
      </c>
      <c r="F552" s="957" t="s">
        <v>661</v>
      </c>
      <c r="G552" s="20" t="s">
        <v>1964</v>
      </c>
      <c r="H552" s="472" t="s">
        <v>1965</v>
      </c>
      <c r="I552" s="700" t="str">
        <f>TRIM(UPPER(tb_ingredientes[[#This Row],[ingrediente_ativo]]))</f>
        <v>TRICHODERMA ASPERELLUM (SAMUELS, LIECKF. &amp; NIRENBERG., 1999 ) ISOLADO BV-1</v>
      </c>
      <c r="J552" s="20" t="s">
        <v>3093</v>
      </c>
      <c r="K552" s="20" t="s">
        <v>3093</v>
      </c>
      <c r="L552" s="20" t="s">
        <v>4477</v>
      </c>
    </row>
    <row r="553" spans="5:12" x14ac:dyDescent="0.25">
      <c r="E553" s="958" t="s">
        <v>661</v>
      </c>
      <c r="F553" s="958" t="s">
        <v>661</v>
      </c>
      <c r="G553" s="20" t="s">
        <v>1975</v>
      </c>
      <c r="H553" s="472" t="s">
        <v>1976</v>
      </c>
      <c r="I553" s="700" t="str">
        <f>TRIM(UPPER(tb_ingredientes[[#This Row],[ingrediente_ativo]]))</f>
        <v>TRICHODERMA STROMATICUM</v>
      </c>
      <c r="J553" s="20" t="s">
        <v>3797</v>
      </c>
      <c r="K553" s="20" t="s">
        <v>3797</v>
      </c>
      <c r="L553" s="20" t="s">
        <v>3798</v>
      </c>
    </row>
    <row r="554" spans="5:12" x14ac:dyDescent="0.25">
      <c r="E554" s="957" t="s">
        <v>661</v>
      </c>
      <c r="F554" s="957" t="s">
        <v>661</v>
      </c>
      <c r="G554" s="20" t="s">
        <v>1977</v>
      </c>
      <c r="H554" s="472" t="s">
        <v>1978</v>
      </c>
      <c r="I554" s="700" t="str">
        <f>TRIM(UPPER(tb_ingredientes[[#This Row],[ingrediente_ativo]]))</f>
        <v>TRICHODERMA STROMATICUM SAMUELS &amp; PARDO-SCHULTHEISS ISOLADO CEPLAC 3550</v>
      </c>
      <c r="J554" s="20" t="s">
        <v>2564</v>
      </c>
      <c r="K554" s="20" t="s">
        <v>2564</v>
      </c>
      <c r="L554" s="20" t="s">
        <v>2565</v>
      </c>
    </row>
    <row r="555" spans="5:12" x14ac:dyDescent="0.25">
      <c r="E555" s="957" t="s">
        <v>661</v>
      </c>
      <c r="F555" s="957" t="s">
        <v>661</v>
      </c>
      <c r="G555" s="20" t="s">
        <v>1981</v>
      </c>
      <c r="H555" s="472" t="s">
        <v>1982</v>
      </c>
      <c r="I555" s="700" t="str">
        <f>TRIM(UPPER(tb_ingredientes[[#This Row],[ingrediente_ativo]]))</f>
        <v>TRICHOGRAMMA PRETIOSUM</v>
      </c>
      <c r="J555" s="20" t="s">
        <v>2578</v>
      </c>
      <c r="K555" s="20" t="s">
        <v>2578</v>
      </c>
      <c r="L555" s="20" t="s">
        <v>2579</v>
      </c>
    </row>
    <row r="556" spans="5:12" x14ac:dyDescent="0.25">
      <c r="E556" s="957" t="s">
        <v>661</v>
      </c>
      <c r="F556" s="957" t="s">
        <v>661</v>
      </c>
      <c r="G556" s="20" t="s">
        <v>1973</v>
      </c>
      <c r="H556" s="472" t="s">
        <v>1974</v>
      </c>
      <c r="I556" s="700" t="str">
        <f>TRIM(UPPER(tb_ingredientes[[#This Row],[ingrediente_ativo]]))</f>
        <v>TRICHODERMA KONINGIOPSIS</v>
      </c>
      <c r="J556" s="20" t="s">
        <v>5252</v>
      </c>
      <c r="K556" s="20" t="s">
        <v>5252</v>
      </c>
      <c r="L556" s="20" t="s">
        <v>5253</v>
      </c>
    </row>
    <row r="557" spans="5:12" x14ac:dyDescent="0.25">
      <c r="E557" s="957" t="s">
        <v>661</v>
      </c>
      <c r="F557" s="957" t="s">
        <v>661</v>
      </c>
      <c r="G557" s="20" t="s">
        <v>2022</v>
      </c>
      <c r="H557" s="472" t="s">
        <v>2023</v>
      </c>
      <c r="I557" s="700" t="str">
        <f>TRIM(UPPER(tb_ingredientes[[#This Row],[ingrediente_ativo]]))</f>
        <v>TRISSOLCUS BASALIS</v>
      </c>
      <c r="J557" s="20" t="s">
        <v>4831</v>
      </c>
      <c r="K557" s="20" t="s">
        <v>4831</v>
      </c>
      <c r="L557" s="20" t="s">
        <v>4832</v>
      </c>
    </row>
    <row r="558" spans="5:12" x14ac:dyDescent="0.25">
      <c r="E558" s="958" t="s">
        <v>661</v>
      </c>
      <c r="F558" s="958" t="s">
        <v>661</v>
      </c>
      <c r="G558" s="20" t="s">
        <v>7235</v>
      </c>
      <c r="H558" s="472" t="s">
        <v>7237</v>
      </c>
      <c r="I558" s="700" t="str">
        <f>TRIM(UPPER(tb_ingredientes[[#This Row],[ingrediente_ativo]]))</f>
        <v>TELONOMUS PODISI</v>
      </c>
      <c r="J558" s="20" t="s">
        <v>3093</v>
      </c>
      <c r="K558" s="20" t="s">
        <v>3093</v>
      </c>
      <c r="L558" s="20" t="s">
        <v>5314</v>
      </c>
    </row>
    <row r="559" spans="5:12" x14ac:dyDescent="0.25">
      <c r="E559" s="958" t="s">
        <v>7239</v>
      </c>
      <c r="F559" s="958" t="s">
        <v>7240</v>
      </c>
      <c r="G559" s="20" t="s">
        <v>7236</v>
      </c>
      <c r="H559" s="472" t="s">
        <v>7238</v>
      </c>
      <c r="I559" s="700" t="str">
        <f>TRIM(UPPER(tb_ingredientes[[#This Row],[ingrediente_ativo]]))</f>
        <v>TOLFENPIRADE</v>
      </c>
      <c r="J559" s="20" t="s">
        <v>2951</v>
      </c>
      <c r="K559" s="20" t="s">
        <v>2951</v>
      </c>
      <c r="L559" s="20" t="s">
        <v>2952</v>
      </c>
    </row>
    <row r="560" spans="5:12" x14ac:dyDescent="0.25">
      <c r="E560" s="958" t="s">
        <v>7243</v>
      </c>
      <c r="F560" s="958" t="s">
        <v>7244</v>
      </c>
      <c r="G560" s="20" t="s">
        <v>7241</v>
      </c>
      <c r="H560" s="472" t="s">
        <v>7242</v>
      </c>
      <c r="I560" s="700" t="str">
        <f>TRIM(UPPER(tb_ingredientes[[#This Row],[ingrediente_ativo]]))</f>
        <v>TIENCARBAZONA METÍLICA</v>
      </c>
      <c r="J560" s="20" t="s">
        <v>5101</v>
      </c>
      <c r="K560" s="20" t="s">
        <v>5101</v>
      </c>
      <c r="L560" s="20" t="s">
        <v>5102</v>
      </c>
    </row>
    <row r="561" spans="5:12" x14ac:dyDescent="0.25">
      <c r="E561" s="958" t="s">
        <v>7247</v>
      </c>
      <c r="F561" s="958" t="s">
        <v>2912</v>
      </c>
      <c r="G561" s="20" t="s">
        <v>7245</v>
      </c>
      <c r="H561" s="472" t="s">
        <v>7246</v>
      </c>
      <c r="I561" s="700" t="str">
        <f>TRIM(UPPER(tb_ingredientes[[#This Row],[ingrediente_ativo]]))</f>
        <v>1-TETRADECANOL</v>
      </c>
      <c r="J561" s="20" t="s">
        <v>3093</v>
      </c>
      <c r="K561" s="20" t="s">
        <v>3093</v>
      </c>
      <c r="L561" s="20" t="s">
        <v>4166</v>
      </c>
    </row>
    <row r="562" spans="5:12" x14ac:dyDescent="0.25">
      <c r="E562" s="958" t="s">
        <v>661</v>
      </c>
      <c r="F562" s="958" t="s">
        <v>661</v>
      </c>
      <c r="G562" s="20" t="s">
        <v>7248</v>
      </c>
      <c r="H562" s="472" t="s">
        <v>7249</v>
      </c>
      <c r="I562" s="700" t="str">
        <f>TRIM(UPPER(tb_ingredientes[[#This Row],[ingrediente_ativo]]))</f>
        <v>TRICHODERMA AFROHARZIANUM</v>
      </c>
      <c r="J562" s="20" t="s">
        <v>2521</v>
      </c>
      <c r="K562" s="20" t="s">
        <v>2521</v>
      </c>
      <c r="L562" s="20" t="s">
        <v>4449</v>
      </c>
    </row>
    <row r="563" spans="5:12" x14ac:dyDescent="0.25">
      <c r="E563" s="958" t="s">
        <v>661</v>
      </c>
      <c r="F563" s="958" t="s">
        <v>661</v>
      </c>
      <c r="G563" s="20" t="s">
        <v>7250</v>
      </c>
      <c r="H563" s="472" t="s">
        <v>7254</v>
      </c>
      <c r="I563" s="700" t="str">
        <f>TRIM(UPPER(tb_ingredientes[[#This Row],[ingrediente_ativo]]))</f>
        <v>TRICHOSPILUS DIATRAEAE</v>
      </c>
      <c r="J563" s="20" t="s">
        <v>5156</v>
      </c>
      <c r="K563" s="20" t="s">
        <v>5156</v>
      </c>
      <c r="L563" s="20" t="s">
        <v>5157</v>
      </c>
    </row>
    <row r="564" spans="5:12" x14ac:dyDescent="0.25">
      <c r="E564" s="958" t="s">
        <v>661</v>
      </c>
      <c r="F564" s="958" t="s">
        <v>661</v>
      </c>
      <c r="G564" s="20" t="s">
        <v>7251</v>
      </c>
      <c r="H564" s="472" t="s">
        <v>7255</v>
      </c>
      <c r="I564" s="700" t="str">
        <f>TRIM(UPPER(tb_ingredientes[[#This Row],[ingrediente_ativo]]))</f>
        <v>TRICHODERMA ATROVIRIDE</v>
      </c>
      <c r="J564" s="20" t="s">
        <v>4918</v>
      </c>
      <c r="K564" s="20" t="s">
        <v>4918</v>
      </c>
      <c r="L564" s="20" t="s">
        <v>4919</v>
      </c>
    </row>
    <row r="565" spans="5:12" x14ac:dyDescent="0.25">
      <c r="E565" s="958" t="s">
        <v>661</v>
      </c>
      <c r="F565" s="958" t="s">
        <v>661</v>
      </c>
      <c r="G565" s="20" t="s">
        <v>7252</v>
      </c>
      <c r="H565" s="472" t="s">
        <v>7257</v>
      </c>
      <c r="I565" s="700" t="str">
        <f>TRIM(UPPER(tb_ingredientes[[#This Row],[ingrediente_ativo]]))</f>
        <v>TETRASTICHUS HOWARDI</v>
      </c>
      <c r="J565" s="20" t="s">
        <v>5099</v>
      </c>
      <c r="K565" s="20" t="s">
        <v>5099</v>
      </c>
      <c r="L565" s="20" t="s">
        <v>5100</v>
      </c>
    </row>
    <row r="566" spans="5:12" x14ac:dyDescent="0.25">
      <c r="E566" s="958" t="s">
        <v>661</v>
      </c>
      <c r="F566" s="958" t="s">
        <v>661</v>
      </c>
      <c r="G566" s="20" t="s">
        <v>7253</v>
      </c>
      <c r="H566" s="472" t="s">
        <v>7256</v>
      </c>
      <c r="I566" s="700" t="str">
        <f>TRIM(UPPER(tb_ingredientes[[#This Row],[ingrediente_ativo]]))</f>
        <v>TRICHODERMA VIRIDE</v>
      </c>
      <c r="J566" s="20" t="s">
        <v>4135</v>
      </c>
      <c r="K566" s="20" t="s">
        <v>4135</v>
      </c>
      <c r="L566" s="20" t="s">
        <v>4136</v>
      </c>
    </row>
    <row r="567" spans="5:12" x14ac:dyDescent="0.25">
      <c r="E567" s="958" t="s">
        <v>7260</v>
      </c>
      <c r="F567" s="958" t="s">
        <v>7260</v>
      </c>
      <c r="G567" s="20" t="s">
        <v>7258</v>
      </c>
      <c r="H567" s="472" t="s">
        <v>7259</v>
      </c>
      <c r="I567" s="700" t="str">
        <f>TRIM(UPPER(tb_ingredientes[[#This Row],[ingrediente_ativo]]))</f>
        <v>TIAFENACIL</v>
      </c>
      <c r="J567" s="20" t="s">
        <v>4408</v>
      </c>
      <c r="K567" s="20" t="s">
        <v>4408</v>
      </c>
      <c r="L567" s="20" t="s">
        <v>4409</v>
      </c>
    </row>
    <row r="568" spans="5:12" x14ac:dyDescent="0.25">
      <c r="E568" s="958" t="s">
        <v>2031</v>
      </c>
      <c r="F568" s="958" t="s">
        <v>2557</v>
      </c>
      <c r="G568" s="20" t="s">
        <v>2029</v>
      </c>
      <c r="H568" s="472" t="s">
        <v>2030</v>
      </c>
      <c r="I568" s="700" t="str">
        <f>TRIM(UPPER(tb_ingredientes[[#This Row],[ingrediente_ativo]]))</f>
        <v>ZOXAMIDA</v>
      </c>
      <c r="J568" s="20" t="s">
        <v>4377</v>
      </c>
      <c r="K568" s="20" t="s">
        <v>4377</v>
      </c>
      <c r="L568" s="20" t="s">
        <v>4378</v>
      </c>
    </row>
    <row r="569" spans="5:12" x14ac:dyDescent="0.25">
      <c r="J569" s="20" t="s">
        <v>2865</v>
      </c>
      <c r="K569" s="20" t="s">
        <v>2865</v>
      </c>
      <c r="L569" s="20" t="s">
        <v>2866</v>
      </c>
    </row>
    <row r="570" spans="5:12" x14ac:dyDescent="0.25">
      <c r="J570" s="20" t="s">
        <v>2685</v>
      </c>
      <c r="K570" s="20" t="s">
        <v>2685</v>
      </c>
      <c r="L570" s="20" t="s">
        <v>2686</v>
      </c>
    </row>
    <row r="571" spans="5:12" x14ac:dyDescent="0.25">
      <c r="J571" s="20" t="s">
        <v>5258</v>
      </c>
      <c r="K571" s="20" t="s">
        <v>5258</v>
      </c>
      <c r="L571" s="20" t="s">
        <v>5259</v>
      </c>
    </row>
    <row r="572" spans="5:12" x14ac:dyDescent="0.25">
      <c r="J572" s="20" t="s">
        <v>2867</v>
      </c>
      <c r="K572" s="20" t="s">
        <v>2867</v>
      </c>
      <c r="L572" s="20" t="s">
        <v>2868</v>
      </c>
    </row>
    <row r="573" spans="5:12" x14ac:dyDescent="0.25">
      <c r="J573" s="20" t="s">
        <v>2899</v>
      </c>
      <c r="K573" s="20" t="s">
        <v>2899</v>
      </c>
      <c r="L573" s="20" t="s">
        <v>2900</v>
      </c>
    </row>
    <row r="574" spans="5:12" x14ac:dyDescent="0.25">
      <c r="J574" s="20" t="s">
        <v>2881</v>
      </c>
      <c r="K574" s="20" t="s">
        <v>2881</v>
      </c>
      <c r="L574" s="20" t="s">
        <v>2882</v>
      </c>
    </row>
    <row r="575" spans="5:12" x14ac:dyDescent="0.25">
      <c r="J575" s="20" t="s">
        <v>2875</v>
      </c>
      <c r="K575" s="20" t="s">
        <v>2875</v>
      </c>
      <c r="L575" s="20" t="s">
        <v>2876</v>
      </c>
    </row>
    <row r="576" spans="5:12" x14ac:dyDescent="0.25">
      <c r="J576" s="20" t="s">
        <v>4224</v>
      </c>
      <c r="K576" s="20" t="s">
        <v>4224</v>
      </c>
      <c r="L576" s="20" t="s">
        <v>4225</v>
      </c>
    </row>
    <row r="577" spans="10:12" x14ac:dyDescent="0.25">
      <c r="J577" s="20" t="s">
        <v>4144</v>
      </c>
      <c r="K577" s="20" t="s">
        <v>4144</v>
      </c>
      <c r="L577" s="20" t="s">
        <v>4145</v>
      </c>
    </row>
    <row r="578" spans="10:12" x14ac:dyDescent="0.25">
      <c r="J578" s="20" t="s">
        <v>3023</v>
      </c>
      <c r="K578" s="20" t="s">
        <v>3023</v>
      </c>
      <c r="L578" s="20" t="s">
        <v>3024</v>
      </c>
    </row>
    <row r="579" spans="10:12" x14ac:dyDescent="0.25">
      <c r="J579" s="20" t="s">
        <v>2819</v>
      </c>
      <c r="K579" s="20" t="s">
        <v>2819</v>
      </c>
      <c r="L579" s="20" t="s">
        <v>2820</v>
      </c>
    </row>
    <row r="580" spans="10:12" x14ac:dyDescent="0.25">
      <c r="J580" s="20" t="s">
        <v>4205</v>
      </c>
      <c r="K580" s="20" t="s">
        <v>4205</v>
      </c>
      <c r="L580" s="20" t="s">
        <v>4206</v>
      </c>
    </row>
    <row r="581" spans="10:12" x14ac:dyDescent="0.25">
      <c r="J581" s="20" t="s">
        <v>4296</v>
      </c>
      <c r="K581" s="20" t="s">
        <v>4296</v>
      </c>
      <c r="L581" s="20" t="s">
        <v>4297</v>
      </c>
    </row>
    <row r="582" spans="10:12" x14ac:dyDescent="0.25">
      <c r="J582" s="20" t="s">
        <v>4256</v>
      </c>
      <c r="K582" s="20" t="s">
        <v>4256</v>
      </c>
      <c r="L582" s="20" t="s">
        <v>4257</v>
      </c>
    </row>
    <row r="583" spans="10:12" x14ac:dyDescent="0.25">
      <c r="J583" s="20" t="s">
        <v>4826</v>
      </c>
      <c r="K583" s="20" t="s">
        <v>4826</v>
      </c>
      <c r="L583" s="20" t="s">
        <v>4257</v>
      </c>
    </row>
    <row r="584" spans="10:12" x14ac:dyDescent="0.25">
      <c r="J584" s="20" t="s">
        <v>3482</v>
      </c>
      <c r="K584" s="20" t="s">
        <v>3482</v>
      </c>
      <c r="L584" s="20" t="s">
        <v>3483</v>
      </c>
    </row>
    <row r="585" spans="10:12" x14ac:dyDescent="0.25">
      <c r="J585" s="20" t="s">
        <v>3258</v>
      </c>
      <c r="K585" s="20" t="s">
        <v>3258</v>
      </c>
      <c r="L585" s="20" t="s">
        <v>3259</v>
      </c>
    </row>
    <row r="586" spans="10:12" x14ac:dyDescent="0.25">
      <c r="J586" s="20" t="s">
        <v>5110</v>
      </c>
      <c r="K586" s="20" t="s">
        <v>5110</v>
      </c>
      <c r="L586" s="20" t="s">
        <v>5111</v>
      </c>
    </row>
    <row r="587" spans="10:12" x14ac:dyDescent="0.25">
      <c r="J587" s="20" t="s">
        <v>2795</v>
      </c>
      <c r="K587" s="20" t="s">
        <v>2795</v>
      </c>
      <c r="L587" s="20" t="s">
        <v>2796</v>
      </c>
    </row>
    <row r="588" spans="10:12" x14ac:dyDescent="0.25">
      <c r="J588" s="20" t="s">
        <v>2920</v>
      </c>
      <c r="K588" s="20" t="s">
        <v>2920</v>
      </c>
      <c r="L588" s="20" t="s">
        <v>2921</v>
      </c>
    </row>
    <row r="589" spans="10:12" x14ac:dyDescent="0.25">
      <c r="J589" s="20" t="s">
        <v>4639</v>
      </c>
      <c r="K589" s="20" t="s">
        <v>4639</v>
      </c>
      <c r="L589" s="20" t="s">
        <v>4640</v>
      </c>
    </row>
    <row r="590" spans="10:12" x14ac:dyDescent="0.25">
      <c r="J590" s="20" t="s">
        <v>2616</v>
      </c>
      <c r="K590" s="20" t="s">
        <v>2616</v>
      </c>
      <c r="L590" s="20" t="s">
        <v>2617</v>
      </c>
    </row>
    <row r="591" spans="10:12" x14ac:dyDescent="0.25">
      <c r="J591" s="20" t="s">
        <v>2977</v>
      </c>
      <c r="K591" s="20" t="s">
        <v>2977</v>
      </c>
      <c r="L591" s="20" t="s">
        <v>2978</v>
      </c>
    </row>
    <row r="592" spans="10:12" x14ac:dyDescent="0.25">
      <c r="J592" s="20" t="s">
        <v>4220</v>
      </c>
      <c r="K592" s="20" t="s">
        <v>4220</v>
      </c>
      <c r="L592" s="20" t="s">
        <v>4221</v>
      </c>
    </row>
    <row r="593" spans="10:12" x14ac:dyDescent="0.25">
      <c r="J593" s="20" t="s">
        <v>3093</v>
      </c>
      <c r="K593" s="20" t="s">
        <v>3093</v>
      </c>
      <c r="L593" s="20" t="s">
        <v>4238</v>
      </c>
    </row>
    <row r="594" spans="10:12" x14ac:dyDescent="0.25">
      <c r="J594" s="20" t="s">
        <v>2647</v>
      </c>
      <c r="K594" s="20" t="s">
        <v>2647</v>
      </c>
      <c r="L594" s="20" t="s">
        <v>2648</v>
      </c>
    </row>
    <row r="595" spans="10:12" x14ac:dyDescent="0.25">
      <c r="J595" s="20" t="s">
        <v>3093</v>
      </c>
      <c r="K595" s="20" t="s">
        <v>3093</v>
      </c>
      <c r="L595" s="20" t="s">
        <v>5182</v>
      </c>
    </row>
    <row r="596" spans="10:12" x14ac:dyDescent="0.25">
      <c r="J596" s="20" t="s">
        <v>3556</v>
      </c>
      <c r="K596" s="20" t="s">
        <v>3556</v>
      </c>
      <c r="L596" s="20" t="s">
        <v>3557</v>
      </c>
    </row>
    <row r="597" spans="10:12" x14ac:dyDescent="0.25">
      <c r="J597" s="20" t="s">
        <v>2851</v>
      </c>
      <c r="K597" s="20" t="s">
        <v>2851</v>
      </c>
      <c r="L597" s="20" t="s">
        <v>2852</v>
      </c>
    </row>
    <row r="598" spans="10:12" x14ac:dyDescent="0.25">
      <c r="J598" s="20" t="s">
        <v>4121</v>
      </c>
      <c r="K598" s="20" t="s">
        <v>4121</v>
      </c>
      <c r="L598" s="20" t="s">
        <v>2852</v>
      </c>
    </row>
    <row r="599" spans="10:12" x14ac:dyDescent="0.25">
      <c r="J599" s="20" t="s">
        <v>4212</v>
      </c>
      <c r="K599" s="20" t="s">
        <v>4212</v>
      </c>
      <c r="L599" s="20" t="s">
        <v>4213</v>
      </c>
    </row>
    <row r="600" spans="10:12" x14ac:dyDescent="0.25">
      <c r="J600" s="20" t="s">
        <v>4270</v>
      </c>
      <c r="K600" s="20" t="s">
        <v>4270</v>
      </c>
      <c r="L600" s="20" t="s">
        <v>4271</v>
      </c>
    </row>
    <row r="601" spans="10:12" x14ac:dyDescent="0.25">
      <c r="J601" s="20" t="s">
        <v>4294</v>
      </c>
      <c r="K601" s="20" t="s">
        <v>4294</v>
      </c>
      <c r="L601" s="20" t="s">
        <v>4295</v>
      </c>
    </row>
    <row r="602" spans="10:12" x14ac:dyDescent="0.25">
      <c r="J602" s="20" t="s">
        <v>4829</v>
      </c>
      <c r="K602" s="20" t="s">
        <v>4829</v>
      </c>
      <c r="L602" s="20" t="s">
        <v>4830</v>
      </c>
    </row>
    <row r="603" spans="10:12" x14ac:dyDescent="0.25">
      <c r="J603" s="20" t="s">
        <v>3515</v>
      </c>
      <c r="K603" s="20" t="s">
        <v>3515</v>
      </c>
      <c r="L603" s="20" t="s">
        <v>3516</v>
      </c>
    </row>
    <row r="604" spans="10:12" x14ac:dyDescent="0.25">
      <c r="J604" s="20" t="s">
        <v>3093</v>
      </c>
      <c r="K604" s="20" t="s">
        <v>3093</v>
      </c>
      <c r="L604" s="20" t="s">
        <v>4243</v>
      </c>
    </row>
    <row r="605" spans="10:12" x14ac:dyDescent="0.25">
      <c r="J605" s="20" t="s">
        <v>3093</v>
      </c>
      <c r="K605" s="20" t="s">
        <v>3093</v>
      </c>
      <c r="L605" s="20" t="s">
        <v>4913</v>
      </c>
    </row>
    <row r="606" spans="10:12" x14ac:dyDescent="0.25">
      <c r="J606" s="20" t="s">
        <v>3957</v>
      </c>
      <c r="K606" s="20" t="s">
        <v>3957</v>
      </c>
      <c r="L606" s="20" t="s">
        <v>3958</v>
      </c>
    </row>
    <row r="607" spans="10:12" x14ac:dyDescent="0.25">
      <c r="J607" s="20" t="s">
        <v>3268</v>
      </c>
      <c r="K607" s="20" t="s">
        <v>3268</v>
      </c>
      <c r="L607" s="20" t="s">
        <v>3269</v>
      </c>
    </row>
    <row r="608" spans="10:12" x14ac:dyDescent="0.25">
      <c r="J608" s="20" t="s">
        <v>4521</v>
      </c>
      <c r="K608" s="20" t="s">
        <v>4521</v>
      </c>
      <c r="L608" s="20" t="s">
        <v>4522</v>
      </c>
    </row>
    <row r="609" spans="10:12" x14ac:dyDescent="0.25">
      <c r="J609" s="20" t="s">
        <v>4806</v>
      </c>
      <c r="K609" s="20" t="s">
        <v>4806</v>
      </c>
      <c r="L609" s="20" t="s">
        <v>4807</v>
      </c>
    </row>
    <row r="610" spans="10:12" x14ac:dyDescent="0.25">
      <c r="J610" s="20" t="s">
        <v>5202</v>
      </c>
      <c r="K610" s="20" t="s">
        <v>5202</v>
      </c>
      <c r="L610" s="20" t="s">
        <v>5203</v>
      </c>
    </row>
    <row r="611" spans="10:12" x14ac:dyDescent="0.25">
      <c r="J611" s="20" t="s">
        <v>5207</v>
      </c>
      <c r="K611" s="20" t="s">
        <v>5207</v>
      </c>
      <c r="L611" s="20" t="s">
        <v>5203</v>
      </c>
    </row>
    <row r="612" spans="10:12" x14ac:dyDescent="0.25">
      <c r="J612" s="20" t="s">
        <v>4545</v>
      </c>
      <c r="K612" s="20" t="s">
        <v>4545</v>
      </c>
      <c r="L612" s="20" t="s">
        <v>4546</v>
      </c>
    </row>
    <row r="613" spans="10:12" x14ac:dyDescent="0.25">
      <c r="J613" s="20" t="s">
        <v>4536</v>
      </c>
      <c r="K613" s="20" t="s">
        <v>4536</v>
      </c>
      <c r="L613" s="20" t="s">
        <v>4537</v>
      </c>
    </row>
    <row r="614" spans="10:12" x14ac:dyDescent="0.25">
      <c r="J614" s="20" t="s">
        <v>4952</v>
      </c>
      <c r="K614" s="20" t="s">
        <v>4952</v>
      </c>
      <c r="L614" s="20" t="s">
        <v>4953</v>
      </c>
    </row>
    <row r="615" spans="10:12" x14ac:dyDescent="0.25">
      <c r="J615" s="20" t="s">
        <v>4547</v>
      </c>
      <c r="K615" s="20" t="s">
        <v>4547</v>
      </c>
      <c r="L615" s="20" t="s">
        <v>4548</v>
      </c>
    </row>
    <row r="616" spans="10:12" x14ac:dyDescent="0.25">
      <c r="J616" s="20" t="s">
        <v>4534</v>
      </c>
      <c r="K616" s="20" t="s">
        <v>4534</v>
      </c>
      <c r="L616" s="20" t="s">
        <v>4535</v>
      </c>
    </row>
    <row r="617" spans="10:12" x14ac:dyDescent="0.25">
      <c r="J617" s="20" t="s">
        <v>4573</v>
      </c>
      <c r="K617" s="20" t="s">
        <v>4573</v>
      </c>
      <c r="L617" s="20" t="s">
        <v>4574</v>
      </c>
    </row>
    <row r="618" spans="10:12" x14ac:dyDescent="0.25">
      <c r="J618" s="20" t="s">
        <v>4549</v>
      </c>
      <c r="K618" s="20" t="s">
        <v>4549</v>
      </c>
      <c r="L618" s="20" t="s">
        <v>4550</v>
      </c>
    </row>
    <row r="619" spans="10:12" x14ac:dyDescent="0.25">
      <c r="J619" s="20" t="s">
        <v>4559</v>
      </c>
      <c r="K619" s="20" t="s">
        <v>4559</v>
      </c>
      <c r="L619" s="20" t="s">
        <v>4560</v>
      </c>
    </row>
    <row r="620" spans="10:12" x14ac:dyDescent="0.25">
      <c r="J620" s="20" t="s">
        <v>4689</v>
      </c>
      <c r="K620" s="20" t="s">
        <v>4689</v>
      </c>
      <c r="L620" s="20" t="s">
        <v>4690</v>
      </c>
    </row>
    <row r="621" spans="10:12" x14ac:dyDescent="0.25">
      <c r="J621" s="20" t="s">
        <v>3544</v>
      </c>
      <c r="K621" s="20" t="s">
        <v>3544</v>
      </c>
      <c r="L621" s="20" t="s">
        <v>3545</v>
      </c>
    </row>
    <row r="622" spans="10:12" x14ac:dyDescent="0.25">
      <c r="J622" s="20" t="s">
        <v>3093</v>
      </c>
      <c r="K622" s="20" t="s">
        <v>3093</v>
      </c>
      <c r="L622" s="20" t="s">
        <v>3332</v>
      </c>
    </row>
    <row r="623" spans="10:12" x14ac:dyDescent="0.25">
      <c r="J623" s="20" t="s">
        <v>3093</v>
      </c>
      <c r="K623" s="20" t="s">
        <v>3093</v>
      </c>
      <c r="L623" s="20" t="s">
        <v>3332</v>
      </c>
    </row>
    <row r="624" spans="10:12" x14ac:dyDescent="0.25">
      <c r="J624" s="20" t="s">
        <v>3093</v>
      </c>
      <c r="K624" s="20" t="s">
        <v>3093</v>
      </c>
      <c r="L624" s="20" t="s">
        <v>3332</v>
      </c>
    </row>
    <row r="625" spans="10:12" x14ac:dyDescent="0.25">
      <c r="J625" s="20" t="s">
        <v>3093</v>
      </c>
      <c r="K625" s="20" t="s">
        <v>3093</v>
      </c>
      <c r="L625" s="20" t="s">
        <v>5151</v>
      </c>
    </row>
    <row r="626" spans="10:12" x14ac:dyDescent="0.25">
      <c r="J626" s="20" t="s">
        <v>3093</v>
      </c>
      <c r="K626" s="20" t="s">
        <v>3093</v>
      </c>
      <c r="L626" s="20" t="s">
        <v>5151</v>
      </c>
    </row>
    <row r="627" spans="10:12" x14ac:dyDescent="0.25">
      <c r="J627" s="20" t="s">
        <v>3093</v>
      </c>
      <c r="K627" s="20" t="s">
        <v>3093</v>
      </c>
      <c r="L627" s="20" t="s">
        <v>3457</v>
      </c>
    </row>
    <row r="628" spans="10:12" x14ac:dyDescent="0.25">
      <c r="J628" s="20" t="s">
        <v>3546</v>
      </c>
      <c r="K628" s="20" t="s">
        <v>3546</v>
      </c>
      <c r="L628" s="20" t="s">
        <v>3547</v>
      </c>
    </row>
    <row r="629" spans="10:12" x14ac:dyDescent="0.25">
      <c r="J629" s="20" t="s">
        <v>3433</v>
      </c>
      <c r="K629" s="20" t="s">
        <v>3433</v>
      </c>
      <c r="L629" s="20" t="s">
        <v>3434</v>
      </c>
    </row>
    <row r="630" spans="10:12" x14ac:dyDescent="0.25">
      <c r="J630" s="20" t="s">
        <v>3071</v>
      </c>
      <c r="K630" s="20" t="s">
        <v>3071</v>
      </c>
      <c r="L630" s="20" t="s">
        <v>3072</v>
      </c>
    </row>
    <row r="631" spans="10:12" x14ac:dyDescent="0.25">
      <c r="J631" s="20" t="s">
        <v>2620</v>
      </c>
      <c r="K631" s="20" t="s">
        <v>2620</v>
      </c>
      <c r="L631" s="20" t="s">
        <v>2621</v>
      </c>
    </row>
    <row r="632" spans="10:12" x14ac:dyDescent="0.25">
      <c r="J632" s="20" t="s">
        <v>2877</v>
      </c>
      <c r="K632" s="20" t="s">
        <v>2877</v>
      </c>
      <c r="L632" s="20" t="s">
        <v>2878</v>
      </c>
    </row>
    <row r="633" spans="10:12" x14ac:dyDescent="0.25">
      <c r="J633" s="20" t="s">
        <v>3811</v>
      </c>
      <c r="K633" s="20" t="s">
        <v>3811</v>
      </c>
      <c r="L633" s="20" t="s">
        <v>3812</v>
      </c>
    </row>
    <row r="634" spans="10:12" x14ac:dyDescent="0.25">
      <c r="J634" s="20" t="s">
        <v>4289</v>
      </c>
      <c r="K634" s="20" t="s">
        <v>4289</v>
      </c>
      <c r="L634" s="20" t="s">
        <v>4290</v>
      </c>
    </row>
    <row r="635" spans="10:12" x14ac:dyDescent="0.25">
      <c r="J635" s="20" t="s">
        <v>4171</v>
      </c>
      <c r="K635" s="20" t="s">
        <v>4171</v>
      </c>
      <c r="L635" s="20" t="s">
        <v>4172</v>
      </c>
    </row>
    <row r="636" spans="10:12" x14ac:dyDescent="0.25">
      <c r="J636" s="20" t="s">
        <v>5397</v>
      </c>
      <c r="K636" s="20" t="s">
        <v>5397</v>
      </c>
      <c r="L636" s="20" t="s">
        <v>5398</v>
      </c>
    </row>
    <row r="637" spans="10:12" x14ac:dyDescent="0.25">
      <c r="J637" s="20" t="s">
        <v>3324</v>
      </c>
      <c r="K637" s="20" t="s">
        <v>3324</v>
      </c>
      <c r="L637" s="20" t="s">
        <v>3325</v>
      </c>
    </row>
    <row r="638" spans="10:12" x14ac:dyDescent="0.25">
      <c r="J638" s="20" t="s">
        <v>3063</v>
      </c>
      <c r="K638" s="20" t="s">
        <v>3063</v>
      </c>
      <c r="L638" s="20" t="s">
        <v>3064</v>
      </c>
    </row>
    <row r="639" spans="10:12" x14ac:dyDescent="0.25">
      <c r="J639" s="20" t="s">
        <v>5298</v>
      </c>
      <c r="K639" s="20" t="s">
        <v>5298</v>
      </c>
      <c r="L639" s="20" t="s">
        <v>5299</v>
      </c>
    </row>
    <row r="640" spans="10:12" x14ac:dyDescent="0.25">
      <c r="J640" s="20" t="s">
        <v>5303</v>
      </c>
      <c r="K640" s="20" t="s">
        <v>5303</v>
      </c>
      <c r="L640" s="20" t="s">
        <v>5304</v>
      </c>
    </row>
    <row r="641" spans="10:12" x14ac:dyDescent="0.25">
      <c r="J641" s="20" t="s">
        <v>4214</v>
      </c>
      <c r="K641" s="20" t="s">
        <v>4214</v>
      </c>
      <c r="L641" s="20" t="s">
        <v>4215</v>
      </c>
    </row>
    <row r="642" spans="10:12" x14ac:dyDescent="0.25">
      <c r="J642" s="20" t="s">
        <v>4182</v>
      </c>
      <c r="K642" s="20" t="s">
        <v>4182</v>
      </c>
      <c r="L642" s="20" t="s">
        <v>4183</v>
      </c>
    </row>
    <row r="643" spans="10:12" x14ac:dyDescent="0.25">
      <c r="J643" s="20" t="s">
        <v>4180</v>
      </c>
      <c r="K643" s="20" t="s">
        <v>4180</v>
      </c>
      <c r="L643" s="20" t="s">
        <v>4181</v>
      </c>
    </row>
    <row r="644" spans="10:12" x14ac:dyDescent="0.25">
      <c r="J644" s="20" t="s">
        <v>4673</v>
      </c>
      <c r="K644" s="20" t="s">
        <v>4673</v>
      </c>
      <c r="L644" s="20" t="s">
        <v>4674</v>
      </c>
    </row>
    <row r="645" spans="10:12" x14ac:dyDescent="0.25">
      <c r="J645" s="20" t="s">
        <v>4216</v>
      </c>
      <c r="K645" s="20" t="s">
        <v>4216</v>
      </c>
      <c r="L645" s="20" t="s">
        <v>4217</v>
      </c>
    </row>
    <row r="646" spans="10:12" x14ac:dyDescent="0.25">
      <c r="J646" s="20" t="s">
        <v>4113</v>
      </c>
      <c r="K646" s="20" t="s">
        <v>4113</v>
      </c>
      <c r="L646" s="20" t="s">
        <v>4114</v>
      </c>
    </row>
    <row r="647" spans="10:12" x14ac:dyDescent="0.25">
      <c r="J647" s="20" t="s">
        <v>4239</v>
      </c>
      <c r="K647" s="20" t="s">
        <v>4239</v>
      </c>
      <c r="L647" s="20" t="s">
        <v>4240</v>
      </c>
    </row>
    <row r="648" spans="10:12" x14ac:dyDescent="0.25">
      <c r="J648" s="20" t="s">
        <v>5421</v>
      </c>
      <c r="K648" s="20" t="s">
        <v>5421</v>
      </c>
      <c r="L648" s="20" t="s">
        <v>5422</v>
      </c>
    </row>
    <row r="649" spans="10:12" x14ac:dyDescent="0.25">
      <c r="J649" s="20" t="s">
        <v>4222</v>
      </c>
      <c r="K649" s="20" t="s">
        <v>4222</v>
      </c>
      <c r="L649" s="20" t="s">
        <v>4223</v>
      </c>
    </row>
    <row r="650" spans="10:12" x14ac:dyDescent="0.25">
      <c r="J650" s="20" t="s">
        <v>4042</v>
      </c>
      <c r="K650" s="20" t="s">
        <v>4042</v>
      </c>
      <c r="L650" s="20" t="s">
        <v>4043</v>
      </c>
    </row>
    <row r="651" spans="10:12" x14ac:dyDescent="0.25">
      <c r="J651" s="20" t="s">
        <v>4051</v>
      </c>
      <c r="K651" s="20" t="s">
        <v>4051</v>
      </c>
      <c r="L651" s="20" t="s">
        <v>4043</v>
      </c>
    </row>
    <row r="652" spans="10:12" x14ac:dyDescent="0.25">
      <c r="J652" s="20" t="s">
        <v>3093</v>
      </c>
      <c r="K652" s="20" t="s">
        <v>3093</v>
      </c>
      <c r="L652" s="20" t="s">
        <v>5356</v>
      </c>
    </row>
    <row r="653" spans="10:12" x14ac:dyDescent="0.25">
      <c r="J653" s="20" t="s">
        <v>3093</v>
      </c>
      <c r="K653" s="20" t="s">
        <v>3093</v>
      </c>
      <c r="L653" s="20" t="s">
        <v>4994</v>
      </c>
    </row>
    <row r="654" spans="10:12" x14ac:dyDescent="0.25">
      <c r="J654" s="20" t="s">
        <v>3093</v>
      </c>
      <c r="K654" s="20" t="s">
        <v>3093</v>
      </c>
      <c r="L654" s="20" t="s">
        <v>5275</v>
      </c>
    </row>
    <row r="655" spans="10:12" x14ac:dyDescent="0.25">
      <c r="J655" s="20" t="s">
        <v>3093</v>
      </c>
      <c r="K655" s="20" t="s">
        <v>3093</v>
      </c>
      <c r="L655" s="20" t="s">
        <v>4930</v>
      </c>
    </row>
    <row r="656" spans="10:12" x14ac:dyDescent="0.25">
      <c r="J656" s="20" t="s">
        <v>3093</v>
      </c>
      <c r="K656" s="20" t="s">
        <v>3093</v>
      </c>
      <c r="L656" s="20" t="s">
        <v>4988</v>
      </c>
    </row>
    <row r="657" spans="10:12" x14ac:dyDescent="0.25">
      <c r="J657" s="20" t="s">
        <v>3093</v>
      </c>
      <c r="K657" s="20" t="s">
        <v>3093</v>
      </c>
      <c r="L657" s="20" t="s">
        <v>4808</v>
      </c>
    </row>
    <row r="658" spans="10:12" x14ac:dyDescent="0.25">
      <c r="J658" s="20" t="s">
        <v>3201</v>
      </c>
      <c r="K658" s="20" t="s">
        <v>3201</v>
      </c>
      <c r="L658" s="20" t="s">
        <v>3202</v>
      </c>
    </row>
    <row r="659" spans="10:12" x14ac:dyDescent="0.25">
      <c r="J659" s="20" t="s">
        <v>4333</v>
      </c>
      <c r="K659" s="20" t="s">
        <v>4333</v>
      </c>
      <c r="L659" s="20" t="s">
        <v>4334</v>
      </c>
    </row>
    <row r="660" spans="10:12" x14ac:dyDescent="0.25">
      <c r="J660" s="20" t="s">
        <v>3690</v>
      </c>
      <c r="K660" s="20" t="s">
        <v>3690</v>
      </c>
      <c r="L660" s="20" t="s">
        <v>3691</v>
      </c>
    </row>
    <row r="661" spans="10:12" x14ac:dyDescent="0.25">
      <c r="J661" s="20" t="s">
        <v>3684</v>
      </c>
      <c r="K661" s="20" t="s">
        <v>3684</v>
      </c>
      <c r="L661" s="20" t="s">
        <v>3685</v>
      </c>
    </row>
    <row r="662" spans="10:12" x14ac:dyDescent="0.25">
      <c r="J662" s="20" t="s">
        <v>3093</v>
      </c>
      <c r="K662" s="20" t="s">
        <v>3093</v>
      </c>
      <c r="L662" s="20" t="s">
        <v>3506</v>
      </c>
    </row>
    <row r="663" spans="10:12" x14ac:dyDescent="0.25">
      <c r="J663" s="20" t="s">
        <v>3093</v>
      </c>
      <c r="K663" s="20" t="s">
        <v>3093</v>
      </c>
      <c r="L663" s="20" t="s">
        <v>3506</v>
      </c>
    </row>
    <row r="664" spans="10:12" x14ac:dyDescent="0.25">
      <c r="J664" s="20" t="s">
        <v>3093</v>
      </c>
      <c r="K664" s="20" t="s">
        <v>3093</v>
      </c>
      <c r="L664" s="20" t="s">
        <v>3506</v>
      </c>
    </row>
    <row r="665" spans="10:12" x14ac:dyDescent="0.25">
      <c r="J665" s="20" t="s">
        <v>3093</v>
      </c>
      <c r="K665" s="20" t="s">
        <v>3093</v>
      </c>
      <c r="L665" s="20" t="s">
        <v>5177</v>
      </c>
    </row>
    <row r="666" spans="10:12" x14ac:dyDescent="0.25">
      <c r="J666" s="20" t="s">
        <v>3359</v>
      </c>
      <c r="K666" s="20" t="s">
        <v>3359</v>
      </c>
      <c r="L666" s="20" t="s">
        <v>3360</v>
      </c>
    </row>
    <row r="667" spans="10:12" x14ac:dyDescent="0.25">
      <c r="J667" s="20" t="s">
        <v>2274</v>
      </c>
      <c r="K667" s="20" t="s">
        <v>2274</v>
      </c>
      <c r="L667" s="20" t="s">
        <v>2598</v>
      </c>
    </row>
    <row r="668" spans="10:12" x14ac:dyDescent="0.25">
      <c r="J668" s="20" t="s">
        <v>2893</v>
      </c>
      <c r="K668" s="20" t="s">
        <v>2893</v>
      </c>
      <c r="L668" s="20" t="s">
        <v>2894</v>
      </c>
    </row>
    <row r="669" spans="10:12" x14ac:dyDescent="0.25">
      <c r="J669" s="20" t="s">
        <v>3490</v>
      </c>
      <c r="K669" s="20" t="s">
        <v>3490</v>
      </c>
      <c r="L669" s="20" t="s">
        <v>3491</v>
      </c>
    </row>
    <row r="670" spans="10:12" x14ac:dyDescent="0.25">
      <c r="J670" s="20" t="s">
        <v>4396</v>
      </c>
      <c r="K670" s="20" t="s">
        <v>4396</v>
      </c>
      <c r="L670" s="20" t="s">
        <v>4397</v>
      </c>
    </row>
    <row r="671" spans="10:12" x14ac:dyDescent="0.25">
      <c r="J671" s="20" t="s">
        <v>4787</v>
      </c>
      <c r="K671" s="20" t="s">
        <v>4787</v>
      </c>
      <c r="L671" s="20" t="s">
        <v>4788</v>
      </c>
    </row>
    <row r="672" spans="10:12" x14ac:dyDescent="0.25">
      <c r="J672" s="20" t="s">
        <v>4137</v>
      </c>
      <c r="K672" s="20" t="s">
        <v>4137</v>
      </c>
      <c r="L672" s="20" t="s">
        <v>4138</v>
      </c>
    </row>
    <row r="673" spans="10:12" x14ac:dyDescent="0.25">
      <c r="J673" s="20" t="s">
        <v>2873</v>
      </c>
      <c r="K673" s="20" t="s">
        <v>2873</v>
      </c>
      <c r="L673" s="20" t="s">
        <v>2874</v>
      </c>
    </row>
    <row r="674" spans="10:12" x14ac:dyDescent="0.25">
      <c r="J674" s="20" t="s">
        <v>2887</v>
      </c>
      <c r="K674" s="20" t="s">
        <v>2887</v>
      </c>
      <c r="L674" s="20" t="s">
        <v>2888</v>
      </c>
    </row>
    <row r="675" spans="10:12" x14ac:dyDescent="0.25">
      <c r="J675" s="20" t="s">
        <v>4498</v>
      </c>
      <c r="K675" s="20" t="s">
        <v>4498</v>
      </c>
      <c r="L675" s="20" t="s">
        <v>4499</v>
      </c>
    </row>
    <row r="676" spans="10:12" x14ac:dyDescent="0.25">
      <c r="J676" s="20" t="s">
        <v>4495</v>
      </c>
      <c r="K676" s="20" t="s">
        <v>4495</v>
      </c>
      <c r="L676" s="20" t="s">
        <v>4496</v>
      </c>
    </row>
    <row r="677" spans="10:12" x14ac:dyDescent="0.25">
      <c r="J677" s="20" t="s">
        <v>2805</v>
      </c>
      <c r="K677" s="20" t="s">
        <v>2805</v>
      </c>
      <c r="L677" s="20" t="s">
        <v>2806</v>
      </c>
    </row>
    <row r="678" spans="10:12" x14ac:dyDescent="0.25">
      <c r="J678" s="20" t="s">
        <v>3027</v>
      </c>
      <c r="K678" s="20" t="s">
        <v>3027</v>
      </c>
      <c r="L678" s="20" t="s">
        <v>3028</v>
      </c>
    </row>
    <row r="679" spans="10:12" x14ac:dyDescent="0.25">
      <c r="J679" s="20" t="s">
        <v>3777</v>
      </c>
      <c r="K679" s="20" t="s">
        <v>3777</v>
      </c>
      <c r="L679" s="20" t="s">
        <v>3778</v>
      </c>
    </row>
    <row r="680" spans="10:12" x14ac:dyDescent="0.25">
      <c r="J680" s="20" t="s">
        <v>3866</v>
      </c>
      <c r="K680" s="20" t="s">
        <v>3866</v>
      </c>
      <c r="L680" s="20" t="s">
        <v>3867</v>
      </c>
    </row>
    <row r="681" spans="10:12" x14ac:dyDescent="0.25">
      <c r="J681" s="20" t="s">
        <v>3093</v>
      </c>
      <c r="K681" s="20" t="s">
        <v>3093</v>
      </c>
      <c r="L681" s="20" t="s">
        <v>3891</v>
      </c>
    </row>
    <row r="682" spans="10:12" x14ac:dyDescent="0.25">
      <c r="J682" s="20" t="s">
        <v>3093</v>
      </c>
      <c r="K682" s="20" t="s">
        <v>3093</v>
      </c>
      <c r="L682" s="20" t="s">
        <v>3891</v>
      </c>
    </row>
    <row r="683" spans="10:12" x14ac:dyDescent="0.25">
      <c r="J683" s="20" t="s">
        <v>3093</v>
      </c>
      <c r="K683" s="20" t="s">
        <v>3093</v>
      </c>
      <c r="L683" s="20" t="s">
        <v>3891</v>
      </c>
    </row>
    <row r="684" spans="10:12" x14ac:dyDescent="0.25">
      <c r="J684" s="20" t="s">
        <v>3093</v>
      </c>
      <c r="K684" s="20" t="s">
        <v>3093</v>
      </c>
      <c r="L684" s="20" t="s">
        <v>3891</v>
      </c>
    </row>
    <row r="685" spans="10:12" x14ac:dyDescent="0.25">
      <c r="J685" s="20" t="s">
        <v>3093</v>
      </c>
      <c r="K685" s="20" t="s">
        <v>3093</v>
      </c>
      <c r="L685" s="20" t="s">
        <v>3891</v>
      </c>
    </row>
    <row r="686" spans="10:12" x14ac:dyDescent="0.25">
      <c r="J686" s="20" t="s">
        <v>3093</v>
      </c>
      <c r="K686" s="20" t="s">
        <v>3093</v>
      </c>
      <c r="L686" s="20" t="s">
        <v>4345</v>
      </c>
    </row>
    <row r="687" spans="10:12" x14ac:dyDescent="0.25">
      <c r="J687" s="20" t="s">
        <v>3093</v>
      </c>
      <c r="K687" s="20" t="s">
        <v>3093</v>
      </c>
      <c r="L687" s="20" t="s">
        <v>4401</v>
      </c>
    </row>
    <row r="688" spans="10:12" x14ac:dyDescent="0.25">
      <c r="J688" s="20" t="s">
        <v>2883</v>
      </c>
      <c r="K688" s="20" t="s">
        <v>2883</v>
      </c>
      <c r="L688" s="20" t="s">
        <v>2884</v>
      </c>
    </row>
    <row r="689" spans="10:12" x14ac:dyDescent="0.25">
      <c r="J689" s="20" t="s">
        <v>3093</v>
      </c>
      <c r="K689" s="20" t="s">
        <v>3093</v>
      </c>
      <c r="L689" s="20" t="s">
        <v>5036</v>
      </c>
    </row>
    <row r="690" spans="10:12" x14ac:dyDescent="0.25">
      <c r="J690" s="20" t="s">
        <v>3093</v>
      </c>
      <c r="K690" s="20" t="s">
        <v>3093</v>
      </c>
      <c r="L690" s="20" t="s">
        <v>4908</v>
      </c>
    </row>
    <row r="691" spans="10:12" x14ac:dyDescent="0.25">
      <c r="J691" s="20" t="s">
        <v>3814</v>
      </c>
      <c r="K691" s="20" t="s">
        <v>3814</v>
      </c>
      <c r="L691" s="20" t="s">
        <v>3815</v>
      </c>
    </row>
    <row r="692" spans="10:12" x14ac:dyDescent="0.25">
      <c r="J692" s="20" t="s">
        <v>4454</v>
      </c>
      <c r="K692" s="20" t="s">
        <v>4454</v>
      </c>
      <c r="L692" s="20" t="s">
        <v>4455</v>
      </c>
    </row>
    <row r="693" spans="10:12" x14ac:dyDescent="0.25">
      <c r="J693" s="20" t="s">
        <v>4609</v>
      </c>
      <c r="K693" s="20" t="s">
        <v>4609</v>
      </c>
      <c r="L693" s="20" t="s">
        <v>4610</v>
      </c>
    </row>
    <row r="694" spans="10:12" x14ac:dyDescent="0.25">
      <c r="J694" s="20" t="s">
        <v>3031</v>
      </c>
      <c r="K694" s="20" t="s">
        <v>3031</v>
      </c>
      <c r="L694" s="20" t="s">
        <v>3032</v>
      </c>
    </row>
    <row r="695" spans="10:12" x14ac:dyDescent="0.25">
      <c r="J695" s="20" t="s">
        <v>3862</v>
      </c>
      <c r="K695" s="20" t="s">
        <v>3862</v>
      </c>
      <c r="L695" s="20" t="s">
        <v>3863</v>
      </c>
    </row>
    <row r="696" spans="10:12" x14ac:dyDescent="0.25">
      <c r="J696" s="20" t="s">
        <v>4115</v>
      </c>
      <c r="K696" s="20" t="s">
        <v>4115</v>
      </c>
      <c r="L696" s="20" t="s">
        <v>4116</v>
      </c>
    </row>
    <row r="697" spans="10:12" x14ac:dyDescent="0.25">
      <c r="J697" s="20" t="s">
        <v>2775</v>
      </c>
      <c r="K697" s="20" t="s">
        <v>2775</v>
      </c>
      <c r="L697" s="20" t="s">
        <v>2776</v>
      </c>
    </row>
    <row r="698" spans="10:12" x14ac:dyDescent="0.25">
      <c r="J698" s="20" t="s">
        <v>2930</v>
      </c>
      <c r="K698" s="20" t="s">
        <v>2930</v>
      </c>
      <c r="L698" s="20" t="s">
        <v>2931</v>
      </c>
    </row>
    <row r="699" spans="10:12" x14ac:dyDescent="0.25">
      <c r="J699" s="20" t="s">
        <v>2737</v>
      </c>
      <c r="K699" s="20" t="s">
        <v>2737</v>
      </c>
      <c r="L699" s="20" t="s">
        <v>2738</v>
      </c>
    </row>
    <row r="700" spans="10:12" x14ac:dyDescent="0.25">
      <c r="J700" s="20" t="s">
        <v>3138</v>
      </c>
      <c r="K700" s="20" t="s">
        <v>3138</v>
      </c>
      <c r="L700" s="20" t="s">
        <v>3139</v>
      </c>
    </row>
    <row r="701" spans="10:12" x14ac:dyDescent="0.25">
      <c r="J701" s="20" t="s">
        <v>2869</v>
      </c>
      <c r="K701" s="20" t="s">
        <v>2869</v>
      </c>
      <c r="L701" s="20" t="s">
        <v>2870</v>
      </c>
    </row>
    <row r="702" spans="10:12" x14ac:dyDescent="0.25">
      <c r="J702" s="20" t="s">
        <v>5383</v>
      </c>
      <c r="K702" s="20" t="s">
        <v>5383</v>
      </c>
      <c r="L702" s="20" t="s">
        <v>5434</v>
      </c>
    </row>
    <row r="703" spans="10:12" x14ac:dyDescent="0.25">
      <c r="J703" s="20" t="s">
        <v>4190</v>
      </c>
      <c r="K703" s="20" t="s">
        <v>4190</v>
      </c>
      <c r="L703" s="20" t="s">
        <v>4191</v>
      </c>
    </row>
    <row r="704" spans="10:12" x14ac:dyDescent="0.25">
      <c r="J704" s="20" t="s">
        <v>4092</v>
      </c>
      <c r="K704" s="20" t="s">
        <v>4092</v>
      </c>
      <c r="L704" s="20" t="s">
        <v>4093</v>
      </c>
    </row>
    <row r="705" spans="10:12" x14ac:dyDescent="0.25">
      <c r="J705" s="20" t="s">
        <v>2783</v>
      </c>
      <c r="K705" s="20" t="s">
        <v>2783</v>
      </c>
      <c r="L705" s="20" t="s">
        <v>2784</v>
      </c>
    </row>
    <row r="706" spans="10:12" x14ac:dyDescent="0.25">
      <c r="J706" s="20" t="s">
        <v>2588</v>
      </c>
      <c r="K706" s="20" t="s">
        <v>2588</v>
      </c>
      <c r="L706" s="20" t="s">
        <v>2589</v>
      </c>
    </row>
    <row r="707" spans="10:12" x14ac:dyDescent="0.25">
      <c r="J707" s="20" t="s">
        <v>3460</v>
      </c>
      <c r="K707" s="20" t="s">
        <v>3460</v>
      </c>
      <c r="L707" s="20" t="s">
        <v>3461</v>
      </c>
    </row>
    <row r="708" spans="10:12" x14ac:dyDescent="0.25">
      <c r="J708" s="20" t="s">
        <v>2596</v>
      </c>
      <c r="K708" s="20" t="s">
        <v>2596</v>
      </c>
      <c r="L708" s="20" t="s">
        <v>2597</v>
      </c>
    </row>
    <row r="709" spans="10:12" x14ac:dyDescent="0.25">
      <c r="J709" s="20" t="s">
        <v>4058</v>
      </c>
      <c r="K709" s="20" t="s">
        <v>4058</v>
      </c>
      <c r="L709" s="20" t="s">
        <v>4059</v>
      </c>
    </row>
    <row r="710" spans="10:12" x14ac:dyDescent="0.25">
      <c r="J710" s="20" t="s">
        <v>3093</v>
      </c>
      <c r="K710" s="20" t="s">
        <v>3093</v>
      </c>
      <c r="L710" s="20" t="s">
        <v>4497</v>
      </c>
    </row>
    <row r="711" spans="10:12" x14ac:dyDescent="0.25">
      <c r="J711" s="20" t="s">
        <v>4308</v>
      </c>
      <c r="K711" s="20" t="s">
        <v>4308</v>
      </c>
      <c r="L711" s="20" t="s">
        <v>4309</v>
      </c>
    </row>
    <row r="712" spans="10:12" x14ac:dyDescent="0.25">
      <c r="J712" s="20" t="s">
        <v>3616</v>
      </c>
      <c r="K712" s="20" t="s">
        <v>3616</v>
      </c>
      <c r="L712" s="20" t="s">
        <v>3617</v>
      </c>
    </row>
    <row r="713" spans="10:12" x14ac:dyDescent="0.25">
      <c r="J713" s="20" t="s">
        <v>5132</v>
      </c>
      <c r="K713" s="20" t="s">
        <v>5132</v>
      </c>
      <c r="L713" s="20" t="s">
        <v>5133</v>
      </c>
    </row>
    <row r="714" spans="10:12" x14ac:dyDescent="0.25">
      <c r="J714" s="20" t="s">
        <v>4765</v>
      </c>
      <c r="K714" s="20" t="s">
        <v>4765</v>
      </c>
      <c r="L714" s="20" t="s">
        <v>4766</v>
      </c>
    </row>
    <row r="715" spans="10:12" x14ac:dyDescent="0.25">
      <c r="J715" s="20" t="s">
        <v>5134</v>
      </c>
      <c r="K715" s="20" t="s">
        <v>5134</v>
      </c>
      <c r="L715" s="20" t="s">
        <v>5135</v>
      </c>
    </row>
    <row r="716" spans="10:12" x14ac:dyDescent="0.25">
      <c r="J716" s="20" t="s">
        <v>4632</v>
      </c>
      <c r="K716" s="20" t="s">
        <v>4632</v>
      </c>
      <c r="L716" s="20" t="s">
        <v>4633</v>
      </c>
    </row>
    <row r="717" spans="10:12" x14ac:dyDescent="0.25">
      <c r="J717" s="20" t="s">
        <v>4963</v>
      </c>
      <c r="K717" s="20" t="s">
        <v>4963</v>
      </c>
      <c r="L717" s="20" t="s">
        <v>4964</v>
      </c>
    </row>
    <row r="718" spans="10:12" x14ac:dyDescent="0.25">
      <c r="J718" s="20" t="s">
        <v>4965</v>
      </c>
      <c r="K718" s="20" t="s">
        <v>4965</v>
      </c>
      <c r="L718" s="20" t="s">
        <v>4966</v>
      </c>
    </row>
    <row r="719" spans="10:12" x14ac:dyDescent="0.25">
      <c r="J719" s="20" t="s">
        <v>4414</v>
      </c>
      <c r="K719" s="20" t="s">
        <v>4414</v>
      </c>
      <c r="L719" s="20" t="s">
        <v>4415</v>
      </c>
    </row>
    <row r="720" spans="10:12" x14ac:dyDescent="0.25">
      <c r="J720" s="20" t="s">
        <v>4892</v>
      </c>
      <c r="K720" s="20" t="s">
        <v>4892</v>
      </c>
      <c r="L720" s="20" t="s">
        <v>4893</v>
      </c>
    </row>
    <row r="721" spans="10:12" x14ac:dyDescent="0.25">
      <c r="J721" s="20" t="s">
        <v>4743</v>
      </c>
      <c r="K721" s="20" t="s">
        <v>4743</v>
      </c>
      <c r="L721" s="20" t="s">
        <v>4744</v>
      </c>
    </row>
    <row r="722" spans="10:12" x14ac:dyDescent="0.25">
      <c r="J722" s="20" t="s">
        <v>5270</v>
      </c>
      <c r="K722" s="20" t="s">
        <v>5270</v>
      </c>
      <c r="L722" s="20" t="s">
        <v>5271</v>
      </c>
    </row>
    <row r="723" spans="10:12" x14ac:dyDescent="0.25">
      <c r="J723" s="20" t="s">
        <v>4967</v>
      </c>
      <c r="K723" s="20" t="s">
        <v>4967</v>
      </c>
      <c r="L723" s="20" t="s">
        <v>4968</v>
      </c>
    </row>
    <row r="724" spans="10:12" x14ac:dyDescent="0.25">
      <c r="J724" s="20" t="s">
        <v>4741</v>
      </c>
      <c r="K724" s="20" t="s">
        <v>4741</v>
      </c>
      <c r="L724" s="20" t="s">
        <v>4742</v>
      </c>
    </row>
    <row r="725" spans="10:12" x14ac:dyDescent="0.25">
      <c r="J725" s="20" t="s">
        <v>4867</v>
      </c>
      <c r="K725" s="20" t="s">
        <v>4867</v>
      </c>
      <c r="L725" s="20" t="s">
        <v>4868</v>
      </c>
    </row>
    <row r="726" spans="10:12" x14ac:dyDescent="0.25">
      <c r="J726" s="20" t="s">
        <v>4630</v>
      </c>
      <c r="K726" s="20" t="s">
        <v>4630</v>
      </c>
      <c r="L726" s="20" t="s">
        <v>4631</v>
      </c>
    </row>
    <row r="727" spans="10:12" x14ac:dyDescent="0.25">
      <c r="J727" s="20" t="s">
        <v>4418</v>
      </c>
      <c r="K727" s="20" t="s">
        <v>4418</v>
      </c>
      <c r="L727" s="20" t="s">
        <v>4419</v>
      </c>
    </row>
    <row r="728" spans="10:12" x14ac:dyDescent="0.25">
      <c r="J728" s="20" t="s">
        <v>4702</v>
      </c>
      <c r="K728" s="20" t="s">
        <v>4702</v>
      </c>
      <c r="L728" s="20" t="s">
        <v>4703</v>
      </c>
    </row>
    <row r="729" spans="10:12" x14ac:dyDescent="0.25">
      <c r="J729" s="20" t="s">
        <v>4793</v>
      </c>
      <c r="K729" s="20" t="s">
        <v>4793</v>
      </c>
      <c r="L729" s="20" t="s">
        <v>4794</v>
      </c>
    </row>
    <row r="730" spans="10:12" x14ac:dyDescent="0.25">
      <c r="J730" s="20" t="s">
        <v>5127</v>
      </c>
      <c r="K730" s="20" t="s">
        <v>5127</v>
      </c>
      <c r="L730" s="20" t="s">
        <v>5128</v>
      </c>
    </row>
    <row r="731" spans="10:12" x14ac:dyDescent="0.25">
      <c r="J731" s="20" t="s">
        <v>3093</v>
      </c>
      <c r="K731" s="20" t="s">
        <v>3093</v>
      </c>
      <c r="L731" s="20" t="s">
        <v>5315</v>
      </c>
    </row>
    <row r="732" spans="10:12" x14ac:dyDescent="0.25">
      <c r="J732" s="20" t="s">
        <v>4452</v>
      </c>
      <c r="K732" s="20" t="s">
        <v>4452</v>
      </c>
      <c r="L732" s="20" t="s">
        <v>4453</v>
      </c>
    </row>
    <row r="733" spans="10:12" x14ac:dyDescent="0.25">
      <c r="J733" s="20" t="s">
        <v>4439</v>
      </c>
      <c r="K733" s="20" t="s">
        <v>4439</v>
      </c>
      <c r="L733" s="20" t="s">
        <v>4440</v>
      </c>
    </row>
    <row r="734" spans="10:12" x14ac:dyDescent="0.25">
      <c r="J734" s="20" t="s">
        <v>4691</v>
      </c>
      <c r="K734" s="20" t="s">
        <v>4691</v>
      </c>
      <c r="L734" s="20" t="s">
        <v>4692</v>
      </c>
    </row>
    <row r="735" spans="10:12" x14ac:dyDescent="0.25">
      <c r="J735" s="20" t="s">
        <v>4939</v>
      </c>
      <c r="K735" s="20" t="s">
        <v>4939</v>
      </c>
      <c r="L735" s="20" t="s">
        <v>4940</v>
      </c>
    </row>
    <row r="736" spans="10:12" x14ac:dyDescent="0.25">
      <c r="J736" s="20" t="s">
        <v>4974</v>
      </c>
      <c r="K736" s="20" t="s">
        <v>4974</v>
      </c>
      <c r="L736" s="20" t="s">
        <v>4975</v>
      </c>
    </row>
    <row r="737" spans="10:12" x14ac:dyDescent="0.25">
      <c r="J737" s="20" t="s">
        <v>5295</v>
      </c>
      <c r="K737" s="20" t="s">
        <v>5295</v>
      </c>
      <c r="L737" s="20" t="s">
        <v>5296</v>
      </c>
    </row>
    <row r="738" spans="10:12" x14ac:dyDescent="0.25">
      <c r="J738" s="20" t="s">
        <v>4463</v>
      </c>
      <c r="K738" s="20" t="s">
        <v>4463</v>
      </c>
      <c r="L738" s="20" t="s">
        <v>4464</v>
      </c>
    </row>
    <row r="739" spans="10:12" x14ac:dyDescent="0.25">
      <c r="J739" s="20" t="s">
        <v>4456</v>
      </c>
      <c r="K739" s="20" t="s">
        <v>4456</v>
      </c>
      <c r="L739" s="20" t="s">
        <v>4457</v>
      </c>
    </row>
    <row r="740" spans="10:12" x14ac:dyDescent="0.25">
      <c r="J740" s="20" t="s">
        <v>4870</v>
      </c>
      <c r="K740" s="20" t="s">
        <v>4870</v>
      </c>
      <c r="L740" s="20" t="s">
        <v>4871</v>
      </c>
    </row>
    <row r="741" spans="10:12" x14ac:dyDescent="0.25">
      <c r="J741" s="20" t="s">
        <v>4664</v>
      </c>
      <c r="K741" s="20" t="s">
        <v>4664</v>
      </c>
      <c r="L741" s="20" t="s">
        <v>4665</v>
      </c>
    </row>
    <row r="742" spans="10:12" x14ac:dyDescent="0.25">
      <c r="J742" s="20" t="s">
        <v>4693</v>
      </c>
      <c r="K742" s="20" t="s">
        <v>4693</v>
      </c>
      <c r="L742" s="20" t="s">
        <v>4694</v>
      </c>
    </row>
    <row r="743" spans="10:12" x14ac:dyDescent="0.25">
      <c r="J743" s="20" t="s">
        <v>5138</v>
      </c>
      <c r="K743" s="20" t="s">
        <v>5138</v>
      </c>
      <c r="L743" s="20" t="s">
        <v>5139</v>
      </c>
    </row>
    <row r="744" spans="10:12" x14ac:dyDescent="0.25">
      <c r="J744" s="20" t="s">
        <v>4601</v>
      </c>
      <c r="K744" s="20" t="s">
        <v>4601</v>
      </c>
      <c r="L744" s="20" t="s">
        <v>4602</v>
      </c>
    </row>
    <row r="745" spans="10:12" x14ac:dyDescent="0.25">
      <c r="J745" s="20" t="s">
        <v>4661</v>
      </c>
      <c r="K745" s="20" t="s">
        <v>4661</v>
      </c>
      <c r="L745" s="20" t="s">
        <v>4662</v>
      </c>
    </row>
    <row r="746" spans="10:12" x14ac:dyDescent="0.25">
      <c r="J746" s="20" t="s">
        <v>4667</v>
      </c>
      <c r="K746" s="20" t="s">
        <v>4667</v>
      </c>
      <c r="L746" s="20" t="s">
        <v>4668</v>
      </c>
    </row>
    <row r="747" spans="10:12" x14ac:dyDescent="0.25">
      <c r="J747" s="20" t="s">
        <v>4461</v>
      </c>
      <c r="K747" s="20" t="s">
        <v>4461</v>
      </c>
      <c r="L747" s="20" t="s">
        <v>4462</v>
      </c>
    </row>
    <row r="748" spans="10:12" x14ac:dyDescent="0.25">
      <c r="J748" s="20" t="s">
        <v>4437</v>
      </c>
      <c r="K748" s="20" t="s">
        <v>4437</v>
      </c>
      <c r="L748" s="20" t="s">
        <v>4438</v>
      </c>
    </row>
    <row r="749" spans="10:12" x14ac:dyDescent="0.25">
      <c r="J749" s="20" t="s">
        <v>4445</v>
      </c>
      <c r="K749" s="20" t="s">
        <v>4445</v>
      </c>
      <c r="L749" s="20" t="s">
        <v>4446</v>
      </c>
    </row>
    <row r="750" spans="10:12" x14ac:dyDescent="0.25">
      <c r="J750" s="20" t="s">
        <v>4406</v>
      </c>
      <c r="K750" s="20" t="s">
        <v>4406</v>
      </c>
      <c r="L750" s="20" t="s">
        <v>4407</v>
      </c>
    </row>
    <row r="751" spans="10:12" x14ac:dyDescent="0.25">
      <c r="J751" s="20" t="s">
        <v>3164</v>
      </c>
      <c r="K751" s="20" t="s">
        <v>3164</v>
      </c>
      <c r="L751" s="20" t="s">
        <v>3165</v>
      </c>
    </row>
    <row r="752" spans="10:12" x14ac:dyDescent="0.25">
      <c r="J752" s="20" t="s">
        <v>4157</v>
      </c>
      <c r="K752" s="20" t="s">
        <v>4157</v>
      </c>
      <c r="L752" s="20" t="s">
        <v>4158</v>
      </c>
    </row>
    <row r="753" spans="10:12" x14ac:dyDescent="0.25">
      <c r="J753" s="20" t="s">
        <v>4795</v>
      </c>
      <c r="K753" s="20" t="s">
        <v>4795</v>
      </c>
      <c r="L753" s="20" t="s">
        <v>4796</v>
      </c>
    </row>
    <row r="754" spans="10:12" x14ac:dyDescent="0.25">
      <c r="J754" s="20" t="s">
        <v>3551</v>
      </c>
      <c r="K754" s="20" t="s">
        <v>3551</v>
      </c>
      <c r="L754" s="20" t="s">
        <v>3552</v>
      </c>
    </row>
    <row r="755" spans="10:12" x14ac:dyDescent="0.25">
      <c r="J755" s="20" t="s">
        <v>3914</v>
      </c>
      <c r="K755" s="20" t="s">
        <v>3914</v>
      </c>
      <c r="L755" s="20" t="s">
        <v>3915</v>
      </c>
    </row>
    <row r="756" spans="10:12" x14ac:dyDescent="0.25">
      <c r="J756" s="20" t="s">
        <v>4596</v>
      </c>
      <c r="K756" s="20" t="s">
        <v>4596</v>
      </c>
      <c r="L756" s="20" t="s">
        <v>4597</v>
      </c>
    </row>
    <row r="757" spans="10:12" x14ac:dyDescent="0.25">
      <c r="J757" s="20" t="s">
        <v>3093</v>
      </c>
      <c r="K757" s="20" t="s">
        <v>3093</v>
      </c>
      <c r="L757" s="20" t="s">
        <v>5317</v>
      </c>
    </row>
    <row r="758" spans="10:12" x14ac:dyDescent="0.25">
      <c r="J758" s="20" t="s">
        <v>3093</v>
      </c>
      <c r="K758" s="20" t="s">
        <v>3093</v>
      </c>
      <c r="L758" s="20" t="s">
        <v>5373</v>
      </c>
    </row>
    <row r="759" spans="10:12" x14ac:dyDescent="0.25">
      <c r="J759" s="20" t="s">
        <v>5169</v>
      </c>
      <c r="K759" s="20" t="s">
        <v>5169</v>
      </c>
      <c r="L759" s="20" t="s">
        <v>5170</v>
      </c>
    </row>
    <row r="760" spans="10:12" x14ac:dyDescent="0.25">
      <c r="J760" s="20" t="s">
        <v>3692</v>
      </c>
      <c r="K760" s="20" t="s">
        <v>3692</v>
      </c>
      <c r="L760" s="20" t="s">
        <v>3693</v>
      </c>
    </row>
    <row r="761" spans="10:12" x14ac:dyDescent="0.25">
      <c r="J761" s="20" t="s">
        <v>3093</v>
      </c>
      <c r="K761" s="20" t="s">
        <v>3093</v>
      </c>
      <c r="L761" s="20" t="s">
        <v>5357</v>
      </c>
    </row>
    <row r="762" spans="10:12" x14ac:dyDescent="0.25">
      <c r="J762" s="20" t="s">
        <v>3093</v>
      </c>
      <c r="K762" s="20" t="s">
        <v>3093</v>
      </c>
      <c r="L762" s="20" t="s">
        <v>5358</v>
      </c>
    </row>
    <row r="763" spans="10:12" x14ac:dyDescent="0.25">
      <c r="J763" s="20" t="s">
        <v>2691</v>
      </c>
      <c r="K763" s="20" t="s">
        <v>2691</v>
      </c>
      <c r="L763" s="20" t="s">
        <v>2692</v>
      </c>
    </row>
    <row r="764" spans="10:12" x14ac:dyDescent="0.25">
      <c r="J764" s="20" t="s">
        <v>3326</v>
      </c>
      <c r="K764" s="20" t="s">
        <v>3326</v>
      </c>
      <c r="L764" s="20" t="s">
        <v>3327</v>
      </c>
    </row>
    <row r="765" spans="10:12" x14ac:dyDescent="0.25">
      <c r="J765" s="20" t="s">
        <v>4044</v>
      </c>
      <c r="K765" s="20" t="s">
        <v>4044</v>
      </c>
      <c r="L765" s="20" t="s">
        <v>4045</v>
      </c>
    </row>
    <row r="766" spans="10:12" x14ac:dyDescent="0.25">
      <c r="J766" s="20" t="s">
        <v>2074</v>
      </c>
      <c r="K766" s="20" t="s">
        <v>2074</v>
      </c>
      <c r="L766" s="20" t="s">
        <v>2559</v>
      </c>
    </row>
    <row r="767" spans="10:12" x14ac:dyDescent="0.25">
      <c r="J767" s="20" t="s">
        <v>4275</v>
      </c>
      <c r="K767" s="20" t="s">
        <v>4275</v>
      </c>
      <c r="L767" s="20" t="s">
        <v>4276</v>
      </c>
    </row>
    <row r="768" spans="10:12" x14ac:dyDescent="0.25">
      <c r="J768" s="20" t="s">
        <v>4272</v>
      </c>
      <c r="K768" s="20" t="s">
        <v>4272</v>
      </c>
      <c r="L768" s="20" t="s">
        <v>4273</v>
      </c>
    </row>
    <row r="769" spans="10:12" x14ac:dyDescent="0.25">
      <c r="J769" s="20" t="s">
        <v>2074</v>
      </c>
      <c r="K769" s="20" t="s">
        <v>2074</v>
      </c>
      <c r="L769" s="20" t="s">
        <v>2049</v>
      </c>
    </row>
    <row r="770" spans="10:12" x14ac:dyDescent="0.25">
      <c r="J770" s="20" t="s">
        <v>2599</v>
      </c>
      <c r="K770" s="20" t="s">
        <v>2599</v>
      </c>
      <c r="L770" s="20" t="s">
        <v>2600</v>
      </c>
    </row>
    <row r="771" spans="10:12" x14ac:dyDescent="0.25">
      <c r="J771" s="20" t="s">
        <v>4798</v>
      </c>
      <c r="K771" s="20" t="s">
        <v>4798</v>
      </c>
      <c r="L771" s="20" t="s">
        <v>4799</v>
      </c>
    </row>
    <row r="772" spans="10:12" x14ac:dyDescent="0.25">
      <c r="J772" s="20" t="s">
        <v>4800</v>
      </c>
      <c r="K772" s="20" t="s">
        <v>4800</v>
      </c>
      <c r="L772" s="20" t="s">
        <v>4801</v>
      </c>
    </row>
    <row r="773" spans="10:12" x14ac:dyDescent="0.25">
      <c r="J773" s="20" t="s">
        <v>4735</v>
      </c>
      <c r="K773" s="20" t="s">
        <v>4735</v>
      </c>
      <c r="L773" s="20" t="s">
        <v>4736</v>
      </c>
    </row>
    <row r="774" spans="10:12" x14ac:dyDescent="0.25">
      <c r="J774" s="20" t="s">
        <v>3713</v>
      </c>
      <c r="K774" s="20" t="s">
        <v>3713</v>
      </c>
      <c r="L774" s="20" t="s">
        <v>3714</v>
      </c>
    </row>
    <row r="775" spans="10:12" x14ac:dyDescent="0.25">
      <c r="J775" s="20" t="s">
        <v>2837</v>
      </c>
      <c r="K775" s="20" t="s">
        <v>2837</v>
      </c>
      <c r="L775" s="20" t="s">
        <v>2838</v>
      </c>
    </row>
    <row r="776" spans="10:12" x14ac:dyDescent="0.25">
      <c r="J776" s="20" t="s">
        <v>2939</v>
      </c>
      <c r="K776" s="20" t="s">
        <v>2939</v>
      </c>
      <c r="L776" s="20" t="s">
        <v>2940</v>
      </c>
    </row>
    <row r="777" spans="10:12" x14ac:dyDescent="0.25">
      <c r="J777" s="20" t="s">
        <v>2717</v>
      </c>
      <c r="K777" s="20" t="s">
        <v>2717</v>
      </c>
      <c r="L777" s="20" t="s">
        <v>2718</v>
      </c>
    </row>
    <row r="778" spans="10:12" x14ac:dyDescent="0.25">
      <c r="J778" s="20" t="s">
        <v>3757</v>
      </c>
      <c r="K778" s="20" t="s">
        <v>3757</v>
      </c>
      <c r="L778" s="20" t="s">
        <v>3758</v>
      </c>
    </row>
    <row r="779" spans="10:12" x14ac:dyDescent="0.25">
      <c r="J779" s="20" t="s">
        <v>3091</v>
      </c>
      <c r="K779" s="20" t="s">
        <v>3091</v>
      </c>
      <c r="L779" s="20" t="s">
        <v>3092</v>
      </c>
    </row>
    <row r="780" spans="10:12" x14ac:dyDescent="0.25">
      <c r="J780" s="20" t="s">
        <v>2116</v>
      </c>
      <c r="K780" s="20" t="s">
        <v>2116</v>
      </c>
      <c r="L780" s="20" t="s">
        <v>2646</v>
      </c>
    </row>
    <row r="781" spans="10:12" x14ac:dyDescent="0.25">
      <c r="J781" s="20" t="s">
        <v>3079</v>
      </c>
      <c r="K781" s="20" t="s">
        <v>3079</v>
      </c>
      <c r="L781" s="20" t="s">
        <v>3080</v>
      </c>
    </row>
    <row r="782" spans="10:12" x14ac:dyDescent="0.25">
      <c r="J782" s="20" t="s">
        <v>5141</v>
      </c>
      <c r="K782" s="20" t="s">
        <v>5141</v>
      </c>
      <c r="L782" s="20" t="s">
        <v>5142</v>
      </c>
    </row>
    <row r="783" spans="10:12" x14ac:dyDescent="0.25">
      <c r="J783" s="20" t="s">
        <v>3101</v>
      </c>
      <c r="K783" s="20" t="s">
        <v>3101</v>
      </c>
      <c r="L783" s="20" t="s">
        <v>3102</v>
      </c>
    </row>
    <row r="784" spans="10:12" x14ac:dyDescent="0.25">
      <c r="J784" s="20" t="s">
        <v>2697</v>
      </c>
      <c r="K784" s="20" t="s">
        <v>2697</v>
      </c>
      <c r="L784" s="20" t="s">
        <v>2698</v>
      </c>
    </row>
    <row r="785" spans="10:12" x14ac:dyDescent="0.25">
      <c r="J785" s="20" t="s">
        <v>3033</v>
      </c>
      <c r="K785" s="20" t="s">
        <v>3033</v>
      </c>
      <c r="L785" s="20" t="s">
        <v>3034</v>
      </c>
    </row>
    <row r="786" spans="10:12" x14ac:dyDescent="0.25">
      <c r="J786" s="20" t="s">
        <v>2861</v>
      </c>
      <c r="K786" s="20" t="s">
        <v>2861</v>
      </c>
      <c r="L786" s="20" t="s">
        <v>2862</v>
      </c>
    </row>
    <row r="787" spans="10:12" x14ac:dyDescent="0.25">
      <c r="J787" s="20" t="s">
        <v>4700</v>
      </c>
      <c r="K787" s="20" t="s">
        <v>4700</v>
      </c>
      <c r="L787" s="20" t="s">
        <v>4701</v>
      </c>
    </row>
    <row r="788" spans="10:12" x14ac:dyDescent="0.25">
      <c r="J788" s="20" t="s">
        <v>4623</v>
      </c>
      <c r="K788" s="20" t="s">
        <v>4623</v>
      </c>
      <c r="L788" s="20" t="s">
        <v>4624</v>
      </c>
    </row>
    <row r="789" spans="10:12" x14ac:dyDescent="0.25">
      <c r="J789" s="20" t="s">
        <v>5002</v>
      </c>
      <c r="K789" s="20" t="s">
        <v>5002</v>
      </c>
      <c r="L789" s="20" t="s">
        <v>5003</v>
      </c>
    </row>
    <row r="790" spans="10:12" x14ac:dyDescent="0.25">
      <c r="J790" s="20" t="s">
        <v>5000</v>
      </c>
      <c r="K790" s="20" t="s">
        <v>5000</v>
      </c>
      <c r="L790" s="20" t="s">
        <v>5001</v>
      </c>
    </row>
    <row r="791" spans="10:12" x14ac:dyDescent="0.25">
      <c r="J791" s="20" t="s">
        <v>4653</v>
      </c>
      <c r="K791" s="20" t="s">
        <v>4653</v>
      </c>
      <c r="L791" s="20" t="s">
        <v>4654</v>
      </c>
    </row>
    <row r="792" spans="10:12" x14ac:dyDescent="0.25">
      <c r="J792" s="20" t="s">
        <v>5180</v>
      </c>
      <c r="K792" s="20" t="s">
        <v>5180</v>
      </c>
      <c r="L792" s="20" t="s">
        <v>5181</v>
      </c>
    </row>
    <row r="793" spans="10:12" x14ac:dyDescent="0.25">
      <c r="J793" s="20" t="s">
        <v>5067</v>
      </c>
      <c r="K793" s="20" t="s">
        <v>5067</v>
      </c>
      <c r="L793" s="20" t="s">
        <v>5068</v>
      </c>
    </row>
    <row r="794" spans="10:12" x14ac:dyDescent="0.25">
      <c r="J794" s="20" t="s">
        <v>4611</v>
      </c>
      <c r="K794" s="20" t="s">
        <v>4611</v>
      </c>
      <c r="L794" s="20" t="s">
        <v>4612</v>
      </c>
    </row>
    <row r="795" spans="10:12" x14ac:dyDescent="0.25">
      <c r="J795" s="20" t="s">
        <v>3093</v>
      </c>
      <c r="K795" s="20" t="s">
        <v>3093</v>
      </c>
      <c r="L795" s="20" t="s">
        <v>5359</v>
      </c>
    </row>
    <row r="796" spans="10:12" x14ac:dyDescent="0.25">
      <c r="J796" s="20" t="s">
        <v>4645</v>
      </c>
      <c r="K796" s="20" t="s">
        <v>4645</v>
      </c>
      <c r="L796" s="20" t="s">
        <v>4646</v>
      </c>
    </row>
    <row r="797" spans="10:12" x14ac:dyDescent="0.25">
      <c r="J797" s="20" t="s">
        <v>4721</v>
      </c>
      <c r="K797" s="20" t="s">
        <v>4721</v>
      </c>
      <c r="L797" s="20" t="s">
        <v>4722</v>
      </c>
    </row>
    <row r="798" spans="10:12" x14ac:dyDescent="0.25">
      <c r="J798" s="20" t="s">
        <v>2570</v>
      </c>
      <c r="K798" s="20" t="s">
        <v>2570</v>
      </c>
      <c r="L798" s="20" t="s">
        <v>2571</v>
      </c>
    </row>
    <row r="799" spans="10:12" x14ac:dyDescent="0.25">
      <c r="J799" s="20" t="s">
        <v>4140</v>
      </c>
      <c r="K799" s="20" t="s">
        <v>4140</v>
      </c>
      <c r="L799" s="20" t="s">
        <v>4141</v>
      </c>
    </row>
    <row r="800" spans="10:12" x14ac:dyDescent="0.25">
      <c r="J800" s="20" t="s">
        <v>2757</v>
      </c>
      <c r="K800" s="20" t="s">
        <v>2757</v>
      </c>
      <c r="L800" s="20" t="s">
        <v>2758</v>
      </c>
    </row>
    <row r="801" spans="10:12" x14ac:dyDescent="0.25">
      <c r="J801" s="20" t="s">
        <v>4065</v>
      </c>
      <c r="K801" s="20" t="s">
        <v>4065</v>
      </c>
      <c r="L801" s="20" t="s">
        <v>4066</v>
      </c>
    </row>
    <row r="802" spans="10:12" x14ac:dyDescent="0.25">
      <c r="J802" s="20" t="s">
        <v>4329</v>
      </c>
      <c r="K802" s="20" t="s">
        <v>4329</v>
      </c>
      <c r="L802" s="20" t="s">
        <v>4330</v>
      </c>
    </row>
    <row r="803" spans="10:12" x14ac:dyDescent="0.25">
      <c r="J803" s="20" t="s">
        <v>4475</v>
      </c>
      <c r="K803" s="20" t="s">
        <v>4475</v>
      </c>
      <c r="L803" s="20" t="s">
        <v>4476</v>
      </c>
    </row>
    <row r="804" spans="10:12" x14ac:dyDescent="0.25">
      <c r="J804" s="20" t="s">
        <v>3364</v>
      </c>
      <c r="K804" s="20" t="s">
        <v>3364</v>
      </c>
      <c r="L804" s="20" t="s">
        <v>3365</v>
      </c>
    </row>
    <row r="805" spans="10:12" x14ac:dyDescent="0.25">
      <c r="J805" s="20" t="s">
        <v>4615</v>
      </c>
      <c r="K805" s="20" t="s">
        <v>4615</v>
      </c>
      <c r="L805" s="20" t="s">
        <v>4616</v>
      </c>
    </row>
    <row r="806" spans="10:12" x14ac:dyDescent="0.25">
      <c r="J806" s="20" t="s">
        <v>4621</v>
      </c>
      <c r="K806" s="20" t="s">
        <v>4621</v>
      </c>
      <c r="L806" s="20" t="s">
        <v>4622</v>
      </c>
    </row>
    <row r="807" spans="10:12" x14ac:dyDescent="0.25">
      <c r="J807" s="20" t="s">
        <v>4619</v>
      </c>
      <c r="K807" s="20" t="s">
        <v>4619</v>
      </c>
      <c r="L807" s="20" t="s">
        <v>4620</v>
      </c>
    </row>
    <row r="808" spans="10:12" x14ac:dyDescent="0.25">
      <c r="J808" s="20" t="s">
        <v>4617</v>
      </c>
      <c r="K808" s="20" t="s">
        <v>4617</v>
      </c>
      <c r="L808" s="20" t="s">
        <v>4618</v>
      </c>
    </row>
    <row r="809" spans="10:12" x14ac:dyDescent="0.25">
      <c r="J809" s="20" t="s">
        <v>3003</v>
      </c>
      <c r="K809" s="20" t="s">
        <v>3003</v>
      </c>
      <c r="L809" s="20" t="s">
        <v>3004</v>
      </c>
    </row>
    <row r="810" spans="10:12" x14ac:dyDescent="0.25">
      <c r="J810" s="20" t="s">
        <v>3437</v>
      </c>
      <c r="K810" s="20" t="s">
        <v>3437</v>
      </c>
      <c r="L810" s="20" t="s">
        <v>3438</v>
      </c>
    </row>
    <row r="811" spans="10:12" x14ac:dyDescent="0.25">
      <c r="J811" s="20" t="s">
        <v>3093</v>
      </c>
      <c r="K811" s="20" t="s">
        <v>3093</v>
      </c>
      <c r="L811" s="20" t="s">
        <v>5136</v>
      </c>
    </row>
    <row r="812" spans="10:12" x14ac:dyDescent="0.25">
      <c r="J812" s="20" t="s">
        <v>3357</v>
      </c>
      <c r="K812" s="20" t="s">
        <v>3357</v>
      </c>
      <c r="L812" s="20" t="s">
        <v>3358</v>
      </c>
    </row>
    <row r="813" spans="10:12" x14ac:dyDescent="0.25">
      <c r="J813" s="20" t="s">
        <v>3085</v>
      </c>
      <c r="K813" s="20" t="s">
        <v>3085</v>
      </c>
      <c r="L813" s="20" t="s">
        <v>3086</v>
      </c>
    </row>
    <row r="814" spans="10:12" x14ac:dyDescent="0.25">
      <c r="J814" s="20" t="s">
        <v>2787</v>
      </c>
      <c r="K814" s="20" t="s">
        <v>2787</v>
      </c>
      <c r="L814" s="20" t="s">
        <v>2788</v>
      </c>
    </row>
    <row r="815" spans="10:12" x14ac:dyDescent="0.25">
      <c r="J815" s="20" t="s">
        <v>3598</v>
      </c>
      <c r="K815" s="20" t="s">
        <v>3598</v>
      </c>
      <c r="L815" s="20" t="s">
        <v>3599</v>
      </c>
    </row>
    <row r="816" spans="10:12" x14ac:dyDescent="0.25">
      <c r="J816" s="20" t="s">
        <v>3751</v>
      </c>
      <c r="K816" s="20" t="s">
        <v>3751</v>
      </c>
      <c r="L816" s="20" t="s">
        <v>3752</v>
      </c>
    </row>
    <row r="817" spans="10:12" x14ac:dyDescent="0.25">
      <c r="J817" s="20" t="s">
        <v>4586</v>
      </c>
      <c r="K817" s="20" t="s">
        <v>4586</v>
      </c>
      <c r="L817" s="20" t="s">
        <v>4587</v>
      </c>
    </row>
    <row r="818" spans="10:12" x14ac:dyDescent="0.25">
      <c r="J818" s="20" t="s">
        <v>3747</v>
      </c>
      <c r="K818" s="20" t="s">
        <v>3747</v>
      </c>
      <c r="L818" s="20" t="s">
        <v>3748</v>
      </c>
    </row>
    <row r="819" spans="10:12" x14ac:dyDescent="0.25">
      <c r="J819" s="20" t="s">
        <v>3093</v>
      </c>
      <c r="K819" s="20" t="s">
        <v>3093</v>
      </c>
      <c r="L819" s="20" t="s">
        <v>5374</v>
      </c>
    </row>
    <row r="820" spans="10:12" x14ac:dyDescent="0.25">
      <c r="J820" s="20" t="s">
        <v>4004</v>
      </c>
      <c r="K820" s="20" t="s">
        <v>4004</v>
      </c>
      <c r="L820" s="20" t="s">
        <v>4005</v>
      </c>
    </row>
    <row r="821" spans="10:12" x14ac:dyDescent="0.25">
      <c r="J821" s="20" t="s">
        <v>3093</v>
      </c>
      <c r="K821" s="20" t="s">
        <v>3093</v>
      </c>
      <c r="L821" s="20" t="s">
        <v>4542</v>
      </c>
    </row>
    <row r="822" spans="10:12" x14ac:dyDescent="0.25">
      <c r="J822" s="20" t="s">
        <v>3093</v>
      </c>
      <c r="K822" s="20" t="s">
        <v>3093</v>
      </c>
      <c r="L822" s="20" t="s">
        <v>4525</v>
      </c>
    </row>
    <row r="823" spans="10:12" x14ac:dyDescent="0.25">
      <c r="J823" s="20" t="s">
        <v>3973</v>
      </c>
      <c r="K823" s="20" t="s">
        <v>3973</v>
      </c>
      <c r="L823" s="20" t="s">
        <v>3974</v>
      </c>
    </row>
    <row r="824" spans="10:12" x14ac:dyDescent="0.25">
      <c r="J824" s="20" t="s">
        <v>3227</v>
      </c>
      <c r="K824" s="20" t="s">
        <v>3227</v>
      </c>
      <c r="L824" s="20" t="s">
        <v>3228</v>
      </c>
    </row>
    <row r="825" spans="10:12" x14ac:dyDescent="0.25">
      <c r="J825" s="20" t="s">
        <v>3043</v>
      </c>
      <c r="K825" s="20" t="s">
        <v>3043</v>
      </c>
      <c r="L825" s="20" t="s">
        <v>3044</v>
      </c>
    </row>
    <row r="826" spans="10:12" x14ac:dyDescent="0.25">
      <c r="J826" s="20" t="s">
        <v>3838</v>
      </c>
      <c r="K826" s="20" t="s">
        <v>3838</v>
      </c>
      <c r="L826" s="20" t="s">
        <v>3839</v>
      </c>
    </row>
    <row r="827" spans="10:12" x14ac:dyDescent="0.25">
      <c r="J827" s="20" t="s">
        <v>2572</v>
      </c>
      <c r="K827" s="20" t="s">
        <v>2572</v>
      </c>
      <c r="L827" s="20" t="s">
        <v>2573</v>
      </c>
    </row>
    <row r="828" spans="10:12" x14ac:dyDescent="0.25">
      <c r="J828" s="20" t="s">
        <v>4584</v>
      </c>
      <c r="K828" s="20" t="s">
        <v>4584</v>
      </c>
      <c r="L828" s="20" t="s">
        <v>4585</v>
      </c>
    </row>
    <row r="829" spans="10:12" x14ac:dyDescent="0.25">
      <c r="J829" s="20" t="s">
        <v>3182</v>
      </c>
      <c r="K829" s="20" t="s">
        <v>3182</v>
      </c>
      <c r="L829" s="20" t="s">
        <v>3183</v>
      </c>
    </row>
    <row r="830" spans="10:12" x14ac:dyDescent="0.25">
      <c r="J830" s="20" t="s">
        <v>5391</v>
      </c>
      <c r="K830" s="20" t="s">
        <v>5391</v>
      </c>
      <c r="L830" s="20" t="s">
        <v>5392</v>
      </c>
    </row>
    <row r="831" spans="10:12" x14ac:dyDescent="0.25">
      <c r="J831" s="20" t="s">
        <v>2358</v>
      </c>
      <c r="K831" s="20" t="s">
        <v>2358</v>
      </c>
      <c r="L831" s="20" t="s">
        <v>5137</v>
      </c>
    </row>
    <row r="832" spans="10:12" x14ac:dyDescent="0.25">
      <c r="J832" s="20" t="s">
        <v>2745</v>
      </c>
      <c r="K832" s="20" t="s">
        <v>2745</v>
      </c>
      <c r="L832" s="20" t="s">
        <v>2746</v>
      </c>
    </row>
    <row r="833" spans="10:12" x14ac:dyDescent="0.25">
      <c r="J833" s="20" t="s">
        <v>2813</v>
      </c>
      <c r="K833" s="20" t="s">
        <v>2813</v>
      </c>
      <c r="L833" s="20" t="s">
        <v>2814</v>
      </c>
    </row>
    <row r="834" spans="10:12" x14ac:dyDescent="0.25">
      <c r="J834" s="20" t="s">
        <v>2771</v>
      </c>
      <c r="K834" s="20" t="s">
        <v>2771</v>
      </c>
      <c r="L834" s="20" t="s">
        <v>2772</v>
      </c>
    </row>
    <row r="835" spans="10:12" x14ac:dyDescent="0.25">
      <c r="J835" s="20" t="s">
        <v>3035</v>
      </c>
      <c r="K835" s="20" t="s">
        <v>3035</v>
      </c>
      <c r="L835" s="20" t="s">
        <v>3036</v>
      </c>
    </row>
    <row r="836" spans="10:12" x14ac:dyDescent="0.25">
      <c r="J836" s="20" t="s">
        <v>5123</v>
      </c>
      <c r="K836" s="20" t="s">
        <v>5123</v>
      </c>
      <c r="L836" s="20" t="s">
        <v>5124</v>
      </c>
    </row>
    <row r="837" spans="10:12" x14ac:dyDescent="0.25">
      <c r="J837" s="20" t="s">
        <v>2779</v>
      </c>
      <c r="K837" s="20" t="s">
        <v>2779</v>
      </c>
      <c r="L837" s="20" t="s">
        <v>2780</v>
      </c>
    </row>
    <row r="838" spans="10:12" x14ac:dyDescent="0.25">
      <c r="J838" s="20" t="s">
        <v>2793</v>
      </c>
      <c r="K838" s="20" t="s">
        <v>2793</v>
      </c>
      <c r="L838" s="20" t="s">
        <v>2794</v>
      </c>
    </row>
    <row r="839" spans="10:12" x14ac:dyDescent="0.25">
      <c r="J839" s="20" t="s">
        <v>3704</v>
      </c>
      <c r="K839" s="20" t="s">
        <v>3704</v>
      </c>
      <c r="L839" s="20" t="s">
        <v>3705</v>
      </c>
    </row>
    <row r="840" spans="10:12" x14ac:dyDescent="0.25">
      <c r="J840" s="20" t="s">
        <v>3698</v>
      </c>
      <c r="K840" s="20" t="s">
        <v>3698</v>
      </c>
      <c r="L840" s="20" t="s">
        <v>3699</v>
      </c>
    </row>
    <row r="841" spans="10:12" x14ac:dyDescent="0.25">
      <c r="J841" s="20" t="s">
        <v>3532</v>
      </c>
      <c r="K841" s="20" t="s">
        <v>3532</v>
      </c>
      <c r="L841" s="20" t="s">
        <v>3533</v>
      </c>
    </row>
    <row r="842" spans="10:12" x14ac:dyDescent="0.25">
      <c r="J842" s="20" t="s">
        <v>2453</v>
      </c>
      <c r="K842" s="20" t="s">
        <v>2453</v>
      </c>
      <c r="L842" s="20" t="s">
        <v>3555</v>
      </c>
    </row>
    <row r="843" spans="10:12" x14ac:dyDescent="0.25">
      <c r="J843" s="20" t="s">
        <v>4733</v>
      </c>
      <c r="K843" s="20" t="s">
        <v>4733</v>
      </c>
      <c r="L843" s="20" t="s">
        <v>4734</v>
      </c>
    </row>
    <row r="844" spans="10:12" x14ac:dyDescent="0.25">
      <c r="J844" s="20" t="s">
        <v>5112</v>
      </c>
      <c r="K844" s="20" t="s">
        <v>5112</v>
      </c>
      <c r="L844" s="20" t="s">
        <v>5113</v>
      </c>
    </row>
    <row r="845" spans="10:12" x14ac:dyDescent="0.25">
      <c r="J845" s="20" t="s">
        <v>3696</v>
      </c>
      <c r="K845" s="20" t="s">
        <v>3696</v>
      </c>
      <c r="L845" s="20" t="s">
        <v>3697</v>
      </c>
    </row>
    <row r="846" spans="10:12" x14ac:dyDescent="0.25">
      <c r="J846" s="20" t="s">
        <v>4450</v>
      </c>
      <c r="K846" s="20" t="s">
        <v>4450</v>
      </c>
      <c r="L846" s="20" t="s">
        <v>4451</v>
      </c>
    </row>
    <row r="847" spans="10:12" x14ac:dyDescent="0.25">
      <c r="J847" s="20" t="s">
        <v>3093</v>
      </c>
      <c r="K847" s="20" t="s">
        <v>3093</v>
      </c>
      <c r="L847" s="20" t="s">
        <v>5360</v>
      </c>
    </row>
    <row r="848" spans="10:12" x14ac:dyDescent="0.25">
      <c r="J848" s="20" t="s">
        <v>5158</v>
      </c>
      <c r="K848" s="20" t="s">
        <v>5158</v>
      </c>
      <c r="L848" s="20" t="s">
        <v>5159</v>
      </c>
    </row>
    <row r="849" spans="10:12" x14ac:dyDescent="0.25">
      <c r="J849" s="20" t="s">
        <v>3093</v>
      </c>
      <c r="K849" s="20" t="s">
        <v>3093</v>
      </c>
      <c r="L849" s="20" t="s">
        <v>5318</v>
      </c>
    </row>
    <row r="850" spans="10:12" x14ac:dyDescent="0.25">
      <c r="J850" s="20" t="s">
        <v>3093</v>
      </c>
      <c r="K850" s="20" t="s">
        <v>3093</v>
      </c>
      <c r="L850" s="20" t="s">
        <v>5319</v>
      </c>
    </row>
    <row r="851" spans="10:12" x14ac:dyDescent="0.25">
      <c r="J851" s="20" t="s">
        <v>3093</v>
      </c>
      <c r="K851" s="20" t="s">
        <v>3093</v>
      </c>
      <c r="L851" s="20" t="s">
        <v>5320</v>
      </c>
    </row>
    <row r="852" spans="10:12" x14ac:dyDescent="0.25">
      <c r="J852" s="20" t="s">
        <v>2949</v>
      </c>
      <c r="K852" s="20" t="s">
        <v>2949</v>
      </c>
      <c r="L852" s="20" t="s">
        <v>2950</v>
      </c>
    </row>
    <row r="853" spans="10:12" x14ac:dyDescent="0.25">
      <c r="J853" s="20" t="s">
        <v>3093</v>
      </c>
      <c r="K853" s="20" t="s">
        <v>3093</v>
      </c>
      <c r="L853" s="20" t="s">
        <v>3818</v>
      </c>
    </row>
    <row r="854" spans="10:12" x14ac:dyDescent="0.25">
      <c r="J854" s="20" t="s">
        <v>3093</v>
      </c>
      <c r="K854" s="20" t="s">
        <v>3093</v>
      </c>
      <c r="L854" s="20" t="s">
        <v>3818</v>
      </c>
    </row>
    <row r="855" spans="10:12" x14ac:dyDescent="0.25">
      <c r="J855" s="20" t="s">
        <v>3710</v>
      </c>
      <c r="K855" s="20" t="s">
        <v>3710</v>
      </c>
      <c r="L855" s="20" t="s">
        <v>3711</v>
      </c>
    </row>
    <row r="856" spans="10:12" x14ac:dyDescent="0.25">
      <c r="J856" s="20" t="s">
        <v>3448</v>
      </c>
      <c r="K856" s="20" t="s">
        <v>3448</v>
      </c>
      <c r="L856" s="20" t="s">
        <v>3449</v>
      </c>
    </row>
    <row r="857" spans="10:12" x14ac:dyDescent="0.25">
      <c r="J857" s="20" t="s">
        <v>3975</v>
      </c>
      <c r="K857" s="20" t="s">
        <v>3975</v>
      </c>
      <c r="L857" s="20" t="s">
        <v>3976</v>
      </c>
    </row>
    <row r="858" spans="10:12" x14ac:dyDescent="0.25">
      <c r="J858" s="20" t="s">
        <v>4911</v>
      </c>
      <c r="K858" s="20" t="s">
        <v>4911</v>
      </c>
      <c r="L858" s="20" t="s">
        <v>4912</v>
      </c>
    </row>
    <row r="859" spans="10:12" x14ac:dyDescent="0.25">
      <c r="J859" s="20" t="s">
        <v>3037</v>
      </c>
      <c r="K859" s="20" t="s">
        <v>3037</v>
      </c>
      <c r="L859" s="20" t="s">
        <v>3038</v>
      </c>
    </row>
    <row r="860" spans="10:12" x14ac:dyDescent="0.25">
      <c r="J860" s="20" t="s">
        <v>3686</v>
      </c>
      <c r="K860" s="20" t="s">
        <v>3686</v>
      </c>
      <c r="L860" s="20" t="s">
        <v>3687</v>
      </c>
    </row>
    <row r="861" spans="10:12" x14ac:dyDescent="0.25">
      <c r="J861" s="20" t="s">
        <v>3572</v>
      </c>
      <c r="K861" s="20" t="s">
        <v>3572</v>
      </c>
      <c r="L861" s="20" t="s">
        <v>3573</v>
      </c>
    </row>
    <row r="862" spans="10:12" x14ac:dyDescent="0.25">
      <c r="J862" s="20" t="s">
        <v>4076</v>
      </c>
      <c r="K862" s="20" t="s">
        <v>4076</v>
      </c>
      <c r="L862" s="20" t="s">
        <v>4077</v>
      </c>
    </row>
    <row r="863" spans="10:12" x14ac:dyDescent="0.25">
      <c r="J863" s="20" t="s">
        <v>3270</v>
      </c>
      <c r="K863" s="20" t="s">
        <v>3270</v>
      </c>
      <c r="L863" s="20" t="s">
        <v>3271</v>
      </c>
    </row>
    <row r="864" spans="10:12" x14ac:dyDescent="0.25">
      <c r="J864" s="20" t="s">
        <v>3205</v>
      </c>
      <c r="K864" s="20" t="s">
        <v>3205</v>
      </c>
      <c r="L864" s="20" t="s">
        <v>3206</v>
      </c>
    </row>
    <row r="865" spans="10:12" x14ac:dyDescent="0.25">
      <c r="J865" s="20" t="s">
        <v>3229</v>
      </c>
      <c r="K865" s="20" t="s">
        <v>3229</v>
      </c>
      <c r="L865" s="20" t="s">
        <v>3230</v>
      </c>
    </row>
    <row r="866" spans="10:12" x14ac:dyDescent="0.25">
      <c r="J866" s="20" t="s">
        <v>5240</v>
      </c>
      <c r="K866" s="20" t="s">
        <v>5240</v>
      </c>
      <c r="L866" s="20" t="s">
        <v>5241</v>
      </c>
    </row>
    <row r="867" spans="10:12" x14ac:dyDescent="0.25">
      <c r="J867" s="20" t="s">
        <v>2634</v>
      </c>
      <c r="K867" s="20" t="s">
        <v>2634</v>
      </c>
      <c r="L867" s="20" t="s">
        <v>2635</v>
      </c>
    </row>
    <row r="868" spans="10:12" x14ac:dyDescent="0.25">
      <c r="J868" s="20" t="s">
        <v>3407</v>
      </c>
      <c r="K868" s="20" t="s">
        <v>3407</v>
      </c>
      <c r="L868" s="20" t="s">
        <v>3408</v>
      </c>
    </row>
    <row r="869" spans="10:12" x14ac:dyDescent="0.25">
      <c r="J869" s="20" t="s">
        <v>4128</v>
      </c>
      <c r="K869" s="20" t="s">
        <v>4128</v>
      </c>
      <c r="L869" s="20" t="s">
        <v>4129</v>
      </c>
    </row>
    <row r="870" spans="10:12" x14ac:dyDescent="0.25">
      <c r="J870" s="20" t="s">
        <v>4287</v>
      </c>
      <c r="K870" s="20" t="s">
        <v>4287</v>
      </c>
      <c r="L870" s="20" t="s">
        <v>4288</v>
      </c>
    </row>
    <row r="871" spans="10:12" x14ac:dyDescent="0.25">
      <c r="J871" s="20" t="s">
        <v>2659</v>
      </c>
      <c r="K871" s="20" t="s">
        <v>2659</v>
      </c>
      <c r="L871" s="20" t="s">
        <v>2660</v>
      </c>
    </row>
    <row r="872" spans="10:12" x14ac:dyDescent="0.25">
      <c r="J872" s="20" t="s">
        <v>2839</v>
      </c>
      <c r="K872" s="20" t="s">
        <v>2839</v>
      </c>
      <c r="L872" s="20" t="s">
        <v>2840</v>
      </c>
    </row>
    <row r="873" spans="10:12" x14ac:dyDescent="0.25">
      <c r="J873" s="20" t="s">
        <v>3045</v>
      </c>
      <c r="K873" s="20" t="s">
        <v>3045</v>
      </c>
      <c r="L873" s="20" t="s">
        <v>3046</v>
      </c>
    </row>
    <row r="874" spans="10:12" x14ac:dyDescent="0.25">
      <c r="J874" s="20" t="s">
        <v>2636</v>
      </c>
      <c r="K874" s="20" t="s">
        <v>2636</v>
      </c>
      <c r="L874" s="20" t="s">
        <v>2637</v>
      </c>
    </row>
    <row r="875" spans="10:12" x14ac:dyDescent="0.25">
      <c r="J875" s="20" t="s">
        <v>4246</v>
      </c>
      <c r="K875" s="20" t="s">
        <v>4246</v>
      </c>
      <c r="L875" s="20" t="s">
        <v>4247</v>
      </c>
    </row>
    <row r="876" spans="10:12" x14ac:dyDescent="0.25">
      <c r="J876" s="20" t="s">
        <v>3272</v>
      </c>
      <c r="K876" s="20" t="s">
        <v>3272</v>
      </c>
      <c r="L876" s="20" t="s">
        <v>3273</v>
      </c>
    </row>
    <row r="877" spans="10:12" x14ac:dyDescent="0.25">
      <c r="J877" s="20" t="s">
        <v>3248</v>
      </c>
      <c r="K877" s="20" t="s">
        <v>3248</v>
      </c>
      <c r="L877" s="20" t="s">
        <v>3249</v>
      </c>
    </row>
    <row r="878" spans="10:12" x14ac:dyDescent="0.25">
      <c r="J878" s="20" t="s">
        <v>3673</v>
      </c>
      <c r="K878" s="20" t="s">
        <v>3673</v>
      </c>
      <c r="L878" s="20" t="s">
        <v>3674</v>
      </c>
    </row>
    <row r="879" spans="10:12" x14ac:dyDescent="0.25">
      <c r="J879" s="20" t="s">
        <v>5432</v>
      </c>
      <c r="K879" s="20" t="s">
        <v>5432</v>
      </c>
      <c r="L879" s="20" t="s">
        <v>5433</v>
      </c>
    </row>
    <row r="880" spans="10:12" x14ac:dyDescent="0.25">
      <c r="J880" s="20" t="s">
        <v>2721</v>
      </c>
      <c r="K880" s="20" t="s">
        <v>2721</v>
      </c>
      <c r="L880" s="20" t="s">
        <v>2722</v>
      </c>
    </row>
    <row r="881" spans="10:12" x14ac:dyDescent="0.25">
      <c r="J881" s="20" t="s">
        <v>4493</v>
      </c>
      <c r="K881" s="20" t="s">
        <v>4493</v>
      </c>
      <c r="L881" s="20" t="s">
        <v>4494</v>
      </c>
    </row>
    <row r="882" spans="10:12" x14ac:dyDescent="0.25">
      <c r="J882" s="20" t="s">
        <v>4897</v>
      </c>
      <c r="K882" s="20" t="s">
        <v>4897</v>
      </c>
      <c r="L882" s="20" t="s">
        <v>4898</v>
      </c>
    </row>
    <row r="883" spans="10:12" x14ac:dyDescent="0.25">
      <c r="J883" s="20" t="s">
        <v>4435</v>
      </c>
      <c r="K883" s="20" t="s">
        <v>4435</v>
      </c>
      <c r="L883" s="20" t="s">
        <v>4436</v>
      </c>
    </row>
    <row r="884" spans="10:12" x14ac:dyDescent="0.25">
      <c r="J884" s="20" t="s">
        <v>2562</v>
      </c>
      <c r="K884" s="20" t="s">
        <v>2562</v>
      </c>
      <c r="L884" s="20" t="s">
        <v>2563</v>
      </c>
    </row>
    <row r="885" spans="10:12" x14ac:dyDescent="0.25">
      <c r="J885" s="20" t="s">
        <v>3093</v>
      </c>
      <c r="K885" s="20" t="s">
        <v>3093</v>
      </c>
      <c r="L885" s="20" t="s">
        <v>4647</v>
      </c>
    </row>
    <row r="886" spans="10:12" x14ac:dyDescent="0.25">
      <c r="J886" s="20" t="s">
        <v>3647</v>
      </c>
      <c r="K886" s="20" t="s">
        <v>3647</v>
      </c>
      <c r="L886" s="20" t="s">
        <v>3648</v>
      </c>
    </row>
    <row r="887" spans="10:12" x14ac:dyDescent="0.25">
      <c r="J887" s="20" t="s">
        <v>3712</v>
      </c>
      <c r="K887" s="20" t="s">
        <v>3712</v>
      </c>
      <c r="L887" s="20" t="s">
        <v>3648</v>
      </c>
    </row>
    <row r="888" spans="10:12" x14ac:dyDescent="0.25">
      <c r="J888" s="20" t="s">
        <v>3093</v>
      </c>
      <c r="K888" s="20" t="s">
        <v>3093</v>
      </c>
      <c r="L888" s="20" t="s">
        <v>5297</v>
      </c>
    </row>
    <row r="889" spans="10:12" x14ac:dyDescent="0.25">
      <c r="J889" s="20" t="s">
        <v>3093</v>
      </c>
      <c r="K889" s="20" t="s">
        <v>3093</v>
      </c>
      <c r="L889" s="20" t="s">
        <v>3243</v>
      </c>
    </row>
    <row r="890" spans="10:12" x14ac:dyDescent="0.25">
      <c r="J890" s="20" t="s">
        <v>3093</v>
      </c>
      <c r="K890" s="20" t="s">
        <v>3093</v>
      </c>
      <c r="L890" s="20" t="s">
        <v>4544</v>
      </c>
    </row>
    <row r="891" spans="10:12" x14ac:dyDescent="0.25">
      <c r="J891" s="20" t="s">
        <v>3093</v>
      </c>
      <c r="K891" s="20" t="s">
        <v>3093</v>
      </c>
      <c r="L891" s="20" t="s">
        <v>4527</v>
      </c>
    </row>
    <row r="892" spans="10:12" x14ac:dyDescent="0.25">
      <c r="J892" s="20" t="s">
        <v>3745</v>
      </c>
      <c r="K892" s="20" t="s">
        <v>3745</v>
      </c>
      <c r="L892" s="20" t="s">
        <v>3746</v>
      </c>
    </row>
    <row r="893" spans="10:12" x14ac:dyDescent="0.25">
      <c r="J893" s="20" t="s">
        <v>5196</v>
      </c>
      <c r="K893" s="20" t="s">
        <v>5196</v>
      </c>
      <c r="L893" s="20" t="s">
        <v>5197</v>
      </c>
    </row>
    <row r="894" spans="10:12" x14ac:dyDescent="0.25">
      <c r="J894" s="20" t="s">
        <v>4818</v>
      </c>
      <c r="K894" s="20" t="s">
        <v>4818</v>
      </c>
      <c r="L894" s="20" t="s">
        <v>4819</v>
      </c>
    </row>
    <row r="895" spans="10:12" x14ac:dyDescent="0.25">
      <c r="J895" s="20" t="s">
        <v>5415</v>
      </c>
      <c r="K895" s="20" t="s">
        <v>5415</v>
      </c>
      <c r="L895" s="20" t="s">
        <v>5416</v>
      </c>
    </row>
    <row r="896" spans="10:12" x14ac:dyDescent="0.25">
      <c r="J896" s="20" t="s">
        <v>3741</v>
      </c>
      <c r="K896" s="20" t="s">
        <v>3741</v>
      </c>
      <c r="L896" s="20" t="s">
        <v>3742</v>
      </c>
    </row>
    <row r="897" spans="10:12" x14ac:dyDescent="0.25">
      <c r="J897" s="20" t="s">
        <v>3739</v>
      </c>
      <c r="K897" s="20" t="s">
        <v>3739</v>
      </c>
      <c r="L897" s="20" t="s">
        <v>3740</v>
      </c>
    </row>
    <row r="898" spans="10:12" x14ac:dyDescent="0.25">
      <c r="J898" s="20" t="s">
        <v>4883</v>
      </c>
      <c r="K898" s="20" t="s">
        <v>4883</v>
      </c>
      <c r="L898" s="20" t="s">
        <v>4884</v>
      </c>
    </row>
    <row r="899" spans="10:12" x14ac:dyDescent="0.25">
      <c r="J899" s="20" t="s">
        <v>3743</v>
      </c>
      <c r="K899" s="20" t="s">
        <v>3743</v>
      </c>
      <c r="L899" s="20" t="s">
        <v>3744</v>
      </c>
    </row>
    <row r="900" spans="10:12" x14ac:dyDescent="0.25">
      <c r="J900" s="20" t="s">
        <v>3737</v>
      </c>
      <c r="K900" s="20" t="s">
        <v>3737</v>
      </c>
      <c r="L900" s="20" t="s">
        <v>3738</v>
      </c>
    </row>
    <row r="901" spans="10:12" x14ac:dyDescent="0.25">
      <c r="J901" s="20" t="s">
        <v>4816</v>
      </c>
      <c r="K901" s="20" t="s">
        <v>4816</v>
      </c>
      <c r="L901" s="20" t="s">
        <v>4817</v>
      </c>
    </row>
    <row r="902" spans="10:12" x14ac:dyDescent="0.25">
      <c r="J902" s="20" t="s">
        <v>3231</v>
      </c>
      <c r="K902" s="20" t="s">
        <v>3231</v>
      </c>
      <c r="L902" s="20" t="s">
        <v>3232</v>
      </c>
    </row>
    <row r="903" spans="10:12" x14ac:dyDescent="0.25">
      <c r="J903" s="20" t="s">
        <v>2663</v>
      </c>
      <c r="K903" s="20" t="s">
        <v>2663</v>
      </c>
      <c r="L903" s="20" t="s">
        <v>2664</v>
      </c>
    </row>
    <row r="904" spans="10:12" x14ac:dyDescent="0.25">
      <c r="J904" s="20" t="s">
        <v>3093</v>
      </c>
      <c r="K904" s="20" t="s">
        <v>3093</v>
      </c>
      <c r="L904" s="20" t="s">
        <v>4825</v>
      </c>
    </row>
    <row r="905" spans="10:12" x14ac:dyDescent="0.25">
      <c r="J905" s="20" t="s">
        <v>2590</v>
      </c>
      <c r="K905" s="20" t="s">
        <v>2590</v>
      </c>
      <c r="L905" s="20" t="s">
        <v>2591</v>
      </c>
    </row>
    <row r="906" spans="10:12" x14ac:dyDescent="0.25">
      <c r="J906" s="20" t="s">
        <v>3624</v>
      </c>
      <c r="K906" s="20" t="s">
        <v>3624</v>
      </c>
      <c r="L906" s="20" t="s">
        <v>3626</v>
      </c>
    </row>
    <row r="907" spans="10:12" x14ac:dyDescent="0.25">
      <c r="J907" s="20" t="s">
        <v>3624</v>
      </c>
      <c r="K907" s="20" t="s">
        <v>3624</v>
      </c>
      <c r="L907" s="20" t="s">
        <v>3625</v>
      </c>
    </row>
    <row r="908" spans="10:12" x14ac:dyDescent="0.25">
      <c r="J908" s="20" t="s">
        <v>4725</v>
      </c>
      <c r="K908" s="20" t="s">
        <v>4725</v>
      </c>
      <c r="L908" s="20" t="s">
        <v>4726</v>
      </c>
    </row>
    <row r="909" spans="10:12" x14ac:dyDescent="0.25">
      <c r="J909" s="20" t="s">
        <v>3093</v>
      </c>
      <c r="K909" s="20" t="s">
        <v>3093</v>
      </c>
      <c r="L909" s="20" t="s">
        <v>5321</v>
      </c>
    </row>
    <row r="910" spans="10:12" x14ac:dyDescent="0.25">
      <c r="J910" s="20" t="s">
        <v>3215</v>
      </c>
      <c r="K910" s="20" t="s">
        <v>3215</v>
      </c>
      <c r="L910" s="20" t="s">
        <v>3216</v>
      </c>
    </row>
    <row r="911" spans="10:12" x14ac:dyDescent="0.25">
      <c r="J911" s="20" t="s">
        <v>3213</v>
      </c>
      <c r="K911" s="20" t="s">
        <v>3213</v>
      </c>
      <c r="L911" s="20" t="s">
        <v>3214</v>
      </c>
    </row>
    <row r="912" spans="10:12" x14ac:dyDescent="0.25">
      <c r="J912" s="20" t="s">
        <v>4366</v>
      </c>
      <c r="K912" s="20" t="s">
        <v>4366</v>
      </c>
      <c r="L912" s="20" t="s">
        <v>4367</v>
      </c>
    </row>
    <row r="913" spans="10:12" x14ac:dyDescent="0.25">
      <c r="J913" s="20" t="s">
        <v>4228</v>
      </c>
      <c r="K913" s="20" t="s">
        <v>4228</v>
      </c>
      <c r="L913" s="20" t="s">
        <v>4229</v>
      </c>
    </row>
    <row r="914" spans="10:12" x14ac:dyDescent="0.25">
      <c r="J914" s="20" t="s">
        <v>3093</v>
      </c>
      <c r="K914" s="20" t="s">
        <v>3093</v>
      </c>
      <c r="L914" s="20" t="s">
        <v>4682</v>
      </c>
    </row>
    <row r="915" spans="10:12" x14ac:dyDescent="0.25">
      <c r="J915" s="20" t="s">
        <v>3093</v>
      </c>
      <c r="K915" s="20" t="s">
        <v>3093</v>
      </c>
      <c r="L915" s="20" t="s">
        <v>4432</v>
      </c>
    </row>
    <row r="916" spans="10:12" x14ac:dyDescent="0.25">
      <c r="J916" s="20" t="s">
        <v>3093</v>
      </c>
      <c r="K916" s="20" t="s">
        <v>3093</v>
      </c>
      <c r="L916" s="20" t="s">
        <v>5052</v>
      </c>
    </row>
    <row r="917" spans="10:12" x14ac:dyDescent="0.25">
      <c r="J917" s="20" t="s">
        <v>3093</v>
      </c>
      <c r="K917" s="20" t="s">
        <v>3093</v>
      </c>
      <c r="L917" s="20" t="s">
        <v>4977</v>
      </c>
    </row>
    <row r="918" spans="10:12" x14ac:dyDescent="0.25">
      <c r="J918" s="20" t="s">
        <v>5059</v>
      </c>
      <c r="K918" s="20" t="s">
        <v>5059</v>
      </c>
      <c r="L918" s="20" t="s">
        <v>5060</v>
      </c>
    </row>
    <row r="919" spans="10:12" x14ac:dyDescent="0.25">
      <c r="J919" s="20" t="s">
        <v>5062</v>
      </c>
      <c r="K919" s="20" t="s">
        <v>5062</v>
      </c>
      <c r="L919" s="20" t="s">
        <v>5063</v>
      </c>
    </row>
    <row r="920" spans="10:12" x14ac:dyDescent="0.25">
      <c r="J920" s="20" t="s">
        <v>4553</v>
      </c>
      <c r="K920" s="20" t="s">
        <v>4553</v>
      </c>
      <c r="L920" s="20" t="s">
        <v>4554</v>
      </c>
    </row>
    <row r="921" spans="10:12" x14ac:dyDescent="0.25">
      <c r="J921" s="20" t="s">
        <v>4802</v>
      </c>
      <c r="K921" s="20" t="s">
        <v>4802</v>
      </c>
      <c r="L921" s="20" t="s">
        <v>4803</v>
      </c>
    </row>
    <row r="922" spans="10:12" x14ac:dyDescent="0.25">
      <c r="J922" s="20" t="s">
        <v>3093</v>
      </c>
      <c r="K922" s="20" t="s">
        <v>3093</v>
      </c>
      <c r="L922" s="20" t="s">
        <v>5224</v>
      </c>
    </row>
    <row r="923" spans="10:12" x14ac:dyDescent="0.25">
      <c r="J923" s="20" t="s">
        <v>3093</v>
      </c>
      <c r="K923" s="20" t="s">
        <v>3093</v>
      </c>
      <c r="L923" s="20" t="s">
        <v>5323</v>
      </c>
    </row>
    <row r="924" spans="10:12" x14ac:dyDescent="0.25">
      <c r="J924" s="20" t="s">
        <v>3963</v>
      </c>
      <c r="K924" s="20" t="s">
        <v>3963</v>
      </c>
      <c r="L924" s="20" t="s">
        <v>3964</v>
      </c>
    </row>
    <row r="925" spans="10:12" x14ac:dyDescent="0.25">
      <c r="J925" s="20" t="s">
        <v>3602</v>
      </c>
      <c r="K925" s="20" t="s">
        <v>3602</v>
      </c>
      <c r="L925" s="20" t="s">
        <v>3603</v>
      </c>
    </row>
    <row r="926" spans="10:12" x14ac:dyDescent="0.25">
      <c r="J926" s="20" t="s">
        <v>3606</v>
      </c>
      <c r="K926" s="20" t="s">
        <v>3606</v>
      </c>
      <c r="L926" s="20" t="s">
        <v>3607</v>
      </c>
    </row>
    <row r="927" spans="10:12" x14ac:dyDescent="0.25">
      <c r="J927" s="20" t="s">
        <v>3946</v>
      </c>
      <c r="K927" s="20" t="s">
        <v>3946</v>
      </c>
      <c r="L927" s="20" t="s">
        <v>3947</v>
      </c>
    </row>
    <row r="928" spans="10:12" x14ac:dyDescent="0.25">
      <c r="J928" s="20" t="s">
        <v>4008</v>
      </c>
      <c r="K928" s="20" t="s">
        <v>4008</v>
      </c>
      <c r="L928" s="20" t="s">
        <v>4009</v>
      </c>
    </row>
    <row r="929" spans="10:12" x14ac:dyDescent="0.25">
      <c r="J929" s="20" t="s">
        <v>3209</v>
      </c>
      <c r="K929" s="20" t="s">
        <v>3209</v>
      </c>
      <c r="L929" s="20" t="s">
        <v>3210</v>
      </c>
    </row>
    <row r="930" spans="10:12" x14ac:dyDescent="0.25">
      <c r="J930" s="20" t="s">
        <v>3918</v>
      </c>
      <c r="K930" s="20" t="s">
        <v>3918</v>
      </c>
      <c r="L930" s="20" t="s">
        <v>3919</v>
      </c>
    </row>
    <row r="931" spans="10:12" x14ac:dyDescent="0.25">
      <c r="J931" s="20" t="s">
        <v>3207</v>
      </c>
      <c r="K931" s="20" t="s">
        <v>3207</v>
      </c>
      <c r="L931" s="20" t="s">
        <v>3208</v>
      </c>
    </row>
    <row r="932" spans="10:12" x14ac:dyDescent="0.25">
      <c r="J932" s="20" t="s">
        <v>2389</v>
      </c>
      <c r="K932" s="20" t="s">
        <v>2389</v>
      </c>
      <c r="L932" s="20" t="s">
        <v>2938</v>
      </c>
    </row>
    <row r="933" spans="10:12" x14ac:dyDescent="0.25">
      <c r="J933" s="20" t="s">
        <v>2835</v>
      </c>
      <c r="K933" s="20" t="s">
        <v>2835</v>
      </c>
      <c r="L933" s="20" t="s">
        <v>2836</v>
      </c>
    </row>
    <row r="934" spans="10:12" x14ac:dyDescent="0.25">
      <c r="J934" s="20" t="s">
        <v>4063</v>
      </c>
      <c r="K934" s="20" t="s">
        <v>4063</v>
      </c>
      <c r="L934" s="20" t="s">
        <v>4064</v>
      </c>
    </row>
    <row r="935" spans="10:12" x14ac:dyDescent="0.25">
      <c r="J935" s="20" t="s">
        <v>4317</v>
      </c>
      <c r="K935" s="20" t="s">
        <v>4317</v>
      </c>
      <c r="L935" s="20" t="s">
        <v>4318</v>
      </c>
    </row>
    <row r="936" spans="10:12" x14ac:dyDescent="0.25">
      <c r="J936" s="20" t="s">
        <v>3898</v>
      </c>
      <c r="K936" s="20" t="s">
        <v>3898</v>
      </c>
      <c r="L936" s="20" t="s">
        <v>3899</v>
      </c>
    </row>
    <row r="937" spans="10:12" x14ac:dyDescent="0.25">
      <c r="J937" s="20" t="s">
        <v>3498</v>
      </c>
      <c r="K937" s="20" t="s">
        <v>3498</v>
      </c>
      <c r="L937" s="20" t="s">
        <v>3499</v>
      </c>
    </row>
    <row r="938" spans="10:12" x14ac:dyDescent="0.25">
      <c r="J938" s="20" t="s">
        <v>3225</v>
      </c>
      <c r="K938" s="20" t="s">
        <v>3225</v>
      </c>
      <c r="L938" s="20" t="s">
        <v>3226</v>
      </c>
    </row>
    <row r="939" spans="10:12" x14ac:dyDescent="0.25">
      <c r="J939" s="20" t="s">
        <v>4683</v>
      </c>
      <c r="K939" s="20" t="s">
        <v>4683</v>
      </c>
      <c r="L939" s="20" t="s">
        <v>4684</v>
      </c>
    </row>
    <row r="940" spans="10:12" x14ac:dyDescent="0.25">
      <c r="J940" s="20" t="s">
        <v>2817</v>
      </c>
      <c r="K940" s="20" t="s">
        <v>2817</v>
      </c>
      <c r="L940" s="20" t="s">
        <v>2818</v>
      </c>
    </row>
    <row r="941" spans="10:12" x14ac:dyDescent="0.25">
      <c r="J941" s="20" t="s">
        <v>4605</v>
      </c>
      <c r="K941" s="20" t="s">
        <v>4605</v>
      </c>
      <c r="L941" s="20" t="s">
        <v>4606</v>
      </c>
    </row>
    <row r="942" spans="10:12" x14ac:dyDescent="0.25">
      <c r="J942" s="20" t="s">
        <v>3093</v>
      </c>
      <c r="K942" s="20" t="s">
        <v>3093</v>
      </c>
      <c r="L942" s="20" t="s">
        <v>4100</v>
      </c>
    </row>
    <row r="943" spans="10:12" x14ac:dyDescent="0.25">
      <c r="J943" s="20" t="s">
        <v>3093</v>
      </c>
      <c r="K943" s="20" t="s">
        <v>3093</v>
      </c>
      <c r="L943" s="20" t="s">
        <v>4100</v>
      </c>
    </row>
    <row r="944" spans="10:12" x14ac:dyDescent="0.25">
      <c r="J944" s="20" t="s">
        <v>4098</v>
      </c>
      <c r="K944" s="20" t="s">
        <v>4098</v>
      </c>
      <c r="L944" s="20" t="s">
        <v>4099</v>
      </c>
    </row>
    <row r="945" spans="10:12" x14ac:dyDescent="0.25">
      <c r="J945" s="20" t="s">
        <v>2675</v>
      </c>
      <c r="K945" s="20" t="s">
        <v>2675</v>
      </c>
      <c r="L945" s="20" t="s">
        <v>2676</v>
      </c>
    </row>
    <row r="946" spans="10:12" x14ac:dyDescent="0.25">
      <c r="J946" s="20" t="s">
        <v>2403</v>
      </c>
      <c r="K946" s="20" t="s">
        <v>2403</v>
      </c>
      <c r="L946" s="20" t="s">
        <v>2611</v>
      </c>
    </row>
    <row r="947" spans="10:12" x14ac:dyDescent="0.25">
      <c r="J947" s="20" t="s">
        <v>2626</v>
      </c>
      <c r="K947" s="20" t="s">
        <v>2626</v>
      </c>
      <c r="L947" s="20" t="s">
        <v>2627</v>
      </c>
    </row>
    <row r="948" spans="10:12" x14ac:dyDescent="0.25">
      <c r="J948" s="20" t="s">
        <v>4373</v>
      </c>
      <c r="K948" s="20" t="s">
        <v>4373</v>
      </c>
      <c r="L948" s="20" t="s">
        <v>4374</v>
      </c>
    </row>
    <row r="949" spans="10:12" x14ac:dyDescent="0.25">
      <c r="J949" s="20" t="s">
        <v>4404</v>
      </c>
      <c r="K949" s="20" t="s">
        <v>4404</v>
      </c>
      <c r="L949" s="20" t="s">
        <v>4405</v>
      </c>
    </row>
    <row r="950" spans="10:12" x14ac:dyDescent="0.25">
      <c r="J950" s="20" t="s">
        <v>2669</v>
      </c>
      <c r="K950" s="20" t="s">
        <v>2669</v>
      </c>
      <c r="L950" s="20" t="s">
        <v>2670</v>
      </c>
    </row>
    <row r="951" spans="10:12" x14ac:dyDescent="0.25">
      <c r="J951" s="20" t="s">
        <v>2715</v>
      </c>
      <c r="K951" s="20" t="s">
        <v>2715</v>
      </c>
      <c r="L951" s="20" t="s">
        <v>2716</v>
      </c>
    </row>
    <row r="952" spans="10:12" x14ac:dyDescent="0.25">
      <c r="J952" s="20" t="s">
        <v>2809</v>
      </c>
      <c r="K952" s="20" t="s">
        <v>2809</v>
      </c>
      <c r="L952" s="20" t="s">
        <v>2810</v>
      </c>
    </row>
    <row r="953" spans="10:12" x14ac:dyDescent="0.25">
      <c r="J953" s="20" t="s">
        <v>2908</v>
      </c>
      <c r="K953" s="20" t="s">
        <v>2908</v>
      </c>
      <c r="L953" s="20" t="s">
        <v>2909</v>
      </c>
    </row>
    <row r="954" spans="10:12" x14ac:dyDescent="0.25">
      <c r="J954" s="20" t="s">
        <v>3069</v>
      </c>
      <c r="K954" s="20" t="s">
        <v>3069</v>
      </c>
      <c r="L954" s="20" t="s">
        <v>3070</v>
      </c>
    </row>
    <row r="955" spans="10:12" x14ac:dyDescent="0.25">
      <c r="J955" s="20" t="s">
        <v>4280</v>
      </c>
      <c r="K955" s="20" t="s">
        <v>4280</v>
      </c>
      <c r="L955" s="20" t="s">
        <v>4281</v>
      </c>
    </row>
    <row r="956" spans="10:12" x14ac:dyDescent="0.25">
      <c r="J956" s="20" t="s">
        <v>4188</v>
      </c>
      <c r="K956" s="20" t="s">
        <v>4188</v>
      </c>
      <c r="L956" s="20" t="s">
        <v>4189</v>
      </c>
    </row>
    <row r="957" spans="10:12" x14ac:dyDescent="0.25">
      <c r="J957" s="20" t="s">
        <v>4155</v>
      </c>
      <c r="K957" s="20" t="s">
        <v>4155</v>
      </c>
      <c r="L957" s="20" t="s">
        <v>4156</v>
      </c>
    </row>
    <row r="958" spans="10:12" x14ac:dyDescent="0.25">
      <c r="J958" s="20" t="s">
        <v>4146</v>
      </c>
      <c r="K958" s="20" t="s">
        <v>4146</v>
      </c>
      <c r="L958" s="20" t="s">
        <v>4147</v>
      </c>
    </row>
    <row r="959" spans="10:12" x14ac:dyDescent="0.25">
      <c r="J959" s="20" t="s">
        <v>5222</v>
      </c>
      <c r="K959" s="20" t="s">
        <v>5222</v>
      </c>
      <c r="L959" s="20" t="s">
        <v>5223</v>
      </c>
    </row>
    <row r="960" spans="10:12" x14ac:dyDescent="0.25">
      <c r="J960" s="20" t="s">
        <v>2845</v>
      </c>
      <c r="K960" s="20" t="s">
        <v>2845</v>
      </c>
      <c r="L960" s="20" t="s">
        <v>2846</v>
      </c>
    </row>
    <row r="961" spans="10:12" x14ac:dyDescent="0.25">
      <c r="J961" s="20" t="s">
        <v>2906</v>
      </c>
      <c r="K961" s="20" t="s">
        <v>2906</v>
      </c>
      <c r="L961" s="20" t="s">
        <v>2907</v>
      </c>
    </row>
    <row r="962" spans="10:12" x14ac:dyDescent="0.25">
      <c r="J962" s="20" t="s">
        <v>2901</v>
      </c>
      <c r="K962" s="20" t="s">
        <v>2901</v>
      </c>
      <c r="L962" s="20" t="s">
        <v>2902</v>
      </c>
    </row>
    <row r="963" spans="10:12" x14ac:dyDescent="0.25">
      <c r="J963" s="20" t="s">
        <v>2733</v>
      </c>
      <c r="K963" s="20" t="s">
        <v>2733</v>
      </c>
      <c r="L963" s="20" t="s">
        <v>2734</v>
      </c>
    </row>
    <row r="964" spans="10:12" x14ac:dyDescent="0.25">
      <c r="J964" s="20" t="s">
        <v>2926</v>
      </c>
      <c r="K964" s="20" t="s">
        <v>2926</v>
      </c>
      <c r="L964" s="20" t="s">
        <v>2927</v>
      </c>
    </row>
    <row r="965" spans="10:12" x14ac:dyDescent="0.25">
      <c r="J965" s="20" t="s">
        <v>2971</v>
      </c>
      <c r="K965" s="20" t="s">
        <v>2971</v>
      </c>
      <c r="L965" s="20" t="s">
        <v>2972</v>
      </c>
    </row>
    <row r="966" spans="10:12" x14ac:dyDescent="0.25">
      <c r="J966" s="20" t="s">
        <v>4266</v>
      </c>
      <c r="K966" s="20" t="s">
        <v>4266</v>
      </c>
      <c r="L966" s="20" t="s">
        <v>4267</v>
      </c>
    </row>
    <row r="967" spans="10:12" x14ac:dyDescent="0.25">
      <c r="J967" s="20" t="s">
        <v>3093</v>
      </c>
      <c r="K967" s="20" t="s">
        <v>3093</v>
      </c>
      <c r="L967" s="20" t="s">
        <v>4372</v>
      </c>
    </row>
    <row r="968" spans="10:12" x14ac:dyDescent="0.25">
      <c r="J968" s="20" t="s">
        <v>3450</v>
      </c>
      <c r="K968" s="20" t="s">
        <v>3450</v>
      </c>
      <c r="L968" s="20" t="s">
        <v>3451</v>
      </c>
    </row>
    <row r="969" spans="10:12" x14ac:dyDescent="0.25">
      <c r="J969" s="20" t="s">
        <v>3256</v>
      </c>
      <c r="K969" s="20" t="s">
        <v>3256</v>
      </c>
      <c r="L969" s="20" t="s">
        <v>3257</v>
      </c>
    </row>
    <row r="970" spans="10:12" x14ac:dyDescent="0.25">
      <c r="J970" s="20" t="s">
        <v>4184</v>
      </c>
      <c r="K970" s="20" t="s">
        <v>4184</v>
      </c>
      <c r="L970" s="20" t="s">
        <v>4185</v>
      </c>
    </row>
    <row r="971" spans="10:12" x14ac:dyDescent="0.25">
      <c r="J971" s="20" t="s">
        <v>3954</v>
      </c>
      <c r="K971" s="20" t="s">
        <v>3954</v>
      </c>
      <c r="L971" s="20" t="s">
        <v>3955</v>
      </c>
    </row>
    <row r="972" spans="10:12" x14ac:dyDescent="0.25">
      <c r="J972" s="20" t="s">
        <v>3093</v>
      </c>
      <c r="K972" s="20" t="s">
        <v>3093</v>
      </c>
      <c r="L972" s="20" t="s">
        <v>5375</v>
      </c>
    </row>
    <row r="973" spans="10:12" x14ac:dyDescent="0.25">
      <c r="J973" s="20" t="s">
        <v>3093</v>
      </c>
      <c r="K973" s="20" t="s">
        <v>3093</v>
      </c>
      <c r="L973" s="20" t="s">
        <v>5361</v>
      </c>
    </row>
    <row r="974" spans="10:12" x14ac:dyDescent="0.25">
      <c r="J974" s="20" t="s">
        <v>3093</v>
      </c>
      <c r="K974" s="20" t="s">
        <v>3093</v>
      </c>
      <c r="L974" s="20" t="s">
        <v>4869</v>
      </c>
    </row>
    <row r="975" spans="10:12" x14ac:dyDescent="0.25">
      <c r="J975" s="20" t="s">
        <v>3093</v>
      </c>
      <c r="K975" s="20" t="s">
        <v>3093</v>
      </c>
      <c r="L975" s="20" t="s">
        <v>4869</v>
      </c>
    </row>
    <row r="976" spans="10:12" x14ac:dyDescent="0.25">
      <c r="J976" s="20" t="s">
        <v>4540</v>
      </c>
      <c r="K976" s="20" t="s">
        <v>4540</v>
      </c>
      <c r="L976" s="20" t="s">
        <v>4541</v>
      </c>
    </row>
    <row r="977" spans="10:12" x14ac:dyDescent="0.25">
      <c r="J977" s="20" t="s">
        <v>4543</v>
      </c>
      <c r="K977" s="20" t="s">
        <v>4543</v>
      </c>
      <c r="L977" s="20" t="s">
        <v>4541</v>
      </c>
    </row>
    <row r="978" spans="10:12" x14ac:dyDescent="0.25">
      <c r="J978" s="20" t="s">
        <v>4523</v>
      </c>
      <c r="K978" s="20" t="s">
        <v>4523</v>
      </c>
      <c r="L978" s="20" t="s">
        <v>4524</v>
      </c>
    </row>
    <row r="979" spans="10:12" x14ac:dyDescent="0.25">
      <c r="J979" s="20" t="s">
        <v>4526</v>
      </c>
      <c r="K979" s="20" t="s">
        <v>4526</v>
      </c>
      <c r="L979" s="20" t="s">
        <v>4524</v>
      </c>
    </row>
    <row r="980" spans="10:12" x14ac:dyDescent="0.25">
      <c r="J980" s="20" t="s">
        <v>3093</v>
      </c>
      <c r="K980" s="20" t="s">
        <v>3093</v>
      </c>
      <c r="L980" s="20" t="s">
        <v>4894</v>
      </c>
    </row>
    <row r="981" spans="10:12" x14ac:dyDescent="0.25">
      <c r="J981" s="20" t="s">
        <v>3093</v>
      </c>
      <c r="K981" s="20" t="s">
        <v>3093</v>
      </c>
      <c r="L981" s="20" t="s">
        <v>4260</v>
      </c>
    </row>
    <row r="982" spans="10:12" x14ac:dyDescent="0.25">
      <c r="J982" s="20" t="s">
        <v>3093</v>
      </c>
      <c r="K982" s="20" t="s">
        <v>3093</v>
      </c>
      <c r="L982" s="20" t="s">
        <v>5362</v>
      </c>
    </row>
    <row r="983" spans="10:12" x14ac:dyDescent="0.25">
      <c r="J983" s="20" t="s">
        <v>3729</v>
      </c>
      <c r="K983" s="20" t="s">
        <v>3729</v>
      </c>
      <c r="L983" s="20" t="s">
        <v>3730</v>
      </c>
    </row>
    <row r="984" spans="10:12" x14ac:dyDescent="0.25">
      <c r="J984" s="20" t="s">
        <v>3223</v>
      </c>
      <c r="K984" s="20" t="s">
        <v>3223</v>
      </c>
      <c r="L984" s="20" t="s">
        <v>3224</v>
      </c>
    </row>
    <row r="985" spans="10:12" x14ac:dyDescent="0.25">
      <c r="J985" s="20" t="s">
        <v>3093</v>
      </c>
      <c r="K985" s="20" t="s">
        <v>3093</v>
      </c>
      <c r="L985" s="20" t="s">
        <v>5324</v>
      </c>
    </row>
    <row r="986" spans="10:12" x14ac:dyDescent="0.25">
      <c r="J986" s="20" t="s">
        <v>3250</v>
      </c>
      <c r="K986" s="20" t="s">
        <v>3250</v>
      </c>
      <c r="L986" s="20" t="s">
        <v>3251</v>
      </c>
    </row>
    <row r="987" spans="10:12" x14ac:dyDescent="0.25">
      <c r="J987" s="20" t="s">
        <v>5042</v>
      </c>
      <c r="K987" s="20" t="s">
        <v>5042</v>
      </c>
      <c r="L987" s="20" t="s">
        <v>5043</v>
      </c>
    </row>
    <row r="988" spans="10:12" x14ac:dyDescent="0.25">
      <c r="J988" s="20" t="s">
        <v>2849</v>
      </c>
      <c r="K988" s="20" t="s">
        <v>2849</v>
      </c>
      <c r="L988" s="20" t="s">
        <v>2850</v>
      </c>
    </row>
    <row r="989" spans="10:12" x14ac:dyDescent="0.25">
      <c r="J989" s="20" t="s">
        <v>3300</v>
      </c>
      <c r="K989" s="20" t="s">
        <v>3300</v>
      </c>
      <c r="L989" s="20" t="s">
        <v>3301</v>
      </c>
    </row>
    <row r="990" spans="10:12" x14ac:dyDescent="0.25">
      <c r="J990" s="20" t="s">
        <v>3194</v>
      </c>
      <c r="K990" s="20" t="s">
        <v>3194</v>
      </c>
      <c r="L990" s="20" t="s">
        <v>3195</v>
      </c>
    </row>
    <row r="991" spans="10:12" x14ac:dyDescent="0.25">
      <c r="J991" s="20" t="s">
        <v>2912</v>
      </c>
      <c r="K991" s="20" t="s">
        <v>2912</v>
      </c>
      <c r="L991" s="20" t="s">
        <v>2913</v>
      </c>
    </row>
    <row r="992" spans="10:12" x14ac:dyDescent="0.25">
      <c r="J992" s="20" t="s">
        <v>2677</v>
      </c>
      <c r="K992" s="20" t="s">
        <v>2677</v>
      </c>
      <c r="L992" s="20" t="s">
        <v>2678</v>
      </c>
    </row>
    <row r="993" spans="10:12" x14ac:dyDescent="0.25">
      <c r="J993" s="20" t="s">
        <v>3041</v>
      </c>
      <c r="K993" s="20" t="s">
        <v>3041</v>
      </c>
      <c r="L993" s="20" t="s">
        <v>3042</v>
      </c>
    </row>
    <row r="994" spans="10:12" x14ac:dyDescent="0.25">
      <c r="J994" s="20" t="s">
        <v>4422</v>
      </c>
      <c r="K994" s="20" t="s">
        <v>4422</v>
      </c>
      <c r="L994" s="20" t="s">
        <v>4423</v>
      </c>
    </row>
    <row r="995" spans="10:12" x14ac:dyDescent="0.25">
      <c r="J995" s="20" t="s">
        <v>3093</v>
      </c>
      <c r="K995" s="20" t="s">
        <v>3093</v>
      </c>
      <c r="L995" s="20" t="s">
        <v>5302</v>
      </c>
    </row>
    <row r="996" spans="10:12" x14ac:dyDescent="0.25">
      <c r="J996" s="20" t="s">
        <v>3519</v>
      </c>
      <c r="K996" s="20" t="s">
        <v>3519</v>
      </c>
      <c r="L996" s="20" t="s">
        <v>3520</v>
      </c>
    </row>
    <row r="997" spans="10:12" x14ac:dyDescent="0.25">
      <c r="J997" s="20" t="s">
        <v>4473</v>
      </c>
      <c r="K997" s="20" t="s">
        <v>4473</v>
      </c>
      <c r="L997" s="20" t="s">
        <v>4474</v>
      </c>
    </row>
    <row r="998" spans="10:12" x14ac:dyDescent="0.25">
      <c r="J998" s="20" t="s">
        <v>2928</v>
      </c>
      <c r="K998" s="20" t="s">
        <v>2928</v>
      </c>
      <c r="L998" s="20" t="s">
        <v>2929</v>
      </c>
    </row>
    <row r="999" spans="10:12" x14ac:dyDescent="0.25">
      <c r="J999" s="20" t="s">
        <v>4723</v>
      </c>
      <c r="K999" s="20" t="s">
        <v>4723</v>
      </c>
      <c r="L999" s="20" t="s">
        <v>4724</v>
      </c>
    </row>
    <row r="1000" spans="10:12" x14ac:dyDescent="0.25">
      <c r="J1000" s="20" t="s">
        <v>2910</v>
      </c>
      <c r="K1000" s="20" t="s">
        <v>2910</v>
      </c>
      <c r="L1000" s="20" t="s">
        <v>2911</v>
      </c>
    </row>
    <row r="1001" spans="10:12" x14ac:dyDescent="0.25">
      <c r="J1001" s="20" t="s">
        <v>2914</v>
      </c>
      <c r="K1001" s="20" t="s">
        <v>2914</v>
      </c>
      <c r="L1001" s="20" t="s">
        <v>2915</v>
      </c>
    </row>
    <row r="1002" spans="10:12" x14ac:dyDescent="0.25">
      <c r="J1002" s="20" t="s">
        <v>3308</v>
      </c>
      <c r="K1002" s="20" t="s">
        <v>3308</v>
      </c>
      <c r="L1002" s="20" t="s">
        <v>3309</v>
      </c>
    </row>
    <row r="1003" spans="10:12" x14ac:dyDescent="0.25">
      <c r="J1003" s="20" t="s">
        <v>4339</v>
      </c>
      <c r="K1003" s="20" t="s">
        <v>4339</v>
      </c>
      <c r="L1003" s="20" t="s">
        <v>4340</v>
      </c>
    </row>
    <row r="1004" spans="10:12" x14ac:dyDescent="0.25">
      <c r="J1004" s="20" t="s">
        <v>2973</v>
      </c>
      <c r="K1004" s="20" t="s">
        <v>2973</v>
      </c>
      <c r="L1004" s="20" t="s">
        <v>2974</v>
      </c>
    </row>
    <row r="1005" spans="10:12" x14ac:dyDescent="0.25">
      <c r="J1005" s="20" t="s">
        <v>3339</v>
      </c>
      <c r="K1005" s="20" t="s">
        <v>3339</v>
      </c>
      <c r="L1005" s="20" t="s">
        <v>3340</v>
      </c>
    </row>
    <row r="1006" spans="10:12" x14ac:dyDescent="0.25">
      <c r="J1006" s="20" t="s">
        <v>3378</v>
      </c>
      <c r="K1006" s="20" t="s">
        <v>3378</v>
      </c>
      <c r="L1006" s="20" t="s">
        <v>3379</v>
      </c>
    </row>
    <row r="1007" spans="10:12" x14ac:dyDescent="0.25">
      <c r="J1007" s="20" t="s">
        <v>2947</v>
      </c>
      <c r="K1007" s="20" t="s">
        <v>2947</v>
      </c>
      <c r="L1007" s="20" t="s">
        <v>2948</v>
      </c>
    </row>
    <row r="1008" spans="10:12" x14ac:dyDescent="0.25">
      <c r="J1008" s="20" t="s">
        <v>4517</v>
      </c>
      <c r="K1008" s="20" t="s">
        <v>4517</v>
      </c>
      <c r="L1008" s="20" t="s">
        <v>2060</v>
      </c>
    </row>
    <row r="1009" spans="10:12" x14ac:dyDescent="0.25">
      <c r="J1009" s="20" t="s">
        <v>5444</v>
      </c>
      <c r="K1009" s="20" t="s">
        <v>5444</v>
      </c>
      <c r="L1009" s="20" t="s">
        <v>2062</v>
      </c>
    </row>
    <row r="1010" spans="10:12" x14ac:dyDescent="0.25">
      <c r="J1010" s="20" t="s">
        <v>4561</v>
      </c>
      <c r="K1010" s="20" t="s">
        <v>4561</v>
      </c>
      <c r="L1010" s="20" t="s">
        <v>2061</v>
      </c>
    </row>
    <row r="1011" spans="10:12" x14ac:dyDescent="0.25">
      <c r="J1011" s="20" t="s">
        <v>4538</v>
      </c>
      <c r="K1011" s="20" t="s">
        <v>4538</v>
      </c>
      <c r="L1011" s="20" t="s">
        <v>2063</v>
      </c>
    </row>
    <row r="1012" spans="10:12" x14ac:dyDescent="0.25">
      <c r="J1012" s="20" t="s">
        <v>4517</v>
      </c>
      <c r="K1012" s="20" t="s">
        <v>4517</v>
      </c>
      <c r="L1012" s="20" t="s">
        <v>4518</v>
      </c>
    </row>
    <row r="1013" spans="10:12" x14ac:dyDescent="0.25">
      <c r="J1013" s="20" t="s">
        <v>4561</v>
      </c>
      <c r="K1013" s="20" t="s">
        <v>4561</v>
      </c>
      <c r="L1013" s="20" t="s">
        <v>4562</v>
      </c>
    </row>
    <row r="1014" spans="10:12" x14ac:dyDescent="0.25">
      <c r="J1014" s="20" t="s">
        <v>4538</v>
      </c>
      <c r="K1014" s="20" t="s">
        <v>4538</v>
      </c>
      <c r="L1014" s="20" t="s">
        <v>4539</v>
      </c>
    </row>
    <row r="1015" spans="10:12" x14ac:dyDescent="0.25">
      <c r="J1015" s="20" t="s">
        <v>4519</v>
      </c>
      <c r="K1015" s="20" t="s">
        <v>4519</v>
      </c>
      <c r="L1015" s="20" t="s">
        <v>4520</v>
      </c>
    </row>
    <row r="1016" spans="10:12" x14ac:dyDescent="0.25">
      <c r="J1016" s="20" t="s">
        <v>2701</v>
      </c>
      <c r="K1016" s="20" t="s">
        <v>2701</v>
      </c>
      <c r="L1016" s="20" t="s">
        <v>2702</v>
      </c>
    </row>
    <row r="1017" spans="10:12" x14ac:dyDescent="0.25">
      <c r="J1017" s="20" t="s">
        <v>4331</v>
      </c>
      <c r="K1017" s="20" t="s">
        <v>4331</v>
      </c>
      <c r="L1017" s="20" t="s">
        <v>4332</v>
      </c>
    </row>
    <row r="1018" spans="10:12" x14ac:dyDescent="0.25">
      <c r="J1018" s="20" t="s">
        <v>5209</v>
      </c>
      <c r="K1018" s="20" t="s">
        <v>5209</v>
      </c>
      <c r="L1018" s="20" t="s">
        <v>5210</v>
      </c>
    </row>
    <row r="1019" spans="10:12" x14ac:dyDescent="0.25">
      <c r="J1019" s="20" t="s">
        <v>5263</v>
      </c>
      <c r="K1019" s="20" t="s">
        <v>5263</v>
      </c>
      <c r="L1019" s="20" t="s">
        <v>5264</v>
      </c>
    </row>
    <row r="1020" spans="10:12" x14ac:dyDescent="0.25">
      <c r="J1020" s="20" t="s">
        <v>3902</v>
      </c>
      <c r="K1020" s="20" t="s">
        <v>3902</v>
      </c>
      <c r="L1020" s="20" t="s">
        <v>3903</v>
      </c>
    </row>
    <row r="1021" spans="10:12" x14ac:dyDescent="0.25">
      <c r="J1021" s="20" t="s">
        <v>3909</v>
      </c>
      <c r="K1021" s="20" t="s">
        <v>3909</v>
      </c>
      <c r="L1021" s="20" t="s">
        <v>3903</v>
      </c>
    </row>
    <row r="1022" spans="10:12" x14ac:dyDescent="0.25">
      <c r="J1022" s="20" t="s">
        <v>3254</v>
      </c>
      <c r="K1022" s="20" t="s">
        <v>3254</v>
      </c>
      <c r="L1022" s="20" t="s">
        <v>3255</v>
      </c>
    </row>
    <row r="1023" spans="10:12" x14ac:dyDescent="0.25">
      <c r="J1023" s="20" t="s">
        <v>4785</v>
      </c>
      <c r="K1023" s="20" t="s">
        <v>4785</v>
      </c>
      <c r="L1023" s="20" t="s">
        <v>4786</v>
      </c>
    </row>
    <row r="1024" spans="10:12" x14ac:dyDescent="0.25">
      <c r="J1024" s="20" t="s">
        <v>5152</v>
      </c>
      <c r="K1024" s="20" t="s">
        <v>5152</v>
      </c>
      <c r="L1024" s="20" t="s">
        <v>5153</v>
      </c>
    </row>
    <row r="1025" spans="10:12" x14ac:dyDescent="0.25">
      <c r="J1025" s="20" t="s">
        <v>5424</v>
      </c>
      <c r="K1025" s="20" t="s">
        <v>5424</v>
      </c>
      <c r="L1025" s="20" t="s">
        <v>5425</v>
      </c>
    </row>
    <row r="1026" spans="10:12" x14ac:dyDescent="0.25">
      <c r="J1026" s="20" t="s">
        <v>3280</v>
      </c>
      <c r="K1026" s="20" t="s">
        <v>3280</v>
      </c>
      <c r="L1026" s="20" t="s">
        <v>3281</v>
      </c>
    </row>
    <row r="1027" spans="10:12" x14ac:dyDescent="0.25">
      <c r="J1027" s="20" t="s">
        <v>2781</v>
      </c>
      <c r="K1027" s="20" t="s">
        <v>2781</v>
      </c>
      <c r="L1027" s="20" t="s">
        <v>2782</v>
      </c>
    </row>
    <row r="1028" spans="10:12" x14ac:dyDescent="0.25">
      <c r="J1028" s="20" t="s">
        <v>2781</v>
      </c>
      <c r="K1028" s="20" t="s">
        <v>2781</v>
      </c>
      <c r="L1028" s="20" t="s">
        <v>2054</v>
      </c>
    </row>
    <row r="1029" spans="10:12" x14ac:dyDescent="0.25">
      <c r="J1029" s="20" t="s">
        <v>2871</v>
      </c>
      <c r="K1029" s="20" t="s">
        <v>2871</v>
      </c>
      <c r="L1029" s="20" t="s">
        <v>2872</v>
      </c>
    </row>
    <row r="1030" spans="10:12" x14ac:dyDescent="0.25">
      <c r="J1030" s="20" t="s">
        <v>3093</v>
      </c>
      <c r="K1030" s="20" t="s">
        <v>3093</v>
      </c>
      <c r="L1030" s="20" t="s">
        <v>5140</v>
      </c>
    </row>
    <row r="1031" spans="10:12" x14ac:dyDescent="0.25">
      <c r="J1031" s="20" t="s">
        <v>3093</v>
      </c>
      <c r="K1031" s="20" t="s">
        <v>3093</v>
      </c>
      <c r="L1031" s="20" t="s">
        <v>4192</v>
      </c>
    </row>
    <row r="1032" spans="10:12" x14ac:dyDescent="0.25">
      <c r="J1032" s="20" t="s">
        <v>3093</v>
      </c>
      <c r="K1032" s="20" t="s">
        <v>3093</v>
      </c>
      <c r="L1032" s="20" t="s">
        <v>5289</v>
      </c>
    </row>
    <row r="1033" spans="10:12" x14ac:dyDescent="0.25">
      <c r="J1033" s="20" t="s">
        <v>3093</v>
      </c>
      <c r="K1033" s="20" t="s">
        <v>3093</v>
      </c>
      <c r="L1033" s="20" t="s">
        <v>4675</v>
      </c>
    </row>
    <row r="1034" spans="10:12" x14ac:dyDescent="0.25">
      <c r="J1034" s="20" t="s">
        <v>4210</v>
      </c>
      <c r="K1034" s="20" t="s">
        <v>4210</v>
      </c>
      <c r="L1034" s="20" t="s">
        <v>4211</v>
      </c>
    </row>
    <row r="1035" spans="10:12" x14ac:dyDescent="0.25">
      <c r="J1035" s="20" t="s">
        <v>4226</v>
      </c>
      <c r="K1035" s="20" t="s">
        <v>4226</v>
      </c>
      <c r="L1035" s="20" t="s">
        <v>4227</v>
      </c>
    </row>
    <row r="1036" spans="10:12" x14ac:dyDescent="0.25">
      <c r="J1036" s="20" t="s">
        <v>3093</v>
      </c>
      <c r="K1036" s="20" t="s">
        <v>3093</v>
      </c>
      <c r="L1036" s="20" t="s">
        <v>4500</v>
      </c>
    </row>
    <row r="1037" spans="10:12" x14ac:dyDescent="0.25">
      <c r="J1037" s="20" t="s">
        <v>3176</v>
      </c>
      <c r="K1037" s="20" t="s">
        <v>3176</v>
      </c>
      <c r="L1037" s="20" t="s">
        <v>3177</v>
      </c>
    </row>
    <row r="1038" spans="10:12" x14ac:dyDescent="0.25">
      <c r="J1038" s="20" t="s">
        <v>3717</v>
      </c>
      <c r="K1038" s="20" t="s">
        <v>3717</v>
      </c>
      <c r="L1038" s="20" t="s">
        <v>3718</v>
      </c>
    </row>
    <row r="1039" spans="10:12" x14ac:dyDescent="0.25">
      <c r="J1039" s="20" t="s">
        <v>2731</v>
      </c>
      <c r="K1039" s="20" t="s">
        <v>2731</v>
      </c>
      <c r="L1039" s="20" t="s">
        <v>2732</v>
      </c>
    </row>
    <row r="1040" spans="10:12" x14ac:dyDescent="0.25">
      <c r="J1040" s="20" t="s">
        <v>3548</v>
      </c>
      <c r="K1040" s="20" t="s">
        <v>3548</v>
      </c>
      <c r="L1040" s="20" t="s">
        <v>3549</v>
      </c>
    </row>
    <row r="1041" spans="10:12" x14ac:dyDescent="0.25">
      <c r="J1041" s="20" t="s">
        <v>3558</v>
      </c>
      <c r="K1041" s="20" t="s">
        <v>3558</v>
      </c>
      <c r="L1041" s="20" t="s">
        <v>3559</v>
      </c>
    </row>
    <row r="1042" spans="10:12" x14ac:dyDescent="0.25">
      <c r="J1042" s="20" t="s">
        <v>2640</v>
      </c>
      <c r="K1042" s="20" t="s">
        <v>2640</v>
      </c>
      <c r="L1042" s="20" t="s">
        <v>2641</v>
      </c>
    </row>
    <row r="1043" spans="10:12" x14ac:dyDescent="0.25">
      <c r="J1043" s="20" t="s">
        <v>3912</v>
      </c>
      <c r="K1043" s="20" t="s">
        <v>3912</v>
      </c>
      <c r="L1043" s="20" t="s">
        <v>3913</v>
      </c>
    </row>
    <row r="1044" spans="10:12" x14ac:dyDescent="0.25">
      <c r="J1044" s="20" t="s">
        <v>3166</v>
      </c>
      <c r="K1044" s="20" t="s">
        <v>3166</v>
      </c>
      <c r="L1044" s="20" t="s">
        <v>3167</v>
      </c>
    </row>
    <row r="1045" spans="10:12" x14ac:dyDescent="0.25">
      <c r="J1045" s="20" t="s">
        <v>4481</v>
      </c>
      <c r="K1045" s="20" t="s">
        <v>4481</v>
      </c>
      <c r="L1045" s="20" t="s">
        <v>4482</v>
      </c>
    </row>
    <row r="1046" spans="10:12" x14ac:dyDescent="0.25">
      <c r="J1046" s="20" t="s">
        <v>3005</v>
      </c>
      <c r="K1046" s="20" t="s">
        <v>3005</v>
      </c>
      <c r="L1046" s="20" t="s">
        <v>3006</v>
      </c>
    </row>
    <row r="1047" spans="10:12" x14ac:dyDescent="0.25">
      <c r="J1047" s="20" t="s">
        <v>3093</v>
      </c>
      <c r="K1047" s="20" t="s">
        <v>3093</v>
      </c>
      <c r="L1047" s="20" t="s">
        <v>5098</v>
      </c>
    </row>
    <row r="1048" spans="10:12" x14ac:dyDescent="0.25">
      <c r="J1048" s="20" t="s">
        <v>3093</v>
      </c>
      <c r="K1048" s="20" t="s">
        <v>3093</v>
      </c>
      <c r="L1048" s="20" t="s">
        <v>4386</v>
      </c>
    </row>
    <row r="1049" spans="10:12" x14ac:dyDescent="0.25">
      <c r="J1049" s="20" t="s">
        <v>3093</v>
      </c>
      <c r="K1049" s="20" t="s">
        <v>3093</v>
      </c>
      <c r="L1049" s="20" t="s">
        <v>3445</v>
      </c>
    </row>
    <row r="1050" spans="10:12" x14ac:dyDescent="0.25">
      <c r="J1050" s="20" t="s">
        <v>3093</v>
      </c>
      <c r="K1050" s="20" t="s">
        <v>3093</v>
      </c>
      <c r="L1050" s="20" t="s">
        <v>4067</v>
      </c>
    </row>
    <row r="1051" spans="10:12" x14ac:dyDescent="0.25">
      <c r="J1051" s="20" t="s">
        <v>3093</v>
      </c>
      <c r="K1051" s="20" t="s">
        <v>3093</v>
      </c>
      <c r="L1051" s="20" t="s">
        <v>4383</v>
      </c>
    </row>
    <row r="1052" spans="10:12" x14ac:dyDescent="0.25">
      <c r="J1052" s="20" t="s">
        <v>2767</v>
      </c>
      <c r="K1052" s="20" t="s">
        <v>2767</v>
      </c>
      <c r="L1052" s="20" t="s">
        <v>2768</v>
      </c>
    </row>
    <row r="1053" spans="10:12" x14ac:dyDescent="0.25">
      <c r="J1053" s="20" t="s">
        <v>2885</v>
      </c>
      <c r="K1053" s="20" t="s">
        <v>2885</v>
      </c>
      <c r="L1053" s="20" t="s">
        <v>2886</v>
      </c>
    </row>
    <row r="1054" spans="10:12" x14ac:dyDescent="0.25">
      <c r="J1054" s="20" t="s">
        <v>4603</v>
      </c>
      <c r="K1054" s="20" t="s">
        <v>4603</v>
      </c>
      <c r="L1054" s="20" t="s">
        <v>4604</v>
      </c>
    </row>
    <row r="1055" spans="10:12" x14ac:dyDescent="0.25">
      <c r="J1055" s="20" t="s">
        <v>3904</v>
      </c>
      <c r="K1055" s="20" t="s">
        <v>3904</v>
      </c>
      <c r="L1055" s="20" t="s">
        <v>3905</v>
      </c>
    </row>
    <row r="1056" spans="10:12" x14ac:dyDescent="0.25">
      <c r="J1056" s="20" t="s">
        <v>3871</v>
      </c>
      <c r="K1056" s="20" t="s">
        <v>3871</v>
      </c>
      <c r="L1056" s="20" t="s">
        <v>3872</v>
      </c>
    </row>
    <row r="1057" spans="10:12" x14ac:dyDescent="0.25">
      <c r="J1057" s="20" t="s">
        <v>3900</v>
      </c>
      <c r="K1057" s="20" t="s">
        <v>3900</v>
      </c>
      <c r="L1057" s="20" t="s">
        <v>3872</v>
      </c>
    </row>
    <row r="1058" spans="10:12" x14ac:dyDescent="0.25">
      <c r="J1058" s="20" t="s">
        <v>4325</v>
      </c>
      <c r="K1058" s="20" t="s">
        <v>4325</v>
      </c>
      <c r="L1058" s="20" t="s">
        <v>4326</v>
      </c>
    </row>
    <row r="1059" spans="10:12" x14ac:dyDescent="0.25">
      <c r="J1059" s="20" t="s">
        <v>3093</v>
      </c>
      <c r="K1059" s="20" t="s">
        <v>3093</v>
      </c>
      <c r="L1059" s="20" t="s">
        <v>3361</v>
      </c>
    </row>
    <row r="1060" spans="10:12" x14ac:dyDescent="0.25">
      <c r="J1060" s="20" t="s">
        <v>4483</v>
      </c>
      <c r="K1060" s="20" t="s">
        <v>4483</v>
      </c>
      <c r="L1060" s="20" t="s">
        <v>4484</v>
      </c>
    </row>
    <row r="1061" spans="10:12" x14ac:dyDescent="0.25">
      <c r="J1061" s="20" t="s">
        <v>2827</v>
      </c>
      <c r="K1061" s="20" t="s">
        <v>2827</v>
      </c>
      <c r="L1061" s="20" t="s">
        <v>2828</v>
      </c>
    </row>
    <row r="1062" spans="10:12" x14ac:dyDescent="0.25">
      <c r="J1062" s="20" t="s">
        <v>3093</v>
      </c>
      <c r="K1062" s="20" t="s">
        <v>3093</v>
      </c>
      <c r="L1062" s="20" t="s">
        <v>4927</v>
      </c>
    </row>
    <row r="1063" spans="10:12" x14ac:dyDescent="0.25">
      <c r="J1063" s="20" t="s">
        <v>3093</v>
      </c>
      <c r="K1063" s="20" t="s">
        <v>3093</v>
      </c>
      <c r="L1063" s="20" t="s">
        <v>4729</v>
      </c>
    </row>
    <row r="1064" spans="10:12" x14ac:dyDescent="0.25">
      <c r="J1064" s="20" t="s">
        <v>3093</v>
      </c>
      <c r="K1064" s="20" t="s">
        <v>3093</v>
      </c>
      <c r="L1064" s="20" t="s">
        <v>3369</v>
      </c>
    </row>
    <row r="1065" spans="10:12" x14ac:dyDescent="0.25">
      <c r="J1065" s="20" t="s">
        <v>3093</v>
      </c>
      <c r="K1065" s="20" t="s">
        <v>3093</v>
      </c>
      <c r="L1065" s="20" t="s">
        <v>5029</v>
      </c>
    </row>
    <row r="1066" spans="10:12" x14ac:dyDescent="0.25">
      <c r="J1066" s="20" t="s">
        <v>3093</v>
      </c>
      <c r="K1066" s="20" t="s">
        <v>3093</v>
      </c>
      <c r="L1066" s="20" t="s">
        <v>3985</v>
      </c>
    </row>
    <row r="1067" spans="10:12" x14ac:dyDescent="0.25">
      <c r="J1067" s="20" t="s">
        <v>3093</v>
      </c>
      <c r="K1067" s="20" t="s">
        <v>3093</v>
      </c>
      <c r="L1067" s="20" t="s">
        <v>5162</v>
      </c>
    </row>
    <row r="1068" spans="10:12" x14ac:dyDescent="0.25">
      <c r="J1068" s="20" t="s">
        <v>5254</v>
      </c>
      <c r="K1068" s="20" t="s">
        <v>5254</v>
      </c>
      <c r="L1068" s="20" t="s">
        <v>5255</v>
      </c>
    </row>
    <row r="1069" spans="10:12" x14ac:dyDescent="0.25">
      <c r="J1069" s="20" t="s">
        <v>3093</v>
      </c>
      <c r="K1069" s="20" t="s">
        <v>3093</v>
      </c>
      <c r="L1069" s="20" t="s">
        <v>5363</v>
      </c>
    </row>
    <row r="1070" spans="10:12" x14ac:dyDescent="0.25">
      <c r="J1070" s="20" t="s">
        <v>5230</v>
      </c>
      <c r="K1070" s="20" t="s">
        <v>5230</v>
      </c>
      <c r="L1070" s="20" t="s">
        <v>5231</v>
      </c>
    </row>
    <row r="1071" spans="10:12" x14ac:dyDescent="0.25">
      <c r="J1071" s="20" t="s">
        <v>2841</v>
      </c>
      <c r="K1071" s="20" t="s">
        <v>2841</v>
      </c>
      <c r="L1071" s="20" t="s">
        <v>2842</v>
      </c>
    </row>
    <row r="1072" spans="10:12" x14ac:dyDescent="0.25">
      <c r="J1072" s="20" t="s">
        <v>4381</v>
      </c>
      <c r="K1072" s="20" t="s">
        <v>4381</v>
      </c>
      <c r="L1072" s="20" t="s">
        <v>4382</v>
      </c>
    </row>
    <row r="1073" spans="10:12" x14ac:dyDescent="0.25">
      <c r="J1073" s="20" t="s">
        <v>4132</v>
      </c>
      <c r="K1073" s="20" t="s">
        <v>4132</v>
      </c>
      <c r="L1073" s="20" t="s">
        <v>4133</v>
      </c>
    </row>
    <row r="1074" spans="10:12" x14ac:dyDescent="0.25">
      <c r="J1074" s="20" t="s">
        <v>4002</v>
      </c>
      <c r="K1074" s="20" t="s">
        <v>4002</v>
      </c>
      <c r="L1074" s="20" t="s">
        <v>4003</v>
      </c>
    </row>
    <row r="1075" spans="10:12" x14ac:dyDescent="0.25">
      <c r="J1075" s="20" t="s">
        <v>2959</v>
      </c>
      <c r="K1075" s="20" t="s">
        <v>2959</v>
      </c>
      <c r="L1075" s="20" t="s">
        <v>2960</v>
      </c>
    </row>
    <row r="1076" spans="10:12" x14ac:dyDescent="0.25">
      <c r="J1076" s="20" t="s">
        <v>3152</v>
      </c>
      <c r="K1076" s="20" t="s">
        <v>3152</v>
      </c>
      <c r="L1076" s="20" t="s">
        <v>3153</v>
      </c>
    </row>
    <row r="1077" spans="10:12" x14ac:dyDescent="0.25">
      <c r="J1077" s="20" t="s">
        <v>3172</v>
      </c>
      <c r="K1077" s="20" t="s">
        <v>3172</v>
      </c>
      <c r="L1077" s="20" t="s">
        <v>3173</v>
      </c>
    </row>
    <row r="1078" spans="10:12" x14ac:dyDescent="0.25">
      <c r="J1078" s="20" t="s">
        <v>3304</v>
      </c>
      <c r="K1078" s="20" t="s">
        <v>3304</v>
      </c>
      <c r="L1078" s="20" t="s">
        <v>3305</v>
      </c>
    </row>
    <row r="1079" spans="10:12" x14ac:dyDescent="0.25">
      <c r="J1079" s="20" t="s">
        <v>3950</v>
      </c>
      <c r="K1079" s="20" t="s">
        <v>3950</v>
      </c>
      <c r="L1079" s="20" t="s">
        <v>3951</v>
      </c>
    </row>
    <row r="1080" spans="10:12" x14ac:dyDescent="0.25">
      <c r="J1080" s="20" t="s">
        <v>3116</v>
      </c>
      <c r="K1080" s="20" t="s">
        <v>3116</v>
      </c>
      <c r="L1080" s="20" t="s">
        <v>3117</v>
      </c>
    </row>
    <row r="1081" spans="10:12" x14ac:dyDescent="0.25">
      <c r="J1081" s="20" t="s">
        <v>4282</v>
      </c>
      <c r="K1081" s="20" t="s">
        <v>4282</v>
      </c>
      <c r="L1081" s="20" t="s">
        <v>4283</v>
      </c>
    </row>
    <row r="1082" spans="10:12" x14ac:dyDescent="0.25">
      <c r="J1082" s="20" t="s">
        <v>3130</v>
      </c>
      <c r="K1082" s="20" t="s">
        <v>3130</v>
      </c>
      <c r="L1082" s="20" t="s">
        <v>3131</v>
      </c>
    </row>
    <row r="1083" spans="10:12" x14ac:dyDescent="0.25">
      <c r="J1083" s="20" t="s">
        <v>3160</v>
      </c>
      <c r="K1083" s="20" t="s">
        <v>3160</v>
      </c>
      <c r="L1083" s="20" t="s">
        <v>3161</v>
      </c>
    </row>
    <row r="1084" spans="10:12" x14ac:dyDescent="0.25">
      <c r="J1084" s="20" t="s">
        <v>3118</v>
      </c>
      <c r="K1084" s="20" t="s">
        <v>3118</v>
      </c>
      <c r="L1084" s="20" t="s">
        <v>3119</v>
      </c>
    </row>
    <row r="1085" spans="10:12" x14ac:dyDescent="0.25">
      <c r="J1085" s="20" t="s">
        <v>3318</v>
      </c>
      <c r="K1085" s="20" t="s">
        <v>3318</v>
      </c>
      <c r="L1085" s="20" t="s">
        <v>3319</v>
      </c>
    </row>
    <row r="1086" spans="10:12" x14ac:dyDescent="0.25">
      <c r="J1086" s="20" t="s">
        <v>3114</v>
      </c>
      <c r="K1086" s="20" t="s">
        <v>3114</v>
      </c>
      <c r="L1086" s="20" t="s">
        <v>3115</v>
      </c>
    </row>
    <row r="1087" spans="10:12" x14ac:dyDescent="0.25">
      <c r="J1087" s="20" t="s">
        <v>4012</v>
      </c>
      <c r="K1087" s="20" t="s">
        <v>4012</v>
      </c>
      <c r="L1087" s="20" t="s">
        <v>4013</v>
      </c>
    </row>
    <row r="1088" spans="10:12" x14ac:dyDescent="0.25">
      <c r="J1088" s="20" t="s">
        <v>2967</v>
      </c>
      <c r="K1088" s="20" t="s">
        <v>2967</v>
      </c>
      <c r="L1088" s="20" t="s">
        <v>2968</v>
      </c>
    </row>
    <row r="1089" spans="10:12" x14ac:dyDescent="0.25">
      <c r="J1089" s="20" t="s">
        <v>2855</v>
      </c>
      <c r="K1089" s="20" t="s">
        <v>2855</v>
      </c>
      <c r="L1089" s="20" t="s">
        <v>2856</v>
      </c>
    </row>
    <row r="1090" spans="10:12" x14ac:dyDescent="0.25">
      <c r="J1090" s="20" t="s">
        <v>4201</v>
      </c>
      <c r="K1090" s="20" t="s">
        <v>4201</v>
      </c>
      <c r="L1090" s="20" t="s">
        <v>4202</v>
      </c>
    </row>
    <row r="1091" spans="10:12" x14ac:dyDescent="0.25">
      <c r="J1091" s="20" t="s">
        <v>3011</v>
      </c>
      <c r="K1091" s="20" t="s">
        <v>3011</v>
      </c>
      <c r="L1091" s="20" t="s">
        <v>3012</v>
      </c>
    </row>
    <row r="1092" spans="10:12" x14ac:dyDescent="0.25">
      <c r="J1092" s="20" t="s">
        <v>4410</v>
      </c>
      <c r="K1092" s="20" t="s">
        <v>4410</v>
      </c>
      <c r="L1092" s="20" t="s">
        <v>4411</v>
      </c>
    </row>
    <row r="1093" spans="10:12" x14ac:dyDescent="0.25">
      <c r="J1093" s="20" t="s">
        <v>3093</v>
      </c>
      <c r="K1093" s="20" t="s">
        <v>3093</v>
      </c>
      <c r="L1093" s="20" t="s">
        <v>5325</v>
      </c>
    </row>
    <row r="1094" spans="10:12" x14ac:dyDescent="0.25">
      <c r="J1094" s="20" t="s">
        <v>3671</v>
      </c>
      <c r="K1094" s="20" t="s">
        <v>3671</v>
      </c>
      <c r="L1094" s="20" t="s">
        <v>3672</v>
      </c>
    </row>
    <row r="1095" spans="10:12" x14ac:dyDescent="0.25">
      <c r="J1095" s="20" t="s">
        <v>3675</v>
      </c>
      <c r="K1095" s="20" t="s">
        <v>3675</v>
      </c>
      <c r="L1095" s="20" t="s">
        <v>3676</v>
      </c>
    </row>
    <row r="1096" spans="10:12" x14ac:dyDescent="0.25">
      <c r="J1096" s="20" t="s">
        <v>3610</v>
      </c>
      <c r="K1096" s="20" t="s">
        <v>3610</v>
      </c>
      <c r="L1096" s="20" t="s">
        <v>3611</v>
      </c>
    </row>
    <row r="1097" spans="10:12" x14ac:dyDescent="0.25">
      <c r="J1097" s="20" t="s">
        <v>3612</v>
      </c>
      <c r="K1097" s="20" t="s">
        <v>3612</v>
      </c>
      <c r="L1097" s="20" t="s">
        <v>3613</v>
      </c>
    </row>
    <row r="1098" spans="10:12" x14ac:dyDescent="0.25">
      <c r="J1098" s="20" t="s">
        <v>3093</v>
      </c>
      <c r="K1098" s="20" t="s">
        <v>3093</v>
      </c>
      <c r="L1098" s="20" t="s">
        <v>5327</v>
      </c>
    </row>
    <row r="1099" spans="10:12" x14ac:dyDescent="0.25">
      <c r="J1099" s="20" t="s">
        <v>3661</v>
      </c>
      <c r="K1099" s="20" t="s">
        <v>3661</v>
      </c>
      <c r="L1099" s="20" t="s">
        <v>3662</v>
      </c>
    </row>
    <row r="1100" spans="10:12" x14ac:dyDescent="0.25">
      <c r="J1100" s="20" t="s">
        <v>3093</v>
      </c>
      <c r="K1100" s="20" t="s">
        <v>3093</v>
      </c>
      <c r="L1100" s="20" t="s">
        <v>5064</v>
      </c>
    </row>
    <row r="1101" spans="10:12" x14ac:dyDescent="0.25">
      <c r="J1101" s="20" t="s">
        <v>5004</v>
      </c>
      <c r="K1101" s="20" t="s">
        <v>5004</v>
      </c>
      <c r="L1101" s="20" t="s">
        <v>5005</v>
      </c>
    </row>
    <row r="1102" spans="10:12" x14ac:dyDescent="0.25">
      <c r="J1102" s="20" t="s">
        <v>3614</v>
      </c>
      <c r="K1102" s="20" t="s">
        <v>3614</v>
      </c>
      <c r="L1102" s="20" t="s">
        <v>3615</v>
      </c>
    </row>
    <row r="1103" spans="10:12" x14ac:dyDescent="0.25">
      <c r="J1103" s="20" t="s">
        <v>3694</v>
      </c>
      <c r="K1103" s="20" t="s">
        <v>3694</v>
      </c>
      <c r="L1103" s="20" t="s">
        <v>3695</v>
      </c>
    </row>
    <row r="1104" spans="10:12" x14ac:dyDescent="0.25">
      <c r="J1104" s="20" t="s">
        <v>5023</v>
      </c>
      <c r="K1104" s="20" t="s">
        <v>5023</v>
      </c>
      <c r="L1104" s="20" t="s">
        <v>5024</v>
      </c>
    </row>
    <row r="1105" spans="10:12" x14ac:dyDescent="0.25">
      <c r="J1105" s="20" t="s">
        <v>4715</v>
      </c>
      <c r="K1105" s="20" t="s">
        <v>4715</v>
      </c>
      <c r="L1105" s="20" t="s">
        <v>4716</v>
      </c>
    </row>
    <row r="1106" spans="10:12" x14ac:dyDescent="0.25">
      <c r="J1106" s="20" t="s">
        <v>3608</v>
      </c>
      <c r="K1106" s="20" t="s">
        <v>3608</v>
      </c>
      <c r="L1106" s="20" t="s">
        <v>3609</v>
      </c>
    </row>
    <row r="1107" spans="10:12" x14ac:dyDescent="0.25">
      <c r="J1107" s="20" t="s">
        <v>3700</v>
      </c>
      <c r="K1107" s="20" t="s">
        <v>3700</v>
      </c>
      <c r="L1107" s="20" t="s">
        <v>3701</v>
      </c>
    </row>
    <row r="1108" spans="10:12" x14ac:dyDescent="0.25">
      <c r="J1108" s="20" t="s">
        <v>2916</v>
      </c>
      <c r="K1108" s="20" t="s">
        <v>2916</v>
      </c>
      <c r="L1108" s="20" t="s">
        <v>2917</v>
      </c>
    </row>
    <row r="1109" spans="10:12" x14ac:dyDescent="0.25">
      <c r="J1109" s="20" t="s">
        <v>2916</v>
      </c>
      <c r="K1109" s="20" t="s">
        <v>2916</v>
      </c>
      <c r="L1109" s="20" t="s">
        <v>5423</v>
      </c>
    </row>
    <row r="1110" spans="10:12" x14ac:dyDescent="0.25">
      <c r="J1110" s="20" t="s">
        <v>2705</v>
      </c>
      <c r="K1110" s="20" t="s">
        <v>2705</v>
      </c>
      <c r="L1110" s="20" t="s">
        <v>2706</v>
      </c>
    </row>
    <row r="1111" spans="10:12" x14ac:dyDescent="0.25">
      <c r="J1111" s="20" t="s">
        <v>3093</v>
      </c>
      <c r="K1111" s="20" t="s">
        <v>3093</v>
      </c>
      <c r="L1111" s="20" t="s">
        <v>5364</v>
      </c>
    </row>
    <row r="1112" spans="10:12" x14ac:dyDescent="0.25">
      <c r="J1112" s="20" t="s">
        <v>3093</v>
      </c>
      <c r="K1112" s="20" t="s">
        <v>3093</v>
      </c>
      <c r="L1112" s="20" t="s">
        <v>5272</v>
      </c>
    </row>
    <row r="1113" spans="10:12" x14ac:dyDescent="0.25">
      <c r="J1113" s="20" t="s">
        <v>3622</v>
      </c>
      <c r="K1113" s="20" t="s">
        <v>3622</v>
      </c>
      <c r="L1113" s="20" t="s">
        <v>3623</v>
      </c>
    </row>
    <row r="1114" spans="10:12" x14ac:dyDescent="0.25">
      <c r="J1114" s="20" t="s">
        <v>3236</v>
      </c>
      <c r="K1114" s="20" t="s">
        <v>3236</v>
      </c>
      <c r="L1114" s="20" t="s">
        <v>3237</v>
      </c>
    </row>
    <row r="1115" spans="10:12" x14ac:dyDescent="0.25">
      <c r="J1115" s="20" t="s">
        <v>3236</v>
      </c>
      <c r="K1115" s="20" t="s">
        <v>3236</v>
      </c>
      <c r="L1115" s="20" t="s">
        <v>3238</v>
      </c>
    </row>
    <row r="1116" spans="10:12" x14ac:dyDescent="0.25">
      <c r="J1116" s="20" t="s">
        <v>3093</v>
      </c>
      <c r="K1116" s="20" t="s">
        <v>3093</v>
      </c>
      <c r="L1116" s="20" t="s">
        <v>4732</v>
      </c>
    </row>
    <row r="1117" spans="10:12" x14ac:dyDescent="0.25">
      <c r="J1117" s="20" t="s">
        <v>3093</v>
      </c>
      <c r="K1117" s="20" t="s">
        <v>3093</v>
      </c>
      <c r="L1117" s="20" t="s">
        <v>4789</v>
      </c>
    </row>
    <row r="1118" spans="10:12" x14ac:dyDescent="0.25">
      <c r="J1118" s="20" t="s">
        <v>4074</v>
      </c>
      <c r="K1118" s="20" t="s">
        <v>4074</v>
      </c>
      <c r="L1118" s="20" t="s">
        <v>4075</v>
      </c>
    </row>
    <row r="1119" spans="10:12" x14ac:dyDescent="0.25">
      <c r="J1119" s="20" t="s">
        <v>3055</v>
      </c>
      <c r="K1119" s="20" t="s">
        <v>3055</v>
      </c>
      <c r="L1119" s="20" t="s">
        <v>3056</v>
      </c>
    </row>
    <row r="1120" spans="10:12" x14ac:dyDescent="0.25">
      <c r="J1120" s="20" t="s">
        <v>4038</v>
      </c>
      <c r="K1120" s="20" t="s">
        <v>4038</v>
      </c>
      <c r="L1120" s="20" t="s">
        <v>4039</v>
      </c>
    </row>
    <row r="1121" spans="10:12" x14ac:dyDescent="0.25">
      <c r="J1121" s="20" t="s">
        <v>5383</v>
      </c>
      <c r="K1121" s="20" t="s">
        <v>5383</v>
      </c>
      <c r="L1121" s="20" t="s">
        <v>5384</v>
      </c>
    </row>
    <row r="1122" spans="10:12" x14ac:dyDescent="0.25">
      <c r="J1122" s="20" t="s">
        <v>4790</v>
      </c>
      <c r="K1122" s="20" t="s">
        <v>4790</v>
      </c>
      <c r="L1122" s="20" t="s">
        <v>4791</v>
      </c>
    </row>
    <row r="1123" spans="10:12" x14ac:dyDescent="0.25">
      <c r="J1123" s="20" t="s">
        <v>3906</v>
      </c>
      <c r="K1123" s="20" t="s">
        <v>3906</v>
      </c>
      <c r="L1123" s="20" t="s">
        <v>3907</v>
      </c>
    </row>
    <row r="1124" spans="10:12" x14ac:dyDescent="0.25">
      <c r="J1124" s="20" t="s">
        <v>4354</v>
      </c>
      <c r="K1124" s="20" t="s">
        <v>4354</v>
      </c>
      <c r="L1124" s="20" t="s">
        <v>4355</v>
      </c>
    </row>
    <row r="1125" spans="10:12" x14ac:dyDescent="0.25">
      <c r="J1125" s="20" t="s">
        <v>4514</v>
      </c>
      <c r="K1125" s="20" t="s">
        <v>4514</v>
      </c>
      <c r="L1125" s="20" t="s">
        <v>4515</v>
      </c>
    </row>
    <row r="1126" spans="10:12" x14ac:dyDescent="0.25">
      <c r="J1126" s="20" t="s">
        <v>5276</v>
      </c>
      <c r="K1126" s="20" t="s">
        <v>5276</v>
      </c>
      <c r="L1126" s="20" t="s">
        <v>5277</v>
      </c>
    </row>
    <row r="1127" spans="10:12" x14ac:dyDescent="0.25">
      <c r="J1127" s="20" t="s">
        <v>4925</v>
      </c>
      <c r="K1127" s="20" t="s">
        <v>4925</v>
      </c>
      <c r="L1127" s="20" t="s">
        <v>4926</v>
      </c>
    </row>
    <row r="1128" spans="10:12" x14ac:dyDescent="0.25">
      <c r="J1128" s="20" t="s">
        <v>5129</v>
      </c>
      <c r="K1128" s="20" t="s">
        <v>5129</v>
      </c>
      <c r="L1128" s="20" t="s">
        <v>5130</v>
      </c>
    </row>
    <row r="1129" spans="10:12" x14ac:dyDescent="0.25">
      <c r="J1129" s="20" t="s">
        <v>5039</v>
      </c>
      <c r="K1129" s="20" t="s">
        <v>5039</v>
      </c>
      <c r="L1129" s="20" t="s">
        <v>5040</v>
      </c>
    </row>
    <row r="1130" spans="10:12" x14ac:dyDescent="0.25">
      <c r="J1130" s="20" t="s">
        <v>5256</v>
      </c>
      <c r="K1130" s="20" t="s">
        <v>5256</v>
      </c>
      <c r="L1130" s="20" t="s">
        <v>5257</v>
      </c>
    </row>
    <row r="1131" spans="10:12" x14ac:dyDescent="0.25">
      <c r="J1131" s="20" t="s">
        <v>3889</v>
      </c>
      <c r="K1131" s="20" t="s">
        <v>3889</v>
      </c>
      <c r="L1131" s="20" t="s">
        <v>3890</v>
      </c>
    </row>
    <row r="1132" spans="10:12" x14ac:dyDescent="0.25">
      <c r="J1132" s="20" t="s">
        <v>4878</v>
      </c>
      <c r="K1132" s="20" t="s">
        <v>4878</v>
      </c>
      <c r="L1132" s="20" t="s">
        <v>4879</v>
      </c>
    </row>
    <row r="1133" spans="10:12" x14ac:dyDescent="0.25">
      <c r="J1133" s="20" t="s">
        <v>3093</v>
      </c>
      <c r="K1133" s="20" t="s">
        <v>3093</v>
      </c>
      <c r="L1133" s="20" t="s">
        <v>3831</v>
      </c>
    </row>
    <row r="1134" spans="10:12" x14ac:dyDescent="0.25">
      <c r="J1134" s="20" t="s">
        <v>3093</v>
      </c>
      <c r="K1134" s="20" t="s">
        <v>3093</v>
      </c>
      <c r="L1134" s="20" t="s">
        <v>4293</v>
      </c>
    </row>
    <row r="1135" spans="10:12" x14ac:dyDescent="0.25">
      <c r="J1135" s="20" t="s">
        <v>3651</v>
      </c>
      <c r="K1135" s="20" t="s">
        <v>3651</v>
      </c>
      <c r="L1135" s="20" t="s">
        <v>3652</v>
      </c>
    </row>
    <row r="1136" spans="10:12" x14ac:dyDescent="0.25">
      <c r="J1136" s="20" t="s">
        <v>2765</v>
      </c>
      <c r="K1136" s="20" t="s">
        <v>2765</v>
      </c>
      <c r="L1136" s="20" t="s">
        <v>2766</v>
      </c>
    </row>
    <row r="1137" spans="10:12" x14ac:dyDescent="0.25">
      <c r="J1137" s="20" t="s">
        <v>2432</v>
      </c>
      <c r="K1137" s="20" t="s">
        <v>2432</v>
      </c>
      <c r="L1137" s="20" t="s">
        <v>3681</v>
      </c>
    </row>
    <row r="1138" spans="10:12" x14ac:dyDescent="0.25">
      <c r="J1138" s="20" t="s">
        <v>3649</v>
      </c>
      <c r="K1138" s="20" t="s">
        <v>3649</v>
      </c>
      <c r="L1138" s="20" t="s">
        <v>3650</v>
      </c>
    </row>
    <row r="1139" spans="10:12" x14ac:dyDescent="0.25">
      <c r="J1139" s="20" t="s">
        <v>4487</v>
      </c>
      <c r="K1139" s="20" t="s">
        <v>4487</v>
      </c>
      <c r="L1139" s="20" t="s">
        <v>4488</v>
      </c>
    </row>
    <row r="1140" spans="10:12" x14ac:dyDescent="0.25">
      <c r="J1140" s="20" t="s">
        <v>4532</v>
      </c>
      <c r="K1140" s="20" t="s">
        <v>4532</v>
      </c>
      <c r="L1140" s="20" t="s">
        <v>4533</v>
      </c>
    </row>
    <row r="1141" spans="10:12" x14ac:dyDescent="0.25">
      <c r="J1141" s="20" t="s">
        <v>4580</v>
      </c>
      <c r="K1141" s="20" t="s">
        <v>4580</v>
      </c>
      <c r="L1141" s="20" t="s">
        <v>4581</v>
      </c>
    </row>
    <row r="1142" spans="10:12" x14ac:dyDescent="0.25">
      <c r="J1142" s="20" t="s">
        <v>4739</v>
      </c>
      <c r="K1142" s="20" t="s">
        <v>4739</v>
      </c>
      <c r="L1142" s="20" t="s">
        <v>4740</v>
      </c>
    </row>
    <row r="1143" spans="10:12" x14ac:dyDescent="0.25">
      <c r="J1143" s="20" t="s">
        <v>3639</v>
      </c>
      <c r="K1143" s="20" t="s">
        <v>3639</v>
      </c>
      <c r="L1143" s="20" t="s">
        <v>3640</v>
      </c>
    </row>
    <row r="1144" spans="10:12" x14ac:dyDescent="0.25">
      <c r="J1144" s="20" t="s">
        <v>3093</v>
      </c>
      <c r="K1144" s="20" t="s">
        <v>3093</v>
      </c>
      <c r="L1144" s="20" t="s">
        <v>5376</v>
      </c>
    </row>
    <row r="1145" spans="10:12" x14ac:dyDescent="0.25">
      <c r="J1145" s="20" t="s">
        <v>3093</v>
      </c>
      <c r="K1145" s="20" t="s">
        <v>3093</v>
      </c>
      <c r="L1145" s="20" t="s">
        <v>5377</v>
      </c>
    </row>
    <row r="1146" spans="10:12" x14ac:dyDescent="0.25">
      <c r="J1146" s="20" t="s">
        <v>3093</v>
      </c>
      <c r="K1146" s="20" t="s">
        <v>3093</v>
      </c>
      <c r="L1146" s="20" t="s">
        <v>5365</v>
      </c>
    </row>
    <row r="1147" spans="10:12" x14ac:dyDescent="0.25">
      <c r="J1147" s="20" t="s">
        <v>3755</v>
      </c>
      <c r="K1147" s="20" t="s">
        <v>3755</v>
      </c>
      <c r="L1147" s="20" t="s">
        <v>3756</v>
      </c>
    </row>
    <row r="1148" spans="10:12" x14ac:dyDescent="0.25">
      <c r="J1148" s="20" t="s">
        <v>3667</v>
      </c>
      <c r="K1148" s="20" t="s">
        <v>3667</v>
      </c>
      <c r="L1148" s="20" t="s">
        <v>3668</v>
      </c>
    </row>
    <row r="1149" spans="10:12" x14ac:dyDescent="0.25">
      <c r="J1149" s="20" t="s">
        <v>3093</v>
      </c>
      <c r="K1149" s="20" t="s">
        <v>3093</v>
      </c>
      <c r="L1149" s="20" t="s">
        <v>4510</v>
      </c>
    </row>
    <row r="1150" spans="10:12" x14ac:dyDescent="0.25">
      <c r="J1150" s="20" t="s">
        <v>3401</v>
      </c>
      <c r="K1150" s="20" t="s">
        <v>3401</v>
      </c>
      <c r="L1150" s="20" t="s">
        <v>3402</v>
      </c>
    </row>
    <row r="1151" spans="10:12" x14ac:dyDescent="0.25">
      <c r="J1151" s="20" t="s">
        <v>4268</v>
      </c>
      <c r="K1151" s="20" t="s">
        <v>4268</v>
      </c>
      <c r="L1151" s="20" t="s">
        <v>4269</v>
      </c>
    </row>
    <row r="1152" spans="10:12" x14ac:dyDescent="0.25">
      <c r="J1152" s="20" t="s">
        <v>3019</v>
      </c>
      <c r="K1152" s="20" t="s">
        <v>3019</v>
      </c>
      <c r="L1152" s="20" t="s">
        <v>3020</v>
      </c>
    </row>
    <row r="1153" spans="10:12" x14ac:dyDescent="0.25">
      <c r="J1153" s="20" t="s">
        <v>3659</v>
      </c>
      <c r="K1153" s="20" t="s">
        <v>3659</v>
      </c>
      <c r="L1153" s="20" t="s">
        <v>3660</v>
      </c>
    </row>
    <row r="1154" spans="10:12" x14ac:dyDescent="0.25">
      <c r="J1154" s="20" t="s">
        <v>5165</v>
      </c>
      <c r="K1154" s="20" t="s">
        <v>5165</v>
      </c>
      <c r="L1154" s="20" t="s">
        <v>5166</v>
      </c>
    </row>
    <row r="1155" spans="10:12" x14ac:dyDescent="0.25">
      <c r="J1155" s="20" t="s">
        <v>3586</v>
      </c>
      <c r="K1155" s="20" t="s">
        <v>3586</v>
      </c>
      <c r="L1155" s="20" t="s">
        <v>3587</v>
      </c>
    </row>
    <row r="1156" spans="10:12" x14ac:dyDescent="0.25">
      <c r="J1156" s="20" t="s">
        <v>3677</v>
      </c>
      <c r="K1156" s="20" t="s">
        <v>3677</v>
      </c>
      <c r="L1156" s="20" t="s">
        <v>3678</v>
      </c>
    </row>
    <row r="1157" spans="10:12" x14ac:dyDescent="0.25">
      <c r="J1157" s="20" t="s">
        <v>3641</v>
      </c>
      <c r="K1157" s="20" t="s">
        <v>3641</v>
      </c>
      <c r="L1157" s="20" t="s">
        <v>3642</v>
      </c>
    </row>
    <row r="1158" spans="10:12" x14ac:dyDescent="0.25">
      <c r="J1158" s="20" t="s">
        <v>4528</v>
      </c>
      <c r="K1158" s="20" t="s">
        <v>4528</v>
      </c>
      <c r="L1158" s="20" t="s">
        <v>4529</v>
      </c>
    </row>
    <row r="1159" spans="10:12" x14ac:dyDescent="0.25">
      <c r="J1159" s="20" t="s">
        <v>4433</v>
      </c>
      <c r="K1159" s="20" t="s">
        <v>4433</v>
      </c>
      <c r="L1159" s="20" t="s">
        <v>4434</v>
      </c>
    </row>
    <row r="1160" spans="10:12" x14ac:dyDescent="0.25">
      <c r="J1160" s="20" t="s">
        <v>4873</v>
      </c>
      <c r="K1160" s="20" t="s">
        <v>4873</v>
      </c>
      <c r="L1160" s="20" t="s">
        <v>4874</v>
      </c>
    </row>
    <row r="1161" spans="10:12" x14ac:dyDescent="0.25">
      <c r="J1161" s="20" t="s">
        <v>4530</v>
      </c>
      <c r="K1161" s="20" t="s">
        <v>4530</v>
      </c>
      <c r="L1161" s="20" t="s">
        <v>4531</v>
      </c>
    </row>
    <row r="1162" spans="10:12" x14ac:dyDescent="0.25">
      <c r="J1162" s="20" t="s">
        <v>3093</v>
      </c>
      <c r="K1162" s="20" t="s">
        <v>3093</v>
      </c>
      <c r="L1162" s="20" t="s">
        <v>4755</v>
      </c>
    </row>
    <row r="1163" spans="10:12" x14ac:dyDescent="0.25">
      <c r="J1163" s="20" t="s">
        <v>2825</v>
      </c>
      <c r="K1163" s="20" t="s">
        <v>2825</v>
      </c>
      <c r="L1163" s="20" t="s">
        <v>2826</v>
      </c>
    </row>
    <row r="1164" spans="10:12" x14ac:dyDescent="0.25">
      <c r="J1164" s="20" t="s">
        <v>4504</v>
      </c>
      <c r="K1164" s="20" t="s">
        <v>4504</v>
      </c>
      <c r="L1164" s="20" t="s">
        <v>4505</v>
      </c>
    </row>
    <row r="1165" spans="10:12" x14ac:dyDescent="0.25">
      <c r="J1165" s="20" t="s">
        <v>4501</v>
      </c>
      <c r="K1165" s="20" t="s">
        <v>4501</v>
      </c>
      <c r="L1165" s="20" t="s">
        <v>4502</v>
      </c>
    </row>
    <row r="1166" spans="10:12" x14ac:dyDescent="0.25">
      <c r="J1166" s="20" t="s">
        <v>4248</v>
      </c>
      <c r="K1166" s="20" t="s">
        <v>4248</v>
      </c>
      <c r="L1166" s="20" t="s">
        <v>4249</v>
      </c>
    </row>
    <row r="1167" spans="10:12" x14ac:dyDescent="0.25">
      <c r="J1167" s="20" t="s">
        <v>3093</v>
      </c>
      <c r="K1167" s="20" t="s">
        <v>3093</v>
      </c>
      <c r="L1167" s="20" t="s">
        <v>5328</v>
      </c>
    </row>
    <row r="1168" spans="10:12" x14ac:dyDescent="0.25">
      <c r="J1168" s="20" t="s">
        <v>3351</v>
      </c>
      <c r="K1168" s="20" t="s">
        <v>3351</v>
      </c>
      <c r="L1168" s="20" t="s">
        <v>3352</v>
      </c>
    </row>
    <row r="1169" spans="10:12" x14ac:dyDescent="0.25">
      <c r="J1169" s="20" t="s">
        <v>3093</v>
      </c>
      <c r="K1169" s="20" t="s">
        <v>3093</v>
      </c>
      <c r="L1169" s="20" t="s">
        <v>5329</v>
      </c>
    </row>
    <row r="1170" spans="10:12" x14ac:dyDescent="0.25">
      <c r="J1170" s="20" t="s">
        <v>4957</v>
      </c>
      <c r="K1170" s="20" t="s">
        <v>4957</v>
      </c>
      <c r="L1170" s="20" t="s">
        <v>4958</v>
      </c>
    </row>
    <row r="1171" spans="10:12" x14ac:dyDescent="0.25">
      <c r="J1171" s="20" t="s">
        <v>4199</v>
      </c>
      <c r="K1171" s="20" t="s">
        <v>4199</v>
      </c>
      <c r="L1171" s="20" t="s">
        <v>4200</v>
      </c>
    </row>
    <row r="1172" spans="10:12" x14ac:dyDescent="0.25">
      <c r="J1172" s="20" t="s">
        <v>5183</v>
      </c>
      <c r="K1172" s="20" t="s">
        <v>5183</v>
      </c>
      <c r="L1172" s="20" t="s">
        <v>5184</v>
      </c>
    </row>
    <row r="1173" spans="10:12" x14ac:dyDescent="0.25">
      <c r="J1173" s="20" t="s">
        <v>5071</v>
      </c>
      <c r="K1173" s="20" t="s">
        <v>5071</v>
      </c>
      <c r="L1173" s="20" t="s">
        <v>5072</v>
      </c>
    </row>
    <row r="1174" spans="10:12" x14ac:dyDescent="0.25">
      <c r="J1174" s="20" t="s">
        <v>2943</v>
      </c>
      <c r="K1174" s="20" t="s">
        <v>2943</v>
      </c>
      <c r="L1174" s="20" t="s">
        <v>2944</v>
      </c>
    </row>
    <row r="1175" spans="10:12" x14ac:dyDescent="0.25">
      <c r="J1175" s="20" t="s">
        <v>3093</v>
      </c>
      <c r="K1175" s="20" t="s">
        <v>3093</v>
      </c>
      <c r="L1175" s="20" t="s">
        <v>5041</v>
      </c>
    </row>
    <row r="1176" spans="10:12" x14ac:dyDescent="0.25">
      <c r="J1176" s="20" t="s">
        <v>3093</v>
      </c>
      <c r="K1176" s="20" t="s">
        <v>3093</v>
      </c>
      <c r="L1176" s="20" t="s">
        <v>4398</v>
      </c>
    </row>
    <row r="1177" spans="10:12" x14ac:dyDescent="0.25">
      <c r="J1177" s="20" t="s">
        <v>3093</v>
      </c>
      <c r="K1177" s="20" t="s">
        <v>3093</v>
      </c>
      <c r="L1177" s="20" t="s">
        <v>4398</v>
      </c>
    </row>
    <row r="1178" spans="10:12" x14ac:dyDescent="0.25">
      <c r="J1178" s="20" t="s">
        <v>4763</v>
      </c>
      <c r="K1178" s="20" t="s">
        <v>4763</v>
      </c>
      <c r="L1178" s="20" t="s">
        <v>4764</v>
      </c>
    </row>
    <row r="1179" spans="10:12" x14ac:dyDescent="0.25">
      <c r="J1179" s="20" t="s">
        <v>4761</v>
      </c>
      <c r="K1179" s="20" t="s">
        <v>4761</v>
      </c>
      <c r="L1179" s="20" t="s">
        <v>4762</v>
      </c>
    </row>
    <row r="1180" spans="10:12" x14ac:dyDescent="0.25">
      <c r="J1180" s="20" t="s">
        <v>3536</v>
      </c>
      <c r="K1180" s="20" t="s">
        <v>3536</v>
      </c>
      <c r="L1180" s="20" t="s">
        <v>3537</v>
      </c>
    </row>
    <row r="1181" spans="10:12" x14ac:dyDescent="0.25">
      <c r="J1181" s="20" t="s">
        <v>2983</v>
      </c>
      <c r="K1181" s="20" t="s">
        <v>2983</v>
      </c>
      <c r="L1181" s="20" t="s">
        <v>2984</v>
      </c>
    </row>
    <row r="1182" spans="10:12" x14ac:dyDescent="0.25">
      <c r="J1182" s="20" t="s">
        <v>2657</v>
      </c>
      <c r="K1182" s="20" t="s">
        <v>2657</v>
      </c>
      <c r="L1182" s="20" t="s">
        <v>2658</v>
      </c>
    </row>
    <row r="1183" spans="10:12" x14ac:dyDescent="0.25">
      <c r="J1183" s="20" t="s">
        <v>2922</v>
      </c>
      <c r="K1183" s="20" t="s">
        <v>2922</v>
      </c>
      <c r="L1183" s="20" t="s">
        <v>2923</v>
      </c>
    </row>
    <row r="1184" spans="10:12" x14ac:dyDescent="0.25">
      <c r="J1184" s="20" t="s">
        <v>3929</v>
      </c>
      <c r="K1184" s="20" t="s">
        <v>3929</v>
      </c>
      <c r="L1184" s="20" t="s">
        <v>3930</v>
      </c>
    </row>
    <row r="1185" spans="10:12" x14ac:dyDescent="0.25">
      <c r="J1185" s="20" t="s">
        <v>3944</v>
      </c>
      <c r="K1185" s="20" t="s">
        <v>3944</v>
      </c>
      <c r="L1185" s="20" t="s">
        <v>3945</v>
      </c>
    </row>
    <row r="1186" spans="10:12" x14ac:dyDescent="0.25">
      <c r="J1186" s="20" t="s">
        <v>4030</v>
      </c>
      <c r="K1186" s="20" t="s">
        <v>4030</v>
      </c>
      <c r="L1186" s="20" t="s">
        <v>4031</v>
      </c>
    </row>
    <row r="1187" spans="10:12" x14ac:dyDescent="0.25">
      <c r="J1187" s="20" t="s">
        <v>5160</v>
      </c>
      <c r="K1187" s="20" t="s">
        <v>5160</v>
      </c>
      <c r="L1187" s="20" t="s">
        <v>5161</v>
      </c>
    </row>
    <row r="1188" spans="10:12" x14ac:dyDescent="0.25">
      <c r="J1188" s="20" t="s">
        <v>2747</v>
      </c>
      <c r="K1188" s="20" t="s">
        <v>2747</v>
      </c>
      <c r="L1188" s="20" t="s">
        <v>2748</v>
      </c>
    </row>
    <row r="1189" spans="10:12" x14ac:dyDescent="0.25">
      <c r="J1189" s="20" t="s">
        <v>4827</v>
      </c>
      <c r="K1189" s="20" t="s">
        <v>4827</v>
      </c>
      <c r="L1189" s="20" t="s">
        <v>4828</v>
      </c>
    </row>
    <row r="1190" spans="10:12" x14ac:dyDescent="0.25">
      <c r="J1190" s="20" t="s">
        <v>3093</v>
      </c>
      <c r="K1190" s="20" t="s">
        <v>3093</v>
      </c>
      <c r="L1190" s="20" t="s">
        <v>5331</v>
      </c>
    </row>
    <row r="1191" spans="10:12" x14ac:dyDescent="0.25">
      <c r="J1191" s="20" t="s">
        <v>3643</v>
      </c>
      <c r="K1191" s="20" t="s">
        <v>3643</v>
      </c>
      <c r="L1191" s="20" t="s">
        <v>3644</v>
      </c>
    </row>
    <row r="1192" spans="10:12" x14ac:dyDescent="0.25">
      <c r="J1192" s="20" t="s">
        <v>4739</v>
      </c>
      <c r="K1192" s="20" t="s">
        <v>4739</v>
      </c>
      <c r="L1192" s="20" t="s">
        <v>2055</v>
      </c>
    </row>
    <row r="1193" spans="10:12" x14ac:dyDescent="0.25">
      <c r="J1193" s="20" t="s">
        <v>4197</v>
      </c>
      <c r="K1193" s="20" t="s">
        <v>4197</v>
      </c>
      <c r="L1193" s="20" t="s">
        <v>4198</v>
      </c>
    </row>
    <row r="1194" spans="10:12" x14ac:dyDescent="0.25">
      <c r="J1194" s="20" t="s">
        <v>4162</v>
      </c>
      <c r="K1194" s="20" t="s">
        <v>4162</v>
      </c>
      <c r="L1194" s="20" t="s">
        <v>4163</v>
      </c>
    </row>
    <row r="1195" spans="10:12" x14ac:dyDescent="0.25">
      <c r="J1195" s="20" t="s">
        <v>5027</v>
      </c>
      <c r="K1195" s="20" t="s">
        <v>5027</v>
      </c>
      <c r="L1195" s="20" t="s">
        <v>5028</v>
      </c>
    </row>
    <row r="1196" spans="10:12" x14ac:dyDescent="0.25">
      <c r="J1196" s="20" t="s">
        <v>5429</v>
      </c>
      <c r="K1196" s="20" t="s">
        <v>5429</v>
      </c>
      <c r="L1196" s="20" t="s">
        <v>5430</v>
      </c>
    </row>
    <row r="1197" spans="10:12" x14ac:dyDescent="0.25">
      <c r="J1197" s="20" t="s">
        <v>4151</v>
      </c>
      <c r="K1197" s="20" t="s">
        <v>4151</v>
      </c>
      <c r="L1197" s="20" t="s">
        <v>4152</v>
      </c>
    </row>
    <row r="1198" spans="10:12" x14ac:dyDescent="0.25">
      <c r="J1198" s="20" t="s">
        <v>3877</v>
      </c>
      <c r="K1198" s="20" t="s">
        <v>3877</v>
      </c>
      <c r="L1198" s="20" t="s">
        <v>3878</v>
      </c>
    </row>
    <row r="1199" spans="10:12" x14ac:dyDescent="0.25">
      <c r="J1199" s="20" t="s">
        <v>5073</v>
      </c>
      <c r="K1199" s="20" t="s">
        <v>5073</v>
      </c>
      <c r="L1199" s="20" t="s">
        <v>5074</v>
      </c>
    </row>
    <row r="1200" spans="10:12" x14ac:dyDescent="0.25">
      <c r="J1200" s="20" t="s">
        <v>5417</v>
      </c>
      <c r="K1200" s="20" t="s">
        <v>5417</v>
      </c>
      <c r="L1200" s="20" t="s">
        <v>5418</v>
      </c>
    </row>
    <row r="1201" spans="10:12" x14ac:dyDescent="0.25">
      <c r="J1201" s="20" t="s">
        <v>5417</v>
      </c>
      <c r="K1201" s="20" t="s">
        <v>5417</v>
      </c>
      <c r="L1201" s="20" t="s">
        <v>5418</v>
      </c>
    </row>
    <row r="1202" spans="10:12" x14ac:dyDescent="0.25">
      <c r="J1202" s="20" t="s">
        <v>3829</v>
      </c>
      <c r="K1202" s="20" t="s">
        <v>3829</v>
      </c>
      <c r="L1202" s="20" t="s">
        <v>3830</v>
      </c>
    </row>
    <row r="1203" spans="10:12" x14ac:dyDescent="0.25">
      <c r="J1203" s="20" t="s">
        <v>3816</v>
      </c>
      <c r="K1203" s="20" t="s">
        <v>3816</v>
      </c>
      <c r="L1203" s="20" t="s">
        <v>3817</v>
      </c>
    </row>
    <row r="1204" spans="10:12" x14ac:dyDescent="0.25">
      <c r="J1204" s="20" t="s">
        <v>4291</v>
      </c>
      <c r="K1204" s="20" t="s">
        <v>4291</v>
      </c>
      <c r="L1204" s="20" t="s">
        <v>4292</v>
      </c>
    </row>
    <row r="1205" spans="10:12" x14ac:dyDescent="0.25">
      <c r="J1205" s="20" t="s">
        <v>4981</v>
      </c>
      <c r="K1205" s="20" t="s">
        <v>4981</v>
      </c>
      <c r="L1205" s="20" t="s">
        <v>4982</v>
      </c>
    </row>
    <row r="1206" spans="10:12" x14ac:dyDescent="0.25">
      <c r="J1206" s="20" t="s">
        <v>5273</v>
      </c>
      <c r="K1206" s="20" t="s">
        <v>5273</v>
      </c>
      <c r="L1206" s="20" t="s">
        <v>5274</v>
      </c>
    </row>
    <row r="1207" spans="10:12" x14ac:dyDescent="0.25">
      <c r="J1207" s="20" t="s">
        <v>4758</v>
      </c>
      <c r="K1207" s="20" t="s">
        <v>4758</v>
      </c>
      <c r="L1207" s="20" t="s">
        <v>4759</v>
      </c>
    </row>
    <row r="1208" spans="10:12" x14ac:dyDescent="0.25">
      <c r="J1208" s="20" t="s">
        <v>4319</v>
      </c>
      <c r="K1208" s="20" t="s">
        <v>4319</v>
      </c>
      <c r="L1208" s="20" t="s">
        <v>4320</v>
      </c>
    </row>
    <row r="1209" spans="10:12" x14ac:dyDescent="0.25">
      <c r="J1209" s="20" t="s">
        <v>4992</v>
      </c>
      <c r="K1209" s="20" t="s">
        <v>4992</v>
      </c>
      <c r="L1209" s="20" t="s">
        <v>4993</v>
      </c>
    </row>
    <row r="1210" spans="10:12" x14ac:dyDescent="0.25">
      <c r="J1210" s="20" t="s">
        <v>4384</v>
      </c>
      <c r="K1210" s="20" t="s">
        <v>4384</v>
      </c>
      <c r="L1210" s="20" t="s">
        <v>4385</v>
      </c>
    </row>
    <row r="1211" spans="10:12" x14ac:dyDescent="0.25">
      <c r="J1211" s="20" t="s">
        <v>4809</v>
      </c>
      <c r="K1211" s="20" t="s">
        <v>4809</v>
      </c>
      <c r="L1211" s="20" t="s">
        <v>4810</v>
      </c>
    </row>
    <row r="1212" spans="10:12" x14ac:dyDescent="0.25">
      <c r="J1212" s="20" t="s">
        <v>4312</v>
      </c>
      <c r="K1212" s="20" t="s">
        <v>4312</v>
      </c>
      <c r="L1212" s="20" t="s">
        <v>4313</v>
      </c>
    </row>
    <row r="1213" spans="10:12" x14ac:dyDescent="0.25">
      <c r="J1213" s="20" t="s">
        <v>4284</v>
      </c>
      <c r="K1213" s="20" t="s">
        <v>4284</v>
      </c>
      <c r="L1213" s="20" t="s">
        <v>4285</v>
      </c>
    </row>
    <row r="1214" spans="10:12" x14ac:dyDescent="0.25">
      <c r="J1214" s="20" t="s">
        <v>4258</v>
      </c>
      <c r="K1214" s="20" t="s">
        <v>4258</v>
      </c>
      <c r="L1214" s="20" t="s">
        <v>4259</v>
      </c>
    </row>
    <row r="1215" spans="10:12" x14ac:dyDescent="0.25">
      <c r="J1215" s="20" t="s">
        <v>4730</v>
      </c>
      <c r="K1215" s="20" t="s">
        <v>4730</v>
      </c>
      <c r="L1215" s="20" t="s">
        <v>4731</v>
      </c>
    </row>
    <row r="1216" spans="10:12" x14ac:dyDescent="0.25">
      <c r="J1216" s="20" t="s">
        <v>4399</v>
      </c>
      <c r="K1216" s="20" t="s">
        <v>4399</v>
      </c>
      <c r="L1216" s="20" t="s">
        <v>4400</v>
      </c>
    </row>
    <row r="1217" spans="10:12" x14ac:dyDescent="0.25">
      <c r="J1217" s="20" t="s">
        <v>4343</v>
      </c>
      <c r="K1217" s="20" t="s">
        <v>4343</v>
      </c>
      <c r="L1217" s="20" t="s">
        <v>4344</v>
      </c>
    </row>
    <row r="1218" spans="10:12" x14ac:dyDescent="0.25">
      <c r="J1218" s="20" t="s">
        <v>4485</v>
      </c>
      <c r="K1218" s="20" t="s">
        <v>4485</v>
      </c>
      <c r="L1218" s="20" t="s">
        <v>4486</v>
      </c>
    </row>
    <row r="1219" spans="10:12" x14ac:dyDescent="0.25">
      <c r="J1219" s="20" t="s">
        <v>5065</v>
      </c>
      <c r="K1219" s="20" t="s">
        <v>5065</v>
      </c>
      <c r="L1219" s="20" t="s">
        <v>5066</v>
      </c>
    </row>
    <row r="1220" spans="10:12" x14ac:dyDescent="0.25">
      <c r="J1220" s="20" t="s">
        <v>5188</v>
      </c>
      <c r="K1220" s="20" t="s">
        <v>5188</v>
      </c>
      <c r="L1220" s="20" t="s">
        <v>5189</v>
      </c>
    </row>
    <row r="1221" spans="10:12" x14ac:dyDescent="0.25">
      <c r="J1221" s="20" t="s">
        <v>4370</v>
      </c>
      <c r="K1221" s="20" t="s">
        <v>4370</v>
      </c>
      <c r="L1221" s="20" t="s">
        <v>4371</v>
      </c>
    </row>
    <row r="1222" spans="10:12" x14ac:dyDescent="0.25">
      <c r="J1222" s="20" t="s">
        <v>4625</v>
      </c>
      <c r="K1222" s="20" t="s">
        <v>4625</v>
      </c>
      <c r="L1222" s="20" t="s">
        <v>4626</v>
      </c>
    </row>
    <row r="1223" spans="10:12" x14ac:dyDescent="0.25">
      <c r="J1223" s="20" t="s">
        <v>4931</v>
      </c>
      <c r="K1223" s="20" t="s">
        <v>4931</v>
      </c>
      <c r="L1223" s="20" t="s">
        <v>4932</v>
      </c>
    </row>
    <row r="1224" spans="10:12" x14ac:dyDescent="0.25">
      <c r="J1224" s="20" t="s">
        <v>4928</v>
      </c>
      <c r="K1224" s="20" t="s">
        <v>4928</v>
      </c>
      <c r="L1224" s="20" t="s">
        <v>4929</v>
      </c>
    </row>
    <row r="1225" spans="10:12" x14ac:dyDescent="0.25">
      <c r="J1225" s="20" t="s">
        <v>4234</v>
      </c>
      <c r="K1225" s="20" t="s">
        <v>4234</v>
      </c>
      <c r="L1225" s="20" t="s">
        <v>4235</v>
      </c>
    </row>
    <row r="1226" spans="10:12" x14ac:dyDescent="0.25">
      <c r="J1226" s="20" t="s">
        <v>5096</v>
      </c>
      <c r="K1226" s="20" t="s">
        <v>5096</v>
      </c>
      <c r="L1226" s="20" t="s">
        <v>5097</v>
      </c>
    </row>
    <row r="1227" spans="10:12" x14ac:dyDescent="0.25">
      <c r="J1227" s="20" t="s">
        <v>5242</v>
      </c>
      <c r="K1227" s="20" t="s">
        <v>5242</v>
      </c>
      <c r="L1227" s="20" t="s">
        <v>5243</v>
      </c>
    </row>
    <row r="1228" spans="10:12" x14ac:dyDescent="0.25">
      <c r="J1228" s="20" t="s">
        <v>4153</v>
      </c>
      <c r="K1228" s="20" t="s">
        <v>4153</v>
      </c>
      <c r="L1228" s="20" t="s">
        <v>4154</v>
      </c>
    </row>
    <row r="1229" spans="10:12" x14ac:dyDescent="0.25">
      <c r="J1229" s="20" t="s">
        <v>4109</v>
      </c>
      <c r="K1229" s="20" t="s">
        <v>4109</v>
      </c>
      <c r="L1229" s="20" t="s">
        <v>4110</v>
      </c>
    </row>
    <row r="1230" spans="10:12" x14ac:dyDescent="0.25">
      <c r="J1230" s="20" t="s">
        <v>5290</v>
      </c>
      <c r="K1230" s="20" t="s">
        <v>5290</v>
      </c>
      <c r="L1230" s="20" t="s">
        <v>5291</v>
      </c>
    </row>
    <row r="1231" spans="10:12" x14ac:dyDescent="0.25">
      <c r="J1231" s="20" t="s">
        <v>5143</v>
      </c>
      <c r="K1231" s="20" t="s">
        <v>5143</v>
      </c>
      <c r="L1231" s="20" t="s">
        <v>5144</v>
      </c>
    </row>
    <row r="1232" spans="10:12" x14ac:dyDescent="0.25">
      <c r="J1232" s="20" t="s">
        <v>3787</v>
      </c>
      <c r="K1232" s="20" t="s">
        <v>3787</v>
      </c>
      <c r="L1232" s="20" t="s">
        <v>3788</v>
      </c>
    </row>
    <row r="1233" spans="10:12" x14ac:dyDescent="0.25">
      <c r="J1233" s="20" t="s">
        <v>5191</v>
      </c>
      <c r="K1233" s="20" t="s">
        <v>5191</v>
      </c>
      <c r="L1233" s="20" t="s">
        <v>5192</v>
      </c>
    </row>
    <row r="1234" spans="10:12" x14ac:dyDescent="0.25">
      <c r="J1234" s="20" t="s">
        <v>5411</v>
      </c>
      <c r="K1234" s="20" t="s">
        <v>5411</v>
      </c>
      <c r="L1234" s="20" t="s">
        <v>5412</v>
      </c>
    </row>
    <row r="1235" spans="10:12" x14ac:dyDescent="0.25">
      <c r="J1235" s="20" t="s">
        <v>5261</v>
      </c>
      <c r="K1235" s="20" t="s">
        <v>5261</v>
      </c>
      <c r="L1235" s="20" t="s">
        <v>5262</v>
      </c>
    </row>
    <row r="1236" spans="10:12" x14ac:dyDescent="0.25">
      <c r="J1236" s="20" t="s">
        <v>3763</v>
      </c>
      <c r="K1236" s="20" t="s">
        <v>3763</v>
      </c>
      <c r="L1236" s="20" t="s">
        <v>3764</v>
      </c>
    </row>
    <row r="1237" spans="10:12" x14ac:dyDescent="0.25">
      <c r="J1237" s="20" t="s">
        <v>4124</v>
      </c>
      <c r="K1237" s="20" t="s">
        <v>4124</v>
      </c>
      <c r="L1237" s="20" t="s">
        <v>4125</v>
      </c>
    </row>
    <row r="1238" spans="10:12" x14ac:dyDescent="0.25">
      <c r="J1238" s="20" t="s">
        <v>4753</v>
      </c>
      <c r="K1238" s="20" t="s">
        <v>4753</v>
      </c>
      <c r="L1238" s="20" t="s">
        <v>4754</v>
      </c>
    </row>
    <row r="1239" spans="10:12" x14ac:dyDescent="0.25">
      <c r="J1239" s="20" t="s">
        <v>4909</v>
      </c>
      <c r="K1239" s="20" t="s">
        <v>4909</v>
      </c>
      <c r="L1239" s="20" t="s">
        <v>4910</v>
      </c>
    </row>
    <row r="1240" spans="10:12" x14ac:dyDescent="0.25">
      <c r="J1240" s="20" t="s">
        <v>3868</v>
      </c>
      <c r="K1240" s="20" t="s">
        <v>3868</v>
      </c>
      <c r="L1240" s="20" t="s">
        <v>3869</v>
      </c>
    </row>
    <row r="1241" spans="10:12" x14ac:dyDescent="0.25">
      <c r="J1241" s="20" t="s">
        <v>3896</v>
      </c>
      <c r="K1241" s="20" t="s">
        <v>3896</v>
      </c>
      <c r="L1241" s="20" t="s">
        <v>3897</v>
      </c>
    </row>
    <row r="1242" spans="10:12" x14ac:dyDescent="0.25">
      <c r="J1242" s="20" t="s">
        <v>5178</v>
      </c>
      <c r="K1242" s="20" t="s">
        <v>5178</v>
      </c>
      <c r="L1242" s="20" t="s">
        <v>5179</v>
      </c>
    </row>
    <row r="1243" spans="10:12" x14ac:dyDescent="0.25">
      <c r="J1243" s="20" t="s">
        <v>4159</v>
      </c>
      <c r="K1243" s="20" t="s">
        <v>4159</v>
      </c>
      <c r="L1243" s="20" t="s">
        <v>4160</v>
      </c>
    </row>
    <row r="1244" spans="10:12" x14ac:dyDescent="0.25">
      <c r="J1244" s="20" t="s">
        <v>4358</v>
      </c>
      <c r="K1244" s="20" t="s">
        <v>4358</v>
      </c>
      <c r="L1244" s="20" t="s">
        <v>4359</v>
      </c>
    </row>
    <row r="1245" spans="10:12" x14ac:dyDescent="0.25">
      <c r="J1245" s="20" t="s">
        <v>4465</v>
      </c>
      <c r="K1245" s="20" t="s">
        <v>4465</v>
      </c>
      <c r="L1245" s="20" t="s">
        <v>4466</v>
      </c>
    </row>
    <row r="1246" spans="10:12" x14ac:dyDescent="0.25">
      <c r="J1246" s="20" t="s">
        <v>5245</v>
      </c>
      <c r="K1246" s="20" t="s">
        <v>5245</v>
      </c>
      <c r="L1246" s="20" t="s">
        <v>5246</v>
      </c>
    </row>
    <row r="1247" spans="10:12" x14ac:dyDescent="0.25">
      <c r="J1247" s="20" t="s">
        <v>3779</v>
      </c>
      <c r="K1247" s="20" t="s">
        <v>3779</v>
      </c>
      <c r="L1247" s="20" t="s">
        <v>5431</v>
      </c>
    </row>
    <row r="1248" spans="10:12" x14ac:dyDescent="0.25">
      <c r="J1248" s="20" t="s">
        <v>3887</v>
      </c>
      <c r="K1248" s="20" t="s">
        <v>3887</v>
      </c>
      <c r="L1248" s="20" t="s">
        <v>3888</v>
      </c>
    </row>
    <row r="1249" spans="10:12" x14ac:dyDescent="0.25">
      <c r="J1249" s="20" t="s">
        <v>3093</v>
      </c>
      <c r="K1249" s="20" t="s">
        <v>3093</v>
      </c>
      <c r="L1249" s="20" t="s">
        <v>5326</v>
      </c>
    </row>
    <row r="1250" spans="10:12" x14ac:dyDescent="0.25">
      <c r="J1250" s="20" t="s">
        <v>3881</v>
      </c>
      <c r="K1250" s="20" t="s">
        <v>3881</v>
      </c>
      <c r="L1250" s="20" t="s">
        <v>3882</v>
      </c>
    </row>
    <row r="1251" spans="10:12" x14ac:dyDescent="0.25">
      <c r="J1251" s="20" t="s">
        <v>3769</v>
      </c>
      <c r="K1251" s="20" t="s">
        <v>3769</v>
      </c>
      <c r="L1251" s="20" t="s">
        <v>3770</v>
      </c>
    </row>
    <row r="1252" spans="10:12" x14ac:dyDescent="0.25">
      <c r="J1252" s="20" t="s">
        <v>4756</v>
      </c>
      <c r="K1252" s="20" t="s">
        <v>4756</v>
      </c>
      <c r="L1252" s="20" t="s">
        <v>4757</v>
      </c>
    </row>
    <row r="1253" spans="10:12" x14ac:dyDescent="0.25">
      <c r="J1253" s="20" t="s">
        <v>3875</v>
      </c>
      <c r="K1253" s="20" t="s">
        <v>3875</v>
      </c>
      <c r="L1253" s="20" t="s">
        <v>3876</v>
      </c>
    </row>
    <row r="1254" spans="10:12" x14ac:dyDescent="0.25">
      <c r="J1254" s="20" t="s">
        <v>3832</v>
      </c>
      <c r="K1254" s="20" t="s">
        <v>3832</v>
      </c>
      <c r="L1254" s="20" t="s">
        <v>3833</v>
      </c>
    </row>
    <row r="1255" spans="10:12" x14ac:dyDescent="0.25">
      <c r="J1255" s="20" t="s">
        <v>3834</v>
      </c>
      <c r="K1255" s="20" t="s">
        <v>3834</v>
      </c>
      <c r="L1255" s="20" t="s">
        <v>3835</v>
      </c>
    </row>
    <row r="1256" spans="10:12" x14ac:dyDescent="0.25">
      <c r="J1256" s="20" t="s">
        <v>3767</v>
      </c>
      <c r="K1256" s="20" t="s">
        <v>3767</v>
      </c>
      <c r="L1256" s="20" t="s">
        <v>3768</v>
      </c>
    </row>
    <row r="1257" spans="10:12" x14ac:dyDescent="0.25">
      <c r="J1257" s="20" t="s">
        <v>3873</v>
      </c>
      <c r="K1257" s="20" t="s">
        <v>3873</v>
      </c>
      <c r="L1257" s="20" t="s">
        <v>3874</v>
      </c>
    </row>
    <row r="1258" spans="10:12" x14ac:dyDescent="0.25">
      <c r="J1258" s="20" t="s">
        <v>3892</v>
      </c>
      <c r="K1258" s="20" t="s">
        <v>3892</v>
      </c>
      <c r="L1258" s="20" t="s">
        <v>3893</v>
      </c>
    </row>
    <row r="1259" spans="10:12" x14ac:dyDescent="0.25">
      <c r="J1259" s="20" t="s">
        <v>3823</v>
      </c>
      <c r="K1259" s="20" t="s">
        <v>3823</v>
      </c>
      <c r="L1259" s="20" t="s">
        <v>3824</v>
      </c>
    </row>
    <row r="1260" spans="10:12" x14ac:dyDescent="0.25">
      <c r="J1260" s="20" t="s">
        <v>3819</v>
      </c>
      <c r="K1260" s="20" t="s">
        <v>3819</v>
      </c>
      <c r="L1260" s="20" t="s">
        <v>3820</v>
      </c>
    </row>
    <row r="1261" spans="10:12" x14ac:dyDescent="0.25">
      <c r="J1261" s="20" t="s">
        <v>3821</v>
      </c>
      <c r="K1261" s="20" t="s">
        <v>3821</v>
      </c>
      <c r="L1261" s="20" t="s">
        <v>3822</v>
      </c>
    </row>
    <row r="1262" spans="10:12" x14ac:dyDescent="0.25">
      <c r="J1262" s="20" t="s">
        <v>3827</v>
      </c>
      <c r="K1262" s="20" t="s">
        <v>3827</v>
      </c>
      <c r="L1262" s="20" t="s">
        <v>3828</v>
      </c>
    </row>
    <row r="1263" spans="10:12" x14ac:dyDescent="0.25">
      <c r="J1263" s="20" t="s">
        <v>3825</v>
      </c>
      <c r="K1263" s="20" t="s">
        <v>3825</v>
      </c>
      <c r="L1263" s="20" t="s">
        <v>3826</v>
      </c>
    </row>
    <row r="1264" spans="10:12" x14ac:dyDescent="0.25">
      <c r="J1264" s="20" t="s">
        <v>4302</v>
      </c>
      <c r="K1264" s="20" t="s">
        <v>4302</v>
      </c>
      <c r="L1264" s="20" t="s">
        <v>4303</v>
      </c>
    </row>
    <row r="1265" spans="10:12" x14ac:dyDescent="0.25">
      <c r="J1265" s="20" t="s">
        <v>3879</v>
      </c>
      <c r="K1265" s="20" t="s">
        <v>3879</v>
      </c>
      <c r="L1265" s="20" t="s">
        <v>3880</v>
      </c>
    </row>
    <row r="1266" spans="10:12" x14ac:dyDescent="0.25">
      <c r="J1266" s="20" t="s">
        <v>4321</v>
      </c>
      <c r="K1266" s="20" t="s">
        <v>4321</v>
      </c>
      <c r="L1266" s="20" t="s">
        <v>4322</v>
      </c>
    </row>
    <row r="1267" spans="10:12" x14ac:dyDescent="0.25">
      <c r="J1267" s="20" t="s">
        <v>4323</v>
      </c>
      <c r="K1267" s="20" t="s">
        <v>4323</v>
      </c>
      <c r="L1267" s="20" t="s">
        <v>4324</v>
      </c>
    </row>
    <row r="1268" spans="10:12" x14ac:dyDescent="0.25">
      <c r="J1268" s="20" t="s">
        <v>5008</v>
      </c>
      <c r="K1268" s="20" t="s">
        <v>5008</v>
      </c>
      <c r="L1268" s="20" t="s">
        <v>5009</v>
      </c>
    </row>
    <row r="1269" spans="10:12" x14ac:dyDescent="0.25">
      <c r="J1269" s="20" t="s">
        <v>4000</v>
      </c>
      <c r="K1269" s="20" t="s">
        <v>4000</v>
      </c>
      <c r="L1269" s="20" t="s">
        <v>4001</v>
      </c>
    </row>
    <row r="1270" spans="10:12" x14ac:dyDescent="0.25">
      <c r="J1270" s="20" t="s">
        <v>3846</v>
      </c>
      <c r="K1270" s="20" t="s">
        <v>3846</v>
      </c>
      <c r="L1270" s="20" t="s">
        <v>3847</v>
      </c>
    </row>
    <row r="1271" spans="10:12" x14ac:dyDescent="0.25">
      <c r="J1271" s="20" t="s">
        <v>3848</v>
      </c>
      <c r="K1271" s="20" t="s">
        <v>3848</v>
      </c>
      <c r="L1271" s="20" t="s">
        <v>3849</v>
      </c>
    </row>
    <row r="1272" spans="10:12" x14ac:dyDescent="0.25">
      <c r="J1272" s="20" t="s">
        <v>3850</v>
      </c>
      <c r="K1272" s="20" t="s">
        <v>3850</v>
      </c>
      <c r="L1272" s="20" t="s">
        <v>3851</v>
      </c>
    </row>
    <row r="1273" spans="10:12" x14ac:dyDescent="0.25">
      <c r="J1273" s="20" t="s">
        <v>3852</v>
      </c>
      <c r="K1273" s="20" t="s">
        <v>3852</v>
      </c>
      <c r="L1273" s="20" t="s">
        <v>3853</v>
      </c>
    </row>
    <row r="1274" spans="10:12" x14ac:dyDescent="0.25">
      <c r="J1274" s="20" t="s">
        <v>3854</v>
      </c>
      <c r="K1274" s="20" t="s">
        <v>3854</v>
      </c>
      <c r="L1274" s="20" t="s">
        <v>3855</v>
      </c>
    </row>
    <row r="1275" spans="10:12" x14ac:dyDescent="0.25">
      <c r="J1275" s="20" t="s">
        <v>4094</v>
      </c>
      <c r="K1275" s="20" t="s">
        <v>4094</v>
      </c>
      <c r="L1275" s="20" t="s">
        <v>4095</v>
      </c>
    </row>
    <row r="1276" spans="10:12" x14ac:dyDescent="0.25">
      <c r="J1276" s="20" t="s">
        <v>5006</v>
      </c>
      <c r="K1276" s="20" t="s">
        <v>5006</v>
      </c>
      <c r="L1276" s="20" t="s">
        <v>5007</v>
      </c>
    </row>
    <row r="1277" spans="10:12" x14ac:dyDescent="0.25">
      <c r="J1277" s="20" t="s">
        <v>5281</v>
      </c>
      <c r="K1277" s="20" t="s">
        <v>5281</v>
      </c>
      <c r="L1277" s="20" t="s">
        <v>5282</v>
      </c>
    </row>
    <row r="1278" spans="10:12" x14ac:dyDescent="0.25">
      <c r="J1278" s="20" t="s">
        <v>3885</v>
      </c>
      <c r="K1278" s="20" t="s">
        <v>3885</v>
      </c>
      <c r="L1278" s="20" t="s">
        <v>3886</v>
      </c>
    </row>
    <row r="1279" spans="10:12" x14ac:dyDescent="0.25">
      <c r="J1279" s="20" t="s">
        <v>3779</v>
      </c>
      <c r="K1279" s="20" t="s">
        <v>3779</v>
      </c>
      <c r="L1279" s="20" t="s">
        <v>3780</v>
      </c>
    </row>
    <row r="1280" spans="10:12" x14ac:dyDescent="0.25">
      <c r="J1280" s="20" t="s">
        <v>4906</v>
      </c>
      <c r="K1280" s="20" t="s">
        <v>4906</v>
      </c>
      <c r="L1280" s="20" t="s">
        <v>4907</v>
      </c>
    </row>
    <row r="1281" spans="10:12" x14ac:dyDescent="0.25">
      <c r="J1281" s="20" t="s">
        <v>4895</v>
      </c>
      <c r="K1281" s="20" t="s">
        <v>4895</v>
      </c>
      <c r="L1281" s="20" t="s">
        <v>4896</v>
      </c>
    </row>
    <row r="1282" spans="10:12" x14ac:dyDescent="0.25">
      <c r="J1282" s="20" t="s">
        <v>4119</v>
      </c>
      <c r="K1282" s="20" t="s">
        <v>4119</v>
      </c>
      <c r="L1282" s="20" t="s">
        <v>4120</v>
      </c>
    </row>
    <row r="1283" spans="10:12" x14ac:dyDescent="0.25">
      <c r="J1283" s="20" t="s">
        <v>4687</v>
      </c>
      <c r="K1283" s="20" t="s">
        <v>4687</v>
      </c>
      <c r="L1283" s="20" t="s">
        <v>4688</v>
      </c>
    </row>
    <row r="1284" spans="10:12" x14ac:dyDescent="0.25">
      <c r="J1284" s="20" t="s">
        <v>3775</v>
      </c>
      <c r="K1284" s="20" t="s">
        <v>3775</v>
      </c>
      <c r="L1284" s="20" t="s">
        <v>3776</v>
      </c>
    </row>
    <row r="1285" spans="10:12" x14ac:dyDescent="0.25">
      <c r="J1285" s="20" t="s">
        <v>4126</v>
      </c>
      <c r="K1285" s="20" t="s">
        <v>4126</v>
      </c>
      <c r="L1285" s="20" t="s">
        <v>4127</v>
      </c>
    </row>
    <row r="1286" spans="10:12" x14ac:dyDescent="0.25">
      <c r="J1286" s="20" t="s">
        <v>3791</v>
      </c>
      <c r="K1286" s="20" t="s">
        <v>3791</v>
      </c>
      <c r="L1286" s="20" t="s">
        <v>3792</v>
      </c>
    </row>
    <row r="1287" spans="10:12" x14ac:dyDescent="0.25">
      <c r="J1287" s="20" t="s">
        <v>3759</v>
      </c>
      <c r="K1287" s="20" t="s">
        <v>3759</v>
      </c>
      <c r="L1287" s="20" t="s">
        <v>3760</v>
      </c>
    </row>
    <row r="1288" spans="10:12" x14ac:dyDescent="0.25">
      <c r="J1288" s="20" t="s">
        <v>5250</v>
      </c>
      <c r="K1288" s="20" t="s">
        <v>5250</v>
      </c>
      <c r="L1288" s="20" t="s">
        <v>5251</v>
      </c>
    </row>
    <row r="1289" spans="10:12" x14ac:dyDescent="0.25">
      <c r="J1289" s="20" t="s">
        <v>5283</v>
      </c>
      <c r="K1289" s="20" t="s">
        <v>5283</v>
      </c>
      <c r="L1289" s="20" t="s">
        <v>5284</v>
      </c>
    </row>
    <row r="1290" spans="10:12" x14ac:dyDescent="0.25">
      <c r="J1290" s="20" t="s">
        <v>3765</v>
      </c>
      <c r="K1290" s="20" t="s">
        <v>3765</v>
      </c>
      <c r="L1290" s="20" t="s">
        <v>3766</v>
      </c>
    </row>
    <row r="1291" spans="10:12" x14ac:dyDescent="0.25">
      <c r="J1291" s="20" t="s">
        <v>3093</v>
      </c>
      <c r="K1291" s="20" t="s">
        <v>3093</v>
      </c>
      <c r="L1291" s="20" t="s">
        <v>5332</v>
      </c>
    </row>
    <row r="1292" spans="10:12" x14ac:dyDescent="0.25">
      <c r="J1292" s="20" t="s">
        <v>3761</v>
      </c>
      <c r="K1292" s="20" t="s">
        <v>3761</v>
      </c>
      <c r="L1292" s="20" t="s">
        <v>3762</v>
      </c>
    </row>
    <row r="1293" spans="10:12" x14ac:dyDescent="0.25">
      <c r="J1293" s="20" t="s">
        <v>3789</v>
      </c>
      <c r="K1293" s="20" t="s">
        <v>3789</v>
      </c>
      <c r="L1293" s="20" t="s">
        <v>3790</v>
      </c>
    </row>
    <row r="1294" spans="10:12" x14ac:dyDescent="0.25">
      <c r="J1294" s="20" t="s">
        <v>4107</v>
      </c>
      <c r="K1294" s="20" t="s">
        <v>4107</v>
      </c>
      <c r="L1294" s="20" t="s">
        <v>4108</v>
      </c>
    </row>
    <row r="1295" spans="10:12" x14ac:dyDescent="0.25">
      <c r="J1295" s="20" t="s">
        <v>3374</v>
      </c>
      <c r="K1295" s="20" t="s">
        <v>3374</v>
      </c>
      <c r="L1295" s="20" t="s">
        <v>3375</v>
      </c>
    </row>
    <row r="1296" spans="10:12" x14ac:dyDescent="0.25">
      <c r="J1296" s="20" t="s">
        <v>2987</v>
      </c>
      <c r="K1296" s="20" t="s">
        <v>2987</v>
      </c>
      <c r="L1296" s="20" t="s">
        <v>2988</v>
      </c>
    </row>
    <row r="1297" spans="10:12" x14ac:dyDescent="0.25">
      <c r="J1297" s="20" t="s">
        <v>3925</v>
      </c>
      <c r="K1297" s="20" t="s">
        <v>3925</v>
      </c>
      <c r="L1297" s="20" t="s">
        <v>3926</v>
      </c>
    </row>
    <row r="1298" spans="10:12" x14ac:dyDescent="0.25">
      <c r="J1298" s="20" t="s">
        <v>3530</v>
      </c>
      <c r="K1298" s="20" t="s">
        <v>3530</v>
      </c>
      <c r="L1298" s="20" t="s">
        <v>3531</v>
      </c>
    </row>
    <row r="1299" spans="10:12" x14ac:dyDescent="0.25">
      <c r="J1299" s="20" t="s">
        <v>3392</v>
      </c>
      <c r="K1299" s="20" t="s">
        <v>3392</v>
      </c>
      <c r="L1299" s="20" t="s">
        <v>3393</v>
      </c>
    </row>
    <row r="1300" spans="10:12" x14ac:dyDescent="0.25">
      <c r="J1300" s="20" t="s">
        <v>3509</v>
      </c>
      <c r="K1300" s="20" t="s">
        <v>3509</v>
      </c>
      <c r="L1300" s="20" t="s">
        <v>3510</v>
      </c>
    </row>
    <row r="1301" spans="10:12" x14ac:dyDescent="0.25">
      <c r="J1301" s="20" t="s">
        <v>3590</v>
      </c>
      <c r="K1301" s="20" t="s">
        <v>3590</v>
      </c>
      <c r="L1301" s="20" t="s">
        <v>3591</v>
      </c>
    </row>
    <row r="1302" spans="10:12" x14ac:dyDescent="0.25">
      <c r="J1302" s="20" t="s">
        <v>3933</v>
      </c>
      <c r="K1302" s="20" t="s">
        <v>3933</v>
      </c>
      <c r="L1302" s="20" t="s">
        <v>3934</v>
      </c>
    </row>
    <row r="1303" spans="10:12" x14ac:dyDescent="0.25">
      <c r="J1303" s="20" t="s">
        <v>3211</v>
      </c>
      <c r="K1303" s="20" t="s">
        <v>3211</v>
      </c>
      <c r="L1303" s="20" t="s">
        <v>3212</v>
      </c>
    </row>
    <row r="1304" spans="10:12" x14ac:dyDescent="0.25">
      <c r="J1304" s="20" t="s">
        <v>3380</v>
      </c>
      <c r="K1304" s="20" t="s">
        <v>3380</v>
      </c>
      <c r="L1304" s="20" t="s">
        <v>3381</v>
      </c>
    </row>
    <row r="1305" spans="10:12" x14ac:dyDescent="0.25">
      <c r="J1305" s="20" t="s">
        <v>3093</v>
      </c>
      <c r="K1305" s="20" t="s">
        <v>3093</v>
      </c>
      <c r="L1305" s="20" t="s">
        <v>5333</v>
      </c>
    </row>
    <row r="1306" spans="10:12" x14ac:dyDescent="0.25">
      <c r="J1306" s="20" t="s">
        <v>3093</v>
      </c>
      <c r="K1306" s="20" t="s">
        <v>3093</v>
      </c>
      <c r="L1306" s="20" t="s">
        <v>5334</v>
      </c>
    </row>
    <row r="1307" spans="10:12" x14ac:dyDescent="0.25">
      <c r="J1307" s="20" t="s">
        <v>3093</v>
      </c>
      <c r="K1307" s="20" t="s">
        <v>3093</v>
      </c>
      <c r="L1307" s="20" t="s">
        <v>5335</v>
      </c>
    </row>
    <row r="1308" spans="10:12" x14ac:dyDescent="0.25">
      <c r="J1308" s="20" t="s">
        <v>3566</v>
      </c>
      <c r="K1308" s="20" t="s">
        <v>3566</v>
      </c>
      <c r="L1308" s="20" t="s">
        <v>3567</v>
      </c>
    </row>
    <row r="1309" spans="10:12" x14ac:dyDescent="0.25">
      <c r="J1309" s="20" t="s">
        <v>3967</v>
      </c>
      <c r="K1309" s="20" t="s">
        <v>3967</v>
      </c>
      <c r="L1309" s="20" t="s">
        <v>3968</v>
      </c>
    </row>
    <row r="1310" spans="10:12" x14ac:dyDescent="0.25">
      <c r="J1310" s="20" t="s">
        <v>3341</v>
      </c>
      <c r="K1310" s="20" t="s">
        <v>3341</v>
      </c>
      <c r="L1310" s="20" t="s">
        <v>3342</v>
      </c>
    </row>
    <row r="1311" spans="10:12" x14ac:dyDescent="0.25">
      <c r="J1311" s="20" t="s">
        <v>3093</v>
      </c>
      <c r="K1311" s="20" t="s">
        <v>3093</v>
      </c>
      <c r="L1311" s="20" t="s">
        <v>5336</v>
      </c>
    </row>
    <row r="1312" spans="10:12" x14ac:dyDescent="0.25">
      <c r="J1312" s="20" t="s">
        <v>4056</v>
      </c>
      <c r="K1312" s="20" t="s">
        <v>4056</v>
      </c>
      <c r="L1312" s="20" t="s">
        <v>4057</v>
      </c>
    </row>
    <row r="1313" spans="10:12" x14ac:dyDescent="0.25">
      <c r="J1313" s="20" t="s">
        <v>3594</v>
      </c>
      <c r="K1313" s="20" t="s">
        <v>3594</v>
      </c>
      <c r="L1313" s="20" t="s">
        <v>3595</v>
      </c>
    </row>
    <row r="1314" spans="10:12" x14ac:dyDescent="0.25">
      <c r="J1314" s="20" t="s">
        <v>3128</v>
      </c>
      <c r="K1314" s="20" t="s">
        <v>3128</v>
      </c>
      <c r="L1314" s="20" t="s">
        <v>3129</v>
      </c>
    </row>
    <row r="1315" spans="10:12" x14ac:dyDescent="0.25">
      <c r="J1315" s="20" t="s">
        <v>4089</v>
      </c>
      <c r="K1315" s="20" t="s">
        <v>4089</v>
      </c>
      <c r="L1315" s="20" t="s">
        <v>3129</v>
      </c>
    </row>
    <row r="1316" spans="10:12" x14ac:dyDescent="0.25">
      <c r="J1316" s="20" t="s">
        <v>3093</v>
      </c>
      <c r="K1316" s="20" t="s">
        <v>3093</v>
      </c>
      <c r="L1316" s="20" t="s">
        <v>5366</v>
      </c>
    </row>
    <row r="1317" spans="10:12" x14ac:dyDescent="0.25">
      <c r="J1317" s="20" t="s">
        <v>3093</v>
      </c>
      <c r="K1317" s="20" t="s">
        <v>3093</v>
      </c>
      <c r="L1317" s="20" t="s">
        <v>4938</v>
      </c>
    </row>
    <row r="1318" spans="10:12" x14ac:dyDescent="0.25">
      <c r="J1318" s="20" t="s">
        <v>2628</v>
      </c>
      <c r="K1318" s="20" t="s">
        <v>2628</v>
      </c>
      <c r="L1318" s="20" t="s">
        <v>2629</v>
      </c>
    </row>
    <row r="1319" spans="10:12" x14ac:dyDescent="0.25">
      <c r="J1319" s="20" t="s">
        <v>3504</v>
      </c>
      <c r="K1319" s="20" t="s">
        <v>3504</v>
      </c>
      <c r="L1319" s="20" t="s">
        <v>3505</v>
      </c>
    </row>
    <row r="1320" spans="10:12" x14ac:dyDescent="0.25">
      <c r="J1320" s="20" t="s">
        <v>4914</v>
      </c>
      <c r="K1320" s="20" t="s">
        <v>4914</v>
      </c>
      <c r="L1320" s="20" t="s">
        <v>4915</v>
      </c>
    </row>
    <row r="1321" spans="10:12" x14ac:dyDescent="0.25">
      <c r="J1321" s="20" t="s">
        <v>3093</v>
      </c>
      <c r="K1321" s="20" t="s">
        <v>3093</v>
      </c>
      <c r="L1321" s="20" t="s">
        <v>3908</v>
      </c>
    </row>
    <row r="1322" spans="10:12" x14ac:dyDescent="0.25">
      <c r="J1322" s="20" t="s">
        <v>2671</v>
      </c>
      <c r="K1322" s="20" t="s">
        <v>2671</v>
      </c>
      <c r="L1322" s="20" t="s">
        <v>2672</v>
      </c>
    </row>
    <row r="1323" spans="10:12" x14ac:dyDescent="0.25">
      <c r="J1323" s="20" t="s">
        <v>4352</v>
      </c>
      <c r="K1323" s="20" t="s">
        <v>4352</v>
      </c>
      <c r="L1323" s="20" t="s">
        <v>4353</v>
      </c>
    </row>
    <row r="1324" spans="10:12" x14ac:dyDescent="0.25">
      <c r="J1324" s="20" t="s">
        <v>5293</v>
      </c>
      <c r="K1324" s="20" t="s">
        <v>5293</v>
      </c>
      <c r="L1324" s="20" t="s">
        <v>5294</v>
      </c>
    </row>
    <row r="1325" spans="10:12" x14ac:dyDescent="0.25">
      <c r="J1325" s="20" t="s">
        <v>3093</v>
      </c>
      <c r="K1325" s="20" t="s">
        <v>3093</v>
      </c>
      <c r="L1325" s="20" t="s">
        <v>3479</v>
      </c>
    </row>
    <row r="1326" spans="10:12" x14ac:dyDescent="0.25">
      <c r="J1326" s="20" t="s">
        <v>3093</v>
      </c>
      <c r="K1326" s="20" t="s">
        <v>3093</v>
      </c>
      <c r="L1326" s="20" t="s">
        <v>5201</v>
      </c>
    </row>
    <row r="1327" spans="10:12" x14ac:dyDescent="0.25">
      <c r="J1327" s="20" t="s">
        <v>2707</v>
      </c>
      <c r="K1327" s="20" t="s">
        <v>2707</v>
      </c>
      <c r="L1327" s="20" t="s">
        <v>2708</v>
      </c>
    </row>
    <row r="1328" spans="10:12" x14ac:dyDescent="0.25">
      <c r="J1328" s="20" t="s">
        <v>2582</v>
      </c>
      <c r="K1328" s="20" t="s">
        <v>2582</v>
      </c>
      <c r="L1328" s="20" t="s">
        <v>2583</v>
      </c>
    </row>
    <row r="1329" spans="10:12" x14ac:dyDescent="0.25">
      <c r="J1329" s="20" t="s">
        <v>3840</v>
      </c>
      <c r="K1329" s="20" t="s">
        <v>3840</v>
      </c>
      <c r="L1329" s="20" t="s">
        <v>3841</v>
      </c>
    </row>
    <row r="1330" spans="10:12" x14ac:dyDescent="0.25">
      <c r="J1330" s="20" t="s">
        <v>2811</v>
      </c>
      <c r="K1330" s="20" t="s">
        <v>2811</v>
      </c>
      <c r="L1330" s="20" t="s">
        <v>2812</v>
      </c>
    </row>
    <row r="1331" spans="10:12" x14ac:dyDescent="0.25">
      <c r="J1331" s="20" t="s">
        <v>2763</v>
      </c>
      <c r="K1331" s="20" t="s">
        <v>2763</v>
      </c>
      <c r="L1331" s="20" t="s">
        <v>2764</v>
      </c>
    </row>
    <row r="1332" spans="10:12" x14ac:dyDescent="0.25">
      <c r="J1332" s="20" t="s">
        <v>3093</v>
      </c>
      <c r="K1332" s="20" t="s">
        <v>3093</v>
      </c>
      <c r="L1332" s="20" t="s">
        <v>4983</v>
      </c>
    </row>
    <row r="1333" spans="10:12" x14ac:dyDescent="0.25">
      <c r="J1333" s="20" t="s">
        <v>3093</v>
      </c>
      <c r="K1333" s="20" t="s">
        <v>3093</v>
      </c>
      <c r="L1333" s="20" t="s">
        <v>4811</v>
      </c>
    </row>
    <row r="1334" spans="10:12" x14ac:dyDescent="0.25">
      <c r="J1334" s="20" t="s">
        <v>3093</v>
      </c>
      <c r="K1334" s="20" t="s">
        <v>3093</v>
      </c>
      <c r="L1334" s="20" t="s">
        <v>4855</v>
      </c>
    </row>
    <row r="1335" spans="10:12" x14ac:dyDescent="0.25">
      <c r="J1335" s="20" t="s">
        <v>4899</v>
      </c>
      <c r="K1335" s="20" t="s">
        <v>4899</v>
      </c>
      <c r="L1335" s="20" t="s">
        <v>4900</v>
      </c>
    </row>
    <row r="1336" spans="10:12" x14ac:dyDescent="0.25">
      <c r="J1336" s="20" t="s">
        <v>3994</v>
      </c>
      <c r="K1336" s="20" t="s">
        <v>3994</v>
      </c>
      <c r="L1336" s="20" t="s">
        <v>3995</v>
      </c>
    </row>
    <row r="1337" spans="10:12" x14ac:dyDescent="0.25">
      <c r="J1337" s="20" t="s">
        <v>5235</v>
      </c>
      <c r="K1337" s="20" t="s">
        <v>5235</v>
      </c>
      <c r="L1337" s="20" t="s">
        <v>5236</v>
      </c>
    </row>
    <row r="1338" spans="10:12" x14ac:dyDescent="0.25">
      <c r="J1338" s="20" t="s">
        <v>5232</v>
      </c>
      <c r="K1338" s="20" t="s">
        <v>5232</v>
      </c>
      <c r="L1338" s="20" t="s">
        <v>5233</v>
      </c>
    </row>
    <row r="1339" spans="10:12" x14ac:dyDescent="0.25">
      <c r="J1339" s="20" t="s">
        <v>5050</v>
      </c>
      <c r="K1339" s="20" t="s">
        <v>5050</v>
      </c>
      <c r="L1339" s="20" t="s">
        <v>5051</v>
      </c>
    </row>
    <row r="1340" spans="10:12" x14ac:dyDescent="0.25">
      <c r="J1340" s="20" t="s">
        <v>5044</v>
      </c>
      <c r="K1340" s="20" t="s">
        <v>5044</v>
      </c>
      <c r="L1340" s="20" t="s">
        <v>5045</v>
      </c>
    </row>
    <row r="1341" spans="10:12" x14ac:dyDescent="0.25">
      <c r="J1341" s="20" t="s">
        <v>5047</v>
      </c>
      <c r="K1341" s="20" t="s">
        <v>5047</v>
      </c>
      <c r="L1341" s="20" t="s">
        <v>5048</v>
      </c>
    </row>
    <row r="1342" spans="10:12" x14ac:dyDescent="0.25">
      <c r="J1342" s="20" t="s">
        <v>4430</v>
      </c>
      <c r="K1342" s="20" t="s">
        <v>4430</v>
      </c>
      <c r="L1342" s="20" t="s">
        <v>4431</v>
      </c>
    </row>
    <row r="1343" spans="10:12" x14ac:dyDescent="0.25">
      <c r="J1343" s="20" t="s">
        <v>4976</v>
      </c>
      <c r="K1343" s="20" t="s">
        <v>4976</v>
      </c>
      <c r="L1343" s="20" t="s">
        <v>4431</v>
      </c>
    </row>
    <row r="1344" spans="10:12" x14ac:dyDescent="0.25">
      <c r="J1344" s="20" t="s">
        <v>4577</v>
      </c>
      <c r="K1344" s="20" t="s">
        <v>4577</v>
      </c>
      <c r="L1344" s="20" t="s">
        <v>4578</v>
      </c>
    </row>
    <row r="1345" spans="10:12" x14ac:dyDescent="0.25">
      <c r="J1345" s="20" t="s">
        <v>4651</v>
      </c>
      <c r="K1345" s="20" t="s">
        <v>4651</v>
      </c>
      <c r="L1345" s="20" t="s">
        <v>4652</v>
      </c>
    </row>
    <row r="1346" spans="10:12" x14ac:dyDescent="0.25">
      <c r="J1346" s="20" t="s">
        <v>4427</v>
      </c>
      <c r="K1346" s="20" t="s">
        <v>4427</v>
      </c>
      <c r="L1346" s="20" t="s">
        <v>4428</v>
      </c>
    </row>
    <row r="1347" spans="10:12" x14ac:dyDescent="0.25">
      <c r="J1347" s="20" t="s">
        <v>3093</v>
      </c>
      <c r="K1347" s="20" t="s">
        <v>3093</v>
      </c>
      <c r="L1347" s="20" t="s">
        <v>4274</v>
      </c>
    </row>
    <row r="1348" spans="10:12" x14ac:dyDescent="0.25">
      <c r="J1348" s="20" t="s">
        <v>3093</v>
      </c>
      <c r="K1348" s="20" t="s">
        <v>3093</v>
      </c>
      <c r="L1348" s="20" t="s">
        <v>5337</v>
      </c>
    </row>
    <row r="1349" spans="10:12" x14ac:dyDescent="0.25">
      <c r="J1349" s="20" t="s">
        <v>3093</v>
      </c>
      <c r="K1349" s="20" t="s">
        <v>3093</v>
      </c>
      <c r="L1349" s="20" t="s">
        <v>4714</v>
      </c>
    </row>
    <row r="1350" spans="10:12" x14ac:dyDescent="0.25">
      <c r="J1350" s="20" t="s">
        <v>3093</v>
      </c>
      <c r="K1350" s="20" t="s">
        <v>3093</v>
      </c>
      <c r="L1350" s="20" t="s">
        <v>5190</v>
      </c>
    </row>
    <row r="1351" spans="10:12" x14ac:dyDescent="0.25">
      <c r="J1351" s="20" t="s">
        <v>4551</v>
      </c>
      <c r="K1351" s="20" t="s">
        <v>4551</v>
      </c>
      <c r="L1351" s="20" t="s">
        <v>4552</v>
      </c>
    </row>
    <row r="1352" spans="10:12" x14ac:dyDescent="0.25">
      <c r="J1352" s="20" t="s">
        <v>4557</v>
      </c>
      <c r="K1352" s="20" t="s">
        <v>4557</v>
      </c>
      <c r="L1352" s="20" t="s">
        <v>4558</v>
      </c>
    </row>
    <row r="1353" spans="10:12" x14ac:dyDescent="0.25">
      <c r="J1353" s="20" t="s">
        <v>3093</v>
      </c>
      <c r="K1353" s="20" t="s">
        <v>3093</v>
      </c>
      <c r="L1353" s="20" t="s">
        <v>5204</v>
      </c>
    </row>
    <row r="1354" spans="10:12" x14ac:dyDescent="0.25">
      <c r="J1354" s="20" t="s">
        <v>3093</v>
      </c>
      <c r="K1354" s="20" t="s">
        <v>3093</v>
      </c>
      <c r="L1354" s="20" t="s">
        <v>5208</v>
      </c>
    </row>
    <row r="1355" spans="10:12" x14ac:dyDescent="0.25">
      <c r="J1355" s="20" t="s">
        <v>4771</v>
      </c>
      <c r="K1355" s="20" t="s">
        <v>4771</v>
      </c>
      <c r="L1355" s="20" t="s">
        <v>4772</v>
      </c>
    </row>
    <row r="1356" spans="10:12" x14ac:dyDescent="0.25">
      <c r="J1356" s="20" t="s">
        <v>3856</v>
      </c>
      <c r="K1356" s="20" t="s">
        <v>3856</v>
      </c>
      <c r="L1356" s="20" t="s">
        <v>3857</v>
      </c>
    </row>
    <row r="1357" spans="10:12" x14ac:dyDescent="0.25">
      <c r="J1357" s="20" t="s">
        <v>4737</v>
      </c>
      <c r="K1357" s="20" t="s">
        <v>4737</v>
      </c>
      <c r="L1357" s="20" t="s">
        <v>4738</v>
      </c>
    </row>
    <row r="1358" spans="10:12" x14ac:dyDescent="0.25">
      <c r="J1358" s="20" t="s">
        <v>4508</v>
      </c>
      <c r="K1358" s="20" t="s">
        <v>4508</v>
      </c>
      <c r="L1358" s="20" t="s">
        <v>4509</v>
      </c>
    </row>
    <row r="1359" spans="10:12" x14ac:dyDescent="0.25">
      <c r="J1359" s="20" t="s">
        <v>3721</v>
      </c>
      <c r="K1359" s="20" t="s">
        <v>3721</v>
      </c>
      <c r="L1359" s="20" t="s">
        <v>3722</v>
      </c>
    </row>
    <row r="1360" spans="10:12" x14ac:dyDescent="0.25">
      <c r="J1360" s="20" t="s">
        <v>5167</v>
      </c>
      <c r="K1360" s="20" t="s">
        <v>5167</v>
      </c>
      <c r="L1360" s="20" t="s">
        <v>5168</v>
      </c>
    </row>
    <row r="1361" spans="10:12" x14ac:dyDescent="0.25">
      <c r="J1361" s="20" t="s">
        <v>2683</v>
      </c>
      <c r="K1361" s="20" t="s">
        <v>2683</v>
      </c>
      <c r="L1361" s="20" t="s">
        <v>2684</v>
      </c>
    </row>
    <row r="1362" spans="10:12" x14ac:dyDescent="0.25">
      <c r="J1362" s="20" t="s">
        <v>3093</v>
      </c>
      <c r="K1362" s="20" t="s">
        <v>3093</v>
      </c>
      <c r="L1362" s="20" t="s">
        <v>5367</v>
      </c>
    </row>
    <row r="1363" spans="10:12" x14ac:dyDescent="0.25">
      <c r="J1363" s="20" t="s">
        <v>4843</v>
      </c>
      <c r="K1363" s="20" t="s">
        <v>4843</v>
      </c>
      <c r="L1363" s="20" t="s">
        <v>4844</v>
      </c>
    </row>
    <row r="1364" spans="10:12" x14ac:dyDescent="0.25">
      <c r="J1364" s="20" t="s">
        <v>3093</v>
      </c>
      <c r="K1364" s="20" t="s">
        <v>3093</v>
      </c>
      <c r="L1364" s="20" t="s">
        <v>4882</v>
      </c>
    </row>
    <row r="1365" spans="10:12" x14ac:dyDescent="0.25">
      <c r="J1365" s="20" t="s">
        <v>3093</v>
      </c>
      <c r="K1365" s="20" t="s">
        <v>3093</v>
      </c>
      <c r="L1365" s="20" t="s">
        <v>5049</v>
      </c>
    </row>
    <row r="1366" spans="10:12" x14ac:dyDescent="0.25">
      <c r="J1366" s="20" t="s">
        <v>3093</v>
      </c>
      <c r="K1366" s="20" t="s">
        <v>3093</v>
      </c>
      <c r="L1366" s="20" t="s">
        <v>4666</v>
      </c>
    </row>
    <row r="1367" spans="10:12" x14ac:dyDescent="0.25">
      <c r="J1367" s="20" t="s">
        <v>3093</v>
      </c>
      <c r="K1367" s="20" t="s">
        <v>3093</v>
      </c>
      <c r="L1367" s="20" t="s">
        <v>4872</v>
      </c>
    </row>
    <row r="1368" spans="10:12" x14ac:dyDescent="0.25">
      <c r="J1368" s="20" t="s">
        <v>3719</v>
      </c>
      <c r="K1368" s="20" t="s">
        <v>3719</v>
      </c>
      <c r="L1368" s="20" t="s">
        <v>3720</v>
      </c>
    </row>
    <row r="1369" spans="10:12" x14ac:dyDescent="0.25">
      <c r="J1369" s="20" t="s">
        <v>4447</v>
      </c>
      <c r="K1369" s="20" t="s">
        <v>4447</v>
      </c>
      <c r="L1369" s="20" t="s">
        <v>4448</v>
      </c>
    </row>
    <row r="1370" spans="10:12" x14ac:dyDescent="0.25">
      <c r="J1370" s="20" t="s">
        <v>4592</v>
      </c>
      <c r="K1370" s="20" t="s">
        <v>4592</v>
      </c>
      <c r="L1370" s="20" t="s">
        <v>4593</v>
      </c>
    </row>
    <row r="1371" spans="10:12" x14ac:dyDescent="0.25">
      <c r="J1371" s="20" t="s">
        <v>4594</v>
      </c>
      <c r="K1371" s="20" t="s">
        <v>4594</v>
      </c>
      <c r="L1371" s="20" t="s">
        <v>4595</v>
      </c>
    </row>
    <row r="1372" spans="10:12" x14ac:dyDescent="0.25">
      <c r="J1372" s="20" t="s">
        <v>3239</v>
      </c>
      <c r="K1372" s="20" t="s">
        <v>3239</v>
      </c>
      <c r="L1372" s="20" t="s">
        <v>3240</v>
      </c>
    </row>
    <row r="1373" spans="10:12" x14ac:dyDescent="0.25">
      <c r="J1373" s="20" t="s">
        <v>2679</v>
      </c>
      <c r="K1373" s="20" t="s">
        <v>2679</v>
      </c>
      <c r="L1373" s="20" t="s">
        <v>2680</v>
      </c>
    </row>
    <row r="1374" spans="10:12" x14ac:dyDescent="0.25">
      <c r="J1374" s="20" t="s">
        <v>2993</v>
      </c>
      <c r="K1374" s="20" t="s">
        <v>2993</v>
      </c>
      <c r="L1374" s="20" t="s">
        <v>2994</v>
      </c>
    </row>
    <row r="1375" spans="10:12" x14ac:dyDescent="0.25">
      <c r="J1375" s="20" t="s">
        <v>3093</v>
      </c>
      <c r="K1375" s="20" t="s">
        <v>3093</v>
      </c>
      <c r="L1375" s="20" t="s">
        <v>3521</v>
      </c>
    </row>
    <row r="1376" spans="10:12" x14ac:dyDescent="0.25">
      <c r="J1376" s="20" t="s">
        <v>3093</v>
      </c>
      <c r="K1376" s="20" t="s">
        <v>3093</v>
      </c>
      <c r="L1376" s="20" t="s">
        <v>3521</v>
      </c>
    </row>
    <row r="1377" spans="10:12" x14ac:dyDescent="0.25">
      <c r="J1377" s="20" t="s">
        <v>3093</v>
      </c>
      <c r="K1377" s="20" t="s">
        <v>3093</v>
      </c>
      <c r="L1377" s="20" t="s">
        <v>3521</v>
      </c>
    </row>
    <row r="1378" spans="10:12" x14ac:dyDescent="0.25">
      <c r="J1378" s="20" t="s">
        <v>3093</v>
      </c>
      <c r="K1378" s="20" t="s">
        <v>3093</v>
      </c>
      <c r="L1378" s="20" t="s">
        <v>3521</v>
      </c>
    </row>
    <row r="1379" spans="10:12" x14ac:dyDescent="0.25">
      <c r="J1379" s="20" t="s">
        <v>3093</v>
      </c>
      <c r="K1379" s="20" t="s">
        <v>3093</v>
      </c>
      <c r="L1379" s="20" t="s">
        <v>4672</v>
      </c>
    </row>
    <row r="1380" spans="10:12" x14ac:dyDescent="0.25">
      <c r="J1380" s="20" t="s">
        <v>3093</v>
      </c>
      <c r="K1380" s="20" t="s">
        <v>3093</v>
      </c>
      <c r="L1380" s="20" t="s">
        <v>4672</v>
      </c>
    </row>
    <row r="1381" spans="10:12" x14ac:dyDescent="0.25">
      <c r="J1381" s="20" t="s">
        <v>3093</v>
      </c>
      <c r="K1381" s="20" t="s">
        <v>3093</v>
      </c>
      <c r="L1381" s="20" t="s">
        <v>4672</v>
      </c>
    </row>
    <row r="1382" spans="10:12" x14ac:dyDescent="0.25">
      <c r="J1382" s="20" t="s">
        <v>3093</v>
      </c>
      <c r="K1382" s="20" t="s">
        <v>3093</v>
      </c>
      <c r="L1382" s="20" t="s">
        <v>4672</v>
      </c>
    </row>
    <row r="1383" spans="10:12" x14ac:dyDescent="0.25">
      <c r="J1383" s="20" t="s">
        <v>3093</v>
      </c>
      <c r="K1383" s="20" t="s">
        <v>3093</v>
      </c>
      <c r="L1383" s="20" t="s">
        <v>4672</v>
      </c>
    </row>
    <row r="1384" spans="10:12" x14ac:dyDescent="0.25">
      <c r="J1384" s="20" t="s">
        <v>3093</v>
      </c>
      <c r="K1384" s="20" t="s">
        <v>3093</v>
      </c>
      <c r="L1384" s="20" t="s">
        <v>5368</v>
      </c>
    </row>
    <row r="1385" spans="10:12" x14ac:dyDescent="0.25">
      <c r="J1385" s="20" t="s">
        <v>3965</v>
      </c>
      <c r="K1385" s="20" t="s">
        <v>3965</v>
      </c>
      <c r="L1385" s="20" t="s">
        <v>3966</v>
      </c>
    </row>
    <row r="1386" spans="10:12" x14ac:dyDescent="0.25">
      <c r="J1386" s="20" t="s">
        <v>3093</v>
      </c>
      <c r="K1386" s="20" t="s">
        <v>3093</v>
      </c>
      <c r="L1386" s="20" t="s">
        <v>4877</v>
      </c>
    </row>
    <row r="1387" spans="10:12" x14ac:dyDescent="0.25">
      <c r="J1387" s="20" t="s">
        <v>4936</v>
      </c>
      <c r="K1387" s="20" t="s">
        <v>4936</v>
      </c>
      <c r="L1387" s="20" t="s">
        <v>4937</v>
      </c>
    </row>
    <row r="1388" spans="10:12" x14ac:dyDescent="0.25">
      <c r="J1388" s="20" t="s">
        <v>4885</v>
      </c>
      <c r="K1388" s="20" t="s">
        <v>4885</v>
      </c>
      <c r="L1388" s="20" t="s">
        <v>4886</v>
      </c>
    </row>
    <row r="1389" spans="10:12" x14ac:dyDescent="0.25">
      <c r="J1389" s="20" t="s">
        <v>4300</v>
      </c>
      <c r="K1389" s="20" t="s">
        <v>4300</v>
      </c>
      <c r="L1389" s="20" t="s">
        <v>4301</v>
      </c>
    </row>
    <row r="1390" spans="10:12" x14ac:dyDescent="0.25">
      <c r="J1390" s="20" t="s">
        <v>4489</v>
      </c>
      <c r="K1390" s="20" t="s">
        <v>4489</v>
      </c>
      <c r="L1390" s="20" t="s">
        <v>4490</v>
      </c>
    </row>
    <row r="1391" spans="10:12" x14ac:dyDescent="0.25">
      <c r="J1391" s="20" t="s">
        <v>5218</v>
      </c>
      <c r="K1391" s="20" t="s">
        <v>5218</v>
      </c>
      <c r="L1391" s="20" t="s">
        <v>5435</v>
      </c>
    </row>
    <row r="1392" spans="10:12" x14ac:dyDescent="0.25">
      <c r="J1392" s="20" t="s">
        <v>5218</v>
      </c>
      <c r="K1392" s="20" t="s">
        <v>5218</v>
      </c>
      <c r="L1392" s="20" t="s">
        <v>5219</v>
      </c>
    </row>
    <row r="1393" spans="10:12" x14ac:dyDescent="0.25">
      <c r="J1393" s="20" t="s">
        <v>3093</v>
      </c>
      <c r="K1393" s="20" t="s">
        <v>3093</v>
      </c>
      <c r="L1393" s="20" t="s">
        <v>5338</v>
      </c>
    </row>
    <row r="1394" spans="10:12" x14ac:dyDescent="0.25">
      <c r="J1394" s="20" t="s">
        <v>5220</v>
      </c>
      <c r="K1394" s="20" t="s">
        <v>5220</v>
      </c>
      <c r="L1394" s="20" t="s">
        <v>5221</v>
      </c>
    </row>
    <row r="1395" spans="10:12" x14ac:dyDescent="0.25">
      <c r="J1395" s="20" t="s">
        <v>4028</v>
      </c>
      <c r="K1395" s="20" t="s">
        <v>4028</v>
      </c>
      <c r="L1395" s="20" t="s">
        <v>4029</v>
      </c>
    </row>
    <row r="1396" spans="10:12" x14ac:dyDescent="0.25">
      <c r="J1396" s="20" t="s">
        <v>4394</v>
      </c>
      <c r="K1396" s="20" t="s">
        <v>4394</v>
      </c>
      <c r="L1396" s="20" t="s">
        <v>4395</v>
      </c>
    </row>
    <row r="1397" spans="10:12" x14ac:dyDescent="0.25">
      <c r="J1397" s="20" t="s">
        <v>3288</v>
      </c>
      <c r="K1397" s="20" t="s">
        <v>3288</v>
      </c>
      <c r="L1397" s="20" t="s">
        <v>3289</v>
      </c>
    </row>
    <row r="1398" spans="10:12" x14ac:dyDescent="0.25">
      <c r="J1398" s="20" t="s">
        <v>3480</v>
      </c>
      <c r="K1398" s="20" t="s">
        <v>3480</v>
      </c>
      <c r="L1398" s="20" t="s">
        <v>3481</v>
      </c>
    </row>
    <row r="1399" spans="10:12" x14ac:dyDescent="0.25">
      <c r="J1399" s="20" t="s">
        <v>3290</v>
      </c>
      <c r="K1399" s="20" t="s">
        <v>3290</v>
      </c>
      <c r="L1399" s="20" t="s">
        <v>3291</v>
      </c>
    </row>
    <row r="1400" spans="10:12" x14ac:dyDescent="0.25">
      <c r="J1400" s="20" t="s">
        <v>3942</v>
      </c>
      <c r="K1400" s="20" t="s">
        <v>3942</v>
      </c>
      <c r="L1400" s="20" t="s">
        <v>3943</v>
      </c>
    </row>
    <row r="1401" spans="10:12" x14ac:dyDescent="0.25">
      <c r="J1401" s="20" t="s">
        <v>3286</v>
      </c>
      <c r="K1401" s="20" t="s">
        <v>3286</v>
      </c>
      <c r="L1401" s="20" t="s">
        <v>3287</v>
      </c>
    </row>
    <row r="1402" spans="10:12" x14ac:dyDescent="0.25">
      <c r="J1402" s="20" t="s">
        <v>3292</v>
      </c>
      <c r="K1402" s="20" t="s">
        <v>3292</v>
      </c>
      <c r="L1402" s="20" t="s">
        <v>3293</v>
      </c>
    </row>
    <row r="1403" spans="10:12" x14ac:dyDescent="0.25">
      <c r="J1403" s="20" t="s">
        <v>3500</v>
      </c>
      <c r="K1403" s="20" t="s">
        <v>3500</v>
      </c>
      <c r="L1403" s="20" t="s">
        <v>3501</v>
      </c>
    </row>
    <row r="1404" spans="10:12" x14ac:dyDescent="0.25">
      <c r="J1404" s="20" t="s">
        <v>5395</v>
      </c>
      <c r="K1404" s="20" t="s">
        <v>5395</v>
      </c>
      <c r="L1404" s="20" t="s">
        <v>5396</v>
      </c>
    </row>
    <row r="1405" spans="10:12" x14ac:dyDescent="0.25">
      <c r="J1405" s="20" t="s">
        <v>5409</v>
      </c>
      <c r="K1405" s="20" t="s">
        <v>5409</v>
      </c>
      <c r="L1405" s="20" t="s">
        <v>5410</v>
      </c>
    </row>
    <row r="1406" spans="10:12" x14ac:dyDescent="0.25">
      <c r="J1406" s="20" t="s">
        <v>3093</v>
      </c>
      <c r="K1406" s="20" t="s">
        <v>3093</v>
      </c>
      <c r="L1406" s="20" t="s">
        <v>5378</v>
      </c>
    </row>
    <row r="1407" spans="10:12" x14ac:dyDescent="0.25">
      <c r="J1407" s="20" t="s">
        <v>5199</v>
      </c>
      <c r="K1407" s="20" t="s">
        <v>5199</v>
      </c>
      <c r="L1407" s="20" t="s">
        <v>5200</v>
      </c>
    </row>
    <row r="1408" spans="10:12" x14ac:dyDescent="0.25">
      <c r="J1408" s="20" t="s">
        <v>5032</v>
      </c>
      <c r="K1408" s="20" t="s">
        <v>5032</v>
      </c>
      <c r="L1408" s="20" t="s">
        <v>5033</v>
      </c>
    </row>
    <row r="1409" spans="10:12" x14ac:dyDescent="0.25">
      <c r="J1409" s="20" t="s">
        <v>4636</v>
      </c>
      <c r="K1409" s="20" t="s">
        <v>4636</v>
      </c>
      <c r="L1409" s="20" t="s">
        <v>4637</v>
      </c>
    </row>
    <row r="1410" spans="10:12" x14ac:dyDescent="0.25">
      <c r="J1410" s="20" t="s">
        <v>4845</v>
      </c>
      <c r="K1410" s="20" t="s">
        <v>4845</v>
      </c>
      <c r="L1410" s="20" t="s">
        <v>4637</v>
      </c>
    </row>
    <row r="1411" spans="10:12" x14ac:dyDescent="0.25">
      <c r="J1411" s="20" t="s">
        <v>4971</v>
      </c>
      <c r="K1411" s="20" t="s">
        <v>4971</v>
      </c>
      <c r="L1411" s="20" t="s">
        <v>4637</v>
      </c>
    </row>
    <row r="1412" spans="10:12" x14ac:dyDescent="0.25">
      <c r="J1412" s="20" t="s">
        <v>4961</v>
      </c>
      <c r="K1412" s="20" t="s">
        <v>4961</v>
      </c>
      <c r="L1412" s="20" t="s">
        <v>4962</v>
      </c>
    </row>
    <row r="1413" spans="10:12" x14ac:dyDescent="0.25">
      <c r="J1413" s="20" t="s">
        <v>4959</v>
      </c>
      <c r="K1413" s="20" t="s">
        <v>4959</v>
      </c>
      <c r="L1413" s="20" t="s">
        <v>4960</v>
      </c>
    </row>
    <row r="1414" spans="10:12" x14ac:dyDescent="0.25">
      <c r="J1414" s="20" t="s">
        <v>5014</v>
      </c>
      <c r="K1414" s="20" t="s">
        <v>5014</v>
      </c>
      <c r="L1414" s="20" t="s">
        <v>5015</v>
      </c>
    </row>
    <row r="1415" spans="10:12" x14ac:dyDescent="0.25">
      <c r="J1415" s="20" t="s">
        <v>4511</v>
      </c>
      <c r="K1415" s="20" t="s">
        <v>4511</v>
      </c>
      <c r="L1415" s="20" t="s">
        <v>4512</v>
      </c>
    </row>
    <row r="1416" spans="10:12" x14ac:dyDescent="0.25">
      <c r="J1416" s="20" t="s">
        <v>4986</v>
      </c>
      <c r="K1416" s="20" t="s">
        <v>4986</v>
      </c>
      <c r="L1416" s="20" t="s">
        <v>4987</v>
      </c>
    </row>
    <row r="1417" spans="10:12" x14ac:dyDescent="0.25">
      <c r="J1417" s="20" t="s">
        <v>5407</v>
      </c>
      <c r="K1417" s="20" t="s">
        <v>5407</v>
      </c>
      <c r="L1417" s="20" t="s">
        <v>5408</v>
      </c>
    </row>
    <row r="1418" spans="10:12" x14ac:dyDescent="0.25">
      <c r="J1418" s="20" t="s">
        <v>4847</v>
      </c>
      <c r="K1418" s="20" t="s">
        <v>4847</v>
      </c>
      <c r="L1418" s="20" t="s">
        <v>4848</v>
      </c>
    </row>
    <row r="1419" spans="10:12" x14ac:dyDescent="0.25">
      <c r="J1419" s="20" t="s">
        <v>5427</v>
      </c>
      <c r="K1419" s="20" t="s">
        <v>5427</v>
      </c>
      <c r="L1419" s="20" t="s">
        <v>5428</v>
      </c>
    </row>
    <row r="1420" spans="10:12" x14ac:dyDescent="0.25">
      <c r="J1420" s="20" t="s">
        <v>5287</v>
      </c>
      <c r="K1420" s="20" t="s">
        <v>5287</v>
      </c>
      <c r="L1420" s="20" t="s">
        <v>5288</v>
      </c>
    </row>
    <row r="1421" spans="10:12" x14ac:dyDescent="0.25">
      <c r="J1421" s="20" t="s">
        <v>3723</v>
      </c>
      <c r="K1421" s="20" t="s">
        <v>3723</v>
      </c>
      <c r="L1421" s="20" t="s">
        <v>3724</v>
      </c>
    </row>
    <row r="1422" spans="10:12" x14ac:dyDescent="0.25">
      <c r="J1422" s="20" t="s">
        <v>3093</v>
      </c>
      <c r="K1422" s="20" t="s">
        <v>3093</v>
      </c>
      <c r="L1422" s="20" t="s">
        <v>4360</v>
      </c>
    </row>
    <row r="1423" spans="10:12" x14ac:dyDescent="0.25">
      <c r="J1423" s="20" t="s">
        <v>3093</v>
      </c>
      <c r="K1423" s="20" t="s">
        <v>3093</v>
      </c>
      <c r="L1423" s="20" t="s">
        <v>4360</v>
      </c>
    </row>
    <row r="1424" spans="10:12" x14ac:dyDescent="0.25">
      <c r="J1424" s="20" t="s">
        <v>3093</v>
      </c>
      <c r="K1424" s="20" t="s">
        <v>3093</v>
      </c>
      <c r="L1424" s="20" t="s">
        <v>4360</v>
      </c>
    </row>
    <row r="1425" spans="10:12" x14ac:dyDescent="0.25">
      <c r="J1425" s="20" t="s">
        <v>4555</v>
      </c>
      <c r="K1425" s="20" t="s">
        <v>4555</v>
      </c>
      <c r="L1425" s="20" t="s">
        <v>4556</v>
      </c>
    </row>
    <row r="1426" spans="10:12" x14ac:dyDescent="0.25">
      <c r="J1426" s="20" t="s">
        <v>3981</v>
      </c>
      <c r="K1426" s="20" t="s">
        <v>3981</v>
      </c>
      <c r="L1426" s="20" t="s">
        <v>3982</v>
      </c>
    </row>
    <row r="1427" spans="10:12" x14ac:dyDescent="0.25">
      <c r="J1427" s="20" t="s">
        <v>3439</v>
      </c>
      <c r="K1427" s="20" t="s">
        <v>3439</v>
      </c>
      <c r="L1427" s="20" t="s">
        <v>3440</v>
      </c>
    </row>
    <row r="1428" spans="10:12" x14ac:dyDescent="0.25">
      <c r="J1428" s="20" t="s">
        <v>3574</v>
      </c>
      <c r="K1428" s="20" t="s">
        <v>3574</v>
      </c>
      <c r="L1428" s="20" t="s">
        <v>3575</v>
      </c>
    </row>
    <row r="1429" spans="10:12" x14ac:dyDescent="0.25">
      <c r="J1429" s="20" t="s">
        <v>4105</v>
      </c>
      <c r="K1429" s="20" t="s">
        <v>4105</v>
      </c>
      <c r="L1429" s="20" t="s">
        <v>4106</v>
      </c>
    </row>
    <row r="1430" spans="10:12" x14ac:dyDescent="0.25">
      <c r="J1430" s="20" t="s">
        <v>3842</v>
      </c>
      <c r="K1430" s="20" t="s">
        <v>3842</v>
      </c>
      <c r="L1430" s="20" t="s">
        <v>3843</v>
      </c>
    </row>
    <row r="1431" spans="10:12" x14ac:dyDescent="0.25">
      <c r="J1431" s="20" t="s">
        <v>3120</v>
      </c>
      <c r="K1431" s="20" t="s">
        <v>3120</v>
      </c>
      <c r="L1431" s="20" t="s">
        <v>3121</v>
      </c>
    </row>
    <row r="1432" spans="10:12" x14ac:dyDescent="0.25">
      <c r="J1432" s="20" t="s">
        <v>3542</v>
      </c>
      <c r="K1432" s="20" t="s">
        <v>3542</v>
      </c>
      <c r="L1432" s="20" t="s">
        <v>3543</v>
      </c>
    </row>
    <row r="1433" spans="10:12" x14ac:dyDescent="0.25">
      <c r="J1433" s="20" t="s">
        <v>3524</v>
      </c>
      <c r="K1433" s="20" t="s">
        <v>3524</v>
      </c>
      <c r="L1433" s="20" t="s">
        <v>3525</v>
      </c>
    </row>
    <row r="1434" spans="10:12" x14ac:dyDescent="0.25">
      <c r="J1434" s="20" t="s">
        <v>3093</v>
      </c>
      <c r="K1434" s="20" t="s">
        <v>3093</v>
      </c>
      <c r="L1434" s="20" t="s">
        <v>3525</v>
      </c>
    </row>
    <row r="1435" spans="10:12" x14ac:dyDescent="0.25">
      <c r="J1435" s="20" t="s">
        <v>4047</v>
      </c>
      <c r="K1435" s="20" t="s">
        <v>4047</v>
      </c>
      <c r="L1435" s="20" t="s">
        <v>4048</v>
      </c>
    </row>
    <row r="1436" spans="10:12" x14ac:dyDescent="0.25">
      <c r="J1436" s="20" t="s">
        <v>3604</v>
      </c>
      <c r="K1436" s="20" t="s">
        <v>3604</v>
      </c>
      <c r="L1436" s="20" t="s">
        <v>3605</v>
      </c>
    </row>
    <row r="1437" spans="10:12" x14ac:dyDescent="0.25">
      <c r="J1437" s="20" t="s">
        <v>4984</v>
      </c>
      <c r="K1437" s="20" t="s">
        <v>4984</v>
      </c>
      <c r="L1437" s="20" t="s">
        <v>4985</v>
      </c>
    </row>
    <row r="1438" spans="10:12" x14ac:dyDescent="0.25">
      <c r="J1438" s="20" t="s">
        <v>3844</v>
      </c>
      <c r="K1438" s="20" t="s">
        <v>3844</v>
      </c>
      <c r="L1438" s="20" t="s">
        <v>3845</v>
      </c>
    </row>
    <row r="1439" spans="10:12" x14ac:dyDescent="0.25">
      <c r="J1439" s="20" t="s">
        <v>3582</v>
      </c>
      <c r="K1439" s="20" t="s">
        <v>3582</v>
      </c>
      <c r="L1439" s="20" t="s">
        <v>3583</v>
      </c>
    </row>
    <row r="1440" spans="10:12" x14ac:dyDescent="0.25">
      <c r="J1440" s="20" t="s">
        <v>3534</v>
      </c>
      <c r="K1440" s="20" t="s">
        <v>3534</v>
      </c>
      <c r="L1440" s="20" t="s">
        <v>3535</v>
      </c>
    </row>
    <row r="1441" spans="10:12" x14ac:dyDescent="0.25">
      <c r="J1441" s="20" t="s">
        <v>3517</v>
      </c>
      <c r="K1441" s="20" t="s">
        <v>3517</v>
      </c>
      <c r="L1441" s="20" t="s">
        <v>3518</v>
      </c>
    </row>
    <row r="1442" spans="10:12" x14ac:dyDescent="0.25">
      <c r="J1442" s="20" t="s">
        <v>3306</v>
      </c>
      <c r="K1442" s="20" t="s">
        <v>3306</v>
      </c>
      <c r="L1442" s="20" t="s">
        <v>3307</v>
      </c>
    </row>
    <row r="1443" spans="10:12" x14ac:dyDescent="0.25">
      <c r="J1443" s="20" t="s">
        <v>3584</v>
      </c>
      <c r="K1443" s="20" t="s">
        <v>3584</v>
      </c>
      <c r="L1443" s="20" t="s">
        <v>3585</v>
      </c>
    </row>
    <row r="1444" spans="10:12" x14ac:dyDescent="0.25">
      <c r="J1444" s="20" t="s">
        <v>3029</v>
      </c>
      <c r="K1444" s="20" t="s">
        <v>3029</v>
      </c>
      <c r="L1444" s="20" t="s">
        <v>3030</v>
      </c>
    </row>
    <row r="1445" spans="10:12" x14ac:dyDescent="0.25">
      <c r="J1445" s="20" t="s">
        <v>3931</v>
      </c>
      <c r="K1445" s="20" t="s">
        <v>3931</v>
      </c>
      <c r="L1445" s="20" t="s">
        <v>3932</v>
      </c>
    </row>
    <row r="1446" spans="10:12" x14ac:dyDescent="0.25">
      <c r="J1446" s="20" t="s">
        <v>3217</v>
      </c>
      <c r="K1446" s="20" t="s">
        <v>3217</v>
      </c>
      <c r="L1446" s="20" t="s">
        <v>3218</v>
      </c>
    </row>
    <row r="1447" spans="10:12" x14ac:dyDescent="0.25">
      <c r="J1447" s="20" t="s">
        <v>3093</v>
      </c>
      <c r="K1447" s="20" t="s">
        <v>3093</v>
      </c>
      <c r="L1447" s="20" t="s">
        <v>5340</v>
      </c>
    </row>
    <row r="1448" spans="10:12" x14ac:dyDescent="0.25">
      <c r="J1448" s="20" t="s">
        <v>3996</v>
      </c>
      <c r="K1448" s="20" t="s">
        <v>3996</v>
      </c>
      <c r="L1448" s="20" t="s">
        <v>3997</v>
      </c>
    </row>
    <row r="1449" spans="10:12" x14ac:dyDescent="0.25">
      <c r="J1449" s="20" t="s">
        <v>3526</v>
      </c>
      <c r="K1449" s="20" t="s">
        <v>3526</v>
      </c>
      <c r="L1449" s="20" t="s">
        <v>3527</v>
      </c>
    </row>
    <row r="1450" spans="10:12" x14ac:dyDescent="0.25">
      <c r="J1450" s="20" t="s">
        <v>3528</v>
      </c>
      <c r="K1450" s="20" t="s">
        <v>3528</v>
      </c>
      <c r="L1450" s="20" t="s">
        <v>3529</v>
      </c>
    </row>
    <row r="1451" spans="10:12" x14ac:dyDescent="0.25">
      <c r="J1451" s="20" t="s">
        <v>3219</v>
      </c>
      <c r="K1451" s="20" t="s">
        <v>3219</v>
      </c>
      <c r="L1451" s="20" t="s">
        <v>3220</v>
      </c>
    </row>
    <row r="1452" spans="10:12" x14ac:dyDescent="0.25">
      <c r="J1452" s="20" t="s">
        <v>4368</v>
      </c>
      <c r="K1452" s="20" t="s">
        <v>4368</v>
      </c>
      <c r="L1452" s="20" t="s">
        <v>4369</v>
      </c>
    </row>
    <row r="1453" spans="10:12" x14ac:dyDescent="0.25">
      <c r="J1453" s="20" t="s">
        <v>2568</v>
      </c>
      <c r="K1453" s="20" t="s">
        <v>2568</v>
      </c>
      <c r="L1453" s="20" t="s">
        <v>2569</v>
      </c>
    </row>
    <row r="1454" spans="10:12" x14ac:dyDescent="0.25">
      <c r="J1454" s="20" t="s">
        <v>3093</v>
      </c>
      <c r="K1454" s="20" t="s">
        <v>3093</v>
      </c>
      <c r="L1454" s="20" t="s">
        <v>3813</v>
      </c>
    </row>
    <row r="1455" spans="10:12" x14ac:dyDescent="0.25">
      <c r="J1455" s="20" t="s">
        <v>3093</v>
      </c>
      <c r="K1455" s="20" t="s">
        <v>3093</v>
      </c>
      <c r="L1455" s="20" t="s">
        <v>3813</v>
      </c>
    </row>
    <row r="1456" spans="10:12" x14ac:dyDescent="0.25">
      <c r="J1456" s="20" t="s">
        <v>3093</v>
      </c>
      <c r="K1456" s="20" t="s">
        <v>3093</v>
      </c>
      <c r="L1456" s="20" t="s">
        <v>3813</v>
      </c>
    </row>
    <row r="1457" spans="10:12" x14ac:dyDescent="0.25">
      <c r="J1457" s="20" t="s">
        <v>3093</v>
      </c>
      <c r="K1457" s="20" t="s">
        <v>3093</v>
      </c>
      <c r="L1457" s="20" t="s">
        <v>3813</v>
      </c>
    </row>
    <row r="1458" spans="10:12" x14ac:dyDescent="0.25">
      <c r="J1458" s="20" t="s">
        <v>5441</v>
      </c>
      <c r="K1458" s="20" t="s">
        <v>5441</v>
      </c>
      <c r="L1458" s="20" t="s">
        <v>5442</v>
      </c>
    </row>
    <row r="1459" spans="10:12" x14ac:dyDescent="0.25">
      <c r="J1459" s="20" t="s">
        <v>3093</v>
      </c>
      <c r="K1459" s="20" t="s">
        <v>3093</v>
      </c>
      <c r="L1459" s="20" t="s">
        <v>5091</v>
      </c>
    </row>
    <row r="1460" spans="10:12" x14ac:dyDescent="0.25">
      <c r="J1460" s="20" t="s">
        <v>3570</v>
      </c>
      <c r="K1460" s="20" t="s">
        <v>3570</v>
      </c>
      <c r="L1460" s="20" t="s">
        <v>3571</v>
      </c>
    </row>
    <row r="1461" spans="10:12" x14ac:dyDescent="0.25">
      <c r="J1461" s="20" t="s">
        <v>3735</v>
      </c>
      <c r="K1461" s="20" t="s">
        <v>3735</v>
      </c>
      <c r="L1461" s="20" t="s">
        <v>3736</v>
      </c>
    </row>
    <row r="1462" spans="10:12" x14ac:dyDescent="0.25">
      <c r="J1462" s="20" t="s">
        <v>3576</v>
      </c>
      <c r="K1462" s="20" t="s">
        <v>3576</v>
      </c>
      <c r="L1462" s="20" t="s">
        <v>3577</v>
      </c>
    </row>
    <row r="1463" spans="10:12" x14ac:dyDescent="0.25">
      <c r="J1463" s="20" t="s">
        <v>4571</v>
      </c>
      <c r="K1463" s="20" t="s">
        <v>4571</v>
      </c>
      <c r="L1463" s="20" t="s">
        <v>4572</v>
      </c>
    </row>
    <row r="1464" spans="10:12" x14ac:dyDescent="0.25">
      <c r="J1464" s="20" t="s">
        <v>4567</v>
      </c>
      <c r="K1464" s="20" t="s">
        <v>4567</v>
      </c>
      <c r="L1464" s="20" t="s">
        <v>4568</v>
      </c>
    </row>
    <row r="1465" spans="10:12" x14ac:dyDescent="0.25">
      <c r="J1465" s="20" t="s">
        <v>4565</v>
      </c>
      <c r="K1465" s="20" t="s">
        <v>4565</v>
      </c>
      <c r="L1465" s="20" t="s">
        <v>4566</v>
      </c>
    </row>
    <row r="1466" spans="10:12" x14ac:dyDescent="0.25">
      <c r="J1466" s="20" t="s">
        <v>4569</v>
      </c>
      <c r="K1466" s="20" t="s">
        <v>4569</v>
      </c>
      <c r="L1466" s="20" t="s">
        <v>4570</v>
      </c>
    </row>
    <row r="1467" spans="10:12" x14ac:dyDescent="0.25">
      <c r="J1467" s="20" t="s">
        <v>4563</v>
      </c>
      <c r="K1467" s="20" t="s">
        <v>4563</v>
      </c>
      <c r="L1467" s="20" t="s">
        <v>4564</v>
      </c>
    </row>
    <row r="1468" spans="10:12" x14ac:dyDescent="0.25">
      <c r="J1468" s="20" t="s">
        <v>4569</v>
      </c>
      <c r="K1468" s="20" t="s">
        <v>4569</v>
      </c>
      <c r="L1468" s="20" t="s">
        <v>2064</v>
      </c>
    </row>
    <row r="1469" spans="10:12" x14ac:dyDescent="0.25">
      <c r="J1469" s="20" t="s">
        <v>2847</v>
      </c>
      <c r="K1469" s="20" t="s">
        <v>2847</v>
      </c>
      <c r="L1469" s="20" t="s">
        <v>2848</v>
      </c>
    </row>
    <row r="1470" spans="10:12" x14ac:dyDescent="0.25">
      <c r="J1470" s="20" t="s">
        <v>3284</v>
      </c>
      <c r="K1470" s="20" t="s">
        <v>3284</v>
      </c>
      <c r="L1470" s="20" t="s">
        <v>3285</v>
      </c>
    </row>
    <row r="1471" spans="10:12" x14ac:dyDescent="0.25">
      <c r="J1471" s="20" t="s">
        <v>3282</v>
      </c>
      <c r="K1471" s="20" t="s">
        <v>3282</v>
      </c>
      <c r="L1471" s="20" t="s">
        <v>3283</v>
      </c>
    </row>
    <row r="1472" spans="10:12" x14ac:dyDescent="0.25">
      <c r="J1472" s="20" t="s">
        <v>4186</v>
      </c>
      <c r="K1472" s="20" t="s">
        <v>4186</v>
      </c>
      <c r="L1472" s="20" t="s">
        <v>4187</v>
      </c>
    </row>
    <row r="1473" spans="10:12" x14ac:dyDescent="0.25">
      <c r="J1473" s="20" t="s">
        <v>4203</v>
      </c>
      <c r="K1473" s="20" t="s">
        <v>4203</v>
      </c>
      <c r="L1473" s="20" t="s">
        <v>4204</v>
      </c>
    </row>
    <row r="1474" spans="10:12" x14ac:dyDescent="0.25">
      <c r="J1474" s="20" t="s">
        <v>4459</v>
      </c>
      <c r="K1474" s="20" t="s">
        <v>4459</v>
      </c>
      <c r="L1474" s="20" t="s">
        <v>4460</v>
      </c>
    </row>
    <row r="1475" spans="10:12" x14ac:dyDescent="0.25">
      <c r="J1475" s="20" t="s">
        <v>2560</v>
      </c>
      <c r="K1475" s="20" t="s">
        <v>2560</v>
      </c>
      <c r="L1475" s="20" t="s">
        <v>2561</v>
      </c>
    </row>
    <row r="1476" spans="10:12" x14ac:dyDescent="0.25">
      <c r="J1476" s="20" t="s">
        <v>3093</v>
      </c>
      <c r="K1476" s="20" t="s">
        <v>3093</v>
      </c>
      <c r="L1476" s="20" t="s">
        <v>5369</v>
      </c>
    </row>
    <row r="1477" spans="10:12" x14ac:dyDescent="0.25">
      <c r="J1477" s="20" t="s">
        <v>5413</v>
      </c>
      <c r="K1477" s="20" t="s">
        <v>5413</v>
      </c>
      <c r="L1477" s="20" t="s">
        <v>5414</v>
      </c>
    </row>
    <row r="1478" spans="10:12" x14ac:dyDescent="0.25">
      <c r="J1478" s="20" t="s">
        <v>3093</v>
      </c>
      <c r="K1478" s="20" t="s">
        <v>3093</v>
      </c>
      <c r="L1478" s="20" t="s">
        <v>5379</v>
      </c>
    </row>
    <row r="1479" spans="10:12" x14ac:dyDescent="0.25">
      <c r="J1479" s="20" t="s">
        <v>4719</v>
      </c>
      <c r="K1479" s="20" t="s">
        <v>4719</v>
      </c>
      <c r="L1479" s="20" t="s">
        <v>4720</v>
      </c>
    </row>
    <row r="1480" spans="10:12" x14ac:dyDescent="0.25">
      <c r="J1480" s="20" t="s">
        <v>3620</v>
      </c>
      <c r="K1480" s="20" t="s">
        <v>3620</v>
      </c>
      <c r="L1480" s="20" t="s">
        <v>3621</v>
      </c>
    </row>
    <row r="1481" spans="10:12" x14ac:dyDescent="0.25">
      <c r="J1481" s="20" t="s">
        <v>4643</v>
      </c>
      <c r="K1481" s="20" t="s">
        <v>4643</v>
      </c>
      <c r="L1481" s="20" t="s">
        <v>4644</v>
      </c>
    </row>
    <row r="1482" spans="10:12" x14ac:dyDescent="0.25">
      <c r="J1482" s="20" t="s">
        <v>4598</v>
      </c>
      <c r="K1482" s="20" t="s">
        <v>4598</v>
      </c>
      <c r="L1482" s="20" t="s">
        <v>4599</v>
      </c>
    </row>
    <row r="1483" spans="10:12" x14ac:dyDescent="0.25">
      <c r="J1483" s="20" t="s">
        <v>4850</v>
      </c>
      <c r="K1483" s="20" t="s">
        <v>4850</v>
      </c>
      <c r="L1483" s="20" t="s">
        <v>4851</v>
      </c>
    </row>
    <row r="1484" spans="10:12" x14ac:dyDescent="0.25">
      <c r="J1484" s="20" t="s">
        <v>4698</v>
      </c>
      <c r="K1484" s="20" t="s">
        <v>4698</v>
      </c>
      <c r="L1484" s="20" t="s">
        <v>4699</v>
      </c>
    </row>
    <row r="1485" spans="10:12" x14ac:dyDescent="0.25">
      <c r="J1485" s="20" t="s">
        <v>3093</v>
      </c>
      <c r="K1485" s="20" t="s">
        <v>3093</v>
      </c>
      <c r="L1485" s="20" t="s">
        <v>5380</v>
      </c>
    </row>
    <row r="1486" spans="10:12" x14ac:dyDescent="0.25">
      <c r="J1486" s="20" t="s">
        <v>3093</v>
      </c>
      <c r="K1486" s="20" t="s">
        <v>3093</v>
      </c>
      <c r="L1486" s="20" t="s">
        <v>5341</v>
      </c>
    </row>
    <row r="1487" spans="10:12" x14ac:dyDescent="0.25">
      <c r="J1487" s="20" t="s">
        <v>2853</v>
      </c>
      <c r="K1487" s="20" t="s">
        <v>2853</v>
      </c>
      <c r="L1487" s="20" t="s">
        <v>2854</v>
      </c>
    </row>
    <row r="1488" spans="10:12" x14ac:dyDescent="0.25">
      <c r="J1488" s="20" t="s">
        <v>3969</v>
      </c>
      <c r="K1488" s="20" t="s">
        <v>3969</v>
      </c>
      <c r="L1488" s="20" t="s">
        <v>3970</v>
      </c>
    </row>
    <row r="1489" spans="10:12" x14ac:dyDescent="0.25">
      <c r="J1489" s="20" t="s">
        <v>3580</v>
      </c>
      <c r="K1489" s="20" t="s">
        <v>3580</v>
      </c>
      <c r="L1489" s="20" t="s">
        <v>3581</v>
      </c>
    </row>
    <row r="1490" spans="10:12" x14ac:dyDescent="0.25">
      <c r="J1490" s="20" t="s">
        <v>3836</v>
      </c>
      <c r="K1490" s="20" t="s">
        <v>3836</v>
      </c>
      <c r="L1490" s="20" t="s">
        <v>3837</v>
      </c>
    </row>
    <row r="1491" spans="10:12" x14ac:dyDescent="0.25">
      <c r="J1491" s="20" t="s">
        <v>2574</v>
      </c>
      <c r="K1491" s="20" t="s">
        <v>2574</v>
      </c>
      <c r="L1491" s="20" t="s">
        <v>2575</v>
      </c>
    </row>
    <row r="1492" spans="10:12" x14ac:dyDescent="0.25">
      <c r="J1492" s="20" t="s">
        <v>4052</v>
      </c>
      <c r="K1492" s="20" t="s">
        <v>4052</v>
      </c>
      <c r="L1492" s="20" t="s">
        <v>4053</v>
      </c>
    </row>
    <row r="1493" spans="10:12" x14ac:dyDescent="0.25">
      <c r="J1493" s="20" t="s">
        <v>3093</v>
      </c>
      <c r="K1493" s="20" t="s">
        <v>3093</v>
      </c>
      <c r="L1493" s="20" t="s">
        <v>5061</v>
      </c>
    </row>
    <row r="1494" spans="10:12" x14ac:dyDescent="0.25">
      <c r="J1494" s="20" t="s">
        <v>3731</v>
      </c>
      <c r="K1494" s="20" t="s">
        <v>3731</v>
      </c>
      <c r="L1494" s="20" t="s">
        <v>3732</v>
      </c>
    </row>
    <row r="1495" spans="10:12" x14ac:dyDescent="0.25">
      <c r="J1495" s="20" t="s">
        <v>3061</v>
      </c>
      <c r="K1495" s="20" t="s">
        <v>3061</v>
      </c>
      <c r="L1495" s="20" t="s">
        <v>3062</v>
      </c>
    </row>
    <row r="1496" spans="10:12" x14ac:dyDescent="0.25">
      <c r="J1496" s="20" t="s">
        <v>2981</v>
      </c>
      <c r="K1496" s="20" t="s">
        <v>2981</v>
      </c>
      <c r="L1496" s="20" t="s">
        <v>2982</v>
      </c>
    </row>
    <row r="1497" spans="10:12" x14ac:dyDescent="0.25">
      <c r="J1497" s="20" t="s">
        <v>2580</v>
      </c>
      <c r="K1497" s="20" t="s">
        <v>2580</v>
      </c>
      <c r="L1497" s="20" t="s">
        <v>2581</v>
      </c>
    </row>
    <row r="1498" spans="10:12" x14ac:dyDescent="0.25">
      <c r="J1498" s="20" t="s">
        <v>3423</v>
      </c>
      <c r="K1498" s="20" t="s">
        <v>3423</v>
      </c>
      <c r="L1498" s="20" t="s">
        <v>3424</v>
      </c>
    </row>
    <row r="1499" spans="10:12" x14ac:dyDescent="0.25">
      <c r="J1499" s="20" t="s">
        <v>3093</v>
      </c>
      <c r="K1499" s="20" t="s">
        <v>3093</v>
      </c>
      <c r="L1499" s="20" t="s">
        <v>4139</v>
      </c>
    </row>
    <row r="1500" spans="10:12" x14ac:dyDescent="0.25">
      <c r="J1500" s="20" t="s">
        <v>3645</v>
      </c>
      <c r="K1500" s="20" t="s">
        <v>3645</v>
      </c>
      <c r="L1500" s="20" t="s">
        <v>3646</v>
      </c>
    </row>
    <row r="1501" spans="10:12" x14ac:dyDescent="0.25">
      <c r="J1501" s="20" t="s">
        <v>4337</v>
      </c>
      <c r="K1501" s="20" t="s">
        <v>4337</v>
      </c>
      <c r="L1501" s="20" t="s">
        <v>4338</v>
      </c>
    </row>
    <row r="1502" spans="10:12" x14ac:dyDescent="0.25">
      <c r="J1502" s="20" t="s">
        <v>3093</v>
      </c>
      <c r="K1502" s="20" t="s">
        <v>3093</v>
      </c>
      <c r="L1502" s="20" t="s">
        <v>4773</v>
      </c>
    </row>
    <row r="1503" spans="10:12" x14ac:dyDescent="0.25">
      <c r="J1503" s="20" t="s">
        <v>3093</v>
      </c>
      <c r="K1503" s="20" t="s">
        <v>3093</v>
      </c>
      <c r="L1503" s="20" t="s">
        <v>5078</v>
      </c>
    </row>
    <row r="1504" spans="10:12" x14ac:dyDescent="0.25">
      <c r="J1504" s="20" t="s">
        <v>2266</v>
      </c>
      <c r="K1504" s="20" t="s">
        <v>2266</v>
      </c>
      <c r="L1504" s="20" t="s">
        <v>3550</v>
      </c>
    </row>
    <row r="1505" spans="10:12" x14ac:dyDescent="0.25">
      <c r="J1505" s="20" t="s">
        <v>3507</v>
      </c>
      <c r="K1505" s="20" t="s">
        <v>3507</v>
      </c>
      <c r="L1505" s="20" t="s">
        <v>3508</v>
      </c>
    </row>
    <row r="1506" spans="10:12" x14ac:dyDescent="0.25">
      <c r="J1506" s="20" t="s">
        <v>3540</v>
      </c>
      <c r="K1506" s="20" t="s">
        <v>3540</v>
      </c>
      <c r="L1506" s="20" t="s">
        <v>3541</v>
      </c>
    </row>
    <row r="1507" spans="10:12" x14ac:dyDescent="0.25">
      <c r="J1507" s="20" t="s">
        <v>3588</v>
      </c>
      <c r="K1507" s="20" t="s">
        <v>3588</v>
      </c>
      <c r="L1507" s="20" t="s">
        <v>3589</v>
      </c>
    </row>
    <row r="1508" spans="10:12" x14ac:dyDescent="0.25">
      <c r="J1508" s="20" t="s">
        <v>3596</v>
      </c>
      <c r="K1508" s="20" t="s">
        <v>3596</v>
      </c>
      <c r="L1508" s="20" t="s">
        <v>3597</v>
      </c>
    </row>
    <row r="1509" spans="10:12" x14ac:dyDescent="0.25">
      <c r="J1509" s="20" t="s">
        <v>3568</v>
      </c>
      <c r="K1509" s="20" t="s">
        <v>3568</v>
      </c>
      <c r="L1509" s="20" t="s">
        <v>3569</v>
      </c>
    </row>
    <row r="1510" spans="10:12" x14ac:dyDescent="0.25">
      <c r="J1510" s="20" t="s">
        <v>3511</v>
      </c>
      <c r="K1510" s="20" t="s">
        <v>3511</v>
      </c>
      <c r="L1510" s="20" t="s">
        <v>3512</v>
      </c>
    </row>
    <row r="1511" spans="10:12" x14ac:dyDescent="0.25">
      <c r="J1511" s="20" t="s">
        <v>4863</v>
      </c>
      <c r="K1511" s="20" t="s">
        <v>4863</v>
      </c>
      <c r="L1511" s="20" t="s">
        <v>4864</v>
      </c>
    </row>
    <row r="1512" spans="10:12" x14ac:dyDescent="0.25">
      <c r="J1512" s="20" t="s">
        <v>3618</v>
      </c>
      <c r="K1512" s="20" t="s">
        <v>3618</v>
      </c>
      <c r="L1512" s="20" t="s">
        <v>3619</v>
      </c>
    </row>
    <row r="1513" spans="10:12" x14ac:dyDescent="0.25">
      <c r="J1513" s="20" t="s">
        <v>4969</v>
      </c>
      <c r="K1513" s="20" t="s">
        <v>4969</v>
      </c>
      <c r="L1513" s="20" t="s">
        <v>4970</v>
      </c>
    </row>
    <row r="1514" spans="10:12" x14ac:dyDescent="0.25">
      <c r="J1514" s="20" t="s">
        <v>3093</v>
      </c>
      <c r="K1514" s="20" t="s">
        <v>3093</v>
      </c>
      <c r="L1514" s="20" t="s">
        <v>4852</v>
      </c>
    </row>
    <row r="1515" spans="10:12" x14ac:dyDescent="0.25">
      <c r="J1515" s="20" t="s">
        <v>4026</v>
      </c>
      <c r="K1515" s="20" t="s">
        <v>4026</v>
      </c>
      <c r="L1515" s="20" t="s">
        <v>4027</v>
      </c>
    </row>
    <row r="1516" spans="10:12" x14ac:dyDescent="0.25">
      <c r="J1516" s="20" t="s">
        <v>3727</v>
      </c>
      <c r="K1516" s="20" t="s">
        <v>3727</v>
      </c>
      <c r="L1516" s="20" t="s">
        <v>3728</v>
      </c>
    </row>
    <row r="1517" spans="10:12" x14ac:dyDescent="0.25">
      <c r="J1517" s="20" t="s">
        <v>4416</v>
      </c>
      <c r="K1517" s="20" t="s">
        <v>4416</v>
      </c>
      <c r="L1517" s="20" t="s">
        <v>4417</v>
      </c>
    </row>
    <row r="1518" spans="10:12" x14ac:dyDescent="0.25">
      <c r="J1518" s="20" t="s">
        <v>4712</v>
      </c>
      <c r="K1518" s="20" t="s">
        <v>4712</v>
      </c>
      <c r="L1518" s="20" t="s">
        <v>4713</v>
      </c>
    </row>
    <row r="1519" spans="10:12" x14ac:dyDescent="0.25">
      <c r="J1519" s="20" t="s">
        <v>3093</v>
      </c>
      <c r="K1519" s="20" t="s">
        <v>3093</v>
      </c>
      <c r="L1519" s="20" t="s">
        <v>3956</v>
      </c>
    </row>
    <row r="1520" spans="10:12" x14ac:dyDescent="0.25">
      <c r="J1520" s="20" t="s">
        <v>3093</v>
      </c>
      <c r="K1520" s="20" t="s">
        <v>3093</v>
      </c>
      <c r="L1520" s="20" t="s">
        <v>3956</v>
      </c>
    </row>
    <row r="1521" spans="10:12" x14ac:dyDescent="0.25">
      <c r="J1521" s="20" t="s">
        <v>3093</v>
      </c>
      <c r="K1521" s="20" t="s">
        <v>3093</v>
      </c>
      <c r="L1521" s="20" t="s">
        <v>3956</v>
      </c>
    </row>
    <row r="1522" spans="10:12" x14ac:dyDescent="0.25">
      <c r="J1522" s="20" t="s">
        <v>3093</v>
      </c>
      <c r="K1522" s="20" t="s">
        <v>3093</v>
      </c>
      <c r="L1522" s="20" t="s">
        <v>5046</v>
      </c>
    </row>
    <row r="1523" spans="10:12" x14ac:dyDescent="0.25">
      <c r="J1523" s="20" t="s">
        <v>3093</v>
      </c>
      <c r="K1523" s="20" t="s">
        <v>3093</v>
      </c>
      <c r="L1523" s="20" t="s">
        <v>5237</v>
      </c>
    </row>
    <row r="1524" spans="10:12" x14ac:dyDescent="0.25">
      <c r="J1524" s="20" t="s">
        <v>2693</v>
      </c>
      <c r="K1524" s="20" t="s">
        <v>2693</v>
      </c>
      <c r="L1524" s="20" t="s">
        <v>2694</v>
      </c>
    </row>
    <row r="1525" spans="10:12" x14ac:dyDescent="0.25">
      <c r="J1525" s="20" t="s">
        <v>3093</v>
      </c>
      <c r="K1525" s="20" t="s">
        <v>3093</v>
      </c>
      <c r="L1525" s="20" t="s">
        <v>3366</v>
      </c>
    </row>
    <row r="1526" spans="10:12" x14ac:dyDescent="0.25">
      <c r="J1526" s="20" t="s">
        <v>3093</v>
      </c>
      <c r="K1526" s="20" t="s">
        <v>3093</v>
      </c>
      <c r="L1526" s="20" t="s">
        <v>3366</v>
      </c>
    </row>
    <row r="1527" spans="10:12" x14ac:dyDescent="0.25">
      <c r="J1527" s="20" t="s">
        <v>3093</v>
      </c>
      <c r="K1527" s="20" t="s">
        <v>3093</v>
      </c>
      <c r="L1527" s="20" t="s">
        <v>4148</v>
      </c>
    </row>
    <row r="1528" spans="10:12" x14ac:dyDescent="0.25">
      <c r="J1528" s="20" t="s">
        <v>3093</v>
      </c>
      <c r="K1528" s="20" t="s">
        <v>3093</v>
      </c>
      <c r="L1528" s="20" t="s">
        <v>4279</v>
      </c>
    </row>
    <row r="1529" spans="10:12" x14ac:dyDescent="0.25">
      <c r="J1529" s="20" t="s">
        <v>3093</v>
      </c>
      <c r="K1529" s="20" t="s">
        <v>3093</v>
      </c>
      <c r="L1529" s="20" t="s">
        <v>5185</v>
      </c>
    </row>
    <row r="1530" spans="10:12" x14ac:dyDescent="0.25">
      <c r="J1530" s="20" t="s">
        <v>4890</v>
      </c>
      <c r="K1530" s="20" t="s">
        <v>4890</v>
      </c>
      <c r="L1530" s="20" t="s">
        <v>4891</v>
      </c>
    </row>
    <row r="1531" spans="10:12" x14ac:dyDescent="0.25">
      <c r="J1531" s="20" t="s">
        <v>3093</v>
      </c>
      <c r="K1531" s="20" t="s">
        <v>3093</v>
      </c>
      <c r="L1531" s="20" t="s">
        <v>4458</v>
      </c>
    </row>
    <row r="1532" spans="10:12" x14ac:dyDescent="0.25">
      <c r="J1532" s="20" t="s">
        <v>3093</v>
      </c>
      <c r="K1532" s="20" t="s">
        <v>3093</v>
      </c>
      <c r="L1532" s="20" t="s">
        <v>4458</v>
      </c>
    </row>
    <row r="1533" spans="10:12" x14ac:dyDescent="0.25">
      <c r="J1533" s="20" t="s">
        <v>3093</v>
      </c>
      <c r="K1533" s="20" t="s">
        <v>3093</v>
      </c>
      <c r="L1533" s="20" t="s">
        <v>5234</v>
      </c>
    </row>
    <row r="1534" spans="10:12" x14ac:dyDescent="0.25">
      <c r="J1534" s="20" t="s">
        <v>2735</v>
      </c>
      <c r="K1534" s="20" t="s">
        <v>2735</v>
      </c>
      <c r="L1534" s="20" t="s">
        <v>2736</v>
      </c>
    </row>
    <row r="1535" spans="10:12" x14ac:dyDescent="0.25">
      <c r="J1535" s="20" t="s">
        <v>3093</v>
      </c>
      <c r="K1535" s="20" t="s">
        <v>3093</v>
      </c>
      <c r="L1535" s="20" t="s">
        <v>5339</v>
      </c>
    </row>
    <row r="1536" spans="10:12" x14ac:dyDescent="0.25">
      <c r="J1536" s="20" t="s">
        <v>3316</v>
      </c>
      <c r="K1536" s="20" t="s">
        <v>3316</v>
      </c>
      <c r="L1536" s="20" t="s">
        <v>3317</v>
      </c>
    </row>
    <row r="1537" spans="10:12" x14ac:dyDescent="0.25">
      <c r="J1537" s="20" t="s">
        <v>4006</v>
      </c>
      <c r="K1537" s="20" t="s">
        <v>4006</v>
      </c>
      <c r="L1537" s="20" t="s">
        <v>4007</v>
      </c>
    </row>
    <row r="1538" spans="10:12" x14ac:dyDescent="0.25">
      <c r="J1538" s="20" t="s">
        <v>3188</v>
      </c>
      <c r="K1538" s="20" t="s">
        <v>3188</v>
      </c>
      <c r="L1538" s="20" t="s">
        <v>3189</v>
      </c>
    </row>
    <row r="1539" spans="10:12" x14ac:dyDescent="0.25">
      <c r="J1539" s="20" t="s">
        <v>5186</v>
      </c>
      <c r="K1539" s="20" t="s">
        <v>5186</v>
      </c>
      <c r="L1539" s="20" t="s">
        <v>5187</v>
      </c>
    </row>
    <row r="1540" spans="10:12" x14ac:dyDescent="0.25">
      <c r="J1540" s="20" t="s">
        <v>2904</v>
      </c>
      <c r="K1540" s="20" t="s">
        <v>2904</v>
      </c>
      <c r="L1540" s="20" t="s">
        <v>2905</v>
      </c>
    </row>
    <row r="1541" spans="10:12" x14ac:dyDescent="0.25">
      <c r="J1541" s="20" t="s">
        <v>2831</v>
      </c>
      <c r="K1541" s="20" t="s">
        <v>2831</v>
      </c>
      <c r="L1541" s="20" t="s">
        <v>2832</v>
      </c>
    </row>
    <row r="1542" spans="10:12" x14ac:dyDescent="0.25">
      <c r="J1542" s="20" t="s">
        <v>2723</v>
      </c>
      <c r="K1542" s="20" t="s">
        <v>2723</v>
      </c>
      <c r="L1542" s="20" t="s">
        <v>2724</v>
      </c>
    </row>
    <row r="1543" spans="10:12" x14ac:dyDescent="0.25">
      <c r="J1543" s="20" t="s">
        <v>3488</v>
      </c>
      <c r="K1543" s="20" t="s">
        <v>3488</v>
      </c>
      <c r="L1543" s="20" t="s">
        <v>3489</v>
      </c>
    </row>
    <row r="1544" spans="10:12" x14ac:dyDescent="0.25">
      <c r="J1544" s="20" t="s">
        <v>3948</v>
      </c>
      <c r="K1544" s="20" t="s">
        <v>3948</v>
      </c>
      <c r="L1544" s="20" t="s">
        <v>3949</v>
      </c>
    </row>
    <row r="1545" spans="10:12" x14ac:dyDescent="0.25">
      <c r="J1545" s="20" t="s">
        <v>3093</v>
      </c>
      <c r="K1545" s="20" t="s">
        <v>3093</v>
      </c>
      <c r="L1545" s="20" t="s">
        <v>5265</v>
      </c>
    </row>
    <row r="1546" spans="10:12" x14ac:dyDescent="0.25">
      <c r="J1546" s="20" t="s">
        <v>3093</v>
      </c>
      <c r="K1546" s="20" t="s">
        <v>3093</v>
      </c>
      <c r="L1546" s="20" t="s">
        <v>5311</v>
      </c>
    </row>
    <row r="1547" spans="10:12" x14ac:dyDescent="0.25">
      <c r="J1547" s="20" t="s">
        <v>3093</v>
      </c>
      <c r="K1547" s="20" t="s">
        <v>3093</v>
      </c>
      <c r="L1547" s="20" t="s">
        <v>3468</v>
      </c>
    </row>
    <row r="1548" spans="10:12" x14ac:dyDescent="0.25">
      <c r="J1548" s="20" t="s">
        <v>3093</v>
      </c>
      <c r="K1548" s="20" t="s">
        <v>3093</v>
      </c>
      <c r="L1548" s="20" t="s">
        <v>4669</v>
      </c>
    </row>
    <row r="1549" spans="10:12" x14ac:dyDescent="0.25">
      <c r="J1549" s="20" t="s">
        <v>3093</v>
      </c>
      <c r="K1549" s="20" t="s">
        <v>3093</v>
      </c>
      <c r="L1549" s="20" t="s">
        <v>4263</v>
      </c>
    </row>
    <row r="1550" spans="10:12" x14ac:dyDescent="0.25">
      <c r="J1550" s="20" t="s">
        <v>3093</v>
      </c>
      <c r="K1550" s="20" t="s">
        <v>3093</v>
      </c>
      <c r="L1550" s="20" t="s">
        <v>4161</v>
      </c>
    </row>
    <row r="1551" spans="10:12" x14ac:dyDescent="0.25">
      <c r="J1551" s="20" t="s">
        <v>2607</v>
      </c>
      <c r="K1551" s="20" t="s">
        <v>2607</v>
      </c>
      <c r="L1551" s="20" t="s">
        <v>2608</v>
      </c>
    </row>
    <row r="1552" spans="10:12" x14ac:dyDescent="0.25">
      <c r="J1552" s="20" t="s">
        <v>3093</v>
      </c>
      <c r="K1552" s="20" t="s">
        <v>3093</v>
      </c>
      <c r="L1552" s="20" t="s">
        <v>5131</v>
      </c>
    </row>
    <row r="1553" spans="10:12" x14ac:dyDescent="0.25">
      <c r="J1553" s="20" t="s">
        <v>3093</v>
      </c>
      <c r="K1553" s="20" t="s">
        <v>3093</v>
      </c>
      <c r="L1553" s="20" t="s">
        <v>4924</v>
      </c>
    </row>
    <row r="1554" spans="10:12" x14ac:dyDescent="0.25">
      <c r="J1554" s="20" t="s">
        <v>3093</v>
      </c>
      <c r="K1554" s="20" t="s">
        <v>3093</v>
      </c>
      <c r="L1554" s="20" t="s">
        <v>4134</v>
      </c>
    </row>
    <row r="1555" spans="10:12" x14ac:dyDescent="0.25">
      <c r="J1555" s="20" t="s">
        <v>3093</v>
      </c>
      <c r="K1555" s="20" t="s">
        <v>3093</v>
      </c>
      <c r="L1555" s="20" t="s">
        <v>5330</v>
      </c>
    </row>
    <row r="1556" spans="10:12" x14ac:dyDescent="0.25">
      <c r="J1556" s="20" t="s">
        <v>3093</v>
      </c>
      <c r="K1556" s="20" t="s">
        <v>3093</v>
      </c>
      <c r="L1556" s="20" t="s">
        <v>4991</v>
      </c>
    </row>
    <row r="1557" spans="10:12" x14ac:dyDescent="0.25">
      <c r="J1557" s="20" t="s">
        <v>3093</v>
      </c>
      <c r="K1557" s="20" t="s">
        <v>3093</v>
      </c>
      <c r="L1557" s="20" t="s">
        <v>4650</v>
      </c>
    </row>
    <row r="1558" spans="10:12" x14ac:dyDescent="0.25">
      <c r="J1558" s="20" t="s">
        <v>3093</v>
      </c>
      <c r="K1558" s="20" t="s">
        <v>3093</v>
      </c>
      <c r="L1558" s="20" t="s">
        <v>3870</v>
      </c>
    </row>
    <row r="1559" spans="10:12" x14ac:dyDescent="0.25">
      <c r="J1559" s="20" t="s">
        <v>3093</v>
      </c>
      <c r="K1559" s="20" t="s">
        <v>3093</v>
      </c>
      <c r="L1559" s="20" t="s">
        <v>4591</v>
      </c>
    </row>
    <row r="1560" spans="10:12" x14ac:dyDescent="0.25">
      <c r="J1560" s="20" t="s">
        <v>3093</v>
      </c>
      <c r="K1560" s="20" t="s">
        <v>3093</v>
      </c>
      <c r="L1560" s="20" t="s">
        <v>5280</v>
      </c>
    </row>
    <row r="1561" spans="10:12" x14ac:dyDescent="0.25">
      <c r="J1561" s="20" t="s">
        <v>3093</v>
      </c>
      <c r="K1561" s="20" t="s">
        <v>3093</v>
      </c>
      <c r="L1561" s="20" t="s">
        <v>4579</v>
      </c>
    </row>
    <row r="1562" spans="10:12" x14ac:dyDescent="0.25">
      <c r="J1562" s="20" t="s">
        <v>3093</v>
      </c>
      <c r="K1562" s="20" t="s">
        <v>3093</v>
      </c>
      <c r="L1562" s="20" t="s">
        <v>5022</v>
      </c>
    </row>
    <row r="1563" spans="10:12" x14ac:dyDescent="0.25">
      <c r="J1563" s="20" t="s">
        <v>4010</v>
      </c>
      <c r="K1563" s="20" t="s">
        <v>4010</v>
      </c>
      <c r="L1563" s="20" t="s">
        <v>4011</v>
      </c>
    </row>
    <row r="1564" spans="10:12" x14ac:dyDescent="0.25">
      <c r="J1564" s="20" t="s">
        <v>2821</v>
      </c>
      <c r="K1564" s="20" t="s">
        <v>2821</v>
      </c>
      <c r="L1564" s="20" t="s">
        <v>2822</v>
      </c>
    </row>
    <row r="1565" spans="10:12" x14ac:dyDescent="0.25">
      <c r="J1565" s="20" t="s">
        <v>3124</v>
      </c>
      <c r="K1565" s="20" t="s">
        <v>3124</v>
      </c>
      <c r="L1565" s="20" t="s">
        <v>3125</v>
      </c>
    </row>
    <row r="1566" spans="10:12" x14ac:dyDescent="0.25">
      <c r="J1566" s="20" t="s">
        <v>2699</v>
      </c>
      <c r="K1566" s="20" t="s">
        <v>2699</v>
      </c>
      <c r="L1566" s="20" t="s">
        <v>2700</v>
      </c>
    </row>
    <row r="1567" spans="10:12" x14ac:dyDescent="0.25">
      <c r="J1567" s="20" t="s">
        <v>4020</v>
      </c>
      <c r="K1567" s="20" t="s">
        <v>4020</v>
      </c>
      <c r="L1567" s="20" t="s">
        <v>4021</v>
      </c>
    </row>
    <row r="1568" spans="10:12" x14ac:dyDescent="0.25">
      <c r="J1568" s="20" t="s">
        <v>3578</v>
      </c>
      <c r="K1568" s="20" t="s">
        <v>3578</v>
      </c>
      <c r="L1568" s="20" t="s">
        <v>3579</v>
      </c>
    </row>
    <row r="1569" spans="10:12" x14ac:dyDescent="0.25">
      <c r="J1569" s="20" t="s">
        <v>3894</v>
      </c>
      <c r="K1569" s="20" t="s">
        <v>3894</v>
      </c>
      <c r="L1569" s="20" t="s">
        <v>3895</v>
      </c>
    </row>
    <row r="1570" spans="10:12" x14ac:dyDescent="0.25">
      <c r="J1570" s="20" t="s">
        <v>2755</v>
      </c>
      <c r="K1570" s="20" t="s">
        <v>2755</v>
      </c>
      <c r="L1570" s="20" t="s">
        <v>2756</v>
      </c>
    </row>
    <row r="1571" spans="10:12" x14ac:dyDescent="0.25">
      <c r="J1571" s="20" t="s">
        <v>3017</v>
      </c>
      <c r="K1571" s="20" t="s">
        <v>3017</v>
      </c>
      <c r="L1571" s="20" t="s">
        <v>3018</v>
      </c>
    </row>
    <row r="1572" spans="10:12" x14ac:dyDescent="0.25">
      <c r="J1572" s="20" t="s">
        <v>3093</v>
      </c>
      <c r="K1572" s="20" t="s">
        <v>3093</v>
      </c>
      <c r="L1572" s="20" t="s">
        <v>4750</v>
      </c>
    </row>
    <row r="1573" spans="10:12" x14ac:dyDescent="0.25">
      <c r="J1573" s="20" t="s">
        <v>5193</v>
      </c>
      <c r="K1573" s="20" t="s">
        <v>5193</v>
      </c>
      <c r="L1573" s="20" t="s">
        <v>5194</v>
      </c>
    </row>
    <row r="1574" spans="10:12" x14ac:dyDescent="0.25">
      <c r="J1574" s="20" t="s">
        <v>2653</v>
      </c>
      <c r="K1574" s="20" t="s">
        <v>2653</v>
      </c>
      <c r="L1574" s="20" t="s">
        <v>2654</v>
      </c>
    </row>
    <row r="1575" spans="10:12" x14ac:dyDescent="0.25">
      <c r="J1575" s="20" t="s">
        <v>2936</v>
      </c>
      <c r="K1575" s="20" t="s">
        <v>2936</v>
      </c>
      <c r="L1575" s="20" t="s">
        <v>2937</v>
      </c>
    </row>
    <row r="1576" spans="10:12" x14ac:dyDescent="0.25">
      <c r="J1576" s="20" t="s">
        <v>2895</v>
      </c>
      <c r="K1576" s="20" t="s">
        <v>2895</v>
      </c>
      <c r="L1576" s="20" t="s">
        <v>2896</v>
      </c>
    </row>
    <row r="1577" spans="10:12" x14ac:dyDescent="0.25">
      <c r="J1577" s="20" t="s">
        <v>2891</v>
      </c>
      <c r="K1577" s="20" t="s">
        <v>2891</v>
      </c>
      <c r="L1577" s="20" t="s">
        <v>2892</v>
      </c>
    </row>
    <row r="1578" spans="10:12" x14ac:dyDescent="0.25">
      <c r="J1578" s="20" t="s">
        <v>5238</v>
      </c>
      <c r="K1578" s="20" t="s">
        <v>5238</v>
      </c>
      <c r="L1578" s="20" t="s">
        <v>5239</v>
      </c>
    </row>
    <row r="1579" spans="10:12" x14ac:dyDescent="0.25">
      <c r="J1579" s="20" t="s">
        <v>2941</v>
      </c>
      <c r="K1579" s="20" t="s">
        <v>2941</v>
      </c>
      <c r="L1579" s="20" t="s">
        <v>2942</v>
      </c>
    </row>
    <row r="1580" spans="10:12" x14ac:dyDescent="0.25">
      <c r="J1580" s="20" t="s">
        <v>3132</v>
      </c>
      <c r="K1580" s="20" t="s">
        <v>3132</v>
      </c>
      <c r="L1580" s="20" t="s">
        <v>3133</v>
      </c>
    </row>
    <row r="1581" spans="10:12" x14ac:dyDescent="0.25">
      <c r="J1581" s="20" t="s">
        <v>2655</v>
      </c>
      <c r="K1581" s="20" t="s">
        <v>2655</v>
      </c>
      <c r="L1581" s="20" t="s">
        <v>2656</v>
      </c>
    </row>
    <row r="1582" spans="10:12" x14ac:dyDescent="0.25">
      <c r="J1582" s="20" t="s">
        <v>3154</v>
      </c>
      <c r="K1582" s="20" t="s">
        <v>3154</v>
      </c>
      <c r="L1582" s="20" t="s">
        <v>3155</v>
      </c>
    </row>
    <row r="1583" spans="10:12" x14ac:dyDescent="0.25">
      <c r="J1583" s="20" t="s">
        <v>3093</v>
      </c>
      <c r="K1583" s="20" t="s">
        <v>3093</v>
      </c>
      <c r="L1583" s="20" t="s">
        <v>3939</v>
      </c>
    </row>
    <row r="1584" spans="10:12" x14ac:dyDescent="0.25">
      <c r="J1584" s="20" t="s">
        <v>3134</v>
      </c>
      <c r="K1584" s="20" t="s">
        <v>3134</v>
      </c>
      <c r="L1584" s="20" t="s">
        <v>3135</v>
      </c>
    </row>
    <row r="1585" spans="10:12" x14ac:dyDescent="0.25">
      <c r="J1585" s="20" t="s">
        <v>4090</v>
      </c>
      <c r="K1585" s="20" t="s">
        <v>4090</v>
      </c>
      <c r="L1585" s="20" t="s">
        <v>4091</v>
      </c>
    </row>
    <row r="1586" spans="10:12" x14ac:dyDescent="0.25">
      <c r="J1586" s="20" t="s">
        <v>3093</v>
      </c>
      <c r="K1586" s="20" t="s">
        <v>3093</v>
      </c>
      <c r="L1586" s="20" t="s">
        <v>4391</v>
      </c>
    </row>
    <row r="1587" spans="10:12" x14ac:dyDescent="0.25">
      <c r="J1587" s="20" t="s">
        <v>3015</v>
      </c>
      <c r="K1587" s="20" t="s">
        <v>3015</v>
      </c>
      <c r="L1587" s="20" t="s">
        <v>3016</v>
      </c>
    </row>
    <row r="1588" spans="10:12" x14ac:dyDescent="0.25">
      <c r="J1588" s="20" t="s">
        <v>3417</v>
      </c>
      <c r="K1588" s="20" t="s">
        <v>3417</v>
      </c>
      <c r="L1588" s="20" t="s">
        <v>3418</v>
      </c>
    </row>
    <row r="1589" spans="10:12" x14ac:dyDescent="0.25">
      <c r="J1589" s="20" t="s">
        <v>3522</v>
      </c>
      <c r="K1589" s="20" t="s">
        <v>3522</v>
      </c>
      <c r="L1589" s="20" t="s">
        <v>3523</v>
      </c>
    </row>
    <row r="1590" spans="10:12" x14ac:dyDescent="0.25">
      <c r="J1590" s="20" t="s">
        <v>3093</v>
      </c>
      <c r="K1590" s="20" t="s">
        <v>3093</v>
      </c>
      <c r="L1590" s="20" t="s">
        <v>4286</v>
      </c>
    </row>
    <row r="1591" spans="10:12" x14ac:dyDescent="0.25">
      <c r="J1591" s="20" t="s">
        <v>3093</v>
      </c>
      <c r="K1591" s="20" t="s">
        <v>3093</v>
      </c>
      <c r="L1591" s="20" t="s">
        <v>5195</v>
      </c>
    </row>
    <row r="1592" spans="10:12" x14ac:dyDescent="0.25">
      <c r="J1592" s="20" t="s">
        <v>2576</v>
      </c>
      <c r="K1592" s="20" t="s">
        <v>2576</v>
      </c>
      <c r="L1592" s="20" t="s">
        <v>2577</v>
      </c>
    </row>
    <row r="1593" spans="10:12" x14ac:dyDescent="0.25">
      <c r="J1593" s="20" t="s">
        <v>5053</v>
      </c>
      <c r="K1593" s="20" t="s">
        <v>5053</v>
      </c>
      <c r="L1593" s="20" t="s">
        <v>5054</v>
      </c>
    </row>
    <row r="1594" spans="10:12" x14ac:dyDescent="0.25">
      <c r="J1594" s="20" t="s">
        <v>3864</v>
      </c>
      <c r="K1594" s="20" t="s">
        <v>3864</v>
      </c>
      <c r="L1594" s="20" t="s">
        <v>3865</v>
      </c>
    </row>
    <row r="1595" spans="10:12" x14ac:dyDescent="0.25">
      <c r="J1595" s="20" t="s">
        <v>3093</v>
      </c>
      <c r="K1595" s="20" t="s">
        <v>3093</v>
      </c>
      <c r="L1595" s="20" t="s">
        <v>4480</v>
      </c>
    </row>
    <row r="1596" spans="10:12" x14ac:dyDescent="0.25">
      <c r="J1596" s="20" t="s">
        <v>3241</v>
      </c>
      <c r="K1596" s="20" t="s">
        <v>3241</v>
      </c>
      <c r="L1596" s="20" t="s">
        <v>3242</v>
      </c>
    </row>
    <row r="1597" spans="10:12" x14ac:dyDescent="0.25">
      <c r="J1597" s="20" t="s">
        <v>3093</v>
      </c>
      <c r="K1597" s="20" t="s">
        <v>3093</v>
      </c>
      <c r="L1597" s="20" t="s">
        <v>4980</v>
      </c>
    </row>
    <row r="1598" spans="10:12" x14ac:dyDescent="0.25">
      <c r="J1598" s="20" t="s">
        <v>3093</v>
      </c>
      <c r="K1598" s="20" t="s">
        <v>3093</v>
      </c>
      <c r="L1598" s="20" t="s">
        <v>4905</v>
      </c>
    </row>
    <row r="1599" spans="10:12" x14ac:dyDescent="0.25">
      <c r="J1599" s="20" t="s">
        <v>4254</v>
      </c>
      <c r="K1599" s="20" t="s">
        <v>4254</v>
      </c>
      <c r="L1599" s="20" t="s">
        <v>4255</v>
      </c>
    </row>
    <row r="1600" spans="10:12" x14ac:dyDescent="0.25">
      <c r="J1600" s="20" t="s">
        <v>4101</v>
      </c>
      <c r="K1600" s="20" t="s">
        <v>4101</v>
      </c>
      <c r="L1600" s="20" t="s">
        <v>4102</v>
      </c>
    </row>
    <row r="1601" spans="10:12" x14ac:dyDescent="0.25">
      <c r="J1601" s="20" t="s">
        <v>3093</v>
      </c>
      <c r="K1601" s="20" t="s">
        <v>3093</v>
      </c>
      <c r="L1601" s="20" t="s">
        <v>5342</v>
      </c>
    </row>
    <row r="1602" spans="10:12" x14ac:dyDescent="0.25">
      <c r="J1602" s="20" t="s">
        <v>4117</v>
      </c>
      <c r="K1602" s="20" t="s">
        <v>4117</v>
      </c>
      <c r="L1602" s="20" t="s">
        <v>4118</v>
      </c>
    </row>
    <row r="1603" spans="10:12" x14ac:dyDescent="0.25">
      <c r="J1603" s="20" t="s">
        <v>4111</v>
      </c>
      <c r="K1603" s="20" t="s">
        <v>4111</v>
      </c>
      <c r="L1603" s="20" t="s">
        <v>4112</v>
      </c>
    </row>
    <row r="1604" spans="10:12" x14ac:dyDescent="0.25">
      <c r="J1604" s="20" t="s">
        <v>3785</v>
      </c>
      <c r="K1604" s="20" t="s">
        <v>3785</v>
      </c>
      <c r="L1604" s="20" t="s">
        <v>3786</v>
      </c>
    </row>
    <row r="1605" spans="10:12" x14ac:dyDescent="0.25">
      <c r="J1605" s="20" t="s">
        <v>2586</v>
      </c>
      <c r="K1605" s="20" t="s">
        <v>2586</v>
      </c>
      <c r="L1605" s="20" t="s">
        <v>2587</v>
      </c>
    </row>
    <row r="1606" spans="10:12" x14ac:dyDescent="0.25">
      <c r="J1606" s="20" t="s">
        <v>3093</v>
      </c>
      <c r="K1606" s="20" t="s">
        <v>3093</v>
      </c>
      <c r="L1606" s="20" t="s">
        <v>5370</v>
      </c>
    </row>
    <row r="1607" spans="10:12" x14ac:dyDescent="0.25">
      <c r="J1607" s="20" t="s">
        <v>3562</v>
      </c>
      <c r="K1607" s="20" t="s">
        <v>3562</v>
      </c>
      <c r="L1607" s="20" t="s">
        <v>3563</v>
      </c>
    </row>
    <row r="1608" spans="10:12" x14ac:dyDescent="0.25">
      <c r="J1608" s="20" t="s">
        <v>3093</v>
      </c>
      <c r="K1608" s="20" t="s">
        <v>3093</v>
      </c>
      <c r="L1608" s="20" t="s">
        <v>5381</v>
      </c>
    </row>
    <row r="1609" spans="10:12" x14ac:dyDescent="0.25">
      <c r="J1609" s="20" t="s">
        <v>5248</v>
      </c>
      <c r="K1609" s="20" t="s">
        <v>5248</v>
      </c>
      <c r="L1609" s="20" t="s">
        <v>5249</v>
      </c>
    </row>
    <row r="1610" spans="10:12" x14ac:dyDescent="0.25">
      <c r="J1610" s="20" t="s">
        <v>3715</v>
      </c>
      <c r="K1610" s="20" t="s">
        <v>3715</v>
      </c>
      <c r="L1610" s="20" t="s">
        <v>3716</v>
      </c>
    </row>
    <row r="1611" spans="10:12" x14ac:dyDescent="0.25">
      <c r="J1611" s="20" t="s">
        <v>3093</v>
      </c>
      <c r="K1611" s="20" t="s">
        <v>3093</v>
      </c>
      <c r="L1611" s="20" t="s">
        <v>4943</v>
      </c>
    </row>
    <row r="1612" spans="10:12" x14ac:dyDescent="0.25">
      <c r="J1612" s="20" t="s">
        <v>3093</v>
      </c>
      <c r="K1612" s="20" t="s">
        <v>3093</v>
      </c>
      <c r="L1612" s="20" t="s">
        <v>4846</v>
      </c>
    </row>
    <row r="1613" spans="10:12" x14ac:dyDescent="0.25">
      <c r="J1613" s="20" t="s">
        <v>3093</v>
      </c>
      <c r="K1613" s="20" t="s">
        <v>3093</v>
      </c>
      <c r="L1613" s="20" t="s">
        <v>4846</v>
      </c>
    </row>
    <row r="1614" spans="10:12" x14ac:dyDescent="0.25">
      <c r="J1614" s="20" t="s">
        <v>3093</v>
      </c>
      <c r="K1614" s="20" t="s">
        <v>3093</v>
      </c>
      <c r="L1614" s="20" t="s">
        <v>4638</v>
      </c>
    </row>
    <row r="1615" spans="10:12" x14ac:dyDescent="0.25">
      <c r="J1615" s="20" t="s">
        <v>3093</v>
      </c>
      <c r="K1615" s="20" t="s">
        <v>3093</v>
      </c>
      <c r="L1615" s="20" t="s">
        <v>5316</v>
      </c>
    </row>
    <row r="1616" spans="10:12" x14ac:dyDescent="0.25">
      <c r="J1616" s="20" t="s">
        <v>4016</v>
      </c>
      <c r="K1616" s="20" t="s">
        <v>4016</v>
      </c>
      <c r="L1616" s="20" t="s">
        <v>4017</v>
      </c>
    </row>
    <row r="1617" spans="10:12" x14ac:dyDescent="0.25">
      <c r="J1617" s="20" t="s">
        <v>3093</v>
      </c>
      <c r="K1617" s="20" t="s">
        <v>3093</v>
      </c>
      <c r="L1617" s="20" t="s">
        <v>5371</v>
      </c>
    </row>
    <row r="1618" spans="10:12" x14ac:dyDescent="0.25">
      <c r="J1618" s="20" t="s">
        <v>3093</v>
      </c>
      <c r="K1618" s="20" t="s">
        <v>3093</v>
      </c>
      <c r="L1618" s="20" t="s">
        <v>5382</v>
      </c>
    </row>
    <row r="1619" spans="10:12" x14ac:dyDescent="0.25">
      <c r="J1619" s="20" t="s">
        <v>3952</v>
      </c>
      <c r="K1619" s="20" t="s">
        <v>3952</v>
      </c>
      <c r="L1619" s="20" t="s">
        <v>3953</v>
      </c>
    </row>
    <row r="1620" spans="10:12" x14ac:dyDescent="0.25">
      <c r="J1620" s="20" t="s">
        <v>5439</v>
      </c>
      <c r="K1620" s="20" t="s">
        <v>5439</v>
      </c>
      <c r="L1620" s="20" t="s">
        <v>5440</v>
      </c>
    </row>
    <row r="1621" spans="10:12" x14ac:dyDescent="0.25">
      <c r="J1621" s="20" t="s">
        <v>3367</v>
      </c>
      <c r="K1621" s="20" t="s">
        <v>3367</v>
      </c>
      <c r="L1621" s="20" t="s">
        <v>3368</v>
      </c>
    </row>
    <row r="1622" spans="10:12" x14ac:dyDescent="0.25">
      <c r="J1622" s="20" t="s">
        <v>3093</v>
      </c>
      <c r="K1622" s="20" t="s">
        <v>3093</v>
      </c>
      <c r="L1622" s="20" t="s">
        <v>4933</v>
      </c>
    </row>
    <row r="1623" spans="10:12" x14ac:dyDescent="0.25">
      <c r="J1623" s="20" t="s">
        <v>3093</v>
      </c>
      <c r="K1623" s="20" t="s">
        <v>3093</v>
      </c>
      <c r="L1623" s="20" t="s">
        <v>4889</v>
      </c>
    </row>
    <row r="1624" spans="10:12" x14ac:dyDescent="0.25">
      <c r="J1624" s="20" t="s">
        <v>3093</v>
      </c>
      <c r="K1624" s="20" t="s">
        <v>3093</v>
      </c>
      <c r="L1624" s="20" t="s">
        <v>4516</v>
      </c>
    </row>
    <row r="1625" spans="10:12" x14ac:dyDescent="0.25">
      <c r="J1625" s="20" t="s">
        <v>3093</v>
      </c>
      <c r="K1625" s="20" t="s">
        <v>3093</v>
      </c>
      <c r="L1625" s="20" t="s">
        <v>5055</v>
      </c>
    </row>
    <row r="1626" spans="10:12" x14ac:dyDescent="0.25">
      <c r="J1626" s="20" t="s">
        <v>3093</v>
      </c>
      <c r="K1626" s="20" t="s">
        <v>3093</v>
      </c>
      <c r="L1626" s="20" t="s">
        <v>5227</v>
      </c>
    </row>
    <row r="1627" spans="10:12" x14ac:dyDescent="0.25">
      <c r="J1627" s="20" t="s">
        <v>3093</v>
      </c>
      <c r="K1627" s="20" t="s">
        <v>3093</v>
      </c>
      <c r="L1627" s="20" t="s">
        <v>5227</v>
      </c>
    </row>
    <row r="1628" spans="10:12" x14ac:dyDescent="0.25">
      <c r="J1628" s="20" t="s">
        <v>3093</v>
      </c>
      <c r="K1628" s="20" t="s">
        <v>3093</v>
      </c>
      <c r="L1628" s="20" t="s">
        <v>4513</v>
      </c>
    </row>
    <row r="1629" spans="10:12" x14ac:dyDescent="0.25">
      <c r="J1629" s="20" t="s">
        <v>3093</v>
      </c>
      <c r="K1629" s="20" t="s">
        <v>3093</v>
      </c>
      <c r="L1629" s="20" t="s">
        <v>4513</v>
      </c>
    </row>
    <row r="1630" spans="10:12" x14ac:dyDescent="0.25">
      <c r="J1630" s="20" t="s">
        <v>3264</v>
      </c>
      <c r="K1630" s="20" t="s">
        <v>3264</v>
      </c>
      <c r="L1630" s="20" t="s">
        <v>3265</v>
      </c>
    </row>
    <row r="1631" spans="10:12" x14ac:dyDescent="0.25">
      <c r="J1631" s="20" t="s">
        <v>4946</v>
      </c>
      <c r="K1631" s="20" t="s">
        <v>4946</v>
      </c>
      <c r="L1631" s="20" t="s">
        <v>4947</v>
      </c>
    </row>
    <row r="1632" spans="10:12" x14ac:dyDescent="0.25">
      <c r="J1632" s="20" t="s">
        <v>4193</v>
      </c>
      <c r="K1632" s="20" t="s">
        <v>4193</v>
      </c>
      <c r="L1632" s="20" t="s">
        <v>4194</v>
      </c>
    </row>
    <row r="1633" spans="10:12" x14ac:dyDescent="0.25">
      <c r="J1633" s="20" t="s">
        <v>3190</v>
      </c>
      <c r="K1633" s="20" t="s">
        <v>3190</v>
      </c>
      <c r="L1633" s="20" t="s">
        <v>3191</v>
      </c>
    </row>
    <row r="1634" spans="10:12" x14ac:dyDescent="0.25">
      <c r="J1634" s="20" t="s">
        <v>3093</v>
      </c>
      <c r="K1634" s="20" t="s">
        <v>3093</v>
      </c>
      <c r="L1634" s="20" t="s">
        <v>4792</v>
      </c>
    </row>
    <row r="1635" spans="10:12" x14ac:dyDescent="0.25">
      <c r="J1635" s="20" t="s">
        <v>4920</v>
      </c>
      <c r="K1635" s="20" t="s">
        <v>4920</v>
      </c>
      <c r="L1635" s="20" t="s">
        <v>4921</v>
      </c>
    </row>
    <row r="1636" spans="10:12" x14ac:dyDescent="0.25">
      <c r="J1636" s="20" t="s">
        <v>3682</v>
      </c>
      <c r="K1636" s="20" t="s">
        <v>3682</v>
      </c>
      <c r="L1636" s="20" t="s">
        <v>3683</v>
      </c>
    </row>
    <row r="1637" spans="10:12" x14ac:dyDescent="0.25">
      <c r="J1637" s="20" t="s">
        <v>3093</v>
      </c>
      <c r="K1637" s="20" t="s">
        <v>3093</v>
      </c>
      <c r="L1637" s="20" t="s">
        <v>4062</v>
      </c>
    </row>
    <row r="1638" spans="10:12" x14ac:dyDescent="0.25">
      <c r="J1638" s="20" t="s">
        <v>3093</v>
      </c>
      <c r="K1638" s="20" t="s">
        <v>3093</v>
      </c>
      <c r="L1638" s="20" t="s">
        <v>5086</v>
      </c>
    </row>
    <row r="1639" spans="10:12" x14ac:dyDescent="0.25">
      <c r="J1639" s="20" t="s">
        <v>3244</v>
      </c>
      <c r="K1639" s="20" t="s">
        <v>3244</v>
      </c>
      <c r="L1639" s="20" t="s">
        <v>3245</v>
      </c>
    </row>
    <row r="1640" spans="10:12" x14ac:dyDescent="0.25">
      <c r="J1640" s="20" t="s">
        <v>3001</v>
      </c>
      <c r="K1640" s="20" t="s">
        <v>3001</v>
      </c>
      <c r="L1640" s="20" t="s">
        <v>3002</v>
      </c>
    </row>
    <row r="1641" spans="10:12" x14ac:dyDescent="0.25">
      <c r="J1641" s="20" t="s">
        <v>4078</v>
      </c>
      <c r="K1641" s="20" t="s">
        <v>4078</v>
      </c>
      <c r="L1641" s="20" t="s">
        <v>4079</v>
      </c>
    </row>
    <row r="1642" spans="10:12" x14ac:dyDescent="0.25">
      <c r="J1642" s="20" t="s">
        <v>3221</v>
      </c>
      <c r="K1642" s="20" t="s">
        <v>3221</v>
      </c>
      <c r="L1642" s="20" t="s">
        <v>3222</v>
      </c>
    </row>
    <row r="1643" spans="10:12" x14ac:dyDescent="0.25">
      <c r="J1643" s="20" t="s">
        <v>3564</v>
      </c>
      <c r="K1643" s="20" t="s">
        <v>3564</v>
      </c>
      <c r="L1643" s="20" t="s">
        <v>3565</v>
      </c>
    </row>
    <row r="1644" spans="10:12" x14ac:dyDescent="0.25">
      <c r="J1644" s="20" t="s">
        <v>4024</v>
      </c>
      <c r="K1644" s="20" t="s">
        <v>4024</v>
      </c>
      <c r="L1644" s="20" t="s">
        <v>4025</v>
      </c>
    </row>
    <row r="1645" spans="10:12" x14ac:dyDescent="0.25">
      <c r="J1645" s="20" t="s">
        <v>3093</v>
      </c>
      <c r="K1645" s="20" t="s">
        <v>3093</v>
      </c>
      <c r="L1645" s="20" t="s">
        <v>4046</v>
      </c>
    </row>
    <row r="1646" spans="10:12" x14ac:dyDescent="0.25">
      <c r="J1646" s="20" t="s">
        <v>3093</v>
      </c>
      <c r="K1646" s="20" t="s">
        <v>3093</v>
      </c>
      <c r="L1646" s="20" t="s">
        <v>3398</v>
      </c>
    </row>
    <row r="1647" spans="10:12" x14ac:dyDescent="0.25">
      <c r="J1647" s="20" t="s">
        <v>3093</v>
      </c>
      <c r="K1647" s="20" t="s">
        <v>3093</v>
      </c>
    </row>
    <row r="1648" spans="10:12" x14ac:dyDescent="0.25">
      <c r="J1648" s="20" t="s">
        <v>3093</v>
      </c>
      <c r="K1648" s="20" t="s">
        <v>3093</v>
      </c>
    </row>
    <row r="1649" spans="10:11" x14ac:dyDescent="0.25">
      <c r="J1649" s="20" t="s">
        <v>3093</v>
      </c>
      <c r="K1649" s="20" t="s">
        <v>3093</v>
      </c>
    </row>
    <row r="1650" spans="10:11" x14ac:dyDescent="0.25">
      <c r="J1650" s="20" t="s">
        <v>3093</v>
      </c>
      <c r="K1650" s="20" t="s">
        <v>3093</v>
      </c>
    </row>
    <row r="1651" spans="10:11" x14ac:dyDescent="0.25">
      <c r="J1651" s="20" t="s">
        <v>3093</v>
      </c>
      <c r="K1651" s="20" t="s">
        <v>3093</v>
      </c>
    </row>
    <row r="1652" spans="10:11" x14ac:dyDescent="0.25">
      <c r="J1652" s="20" t="s">
        <v>3093</v>
      </c>
      <c r="K1652" s="20" t="s">
        <v>3093</v>
      </c>
    </row>
    <row r="1653" spans="10:11" x14ac:dyDescent="0.25">
      <c r="J1653" s="20" t="s">
        <v>3093</v>
      </c>
      <c r="K1653" s="20" t="s">
        <v>3093</v>
      </c>
    </row>
  </sheetData>
  <sheetProtection algorithmName="SHA-512" hashValue="G9DLZG9IgsKPUK6dHeokQ2Nn/wHkS7ykDqLjLQtUlrcJlaVogfYpUv17wr13Nc5b25N/vfBlbF+EDxsOlriawA==" saltValue="bkkYNVHLYpbKJYGJ16F6zg==" spinCount="100000" sheet="1" objects="1" scenarios="1" formatColumns="0" formatRows="0"/>
  <pageMargins left="0.511811024" right="0.511811024" top="0.78740157499999996" bottom="0.78740157499999996" header="0.31496062000000002" footer="0.31496062000000002"/>
  <tableParts count="55">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3814B-3731-486E-B82B-38B5D52F0ACF}">
  <sheetPr codeName="Planilha42"/>
  <dimension ref="A1:A17"/>
  <sheetViews>
    <sheetView workbookViewId="0">
      <selection activeCell="D1" sqref="D1"/>
    </sheetView>
  </sheetViews>
  <sheetFormatPr defaultRowHeight="15" x14ac:dyDescent="0.25"/>
  <cols>
    <col min="1" max="1" width="14.85546875" style="20" customWidth="1"/>
    <col min="2" max="16384" width="9.140625" style="20"/>
  </cols>
  <sheetData>
    <row r="1" spans="1:1" x14ac:dyDescent="0.25">
      <c r="A1" s="1672" t="s">
        <v>7954</v>
      </c>
    </row>
    <row r="2" spans="1:1" x14ac:dyDescent="0.25">
      <c r="A2" s="1672"/>
    </row>
    <row r="3" spans="1:1" x14ac:dyDescent="0.25">
      <c r="A3" s="1672"/>
    </row>
    <row r="4" spans="1:1" x14ac:dyDescent="0.25">
      <c r="A4" s="1672"/>
    </row>
    <row r="5" spans="1:1" x14ac:dyDescent="0.25">
      <c r="A5" s="1672"/>
    </row>
    <row r="7" spans="1:1" x14ac:dyDescent="0.25">
      <c r="A7" s="1672" t="s">
        <v>7955</v>
      </c>
    </row>
    <row r="8" spans="1:1" x14ac:dyDescent="0.25">
      <c r="A8" s="1672"/>
    </row>
    <row r="9" spans="1:1" x14ac:dyDescent="0.25">
      <c r="A9" s="1672"/>
    </row>
    <row r="10" spans="1:1" x14ac:dyDescent="0.25">
      <c r="A10" s="1672"/>
    </row>
    <row r="11" spans="1:1" x14ac:dyDescent="0.25">
      <c r="A11" s="1672"/>
    </row>
    <row r="13" spans="1:1" x14ac:dyDescent="0.25">
      <c r="A13" s="1672" t="s">
        <v>7956</v>
      </c>
    </row>
    <row r="14" spans="1:1" x14ac:dyDescent="0.25">
      <c r="A14" s="1672"/>
    </row>
    <row r="15" spans="1:1" x14ac:dyDescent="0.25">
      <c r="A15" s="1672"/>
    </row>
    <row r="16" spans="1:1" x14ac:dyDescent="0.25">
      <c r="A16" s="1672"/>
    </row>
    <row r="17" spans="1:1" x14ac:dyDescent="0.25">
      <c r="A17" s="1672"/>
    </row>
  </sheetData>
  <sheetProtection algorithmName="SHA-512" hashValue="+wTZ0z/67shnCEfcpzygFumEgeWJG78dY9+a4HivRkcbsGmPOV9A5tTQ9/qzp/1hbofbjaiOlydHNQ2e+SzMng==" saltValue="qXqJGZtIgw55Wt6nLnLQ7w==" spinCount="100000" sheet="1" objects="1" scenarios="1" formatColumns="0" formatRows="0"/>
  <mergeCells count="3">
    <mergeCell ref="A1:A5"/>
    <mergeCell ref="A7:A11"/>
    <mergeCell ref="A13:A17"/>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6EE48-2B43-483B-92DF-7287D3EC0F34}">
  <sheetPr codeName="Planilha9">
    <tabColor theme="8" tint="0.59999389629810485"/>
  </sheetPr>
  <dimension ref="A1:BD65"/>
  <sheetViews>
    <sheetView showGridLines="0" topLeftCell="D1" workbookViewId="0">
      <selection activeCell="D1" sqref="D1"/>
    </sheetView>
  </sheetViews>
  <sheetFormatPr defaultColWidth="0" defaultRowHeight="15" zeroHeight="1" x14ac:dyDescent="0.25"/>
  <cols>
    <col min="1" max="3" width="2.7109375" style="20" hidden="1" customWidth="1"/>
    <col min="4" max="5" width="2.7109375" style="20" customWidth="1"/>
    <col min="6" max="8" width="25.7109375" style="20" customWidth="1"/>
    <col min="9" max="11" width="19.7109375" style="20" customWidth="1"/>
    <col min="12" max="12" width="22" style="20" customWidth="1"/>
    <col min="13" max="13" width="4.85546875" style="20" customWidth="1"/>
    <col min="14" max="14" width="2.7109375" style="20" customWidth="1"/>
    <col min="15" max="56" width="4.7109375" style="20" hidden="1" customWidth="1"/>
    <col min="57" max="16384" width="9.140625" style="20" hidden="1"/>
  </cols>
  <sheetData>
    <row r="1" spans="1:14" ht="15" customHeight="1" x14ac:dyDescent="0.25">
      <c r="A1" s="18"/>
      <c r="B1" s="18"/>
      <c r="C1" s="18"/>
      <c r="D1" s="7"/>
      <c r="E1" s="7"/>
      <c r="F1" s="1"/>
      <c r="G1" s="1"/>
      <c r="H1" s="1"/>
      <c r="I1" s="1"/>
      <c r="J1" s="1"/>
      <c r="K1" s="1"/>
      <c r="L1" s="1"/>
      <c r="M1" s="1"/>
      <c r="N1" s="1"/>
    </row>
    <row r="2" spans="1:14" ht="15" customHeight="1" x14ac:dyDescent="0.25">
      <c r="A2" s="18"/>
      <c r="B2" s="18"/>
      <c r="C2" s="18"/>
      <c r="D2" s="7"/>
      <c r="E2" s="91"/>
      <c r="F2" s="990" t="s">
        <v>272</v>
      </c>
      <c r="G2" s="990"/>
      <c r="H2" s="990"/>
      <c r="I2" s="990"/>
      <c r="J2" s="990"/>
      <c r="K2" s="990"/>
      <c r="L2" s="2"/>
      <c r="M2" s="2"/>
      <c r="N2" s="1"/>
    </row>
    <row r="3" spans="1:14" ht="15" customHeight="1" x14ac:dyDescent="0.25">
      <c r="A3" s="18"/>
      <c r="B3" s="18"/>
      <c r="C3" s="18"/>
      <c r="D3" s="7"/>
      <c r="E3" s="91"/>
      <c r="F3" s="990"/>
      <c r="G3" s="990"/>
      <c r="H3" s="990"/>
      <c r="I3" s="990"/>
      <c r="J3" s="990"/>
      <c r="K3" s="990"/>
      <c r="L3" s="2"/>
      <c r="M3" s="2"/>
      <c r="N3" s="1"/>
    </row>
    <row r="4" spans="1:14" ht="15" customHeight="1" x14ac:dyDescent="0.25">
      <c r="A4" s="18"/>
      <c r="B4" s="18"/>
      <c r="C4" s="18"/>
      <c r="D4" s="7"/>
      <c r="E4" s="91"/>
      <c r="F4" s="990"/>
      <c r="G4" s="990"/>
      <c r="H4" s="990"/>
      <c r="I4" s="990"/>
      <c r="J4" s="990"/>
      <c r="K4" s="990"/>
      <c r="L4" s="2"/>
      <c r="M4" s="2"/>
      <c r="N4" s="1"/>
    </row>
    <row r="5" spans="1:14" ht="15" customHeight="1" x14ac:dyDescent="0.25">
      <c r="A5" s="18"/>
      <c r="B5" s="18"/>
      <c r="C5" s="18"/>
      <c r="D5" s="7"/>
      <c r="E5" s="91"/>
      <c r="F5" s="990"/>
      <c r="G5" s="990"/>
      <c r="H5" s="990"/>
      <c r="I5" s="990"/>
      <c r="J5" s="990"/>
      <c r="K5" s="990"/>
      <c r="L5" s="2"/>
      <c r="M5" s="2"/>
      <c r="N5" s="1"/>
    </row>
    <row r="6" spans="1:14" ht="15" customHeight="1" x14ac:dyDescent="0.25">
      <c r="A6" s="18"/>
      <c r="B6" s="18"/>
      <c r="C6" s="18"/>
      <c r="D6" s="7"/>
      <c r="E6" s="91"/>
      <c r="F6" s="990"/>
      <c r="G6" s="990"/>
      <c r="H6" s="990"/>
      <c r="I6" s="990"/>
      <c r="J6" s="990"/>
      <c r="K6" s="990"/>
      <c r="L6" s="2"/>
      <c r="M6" s="73"/>
      <c r="N6" s="1"/>
    </row>
    <row r="7" spans="1:14" ht="20.100000000000001" customHeight="1" x14ac:dyDescent="0.25">
      <c r="A7" s="18"/>
      <c r="B7" s="18"/>
      <c r="C7" s="18"/>
      <c r="D7" s="7"/>
      <c r="E7" s="91"/>
      <c r="F7" s="53" t="str">
        <f ca="1">Alertas!R7</f>
        <v/>
      </c>
      <c r="G7" s="91"/>
      <c r="H7" s="91"/>
      <c r="I7" s="91"/>
      <c r="J7" s="91"/>
      <c r="K7" s="91"/>
      <c r="L7" s="1035" t="s">
        <v>0</v>
      </c>
      <c r="M7" s="1035"/>
      <c r="N7" s="1"/>
    </row>
    <row r="8" spans="1:14" ht="15" customHeight="1" x14ac:dyDescent="0.25">
      <c r="A8" s="18"/>
      <c r="B8" s="18"/>
      <c r="C8" s="18"/>
      <c r="D8" s="7"/>
      <c r="E8" s="7"/>
      <c r="F8" s="92"/>
      <c r="G8" s="1"/>
      <c r="H8" s="1"/>
      <c r="I8" s="1"/>
      <c r="J8" s="1"/>
      <c r="K8" s="1"/>
      <c r="L8" s="1"/>
      <c r="M8" s="1"/>
      <c r="N8" s="1"/>
    </row>
    <row r="9" spans="1:14" ht="20.100000000000001" customHeight="1" x14ac:dyDescent="0.25">
      <c r="A9" s="18"/>
      <c r="B9" s="18"/>
      <c r="C9" s="18"/>
      <c r="D9" s="7"/>
      <c r="E9" s="2"/>
      <c r="F9" s="93" t="s">
        <v>273</v>
      </c>
      <c r="G9" s="2"/>
      <c r="H9" s="2"/>
      <c r="I9" s="2"/>
      <c r="J9" s="2"/>
      <c r="K9" s="2"/>
      <c r="L9" s="2"/>
      <c r="M9" s="2"/>
      <c r="N9" s="1"/>
    </row>
    <row r="10" spans="1:14" ht="20.100000000000001" customHeight="1" x14ac:dyDescent="0.25">
      <c r="A10" s="18"/>
      <c r="B10" s="18"/>
      <c r="C10" s="18"/>
      <c r="D10" s="7"/>
      <c r="E10" s="2"/>
      <c r="F10" s="94" t="s">
        <v>274</v>
      </c>
      <c r="G10" s="2"/>
      <c r="H10" s="2"/>
      <c r="I10" s="2"/>
      <c r="J10" s="2"/>
      <c r="K10" s="2"/>
      <c r="L10" s="2"/>
      <c r="M10" s="2"/>
      <c r="N10" s="1"/>
    </row>
    <row r="11" spans="1:14" ht="20.100000000000001" customHeight="1" x14ac:dyDescent="0.25">
      <c r="A11" s="18"/>
      <c r="B11" s="18"/>
      <c r="C11" s="18"/>
      <c r="D11" s="7"/>
      <c r="E11" s="2"/>
      <c r="F11" s="94" t="s">
        <v>275</v>
      </c>
      <c r="G11" s="2"/>
      <c r="H11" s="2"/>
      <c r="I11" s="2"/>
      <c r="J11" s="2"/>
      <c r="K11" s="2"/>
      <c r="L11" s="2"/>
      <c r="M11" s="2"/>
      <c r="N11" s="1"/>
    </row>
    <row r="12" spans="1:14" ht="15" customHeight="1" x14ac:dyDescent="0.25">
      <c r="A12" s="18"/>
      <c r="B12" s="18"/>
      <c r="C12" s="18"/>
      <c r="D12" s="7"/>
      <c r="E12" s="7"/>
      <c r="F12" s="1"/>
      <c r="G12" s="1"/>
      <c r="H12" s="1"/>
      <c r="I12" s="1"/>
      <c r="J12" s="1"/>
      <c r="K12" s="1"/>
      <c r="L12" s="1"/>
      <c r="M12" s="1"/>
      <c r="N12" s="1"/>
    </row>
    <row r="13" spans="1:14" ht="15" customHeight="1" x14ac:dyDescent="0.25">
      <c r="A13" s="18"/>
      <c r="B13" s="18"/>
      <c r="C13" s="18"/>
      <c r="D13" s="7"/>
      <c r="E13" s="2"/>
      <c r="F13" s="2"/>
      <c r="G13" s="2"/>
      <c r="H13" s="2"/>
      <c r="I13" s="2"/>
      <c r="J13" s="2"/>
      <c r="K13" s="2"/>
      <c r="L13" s="2"/>
      <c r="M13" s="2"/>
      <c r="N13" s="1"/>
    </row>
    <row r="14" spans="1:14" ht="45" customHeight="1" x14ac:dyDescent="0.25">
      <c r="A14" s="18"/>
      <c r="B14" s="18"/>
      <c r="C14" s="18"/>
      <c r="D14" s="7"/>
      <c r="E14" s="28"/>
      <c r="F14" s="5" t="s">
        <v>143</v>
      </c>
      <c r="G14" s="1032"/>
      <c r="H14" s="1033"/>
      <c r="I14" s="1033"/>
      <c r="J14" s="1034"/>
      <c r="K14" s="12" t="s">
        <v>271</v>
      </c>
      <c r="L14" s="2"/>
      <c r="M14" s="33"/>
      <c r="N14" s="1"/>
    </row>
    <row r="15" spans="1:14" ht="13.5" customHeight="1" x14ac:dyDescent="0.25">
      <c r="A15" s="18"/>
      <c r="B15" s="18"/>
      <c r="C15" s="18"/>
      <c r="D15" s="7"/>
      <c r="E15" s="2"/>
      <c r="F15" s="2"/>
      <c r="G15" s="2"/>
      <c r="H15" s="2"/>
      <c r="I15" s="2"/>
      <c r="J15" s="2"/>
      <c r="K15" s="2"/>
      <c r="L15" s="2"/>
      <c r="M15" s="2"/>
      <c r="N15" s="1"/>
    </row>
    <row r="16" spans="1:14" ht="15" customHeight="1" x14ac:dyDescent="0.25">
      <c r="A16" s="18"/>
      <c r="B16" s="18"/>
      <c r="C16" s="18"/>
      <c r="D16" s="7"/>
      <c r="E16" s="7"/>
      <c r="F16" s="1"/>
      <c r="G16" s="1"/>
      <c r="H16" s="1"/>
      <c r="I16" s="1"/>
      <c r="J16" s="1"/>
      <c r="K16" s="1"/>
      <c r="L16" s="1"/>
      <c r="M16" s="1"/>
      <c r="N16" s="1"/>
    </row>
    <row r="17" spans="1:14" ht="13.5" customHeight="1" x14ac:dyDescent="0.25">
      <c r="A17" s="18"/>
      <c r="B17" s="18"/>
      <c r="C17" s="18"/>
      <c r="D17" s="7"/>
      <c r="E17" s="95"/>
      <c r="F17" s="2"/>
      <c r="G17" s="2"/>
      <c r="H17" s="2"/>
      <c r="I17" s="2"/>
      <c r="J17" s="47"/>
      <c r="K17" s="2"/>
      <c r="L17" s="96" t="str">
        <f ca="1">CONCATENATE("("&amp;Calculos!$AE$10,")")</f>
        <v>()</v>
      </c>
      <c r="M17" s="2"/>
      <c r="N17" s="1"/>
    </row>
    <row r="18" spans="1:14" ht="30" x14ac:dyDescent="0.25">
      <c r="A18" s="18"/>
      <c r="B18" s="18"/>
      <c r="C18" s="18"/>
      <c r="D18" s="7"/>
      <c r="E18" s="95"/>
      <c r="F18" s="58" t="s">
        <v>13</v>
      </c>
      <c r="G18" s="58" t="s">
        <v>386</v>
      </c>
      <c r="H18" s="58" t="s">
        <v>7299</v>
      </c>
      <c r="I18" s="58" t="s">
        <v>387</v>
      </c>
      <c r="J18" s="58" t="s">
        <v>388</v>
      </c>
      <c r="K18" s="58" t="s">
        <v>389</v>
      </c>
      <c r="L18" s="58" t="s">
        <v>390</v>
      </c>
      <c r="M18" s="97"/>
      <c r="N18" s="1"/>
    </row>
    <row r="19" spans="1:14" ht="18" customHeight="1" x14ac:dyDescent="0.25">
      <c r="A19" s="18"/>
      <c r="B19" s="18"/>
      <c r="C19" s="18"/>
      <c r="D19" s="7"/>
      <c r="E19" s="29">
        <v>1</v>
      </c>
      <c r="F19" s="98"/>
      <c r="G19" s="99"/>
      <c r="H19" s="99"/>
      <c r="I19" s="100"/>
      <c r="J19" s="100"/>
      <c r="K19" s="100"/>
      <c r="L19" s="101"/>
      <c r="M19" s="102"/>
      <c r="N19" s="1"/>
    </row>
    <row r="20" spans="1:14" ht="18" customHeight="1" x14ac:dyDescent="0.25">
      <c r="A20" s="18"/>
      <c r="B20" s="18"/>
      <c r="C20" s="18"/>
      <c r="D20" s="7"/>
      <c r="E20" s="29">
        <v>2</v>
      </c>
      <c r="F20" s="98"/>
      <c r="G20" s="99"/>
      <c r="H20" s="99"/>
      <c r="I20" s="100"/>
      <c r="J20" s="100"/>
      <c r="K20" s="100"/>
      <c r="L20" s="101"/>
      <c r="M20" s="102"/>
      <c r="N20" s="1"/>
    </row>
    <row r="21" spans="1:14" ht="18" customHeight="1" x14ac:dyDescent="0.25">
      <c r="A21" s="18"/>
      <c r="B21" s="18"/>
      <c r="C21" s="18"/>
      <c r="D21" s="7"/>
      <c r="E21" s="29">
        <v>3</v>
      </c>
      <c r="F21" s="98"/>
      <c r="G21" s="99"/>
      <c r="H21" s="99"/>
      <c r="I21" s="100"/>
      <c r="J21" s="100"/>
      <c r="K21" s="100"/>
      <c r="L21" s="101"/>
      <c r="M21" s="102"/>
      <c r="N21" s="1"/>
    </row>
    <row r="22" spans="1:14" ht="18" customHeight="1" x14ac:dyDescent="0.25">
      <c r="A22" s="18"/>
      <c r="B22" s="18"/>
      <c r="C22" s="18"/>
      <c r="D22" s="7"/>
      <c r="E22" s="29">
        <v>4</v>
      </c>
      <c r="F22" s="98"/>
      <c r="G22" s="99"/>
      <c r="H22" s="99"/>
      <c r="I22" s="100"/>
      <c r="J22" s="100"/>
      <c r="K22" s="100"/>
      <c r="L22" s="101"/>
      <c r="M22" s="102"/>
      <c r="N22" s="1"/>
    </row>
    <row r="23" spans="1:14" ht="18" customHeight="1" x14ac:dyDescent="0.25">
      <c r="A23" s="18"/>
      <c r="B23" s="18"/>
      <c r="C23" s="18"/>
      <c r="D23" s="7"/>
      <c r="E23" s="29">
        <v>5</v>
      </c>
      <c r="F23" s="98"/>
      <c r="G23" s="99"/>
      <c r="H23" s="99"/>
      <c r="I23" s="100"/>
      <c r="J23" s="100"/>
      <c r="K23" s="100"/>
      <c r="L23" s="101"/>
      <c r="M23" s="102"/>
      <c r="N23" s="1"/>
    </row>
    <row r="24" spans="1:14" ht="18" customHeight="1" x14ac:dyDescent="0.25">
      <c r="A24" s="18"/>
      <c r="B24" s="18"/>
      <c r="C24" s="18"/>
      <c r="D24" s="7"/>
      <c r="E24" s="29">
        <v>6</v>
      </c>
      <c r="F24" s="98"/>
      <c r="G24" s="99"/>
      <c r="H24" s="99"/>
      <c r="I24" s="100"/>
      <c r="J24" s="100"/>
      <c r="K24" s="100"/>
      <c r="L24" s="101"/>
      <c r="M24" s="102"/>
      <c r="N24" s="1"/>
    </row>
    <row r="25" spans="1:14" ht="18" customHeight="1" x14ac:dyDescent="0.25">
      <c r="A25" s="18"/>
      <c r="B25" s="18"/>
      <c r="C25" s="18"/>
      <c r="D25" s="7"/>
      <c r="E25" s="29">
        <v>7</v>
      </c>
      <c r="F25" s="98"/>
      <c r="G25" s="99"/>
      <c r="H25" s="99"/>
      <c r="I25" s="100"/>
      <c r="J25" s="100"/>
      <c r="K25" s="100"/>
      <c r="L25" s="101"/>
      <c r="M25" s="102"/>
      <c r="N25" s="1"/>
    </row>
    <row r="26" spans="1:14" ht="18" customHeight="1" x14ac:dyDescent="0.25">
      <c r="A26" s="18"/>
      <c r="B26" s="18"/>
      <c r="C26" s="18"/>
      <c r="D26" s="7"/>
      <c r="E26" s="29">
        <v>8</v>
      </c>
      <c r="F26" s="98"/>
      <c r="G26" s="99"/>
      <c r="H26" s="99"/>
      <c r="I26" s="100"/>
      <c r="J26" s="100"/>
      <c r="K26" s="100"/>
      <c r="L26" s="101"/>
      <c r="M26" s="102"/>
      <c r="N26" s="1"/>
    </row>
    <row r="27" spans="1:14" ht="18" customHeight="1" x14ac:dyDescent="0.25">
      <c r="A27" s="18"/>
      <c r="B27" s="18"/>
      <c r="C27" s="18"/>
      <c r="D27" s="7"/>
      <c r="E27" s="29">
        <v>9</v>
      </c>
      <c r="F27" s="98"/>
      <c r="G27" s="99"/>
      <c r="H27" s="99"/>
      <c r="I27" s="100"/>
      <c r="J27" s="100"/>
      <c r="K27" s="100"/>
      <c r="L27" s="101"/>
      <c r="M27" s="102"/>
      <c r="N27" s="1"/>
    </row>
    <row r="28" spans="1:14" ht="18" customHeight="1" x14ac:dyDescent="0.25">
      <c r="A28" s="18"/>
      <c r="B28" s="18"/>
      <c r="C28" s="18"/>
      <c r="D28" s="7"/>
      <c r="E28" s="29">
        <v>10</v>
      </c>
      <c r="F28" s="98"/>
      <c r="G28" s="99"/>
      <c r="H28" s="99"/>
      <c r="I28" s="100"/>
      <c r="J28" s="100"/>
      <c r="K28" s="100"/>
      <c r="L28" s="101"/>
      <c r="M28" s="102"/>
      <c r="N28" s="1"/>
    </row>
    <row r="29" spans="1:14" ht="18" customHeight="1" x14ac:dyDescent="0.25">
      <c r="A29" s="18"/>
      <c r="B29" s="18"/>
      <c r="C29" s="18"/>
      <c r="D29" s="7"/>
      <c r="E29" s="29">
        <v>11</v>
      </c>
      <c r="F29" s="98"/>
      <c r="G29" s="99"/>
      <c r="H29" s="99"/>
      <c r="I29" s="100"/>
      <c r="J29" s="100"/>
      <c r="K29" s="100"/>
      <c r="L29" s="101"/>
      <c r="M29" s="102"/>
      <c r="N29" s="1"/>
    </row>
    <row r="30" spans="1:14" ht="18" customHeight="1" x14ac:dyDescent="0.25">
      <c r="A30" s="18"/>
      <c r="B30" s="18"/>
      <c r="C30" s="18"/>
      <c r="D30" s="7"/>
      <c r="E30" s="29">
        <v>12</v>
      </c>
      <c r="F30" s="98"/>
      <c r="G30" s="99"/>
      <c r="H30" s="99"/>
      <c r="I30" s="100"/>
      <c r="J30" s="100"/>
      <c r="K30" s="100"/>
      <c r="L30" s="101"/>
      <c r="M30" s="102"/>
      <c r="N30" s="1"/>
    </row>
    <row r="31" spans="1:14" ht="18" customHeight="1" x14ac:dyDescent="0.25">
      <c r="A31" s="18"/>
      <c r="B31" s="18"/>
      <c r="C31" s="18"/>
      <c r="D31" s="7"/>
      <c r="E31" s="29">
        <v>13</v>
      </c>
      <c r="F31" s="98"/>
      <c r="G31" s="99"/>
      <c r="H31" s="99"/>
      <c r="I31" s="100"/>
      <c r="J31" s="100"/>
      <c r="K31" s="100"/>
      <c r="L31" s="101"/>
      <c r="M31" s="102"/>
      <c r="N31" s="1"/>
    </row>
    <row r="32" spans="1:14" ht="18" customHeight="1" x14ac:dyDescent="0.25">
      <c r="A32" s="18"/>
      <c r="B32" s="18"/>
      <c r="C32" s="18"/>
      <c r="D32" s="7"/>
      <c r="E32" s="29">
        <v>14</v>
      </c>
      <c r="F32" s="98"/>
      <c r="G32" s="99"/>
      <c r="H32" s="99"/>
      <c r="I32" s="100"/>
      <c r="J32" s="100"/>
      <c r="K32" s="100"/>
      <c r="L32" s="101"/>
      <c r="M32" s="102"/>
      <c r="N32" s="1"/>
    </row>
    <row r="33" spans="1:14" ht="18" customHeight="1" x14ac:dyDescent="0.25">
      <c r="A33" s="18"/>
      <c r="B33" s="18"/>
      <c r="C33" s="18"/>
      <c r="D33" s="7"/>
      <c r="E33" s="29">
        <v>15</v>
      </c>
      <c r="F33" s="98"/>
      <c r="G33" s="99"/>
      <c r="H33" s="99"/>
      <c r="I33" s="100"/>
      <c r="J33" s="100"/>
      <c r="K33" s="100"/>
      <c r="L33" s="101"/>
      <c r="M33" s="102"/>
      <c r="N33" s="1"/>
    </row>
    <row r="34" spans="1:14" ht="18" customHeight="1" x14ac:dyDescent="0.25">
      <c r="A34" s="18"/>
      <c r="B34" s="18"/>
      <c r="C34" s="18"/>
      <c r="D34" s="7"/>
      <c r="E34" s="29">
        <v>16</v>
      </c>
      <c r="F34" s="98"/>
      <c r="G34" s="99"/>
      <c r="H34" s="99"/>
      <c r="I34" s="100"/>
      <c r="J34" s="100"/>
      <c r="K34" s="100"/>
      <c r="L34" s="101"/>
      <c r="M34" s="102"/>
      <c r="N34" s="1"/>
    </row>
    <row r="35" spans="1:14" ht="18" customHeight="1" x14ac:dyDescent="0.25">
      <c r="A35" s="18"/>
      <c r="B35" s="18"/>
      <c r="C35" s="18"/>
      <c r="D35" s="7"/>
      <c r="E35" s="29">
        <v>17</v>
      </c>
      <c r="F35" s="98"/>
      <c r="G35" s="99"/>
      <c r="H35" s="99"/>
      <c r="I35" s="100"/>
      <c r="J35" s="100"/>
      <c r="K35" s="100"/>
      <c r="L35" s="101"/>
      <c r="M35" s="102"/>
      <c r="N35" s="1"/>
    </row>
    <row r="36" spans="1:14" ht="18" customHeight="1" x14ac:dyDescent="0.25">
      <c r="A36" s="18"/>
      <c r="B36" s="18"/>
      <c r="C36" s="18"/>
      <c r="D36" s="7"/>
      <c r="E36" s="29">
        <v>18</v>
      </c>
      <c r="F36" s="98"/>
      <c r="G36" s="99"/>
      <c r="H36" s="99"/>
      <c r="I36" s="100"/>
      <c r="J36" s="100"/>
      <c r="K36" s="100"/>
      <c r="L36" s="101"/>
      <c r="M36" s="102"/>
      <c r="N36" s="1"/>
    </row>
    <row r="37" spans="1:14" ht="18" customHeight="1" x14ac:dyDescent="0.25">
      <c r="A37" s="18"/>
      <c r="B37" s="18"/>
      <c r="C37" s="18"/>
      <c r="D37" s="7"/>
      <c r="E37" s="29">
        <v>19</v>
      </c>
      <c r="F37" s="98"/>
      <c r="G37" s="99"/>
      <c r="H37" s="99"/>
      <c r="I37" s="100"/>
      <c r="J37" s="100"/>
      <c r="K37" s="100"/>
      <c r="L37" s="101"/>
      <c r="M37" s="102"/>
      <c r="N37" s="1"/>
    </row>
    <row r="38" spans="1:14" ht="18" customHeight="1" x14ac:dyDescent="0.25">
      <c r="A38" s="18"/>
      <c r="B38" s="18"/>
      <c r="C38" s="18"/>
      <c r="D38" s="7"/>
      <c r="E38" s="29">
        <v>20</v>
      </c>
      <c r="F38" s="98"/>
      <c r="G38" s="99"/>
      <c r="H38" s="99"/>
      <c r="I38" s="100"/>
      <c r="J38" s="100"/>
      <c r="K38" s="100"/>
      <c r="L38" s="101"/>
      <c r="M38" s="102"/>
      <c r="N38" s="1"/>
    </row>
    <row r="39" spans="1:14" ht="18" customHeight="1" x14ac:dyDescent="0.25">
      <c r="A39" s="18"/>
      <c r="B39" s="18"/>
      <c r="C39" s="18"/>
      <c r="D39" s="7"/>
      <c r="E39" s="29">
        <v>21</v>
      </c>
      <c r="F39" s="98"/>
      <c r="G39" s="99"/>
      <c r="H39" s="99"/>
      <c r="I39" s="100"/>
      <c r="J39" s="100"/>
      <c r="K39" s="100"/>
      <c r="L39" s="101"/>
      <c r="M39" s="102"/>
      <c r="N39" s="1"/>
    </row>
    <row r="40" spans="1:14" ht="18" customHeight="1" x14ac:dyDescent="0.25">
      <c r="A40" s="18"/>
      <c r="B40" s="18"/>
      <c r="C40" s="18"/>
      <c r="D40" s="7"/>
      <c r="E40" s="29">
        <v>22</v>
      </c>
      <c r="F40" s="98"/>
      <c r="G40" s="99"/>
      <c r="H40" s="99"/>
      <c r="I40" s="100"/>
      <c r="J40" s="100"/>
      <c r="K40" s="100"/>
      <c r="L40" s="101"/>
      <c r="M40" s="102"/>
      <c r="N40" s="1"/>
    </row>
    <row r="41" spans="1:14" ht="18" customHeight="1" x14ac:dyDescent="0.25">
      <c r="A41" s="18"/>
      <c r="B41" s="18"/>
      <c r="C41" s="18"/>
      <c r="D41" s="7"/>
      <c r="E41" s="29">
        <v>23</v>
      </c>
      <c r="F41" s="98"/>
      <c r="G41" s="99"/>
      <c r="H41" s="99"/>
      <c r="I41" s="100"/>
      <c r="J41" s="100"/>
      <c r="K41" s="100"/>
      <c r="L41" s="101"/>
      <c r="M41" s="102"/>
      <c r="N41" s="1"/>
    </row>
    <row r="42" spans="1:14" ht="18" customHeight="1" x14ac:dyDescent="0.25">
      <c r="A42" s="18"/>
      <c r="B42" s="18"/>
      <c r="C42" s="18"/>
      <c r="D42" s="7"/>
      <c r="E42" s="29">
        <v>24</v>
      </c>
      <c r="F42" s="98"/>
      <c r="G42" s="99"/>
      <c r="H42" s="99"/>
      <c r="I42" s="100"/>
      <c r="J42" s="100"/>
      <c r="K42" s="100"/>
      <c r="L42" s="101"/>
      <c r="M42" s="102"/>
      <c r="N42" s="1"/>
    </row>
    <row r="43" spans="1:14" ht="18" customHeight="1" x14ac:dyDescent="0.25">
      <c r="A43" s="18"/>
      <c r="B43" s="18"/>
      <c r="C43" s="18"/>
      <c r="D43" s="7"/>
      <c r="E43" s="29">
        <v>25</v>
      </c>
      <c r="F43" s="98"/>
      <c r="G43" s="99"/>
      <c r="H43" s="99"/>
      <c r="I43" s="100"/>
      <c r="J43" s="100"/>
      <c r="K43" s="100"/>
      <c r="L43" s="101"/>
      <c r="M43" s="102"/>
      <c r="N43" s="1"/>
    </row>
    <row r="44" spans="1:14" ht="18" customHeight="1" x14ac:dyDescent="0.25">
      <c r="A44" s="18"/>
      <c r="B44" s="18"/>
      <c r="C44" s="18"/>
      <c r="D44" s="7"/>
      <c r="E44" s="29">
        <v>26</v>
      </c>
      <c r="F44" s="98"/>
      <c r="G44" s="99"/>
      <c r="H44" s="99"/>
      <c r="I44" s="100"/>
      <c r="J44" s="100"/>
      <c r="K44" s="100"/>
      <c r="L44" s="101"/>
      <c r="M44" s="102"/>
      <c r="N44" s="1"/>
    </row>
    <row r="45" spans="1:14" ht="18" customHeight="1" x14ac:dyDescent="0.25">
      <c r="A45" s="18"/>
      <c r="B45" s="18"/>
      <c r="C45" s="18"/>
      <c r="D45" s="7"/>
      <c r="E45" s="29">
        <v>27</v>
      </c>
      <c r="F45" s="98"/>
      <c r="G45" s="99"/>
      <c r="H45" s="99"/>
      <c r="I45" s="100"/>
      <c r="J45" s="100"/>
      <c r="K45" s="100"/>
      <c r="L45" s="101"/>
      <c r="M45" s="102"/>
      <c r="N45" s="1"/>
    </row>
    <row r="46" spans="1:14" ht="18" customHeight="1" x14ac:dyDescent="0.25">
      <c r="A46" s="18"/>
      <c r="B46" s="18"/>
      <c r="C46" s="18"/>
      <c r="D46" s="7"/>
      <c r="E46" s="29">
        <v>28</v>
      </c>
      <c r="F46" s="98"/>
      <c r="G46" s="99"/>
      <c r="H46" s="99"/>
      <c r="I46" s="100"/>
      <c r="J46" s="100"/>
      <c r="K46" s="100"/>
      <c r="L46" s="101"/>
      <c r="M46" s="102"/>
      <c r="N46" s="1"/>
    </row>
    <row r="47" spans="1:14" ht="18" customHeight="1" x14ac:dyDescent="0.25">
      <c r="A47" s="18"/>
      <c r="B47" s="18"/>
      <c r="C47" s="18"/>
      <c r="D47" s="7"/>
      <c r="E47" s="29">
        <v>29</v>
      </c>
      <c r="F47" s="98"/>
      <c r="G47" s="99"/>
      <c r="H47" s="99"/>
      <c r="I47" s="100"/>
      <c r="J47" s="100"/>
      <c r="K47" s="100"/>
      <c r="L47" s="101"/>
      <c r="M47" s="102"/>
      <c r="N47" s="1"/>
    </row>
    <row r="48" spans="1:14" ht="18" customHeight="1" x14ac:dyDescent="0.25">
      <c r="A48" s="18"/>
      <c r="B48" s="18"/>
      <c r="C48" s="18"/>
      <c r="D48" s="7"/>
      <c r="E48" s="29">
        <v>30</v>
      </c>
      <c r="F48" s="98"/>
      <c r="G48" s="99"/>
      <c r="H48" s="99"/>
      <c r="I48" s="100"/>
      <c r="J48" s="100"/>
      <c r="K48" s="100"/>
      <c r="L48" s="101"/>
      <c r="M48" s="102"/>
      <c r="N48" s="1"/>
    </row>
    <row r="49" spans="1:14" s="2" customFormat="1" x14ac:dyDescent="0.25">
      <c r="A49" s="18"/>
      <c r="B49" s="18"/>
      <c r="C49" s="18"/>
      <c r="D49" s="7"/>
      <c r="F49" s="103" t="s">
        <v>5509</v>
      </c>
      <c r="N49" s="1"/>
    </row>
    <row r="50" spans="1:14" s="2" customFormat="1" x14ac:dyDescent="0.25">
      <c r="A50" s="18"/>
      <c r="B50" s="18"/>
      <c r="C50" s="18"/>
      <c r="D50" s="7"/>
      <c r="E50" s="7"/>
      <c r="F50" s="7"/>
      <c r="G50" s="7"/>
      <c r="H50" s="7"/>
      <c r="I50" s="7"/>
      <c r="J50" s="7"/>
      <c r="K50" s="7"/>
      <c r="L50" s="7"/>
      <c r="M50" s="7"/>
      <c r="N50" s="7"/>
    </row>
    <row r="65" s="20" customFormat="1" ht="18" hidden="1" customHeight="1" x14ac:dyDescent="0.25"/>
  </sheetData>
  <sheetProtection algorithmName="SHA-512" hashValue="9jp5uEmEMIrl2spVNtreez0v2MEp8Jo7xON1FJAhuaPTXBjDWjV+aVDXdOlqrqySV14dki4jCH6/e7BmC9VDcQ==" saltValue="cY2OAkoOBm0n3q4OSVh3kA==" spinCount="100000" sheet="1" objects="1" scenarios="1" formatColumns="0" formatRows="0"/>
  <dataConsolidate link="1"/>
  <mergeCells count="3">
    <mergeCell ref="G14:J14"/>
    <mergeCell ref="L7:M7"/>
    <mergeCell ref="F2:K6"/>
  </mergeCells>
  <conditionalFormatting sqref="F7">
    <cfRule type="notContainsBlanks" dxfId="682" priority="1">
      <formula>LEN(TRIM(F7))&gt;0</formula>
    </cfRule>
  </conditionalFormatting>
  <conditionalFormatting sqref="J19:K48">
    <cfRule type="expression" dxfId="681" priority="3">
      <formula>$K19&gt;$J19</formula>
    </cfRule>
  </conditionalFormatting>
  <dataValidations count="6">
    <dataValidation type="list" allowBlank="1" showInputMessage="1" showErrorMessage="1" errorTitle="Ingrediente inválido" error="Somente serão válidos aqueles ingredientes ativos informados na guia &quot;Produtos Técnicos&quot;" sqref="F19:F48" xr:uid="{E2CD8157-62BC-4396-BAFB-55C9841AF84F}">
      <formula1>src_ingredientes</formula1>
    </dataValidation>
    <dataValidation type="custom" allowBlank="1" showInputMessage="1" showErrorMessage="1" errorTitle="Data inválida" error="A data de validade não pode ser anterior a data de fabricação." sqref="J19:J48" xr:uid="{1B3F4B3A-6685-4A40-88F1-682238FB1319}">
      <formula1>I19&lt;=J19</formula1>
    </dataValidation>
    <dataValidation allowBlank="1" showInputMessage="1" showErrorMessage="1" promptTitle="Ajuda" prompt="Esse código será utilizado para identificar os certificados apresentados nos estudos físico-químicos e toxicológicos." sqref="G18" xr:uid="{E212AD11-5898-4AD4-8AED-C9742AF4AF34}"/>
    <dataValidation allowBlank="1" showInputMessage="1" showErrorMessage="1" promptTitle="Ajuda" prompt="Caso seja preenchido somente mês/ano, p.ex. 05/20, o sistema irá considerar o dia 1º do referido mês." sqref="I18:K18" xr:uid="{7E6364FB-341D-4215-A86E-BDCDA4FEF143}"/>
    <dataValidation allowBlank="1" showInputMessage="1" showErrorMessage="1" promptTitle="Ajuda" prompt="Informar a concentração de ingrediente ativo em g/L ou em g/Kg. _x000a__x000a_Não utilizar %, ppm ou qualquer outra unidade de medida divergente da DCQQ._x000a__x000a_No caso de sal: considerar o IA que foi informado apenas como &quot;Ingrediente ativo&quot; na composição" sqref="L18" xr:uid="{1A3E687B-D92F-4D7F-9C2E-6C635954BA76}"/>
    <dataValidation type="custom" allowBlank="1" showInputMessage="1" showErrorMessage="1" errorTitle="Data inválida" error="A data de análise não pode ser anterior a data de fabricação" sqref="K19:K48" xr:uid="{7CD42DA0-877A-43F2-98CB-A456ADD46B9F}">
      <formula1>I19&lt;=K19</formula1>
    </dataValidation>
  </dataValidations>
  <hyperlinks>
    <hyperlink ref="F7" location="Alertas!G2" display="Alertas!G2" xr:uid="{B1F4BB95-CD9E-4917-AF43-0353B3AC8202}"/>
  </hyperlinks>
  <pageMargins left="0.511811024" right="0.511811024" top="0.78740157499999996" bottom="0.78740157499999996" header="0.31496062000000002" footer="0.31496062000000002"/>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F4BC5-1D04-4E5F-AD5D-D5D04C825266}">
  <sheetPr codeName="Planilha11">
    <tabColor theme="8" tint="0.59999389629810485"/>
  </sheetPr>
  <dimension ref="A1:Q40"/>
  <sheetViews>
    <sheetView showGridLines="0" topLeftCell="D1" workbookViewId="0">
      <selection activeCell="D1" sqref="D1"/>
    </sheetView>
  </sheetViews>
  <sheetFormatPr defaultColWidth="0" defaultRowHeight="15" zeroHeight="1" x14ac:dyDescent="0.25"/>
  <cols>
    <col min="1" max="3" width="2.7109375" style="2" hidden="1" customWidth="1"/>
    <col min="4" max="4" width="2.7109375" style="2" customWidth="1"/>
    <col min="5" max="5" width="2.7109375" style="20" customWidth="1"/>
    <col min="6" max="6" width="31.85546875" style="20" customWidth="1"/>
    <col min="7" max="7" width="24.7109375" style="20" customWidth="1"/>
    <col min="8" max="9" width="45.7109375" style="20" customWidth="1"/>
    <col min="10" max="10" width="16.42578125" style="20" customWidth="1"/>
    <col min="11" max="11" width="4.7109375" style="20" customWidth="1"/>
    <col min="12" max="13" width="4.7109375" style="20" hidden="1" customWidth="1"/>
    <col min="14" max="14" width="20.7109375" style="20" hidden="1" customWidth="1"/>
    <col min="15" max="15" width="21.5703125" style="20" hidden="1" customWidth="1"/>
    <col min="16" max="16" width="15.42578125" style="20" hidden="1" customWidth="1"/>
    <col min="17" max="17" width="4.7109375" style="20" hidden="1" customWidth="1"/>
    <col min="18" max="16384" width="9.140625" style="20" hidden="1"/>
  </cols>
  <sheetData>
    <row r="1" spans="1:17" ht="15" customHeight="1" x14ac:dyDescent="0.25">
      <c r="A1" s="18"/>
      <c r="B1" s="18"/>
      <c r="C1" s="18"/>
      <c r="D1" s="7"/>
      <c r="E1" s="7"/>
      <c r="F1" s="1"/>
      <c r="G1" s="1"/>
      <c r="H1" s="1"/>
      <c r="I1" s="1"/>
      <c r="J1" s="1"/>
      <c r="K1" s="1"/>
      <c r="L1" s="1"/>
      <c r="M1" s="1"/>
      <c r="N1" s="1"/>
      <c r="O1" s="1"/>
      <c r="P1" s="1"/>
    </row>
    <row r="2" spans="1:17" ht="15" customHeight="1" x14ac:dyDescent="0.25">
      <c r="A2" s="18"/>
      <c r="B2" s="18"/>
      <c r="C2" s="18"/>
      <c r="D2" s="7"/>
      <c r="E2" s="2"/>
      <c r="F2" s="990" t="s">
        <v>16</v>
      </c>
      <c r="G2" s="990"/>
      <c r="H2" s="990"/>
      <c r="I2" s="91"/>
      <c r="J2" s="91"/>
      <c r="K2" s="1"/>
      <c r="L2" s="91"/>
      <c r="M2" s="91"/>
      <c r="N2" s="2"/>
      <c r="O2" s="2"/>
      <c r="P2" s="2"/>
    </row>
    <row r="3" spans="1:17" ht="15" customHeight="1" x14ac:dyDescent="0.25">
      <c r="A3" s="18"/>
      <c r="B3" s="18"/>
      <c r="C3" s="18"/>
      <c r="D3" s="7"/>
      <c r="E3" s="2"/>
      <c r="F3" s="990"/>
      <c r="G3" s="990"/>
      <c r="H3" s="990"/>
      <c r="I3" s="91"/>
      <c r="J3" s="91"/>
      <c r="K3" s="1"/>
      <c r="L3" s="91"/>
      <c r="M3" s="91"/>
      <c r="N3" s="2"/>
      <c r="O3" s="2"/>
      <c r="P3" s="2"/>
    </row>
    <row r="4" spans="1:17" ht="15" customHeight="1" x14ac:dyDescent="0.25">
      <c r="A4" s="18"/>
      <c r="B4" s="18"/>
      <c r="C4" s="18"/>
      <c r="D4" s="7"/>
      <c r="E4" s="2"/>
      <c r="F4" s="990"/>
      <c r="G4" s="990"/>
      <c r="H4" s="990"/>
      <c r="I4" s="91"/>
      <c r="J4" s="91"/>
      <c r="K4" s="1"/>
      <c r="L4" s="91"/>
      <c r="M4" s="91"/>
      <c r="N4" s="2"/>
      <c r="O4" s="2"/>
      <c r="P4" s="2"/>
    </row>
    <row r="5" spans="1:17" ht="15" customHeight="1" x14ac:dyDescent="0.25">
      <c r="A5" s="18"/>
      <c r="B5" s="18"/>
      <c r="C5" s="18"/>
      <c r="D5" s="7"/>
      <c r="E5" s="2"/>
      <c r="F5" s="990"/>
      <c r="G5" s="990"/>
      <c r="H5" s="990"/>
      <c r="I5" s="91"/>
      <c r="J5" s="91"/>
      <c r="K5" s="1"/>
      <c r="L5" s="91"/>
      <c r="M5" s="91"/>
      <c r="N5" s="2"/>
      <c r="O5" s="2"/>
      <c r="P5" s="2"/>
    </row>
    <row r="6" spans="1:17" ht="15" customHeight="1" x14ac:dyDescent="0.25">
      <c r="A6" s="18"/>
      <c r="B6" s="18"/>
      <c r="C6" s="18"/>
      <c r="D6" s="7"/>
      <c r="E6" s="2"/>
      <c r="F6" s="990"/>
      <c r="G6" s="990"/>
      <c r="H6" s="990"/>
      <c r="I6" s="91"/>
      <c r="J6" s="91"/>
      <c r="K6" s="1"/>
      <c r="L6" s="91"/>
      <c r="M6" s="91"/>
      <c r="N6" s="2"/>
      <c r="O6" s="2"/>
      <c r="P6" s="2"/>
    </row>
    <row r="7" spans="1:17" ht="20.100000000000001" customHeight="1" x14ac:dyDescent="0.25">
      <c r="A7" s="18"/>
      <c r="B7" s="18"/>
      <c r="C7" s="18"/>
      <c r="D7" s="7"/>
      <c r="E7" s="2"/>
      <c r="F7" s="53" t="str">
        <f ca="1">Alertas!R8</f>
        <v/>
      </c>
      <c r="G7" s="91"/>
      <c r="H7" s="91"/>
      <c r="I7" s="104" t="s">
        <v>0</v>
      </c>
      <c r="J7" s="91"/>
      <c r="K7" s="1"/>
      <c r="M7" s="73"/>
      <c r="N7" s="2"/>
      <c r="O7" s="2"/>
      <c r="P7" s="2"/>
    </row>
    <row r="8" spans="1:17" ht="15" hidden="1" customHeight="1" x14ac:dyDescent="0.25">
      <c r="A8" s="18"/>
      <c r="B8" s="18"/>
      <c r="C8" s="18"/>
      <c r="D8" s="7"/>
      <c r="E8" s="7"/>
      <c r="F8" s="7"/>
      <c r="G8" s="7"/>
      <c r="H8" s="7"/>
      <c r="I8" s="7"/>
      <c r="J8" s="7"/>
      <c r="K8" s="1"/>
      <c r="L8" s="7"/>
      <c r="M8" s="7"/>
      <c r="N8" s="1"/>
      <c r="O8" s="1"/>
      <c r="P8" s="1"/>
    </row>
    <row r="9" spans="1:17" ht="20.100000000000001" hidden="1" customHeight="1" x14ac:dyDescent="0.25">
      <c r="A9" s="20"/>
      <c r="B9" s="20"/>
      <c r="C9" s="20"/>
      <c r="D9" s="7"/>
      <c r="K9" s="1"/>
    </row>
    <row r="10" spans="1:17" ht="15" hidden="1" customHeight="1" x14ac:dyDescent="0.25">
      <c r="A10" s="18"/>
      <c r="B10" s="18"/>
      <c r="C10" s="18"/>
      <c r="D10" s="7"/>
      <c r="E10" s="7"/>
      <c r="F10" s="105"/>
      <c r="G10" s="7"/>
      <c r="H10" s="7"/>
      <c r="I10" s="7"/>
      <c r="J10" s="7"/>
      <c r="K10" s="1"/>
      <c r="L10" s="7"/>
      <c r="M10" s="7"/>
      <c r="N10" s="1"/>
      <c r="O10" s="1"/>
      <c r="P10" s="1"/>
    </row>
    <row r="11" spans="1:17" ht="15" hidden="1" customHeight="1" x14ac:dyDescent="0.25">
      <c r="A11" s="18"/>
      <c r="B11" s="18"/>
      <c r="C11" s="18"/>
      <c r="D11" s="7"/>
      <c r="E11" s="7"/>
      <c r="F11" s="7"/>
      <c r="G11" s="7"/>
      <c r="H11" s="7"/>
      <c r="I11" s="7"/>
      <c r="J11" s="7"/>
      <c r="K11" s="1"/>
      <c r="L11" s="7"/>
      <c r="M11" s="7"/>
      <c r="N11" s="1"/>
      <c r="O11" s="1"/>
      <c r="P11" s="1"/>
    </row>
    <row r="12" spans="1:17" x14ac:dyDescent="0.25">
      <c r="A12" s="18"/>
      <c r="B12" s="18"/>
      <c r="C12" s="18"/>
      <c r="D12" s="7"/>
      <c r="E12" s="7"/>
      <c r="F12" s="7"/>
      <c r="G12" s="7"/>
      <c r="H12" s="7"/>
      <c r="I12" s="7"/>
      <c r="J12" s="7"/>
      <c r="K12" s="1"/>
      <c r="L12" s="7"/>
      <c r="M12" s="7"/>
      <c r="N12" s="7"/>
      <c r="O12" s="1"/>
      <c r="P12" s="1"/>
    </row>
    <row r="13" spans="1:17" x14ac:dyDescent="0.25">
      <c r="A13" s="18"/>
      <c r="B13" s="18"/>
      <c r="C13" s="18"/>
      <c r="D13" s="7"/>
      <c r="E13" s="73"/>
      <c r="F13" s="2"/>
      <c r="G13" s="2"/>
      <c r="H13" s="2"/>
      <c r="I13" s="2"/>
      <c r="J13" s="2"/>
      <c r="K13" s="1"/>
      <c r="M13" s="2"/>
      <c r="N13" s="2"/>
      <c r="O13" s="2"/>
      <c r="P13" s="2"/>
      <c r="Q13" s="2"/>
    </row>
    <row r="14" spans="1:17" ht="45" customHeight="1" x14ac:dyDescent="0.25">
      <c r="A14" s="18"/>
      <c r="B14" s="18"/>
      <c r="C14" s="18"/>
      <c r="D14" s="7"/>
      <c r="E14" s="27"/>
      <c r="F14" s="24" t="s">
        <v>143</v>
      </c>
      <c r="G14" s="1036"/>
      <c r="H14" s="1037"/>
      <c r="I14" s="1038"/>
      <c r="J14" s="26" t="s">
        <v>271</v>
      </c>
      <c r="K14" s="1"/>
      <c r="L14" s="106"/>
      <c r="M14" s="12"/>
      <c r="N14" s="107"/>
      <c r="O14" s="33"/>
      <c r="P14" s="33"/>
      <c r="Q14" s="2"/>
    </row>
    <row r="15" spans="1:17" ht="15" customHeight="1" x14ac:dyDescent="0.25">
      <c r="A15" s="18"/>
      <c r="B15" s="18"/>
      <c r="C15" s="18"/>
      <c r="D15" s="7"/>
      <c r="E15" s="2"/>
      <c r="F15" s="2"/>
      <c r="G15" s="2"/>
      <c r="H15" s="2"/>
      <c r="I15" s="2"/>
      <c r="J15" s="2"/>
      <c r="K15" s="1"/>
      <c r="M15" s="108"/>
      <c r="N15" s="2"/>
      <c r="O15" s="2"/>
      <c r="P15" s="2"/>
      <c r="Q15" s="2"/>
    </row>
    <row r="16" spans="1:17" ht="15" customHeight="1" x14ac:dyDescent="0.25">
      <c r="A16" s="18"/>
      <c r="B16" s="18"/>
      <c r="C16" s="18"/>
      <c r="D16" s="7"/>
      <c r="E16" s="7"/>
      <c r="F16" s="7"/>
      <c r="G16" s="7"/>
      <c r="H16" s="7"/>
      <c r="I16" s="7"/>
      <c r="J16" s="7"/>
      <c r="K16" s="1"/>
      <c r="L16" s="7"/>
      <c r="M16" s="7"/>
      <c r="N16" s="7"/>
      <c r="O16" s="1"/>
      <c r="P16" s="1"/>
    </row>
    <row r="17" spans="1:16" ht="30" customHeight="1" x14ac:dyDescent="0.25">
      <c r="A17" s="18"/>
      <c r="B17" s="18"/>
      <c r="C17" s="18"/>
      <c r="D17" s="7"/>
      <c r="E17" s="7"/>
      <c r="F17" s="7"/>
      <c r="G17" s="7"/>
      <c r="H17" s="7"/>
      <c r="I17" s="109" t="str">
        <f ca="1">Calculos!AT11</f>
        <v>Faltam 9 testes obrigatórios a serem preenchidos</v>
      </c>
      <c r="J17" s="7"/>
      <c r="K17" s="1"/>
      <c r="L17" s="7"/>
      <c r="M17" s="7"/>
      <c r="N17" s="7"/>
      <c r="O17" s="7"/>
      <c r="P17" s="7"/>
    </row>
    <row r="18" spans="1:16" ht="15" customHeight="1" x14ac:dyDescent="0.25">
      <c r="A18" s="18"/>
      <c r="B18" s="18"/>
      <c r="C18" s="18"/>
      <c r="D18" s="7"/>
      <c r="E18" s="7"/>
      <c r="F18" s="7"/>
      <c r="G18" s="7"/>
      <c r="H18" s="7"/>
      <c r="I18" s="7"/>
      <c r="J18" s="7"/>
      <c r="K18" s="1"/>
      <c r="L18" s="7"/>
      <c r="M18" s="7"/>
      <c r="N18" s="7"/>
      <c r="O18" s="7"/>
      <c r="P18" s="7"/>
    </row>
    <row r="19" spans="1:16" ht="39.950000000000003" customHeight="1" x14ac:dyDescent="0.25">
      <c r="A19" s="18"/>
      <c r="B19" s="18"/>
      <c r="C19" s="18"/>
      <c r="D19" s="7"/>
      <c r="E19" s="104"/>
      <c r="F19" s="110" t="s">
        <v>391</v>
      </c>
      <c r="G19" s="110" t="s">
        <v>294</v>
      </c>
      <c r="H19" s="110" t="s">
        <v>7987</v>
      </c>
      <c r="I19" s="110" t="s">
        <v>7988</v>
      </c>
      <c r="K19" s="1"/>
    </row>
    <row r="20" spans="1:16" ht="39.950000000000003" customHeight="1" x14ac:dyDescent="0.25">
      <c r="A20" s="18"/>
      <c r="B20" s="18"/>
      <c r="C20" s="18"/>
      <c r="D20" s="7"/>
      <c r="E20" s="104"/>
      <c r="F20" s="111" t="s">
        <v>125</v>
      </c>
      <c r="G20" s="112"/>
      <c r="H20" s="113"/>
      <c r="I20" s="113"/>
      <c r="K20" s="1"/>
    </row>
    <row r="21" spans="1:16" ht="39.950000000000003" customHeight="1" x14ac:dyDescent="0.25">
      <c r="A21" s="18"/>
      <c r="B21" s="18"/>
      <c r="C21" s="18"/>
      <c r="D21" s="7"/>
      <c r="E21" s="104"/>
      <c r="F21" s="111" t="s">
        <v>19</v>
      </c>
      <c r="G21" s="112"/>
      <c r="H21" s="113"/>
      <c r="I21" s="113"/>
      <c r="K21" s="1"/>
    </row>
    <row r="22" spans="1:16" ht="39.950000000000003" customHeight="1" x14ac:dyDescent="0.25">
      <c r="A22" s="18"/>
      <c r="B22" s="18"/>
      <c r="C22" s="18"/>
      <c r="D22" s="7"/>
      <c r="E22" s="104"/>
      <c r="F22" s="111" t="s">
        <v>20</v>
      </c>
      <c r="G22" s="112"/>
      <c r="H22" s="113"/>
      <c r="I22" s="113"/>
      <c r="K22" s="1"/>
    </row>
    <row r="23" spans="1:16" ht="39.950000000000003" customHeight="1" x14ac:dyDescent="0.25">
      <c r="A23" s="18"/>
      <c r="B23" s="18"/>
      <c r="C23" s="18"/>
      <c r="D23" s="7"/>
      <c r="E23" s="104"/>
      <c r="F23" s="111" t="s">
        <v>234</v>
      </c>
      <c r="G23" s="112"/>
      <c r="H23" s="113"/>
      <c r="I23" s="113"/>
      <c r="K23" s="1"/>
    </row>
    <row r="24" spans="1:16" ht="39.950000000000003" customHeight="1" x14ac:dyDescent="0.25">
      <c r="A24" s="18"/>
      <c r="B24" s="18"/>
      <c r="C24" s="18"/>
      <c r="D24" s="7"/>
      <c r="E24" s="104"/>
      <c r="F24" s="111" t="s">
        <v>21</v>
      </c>
      <c r="G24" s="112"/>
      <c r="H24" s="113"/>
      <c r="I24" s="113"/>
      <c r="K24" s="1"/>
    </row>
    <row r="25" spans="1:16" ht="39.950000000000003" customHeight="1" x14ac:dyDescent="0.25">
      <c r="A25" s="18"/>
      <c r="B25" s="18"/>
      <c r="C25" s="18"/>
      <c r="D25" s="7"/>
      <c r="E25" s="104"/>
      <c r="F25" s="111" t="s">
        <v>22</v>
      </c>
      <c r="G25" s="112"/>
      <c r="H25" s="113"/>
      <c r="I25" s="113"/>
      <c r="K25" s="1"/>
    </row>
    <row r="26" spans="1:16" ht="39.950000000000003" customHeight="1" x14ac:dyDescent="0.25">
      <c r="A26" s="18"/>
      <c r="B26" s="18"/>
      <c r="C26" s="18"/>
      <c r="D26" s="7"/>
      <c r="E26" s="104"/>
      <c r="F26" s="111" t="s">
        <v>23</v>
      </c>
      <c r="G26" s="112"/>
      <c r="H26" s="113"/>
      <c r="I26" s="113"/>
      <c r="K26" s="1"/>
    </row>
    <row r="27" spans="1:16" ht="39.950000000000003" customHeight="1" x14ac:dyDescent="0.25">
      <c r="A27" s="18"/>
      <c r="B27" s="18"/>
      <c r="C27" s="18"/>
      <c r="D27" s="7"/>
      <c r="E27" s="104"/>
      <c r="F27" s="111" t="s">
        <v>24</v>
      </c>
      <c r="G27" s="112"/>
      <c r="H27" s="113"/>
      <c r="I27" s="113"/>
      <c r="K27" s="1"/>
    </row>
    <row r="28" spans="1:16" ht="39.950000000000003" customHeight="1" x14ac:dyDescent="0.25">
      <c r="A28" s="18"/>
      <c r="B28" s="18"/>
      <c r="C28" s="18"/>
      <c r="D28" s="7"/>
      <c r="E28" s="104"/>
      <c r="F28" s="111" t="s">
        <v>25</v>
      </c>
      <c r="G28" s="112"/>
      <c r="H28" s="113"/>
      <c r="I28" s="113"/>
      <c r="K28" s="1"/>
    </row>
    <row r="29" spans="1:16" ht="39.950000000000003" customHeight="1" x14ac:dyDescent="0.25">
      <c r="A29" s="18"/>
      <c r="B29" s="18"/>
      <c r="C29" s="18"/>
      <c r="D29" s="7"/>
      <c r="E29" s="104"/>
      <c r="F29" s="111" t="s">
        <v>276</v>
      </c>
      <c r="G29" s="112"/>
      <c r="H29" s="113"/>
      <c r="I29" s="113"/>
      <c r="K29" s="1"/>
    </row>
    <row r="30" spans="1:16" ht="39.950000000000003" customHeight="1" x14ac:dyDescent="0.25">
      <c r="A30" s="18"/>
      <c r="B30" s="18"/>
      <c r="C30" s="18"/>
      <c r="D30" s="7"/>
      <c r="E30" s="104"/>
      <c r="F30" s="111" t="s">
        <v>276</v>
      </c>
      <c r="G30" s="112"/>
      <c r="H30" s="113"/>
      <c r="I30" s="113"/>
      <c r="K30" s="1"/>
    </row>
    <row r="31" spans="1:16" ht="39.950000000000003" customHeight="1" x14ac:dyDescent="0.25">
      <c r="A31" s="18"/>
      <c r="B31" s="18"/>
      <c r="C31" s="18"/>
      <c r="D31" s="7"/>
      <c r="E31" s="104"/>
      <c r="F31" s="111" t="s">
        <v>276</v>
      </c>
      <c r="G31" s="112"/>
      <c r="H31" s="113"/>
      <c r="I31" s="113"/>
      <c r="K31" s="1"/>
    </row>
    <row r="32" spans="1:16" ht="39.950000000000003" customHeight="1" x14ac:dyDescent="0.25">
      <c r="A32" s="18"/>
      <c r="B32" s="18"/>
      <c r="C32" s="18"/>
      <c r="D32" s="7"/>
      <c r="E32" s="104"/>
      <c r="F32" s="111" t="s">
        <v>276</v>
      </c>
      <c r="G32" s="112"/>
      <c r="H32" s="113"/>
      <c r="I32" s="113"/>
      <c r="K32" s="1"/>
    </row>
    <row r="33" spans="1:12" ht="39.950000000000003" customHeight="1" x14ac:dyDescent="0.25">
      <c r="A33" s="18"/>
      <c r="B33" s="18"/>
      <c r="C33" s="18"/>
      <c r="D33" s="7"/>
      <c r="E33" s="104"/>
      <c r="F33" s="111" t="s">
        <v>276</v>
      </c>
      <c r="G33" s="112"/>
      <c r="H33" s="113"/>
      <c r="I33" s="113"/>
      <c r="K33" s="1"/>
    </row>
    <row r="34" spans="1:12" ht="39.950000000000003" customHeight="1" x14ac:dyDescent="0.25">
      <c r="A34" s="18"/>
      <c r="B34" s="18"/>
      <c r="C34" s="18"/>
      <c r="D34" s="7"/>
      <c r="E34" s="104"/>
      <c r="F34" s="111" t="s">
        <v>276</v>
      </c>
      <c r="G34" s="112"/>
      <c r="H34" s="113"/>
      <c r="I34" s="113"/>
      <c r="K34" s="1"/>
    </row>
    <row r="35" spans="1:12" ht="39.950000000000003" customHeight="1" x14ac:dyDescent="0.25">
      <c r="A35" s="18"/>
      <c r="B35" s="18"/>
      <c r="C35" s="18"/>
      <c r="D35" s="7"/>
      <c r="E35" s="104"/>
      <c r="F35" s="111" t="s">
        <v>276</v>
      </c>
      <c r="G35" s="112"/>
      <c r="H35" s="113"/>
      <c r="I35" s="113"/>
      <c r="K35" s="1"/>
    </row>
    <row r="36" spans="1:12" ht="39.950000000000003" customHeight="1" x14ac:dyDescent="0.25">
      <c r="A36" s="18"/>
      <c r="B36" s="18"/>
      <c r="C36" s="18"/>
      <c r="D36" s="7"/>
      <c r="E36" s="104"/>
      <c r="F36" s="111" t="s">
        <v>276</v>
      </c>
      <c r="G36" s="112"/>
      <c r="H36" s="113"/>
      <c r="I36" s="113"/>
      <c r="K36" s="1"/>
    </row>
    <row r="37" spans="1:12" ht="39.950000000000003" customHeight="1" x14ac:dyDescent="0.25">
      <c r="A37" s="18"/>
      <c r="B37" s="18"/>
      <c r="C37" s="18"/>
      <c r="D37" s="7"/>
      <c r="E37" s="104"/>
      <c r="F37" s="111" t="s">
        <v>276</v>
      </c>
      <c r="G37" s="112"/>
      <c r="H37" s="113"/>
      <c r="I37" s="113"/>
      <c r="K37" s="1"/>
    </row>
    <row r="38" spans="1:12" ht="39.950000000000003" customHeight="1" x14ac:dyDescent="0.25">
      <c r="A38" s="18"/>
      <c r="B38" s="18"/>
      <c r="C38" s="18"/>
      <c r="D38" s="7"/>
      <c r="E38" s="104"/>
      <c r="F38" s="111" t="s">
        <v>276</v>
      </c>
      <c r="G38" s="112"/>
      <c r="H38" s="113"/>
      <c r="I38" s="113"/>
      <c r="K38" s="1"/>
    </row>
    <row r="39" spans="1:12" ht="39.950000000000003" customHeight="1" x14ac:dyDescent="0.25">
      <c r="A39" s="18"/>
      <c r="B39" s="18"/>
      <c r="C39" s="18"/>
      <c r="D39" s="7"/>
      <c r="E39" s="104"/>
      <c r="F39" s="111" t="s">
        <v>276</v>
      </c>
      <c r="G39" s="112"/>
      <c r="H39" s="113"/>
      <c r="I39" s="113"/>
      <c r="K39" s="1"/>
    </row>
    <row r="40" spans="1:12" x14ac:dyDescent="0.25">
      <c r="A40" s="18"/>
      <c r="B40" s="18"/>
      <c r="C40" s="18"/>
      <c r="D40" s="7"/>
      <c r="E40" s="2"/>
      <c r="F40" s="67" t="s">
        <v>5519</v>
      </c>
      <c r="G40" s="2"/>
      <c r="H40" s="2"/>
      <c r="I40" s="2"/>
      <c r="J40" s="2"/>
      <c r="K40" s="1"/>
      <c r="L40" s="2"/>
    </row>
  </sheetData>
  <sheetProtection algorithmName="SHA-512" hashValue="sjZ0bckUetT8foMVuC2HixVJDPm5LbLIet7B0p0/9xvhS8VUYMWktgwqgVXuUzdDgfENrJQha7QaX2awjPwW7g==" saltValue="9MRi3iykKSwcQcM0q58INA==" spinCount="100000" sheet="1" objects="1" scenarios="1" formatColumns="0" formatRows="0"/>
  <mergeCells count="2">
    <mergeCell ref="G14:I14"/>
    <mergeCell ref="F2:H6"/>
  </mergeCells>
  <phoneticPr fontId="23" type="noConversion"/>
  <conditionalFormatting sqref="F7">
    <cfRule type="notContainsBlanks" dxfId="680" priority="1">
      <formula>LEN(TRIM(F7))&gt;0</formula>
    </cfRule>
  </conditionalFormatting>
  <conditionalFormatting sqref="F29:F39">
    <cfRule type="containsText" dxfId="679" priority="5" operator="containsText" text="novo">
      <formula>NOT(ISERROR(SEARCH("novo",F29)))</formula>
    </cfRule>
  </conditionalFormatting>
  <conditionalFormatting sqref="G29:I39">
    <cfRule type="expression" dxfId="678" priority="4">
      <formula>IF(ISERROR(SEARCH("Informar novo estudo",$F29)),FALSE,TRUE)</formula>
    </cfRule>
  </conditionalFormatting>
  <conditionalFormatting sqref="H20:H39">
    <cfRule type="expression" dxfId="677" priority="3">
      <formula>NOT(ISBLANK($I20))</formula>
    </cfRule>
  </conditionalFormatting>
  <conditionalFormatting sqref="I17">
    <cfRule type="containsText" dxfId="676" priority="10" operator="containsText" text="todos">
      <formula>NOT(ISERROR(SEARCH("todos",I17)))</formula>
    </cfRule>
  </conditionalFormatting>
  <conditionalFormatting sqref="I20:I39">
    <cfRule type="expression" dxfId="675" priority="2">
      <formula>NOT(ISBLANK($H20))</formula>
    </cfRule>
  </conditionalFormatting>
  <dataValidations count="4">
    <dataValidation allowBlank="1" showInputMessage="1" showErrorMessage="1" promptTitle="Ajuda" prompt="Estudos listados no Anexo IV da RDC n. 294/19._x000a__x000a_Caso deseje incluir algum estudo que não conste na lista abaixo basta incluí-lo nas linhas onde está escrito &quot;informar novo estudo&quot;" sqref="F19" xr:uid="{2F4BE3DB-B612-4697-ABAB-AD38772DABA2}"/>
    <dataValidation allowBlank="1" showInputMessage="1" showErrorMessage="1" promptTitle="Ajuda" prompt="Código gerado pelo laboratório executor" sqref="G19" xr:uid="{5D44459B-95AD-4E30-B94C-2D0B2C5E5F10}"/>
    <dataValidation allowBlank="1" showInputMessage="1" showErrorMessage="1" promptTitle="Ajuda" prompt="Inserir a conclusão como está no relatório do estudo._x000a_É opcional resumir o texto da conclusão._x000a__x000a_Quando o relatório apresentar os resultados em tabela, estes devem ser descritos como texto separados por ponto e vírgula." sqref="H19" xr:uid="{EF3DDB28-8BB9-40C7-8971-FE5727FF7531}"/>
    <dataValidation allowBlank="1" showInputMessage="1" showErrorMessage="1" promptTitle="Ajuda" prompt="Caso o teste não tenha sido conduzido, é necessário informar a justificativa para a sua dispensa. " sqref="I19" xr:uid="{2CB4DC0B-ED9F-4C95-9E4A-A40C9C774056}"/>
  </dataValidations>
  <hyperlinks>
    <hyperlink ref="F7" location="Alertas!G2" display="Alertas!G2" xr:uid="{A0B1CBA7-2D7E-4C47-82BC-0F45DD45810A}"/>
  </hyperlinks>
  <pageMargins left="0.511811024" right="0.511811024" top="0.78740157499999996" bottom="0.78740157499999996" header="0.31496062000000002" footer="0.31496062000000002"/>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53146-36E0-4A04-96FB-6EC79FA9037C}">
  <sheetPr codeName="Planilha12">
    <tabColor theme="8" tint="0.59999389629810485"/>
  </sheetPr>
  <dimension ref="A1:AN62"/>
  <sheetViews>
    <sheetView showGridLines="0" topLeftCell="E5" workbookViewId="0">
      <selection activeCell="D1" sqref="D1"/>
    </sheetView>
  </sheetViews>
  <sheetFormatPr defaultColWidth="0" defaultRowHeight="15" zeroHeight="1" x14ac:dyDescent="0.25"/>
  <cols>
    <col min="1" max="4" width="9.28515625" style="20" hidden="1" customWidth="1"/>
    <col min="5" max="13" width="4.7109375" style="20" customWidth="1"/>
    <col min="14" max="14" width="5.7109375" style="20" customWidth="1"/>
    <col min="15" max="39" width="4.7109375" style="20" customWidth="1"/>
    <col min="40" max="40" width="8.7109375" style="20" customWidth="1"/>
    <col min="41" max="16384" width="9.140625" style="20" hidden="1"/>
  </cols>
  <sheetData>
    <row r="1" spans="1:40" x14ac:dyDescent="0.25">
      <c r="A1" s="18"/>
      <c r="B1" s="18"/>
      <c r="C1" s="18"/>
      <c r="D1" s="18"/>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5" customHeight="1" x14ac:dyDescent="0.25">
      <c r="A2" s="18"/>
      <c r="B2" s="18"/>
      <c r="C2" s="18"/>
      <c r="D2" s="18"/>
      <c r="E2" s="7"/>
      <c r="F2" s="990" t="s">
        <v>277</v>
      </c>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1"/>
      <c r="AI2" s="1035" t="s">
        <v>0</v>
      </c>
      <c r="AJ2" s="1035"/>
      <c r="AK2" s="1035"/>
      <c r="AL2" s="1035"/>
      <c r="AM2" s="1035"/>
      <c r="AN2" s="1035"/>
    </row>
    <row r="3" spans="1:40" ht="15" customHeight="1" x14ac:dyDescent="0.25">
      <c r="A3" s="18"/>
      <c r="B3" s="18"/>
      <c r="C3" s="18"/>
      <c r="D3" s="18"/>
      <c r="E3" s="114"/>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1"/>
      <c r="AI3" s="1035"/>
      <c r="AJ3" s="1035"/>
      <c r="AK3" s="1035"/>
      <c r="AL3" s="1035"/>
      <c r="AM3" s="1035"/>
      <c r="AN3" s="1035"/>
    </row>
    <row r="4" spans="1:40" ht="15" customHeight="1" x14ac:dyDescent="0.25">
      <c r="A4" s="18"/>
      <c r="B4" s="18"/>
      <c r="C4" s="18"/>
      <c r="D4" s="18"/>
      <c r="E4" s="114"/>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1"/>
      <c r="AI4" s="1035"/>
      <c r="AJ4" s="1035"/>
      <c r="AK4" s="1035"/>
      <c r="AL4" s="1035"/>
      <c r="AM4" s="1035"/>
      <c r="AN4" s="1035"/>
    </row>
    <row r="5" spans="1:40" ht="15" customHeight="1" x14ac:dyDescent="0.25">
      <c r="A5" s="18"/>
      <c r="B5" s="18"/>
      <c r="C5" s="18"/>
      <c r="D5" s="18"/>
      <c r="E5" s="114"/>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1"/>
      <c r="AI5" s="1035"/>
      <c r="AJ5" s="1035"/>
      <c r="AK5" s="1035"/>
      <c r="AL5" s="1035"/>
      <c r="AM5" s="1035"/>
      <c r="AN5" s="1035"/>
    </row>
    <row r="6" spans="1:40" ht="15" customHeight="1" x14ac:dyDescent="0.25">
      <c r="A6" s="18"/>
      <c r="B6" s="18"/>
      <c r="C6" s="18"/>
      <c r="D6" s="18"/>
      <c r="E6" s="114"/>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1"/>
      <c r="AI6" s="1035"/>
      <c r="AJ6" s="1035"/>
      <c r="AK6" s="1035"/>
      <c r="AL6" s="1035"/>
      <c r="AM6" s="1035"/>
      <c r="AN6" s="1035"/>
    </row>
    <row r="7" spans="1:40" ht="20.100000000000001" customHeight="1" x14ac:dyDescent="0.25">
      <c r="A7" s="18"/>
      <c r="B7" s="18"/>
      <c r="C7" s="18"/>
      <c r="D7" s="18"/>
      <c r="E7" s="114"/>
      <c r="F7" s="1024" t="str">
        <f ca="1">Alertas!R9</f>
        <v/>
      </c>
      <c r="G7" s="1024"/>
      <c r="H7" s="1024"/>
      <c r="I7" s="1024"/>
      <c r="J7" s="1024"/>
      <c r="K7" s="91"/>
      <c r="L7" s="91"/>
      <c r="M7" s="91"/>
      <c r="N7" s="91"/>
      <c r="O7" s="91"/>
      <c r="P7" s="91"/>
      <c r="Q7" s="91"/>
      <c r="R7" s="91"/>
      <c r="S7" s="91"/>
      <c r="T7" s="91"/>
      <c r="U7" s="91"/>
      <c r="V7" s="91"/>
      <c r="W7" s="91"/>
      <c r="X7" s="91"/>
      <c r="Y7" s="91"/>
      <c r="Z7" s="91"/>
      <c r="AA7" s="91"/>
      <c r="AB7" s="91"/>
      <c r="AC7" s="91"/>
      <c r="AD7" s="91"/>
      <c r="AE7" s="91"/>
      <c r="AF7" s="91"/>
      <c r="AG7" s="91"/>
      <c r="AH7" s="91"/>
      <c r="AI7" s="1035"/>
      <c r="AJ7" s="1035"/>
      <c r="AK7" s="1035"/>
      <c r="AL7" s="1035"/>
      <c r="AM7" s="1035"/>
      <c r="AN7" s="1035"/>
    </row>
    <row r="8" spans="1:40" ht="15" customHeight="1" x14ac:dyDescent="0.25">
      <c r="A8" s="18"/>
      <c r="B8" s="18"/>
      <c r="C8" s="18"/>
      <c r="D8" s="18"/>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row>
    <row r="9" spans="1:40" ht="15" customHeight="1" x14ac:dyDescent="0.25">
      <c r="A9" s="18"/>
      <c r="B9" s="18"/>
      <c r="C9" s="18"/>
      <c r="D9" s="18"/>
      <c r="E9" s="7"/>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30" customHeight="1" x14ac:dyDescent="0.25">
      <c r="A10" s="18"/>
      <c r="B10" s="18"/>
      <c r="C10" s="18"/>
      <c r="D10" s="18"/>
      <c r="E10" s="7"/>
      <c r="F10" s="1085" t="s">
        <v>30</v>
      </c>
      <c r="G10" s="1086"/>
      <c r="H10" s="1086"/>
      <c r="I10" s="1086"/>
      <c r="J10" s="1086"/>
      <c r="K10" s="1086"/>
      <c r="L10" s="1087"/>
      <c r="M10" s="147" t="s">
        <v>186</v>
      </c>
      <c r="N10" s="1033"/>
      <c r="O10" s="1033"/>
      <c r="P10" s="1033"/>
      <c r="Q10" s="1033"/>
      <c r="R10" s="1033"/>
      <c r="S10" s="1033"/>
      <c r="T10" s="1033"/>
      <c r="U10" s="1033"/>
      <c r="V10" s="1033"/>
      <c r="W10" s="1033"/>
      <c r="X10" s="1033"/>
      <c r="Y10" s="1033"/>
      <c r="Z10" s="1034"/>
      <c r="AA10" s="1008" t="s">
        <v>294</v>
      </c>
      <c r="AB10" s="1009"/>
      <c r="AC10" s="1009"/>
      <c r="AD10" s="1041"/>
      <c r="AE10" s="148" t="s">
        <v>186</v>
      </c>
      <c r="AF10" s="1032"/>
      <c r="AG10" s="1033"/>
      <c r="AH10" s="1033"/>
      <c r="AI10" s="1033"/>
      <c r="AJ10" s="1034"/>
      <c r="AK10" s="2"/>
      <c r="AL10" s="2"/>
      <c r="AM10" s="2"/>
      <c r="AN10" s="2"/>
    </row>
    <row r="11" spans="1:40" ht="60" customHeight="1" x14ac:dyDescent="0.25">
      <c r="A11" s="18"/>
      <c r="B11" s="18"/>
      <c r="C11" s="18"/>
      <c r="D11" s="18"/>
      <c r="E11" s="7"/>
      <c r="F11" s="1103" t="s">
        <v>7300</v>
      </c>
      <c r="G11" s="1009"/>
      <c r="H11" s="1009"/>
      <c r="I11" s="1009"/>
      <c r="J11" s="1009"/>
      <c r="K11" s="1009"/>
      <c r="L11" s="1041"/>
      <c r="M11" s="149" t="s">
        <v>186</v>
      </c>
      <c r="N11" s="1033"/>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4"/>
      <c r="AK11" s="1100" t="s">
        <v>271</v>
      </c>
      <c r="AL11" s="1101"/>
      <c r="AM11" s="1101"/>
      <c r="AN11" s="1101"/>
    </row>
    <row r="12" spans="1:40" ht="20.100000000000001" customHeight="1" x14ac:dyDescent="0.25">
      <c r="A12" s="18"/>
      <c r="B12" s="18"/>
      <c r="C12" s="18"/>
      <c r="D12" s="18"/>
      <c r="E12" s="7"/>
      <c r="F12" s="1103" t="s">
        <v>6029</v>
      </c>
      <c r="G12" s="1009"/>
      <c r="H12" s="1009"/>
      <c r="I12" s="1009"/>
      <c r="J12" s="1009"/>
      <c r="K12" s="1009"/>
      <c r="L12" s="1041"/>
      <c r="M12" s="149" t="s">
        <v>186</v>
      </c>
      <c r="N12" s="1096"/>
      <c r="O12" s="1096"/>
      <c r="P12" s="1096"/>
      <c r="Q12" s="1096"/>
      <c r="R12" s="1096"/>
      <c r="S12" s="1097"/>
      <c r="T12" s="2"/>
      <c r="U12" s="2"/>
      <c r="V12" s="2"/>
      <c r="W12" s="2"/>
      <c r="X12" s="2"/>
      <c r="Y12" s="2"/>
      <c r="Z12" s="2"/>
      <c r="AA12" s="2"/>
      <c r="AB12" s="2"/>
      <c r="AC12" s="2"/>
      <c r="AD12" s="2"/>
      <c r="AE12" s="2"/>
      <c r="AF12" s="2"/>
      <c r="AG12" s="2"/>
      <c r="AH12" s="2"/>
      <c r="AI12" s="2"/>
      <c r="AJ12" s="2"/>
      <c r="AK12" s="2"/>
      <c r="AL12" s="2"/>
      <c r="AM12" s="2"/>
      <c r="AN12" s="2"/>
    </row>
    <row r="13" spans="1:40" ht="20.100000000000001" customHeight="1" x14ac:dyDescent="0.25">
      <c r="A13" s="18"/>
      <c r="B13" s="18"/>
      <c r="C13" s="18"/>
      <c r="D13" s="18"/>
      <c r="E13" s="7"/>
      <c r="F13" s="1093" t="s">
        <v>218</v>
      </c>
      <c r="G13" s="1094"/>
      <c r="H13" s="1094"/>
      <c r="I13" s="1094"/>
      <c r="J13" s="1094"/>
      <c r="K13" s="1094"/>
      <c r="L13" s="1104"/>
      <c r="M13" s="149" t="s">
        <v>186</v>
      </c>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7"/>
      <c r="AK13" s="2"/>
      <c r="AL13" s="2"/>
      <c r="AM13" s="2"/>
      <c r="AN13" s="2"/>
    </row>
    <row r="14" spans="1:40" ht="20.100000000000001" customHeight="1" x14ac:dyDescent="0.25">
      <c r="A14" s="18"/>
      <c r="B14" s="18"/>
      <c r="C14" s="18"/>
      <c r="D14" s="18"/>
      <c r="E14" s="7"/>
      <c r="F14" s="1093" t="s">
        <v>311</v>
      </c>
      <c r="G14" s="1094"/>
      <c r="H14" s="1094"/>
      <c r="I14" s="1094"/>
      <c r="J14" s="1094"/>
      <c r="K14" s="1094"/>
      <c r="L14" s="1094"/>
      <c r="M14" s="1095"/>
      <c r="N14" s="1108"/>
      <c r="O14" s="1108"/>
      <c r="P14" s="1108"/>
      <c r="Q14" s="1108"/>
      <c r="R14" s="1108"/>
      <c r="S14" s="1108"/>
      <c r="T14" s="1108"/>
      <c r="U14" s="1108"/>
      <c r="V14" s="1108"/>
      <c r="W14" s="1108"/>
      <c r="X14" s="1108"/>
      <c r="Y14" s="1108"/>
      <c r="Z14" s="1108"/>
      <c r="AA14" s="1108"/>
      <c r="AB14" s="1108"/>
      <c r="AC14" s="1108"/>
      <c r="AD14" s="1108"/>
      <c r="AE14" s="1108"/>
      <c r="AF14" s="1108"/>
      <c r="AG14" s="1108"/>
      <c r="AH14" s="1108"/>
      <c r="AI14" s="1108"/>
      <c r="AJ14" s="1109"/>
      <c r="AK14" s="2"/>
      <c r="AL14" s="2"/>
      <c r="AM14" s="2"/>
      <c r="AN14" s="2"/>
    </row>
    <row r="15" spans="1:40" ht="20.100000000000001" customHeight="1" x14ac:dyDescent="0.25">
      <c r="A15" s="18"/>
      <c r="B15" s="18"/>
      <c r="C15" s="18"/>
      <c r="D15" s="18"/>
      <c r="E15" s="7"/>
      <c r="F15" s="1103" t="s">
        <v>7301</v>
      </c>
      <c r="G15" s="1009"/>
      <c r="H15" s="1009"/>
      <c r="I15" s="1009"/>
      <c r="J15" s="1009"/>
      <c r="K15" s="1009"/>
      <c r="L15" s="1009"/>
      <c r="M15" s="1105"/>
      <c r="N15" s="1088" t="s">
        <v>6030</v>
      </c>
      <c r="O15" s="1088"/>
      <c r="P15" s="1089"/>
      <c r="Q15" s="148" t="s">
        <v>186</v>
      </c>
      <c r="R15" s="1098"/>
      <c r="S15" s="1099"/>
      <c r="T15" s="1099"/>
      <c r="U15" s="1099"/>
      <c r="V15" s="1099"/>
      <c r="W15" s="1099"/>
      <c r="X15" s="1099"/>
      <c r="Y15" s="1008" t="s">
        <v>31</v>
      </c>
      <c r="Z15" s="1009"/>
      <c r="AA15" s="1009"/>
      <c r="AB15" s="1009"/>
      <c r="AC15" s="148" t="s">
        <v>186</v>
      </c>
      <c r="AD15" s="999"/>
      <c r="AE15" s="1000"/>
      <c r="AF15" s="1000"/>
      <c r="AG15" s="1000"/>
      <c r="AH15" s="1000"/>
      <c r="AI15" s="1000"/>
      <c r="AJ15" s="1001"/>
      <c r="AK15" s="115"/>
      <c r="AL15" s="115"/>
      <c r="AM15" s="115"/>
      <c r="AN15" s="115"/>
    </row>
    <row r="16" spans="1:40" ht="30" customHeight="1" x14ac:dyDescent="0.25">
      <c r="A16" s="18"/>
      <c r="B16" s="18"/>
      <c r="C16" s="18"/>
      <c r="D16" s="18"/>
      <c r="E16" s="7"/>
      <c r="F16" s="1102" t="s">
        <v>5720</v>
      </c>
      <c r="G16" s="1068"/>
      <c r="H16" s="1068"/>
      <c r="I16" s="1068"/>
      <c r="J16" s="1068"/>
      <c r="K16" s="1068"/>
      <c r="L16" s="1068"/>
      <c r="M16" s="150" t="s">
        <v>186</v>
      </c>
      <c r="N16" s="1090"/>
      <c r="O16" s="1090"/>
      <c r="P16" s="1090"/>
      <c r="Q16" s="1090"/>
      <c r="R16" s="1091"/>
      <c r="S16" s="1092"/>
      <c r="T16" s="2"/>
      <c r="U16" s="2"/>
      <c r="V16" s="2"/>
      <c r="W16" s="2"/>
      <c r="X16" s="2"/>
      <c r="Y16" s="2"/>
      <c r="Z16" s="2"/>
      <c r="AA16" s="2"/>
      <c r="AB16" s="2"/>
      <c r="AC16" s="2"/>
      <c r="AD16" s="2"/>
      <c r="AE16" s="2"/>
      <c r="AF16" s="2"/>
      <c r="AG16" s="2"/>
      <c r="AH16" s="2"/>
      <c r="AI16" s="2"/>
      <c r="AJ16" s="2"/>
      <c r="AK16" s="2"/>
      <c r="AL16" s="2"/>
      <c r="AM16" s="2"/>
      <c r="AN16" s="2"/>
    </row>
    <row r="17" spans="1:40" ht="20.100000000000001" customHeight="1" x14ac:dyDescent="0.25">
      <c r="A17" s="18"/>
      <c r="B17" s="18"/>
      <c r="C17" s="18"/>
      <c r="D17" s="18"/>
      <c r="E17" s="7"/>
      <c r="F17" s="1113" t="s">
        <v>85</v>
      </c>
      <c r="G17" s="1114"/>
      <c r="H17" s="1114"/>
      <c r="I17" s="1114"/>
      <c r="J17" s="1114"/>
      <c r="K17" s="1114"/>
      <c r="L17" s="1114"/>
      <c r="M17" s="151" t="s">
        <v>186</v>
      </c>
      <c r="N17" s="1115" t="s">
        <v>281</v>
      </c>
      <c r="O17" s="1115"/>
      <c r="P17" s="1115"/>
      <c r="Q17" s="1115"/>
      <c r="R17" s="1115"/>
      <c r="S17" s="1115"/>
      <c r="T17" s="1116" t="s">
        <v>235</v>
      </c>
      <c r="U17" s="1114"/>
      <c r="V17" s="1114"/>
      <c r="W17" s="1114"/>
      <c r="X17" s="1114"/>
      <c r="Y17" s="1114"/>
      <c r="Z17" s="1114"/>
      <c r="AA17" s="152" t="s">
        <v>186</v>
      </c>
      <c r="AB17" s="1110"/>
      <c r="AC17" s="1111"/>
      <c r="AD17" s="1111"/>
      <c r="AE17" s="1111"/>
      <c r="AF17" s="1111"/>
      <c r="AG17" s="1111"/>
      <c r="AH17" s="1111"/>
      <c r="AI17" s="1111"/>
      <c r="AJ17" s="1112"/>
      <c r="AK17" s="116"/>
      <c r="AL17" s="116"/>
      <c r="AM17" s="116"/>
      <c r="AN17" s="116"/>
    </row>
    <row r="18" spans="1:40" ht="20.100000000000001" customHeight="1" x14ac:dyDescent="0.25">
      <c r="A18" s="18"/>
      <c r="B18" s="18"/>
      <c r="C18" s="18"/>
      <c r="D18" s="18"/>
      <c r="E18" s="7"/>
      <c r="F18" s="2"/>
      <c r="G18" s="2"/>
      <c r="H18" s="2"/>
      <c r="I18" s="2"/>
      <c r="J18" s="2"/>
      <c r="K18" s="2"/>
      <c r="L18" s="2"/>
      <c r="M18" s="2"/>
      <c r="N18" s="2"/>
      <c r="O18" s="2"/>
      <c r="P18" s="2"/>
      <c r="Q18" s="2"/>
      <c r="R18" s="2"/>
      <c r="T18" s="2"/>
      <c r="U18" s="2"/>
      <c r="V18" s="2"/>
      <c r="W18" s="2"/>
      <c r="X18" s="2"/>
      <c r="Y18" s="2"/>
      <c r="Z18" s="2"/>
      <c r="AA18" s="2"/>
      <c r="AB18" s="2"/>
      <c r="AC18" s="2"/>
      <c r="AD18" s="2"/>
      <c r="AE18" s="2"/>
      <c r="AF18" s="2"/>
      <c r="AG18" s="2"/>
      <c r="AH18" s="2"/>
      <c r="AI18" s="2"/>
      <c r="AJ18" s="2"/>
      <c r="AK18" s="2"/>
      <c r="AL18" s="2"/>
      <c r="AM18" s="2"/>
      <c r="AN18" s="2"/>
    </row>
    <row r="19" spans="1:40" ht="15" customHeight="1" x14ac:dyDescent="0.25">
      <c r="A19" s="18"/>
      <c r="B19" s="18"/>
      <c r="C19" s="18"/>
      <c r="D19" s="18"/>
      <c r="E19" s="7"/>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x14ac:dyDescent="0.25">
      <c r="A20" s="18"/>
      <c r="B20" s="18"/>
      <c r="C20" s="18"/>
      <c r="D20" s="18"/>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row>
    <row r="21" spans="1:40" ht="15" customHeight="1" x14ac:dyDescent="0.25">
      <c r="A21" s="18"/>
      <c r="B21" s="18"/>
      <c r="C21" s="18"/>
      <c r="D21" s="18"/>
      <c r="E21" s="7"/>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30" customHeight="1" x14ac:dyDescent="0.25">
      <c r="A22" s="18"/>
      <c r="B22" s="18"/>
      <c r="C22" s="18"/>
      <c r="D22" s="18"/>
      <c r="E22" s="7"/>
      <c r="F22" s="1080" t="s">
        <v>283</v>
      </c>
      <c r="G22" s="1081"/>
      <c r="H22" s="1082"/>
      <c r="I22" s="1117" t="s">
        <v>284</v>
      </c>
      <c r="J22" s="1118"/>
      <c r="K22" s="1119"/>
      <c r="L22" s="1083" t="s">
        <v>35</v>
      </c>
      <c r="M22" s="1084"/>
      <c r="N22" s="1083" t="s">
        <v>286</v>
      </c>
      <c r="O22" s="1084"/>
      <c r="P22" s="1084"/>
      <c r="Q22" s="1084"/>
      <c r="R22" s="1084"/>
      <c r="S22" s="1122"/>
      <c r="T22" s="1120" t="s">
        <v>7997</v>
      </c>
      <c r="U22" s="1121"/>
      <c r="V22" s="1121"/>
      <c r="W22" s="1121"/>
    </row>
    <row r="23" spans="1:40" ht="26.1" customHeight="1" x14ac:dyDescent="0.25">
      <c r="A23" s="18"/>
      <c r="B23" s="18"/>
      <c r="C23" s="18"/>
      <c r="D23" s="18"/>
      <c r="E23" s="7"/>
      <c r="F23" s="2"/>
      <c r="G23" s="2"/>
      <c r="H23" s="119">
        <v>1</v>
      </c>
      <c r="I23" s="1039"/>
      <c r="J23" s="1039"/>
      <c r="K23" s="1039"/>
      <c r="L23" s="1040"/>
      <c r="M23" s="1040"/>
      <c r="N23" s="1039"/>
      <c r="O23" s="1039"/>
      <c r="P23" s="1039"/>
      <c r="Q23" s="1039"/>
      <c r="R23" s="1039"/>
      <c r="S23" s="1039"/>
      <c r="T23" s="120"/>
      <c r="U23" s="121"/>
      <c r="V23" s="121"/>
      <c r="W23" s="122"/>
    </row>
    <row r="24" spans="1:40" ht="26.1" customHeight="1" x14ac:dyDescent="0.25">
      <c r="A24" s="18"/>
      <c r="B24" s="18"/>
      <c r="C24" s="18"/>
      <c r="D24" s="18"/>
      <c r="E24" s="7"/>
      <c r="F24" s="2"/>
      <c r="G24" s="2"/>
      <c r="H24" s="123">
        <v>2</v>
      </c>
      <c r="I24" s="1039"/>
      <c r="J24" s="1039"/>
      <c r="K24" s="1039"/>
      <c r="L24" s="1040"/>
      <c r="M24" s="1040"/>
      <c r="N24" s="1039"/>
      <c r="O24" s="1039"/>
      <c r="P24" s="1039"/>
      <c r="Q24" s="1039"/>
      <c r="R24" s="1039"/>
      <c r="S24" s="1039"/>
      <c r="T24" s="120"/>
      <c r="U24" s="121"/>
      <c r="V24" s="121"/>
      <c r="W24" s="122"/>
    </row>
    <row r="25" spans="1:40" ht="26.1" customHeight="1" x14ac:dyDescent="0.25">
      <c r="A25" s="18"/>
      <c r="B25" s="18"/>
      <c r="C25" s="18"/>
      <c r="D25" s="18"/>
      <c r="E25" s="7"/>
      <c r="F25" s="2"/>
      <c r="G25" s="2"/>
      <c r="H25" s="123">
        <v>3</v>
      </c>
      <c r="I25" s="1039"/>
      <c r="J25" s="1039"/>
      <c r="K25" s="1039"/>
      <c r="L25" s="1040"/>
      <c r="M25" s="1040"/>
      <c r="N25" s="1039"/>
      <c r="O25" s="1039"/>
      <c r="P25" s="1039"/>
      <c r="Q25" s="1039"/>
      <c r="R25" s="1039"/>
      <c r="S25" s="1039"/>
      <c r="T25" s="120"/>
      <c r="U25" s="121"/>
      <c r="V25" s="121"/>
      <c r="W25" s="122"/>
    </row>
    <row r="26" spans="1:40" ht="26.1" customHeight="1" x14ac:dyDescent="0.25">
      <c r="A26" s="18"/>
      <c r="B26" s="18"/>
      <c r="C26" s="18"/>
      <c r="D26" s="18"/>
      <c r="E26" s="7"/>
      <c r="F26" s="2"/>
      <c r="G26" s="2"/>
      <c r="H26" s="123">
        <v>4</v>
      </c>
      <c r="I26" s="1039"/>
      <c r="J26" s="1039"/>
      <c r="K26" s="1039"/>
      <c r="L26" s="1040"/>
      <c r="M26" s="1040"/>
      <c r="N26" s="1039"/>
      <c r="O26" s="1039"/>
      <c r="P26" s="1039"/>
      <c r="Q26" s="1039"/>
      <c r="R26" s="1039"/>
      <c r="S26" s="1039"/>
      <c r="T26" s="120"/>
      <c r="U26" s="121"/>
      <c r="V26" s="121"/>
      <c r="W26" s="122"/>
    </row>
    <row r="27" spans="1:40" ht="26.1" customHeight="1" x14ac:dyDescent="0.25">
      <c r="A27" s="18"/>
      <c r="B27" s="18"/>
      <c r="C27" s="18"/>
      <c r="D27" s="18"/>
      <c r="E27" s="7"/>
      <c r="F27" s="2"/>
      <c r="G27" s="2"/>
      <c r="H27" s="123">
        <v>5</v>
      </c>
      <c r="I27" s="1039"/>
      <c r="J27" s="1039"/>
      <c r="K27" s="1039"/>
      <c r="L27" s="1040"/>
      <c r="M27" s="1040"/>
      <c r="N27" s="1039"/>
      <c r="O27" s="1039"/>
      <c r="P27" s="1039"/>
      <c r="Q27" s="1039"/>
      <c r="R27" s="1039"/>
      <c r="S27" s="1039"/>
      <c r="T27" s="120"/>
      <c r="U27" s="121"/>
      <c r="V27" s="121"/>
      <c r="W27" s="122"/>
    </row>
    <row r="28" spans="1:40" ht="26.1" customHeight="1" x14ac:dyDescent="0.25">
      <c r="A28" s="18"/>
      <c r="B28" s="18"/>
      <c r="C28" s="18"/>
      <c r="D28" s="18"/>
      <c r="E28" s="7"/>
      <c r="F28" s="2"/>
      <c r="G28" s="2"/>
      <c r="H28" s="123">
        <v>6</v>
      </c>
      <c r="I28" s="1039"/>
      <c r="J28" s="1039"/>
      <c r="K28" s="1039"/>
      <c r="L28" s="1040"/>
      <c r="M28" s="1040"/>
      <c r="N28" s="1039"/>
      <c r="O28" s="1039"/>
      <c r="P28" s="1039"/>
      <c r="Q28" s="1039"/>
      <c r="R28" s="1039"/>
      <c r="S28" s="1039"/>
      <c r="T28" s="120"/>
      <c r="U28" s="121"/>
      <c r="V28" s="121"/>
      <c r="W28" s="122"/>
    </row>
    <row r="29" spans="1:40" ht="26.1" customHeight="1" x14ac:dyDescent="0.25">
      <c r="A29" s="18"/>
      <c r="B29" s="18"/>
      <c r="C29" s="18"/>
      <c r="D29" s="18"/>
      <c r="E29" s="7"/>
      <c r="F29" s="2"/>
      <c r="G29" s="2"/>
      <c r="H29" s="123">
        <v>7</v>
      </c>
      <c r="I29" s="1039"/>
      <c r="J29" s="1039"/>
      <c r="K29" s="1039"/>
      <c r="L29" s="1040"/>
      <c r="M29" s="1040"/>
      <c r="N29" s="1039"/>
      <c r="O29" s="1039"/>
      <c r="P29" s="1039"/>
      <c r="Q29" s="1039"/>
      <c r="R29" s="1039"/>
      <c r="S29" s="1039"/>
      <c r="T29" s="120"/>
      <c r="U29" s="121"/>
      <c r="V29" s="121"/>
      <c r="W29" s="122"/>
    </row>
    <row r="30" spans="1:40" ht="26.1" customHeight="1" x14ac:dyDescent="0.25">
      <c r="A30" s="18"/>
      <c r="B30" s="18"/>
      <c r="C30" s="18"/>
      <c r="D30" s="18"/>
      <c r="E30" s="7"/>
      <c r="F30" s="2"/>
      <c r="G30" s="2"/>
      <c r="H30" s="123">
        <v>8</v>
      </c>
      <c r="I30" s="1039"/>
      <c r="J30" s="1039"/>
      <c r="K30" s="1039"/>
      <c r="L30" s="1040"/>
      <c r="M30" s="1040"/>
      <c r="N30" s="1039"/>
      <c r="O30" s="1039"/>
      <c r="P30" s="1039"/>
      <c r="Q30" s="1039"/>
      <c r="R30" s="1039"/>
      <c r="S30" s="1039"/>
      <c r="T30" s="120"/>
      <c r="U30" s="121"/>
      <c r="V30" s="121"/>
      <c r="W30" s="122"/>
    </row>
    <row r="31" spans="1:40" ht="26.1" customHeight="1" x14ac:dyDescent="0.25">
      <c r="A31" s="18"/>
      <c r="B31" s="18"/>
      <c r="C31" s="18"/>
      <c r="D31" s="18"/>
      <c r="E31" s="7"/>
      <c r="F31" s="2"/>
      <c r="G31" s="2"/>
      <c r="H31" s="123">
        <v>9</v>
      </c>
      <c r="I31" s="1039"/>
      <c r="J31" s="1039"/>
      <c r="K31" s="1039"/>
      <c r="L31" s="1040"/>
      <c r="M31" s="1040"/>
      <c r="N31" s="1039"/>
      <c r="O31" s="1039"/>
      <c r="P31" s="1039"/>
      <c r="Q31" s="1039"/>
      <c r="R31" s="1039"/>
      <c r="S31" s="1039"/>
      <c r="T31" s="120"/>
      <c r="U31" s="121"/>
      <c r="V31" s="121"/>
      <c r="W31" s="122"/>
    </row>
    <row r="32" spans="1:40" ht="26.1" customHeight="1" x14ac:dyDescent="0.25">
      <c r="A32" s="18"/>
      <c r="B32" s="18"/>
      <c r="C32" s="18"/>
      <c r="D32" s="18"/>
      <c r="E32" s="7"/>
      <c r="F32" s="2"/>
      <c r="G32" s="2"/>
      <c r="H32" s="123">
        <v>10</v>
      </c>
      <c r="I32" s="1039"/>
      <c r="J32" s="1039"/>
      <c r="K32" s="1039"/>
      <c r="L32" s="1040"/>
      <c r="M32" s="1040"/>
      <c r="N32" s="1039"/>
      <c r="O32" s="1039"/>
      <c r="P32" s="1039"/>
      <c r="Q32" s="1039"/>
      <c r="R32" s="1039"/>
      <c r="S32" s="1039"/>
      <c r="T32" s="120"/>
      <c r="U32" s="121"/>
      <c r="V32" s="121"/>
      <c r="W32" s="122"/>
    </row>
    <row r="33" spans="1:40" ht="26.1" customHeight="1" x14ac:dyDescent="0.25">
      <c r="A33" s="18"/>
      <c r="B33" s="18"/>
      <c r="C33" s="18"/>
      <c r="D33" s="18"/>
      <c r="E33" s="7"/>
      <c r="F33" s="2"/>
      <c r="G33" s="2"/>
      <c r="H33" s="123">
        <v>11</v>
      </c>
      <c r="I33" s="1039"/>
      <c r="J33" s="1039"/>
      <c r="K33" s="1039"/>
      <c r="L33" s="1040"/>
      <c r="M33" s="1040"/>
      <c r="N33" s="1039"/>
      <c r="O33" s="1039"/>
      <c r="P33" s="1039"/>
      <c r="Q33" s="1039"/>
      <c r="R33" s="1039"/>
      <c r="S33" s="1039"/>
      <c r="T33" s="120"/>
      <c r="U33" s="121"/>
      <c r="V33" s="121"/>
      <c r="W33" s="122"/>
    </row>
    <row r="34" spans="1:40" ht="26.1" customHeight="1" x14ac:dyDescent="0.25">
      <c r="A34" s="18"/>
      <c r="B34" s="18"/>
      <c r="C34" s="18"/>
      <c r="D34" s="18"/>
      <c r="E34" s="7"/>
      <c r="F34" s="2"/>
      <c r="G34" s="2"/>
      <c r="H34" s="123">
        <v>12</v>
      </c>
      <c r="I34" s="1039"/>
      <c r="J34" s="1039"/>
      <c r="K34" s="1039"/>
      <c r="L34" s="1040"/>
      <c r="M34" s="1040"/>
      <c r="N34" s="1039"/>
      <c r="O34" s="1039"/>
      <c r="P34" s="1039"/>
      <c r="Q34" s="1039"/>
      <c r="R34" s="1039"/>
      <c r="S34" s="1039"/>
      <c r="T34" s="120"/>
      <c r="U34" s="121"/>
      <c r="V34" s="121"/>
      <c r="W34" s="122"/>
    </row>
    <row r="35" spans="1:40" ht="26.1" customHeight="1" x14ac:dyDescent="0.25">
      <c r="A35" s="18"/>
      <c r="B35" s="18"/>
      <c r="C35" s="18"/>
      <c r="D35" s="18"/>
      <c r="E35" s="7"/>
      <c r="F35" s="2"/>
      <c r="G35" s="2"/>
      <c r="H35" s="123">
        <v>13</v>
      </c>
      <c r="I35" s="1039"/>
      <c r="J35" s="1039"/>
      <c r="K35" s="1039"/>
      <c r="L35" s="1040"/>
      <c r="M35" s="1040"/>
      <c r="N35" s="1039"/>
      <c r="O35" s="1039"/>
      <c r="P35" s="1039"/>
      <c r="Q35" s="1039"/>
      <c r="R35" s="1039"/>
      <c r="S35" s="1039"/>
      <c r="T35" s="120"/>
      <c r="U35" s="121"/>
      <c r="V35" s="121"/>
      <c r="W35" s="122"/>
    </row>
    <row r="36" spans="1:40" ht="26.1" customHeight="1" x14ac:dyDescent="0.25">
      <c r="A36" s="18"/>
      <c r="B36" s="18"/>
      <c r="C36" s="18"/>
      <c r="D36" s="18"/>
      <c r="E36" s="7"/>
      <c r="F36" s="2"/>
      <c r="G36" s="2"/>
      <c r="H36" s="123">
        <v>14</v>
      </c>
      <c r="I36" s="1039"/>
      <c r="J36" s="1039"/>
      <c r="K36" s="1039"/>
      <c r="L36" s="1040"/>
      <c r="M36" s="1040"/>
      <c r="N36" s="1039"/>
      <c r="O36" s="1039"/>
      <c r="P36" s="1039"/>
      <c r="Q36" s="1039"/>
      <c r="R36" s="1039"/>
      <c r="S36" s="1039"/>
      <c r="T36" s="120"/>
      <c r="U36" s="121"/>
      <c r="V36" s="121"/>
      <c r="W36" s="122"/>
    </row>
    <row r="37" spans="1:40" ht="26.1" customHeight="1" x14ac:dyDescent="0.25">
      <c r="A37" s="18"/>
      <c r="B37" s="18"/>
      <c r="C37" s="18"/>
      <c r="D37" s="18"/>
      <c r="E37" s="7"/>
      <c r="F37" s="2"/>
      <c r="G37" s="2"/>
      <c r="H37" s="123">
        <v>15</v>
      </c>
      <c r="I37" s="1039"/>
      <c r="J37" s="1039"/>
      <c r="K37" s="1039"/>
      <c r="L37" s="1040"/>
      <c r="M37" s="1040"/>
      <c r="N37" s="1039"/>
      <c r="O37" s="1039"/>
      <c r="P37" s="1039"/>
      <c r="Q37" s="1039"/>
      <c r="R37" s="1039"/>
      <c r="S37" s="1039"/>
      <c r="T37" s="120"/>
      <c r="U37" s="121"/>
      <c r="V37" s="121"/>
      <c r="W37" s="122"/>
    </row>
    <row r="38" spans="1:40" ht="20.100000000000001" customHeight="1" x14ac:dyDescent="0.25">
      <c r="A38" s="18"/>
      <c r="B38" s="18"/>
      <c r="C38" s="18"/>
      <c r="D38" s="18"/>
      <c r="E38" s="7"/>
      <c r="AK38" s="2"/>
      <c r="AL38" s="2"/>
      <c r="AM38" s="2"/>
      <c r="AN38" s="2"/>
    </row>
    <row r="39" spans="1:40" ht="30" hidden="1" customHeight="1" x14ac:dyDescent="0.25">
      <c r="A39" s="18"/>
      <c r="B39" s="18"/>
      <c r="C39" s="18"/>
      <c r="D39" s="18"/>
      <c r="E39" s="7"/>
      <c r="AK39" s="2"/>
      <c r="AL39" s="2"/>
      <c r="AM39" s="2"/>
      <c r="AN39" s="2"/>
    </row>
    <row r="40" spans="1:40" ht="20.100000000000001" hidden="1" customHeight="1" x14ac:dyDescent="0.25">
      <c r="A40" s="18"/>
      <c r="B40" s="18"/>
      <c r="C40" s="18"/>
      <c r="D40" s="18"/>
      <c r="E40" s="7"/>
      <c r="AK40" s="2"/>
      <c r="AL40" s="2"/>
      <c r="AM40" s="2"/>
      <c r="AN40" s="2"/>
    </row>
    <row r="41" spans="1:40" ht="30" hidden="1" customHeight="1" x14ac:dyDescent="0.25">
      <c r="A41" s="18"/>
      <c r="B41" s="18"/>
      <c r="C41" s="18"/>
      <c r="D41" s="18"/>
      <c r="E41" s="7"/>
      <c r="AK41" s="2"/>
      <c r="AL41" s="2"/>
      <c r="AM41" s="2"/>
      <c r="AN41" s="2"/>
    </row>
    <row r="42" spans="1:40" ht="30" customHeight="1" x14ac:dyDescent="0.25">
      <c r="A42" s="18"/>
      <c r="B42" s="18"/>
      <c r="C42" s="18"/>
      <c r="D42" s="18"/>
      <c r="E42" s="7"/>
      <c r="F42" s="1008" t="s">
        <v>295</v>
      </c>
      <c r="G42" s="1009"/>
      <c r="H42" s="1009"/>
      <c r="I42" s="1009"/>
      <c r="J42" s="1009"/>
      <c r="K42" s="1009"/>
      <c r="L42" s="1041"/>
      <c r="M42" s="148" t="s">
        <v>186</v>
      </c>
      <c r="N42" s="1052"/>
      <c r="O42" s="1053"/>
      <c r="P42" s="1053"/>
      <c r="Q42" s="1053"/>
      <c r="R42" s="1053"/>
      <c r="S42" s="1053"/>
      <c r="T42" s="1053"/>
      <c r="U42" s="1053"/>
      <c r="V42" s="1053"/>
      <c r="W42" s="1053"/>
      <c r="X42" s="1053"/>
      <c r="Y42" s="1053"/>
      <c r="Z42" s="1053"/>
      <c r="AA42" s="1053"/>
      <c r="AB42" s="1053"/>
      <c r="AC42" s="1054"/>
      <c r="AK42" s="2"/>
      <c r="AL42" s="2"/>
      <c r="AM42" s="2"/>
      <c r="AN42" s="116"/>
    </row>
    <row r="43" spans="1:40" ht="30" customHeight="1" x14ac:dyDescent="0.25">
      <c r="A43" s="18"/>
      <c r="B43" s="18"/>
      <c r="C43" s="18"/>
      <c r="D43" s="18"/>
      <c r="E43" s="7"/>
      <c r="F43" s="1008" t="s">
        <v>127</v>
      </c>
      <c r="G43" s="1009"/>
      <c r="H43" s="1009"/>
      <c r="I43" s="1009"/>
      <c r="J43" s="1009"/>
      <c r="K43" s="1009"/>
      <c r="L43" s="1009"/>
      <c r="M43" s="148" t="s">
        <v>186</v>
      </c>
      <c r="N43" s="1052"/>
      <c r="O43" s="1053"/>
      <c r="P43" s="1053"/>
      <c r="Q43" s="1053"/>
      <c r="R43" s="1053"/>
      <c r="S43" s="1053"/>
      <c r="T43" s="1053"/>
      <c r="U43" s="1053"/>
      <c r="V43" s="1053"/>
      <c r="W43" s="1053"/>
      <c r="X43" s="1053"/>
      <c r="Y43" s="1053"/>
      <c r="Z43" s="1053"/>
      <c r="AA43" s="1053"/>
      <c r="AB43" s="1053"/>
      <c r="AC43" s="1054"/>
      <c r="AK43" s="2"/>
      <c r="AL43" s="2"/>
      <c r="AM43" s="2"/>
      <c r="AN43" s="124"/>
    </row>
    <row r="44" spans="1:40" ht="19.5" customHeight="1" x14ac:dyDescent="0.25">
      <c r="A44" s="18"/>
      <c r="B44" s="18"/>
      <c r="C44" s="18"/>
      <c r="D44" s="18"/>
      <c r="E44" s="7"/>
      <c r="F44" s="2"/>
      <c r="G44" s="2"/>
      <c r="H44" s="2"/>
      <c r="I44" s="2"/>
      <c r="J44" s="2"/>
      <c r="K44" s="2"/>
      <c r="L44" s="2"/>
      <c r="M44" s="2"/>
      <c r="N44" s="125"/>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20.100000000000001" customHeight="1" x14ac:dyDescent="0.25">
      <c r="A45" s="18"/>
      <c r="B45" s="18"/>
      <c r="C45" s="18"/>
      <c r="D45" s="18"/>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row>
    <row r="46" spans="1:40" ht="20.100000000000001" customHeight="1" x14ac:dyDescent="0.25">
      <c r="A46" s="18"/>
      <c r="B46" s="18"/>
      <c r="C46" s="18"/>
      <c r="D46" s="18"/>
      <c r="E46" s="7"/>
      <c r="F46" s="97"/>
      <c r="G46" s="97"/>
      <c r="H46" s="97"/>
      <c r="I46" s="97"/>
      <c r="J46" s="97"/>
      <c r="K46" s="97"/>
      <c r="L46" s="97"/>
      <c r="M46" s="126"/>
      <c r="N46" s="127"/>
      <c r="O46" s="127"/>
      <c r="P46" s="127"/>
      <c r="Q46" s="127"/>
      <c r="R46" s="127"/>
      <c r="S46" s="128"/>
      <c r="T46" s="128"/>
      <c r="U46" s="128"/>
      <c r="V46" s="128"/>
      <c r="W46" s="128"/>
      <c r="X46" s="128"/>
      <c r="Y46" s="128"/>
      <c r="Z46" s="128"/>
      <c r="AA46" s="128"/>
      <c r="AB46" s="128"/>
      <c r="AC46" s="128"/>
      <c r="AD46" s="128"/>
      <c r="AE46" s="128"/>
      <c r="AF46" s="128"/>
      <c r="AG46" s="128"/>
      <c r="AH46" s="128"/>
      <c r="AI46" s="129"/>
      <c r="AJ46" s="129"/>
      <c r="AK46" s="129"/>
      <c r="AL46" s="129"/>
      <c r="AM46" s="129"/>
      <c r="AN46" s="130"/>
    </row>
    <row r="47" spans="1:40" ht="99.95" customHeight="1" x14ac:dyDescent="0.25">
      <c r="A47" s="18"/>
      <c r="B47" s="18"/>
      <c r="C47" s="18"/>
      <c r="D47" s="18"/>
      <c r="E47" s="7"/>
      <c r="F47" s="1049" t="s">
        <v>7998</v>
      </c>
      <c r="G47" s="1050"/>
      <c r="H47" s="1050"/>
      <c r="I47" s="1050"/>
      <c r="J47" s="1050"/>
      <c r="K47" s="1050"/>
      <c r="L47" s="1050"/>
      <c r="M47" s="1051"/>
      <c r="N47" s="1032"/>
      <c r="O47" s="1033"/>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4"/>
      <c r="AN47" s="131" t="s">
        <v>8014</v>
      </c>
    </row>
    <row r="48" spans="1:40" ht="50.1" customHeight="1" x14ac:dyDescent="0.25">
      <c r="A48" s="18"/>
      <c r="B48" s="18"/>
      <c r="C48" s="18"/>
      <c r="D48" s="18"/>
      <c r="E48" s="7"/>
      <c r="F48" s="1008" t="s">
        <v>143</v>
      </c>
      <c r="G48" s="1009"/>
      <c r="H48" s="1009"/>
      <c r="I48" s="1009"/>
      <c r="J48" s="1009"/>
      <c r="K48" s="1009"/>
      <c r="L48" s="1009"/>
      <c r="M48" s="1010"/>
      <c r="N48" s="1032"/>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4"/>
      <c r="AN48" s="131" t="s">
        <v>8014</v>
      </c>
    </row>
    <row r="49" spans="1:40" ht="20.100000000000001" customHeight="1" x14ac:dyDescent="0.25">
      <c r="A49" s="18"/>
      <c r="B49" s="18"/>
      <c r="C49" s="18"/>
      <c r="D49" s="18"/>
      <c r="E49" s="7"/>
    </row>
    <row r="50" spans="1:40" s="7" customFormat="1" ht="20.100000000000001" customHeight="1" x14ac:dyDescent="0.25">
      <c r="A50" s="18"/>
      <c r="B50" s="18"/>
      <c r="C50" s="18"/>
      <c r="D50" s="18"/>
      <c r="S50" s="132"/>
      <c r="T50" s="132"/>
      <c r="U50" s="132"/>
      <c r="V50" s="132"/>
      <c r="W50" s="132"/>
      <c r="X50" s="132"/>
      <c r="Y50" s="132"/>
      <c r="Z50" s="132"/>
      <c r="AA50" s="132"/>
      <c r="AB50" s="132"/>
      <c r="AC50" s="132"/>
      <c r="AD50" s="132"/>
      <c r="AE50" s="132"/>
      <c r="AF50" s="132"/>
      <c r="AG50" s="132"/>
      <c r="AH50" s="132"/>
      <c r="AI50" s="133"/>
      <c r="AJ50" s="133"/>
      <c r="AK50" s="133"/>
      <c r="AL50" s="133"/>
      <c r="AM50" s="133"/>
      <c r="AN50" s="134"/>
    </row>
    <row r="51" spans="1:40" s="2" customFormat="1" ht="20.100000000000001" customHeight="1" x14ac:dyDescent="0.25">
      <c r="A51" s="18"/>
      <c r="B51" s="18"/>
      <c r="C51" s="18"/>
      <c r="D51" s="18"/>
      <c r="E51" s="7"/>
    </row>
    <row r="52" spans="1:40" s="2" customFormat="1" ht="20.100000000000001" customHeight="1" x14ac:dyDescent="0.25">
      <c r="A52" s="18"/>
      <c r="B52" s="18"/>
      <c r="C52" s="18"/>
      <c r="D52" s="18"/>
      <c r="E52" s="7"/>
      <c r="F52" s="1067" t="s">
        <v>296</v>
      </c>
      <c r="G52" s="1068"/>
      <c r="H52" s="1068"/>
      <c r="I52" s="1068"/>
      <c r="J52" s="1068"/>
      <c r="K52" s="1068"/>
      <c r="L52" s="1069"/>
      <c r="M52" s="1076" t="s">
        <v>186</v>
      </c>
      <c r="N52" s="135"/>
      <c r="O52" s="136"/>
      <c r="P52" s="136"/>
      <c r="Q52" s="136"/>
      <c r="R52" s="137"/>
      <c r="S52" s="1079" t="s">
        <v>293</v>
      </c>
      <c r="T52" s="1064"/>
      <c r="U52" s="1064"/>
      <c r="V52" s="1064"/>
      <c r="W52" s="1064"/>
      <c r="X52" s="1064"/>
      <c r="Y52" s="1064"/>
      <c r="Z52" s="1064" t="s">
        <v>301</v>
      </c>
      <c r="AA52" s="1064"/>
      <c r="AB52" s="1064"/>
      <c r="AC52" s="1064"/>
      <c r="AD52" s="1064"/>
      <c r="AE52" s="1064"/>
      <c r="AF52" s="1064"/>
      <c r="AG52" s="1064"/>
      <c r="AH52" s="1064"/>
      <c r="AI52" s="1064" t="s">
        <v>302</v>
      </c>
      <c r="AJ52" s="1064"/>
      <c r="AK52" s="1064"/>
      <c r="AL52" s="1064"/>
      <c r="AM52" s="1065"/>
    </row>
    <row r="53" spans="1:40" s="2" customFormat="1" ht="20.100000000000001" customHeight="1" x14ac:dyDescent="0.25">
      <c r="A53" s="18"/>
      <c r="B53" s="18"/>
      <c r="C53" s="18"/>
      <c r="D53" s="18"/>
      <c r="E53" s="7"/>
      <c r="F53" s="1070"/>
      <c r="G53" s="1071"/>
      <c r="H53" s="1071"/>
      <c r="I53" s="1071"/>
      <c r="J53" s="1071"/>
      <c r="K53" s="1071"/>
      <c r="L53" s="1072"/>
      <c r="M53" s="1077"/>
      <c r="N53" s="138"/>
      <c r="O53" s="1045" t="s">
        <v>219</v>
      </c>
      <c r="P53" s="1045"/>
      <c r="Q53" s="1045"/>
      <c r="R53" s="1046"/>
      <c r="S53" s="1042"/>
      <c r="T53" s="1043"/>
      <c r="U53" s="1043"/>
      <c r="V53" s="1043"/>
      <c r="W53" s="1043"/>
      <c r="X53" s="1043"/>
      <c r="Y53" s="1043"/>
      <c r="Z53" s="1044"/>
      <c r="AA53" s="1044"/>
      <c r="AB53" s="1044"/>
      <c r="AC53" s="1044"/>
      <c r="AD53" s="1044"/>
      <c r="AE53" s="1044"/>
      <c r="AF53" s="1044"/>
      <c r="AG53" s="1044"/>
      <c r="AH53" s="1044"/>
      <c r="AI53" s="1066"/>
      <c r="AJ53" s="1066"/>
      <c r="AK53" s="1066"/>
      <c r="AL53" s="1066"/>
      <c r="AM53" s="1066"/>
    </row>
    <row r="54" spans="1:40" s="2" customFormat="1" ht="20.100000000000001" customHeight="1" x14ac:dyDescent="0.25">
      <c r="A54" s="18"/>
      <c r="B54" s="18"/>
      <c r="C54" s="18"/>
      <c r="D54" s="18"/>
      <c r="E54" s="7"/>
      <c r="F54" s="1070"/>
      <c r="G54" s="1071"/>
      <c r="H54" s="1071"/>
      <c r="I54" s="1071"/>
      <c r="J54" s="1071"/>
      <c r="K54" s="1071"/>
      <c r="L54" s="1072"/>
      <c r="M54" s="1077"/>
      <c r="N54" s="1"/>
      <c r="O54" s="138"/>
      <c r="P54" s="138"/>
      <c r="Q54" s="138"/>
      <c r="R54" s="139"/>
      <c r="S54" s="1042"/>
      <c r="T54" s="1043"/>
      <c r="U54" s="1043"/>
      <c r="V54" s="1043"/>
      <c r="W54" s="1043"/>
      <c r="X54" s="1043"/>
      <c r="Y54" s="1043"/>
      <c r="Z54" s="1044"/>
      <c r="AA54" s="1044"/>
      <c r="AB54" s="1044"/>
      <c r="AC54" s="1044"/>
      <c r="AD54" s="1044"/>
      <c r="AE54" s="1044"/>
      <c r="AF54" s="1044"/>
      <c r="AG54" s="1044"/>
      <c r="AH54" s="1044"/>
      <c r="AI54" s="1066"/>
      <c r="AJ54" s="1066"/>
      <c r="AK54" s="1066"/>
      <c r="AL54" s="1066"/>
      <c r="AM54" s="1066"/>
    </row>
    <row r="55" spans="1:40" s="2" customFormat="1" ht="20.100000000000001" customHeight="1" x14ac:dyDescent="0.25">
      <c r="A55" s="18"/>
      <c r="B55" s="18"/>
      <c r="C55" s="18"/>
      <c r="D55" s="18"/>
      <c r="E55" s="7"/>
      <c r="F55" s="1070"/>
      <c r="G55" s="1071"/>
      <c r="H55" s="1071"/>
      <c r="I55" s="1071"/>
      <c r="J55" s="1071"/>
      <c r="K55" s="1071"/>
      <c r="L55" s="1072"/>
      <c r="M55" s="1077"/>
      <c r="N55" s="138"/>
      <c r="O55" s="1047" t="s">
        <v>280</v>
      </c>
      <c r="P55" s="1047"/>
      <c r="Q55" s="1047"/>
      <c r="R55" s="1048"/>
      <c r="S55" s="1042"/>
      <c r="T55" s="1043"/>
      <c r="U55" s="1043"/>
      <c r="V55" s="1043"/>
      <c r="W55" s="1043"/>
      <c r="X55" s="1043"/>
      <c r="Y55" s="1043"/>
      <c r="Z55" s="1044"/>
      <c r="AA55" s="1044"/>
      <c r="AB55" s="1044"/>
      <c r="AC55" s="1044"/>
      <c r="AD55" s="1044"/>
      <c r="AE55" s="1044"/>
      <c r="AF55" s="1044"/>
      <c r="AG55" s="1044"/>
      <c r="AH55" s="1044"/>
      <c r="AI55" s="1066"/>
      <c r="AJ55" s="1066"/>
      <c r="AK55" s="1066"/>
      <c r="AL55" s="1066"/>
      <c r="AM55" s="1066"/>
    </row>
    <row r="56" spans="1:40" ht="20.100000000000001" customHeight="1" x14ac:dyDescent="0.25">
      <c r="A56" s="18"/>
      <c r="B56" s="18"/>
      <c r="C56" s="18"/>
      <c r="D56" s="18"/>
      <c r="E56" s="7"/>
      <c r="F56" s="1073"/>
      <c r="G56" s="1074"/>
      <c r="H56" s="1074"/>
      <c r="I56" s="1074"/>
      <c r="J56" s="1074"/>
      <c r="K56" s="1074"/>
      <c r="L56" s="1075"/>
      <c r="M56" s="1078"/>
      <c r="N56" s="140"/>
      <c r="O56" s="140"/>
      <c r="P56" s="140"/>
      <c r="Q56" s="140"/>
      <c r="R56" s="141"/>
      <c r="S56" s="1042"/>
      <c r="T56" s="1043"/>
      <c r="U56" s="1043"/>
      <c r="V56" s="1043"/>
      <c r="W56" s="1043"/>
      <c r="X56" s="1043"/>
      <c r="Y56" s="1043"/>
      <c r="Z56" s="1044"/>
      <c r="AA56" s="1044"/>
      <c r="AB56" s="1044"/>
      <c r="AC56" s="1044"/>
      <c r="AD56" s="1044"/>
      <c r="AE56" s="1044"/>
      <c r="AF56" s="1044"/>
      <c r="AG56" s="1044"/>
      <c r="AH56" s="1044"/>
      <c r="AI56" s="1066"/>
      <c r="AJ56" s="1066"/>
      <c r="AK56" s="1066"/>
      <c r="AL56" s="1066"/>
      <c r="AM56" s="1066"/>
    </row>
    <row r="57" spans="1:40" ht="20.100000000000001" customHeight="1" x14ac:dyDescent="0.25">
      <c r="A57" s="18"/>
      <c r="B57" s="18"/>
      <c r="C57" s="18"/>
      <c r="D57" s="18"/>
      <c r="E57" s="7"/>
    </row>
    <row r="58" spans="1:40" ht="20.100000000000001" customHeight="1" x14ac:dyDescent="0.25">
      <c r="A58" s="18"/>
      <c r="B58" s="18"/>
      <c r="C58" s="18"/>
      <c r="D58" s="18"/>
      <c r="E58" s="7"/>
      <c r="F58" s="142"/>
      <c r="G58" s="142"/>
      <c r="H58" s="142"/>
      <c r="I58" s="142"/>
      <c r="J58" s="142"/>
      <c r="K58" s="142"/>
      <c r="L58" s="142"/>
      <c r="M58" s="142"/>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4"/>
    </row>
    <row r="59" spans="1:40" ht="15" customHeight="1" x14ac:dyDescent="0.25">
      <c r="A59" s="18"/>
      <c r="B59" s="18"/>
      <c r="C59" s="18"/>
      <c r="D59" s="18"/>
      <c r="E59" s="7"/>
      <c r="F59" s="97"/>
      <c r="G59" s="97"/>
      <c r="H59" s="97"/>
      <c r="I59" s="97"/>
      <c r="J59" s="97"/>
      <c r="K59" s="97"/>
      <c r="L59" s="97"/>
      <c r="M59" s="97"/>
      <c r="N59" s="145" t="str">
        <f ca="1">Calculos!BA112</f>
        <v/>
      </c>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4"/>
    </row>
    <row r="60" spans="1:40" ht="20.100000000000001" customHeight="1" x14ac:dyDescent="0.25">
      <c r="A60" s="18"/>
      <c r="B60" s="18"/>
      <c r="C60" s="18"/>
      <c r="D60" s="18"/>
      <c r="E60" s="7"/>
      <c r="F60" s="1008" t="s">
        <v>33</v>
      </c>
      <c r="G60" s="1009"/>
      <c r="H60" s="1009"/>
      <c r="I60" s="1009"/>
      <c r="J60" s="1009"/>
      <c r="K60" s="1009"/>
      <c r="L60" s="1041"/>
      <c r="M60" s="148" t="s">
        <v>186</v>
      </c>
      <c r="N60" s="1055" t="s">
        <v>287</v>
      </c>
      <c r="O60" s="1056"/>
      <c r="P60" s="1057"/>
      <c r="Q60" s="1058"/>
      <c r="R60" s="1059"/>
      <c r="S60" s="1059"/>
      <c r="T60" s="1060"/>
      <c r="U60" s="1008" t="s">
        <v>34</v>
      </c>
      <c r="V60" s="1009"/>
      <c r="W60" s="1009"/>
      <c r="X60" s="1009"/>
      <c r="Y60" s="1010"/>
      <c r="Z60" s="1008" t="s">
        <v>278</v>
      </c>
      <c r="AA60" s="1009"/>
      <c r="AB60" s="1010"/>
      <c r="AC60" s="1061"/>
      <c r="AD60" s="1062"/>
      <c r="AE60" s="1063"/>
      <c r="AF60" s="1008" t="s">
        <v>279</v>
      </c>
      <c r="AG60" s="1009"/>
      <c r="AH60" s="1010"/>
      <c r="AI60" s="1061"/>
      <c r="AJ60" s="1062"/>
      <c r="AK60" s="1062"/>
      <c r="AL60" s="1062"/>
      <c r="AM60" s="1063"/>
      <c r="AN60" s="146"/>
    </row>
    <row r="61" spans="1:40" ht="99.95" customHeight="1" x14ac:dyDescent="0.25">
      <c r="A61" s="18"/>
      <c r="B61" s="18"/>
      <c r="C61" s="18"/>
      <c r="D61" s="18"/>
      <c r="E61" s="7"/>
      <c r="F61" s="1008" t="s">
        <v>392</v>
      </c>
      <c r="G61" s="1009"/>
      <c r="H61" s="1009"/>
      <c r="I61" s="1009"/>
      <c r="J61" s="1009"/>
      <c r="K61" s="1009"/>
      <c r="L61" s="1041"/>
      <c r="M61" s="148" t="s">
        <v>186</v>
      </c>
      <c r="N61" s="1032"/>
      <c r="O61" s="1033"/>
      <c r="P61" s="1033"/>
      <c r="Q61" s="1033"/>
      <c r="R61" s="1033"/>
      <c r="S61" s="1033"/>
      <c r="T61" s="1033"/>
      <c r="U61" s="1033"/>
      <c r="V61" s="1033"/>
      <c r="W61" s="1033"/>
      <c r="X61" s="1033"/>
      <c r="Y61" s="1033"/>
      <c r="Z61" s="1033"/>
      <c r="AA61" s="1033"/>
      <c r="AB61" s="1033"/>
      <c r="AC61" s="1033"/>
      <c r="AD61" s="1033"/>
      <c r="AE61" s="1033"/>
      <c r="AF61" s="1033"/>
      <c r="AG61" s="1033"/>
      <c r="AH61" s="1033"/>
      <c r="AI61" s="1033"/>
      <c r="AJ61" s="1033"/>
      <c r="AK61" s="1033"/>
      <c r="AL61" s="1033"/>
      <c r="AM61" s="1034"/>
      <c r="AN61" s="131" t="s">
        <v>8014</v>
      </c>
    </row>
    <row r="62" spans="1:40" x14ac:dyDescent="0.25">
      <c r="A62" s="18"/>
      <c r="B62" s="18"/>
      <c r="C62" s="18"/>
      <c r="D62" s="18"/>
      <c r="E62" s="7"/>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sheetData>
  <sheetProtection algorithmName="SHA-512" hashValue="W78oESdVr0Pu3bzj8GUITAEEkKO5Ctfv66sM/ofQbxEA8AslbyKveQ4lyV45CwW130spjjbD+EYqxt1+AFspBA==" saltValue="PfAxRhdEeadxYl/5pM47ZA==" spinCount="100000" sheet="1" objects="1" scenarios="1" formatColumns="0" formatRows="0"/>
  <dataConsolidate link="1"/>
  <mergeCells count="114">
    <mergeCell ref="N31:S31"/>
    <mergeCell ref="I23:K23"/>
    <mergeCell ref="I24:K24"/>
    <mergeCell ref="I25:K25"/>
    <mergeCell ref="I26:K26"/>
    <mergeCell ref="N23:S23"/>
    <mergeCell ref="N24:S24"/>
    <mergeCell ref="L24:M24"/>
    <mergeCell ref="L23:M23"/>
    <mergeCell ref="L25:M25"/>
    <mergeCell ref="L26:M26"/>
    <mergeCell ref="L27:M27"/>
    <mergeCell ref="L28:M28"/>
    <mergeCell ref="L29:M29"/>
    <mergeCell ref="F17:L17"/>
    <mergeCell ref="Y15:AB15"/>
    <mergeCell ref="AD15:AJ15"/>
    <mergeCell ref="N17:S17"/>
    <mergeCell ref="T17:Z17"/>
    <mergeCell ref="N25:S25"/>
    <mergeCell ref="N26:S26"/>
    <mergeCell ref="N27:S27"/>
    <mergeCell ref="N32:S32"/>
    <mergeCell ref="N28:S28"/>
    <mergeCell ref="N29:S29"/>
    <mergeCell ref="I22:K22"/>
    <mergeCell ref="T22:W22"/>
    <mergeCell ref="N22:S22"/>
    <mergeCell ref="I27:K27"/>
    <mergeCell ref="I28:K28"/>
    <mergeCell ref="I29:K29"/>
    <mergeCell ref="I30:K30"/>
    <mergeCell ref="I31:K31"/>
    <mergeCell ref="I32:K32"/>
    <mergeCell ref="L32:M32"/>
    <mergeCell ref="L30:M30"/>
    <mergeCell ref="L31:M31"/>
    <mergeCell ref="N30:S30"/>
    <mergeCell ref="F22:H22"/>
    <mergeCell ref="L22:M22"/>
    <mergeCell ref="F10:L10"/>
    <mergeCell ref="N15:P15"/>
    <mergeCell ref="N16:S16"/>
    <mergeCell ref="F14:M14"/>
    <mergeCell ref="AI2:AN7"/>
    <mergeCell ref="N10:Z10"/>
    <mergeCell ref="AF10:AJ10"/>
    <mergeCell ref="AA10:AD10"/>
    <mergeCell ref="N12:S12"/>
    <mergeCell ref="R15:X15"/>
    <mergeCell ref="AK11:AN11"/>
    <mergeCell ref="F2:AG6"/>
    <mergeCell ref="F7:J7"/>
    <mergeCell ref="F16:L16"/>
    <mergeCell ref="F11:L11"/>
    <mergeCell ref="F13:L13"/>
    <mergeCell ref="F12:L12"/>
    <mergeCell ref="F15:M15"/>
    <mergeCell ref="N11:AJ11"/>
    <mergeCell ref="N13:AJ13"/>
    <mergeCell ref="N14:AJ14"/>
    <mergeCell ref="AB17:AJ17"/>
    <mergeCell ref="F61:L61"/>
    <mergeCell ref="N61:AM61"/>
    <mergeCell ref="F48:M48"/>
    <mergeCell ref="N60:P60"/>
    <mergeCell ref="Q60:T60"/>
    <mergeCell ref="N48:AM48"/>
    <mergeCell ref="F60:L60"/>
    <mergeCell ref="U60:Y60"/>
    <mergeCell ref="Z60:AB60"/>
    <mergeCell ref="AC60:AE60"/>
    <mergeCell ref="AF60:AH60"/>
    <mergeCell ref="AI60:AM60"/>
    <mergeCell ref="AI52:AM52"/>
    <mergeCell ref="AI53:AM53"/>
    <mergeCell ref="AI56:AM56"/>
    <mergeCell ref="F52:L56"/>
    <mergeCell ref="Z52:AH52"/>
    <mergeCell ref="M52:M56"/>
    <mergeCell ref="AI55:AM55"/>
    <mergeCell ref="AI54:AM54"/>
    <mergeCell ref="Z54:AH54"/>
    <mergeCell ref="S52:Y52"/>
    <mergeCell ref="Z56:AH56"/>
    <mergeCell ref="Z55:AH55"/>
    <mergeCell ref="S56:Y56"/>
    <mergeCell ref="S54:Y54"/>
    <mergeCell ref="S55:Y55"/>
    <mergeCell ref="Z53:AH53"/>
    <mergeCell ref="S53:Y53"/>
    <mergeCell ref="O53:R53"/>
    <mergeCell ref="O55:R55"/>
    <mergeCell ref="I36:K36"/>
    <mergeCell ref="F47:M47"/>
    <mergeCell ref="I37:K37"/>
    <mergeCell ref="N47:AM47"/>
    <mergeCell ref="N36:S36"/>
    <mergeCell ref="N42:AC42"/>
    <mergeCell ref="N43:AC43"/>
    <mergeCell ref="N33:S33"/>
    <mergeCell ref="N37:S37"/>
    <mergeCell ref="N34:S34"/>
    <mergeCell ref="N35:S35"/>
    <mergeCell ref="L35:M35"/>
    <mergeCell ref="L36:M36"/>
    <mergeCell ref="L37:M37"/>
    <mergeCell ref="F42:L42"/>
    <mergeCell ref="F43:L43"/>
    <mergeCell ref="L34:M34"/>
    <mergeCell ref="I33:K33"/>
    <mergeCell ref="I34:K34"/>
    <mergeCell ref="I35:K35"/>
    <mergeCell ref="L33:M33"/>
  </mergeCells>
  <conditionalFormatting sqref="F7">
    <cfRule type="notContainsBlanks" dxfId="674" priority="1">
      <formula>LEN(TRIM(F7))&gt;0</formula>
    </cfRule>
  </conditionalFormatting>
  <conditionalFormatting sqref="F43:AC43">
    <cfRule type="expression" dxfId="673" priority="11">
      <formula>NOT(IFERROR(SEARCH("especificar",$N$42,1),0))</formula>
    </cfRule>
  </conditionalFormatting>
  <conditionalFormatting sqref="M10:M13">
    <cfRule type="expression" dxfId="672" priority="19">
      <formula>N10&lt;&gt;""</formula>
    </cfRule>
  </conditionalFormatting>
  <conditionalFormatting sqref="M16:M17">
    <cfRule type="expression" dxfId="671" priority="18">
      <formula>N16&lt;&gt;""</formula>
    </cfRule>
  </conditionalFormatting>
  <conditionalFormatting sqref="M42:M43">
    <cfRule type="expression" dxfId="670" priority="13">
      <formula>N42&lt;&gt;""</formula>
    </cfRule>
  </conditionalFormatting>
  <conditionalFormatting sqref="M60">
    <cfRule type="expression" dxfId="668" priority="5">
      <formula>OR($Q$60&lt;&gt;"",$AC$60&lt;&gt;"")</formula>
    </cfRule>
  </conditionalFormatting>
  <conditionalFormatting sqref="M61">
    <cfRule type="expression" dxfId="667" priority="7">
      <formula>N61&lt;&gt;""</formula>
    </cfRule>
  </conditionalFormatting>
  <conditionalFormatting sqref="Q15">
    <cfRule type="expression" dxfId="666" priority="16">
      <formula>R15&lt;&gt;""</formula>
    </cfRule>
  </conditionalFormatting>
  <conditionalFormatting sqref="AA17">
    <cfRule type="expression" dxfId="664" priority="17">
      <formula>AB17&lt;&gt;""</formula>
    </cfRule>
  </conditionalFormatting>
  <conditionalFormatting sqref="AC15">
    <cfRule type="expression" dxfId="663" priority="15">
      <formula>AD15&lt;&gt;""</formula>
    </cfRule>
  </conditionalFormatting>
  <conditionalFormatting sqref="AE10">
    <cfRule type="expression" dxfId="662" priority="20">
      <formula>AF10&lt;&gt;""</formula>
    </cfRule>
  </conditionalFormatting>
  <dataValidations xWindow="870" yWindow="728" count="15">
    <dataValidation type="list" allowBlank="1" showInputMessage="1" showErrorMessage="1" errorTitle="Código inválido" error="Preencher os dados do certificado na guia &quot;Certificados&quot; antes de atribuí-lo a algum estudo" sqref="N16:S16" xr:uid="{C6FDE146-70D7-4C15-A382-AA7BA6C81A51}">
      <formula1>src_certificados</formula1>
    </dataValidation>
    <dataValidation type="custom" allowBlank="1" showInputMessage="1" showErrorMessage="1" errorTitle="Valor inválido" error="Esse campo deve ser preenchido com as letras O ou X" sqref="N23:S37" xr:uid="{07728B0E-5E68-4373-B2ED-D228E0A90C75}">
      <formula1>OR(N23="o",N23="x")</formula1>
    </dataValidation>
    <dataValidation type="custom" allowBlank="1" showInputMessage="1" showErrorMessage="1" errorTitle="Data inválida" error="A data de conclusão não pode ser anterior a data de início." sqref="AD15" xr:uid="{CDDE308C-E261-4DB1-9D8F-2AD48E27A8AE}">
      <formula1>R15&lt;=AD15</formula1>
    </dataValidation>
    <dataValidation type="decimal" operator="greaterThanOrEqual" allowBlank="1" showInputMessage="1" showErrorMessage="1" errorTitle="Valor inválido" error="O valor da dose deve ser um número decimal" sqref="Q60:T60" xr:uid="{B5F05297-E3C5-4885-8659-7A19F64A0613}">
      <formula1>0</formula1>
    </dataValidation>
    <dataValidation allowBlank="1" showInputMessage="1" showErrorMessage="1" promptTitle="Ajuda" prompt="Código gerado pelo laboratório executor" sqref="AA10:AD10" xr:uid="{159BE9D2-5F68-40E7-848B-99E5441632C9}"/>
    <dataValidation allowBlank="1" showInputMessage="1" showErrorMessage="1" promptTitle="Ajuda" prompt="Informar nome e estado/país do laboratório executor" sqref="F11:L11" xr:uid="{F5726661-D0AE-449A-86F9-3048A2747EF3}"/>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02CC4579-0B59-43C0-8577-5AC70B0BDE31}"/>
    <dataValidation allowBlank="1" showInputMessage="1" showErrorMessage="1" promptTitle="Ajuda" prompt="Data de início da exposição dos animais à substância teste" sqref="N15:P15" xr:uid="{A2C92F03-99EB-40E5-8973-7980598C8C75}"/>
    <dataValidation allowBlank="1" showInputMessage="1" showErrorMessage="1" promptTitle="Ajuda" prompt="O critério de parada deve ser informado conforme as orientações dos parágrafos 33, 41 e 44 e do Anexo III do protocolo nº 425 de 2008." sqref="F42:L42" xr:uid="{4AC9A698-5E3E-4017-A550-6A2BF1A03F13}"/>
    <dataValidation allowBlank="1" showInputMessage="1" showErrorMessage="1" promptTitle="Ajuda" prompt="Descrição sucinta do desvio ocorrido._x000a__x000a_Caso tenha ocorrido mais do que quatro desvios, os demais deverão estar descritos na última linha e separados por ponto e vírgula" sqref="S52:Y52" xr:uid="{8BF5B57F-1CFA-4DFC-83A3-1BC3B4DA22E3}"/>
    <dataValidation allowBlank="1" showInputMessage="1" showErrorMessage="1" promptTitle="Ajuda" prompt="Incluir a justificativa do porquê ocorreu desvio e qual é interpretação dos seus impactos frente aos resultados do estudos." sqref="Z52:AH52" xr:uid="{3B6A33D0-620C-4477-9745-55C486963F22}"/>
    <dataValidation allowBlank="1" showInputMessage="1" showErrorMessage="1" promptTitle="Ajuda" prompt="Informar apenas se o(s) desvio(s) afetam de algum modo a interpretação dos resultados" sqref="AI52:AM52" xr:uid="{AFECDA22-8B6A-4CB6-A263-E4071ADA8D2F}"/>
    <dataValidation allowBlank="1" showInputMessage="1" showErrorMessage="1" promptTitle="Ajuda" prompt="São considerados desvios os procedimentos que tenham sido conduzidos em desacordo com o protocolo. _x000a__x000a_Alterações no corpo técnico, retificações no texto do relatório ou similiares não são considerados desvios ao protocolo." sqref="F52:L56" xr:uid="{2336B6A4-FA89-45F5-97AB-00AD8C8BC51A}"/>
    <dataValidation allowBlank="1" showInputMessage="1" showErrorMessage="1" promptTitle="Ajuda" prompt="A conclusão deverá ser conforme está escrito no relatório do estudo._x000a_" sqref="F61:L61" xr:uid="{84993F92-31F2-4245-99AB-AD5A8B466561}"/>
    <dataValidation allowBlank="1" showInputMessage="1" showErrorMessage="1" prompt="Consideram-se evidências de toxicidade as alterações observadas nos animais decorrentes da exposição à substância teste até os valores da categoria 4, exceto para diarreia, piloereção e aparência descuidada._x000a__x000a_*RDC 294/19, ANEXO IV, item 1.5, alínea d" sqref="T22:W22" xr:uid="{4FDD908E-3B21-4346-8643-728DAEE85904}"/>
  </dataValidations>
  <hyperlinks>
    <hyperlink ref="F7" location="Alertas!G2" display="Alertas!G2" xr:uid="{0B5A0172-9C24-4DA6-B8F0-17D83E9062FD}"/>
  </hyperlinks>
  <pageMargins left="0.511811024" right="0.511811024" top="0.78740157499999996" bottom="0.78740157499999996" header="0.31496062000000002" footer="0.31496062000000002"/>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29" r:id="rId4" name="check_updown1_maiorque">
              <controlPr defaultSize="0" autoFill="0" autoLine="0" autoPict="0">
                <anchor moveWithCells="1">
                  <from>
                    <xdr:col>13</xdr:col>
                    <xdr:colOff>19050</xdr:colOff>
                    <xdr:row>59</xdr:row>
                    <xdr:rowOff>9525</xdr:rowOff>
                  </from>
                  <to>
                    <xdr:col>15</xdr:col>
                    <xdr:colOff>304800</xdr:colOff>
                    <xdr:row>59</xdr:row>
                    <xdr:rowOff>238125</xdr:rowOff>
                  </to>
                </anchor>
              </controlPr>
            </control>
          </mc:Choice>
        </mc:AlternateContent>
        <mc:AlternateContent xmlns:mc="http://schemas.openxmlformats.org/markup-compatibility/2006">
          <mc:Choice Requires="x14">
            <control shapeId="21524" r:id="rId5" name="optn_updown1_desvios1">
              <controlPr defaultSize="0" autoFill="0" autoLine="0" autoPict="0">
                <anchor moveWithCells="1">
                  <from>
                    <xdr:col>13</xdr:col>
                    <xdr:colOff>85725</xdr:colOff>
                    <xdr:row>51</xdr:row>
                    <xdr:rowOff>171450</xdr:rowOff>
                  </from>
                  <to>
                    <xdr:col>17</xdr:col>
                    <xdr:colOff>304800</xdr:colOff>
                    <xdr:row>53</xdr:row>
                    <xdr:rowOff>66675</xdr:rowOff>
                  </to>
                </anchor>
              </controlPr>
            </control>
          </mc:Choice>
        </mc:AlternateContent>
        <mc:AlternateContent xmlns:mc="http://schemas.openxmlformats.org/markup-compatibility/2006">
          <mc:Choice Requires="x14">
            <control shapeId="21531" r:id="rId6" name="optn_updown1_desvios2">
              <controlPr defaultSize="0" autoFill="0" autoLine="0" autoPict="0">
                <anchor moveWithCells="1">
                  <from>
                    <xdr:col>13</xdr:col>
                    <xdr:colOff>95250</xdr:colOff>
                    <xdr:row>53</xdr:row>
                    <xdr:rowOff>171450</xdr:rowOff>
                  </from>
                  <to>
                    <xdr:col>17</xdr:col>
                    <xdr:colOff>304800</xdr:colOff>
                    <xdr:row>55</xdr:row>
                    <xdr:rowOff>66675</xdr:rowOff>
                  </to>
                </anchor>
              </controlPr>
            </control>
          </mc:Choice>
        </mc:AlternateContent>
        <mc:AlternateContent xmlns:mc="http://schemas.openxmlformats.org/markup-compatibility/2006">
          <mc:Choice Requires="x14">
            <control shapeId="21535" r:id="rId7" name="evid_tox_1">
              <controlPr defaultSize="0" autoFill="0" autoLine="0" autoPict="0">
                <anchor moveWithCells="1">
                  <from>
                    <xdr:col>20</xdr:col>
                    <xdr:colOff>142875</xdr:colOff>
                    <xdr:row>22</xdr:row>
                    <xdr:rowOff>9525</xdr:rowOff>
                  </from>
                  <to>
                    <xdr:col>22</xdr:col>
                    <xdr:colOff>295275</xdr:colOff>
                    <xdr:row>22</xdr:row>
                    <xdr:rowOff>314325</xdr:rowOff>
                  </to>
                </anchor>
              </controlPr>
            </control>
          </mc:Choice>
        </mc:AlternateContent>
        <mc:AlternateContent xmlns:mc="http://schemas.openxmlformats.org/markup-compatibility/2006">
          <mc:Choice Requires="x14">
            <control shapeId="21536" r:id="rId8" name="evid_tox_2">
              <controlPr defaultSize="0" autoFill="0" autoLine="0" autoPict="0">
                <anchor moveWithCells="1">
                  <from>
                    <xdr:col>20</xdr:col>
                    <xdr:colOff>142875</xdr:colOff>
                    <xdr:row>23</xdr:row>
                    <xdr:rowOff>9525</xdr:rowOff>
                  </from>
                  <to>
                    <xdr:col>22</xdr:col>
                    <xdr:colOff>295275</xdr:colOff>
                    <xdr:row>23</xdr:row>
                    <xdr:rowOff>314325</xdr:rowOff>
                  </to>
                </anchor>
              </controlPr>
            </control>
          </mc:Choice>
        </mc:AlternateContent>
        <mc:AlternateContent xmlns:mc="http://schemas.openxmlformats.org/markup-compatibility/2006">
          <mc:Choice Requires="x14">
            <control shapeId="21537" r:id="rId9" name="evid_tox_3">
              <controlPr defaultSize="0" autoFill="0" autoLine="0" autoPict="0">
                <anchor moveWithCells="1">
                  <from>
                    <xdr:col>20</xdr:col>
                    <xdr:colOff>142875</xdr:colOff>
                    <xdr:row>24</xdr:row>
                    <xdr:rowOff>9525</xdr:rowOff>
                  </from>
                  <to>
                    <xdr:col>22</xdr:col>
                    <xdr:colOff>295275</xdr:colOff>
                    <xdr:row>24</xdr:row>
                    <xdr:rowOff>314325</xdr:rowOff>
                  </to>
                </anchor>
              </controlPr>
            </control>
          </mc:Choice>
        </mc:AlternateContent>
        <mc:AlternateContent xmlns:mc="http://schemas.openxmlformats.org/markup-compatibility/2006">
          <mc:Choice Requires="x14">
            <control shapeId="21538" r:id="rId10" name="evid_tox_4">
              <controlPr defaultSize="0" autoFill="0" autoLine="0" autoPict="0">
                <anchor moveWithCells="1">
                  <from>
                    <xdr:col>20</xdr:col>
                    <xdr:colOff>142875</xdr:colOff>
                    <xdr:row>25</xdr:row>
                    <xdr:rowOff>9525</xdr:rowOff>
                  </from>
                  <to>
                    <xdr:col>22</xdr:col>
                    <xdr:colOff>295275</xdr:colOff>
                    <xdr:row>25</xdr:row>
                    <xdr:rowOff>314325</xdr:rowOff>
                  </to>
                </anchor>
              </controlPr>
            </control>
          </mc:Choice>
        </mc:AlternateContent>
        <mc:AlternateContent xmlns:mc="http://schemas.openxmlformats.org/markup-compatibility/2006">
          <mc:Choice Requires="x14">
            <control shapeId="21539" r:id="rId11" name="evid_tox_5">
              <controlPr defaultSize="0" autoFill="0" autoLine="0" autoPict="0">
                <anchor moveWithCells="1">
                  <from>
                    <xdr:col>20</xdr:col>
                    <xdr:colOff>142875</xdr:colOff>
                    <xdr:row>26</xdr:row>
                    <xdr:rowOff>9525</xdr:rowOff>
                  </from>
                  <to>
                    <xdr:col>22</xdr:col>
                    <xdr:colOff>295275</xdr:colOff>
                    <xdr:row>26</xdr:row>
                    <xdr:rowOff>314325</xdr:rowOff>
                  </to>
                </anchor>
              </controlPr>
            </control>
          </mc:Choice>
        </mc:AlternateContent>
        <mc:AlternateContent xmlns:mc="http://schemas.openxmlformats.org/markup-compatibility/2006">
          <mc:Choice Requires="x14">
            <control shapeId="21540" r:id="rId12" name="evid_tox_6">
              <controlPr defaultSize="0" autoFill="0" autoLine="0" autoPict="0">
                <anchor moveWithCells="1">
                  <from>
                    <xdr:col>20</xdr:col>
                    <xdr:colOff>142875</xdr:colOff>
                    <xdr:row>27</xdr:row>
                    <xdr:rowOff>9525</xdr:rowOff>
                  </from>
                  <to>
                    <xdr:col>22</xdr:col>
                    <xdr:colOff>295275</xdr:colOff>
                    <xdr:row>27</xdr:row>
                    <xdr:rowOff>314325</xdr:rowOff>
                  </to>
                </anchor>
              </controlPr>
            </control>
          </mc:Choice>
        </mc:AlternateContent>
        <mc:AlternateContent xmlns:mc="http://schemas.openxmlformats.org/markup-compatibility/2006">
          <mc:Choice Requires="x14">
            <control shapeId="21541" r:id="rId13" name="evid_tox_7">
              <controlPr defaultSize="0" autoFill="0" autoLine="0" autoPict="0">
                <anchor moveWithCells="1">
                  <from>
                    <xdr:col>20</xdr:col>
                    <xdr:colOff>142875</xdr:colOff>
                    <xdr:row>28</xdr:row>
                    <xdr:rowOff>9525</xdr:rowOff>
                  </from>
                  <to>
                    <xdr:col>22</xdr:col>
                    <xdr:colOff>295275</xdr:colOff>
                    <xdr:row>28</xdr:row>
                    <xdr:rowOff>314325</xdr:rowOff>
                  </to>
                </anchor>
              </controlPr>
            </control>
          </mc:Choice>
        </mc:AlternateContent>
        <mc:AlternateContent xmlns:mc="http://schemas.openxmlformats.org/markup-compatibility/2006">
          <mc:Choice Requires="x14">
            <control shapeId="21542" r:id="rId14" name="evid_tox_8">
              <controlPr defaultSize="0" autoFill="0" autoLine="0" autoPict="0">
                <anchor moveWithCells="1">
                  <from>
                    <xdr:col>20</xdr:col>
                    <xdr:colOff>142875</xdr:colOff>
                    <xdr:row>29</xdr:row>
                    <xdr:rowOff>9525</xdr:rowOff>
                  </from>
                  <to>
                    <xdr:col>22</xdr:col>
                    <xdr:colOff>295275</xdr:colOff>
                    <xdr:row>29</xdr:row>
                    <xdr:rowOff>314325</xdr:rowOff>
                  </to>
                </anchor>
              </controlPr>
            </control>
          </mc:Choice>
        </mc:AlternateContent>
        <mc:AlternateContent xmlns:mc="http://schemas.openxmlformats.org/markup-compatibility/2006">
          <mc:Choice Requires="x14">
            <control shapeId="21543" r:id="rId15" name="evid_tox_9">
              <controlPr defaultSize="0" autoFill="0" autoLine="0" autoPict="0">
                <anchor moveWithCells="1">
                  <from>
                    <xdr:col>20</xdr:col>
                    <xdr:colOff>142875</xdr:colOff>
                    <xdr:row>30</xdr:row>
                    <xdr:rowOff>19050</xdr:rowOff>
                  </from>
                  <to>
                    <xdr:col>22</xdr:col>
                    <xdr:colOff>295275</xdr:colOff>
                    <xdr:row>31</xdr:row>
                    <xdr:rowOff>0</xdr:rowOff>
                  </to>
                </anchor>
              </controlPr>
            </control>
          </mc:Choice>
        </mc:AlternateContent>
        <mc:AlternateContent xmlns:mc="http://schemas.openxmlformats.org/markup-compatibility/2006">
          <mc:Choice Requires="x14">
            <control shapeId="21544" r:id="rId16" name="evid_tox_10">
              <controlPr defaultSize="0" autoFill="0" autoLine="0" autoPict="0">
                <anchor moveWithCells="1">
                  <from>
                    <xdr:col>20</xdr:col>
                    <xdr:colOff>142875</xdr:colOff>
                    <xdr:row>31</xdr:row>
                    <xdr:rowOff>19050</xdr:rowOff>
                  </from>
                  <to>
                    <xdr:col>22</xdr:col>
                    <xdr:colOff>295275</xdr:colOff>
                    <xdr:row>32</xdr:row>
                    <xdr:rowOff>0</xdr:rowOff>
                  </to>
                </anchor>
              </controlPr>
            </control>
          </mc:Choice>
        </mc:AlternateContent>
        <mc:AlternateContent xmlns:mc="http://schemas.openxmlformats.org/markup-compatibility/2006">
          <mc:Choice Requires="x14">
            <control shapeId="21545" r:id="rId17" name="evid_tox_11">
              <controlPr defaultSize="0" autoFill="0" autoLine="0" autoPict="0">
                <anchor moveWithCells="1">
                  <from>
                    <xdr:col>20</xdr:col>
                    <xdr:colOff>142875</xdr:colOff>
                    <xdr:row>32</xdr:row>
                    <xdr:rowOff>19050</xdr:rowOff>
                  </from>
                  <to>
                    <xdr:col>22</xdr:col>
                    <xdr:colOff>295275</xdr:colOff>
                    <xdr:row>33</xdr:row>
                    <xdr:rowOff>0</xdr:rowOff>
                  </to>
                </anchor>
              </controlPr>
            </control>
          </mc:Choice>
        </mc:AlternateContent>
        <mc:AlternateContent xmlns:mc="http://schemas.openxmlformats.org/markup-compatibility/2006">
          <mc:Choice Requires="x14">
            <control shapeId="21546" r:id="rId18" name="evid_tox_12">
              <controlPr defaultSize="0" autoFill="0" autoLine="0" autoPict="0">
                <anchor moveWithCells="1">
                  <from>
                    <xdr:col>20</xdr:col>
                    <xdr:colOff>142875</xdr:colOff>
                    <xdr:row>33</xdr:row>
                    <xdr:rowOff>19050</xdr:rowOff>
                  </from>
                  <to>
                    <xdr:col>22</xdr:col>
                    <xdr:colOff>295275</xdr:colOff>
                    <xdr:row>34</xdr:row>
                    <xdr:rowOff>0</xdr:rowOff>
                  </to>
                </anchor>
              </controlPr>
            </control>
          </mc:Choice>
        </mc:AlternateContent>
        <mc:AlternateContent xmlns:mc="http://schemas.openxmlformats.org/markup-compatibility/2006">
          <mc:Choice Requires="x14">
            <control shapeId="21547" r:id="rId19" name="evid_tox_13">
              <controlPr defaultSize="0" autoFill="0" autoLine="0" autoPict="0">
                <anchor moveWithCells="1">
                  <from>
                    <xdr:col>20</xdr:col>
                    <xdr:colOff>142875</xdr:colOff>
                    <xdr:row>34</xdr:row>
                    <xdr:rowOff>19050</xdr:rowOff>
                  </from>
                  <to>
                    <xdr:col>22</xdr:col>
                    <xdr:colOff>295275</xdr:colOff>
                    <xdr:row>35</xdr:row>
                    <xdr:rowOff>0</xdr:rowOff>
                  </to>
                </anchor>
              </controlPr>
            </control>
          </mc:Choice>
        </mc:AlternateContent>
        <mc:AlternateContent xmlns:mc="http://schemas.openxmlformats.org/markup-compatibility/2006">
          <mc:Choice Requires="x14">
            <control shapeId="21548" r:id="rId20" name="evid_tox_14">
              <controlPr defaultSize="0" autoFill="0" autoLine="0" autoPict="0">
                <anchor moveWithCells="1">
                  <from>
                    <xdr:col>20</xdr:col>
                    <xdr:colOff>142875</xdr:colOff>
                    <xdr:row>35</xdr:row>
                    <xdr:rowOff>19050</xdr:rowOff>
                  </from>
                  <to>
                    <xdr:col>22</xdr:col>
                    <xdr:colOff>295275</xdr:colOff>
                    <xdr:row>36</xdr:row>
                    <xdr:rowOff>0</xdr:rowOff>
                  </to>
                </anchor>
              </controlPr>
            </control>
          </mc:Choice>
        </mc:AlternateContent>
        <mc:AlternateContent xmlns:mc="http://schemas.openxmlformats.org/markup-compatibility/2006">
          <mc:Choice Requires="x14">
            <control shapeId="21549" r:id="rId21" name="evid_tox_15">
              <controlPr defaultSize="0" autoFill="0" autoLine="0" autoPict="0">
                <anchor moveWithCells="1">
                  <from>
                    <xdr:col>20</xdr:col>
                    <xdr:colOff>142875</xdr:colOff>
                    <xdr:row>36</xdr:row>
                    <xdr:rowOff>19050</xdr:rowOff>
                  </from>
                  <to>
                    <xdr:col>22</xdr:col>
                    <xdr:colOff>295275</xdr:colOff>
                    <xdr:row>37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F6FE3A85-DAB2-47BE-8D0D-A274C9423997}">
            <xm:f>Respostas_usuario!$K$2&lt;&gt;0</xm:f>
            <x14:dxf>
              <font>
                <b/>
                <i val="0"/>
                <color rgb="FF00B050"/>
              </font>
              <fill>
                <patternFill>
                  <bgColor theme="0"/>
                </patternFill>
              </fill>
            </x14:dxf>
          </x14:cfRule>
          <xm:sqref>M52:M56</xm:sqref>
        </x14:conditionalFormatting>
        <x14:conditionalFormatting xmlns:xm="http://schemas.microsoft.com/office/excel/2006/main">
          <x14:cfRule type="expression" priority="10" id="{003902D0-D937-4818-9823-394DCC7B3376}">
            <xm:f>Respostas_usuario!$K$2&lt;&gt;2</xm:f>
            <x14:dxf>
              <font>
                <color theme="0"/>
              </font>
              <fill>
                <patternFill>
                  <bgColor theme="0"/>
                </patternFill>
              </fill>
              <border>
                <right/>
                <top/>
                <bottom/>
                <vertical/>
                <horizontal/>
              </border>
            </x14:dxf>
          </x14:cfRule>
          <xm:sqref>S52:AM56</xm:sqref>
        </x14:conditionalFormatting>
      </x14:conditionalFormattings>
    </ext>
    <ext xmlns:x14="http://schemas.microsoft.com/office/spreadsheetml/2009/9/main" uri="{CCE6A557-97BC-4b89-ADB6-D9C93CAAB3DF}">
      <x14:dataValidations xmlns:xm="http://schemas.microsoft.com/office/excel/2006/main" xWindow="870" yWindow="728" count="5">
        <x14:dataValidation type="list" allowBlank="1" showInputMessage="1" showErrorMessage="1" errorTitle="Resposta inválida" error="A resposta de ser Sim ou Não." xr:uid="{2D600C71-0FBD-4F1E-B779-FD49D2035A0B}">
          <x14:formula1>
            <xm:f>Tabelas_fonte!$Y$2:$Y$3</xm:f>
          </x14:formula1>
          <xm:sqref>N12:S12</xm:sqref>
        </x14:dataValidation>
        <x14:dataValidation type="list" errorStyle="warning" allowBlank="1" showInputMessage="1" xr:uid="{78F6769B-607A-4592-9DD3-52CD25AC8C03}">
          <x14:formula1>
            <xm:f>Tabelas_fonte!$AA$2:$AA$4</xm:f>
          </x14:formula1>
          <xm:sqref>N13:AJ13</xm:sqref>
        </x14:dataValidation>
        <x14:dataValidation type="list" allowBlank="1" showInputMessage="1" showErrorMessage="1" errorTitle="Valor inválido" error="O sexo informado deve ser Macho ou Fêmea" xr:uid="{687B3F94-2931-47A9-9185-35CFA9D5F4DF}">
          <x14:formula1>
            <xm:f>Tabelas_fonte!$W$8:$W$9</xm:f>
          </x14:formula1>
          <xm:sqref>L23:M37</xm:sqref>
        </x14:dataValidation>
        <x14:dataValidation type="list" allowBlank="1" showInputMessage="1" showErrorMessage="1" errorTitle="Opção inválida" error="Escolher dentre uma das opções disponíveis." xr:uid="{29FC97B3-0962-4D5B-AFC2-935CF7FB53C4}">
          <x14:formula1>
            <xm:f>Tabelas_fonte!$AA$7:$AA$10</xm:f>
          </x14:formula1>
          <xm:sqref>N42</xm:sqref>
        </x14:dataValidation>
        <x14:dataValidation type="list" allowBlank="1" showInputMessage="1" showErrorMessage="1" errorTitle="Valor inválido" error="A resposta deve ser Sim ou Não" xr:uid="{682D03BE-CC18-44E6-AAA8-640DCAC468B0}">
          <x14:formula1>
            <xm:f>Tabelas_fonte!$Y$2:$Y$3</xm:f>
          </x14:formula1>
          <xm:sqref>AI53:AM56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3AC1-9562-4234-AF82-8B2FCB9E0248}">
  <sheetPr codeName="Planilha15">
    <tabColor theme="8" tint="0.59999389629810485"/>
  </sheetPr>
  <dimension ref="A1:AN62"/>
  <sheetViews>
    <sheetView showGridLines="0" topLeftCell="E1" workbookViewId="0">
      <selection activeCell="D1" sqref="D1"/>
    </sheetView>
  </sheetViews>
  <sheetFormatPr defaultColWidth="0" defaultRowHeight="15" customHeight="1" zeroHeight="1" x14ac:dyDescent="0.25"/>
  <cols>
    <col min="1" max="4" width="9.28515625" style="20" hidden="1" customWidth="1"/>
    <col min="5" max="13" width="4.7109375" style="20" customWidth="1"/>
    <col min="14" max="14" width="5.7109375" style="20" customWidth="1"/>
    <col min="15" max="39" width="4.7109375" style="20" customWidth="1"/>
    <col min="40" max="40" width="8.7109375" style="20" customWidth="1"/>
    <col min="41" max="16384" width="9.140625" style="20" hidden="1"/>
  </cols>
  <sheetData>
    <row r="1" spans="1:40" x14ac:dyDescent="0.25">
      <c r="A1" s="18"/>
      <c r="B1" s="18"/>
      <c r="C1" s="18"/>
      <c r="D1" s="18"/>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5" customHeight="1" x14ac:dyDescent="0.25">
      <c r="A2" s="18"/>
      <c r="B2" s="18"/>
      <c r="C2" s="18"/>
      <c r="D2" s="18"/>
      <c r="E2" s="7"/>
      <c r="F2" s="990" t="s">
        <v>6048</v>
      </c>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1"/>
      <c r="AI2" s="1035" t="s">
        <v>0</v>
      </c>
      <c r="AJ2" s="1035"/>
      <c r="AK2" s="1035"/>
      <c r="AL2" s="1035"/>
      <c r="AM2" s="1035"/>
      <c r="AN2" s="1035"/>
    </row>
    <row r="3" spans="1:40" ht="15" customHeight="1" x14ac:dyDescent="0.25">
      <c r="A3" s="18"/>
      <c r="B3" s="18"/>
      <c r="C3" s="18"/>
      <c r="D3" s="18"/>
      <c r="E3" s="114"/>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1"/>
      <c r="AI3" s="1035"/>
      <c r="AJ3" s="1035"/>
      <c r="AK3" s="1035"/>
      <c r="AL3" s="1035"/>
      <c r="AM3" s="1035"/>
      <c r="AN3" s="1035"/>
    </row>
    <row r="4" spans="1:40" ht="15" customHeight="1" x14ac:dyDescent="0.25">
      <c r="A4" s="18"/>
      <c r="B4" s="18"/>
      <c r="C4" s="18"/>
      <c r="D4" s="18"/>
      <c r="E4" s="114"/>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1"/>
      <c r="AI4" s="1035"/>
      <c r="AJ4" s="1035"/>
      <c r="AK4" s="1035"/>
      <c r="AL4" s="1035"/>
      <c r="AM4" s="1035"/>
      <c r="AN4" s="1035"/>
    </row>
    <row r="5" spans="1:40" ht="15" customHeight="1" x14ac:dyDescent="0.25">
      <c r="A5" s="18"/>
      <c r="B5" s="18"/>
      <c r="C5" s="18"/>
      <c r="D5" s="18"/>
      <c r="E5" s="114"/>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1"/>
      <c r="AI5" s="1035"/>
      <c r="AJ5" s="1035"/>
      <c r="AK5" s="1035"/>
      <c r="AL5" s="1035"/>
      <c r="AM5" s="1035"/>
      <c r="AN5" s="1035"/>
    </row>
    <row r="6" spans="1:40" ht="15" customHeight="1" x14ac:dyDescent="0.25">
      <c r="A6" s="18"/>
      <c r="B6" s="18"/>
      <c r="C6" s="18"/>
      <c r="D6" s="18"/>
      <c r="E6" s="114"/>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1"/>
      <c r="AI6" s="1035"/>
      <c r="AJ6" s="1035"/>
      <c r="AK6" s="1035"/>
      <c r="AL6" s="1035"/>
      <c r="AM6" s="1035"/>
      <c r="AN6" s="1035"/>
    </row>
    <row r="7" spans="1:40" ht="20.100000000000001" customHeight="1" x14ac:dyDescent="0.25">
      <c r="A7" s="18"/>
      <c r="B7" s="18"/>
      <c r="C7" s="18"/>
      <c r="D7" s="18"/>
      <c r="E7" s="114"/>
      <c r="F7" s="1024" t="str">
        <f ca="1">Alertas!S9</f>
        <v/>
      </c>
      <c r="G7" s="1024"/>
      <c r="H7" s="1024"/>
      <c r="I7" s="1024"/>
      <c r="J7" s="1024"/>
      <c r="K7" s="91"/>
      <c r="L7" s="91"/>
      <c r="M7" s="91"/>
      <c r="N7" s="91"/>
      <c r="O7" s="91"/>
      <c r="P7" s="91"/>
      <c r="Q7" s="91"/>
      <c r="R7" s="91"/>
      <c r="S7" s="91"/>
      <c r="T7" s="91"/>
      <c r="U7" s="91"/>
      <c r="V7" s="91"/>
      <c r="W7" s="91"/>
      <c r="X7" s="91"/>
      <c r="Y7" s="91"/>
      <c r="Z7" s="91"/>
      <c r="AA7" s="91"/>
      <c r="AB7" s="91"/>
      <c r="AC7" s="91"/>
      <c r="AD7" s="91"/>
      <c r="AE7" s="91"/>
      <c r="AF7" s="91"/>
      <c r="AG7" s="91"/>
      <c r="AH7" s="91"/>
      <c r="AI7" s="1035"/>
      <c r="AJ7" s="1035"/>
      <c r="AK7" s="1035"/>
      <c r="AL7" s="1035"/>
      <c r="AM7" s="1035"/>
      <c r="AN7" s="1035"/>
    </row>
    <row r="8" spans="1:40" ht="15" customHeight="1" x14ac:dyDescent="0.25">
      <c r="A8" s="18"/>
      <c r="B8" s="18"/>
      <c r="C8" s="18"/>
      <c r="D8" s="18"/>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row>
    <row r="9" spans="1:40" ht="15" customHeight="1" x14ac:dyDescent="0.25">
      <c r="A9" s="18"/>
      <c r="B9" s="18"/>
      <c r="C9" s="18"/>
      <c r="D9" s="18"/>
      <c r="E9" s="7"/>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30" customHeight="1" x14ac:dyDescent="0.25">
      <c r="A10" s="18"/>
      <c r="B10" s="18"/>
      <c r="C10" s="18"/>
      <c r="D10" s="18"/>
      <c r="E10" s="7"/>
      <c r="F10" s="1085" t="s">
        <v>30</v>
      </c>
      <c r="G10" s="1086"/>
      <c r="H10" s="1086"/>
      <c r="I10" s="1086"/>
      <c r="J10" s="1086"/>
      <c r="K10" s="1086"/>
      <c r="L10" s="1087"/>
      <c r="M10" s="147" t="s">
        <v>186</v>
      </c>
      <c r="N10" s="1033"/>
      <c r="O10" s="1033"/>
      <c r="P10" s="1033"/>
      <c r="Q10" s="1033"/>
      <c r="R10" s="1033"/>
      <c r="S10" s="1033"/>
      <c r="T10" s="1033"/>
      <c r="U10" s="1033"/>
      <c r="V10" s="1033"/>
      <c r="W10" s="1033"/>
      <c r="X10" s="1033"/>
      <c r="Y10" s="1033"/>
      <c r="Z10" s="1034"/>
      <c r="AA10" s="1008" t="s">
        <v>294</v>
      </c>
      <c r="AB10" s="1009"/>
      <c r="AC10" s="1009"/>
      <c r="AD10" s="1041"/>
      <c r="AE10" s="148" t="s">
        <v>186</v>
      </c>
      <c r="AF10" s="1032"/>
      <c r="AG10" s="1033"/>
      <c r="AH10" s="1033"/>
      <c r="AI10" s="1033"/>
      <c r="AJ10" s="1034"/>
      <c r="AK10" s="2"/>
      <c r="AL10" s="2"/>
      <c r="AM10" s="2"/>
      <c r="AN10" s="2"/>
    </row>
    <row r="11" spans="1:40" ht="60" customHeight="1" x14ac:dyDescent="0.25">
      <c r="A11" s="18"/>
      <c r="B11" s="18"/>
      <c r="C11" s="18"/>
      <c r="D11" s="18"/>
      <c r="E11" s="7"/>
      <c r="F11" s="1103" t="s">
        <v>7300</v>
      </c>
      <c r="G11" s="1009"/>
      <c r="H11" s="1009"/>
      <c r="I11" s="1009"/>
      <c r="J11" s="1009"/>
      <c r="K11" s="1009"/>
      <c r="L11" s="1041"/>
      <c r="M11" s="149" t="s">
        <v>186</v>
      </c>
      <c r="N11" s="1033"/>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4"/>
      <c r="AK11" s="1100" t="s">
        <v>271</v>
      </c>
      <c r="AL11" s="1101"/>
      <c r="AM11" s="1101"/>
      <c r="AN11" s="1101"/>
    </row>
    <row r="12" spans="1:40" ht="20.100000000000001" customHeight="1" x14ac:dyDescent="0.25">
      <c r="A12" s="18"/>
      <c r="B12" s="18"/>
      <c r="C12" s="18"/>
      <c r="D12" s="18"/>
      <c r="E12" s="7"/>
      <c r="F12" s="1103" t="s">
        <v>6029</v>
      </c>
      <c r="G12" s="1009"/>
      <c r="H12" s="1009"/>
      <c r="I12" s="1009"/>
      <c r="J12" s="1009"/>
      <c r="K12" s="1009"/>
      <c r="L12" s="1041"/>
      <c r="M12" s="149" t="s">
        <v>186</v>
      </c>
      <c r="N12" s="1096"/>
      <c r="O12" s="1096"/>
      <c r="P12" s="1096"/>
      <c r="Q12" s="1096"/>
      <c r="R12" s="1096"/>
      <c r="S12" s="1097"/>
      <c r="T12" s="2"/>
      <c r="U12" s="2"/>
      <c r="V12" s="2"/>
      <c r="W12" s="2"/>
      <c r="X12" s="2"/>
      <c r="Y12" s="2"/>
      <c r="Z12" s="2"/>
      <c r="AA12" s="2"/>
      <c r="AB12" s="2"/>
      <c r="AC12" s="2"/>
      <c r="AD12" s="2"/>
      <c r="AE12" s="2"/>
      <c r="AF12" s="2"/>
      <c r="AG12" s="2"/>
      <c r="AH12" s="2"/>
      <c r="AI12" s="2"/>
      <c r="AJ12" s="2"/>
      <c r="AK12" s="2"/>
      <c r="AL12" s="2"/>
      <c r="AM12" s="2"/>
      <c r="AN12" s="2"/>
    </row>
    <row r="13" spans="1:40" ht="20.100000000000001" customHeight="1" x14ac:dyDescent="0.25">
      <c r="A13" s="18"/>
      <c r="B13" s="18"/>
      <c r="C13" s="18"/>
      <c r="D13" s="18"/>
      <c r="E13" s="7"/>
      <c r="F13" s="1093" t="s">
        <v>218</v>
      </c>
      <c r="G13" s="1094"/>
      <c r="H13" s="1094"/>
      <c r="I13" s="1094"/>
      <c r="J13" s="1094"/>
      <c r="K13" s="1094"/>
      <c r="L13" s="1104"/>
      <c r="M13" s="149" t="s">
        <v>186</v>
      </c>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7"/>
      <c r="AK13" s="2"/>
      <c r="AL13" s="2"/>
      <c r="AM13" s="2"/>
      <c r="AN13" s="2"/>
    </row>
    <row r="14" spans="1:40" ht="20.100000000000001" customHeight="1" x14ac:dyDescent="0.25">
      <c r="A14" s="18"/>
      <c r="B14" s="18"/>
      <c r="C14" s="18"/>
      <c r="D14" s="18"/>
      <c r="E14" s="7"/>
      <c r="F14" s="1093" t="s">
        <v>311</v>
      </c>
      <c r="G14" s="1094"/>
      <c r="H14" s="1094"/>
      <c r="I14" s="1094"/>
      <c r="J14" s="1094"/>
      <c r="K14" s="1094"/>
      <c r="L14" s="1094"/>
      <c r="M14" s="1095"/>
      <c r="N14" s="1108"/>
      <c r="O14" s="1108"/>
      <c r="P14" s="1108"/>
      <c r="Q14" s="1108"/>
      <c r="R14" s="1108"/>
      <c r="S14" s="1108"/>
      <c r="T14" s="1108"/>
      <c r="U14" s="1108"/>
      <c r="V14" s="1108"/>
      <c r="W14" s="1108"/>
      <c r="X14" s="1108"/>
      <c r="Y14" s="1108"/>
      <c r="Z14" s="1108"/>
      <c r="AA14" s="1108"/>
      <c r="AB14" s="1108"/>
      <c r="AC14" s="1108"/>
      <c r="AD14" s="1108"/>
      <c r="AE14" s="1108"/>
      <c r="AF14" s="1108"/>
      <c r="AG14" s="1108"/>
      <c r="AH14" s="1108"/>
      <c r="AI14" s="1108"/>
      <c r="AJ14" s="1109"/>
      <c r="AK14" s="2"/>
      <c r="AL14" s="2"/>
      <c r="AM14" s="2"/>
      <c r="AN14" s="2"/>
    </row>
    <row r="15" spans="1:40" ht="20.100000000000001" customHeight="1" x14ac:dyDescent="0.25">
      <c r="A15" s="18"/>
      <c r="B15" s="18"/>
      <c r="C15" s="18"/>
      <c r="D15" s="18"/>
      <c r="E15" s="7"/>
      <c r="F15" s="1103" t="s">
        <v>7301</v>
      </c>
      <c r="G15" s="1009"/>
      <c r="H15" s="1009"/>
      <c r="I15" s="1009"/>
      <c r="J15" s="1009"/>
      <c r="K15" s="1009"/>
      <c r="L15" s="1009"/>
      <c r="M15" s="1105"/>
      <c r="N15" s="1088" t="s">
        <v>6030</v>
      </c>
      <c r="O15" s="1088"/>
      <c r="P15" s="1089"/>
      <c r="Q15" s="148" t="s">
        <v>186</v>
      </c>
      <c r="R15" s="1098"/>
      <c r="S15" s="1099"/>
      <c r="T15" s="1099"/>
      <c r="U15" s="1099"/>
      <c r="V15" s="1099"/>
      <c r="W15" s="1099"/>
      <c r="X15" s="1099"/>
      <c r="Y15" s="1008" t="s">
        <v>31</v>
      </c>
      <c r="Z15" s="1009"/>
      <c r="AA15" s="1009"/>
      <c r="AB15" s="1009"/>
      <c r="AC15" s="148" t="s">
        <v>186</v>
      </c>
      <c r="AD15" s="999"/>
      <c r="AE15" s="1000"/>
      <c r="AF15" s="1000"/>
      <c r="AG15" s="1000"/>
      <c r="AH15" s="1000"/>
      <c r="AI15" s="1000"/>
      <c r="AJ15" s="1001"/>
      <c r="AK15" s="115"/>
      <c r="AL15" s="115"/>
      <c r="AM15" s="115"/>
      <c r="AN15" s="115"/>
    </row>
    <row r="16" spans="1:40" ht="30" customHeight="1" x14ac:dyDescent="0.25">
      <c r="A16" s="18"/>
      <c r="B16" s="18"/>
      <c r="C16" s="18"/>
      <c r="D16" s="18"/>
      <c r="E16" s="7"/>
      <c r="F16" s="1127" t="s">
        <v>5720</v>
      </c>
      <c r="G16" s="1128"/>
      <c r="H16" s="1128"/>
      <c r="I16" s="1128"/>
      <c r="J16" s="1128"/>
      <c r="K16" s="1128"/>
      <c r="L16" s="1128"/>
      <c r="M16" s="157" t="s">
        <v>186</v>
      </c>
      <c r="N16" s="1090"/>
      <c r="O16" s="1090"/>
      <c r="P16" s="1090"/>
      <c r="Q16" s="1090"/>
      <c r="R16" s="1091"/>
      <c r="S16" s="1092"/>
      <c r="T16" s="2"/>
      <c r="U16" s="2"/>
      <c r="V16" s="2"/>
      <c r="W16" s="2"/>
      <c r="X16" s="2"/>
      <c r="Y16" s="2"/>
      <c r="Z16" s="2"/>
      <c r="AA16" s="2"/>
      <c r="AB16" s="2"/>
      <c r="AC16" s="2"/>
      <c r="AD16" s="2"/>
      <c r="AE16" s="2"/>
      <c r="AF16" s="2"/>
      <c r="AG16" s="2"/>
      <c r="AH16" s="2"/>
      <c r="AI16" s="2"/>
      <c r="AJ16" s="2"/>
      <c r="AK16" s="2"/>
      <c r="AL16" s="2"/>
      <c r="AM16" s="2"/>
      <c r="AN16" s="2"/>
    </row>
    <row r="17" spans="1:40" ht="20.100000000000001" customHeight="1" x14ac:dyDescent="0.25">
      <c r="A17" s="18"/>
      <c r="B17" s="18"/>
      <c r="C17" s="18"/>
      <c r="D17" s="18"/>
      <c r="E17" s="7"/>
      <c r="F17" s="1113" t="s">
        <v>85</v>
      </c>
      <c r="G17" s="1114"/>
      <c r="H17" s="1114"/>
      <c r="I17" s="1114"/>
      <c r="J17" s="1114"/>
      <c r="K17" s="1114"/>
      <c r="L17" s="1114"/>
      <c r="M17" s="152" t="s">
        <v>186</v>
      </c>
      <c r="N17" s="1129" t="s">
        <v>281</v>
      </c>
      <c r="O17" s="1115"/>
      <c r="P17" s="1115"/>
      <c r="Q17" s="1115"/>
      <c r="R17" s="1115"/>
      <c r="S17" s="1115"/>
      <c r="T17" s="1116" t="s">
        <v>235</v>
      </c>
      <c r="U17" s="1114"/>
      <c r="V17" s="1114"/>
      <c r="W17" s="1114"/>
      <c r="X17" s="1114"/>
      <c r="Y17" s="1114"/>
      <c r="Z17" s="1114"/>
      <c r="AA17" s="152" t="s">
        <v>186</v>
      </c>
      <c r="AB17" s="1110"/>
      <c r="AC17" s="1111"/>
      <c r="AD17" s="1111"/>
      <c r="AE17" s="1111"/>
      <c r="AF17" s="1111"/>
      <c r="AG17" s="1111"/>
      <c r="AH17" s="1111"/>
      <c r="AI17" s="1111"/>
      <c r="AJ17" s="1112"/>
      <c r="AK17" s="116"/>
      <c r="AL17" s="116"/>
      <c r="AM17" s="116"/>
      <c r="AN17" s="116"/>
    </row>
    <row r="18" spans="1:40" ht="20.100000000000001" customHeight="1" x14ac:dyDescent="0.25">
      <c r="A18" s="18"/>
      <c r="B18" s="18"/>
      <c r="C18" s="18"/>
      <c r="D18" s="18"/>
      <c r="E18" s="7"/>
      <c r="F18" s="2"/>
      <c r="G18" s="2"/>
      <c r="H18" s="2"/>
      <c r="I18" s="2"/>
      <c r="J18" s="2"/>
      <c r="K18" s="2"/>
      <c r="L18" s="2"/>
      <c r="M18" s="2"/>
      <c r="N18" s="2"/>
      <c r="O18" s="2"/>
      <c r="P18" s="2"/>
      <c r="Q18" s="2"/>
      <c r="R18" s="2"/>
      <c r="T18" s="2"/>
      <c r="U18" s="2"/>
      <c r="V18" s="2"/>
      <c r="W18" s="2"/>
      <c r="X18" s="2"/>
      <c r="Y18" s="2"/>
      <c r="Z18" s="2"/>
      <c r="AA18" s="2"/>
      <c r="AB18" s="2"/>
      <c r="AC18" s="2"/>
      <c r="AD18" s="2"/>
      <c r="AE18" s="2"/>
      <c r="AF18" s="2"/>
      <c r="AG18" s="2"/>
      <c r="AH18" s="2"/>
      <c r="AI18" s="2"/>
      <c r="AJ18" s="2"/>
      <c r="AK18" s="2"/>
      <c r="AL18" s="2"/>
      <c r="AM18" s="2"/>
      <c r="AN18" s="2"/>
    </row>
    <row r="19" spans="1:40" ht="15" customHeight="1" x14ac:dyDescent="0.25">
      <c r="A19" s="18"/>
      <c r="B19" s="18"/>
      <c r="C19" s="18"/>
      <c r="D19" s="18"/>
      <c r="E19" s="7"/>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x14ac:dyDescent="0.25">
      <c r="A20" s="18"/>
      <c r="B20" s="18"/>
      <c r="C20" s="18"/>
      <c r="D20" s="18"/>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row>
    <row r="21" spans="1:40" ht="15" customHeight="1" x14ac:dyDescent="0.25">
      <c r="A21" s="18"/>
      <c r="B21" s="18"/>
      <c r="C21" s="18"/>
      <c r="D21" s="18"/>
      <c r="E21" s="7"/>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30" customHeight="1" x14ac:dyDescent="0.25">
      <c r="A22" s="18"/>
      <c r="B22" s="18"/>
      <c r="C22" s="18"/>
      <c r="D22" s="18"/>
      <c r="E22" s="7"/>
      <c r="F22" s="1080" t="s">
        <v>283</v>
      </c>
      <c r="G22" s="1081"/>
      <c r="H22" s="1082"/>
      <c r="I22" s="1117" t="s">
        <v>284</v>
      </c>
      <c r="J22" s="1118"/>
      <c r="K22" s="1119"/>
      <c r="L22" s="1083" t="s">
        <v>35</v>
      </c>
      <c r="M22" s="1084"/>
      <c r="N22" s="1083" t="s">
        <v>286</v>
      </c>
      <c r="O22" s="1084"/>
      <c r="P22" s="1084"/>
      <c r="Q22" s="1084"/>
      <c r="R22" s="1084"/>
      <c r="S22" s="1122"/>
      <c r="T22" s="1120" t="s">
        <v>7997</v>
      </c>
      <c r="U22" s="1121"/>
      <c r="V22" s="1121"/>
      <c r="W22" s="1121"/>
    </row>
    <row r="23" spans="1:40" ht="26.1" customHeight="1" x14ac:dyDescent="0.25">
      <c r="A23" s="18"/>
      <c r="B23" s="18"/>
      <c r="C23" s="18"/>
      <c r="D23" s="18"/>
      <c r="E23" s="7"/>
      <c r="F23" s="2"/>
      <c r="G23" s="2"/>
      <c r="H23" s="119">
        <v>1</v>
      </c>
      <c r="I23" s="1039"/>
      <c r="J23" s="1039"/>
      <c r="K23" s="1039"/>
      <c r="L23" s="1040"/>
      <c r="M23" s="1040"/>
      <c r="N23" s="1039"/>
      <c r="O23" s="1039"/>
      <c r="P23" s="1039"/>
      <c r="Q23" s="1039"/>
      <c r="R23" s="1039"/>
      <c r="S23" s="1039"/>
      <c r="T23" s="120"/>
      <c r="U23" s="121"/>
      <c r="V23" s="121"/>
      <c r="W23" s="122"/>
    </row>
    <row r="24" spans="1:40" ht="26.1" customHeight="1" x14ac:dyDescent="0.25">
      <c r="A24" s="18"/>
      <c r="B24" s="18"/>
      <c r="C24" s="18"/>
      <c r="D24" s="18"/>
      <c r="E24" s="7"/>
      <c r="F24" s="2"/>
      <c r="G24" s="2"/>
      <c r="H24" s="123">
        <v>2</v>
      </c>
      <c r="I24" s="1039"/>
      <c r="J24" s="1039"/>
      <c r="K24" s="1039"/>
      <c r="L24" s="1040"/>
      <c r="M24" s="1040"/>
      <c r="N24" s="1039"/>
      <c r="O24" s="1039"/>
      <c r="P24" s="1039"/>
      <c r="Q24" s="1039"/>
      <c r="R24" s="1039"/>
      <c r="S24" s="1039"/>
      <c r="T24" s="120"/>
      <c r="U24" s="121"/>
      <c r="V24" s="121"/>
      <c r="W24" s="122"/>
    </row>
    <row r="25" spans="1:40" ht="26.1" customHeight="1" x14ac:dyDescent="0.25">
      <c r="A25" s="18"/>
      <c r="B25" s="18"/>
      <c r="C25" s="18"/>
      <c r="D25" s="18"/>
      <c r="E25" s="7"/>
      <c r="F25" s="2"/>
      <c r="G25" s="2"/>
      <c r="H25" s="123">
        <v>3</v>
      </c>
      <c r="I25" s="1039"/>
      <c r="J25" s="1039"/>
      <c r="K25" s="1039"/>
      <c r="L25" s="1040"/>
      <c r="M25" s="1040"/>
      <c r="N25" s="1039"/>
      <c r="O25" s="1039"/>
      <c r="P25" s="1039"/>
      <c r="Q25" s="1039"/>
      <c r="R25" s="1039"/>
      <c r="S25" s="1039"/>
      <c r="T25" s="120"/>
      <c r="U25" s="121"/>
      <c r="V25" s="121"/>
      <c r="W25" s="122"/>
    </row>
    <row r="26" spans="1:40" ht="26.1" customHeight="1" x14ac:dyDescent="0.25">
      <c r="A26" s="18"/>
      <c r="B26" s="18"/>
      <c r="C26" s="18"/>
      <c r="D26" s="18"/>
      <c r="E26" s="7"/>
      <c r="F26" s="2"/>
      <c r="G26" s="2"/>
      <c r="H26" s="123">
        <v>4</v>
      </c>
      <c r="I26" s="1039"/>
      <c r="J26" s="1039"/>
      <c r="K26" s="1039"/>
      <c r="L26" s="1040"/>
      <c r="M26" s="1040"/>
      <c r="N26" s="1039"/>
      <c r="O26" s="1039"/>
      <c r="P26" s="1039"/>
      <c r="Q26" s="1039"/>
      <c r="R26" s="1039"/>
      <c r="S26" s="1039"/>
      <c r="T26" s="120"/>
      <c r="U26" s="121"/>
      <c r="V26" s="121"/>
      <c r="W26" s="122"/>
    </row>
    <row r="27" spans="1:40" ht="26.1" customHeight="1" x14ac:dyDescent="0.25">
      <c r="A27" s="18"/>
      <c r="B27" s="18"/>
      <c r="C27" s="18"/>
      <c r="D27" s="18"/>
      <c r="E27" s="7"/>
      <c r="F27" s="2"/>
      <c r="G27" s="2"/>
      <c r="H27" s="123">
        <v>5</v>
      </c>
      <c r="I27" s="1039"/>
      <c r="J27" s="1039"/>
      <c r="K27" s="1039"/>
      <c r="L27" s="1040"/>
      <c r="M27" s="1040"/>
      <c r="N27" s="1039"/>
      <c r="O27" s="1039"/>
      <c r="P27" s="1039"/>
      <c r="Q27" s="1039"/>
      <c r="R27" s="1039"/>
      <c r="S27" s="1039"/>
      <c r="T27" s="120"/>
      <c r="U27" s="121"/>
      <c r="V27" s="121"/>
      <c r="W27" s="122"/>
    </row>
    <row r="28" spans="1:40" ht="26.1" customHeight="1" x14ac:dyDescent="0.25">
      <c r="A28" s="18"/>
      <c r="B28" s="18"/>
      <c r="C28" s="18"/>
      <c r="D28" s="18"/>
      <c r="E28" s="7"/>
      <c r="F28" s="2"/>
      <c r="G28" s="2"/>
      <c r="H28" s="123">
        <v>6</v>
      </c>
      <c r="I28" s="1039"/>
      <c r="J28" s="1039"/>
      <c r="K28" s="1039"/>
      <c r="L28" s="1040"/>
      <c r="M28" s="1040"/>
      <c r="N28" s="1039"/>
      <c r="O28" s="1039"/>
      <c r="P28" s="1039"/>
      <c r="Q28" s="1039"/>
      <c r="R28" s="1039"/>
      <c r="S28" s="1039"/>
      <c r="T28" s="120"/>
      <c r="U28" s="121"/>
      <c r="V28" s="121"/>
      <c r="W28" s="122"/>
    </row>
    <row r="29" spans="1:40" ht="26.1" customHeight="1" x14ac:dyDescent="0.25">
      <c r="A29" s="18"/>
      <c r="B29" s="18"/>
      <c r="C29" s="18"/>
      <c r="D29" s="18"/>
      <c r="E29" s="7"/>
      <c r="F29" s="2"/>
      <c r="G29" s="2"/>
      <c r="H29" s="123">
        <v>7</v>
      </c>
      <c r="I29" s="1039"/>
      <c r="J29" s="1039"/>
      <c r="K29" s="1039"/>
      <c r="L29" s="1040"/>
      <c r="M29" s="1040"/>
      <c r="N29" s="1039"/>
      <c r="O29" s="1039"/>
      <c r="P29" s="1039"/>
      <c r="Q29" s="1039"/>
      <c r="R29" s="1039"/>
      <c r="S29" s="1039"/>
      <c r="T29" s="120"/>
      <c r="U29" s="121"/>
      <c r="V29" s="121"/>
      <c r="W29" s="122"/>
    </row>
    <row r="30" spans="1:40" ht="26.1" customHeight="1" x14ac:dyDescent="0.25">
      <c r="A30" s="18"/>
      <c r="B30" s="18"/>
      <c r="C30" s="18"/>
      <c r="D30" s="18"/>
      <c r="E30" s="7"/>
      <c r="F30" s="2"/>
      <c r="G30" s="2"/>
      <c r="H30" s="123">
        <v>8</v>
      </c>
      <c r="I30" s="1039"/>
      <c r="J30" s="1039"/>
      <c r="K30" s="1039"/>
      <c r="L30" s="1040"/>
      <c r="M30" s="1040"/>
      <c r="N30" s="1039"/>
      <c r="O30" s="1039"/>
      <c r="P30" s="1039"/>
      <c r="Q30" s="1039"/>
      <c r="R30" s="1039"/>
      <c r="S30" s="1039"/>
      <c r="T30" s="120"/>
      <c r="U30" s="121"/>
      <c r="V30" s="121"/>
      <c r="W30" s="122"/>
    </row>
    <row r="31" spans="1:40" ht="26.1" customHeight="1" x14ac:dyDescent="0.25">
      <c r="A31" s="18"/>
      <c r="B31" s="18"/>
      <c r="C31" s="18"/>
      <c r="D31" s="18"/>
      <c r="E31" s="7"/>
      <c r="F31" s="2"/>
      <c r="G31" s="2"/>
      <c r="H31" s="123">
        <v>9</v>
      </c>
      <c r="I31" s="1039"/>
      <c r="J31" s="1039"/>
      <c r="K31" s="1039"/>
      <c r="L31" s="1040"/>
      <c r="M31" s="1040"/>
      <c r="N31" s="1039"/>
      <c r="O31" s="1039"/>
      <c r="P31" s="1039"/>
      <c r="Q31" s="1039"/>
      <c r="R31" s="1039"/>
      <c r="S31" s="1039"/>
      <c r="T31" s="120"/>
      <c r="U31" s="121"/>
      <c r="V31" s="121"/>
      <c r="W31" s="122"/>
    </row>
    <row r="32" spans="1:40" ht="26.1" customHeight="1" x14ac:dyDescent="0.25">
      <c r="A32" s="18"/>
      <c r="B32" s="18"/>
      <c r="C32" s="18"/>
      <c r="D32" s="18"/>
      <c r="E32" s="7"/>
      <c r="F32" s="2"/>
      <c r="G32" s="2"/>
      <c r="H32" s="123">
        <v>10</v>
      </c>
      <c r="I32" s="1039"/>
      <c r="J32" s="1039"/>
      <c r="K32" s="1039"/>
      <c r="L32" s="1040"/>
      <c r="M32" s="1040"/>
      <c r="N32" s="1039"/>
      <c r="O32" s="1039"/>
      <c r="P32" s="1039"/>
      <c r="Q32" s="1039"/>
      <c r="R32" s="1039"/>
      <c r="S32" s="1039"/>
      <c r="T32" s="120"/>
      <c r="U32" s="121"/>
      <c r="V32" s="121"/>
      <c r="W32" s="122"/>
    </row>
    <row r="33" spans="1:40" ht="26.1" customHeight="1" x14ac:dyDescent="0.25">
      <c r="A33" s="18"/>
      <c r="B33" s="18"/>
      <c r="C33" s="18"/>
      <c r="D33" s="18"/>
      <c r="E33" s="7"/>
      <c r="F33" s="2"/>
      <c r="G33" s="2"/>
      <c r="H33" s="123">
        <v>11</v>
      </c>
      <c r="I33" s="1039"/>
      <c r="J33" s="1039"/>
      <c r="K33" s="1039"/>
      <c r="L33" s="1040"/>
      <c r="M33" s="1040"/>
      <c r="N33" s="1039"/>
      <c r="O33" s="1039"/>
      <c r="P33" s="1039"/>
      <c r="Q33" s="1039"/>
      <c r="R33" s="1039"/>
      <c r="S33" s="1039"/>
      <c r="T33" s="120"/>
      <c r="U33" s="121"/>
      <c r="V33" s="121"/>
      <c r="W33" s="122"/>
    </row>
    <row r="34" spans="1:40" ht="26.1" customHeight="1" x14ac:dyDescent="0.25">
      <c r="A34" s="18"/>
      <c r="B34" s="18"/>
      <c r="C34" s="18"/>
      <c r="D34" s="18"/>
      <c r="E34" s="7"/>
      <c r="F34" s="2"/>
      <c r="G34" s="2"/>
      <c r="H34" s="123">
        <v>12</v>
      </c>
      <c r="I34" s="1039"/>
      <c r="J34" s="1039"/>
      <c r="K34" s="1039"/>
      <c r="L34" s="1040"/>
      <c r="M34" s="1040"/>
      <c r="N34" s="1039"/>
      <c r="O34" s="1039"/>
      <c r="P34" s="1039"/>
      <c r="Q34" s="1039"/>
      <c r="R34" s="1039"/>
      <c r="S34" s="1039"/>
      <c r="T34" s="120"/>
      <c r="U34" s="121"/>
      <c r="V34" s="121"/>
      <c r="W34" s="122"/>
    </row>
    <row r="35" spans="1:40" ht="26.1" customHeight="1" x14ac:dyDescent="0.25">
      <c r="A35" s="18"/>
      <c r="B35" s="18"/>
      <c r="C35" s="18"/>
      <c r="D35" s="18"/>
      <c r="E35" s="7"/>
      <c r="F35" s="2"/>
      <c r="G35" s="2"/>
      <c r="H35" s="123">
        <v>13</v>
      </c>
      <c r="I35" s="1039"/>
      <c r="J35" s="1039"/>
      <c r="K35" s="1039"/>
      <c r="L35" s="1040"/>
      <c r="M35" s="1040"/>
      <c r="N35" s="1039"/>
      <c r="O35" s="1039"/>
      <c r="P35" s="1039"/>
      <c r="Q35" s="1039"/>
      <c r="R35" s="1039"/>
      <c r="S35" s="1039"/>
      <c r="T35" s="120"/>
      <c r="U35" s="121"/>
      <c r="V35" s="121"/>
      <c r="W35" s="122"/>
    </row>
    <row r="36" spans="1:40" ht="26.1" customHeight="1" x14ac:dyDescent="0.25">
      <c r="A36" s="18"/>
      <c r="B36" s="18"/>
      <c r="C36" s="18"/>
      <c r="D36" s="18"/>
      <c r="E36" s="7"/>
      <c r="F36" s="2"/>
      <c r="G36" s="2"/>
      <c r="H36" s="123">
        <v>14</v>
      </c>
      <c r="I36" s="1039"/>
      <c r="J36" s="1039"/>
      <c r="K36" s="1039"/>
      <c r="L36" s="1040"/>
      <c r="M36" s="1040"/>
      <c r="N36" s="1039"/>
      <c r="O36" s="1039"/>
      <c r="P36" s="1039"/>
      <c r="Q36" s="1039"/>
      <c r="R36" s="1039"/>
      <c r="S36" s="1039"/>
      <c r="T36" s="120"/>
      <c r="U36" s="121"/>
      <c r="V36" s="121"/>
      <c r="W36" s="122"/>
    </row>
    <row r="37" spans="1:40" ht="26.1" customHeight="1" x14ac:dyDescent="0.25">
      <c r="A37" s="18"/>
      <c r="B37" s="18"/>
      <c r="C37" s="18"/>
      <c r="D37" s="18"/>
      <c r="E37" s="7"/>
      <c r="F37" s="2"/>
      <c r="G37" s="2"/>
      <c r="H37" s="123">
        <v>15</v>
      </c>
      <c r="I37" s="1039"/>
      <c r="J37" s="1039"/>
      <c r="K37" s="1039"/>
      <c r="L37" s="1040"/>
      <c r="M37" s="1040"/>
      <c r="N37" s="1039"/>
      <c r="O37" s="1039"/>
      <c r="P37" s="1039"/>
      <c r="Q37" s="1039"/>
      <c r="R37" s="1039"/>
      <c r="S37" s="1039"/>
      <c r="T37" s="120"/>
      <c r="U37" s="121"/>
      <c r="V37" s="121"/>
      <c r="W37" s="122"/>
    </row>
    <row r="38" spans="1:40" ht="20.100000000000001" customHeight="1" x14ac:dyDescent="0.25">
      <c r="A38" s="18"/>
      <c r="B38" s="18"/>
      <c r="C38" s="18"/>
      <c r="D38" s="18"/>
      <c r="E38" s="7"/>
      <c r="F38" s="2"/>
      <c r="G38" s="2"/>
      <c r="H38" s="2"/>
      <c r="I38" s="2"/>
      <c r="J38" s="2"/>
      <c r="K38" s="2"/>
      <c r="L38" s="2"/>
      <c r="M38" s="2"/>
      <c r="N38" s="2"/>
      <c r="O38" s="2"/>
      <c r="P38" s="2"/>
      <c r="Q38" s="153"/>
      <c r="R38" s="153"/>
      <c r="S38" s="153"/>
      <c r="T38" s="153"/>
      <c r="U38" s="2"/>
      <c r="V38" s="2"/>
      <c r="W38" s="2"/>
      <c r="X38" s="1126"/>
      <c r="Y38" s="1126"/>
      <c r="Z38" s="1126"/>
      <c r="AA38" s="124"/>
      <c r="AB38" s="1126"/>
      <c r="AC38" s="1126"/>
      <c r="AD38" s="2"/>
      <c r="AE38" s="2"/>
      <c r="AF38" s="2"/>
      <c r="AG38" s="2"/>
      <c r="AH38" s="2"/>
      <c r="AI38" s="2"/>
      <c r="AJ38" s="2"/>
      <c r="AK38" s="2"/>
      <c r="AL38" s="2"/>
      <c r="AM38" s="2"/>
      <c r="AN38" s="2"/>
    </row>
    <row r="39" spans="1:40" ht="30" hidden="1" customHeight="1" x14ac:dyDescent="0.25">
      <c r="A39" s="18"/>
      <c r="B39" s="18"/>
      <c r="C39" s="18"/>
      <c r="D39" s="18"/>
      <c r="E39" s="7"/>
      <c r="AD39" s="2"/>
      <c r="AE39" s="2"/>
      <c r="AF39" s="2"/>
      <c r="AG39" s="2"/>
      <c r="AH39" s="2"/>
      <c r="AI39" s="2"/>
      <c r="AJ39" s="2"/>
      <c r="AK39" s="2"/>
      <c r="AL39" s="2"/>
      <c r="AM39" s="2"/>
      <c r="AN39" s="2"/>
    </row>
    <row r="40" spans="1:40" ht="20.100000000000001" hidden="1" customHeight="1" x14ac:dyDescent="0.25">
      <c r="A40" s="18"/>
      <c r="B40" s="18"/>
      <c r="C40" s="18"/>
      <c r="D40" s="18"/>
      <c r="E40" s="7"/>
      <c r="AD40" s="2"/>
      <c r="AE40" s="2"/>
      <c r="AF40" s="2"/>
      <c r="AG40" s="2"/>
      <c r="AH40" s="2"/>
      <c r="AI40" s="2"/>
      <c r="AJ40" s="2"/>
      <c r="AK40" s="2"/>
      <c r="AL40" s="2"/>
      <c r="AM40" s="2"/>
      <c r="AN40" s="2"/>
    </row>
    <row r="41" spans="1:40" ht="30" hidden="1" customHeight="1" x14ac:dyDescent="0.25">
      <c r="A41" s="18"/>
      <c r="B41" s="18"/>
      <c r="C41" s="18"/>
      <c r="D41" s="18"/>
      <c r="E41" s="7"/>
      <c r="AD41" s="2"/>
      <c r="AE41" s="2"/>
      <c r="AF41" s="2"/>
      <c r="AG41" s="2"/>
      <c r="AH41" s="2"/>
      <c r="AI41" s="2"/>
      <c r="AJ41" s="2"/>
      <c r="AK41" s="2"/>
      <c r="AL41" s="2"/>
      <c r="AM41" s="2"/>
      <c r="AN41" s="2"/>
    </row>
    <row r="42" spans="1:40" ht="30" customHeight="1" x14ac:dyDescent="0.25">
      <c r="A42" s="18"/>
      <c r="B42" s="18"/>
      <c r="C42" s="18"/>
      <c r="D42" s="18"/>
      <c r="E42" s="7"/>
      <c r="F42" s="1008" t="s">
        <v>295</v>
      </c>
      <c r="G42" s="1009"/>
      <c r="H42" s="1009"/>
      <c r="I42" s="1009"/>
      <c r="J42" s="1009"/>
      <c r="K42" s="1009"/>
      <c r="L42" s="1041"/>
      <c r="M42" s="148" t="s">
        <v>186</v>
      </c>
      <c r="N42" s="1123"/>
      <c r="O42" s="1124"/>
      <c r="P42" s="1124"/>
      <c r="Q42" s="1124"/>
      <c r="R42" s="1124"/>
      <c r="S42" s="1124"/>
      <c r="T42" s="1124"/>
      <c r="U42" s="1124"/>
      <c r="V42" s="1124"/>
      <c r="W42" s="1124"/>
      <c r="X42" s="1124"/>
      <c r="Y42" s="1124"/>
      <c r="Z42" s="1124"/>
      <c r="AA42" s="1124"/>
      <c r="AB42" s="1124"/>
      <c r="AC42" s="1125"/>
      <c r="AD42" s="2"/>
      <c r="AE42" s="2"/>
      <c r="AF42" s="2"/>
      <c r="AG42" s="2"/>
      <c r="AH42" s="2"/>
      <c r="AI42" s="2"/>
      <c r="AJ42" s="2"/>
      <c r="AK42" s="2"/>
      <c r="AL42" s="2"/>
      <c r="AM42" s="2"/>
      <c r="AN42" s="116"/>
    </row>
    <row r="43" spans="1:40" ht="30" customHeight="1" x14ac:dyDescent="0.25">
      <c r="A43" s="18"/>
      <c r="B43" s="18"/>
      <c r="C43" s="18"/>
      <c r="D43" s="18"/>
      <c r="E43" s="7"/>
      <c r="F43" s="1008" t="s">
        <v>127</v>
      </c>
      <c r="G43" s="1009"/>
      <c r="H43" s="1009"/>
      <c r="I43" s="1009"/>
      <c r="J43" s="1009"/>
      <c r="K43" s="1009"/>
      <c r="L43" s="1009"/>
      <c r="M43" s="148" t="s">
        <v>186</v>
      </c>
      <c r="N43" s="1123"/>
      <c r="O43" s="1124"/>
      <c r="P43" s="1124"/>
      <c r="Q43" s="1124"/>
      <c r="R43" s="1124"/>
      <c r="S43" s="1124"/>
      <c r="T43" s="1124"/>
      <c r="U43" s="1124"/>
      <c r="V43" s="1124"/>
      <c r="W43" s="1124"/>
      <c r="X43" s="1124"/>
      <c r="Y43" s="1124"/>
      <c r="Z43" s="1124"/>
      <c r="AA43" s="1124"/>
      <c r="AB43" s="1124"/>
      <c r="AC43" s="1125"/>
      <c r="AD43" s="2"/>
      <c r="AE43" s="2"/>
      <c r="AF43" s="2"/>
      <c r="AG43" s="2"/>
      <c r="AH43" s="2"/>
      <c r="AI43" s="2"/>
      <c r="AJ43" s="2"/>
      <c r="AK43" s="2"/>
      <c r="AL43" s="2"/>
      <c r="AM43" s="2"/>
      <c r="AN43" s="124"/>
    </row>
    <row r="44" spans="1:40" ht="20.100000000000001" customHeight="1" x14ac:dyDescent="0.25">
      <c r="A44" s="18"/>
      <c r="B44" s="18"/>
      <c r="C44" s="18"/>
      <c r="D44" s="18"/>
      <c r="E44" s="7"/>
      <c r="F44" s="2"/>
      <c r="G44" s="2"/>
      <c r="H44" s="2"/>
      <c r="I44" s="2"/>
      <c r="J44" s="2"/>
      <c r="K44" s="2"/>
      <c r="L44" s="2"/>
      <c r="M44" s="2"/>
      <c r="N44" s="125"/>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20.100000000000001" customHeight="1" x14ac:dyDescent="0.25">
      <c r="A45" s="18"/>
      <c r="B45" s="18"/>
      <c r="C45" s="18"/>
      <c r="D45" s="18"/>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row>
    <row r="46" spans="1:40" ht="20.100000000000001" customHeight="1" x14ac:dyDescent="0.25">
      <c r="A46" s="18"/>
      <c r="B46" s="18"/>
      <c r="C46" s="18"/>
      <c r="D46" s="18"/>
      <c r="E46" s="7"/>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99.95" customHeight="1" x14ac:dyDescent="0.25">
      <c r="A47" s="18"/>
      <c r="B47" s="18"/>
      <c r="C47" s="18"/>
      <c r="D47" s="18"/>
      <c r="E47" s="7"/>
      <c r="F47" s="1049" t="s">
        <v>7998</v>
      </c>
      <c r="G47" s="1050"/>
      <c r="H47" s="1050"/>
      <c r="I47" s="1050"/>
      <c r="J47" s="1050"/>
      <c r="K47" s="1050"/>
      <c r="L47" s="1050"/>
      <c r="M47" s="1051"/>
      <c r="N47" s="1032"/>
      <c r="O47" s="1033"/>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4"/>
      <c r="AN47" s="131" t="s">
        <v>8014</v>
      </c>
    </row>
    <row r="48" spans="1:40" ht="50.1" customHeight="1" x14ac:dyDescent="0.25">
      <c r="A48" s="18"/>
      <c r="B48" s="18"/>
      <c r="C48" s="18"/>
      <c r="D48" s="18"/>
      <c r="E48" s="7"/>
      <c r="F48" s="1008" t="s">
        <v>143</v>
      </c>
      <c r="G48" s="1009"/>
      <c r="H48" s="1009"/>
      <c r="I48" s="1009"/>
      <c r="J48" s="1009"/>
      <c r="K48" s="1009"/>
      <c r="L48" s="1009"/>
      <c r="M48" s="1010"/>
      <c r="N48" s="1032"/>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4"/>
      <c r="AN48" s="131" t="s">
        <v>8014</v>
      </c>
    </row>
    <row r="49" spans="1:40" ht="20.100000000000001" customHeight="1" x14ac:dyDescent="0.25">
      <c r="A49" s="18"/>
      <c r="B49" s="18"/>
      <c r="C49" s="18"/>
      <c r="D49" s="18"/>
      <c r="E49" s="7"/>
      <c r="F49" s="97"/>
      <c r="G49" s="97"/>
      <c r="H49" s="97"/>
      <c r="I49" s="97"/>
      <c r="J49" s="97"/>
      <c r="K49" s="97"/>
      <c r="L49" s="97"/>
      <c r="M49" s="126"/>
      <c r="N49" s="127"/>
      <c r="O49" s="127"/>
      <c r="P49" s="127"/>
      <c r="Q49" s="127"/>
      <c r="R49" s="127"/>
      <c r="S49" s="128"/>
      <c r="T49" s="128"/>
      <c r="U49" s="128"/>
      <c r="V49" s="128"/>
      <c r="W49" s="128"/>
      <c r="X49" s="128"/>
      <c r="Y49" s="128"/>
      <c r="Z49" s="128"/>
      <c r="AA49" s="128"/>
      <c r="AB49" s="128"/>
      <c r="AC49" s="128"/>
      <c r="AD49" s="128"/>
      <c r="AE49" s="128"/>
      <c r="AF49" s="128"/>
      <c r="AG49" s="128"/>
      <c r="AH49" s="128"/>
      <c r="AI49" s="129"/>
      <c r="AJ49" s="129"/>
      <c r="AK49" s="129"/>
      <c r="AL49" s="129"/>
      <c r="AM49" s="129"/>
      <c r="AN49" s="130"/>
    </row>
    <row r="50" spans="1:40" s="7" customFormat="1" ht="20.100000000000001" customHeight="1" x14ac:dyDescent="0.25">
      <c r="A50" s="18"/>
      <c r="B50" s="18"/>
      <c r="C50" s="18"/>
      <c r="D50" s="18"/>
      <c r="F50" s="142"/>
      <c r="G50" s="142"/>
      <c r="H50" s="142"/>
      <c r="I50" s="142"/>
      <c r="J50" s="142"/>
      <c r="K50" s="142"/>
      <c r="L50" s="142"/>
      <c r="M50" s="154"/>
      <c r="N50" s="155"/>
      <c r="O50" s="155"/>
      <c r="P50" s="155"/>
      <c r="Q50" s="155"/>
      <c r="R50" s="155"/>
      <c r="S50" s="132"/>
      <c r="T50" s="132"/>
      <c r="U50" s="132"/>
      <c r="V50" s="132"/>
      <c r="W50" s="132"/>
      <c r="X50" s="132"/>
      <c r="Y50" s="132"/>
      <c r="Z50" s="132"/>
      <c r="AA50" s="132"/>
      <c r="AB50" s="132"/>
      <c r="AC50" s="132"/>
      <c r="AD50" s="132"/>
      <c r="AE50" s="132"/>
      <c r="AF50" s="132"/>
      <c r="AG50" s="132"/>
      <c r="AH50" s="132"/>
      <c r="AI50" s="133"/>
      <c r="AJ50" s="133"/>
      <c r="AK50" s="133"/>
      <c r="AL50" s="133"/>
      <c r="AM50" s="133"/>
      <c r="AN50" s="134"/>
    </row>
    <row r="51" spans="1:40" s="2" customFormat="1" ht="20.100000000000001" customHeight="1" x14ac:dyDescent="0.25">
      <c r="A51" s="18"/>
      <c r="B51" s="18"/>
      <c r="C51" s="18"/>
      <c r="D51" s="18"/>
      <c r="E51" s="7"/>
      <c r="F51" s="97"/>
      <c r="G51" s="97"/>
      <c r="H51" s="97"/>
      <c r="I51" s="97"/>
      <c r="J51" s="97"/>
      <c r="K51" s="97"/>
      <c r="L51" s="97"/>
      <c r="M51" s="126"/>
      <c r="N51" s="127"/>
      <c r="O51" s="127"/>
      <c r="P51" s="127"/>
      <c r="Q51" s="127"/>
      <c r="R51" s="127"/>
      <c r="S51" s="128"/>
      <c r="T51" s="128"/>
      <c r="U51" s="128"/>
      <c r="V51" s="128"/>
      <c r="W51" s="128"/>
      <c r="X51" s="128"/>
      <c r="Y51" s="128"/>
      <c r="Z51" s="128"/>
      <c r="AA51" s="128"/>
      <c r="AB51" s="128"/>
      <c r="AC51" s="128"/>
      <c r="AD51" s="128"/>
      <c r="AE51" s="128"/>
      <c r="AF51" s="128"/>
      <c r="AG51" s="128"/>
      <c r="AH51" s="128"/>
      <c r="AI51" s="129"/>
      <c r="AJ51" s="129"/>
      <c r="AK51" s="129"/>
      <c r="AL51" s="129"/>
      <c r="AM51" s="129"/>
      <c r="AN51" s="130"/>
    </row>
    <row r="52" spans="1:40" ht="20.100000000000001" customHeight="1" x14ac:dyDescent="0.25">
      <c r="A52" s="18"/>
      <c r="B52" s="18"/>
      <c r="C52" s="18"/>
      <c r="D52" s="18"/>
      <c r="E52" s="7"/>
      <c r="F52" s="1067" t="s">
        <v>296</v>
      </c>
      <c r="G52" s="1068"/>
      <c r="H52" s="1068"/>
      <c r="I52" s="1068"/>
      <c r="J52" s="1068"/>
      <c r="K52" s="1068"/>
      <c r="L52" s="1069"/>
      <c r="M52" s="1076" t="s">
        <v>186</v>
      </c>
      <c r="N52" s="135"/>
      <c r="O52" s="136"/>
      <c r="P52" s="136"/>
      <c r="Q52" s="136"/>
      <c r="R52" s="137"/>
      <c r="S52" s="1079" t="s">
        <v>293</v>
      </c>
      <c r="T52" s="1064"/>
      <c r="U52" s="1064"/>
      <c r="V52" s="1064"/>
      <c r="W52" s="1064"/>
      <c r="X52" s="1064"/>
      <c r="Y52" s="1064"/>
      <c r="Z52" s="1064" t="s">
        <v>301</v>
      </c>
      <c r="AA52" s="1064"/>
      <c r="AB52" s="1064"/>
      <c r="AC52" s="1064"/>
      <c r="AD52" s="1064"/>
      <c r="AE52" s="1064"/>
      <c r="AF52" s="1064"/>
      <c r="AG52" s="1064"/>
      <c r="AH52" s="1064"/>
      <c r="AI52" s="1064" t="s">
        <v>302</v>
      </c>
      <c r="AJ52" s="1064"/>
      <c r="AK52" s="1064"/>
      <c r="AL52" s="1064"/>
      <c r="AM52" s="1065"/>
      <c r="AN52" s="27"/>
    </row>
    <row r="53" spans="1:40" ht="20.100000000000001" customHeight="1" x14ac:dyDescent="0.25">
      <c r="A53" s="18"/>
      <c r="B53" s="18"/>
      <c r="C53" s="18"/>
      <c r="D53" s="18"/>
      <c r="E53" s="7"/>
      <c r="F53" s="1070"/>
      <c r="G53" s="1071"/>
      <c r="H53" s="1071"/>
      <c r="I53" s="1071"/>
      <c r="J53" s="1071"/>
      <c r="K53" s="1071"/>
      <c r="L53" s="1072"/>
      <c r="M53" s="1077"/>
      <c r="N53" s="138"/>
      <c r="O53" s="1045" t="s">
        <v>219</v>
      </c>
      <c r="P53" s="1045"/>
      <c r="Q53" s="1045"/>
      <c r="R53" s="1046"/>
      <c r="S53" s="1042"/>
      <c r="T53" s="1043"/>
      <c r="U53" s="1043"/>
      <c r="V53" s="1043"/>
      <c r="W53" s="1043"/>
      <c r="X53" s="1043"/>
      <c r="Y53" s="1043"/>
      <c r="Z53" s="1044"/>
      <c r="AA53" s="1044"/>
      <c r="AB53" s="1044"/>
      <c r="AC53" s="1044"/>
      <c r="AD53" s="1044"/>
      <c r="AE53" s="1044"/>
      <c r="AF53" s="1044"/>
      <c r="AG53" s="1044"/>
      <c r="AH53" s="1044"/>
      <c r="AI53" s="1066"/>
      <c r="AJ53" s="1066"/>
      <c r="AK53" s="1066"/>
      <c r="AL53" s="1066"/>
      <c r="AM53" s="1066"/>
      <c r="AN53" s="130"/>
    </row>
    <row r="54" spans="1:40" ht="20.100000000000001" customHeight="1" x14ac:dyDescent="0.25">
      <c r="A54" s="18"/>
      <c r="B54" s="18"/>
      <c r="C54" s="18"/>
      <c r="D54" s="18"/>
      <c r="E54" s="7"/>
      <c r="F54" s="1070"/>
      <c r="G54" s="1071"/>
      <c r="H54" s="1071"/>
      <c r="I54" s="1071"/>
      <c r="J54" s="1071"/>
      <c r="K54" s="1071"/>
      <c r="L54" s="1072"/>
      <c r="M54" s="1077"/>
      <c r="N54" s="1"/>
      <c r="O54" s="138"/>
      <c r="P54" s="138"/>
      <c r="Q54" s="138"/>
      <c r="R54" s="139"/>
      <c r="S54" s="1042"/>
      <c r="T54" s="1043"/>
      <c r="U54" s="1043"/>
      <c r="V54" s="1043"/>
      <c r="W54" s="1043"/>
      <c r="X54" s="1043"/>
      <c r="Y54" s="1043"/>
      <c r="Z54" s="1044"/>
      <c r="AA54" s="1044"/>
      <c r="AB54" s="1044"/>
      <c r="AC54" s="1044"/>
      <c r="AD54" s="1044"/>
      <c r="AE54" s="1044"/>
      <c r="AF54" s="1044"/>
      <c r="AG54" s="1044"/>
      <c r="AH54" s="1044"/>
      <c r="AI54" s="1066"/>
      <c r="AJ54" s="1066"/>
      <c r="AK54" s="1066"/>
      <c r="AL54" s="1066"/>
      <c r="AM54" s="1066"/>
      <c r="AN54" s="130"/>
    </row>
    <row r="55" spans="1:40" ht="20.100000000000001" customHeight="1" x14ac:dyDescent="0.25">
      <c r="A55" s="18"/>
      <c r="B55" s="18"/>
      <c r="C55" s="18"/>
      <c r="D55" s="18"/>
      <c r="E55" s="7"/>
      <c r="F55" s="1070"/>
      <c r="G55" s="1071"/>
      <c r="H55" s="1071"/>
      <c r="I55" s="1071"/>
      <c r="J55" s="1071"/>
      <c r="K55" s="1071"/>
      <c r="L55" s="1072"/>
      <c r="M55" s="1077"/>
      <c r="N55" s="138"/>
      <c r="O55" s="1047" t="s">
        <v>280</v>
      </c>
      <c r="P55" s="1047"/>
      <c r="Q55" s="1047"/>
      <c r="R55" s="1048"/>
      <c r="S55" s="1042"/>
      <c r="T55" s="1043"/>
      <c r="U55" s="1043"/>
      <c r="V55" s="1043"/>
      <c r="W55" s="1043"/>
      <c r="X55" s="1043"/>
      <c r="Y55" s="1043"/>
      <c r="Z55" s="1044"/>
      <c r="AA55" s="1044"/>
      <c r="AB55" s="1044"/>
      <c r="AC55" s="1044"/>
      <c r="AD55" s="1044"/>
      <c r="AE55" s="1044"/>
      <c r="AF55" s="1044"/>
      <c r="AG55" s="1044"/>
      <c r="AH55" s="1044"/>
      <c r="AI55" s="1066"/>
      <c r="AJ55" s="1066"/>
      <c r="AK55" s="1066"/>
      <c r="AL55" s="1066"/>
      <c r="AM55" s="1066"/>
      <c r="AN55" s="156"/>
    </row>
    <row r="56" spans="1:40" ht="20.100000000000001" customHeight="1" x14ac:dyDescent="0.25">
      <c r="A56" s="18"/>
      <c r="B56" s="18"/>
      <c r="C56" s="18"/>
      <c r="D56" s="18"/>
      <c r="E56" s="7"/>
      <c r="F56" s="1073"/>
      <c r="G56" s="1074"/>
      <c r="H56" s="1074"/>
      <c r="I56" s="1074"/>
      <c r="J56" s="1074"/>
      <c r="K56" s="1074"/>
      <c r="L56" s="1075"/>
      <c r="M56" s="1078"/>
      <c r="N56" s="140"/>
      <c r="O56" s="140"/>
      <c r="P56" s="140"/>
      <c r="Q56" s="140"/>
      <c r="R56" s="141"/>
      <c r="S56" s="1042"/>
      <c r="T56" s="1043"/>
      <c r="U56" s="1043"/>
      <c r="V56" s="1043"/>
      <c r="W56" s="1043"/>
      <c r="X56" s="1043"/>
      <c r="Y56" s="1043"/>
      <c r="Z56" s="1044"/>
      <c r="AA56" s="1044"/>
      <c r="AB56" s="1044"/>
      <c r="AC56" s="1044"/>
      <c r="AD56" s="1044"/>
      <c r="AE56" s="1044"/>
      <c r="AF56" s="1044"/>
      <c r="AG56" s="1044"/>
      <c r="AH56" s="1044"/>
      <c r="AI56" s="1066"/>
      <c r="AJ56" s="1066"/>
      <c r="AK56" s="1066"/>
      <c r="AL56" s="1066"/>
      <c r="AM56" s="1066"/>
      <c r="AN56" s="130"/>
    </row>
    <row r="57" spans="1:40" ht="20.100000000000001" customHeight="1" x14ac:dyDescent="0.25">
      <c r="A57" s="18"/>
      <c r="B57" s="18"/>
      <c r="C57" s="18"/>
      <c r="D57" s="18"/>
      <c r="E57" s="7"/>
      <c r="F57" s="97"/>
      <c r="G57" s="97"/>
      <c r="H57" s="97"/>
      <c r="I57" s="97"/>
      <c r="J57" s="97"/>
      <c r="K57" s="97"/>
      <c r="L57" s="97"/>
      <c r="M57" s="97"/>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4"/>
    </row>
    <row r="58" spans="1:40" ht="20.100000000000001" customHeight="1" x14ac:dyDescent="0.25">
      <c r="A58" s="18"/>
      <c r="B58" s="18"/>
      <c r="C58" s="18"/>
      <c r="D58" s="18"/>
      <c r="E58" s="7"/>
      <c r="F58" s="142"/>
      <c r="G58" s="142"/>
      <c r="H58" s="142"/>
      <c r="I58" s="142"/>
      <c r="J58" s="142"/>
      <c r="K58" s="142"/>
      <c r="L58" s="142"/>
      <c r="M58" s="142"/>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4"/>
    </row>
    <row r="59" spans="1:40" ht="15" customHeight="1" x14ac:dyDescent="0.25">
      <c r="A59" s="18"/>
      <c r="B59" s="18"/>
      <c r="C59" s="18"/>
      <c r="D59" s="18"/>
      <c r="E59" s="7"/>
      <c r="F59" s="97"/>
      <c r="G59" s="97"/>
      <c r="H59" s="97"/>
      <c r="I59" s="97"/>
      <c r="J59" s="97"/>
      <c r="K59" s="97"/>
      <c r="L59" s="97"/>
      <c r="M59" s="97"/>
      <c r="N59" s="145" t="str">
        <f ca="1">Calculos!$BA$113</f>
        <v/>
      </c>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4"/>
    </row>
    <row r="60" spans="1:40" ht="20.100000000000001" customHeight="1" x14ac:dyDescent="0.25">
      <c r="A60" s="18"/>
      <c r="B60" s="18"/>
      <c r="C60" s="18"/>
      <c r="D60" s="18"/>
      <c r="E60" s="7"/>
      <c r="F60" s="1008" t="s">
        <v>33</v>
      </c>
      <c r="G60" s="1009"/>
      <c r="H60" s="1009"/>
      <c r="I60" s="1009"/>
      <c r="J60" s="1009"/>
      <c r="K60" s="1009"/>
      <c r="L60" s="1041"/>
      <c r="M60" s="148" t="s">
        <v>186</v>
      </c>
      <c r="N60" s="1055" t="s">
        <v>287</v>
      </c>
      <c r="O60" s="1056"/>
      <c r="P60" s="1056"/>
      <c r="Q60" s="1058"/>
      <c r="R60" s="1059"/>
      <c r="S60" s="1059"/>
      <c r="T60" s="1060"/>
      <c r="U60" s="1008" t="s">
        <v>34</v>
      </c>
      <c r="V60" s="1009"/>
      <c r="W60" s="1009"/>
      <c r="X60" s="1009"/>
      <c r="Y60" s="1010"/>
      <c r="Z60" s="1009" t="s">
        <v>278</v>
      </c>
      <c r="AA60" s="1009"/>
      <c r="AB60" s="1010"/>
      <c r="AC60" s="1061"/>
      <c r="AD60" s="1062"/>
      <c r="AE60" s="1063"/>
      <c r="AF60" s="1008" t="s">
        <v>279</v>
      </c>
      <c r="AG60" s="1009"/>
      <c r="AH60" s="1009"/>
      <c r="AI60" s="1061"/>
      <c r="AJ60" s="1062"/>
      <c r="AK60" s="1062"/>
      <c r="AL60" s="1062"/>
      <c r="AM60" s="1063"/>
      <c r="AN60" s="146"/>
    </row>
    <row r="61" spans="1:40" ht="99.95" customHeight="1" x14ac:dyDescent="0.25">
      <c r="A61" s="18"/>
      <c r="B61" s="18"/>
      <c r="C61" s="18"/>
      <c r="D61" s="18"/>
      <c r="E61" s="7"/>
      <c r="F61" s="1008" t="s">
        <v>392</v>
      </c>
      <c r="G61" s="1009"/>
      <c r="H61" s="1009"/>
      <c r="I61" s="1009"/>
      <c r="J61" s="1009"/>
      <c r="K61" s="1009"/>
      <c r="L61" s="1041"/>
      <c r="M61" s="148" t="s">
        <v>186</v>
      </c>
      <c r="N61" s="1032"/>
      <c r="O61" s="1033"/>
      <c r="P61" s="1033"/>
      <c r="Q61" s="1033"/>
      <c r="R61" s="1033"/>
      <c r="S61" s="1033"/>
      <c r="T61" s="1033"/>
      <c r="U61" s="1033"/>
      <c r="V61" s="1033"/>
      <c r="W61" s="1033"/>
      <c r="X61" s="1033"/>
      <c r="Y61" s="1033"/>
      <c r="Z61" s="1033"/>
      <c r="AA61" s="1033"/>
      <c r="AB61" s="1033"/>
      <c r="AC61" s="1033"/>
      <c r="AD61" s="1033"/>
      <c r="AE61" s="1033"/>
      <c r="AF61" s="1033"/>
      <c r="AG61" s="1033"/>
      <c r="AH61" s="1033"/>
      <c r="AI61" s="1033"/>
      <c r="AJ61" s="1033"/>
      <c r="AK61" s="1033"/>
      <c r="AL61" s="1033"/>
      <c r="AM61" s="1034"/>
      <c r="AN61" s="131" t="s">
        <v>8014</v>
      </c>
    </row>
    <row r="62" spans="1:40" x14ac:dyDescent="0.25">
      <c r="A62" s="18"/>
      <c r="B62" s="18"/>
      <c r="C62" s="18"/>
      <c r="D62" s="18"/>
      <c r="E62" s="7"/>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sheetData>
  <sheetProtection algorithmName="SHA-512" hashValue="eXEWSCPAlLaVwPFbtNTNBOvZ5F1CgKyrUYPnP/D949OrDExHPOpfxOpUgFDOb/nPE8gQK/CsdxV18J7JvMuNvA==" saltValue="PIfyCeNc7g+MEdGgIBMHwA==" spinCount="100000" sheet="1" objects="1" scenarios="1" formatColumns="0" formatRows="0"/>
  <dataConsolidate/>
  <mergeCells count="116">
    <mergeCell ref="F11:L11"/>
    <mergeCell ref="N11:AJ11"/>
    <mergeCell ref="AK11:AN11"/>
    <mergeCell ref="F12:L12"/>
    <mergeCell ref="N12:S12"/>
    <mergeCell ref="F13:L13"/>
    <mergeCell ref="N13:AJ13"/>
    <mergeCell ref="AI2:AN7"/>
    <mergeCell ref="F10:L10"/>
    <mergeCell ref="N10:Z10"/>
    <mergeCell ref="AA10:AD10"/>
    <mergeCell ref="AF10:AJ10"/>
    <mergeCell ref="F2:AG6"/>
    <mergeCell ref="F7:J7"/>
    <mergeCell ref="F16:L16"/>
    <mergeCell ref="N16:S16"/>
    <mergeCell ref="F17:L17"/>
    <mergeCell ref="N17:S17"/>
    <mergeCell ref="T17:Z17"/>
    <mergeCell ref="AB17:AJ17"/>
    <mergeCell ref="F14:M14"/>
    <mergeCell ref="N14:AJ14"/>
    <mergeCell ref="F15:M15"/>
    <mergeCell ref="N15:P15"/>
    <mergeCell ref="R15:X15"/>
    <mergeCell ref="Y15:AB15"/>
    <mergeCell ref="AD15:AJ15"/>
    <mergeCell ref="I23:K23"/>
    <mergeCell ref="L23:M23"/>
    <mergeCell ref="N23:S23"/>
    <mergeCell ref="F22:H22"/>
    <mergeCell ref="I22:K22"/>
    <mergeCell ref="L22:M22"/>
    <mergeCell ref="N22:S22"/>
    <mergeCell ref="T22:W22"/>
    <mergeCell ref="I24:K24"/>
    <mergeCell ref="L24:M24"/>
    <mergeCell ref="N24:S24"/>
    <mergeCell ref="I25:K25"/>
    <mergeCell ref="L25:M25"/>
    <mergeCell ref="N25:S25"/>
    <mergeCell ref="I26:K26"/>
    <mergeCell ref="L26:M26"/>
    <mergeCell ref="N26:S26"/>
    <mergeCell ref="I27:K27"/>
    <mergeCell ref="L27:M27"/>
    <mergeCell ref="N27:S27"/>
    <mergeCell ref="I28:K28"/>
    <mergeCell ref="L28:M28"/>
    <mergeCell ref="N28:S28"/>
    <mergeCell ref="I29:K29"/>
    <mergeCell ref="L29:M29"/>
    <mergeCell ref="N29:S29"/>
    <mergeCell ref="I30:K30"/>
    <mergeCell ref="L30:M30"/>
    <mergeCell ref="N30:S30"/>
    <mergeCell ref="I31:K31"/>
    <mergeCell ref="L31:M31"/>
    <mergeCell ref="N31:S31"/>
    <mergeCell ref="I32:K32"/>
    <mergeCell ref="L32:M32"/>
    <mergeCell ref="N32:S32"/>
    <mergeCell ref="I33:K33"/>
    <mergeCell ref="L33:M33"/>
    <mergeCell ref="N33:S33"/>
    <mergeCell ref="I34:K34"/>
    <mergeCell ref="L34:M34"/>
    <mergeCell ref="N34:S34"/>
    <mergeCell ref="I35:K35"/>
    <mergeCell ref="L35:M35"/>
    <mergeCell ref="N35:S35"/>
    <mergeCell ref="X38:Z38"/>
    <mergeCell ref="AB38:AC38"/>
    <mergeCell ref="F42:L42"/>
    <mergeCell ref="I36:K36"/>
    <mergeCell ref="L36:M36"/>
    <mergeCell ref="N36:S36"/>
    <mergeCell ref="I37:K37"/>
    <mergeCell ref="L37:M37"/>
    <mergeCell ref="N37:S37"/>
    <mergeCell ref="N42:AC42"/>
    <mergeCell ref="F43:L43"/>
    <mergeCell ref="F52:L56"/>
    <mergeCell ref="M52:M56"/>
    <mergeCell ref="S52:Y52"/>
    <mergeCell ref="Z52:AH52"/>
    <mergeCell ref="AI52:AM52"/>
    <mergeCell ref="O53:R53"/>
    <mergeCell ref="S53:Y53"/>
    <mergeCell ref="Z53:AH53"/>
    <mergeCell ref="S56:Y56"/>
    <mergeCell ref="Z56:AH56"/>
    <mergeCell ref="AI56:AM56"/>
    <mergeCell ref="N43:AC43"/>
    <mergeCell ref="F48:M48"/>
    <mergeCell ref="N48:AM48"/>
    <mergeCell ref="AI53:AM53"/>
    <mergeCell ref="S54:Y54"/>
    <mergeCell ref="Z54:AH54"/>
    <mergeCell ref="AI54:AM54"/>
    <mergeCell ref="O55:R55"/>
    <mergeCell ref="S55:Y55"/>
    <mergeCell ref="Z55:AH55"/>
    <mergeCell ref="AI55:AM55"/>
    <mergeCell ref="F47:M47"/>
    <mergeCell ref="N47:AM47"/>
    <mergeCell ref="AF60:AH60"/>
    <mergeCell ref="AI60:AM60"/>
    <mergeCell ref="F61:L61"/>
    <mergeCell ref="N61:AM61"/>
    <mergeCell ref="F60:L60"/>
    <mergeCell ref="N60:P60"/>
    <mergeCell ref="Q60:T60"/>
    <mergeCell ref="U60:Y60"/>
    <mergeCell ref="Z60:AB60"/>
    <mergeCell ref="AC60:AE60"/>
  </mergeCells>
  <conditionalFormatting sqref="F7">
    <cfRule type="notContainsBlanks" dxfId="661" priority="1">
      <formula>LEN(TRIM(F7))&gt;0</formula>
    </cfRule>
  </conditionalFormatting>
  <conditionalFormatting sqref="F43:AC43">
    <cfRule type="expression" dxfId="660" priority="9">
      <formula>NOT(IFERROR(SEARCH("especificar",$N$42,1),0))</formula>
    </cfRule>
  </conditionalFormatting>
  <conditionalFormatting sqref="M10:M13">
    <cfRule type="expression" dxfId="659" priority="16">
      <formula>N10&lt;&gt;""</formula>
    </cfRule>
  </conditionalFormatting>
  <conditionalFormatting sqref="M16:M17">
    <cfRule type="expression" dxfId="658" priority="15">
      <formula>N16&lt;&gt;""</formula>
    </cfRule>
  </conditionalFormatting>
  <conditionalFormatting sqref="M42:M43">
    <cfRule type="expression" dxfId="657" priority="11">
      <formula>N42&lt;&gt;""</formula>
    </cfRule>
  </conditionalFormatting>
  <conditionalFormatting sqref="M60">
    <cfRule type="expression" dxfId="655" priority="4">
      <formula>OR($Q$60&lt;&gt;"",$AC$60&lt;&gt;"")</formula>
    </cfRule>
  </conditionalFormatting>
  <conditionalFormatting sqref="M61">
    <cfRule type="expression" dxfId="654" priority="6">
      <formula>N61&lt;&gt;""</formula>
    </cfRule>
  </conditionalFormatting>
  <conditionalFormatting sqref="Q15">
    <cfRule type="expression" dxfId="653" priority="13">
      <formula>R15&lt;&gt;""</formula>
    </cfRule>
  </conditionalFormatting>
  <conditionalFormatting sqref="AA17">
    <cfRule type="expression" dxfId="651" priority="14">
      <formula>AB17&lt;&gt;""</formula>
    </cfRule>
  </conditionalFormatting>
  <conditionalFormatting sqref="AC15">
    <cfRule type="expression" dxfId="650" priority="12">
      <formula>AD15&lt;&gt;""</formula>
    </cfRule>
  </conditionalFormatting>
  <conditionalFormatting sqref="AE10">
    <cfRule type="expression" dxfId="649" priority="17">
      <formula>AF10&lt;&gt;""</formula>
    </cfRule>
  </conditionalFormatting>
  <dataValidations count="15">
    <dataValidation allowBlank="1" showInputMessage="1" showErrorMessage="1" promptTitle="Ajuda" prompt="A conclusão deverá ser conforme está escrito no relatório do estudo._x000a_" sqref="F61:L61" xr:uid="{D7DD4CD9-1A7E-4DB7-B265-BD6A9A4237CB}"/>
    <dataValidation allowBlank="1" showInputMessage="1" showErrorMessage="1" promptTitle="Ajuda" prompt="São considerados desvios os procedimentos que tenham sido conduzidos em desacordo com o protocolo. _x000a__x000a_Alterações no corpo técnico, retificações no texto do relatório ou similiares não são considerados desvios ao protocolo." sqref="F52:L56" xr:uid="{0789099E-7882-423A-A615-600274712777}"/>
    <dataValidation allowBlank="1" showInputMessage="1" showErrorMessage="1" promptTitle="Ajuda" prompt="Informar apenas se o(s) desvio(s) afetam de algum modo a interpretação dos resultados" sqref="AI52:AM52" xr:uid="{FB25CFF2-B353-488F-BCF9-41A842F1D8A2}"/>
    <dataValidation allowBlank="1" showInputMessage="1" showErrorMessage="1" promptTitle="Ajuda" prompt="Incluir a justificativa do porquê ocorreu desvio e qual é interpretação dos seus impactos frente aos resultados do estudos." sqref="Z52:AH52" xr:uid="{7E233D1E-E3CE-49B8-A89E-3D921ED2695C}"/>
    <dataValidation allowBlank="1" showInputMessage="1" showErrorMessage="1" promptTitle="Ajuda" prompt="Descrição sucinta do desvio ocorrido._x000a__x000a_Caso tenha ocorrido mais do que quatro desvios, os demais deverão estar descritos na última linha e separados por ponto e vírgula" sqref="S52:Y52" xr:uid="{0A3079F4-B5FF-45E5-B3AE-D33CBEBFEB4A}"/>
    <dataValidation allowBlank="1" showInputMessage="1" showErrorMessage="1" promptTitle="Ajuda" prompt="O critério de parada deve ser informado conforme as orientações dos parágrafos 33, 41 e 44 e do Anexo III do protocolo nº 425 de 2008." sqref="F42:L42" xr:uid="{7FFE5936-3D10-406F-878A-C95B8B63DB3F}"/>
    <dataValidation allowBlank="1" showInputMessage="1" showErrorMessage="1" promptTitle="Ajuda" prompt="Data de início da exposição dos animais à substância teste" sqref="N15:P15" xr:uid="{A7159913-67E2-4318-8B9C-0B19E94FC64C}"/>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8627E295-49FC-46C0-823C-AA068F5606AE}"/>
    <dataValidation allowBlank="1" showInputMessage="1" showErrorMessage="1" promptTitle="Ajuda" prompt="Informar nome e estado/país do laboratório executor" sqref="F11:L11" xr:uid="{AB1FA4D3-1F31-43B8-B989-1B19F0A3A36D}"/>
    <dataValidation allowBlank="1" showInputMessage="1" showErrorMessage="1" promptTitle="Ajuda" prompt="Código gerado pelo laboratório executor" sqref="AA10:AD10" xr:uid="{A71B2CC8-96B3-482C-AC08-297831D6FCAC}"/>
    <dataValidation type="decimal" operator="greaterThanOrEqual" allowBlank="1" showInputMessage="1" showErrorMessage="1" errorTitle="Valor inválido" error="O valor da dose deve ser um número decimal" sqref="Q60:T60" xr:uid="{7F18BF90-C79A-47A7-BD38-BF51F0B6FA19}">
      <formula1>0</formula1>
    </dataValidation>
    <dataValidation type="custom" allowBlank="1" showInputMessage="1" showErrorMessage="1" errorTitle="Data inválida" error="A data de conclusão não pode ser anterior a data de início." sqref="AD15" xr:uid="{E869EB73-F48A-4D80-B7D9-2784F45888A0}">
      <formula1>R15&lt;=AD15</formula1>
    </dataValidation>
    <dataValidation type="custom" allowBlank="1" showInputMessage="1" showErrorMessage="1" errorTitle="Valor inválido" error="Esse campo deve ser preenchido com as letras O ou X" sqref="N23:S37" xr:uid="{E6417026-E36E-41E8-95F7-D8F4ABC9DF0E}">
      <formula1>OR(N23="o",N23="x")</formula1>
    </dataValidation>
    <dataValidation type="list" allowBlank="1" showInputMessage="1" showErrorMessage="1" errorTitle="Código inválido" error="Preencher os dados do certificado na guia &quot;Certificados&quot; antes de atribuí-lo a algum estudo" sqref="N16:S16" xr:uid="{3B88137B-C487-43FE-8497-FBC48E3AD34D}">
      <formula1>src_certificados</formula1>
    </dataValidation>
    <dataValidation allowBlank="1" showInputMessage="1" showErrorMessage="1" prompt="Consideram-se evidências de toxicidade as alterações observadas nos animais decorrentes da exposição à substância teste até os valores da categoria 4, exceto para diarreia, piloereção e aparência descuidada._x000a__x000a_*RDC 294/19, ANEXO IV, item 1.5, alínea d" sqref="T22:W22" xr:uid="{3938DCAE-B29E-451C-BA08-A76334837404}"/>
  </dataValidations>
  <hyperlinks>
    <hyperlink ref="F7" location="Alertas!G2" display="Alertas!G2" xr:uid="{3755BE58-0ECC-4C42-A7C9-C7A628C20450}"/>
  </hyperlinks>
  <pageMargins left="0.511811024" right="0.511811024" top="0.78740157499999996" bottom="0.78740157499999996" header="0.31496062000000002" footer="0.31496062000000002"/>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_updown1_maiorque">
              <controlPr defaultSize="0" autoFill="0" autoLine="0" autoPict="0">
                <anchor moveWithCells="1">
                  <from>
                    <xdr:col>13</xdr:col>
                    <xdr:colOff>19050</xdr:colOff>
                    <xdr:row>59</xdr:row>
                    <xdr:rowOff>9525</xdr:rowOff>
                  </from>
                  <to>
                    <xdr:col>15</xdr:col>
                    <xdr:colOff>304800</xdr:colOff>
                    <xdr:row>59</xdr:row>
                    <xdr:rowOff>238125</xdr:rowOff>
                  </to>
                </anchor>
              </controlPr>
            </control>
          </mc:Choice>
        </mc:AlternateContent>
        <mc:AlternateContent xmlns:mc="http://schemas.openxmlformats.org/markup-compatibility/2006">
          <mc:Choice Requires="x14">
            <control shapeId="56322" r:id="rId5" name="optn_updown1_desvios1">
              <controlPr defaultSize="0" autoFill="0" autoLine="0" autoPict="0">
                <anchor moveWithCells="1">
                  <from>
                    <xdr:col>13</xdr:col>
                    <xdr:colOff>85725</xdr:colOff>
                    <xdr:row>51</xdr:row>
                    <xdr:rowOff>171450</xdr:rowOff>
                  </from>
                  <to>
                    <xdr:col>17</xdr:col>
                    <xdr:colOff>304800</xdr:colOff>
                    <xdr:row>53</xdr:row>
                    <xdr:rowOff>66675</xdr:rowOff>
                  </to>
                </anchor>
              </controlPr>
            </control>
          </mc:Choice>
        </mc:AlternateContent>
        <mc:AlternateContent xmlns:mc="http://schemas.openxmlformats.org/markup-compatibility/2006">
          <mc:Choice Requires="x14">
            <control shapeId="56323" r:id="rId6" name="optn_updown1_desvios2">
              <controlPr defaultSize="0" autoFill="0" autoLine="0" autoPict="0">
                <anchor moveWithCells="1">
                  <from>
                    <xdr:col>13</xdr:col>
                    <xdr:colOff>95250</xdr:colOff>
                    <xdr:row>53</xdr:row>
                    <xdr:rowOff>171450</xdr:rowOff>
                  </from>
                  <to>
                    <xdr:col>17</xdr:col>
                    <xdr:colOff>304800</xdr:colOff>
                    <xdr:row>55</xdr:row>
                    <xdr:rowOff>66675</xdr:rowOff>
                  </to>
                </anchor>
              </controlPr>
            </control>
          </mc:Choice>
        </mc:AlternateContent>
        <mc:AlternateContent xmlns:mc="http://schemas.openxmlformats.org/markup-compatibility/2006">
          <mc:Choice Requires="x14">
            <control shapeId="56324" r:id="rId7" name="evid_tox_1">
              <controlPr defaultSize="0" autoFill="0" autoLine="0" autoPict="0">
                <anchor moveWithCells="1">
                  <from>
                    <xdr:col>20</xdr:col>
                    <xdr:colOff>142875</xdr:colOff>
                    <xdr:row>22</xdr:row>
                    <xdr:rowOff>9525</xdr:rowOff>
                  </from>
                  <to>
                    <xdr:col>22</xdr:col>
                    <xdr:colOff>295275</xdr:colOff>
                    <xdr:row>22</xdr:row>
                    <xdr:rowOff>314325</xdr:rowOff>
                  </to>
                </anchor>
              </controlPr>
            </control>
          </mc:Choice>
        </mc:AlternateContent>
        <mc:AlternateContent xmlns:mc="http://schemas.openxmlformats.org/markup-compatibility/2006">
          <mc:Choice Requires="x14">
            <control shapeId="56326" r:id="rId8" name="evid_tox_3">
              <controlPr defaultSize="0" autoFill="0" autoLine="0" autoPict="0">
                <anchor moveWithCells="1">
                  <from>
                    <xdr:col>20</xdr:col>
                    <xdr:colOff>142875</xdr:colOff>
                    <xdr:row>24</xdr:row>
                    <xdr:rowOff>9525</xdr:rowOff>
                  </from>
                  <to>
                    <xdr:col>22</xdr:col>
                    <xdr:colOff>295275</xdr:colOff>
                    <xdr:row>24</xdr:row>
                    <xdr:rowOff>314325</xdr:rowOff>
                  </to>
                </anchor>
              </controlPr>
            </control>
          </mc:Choice>
        </mc:AlternateContent>
        <mc:AlternateContent xmlns:mc="http://schemas.openxmlformats.org/markup-compatibility/2006">
          <mc:Choice Requires="x14">
            <control shapeId="56327" r:id="rId9" name="evid_tox_4">
              <controlPr defaultSize="0" autoFill="0" autoLine="0" autoPict="0">
                <anchor moveWithCells="1">
                  <from>
                    <xdr:col>20</xdr:col>
                    <xdr:colOff>142875</xdr:colOff>
                    <xdr:row>25</xdr:row>
                    <xdr:rowOff>9525</xdr:rowOff>
                  </from>
                  <to>
                    <xdr:col>22</xdr:col>
                    <xdr:colOff>295275</xdr:colOff>
                    <xdr:row>25</xdr:row>
                    <xdr:rowOff>314325</xdr:rowOff>
                  </to>
                </anchor>
              </controlPr>
            </control>
          </mc:Choice>
        </mc:AlternateContent>
        <mc:AlternateContent xmlns:mc="http://schemas.openxmlformats.org/markup-compatibility/2006">
          <mc:Choice Requires="x14">
            <control shapeId="56328" r:id="rId10" name="evid_tox_5">
              <controlPr defaultSize="0" autoFill="0" autoLine="0" autoPict="0">
                <anchor moveWithCells="1">
                  <from>
                    <xdr:col>20</xdr:col>
                    <xdr:colOff>142875</xdr:colOff>
                    <xdr:row>26</xdr:row>
                    <xdr:rowOff>9525</xdr:rowOff>
                  </from>
                  <to>
                    <xdr:col>22</xdr:col>
                    <xdr:colOff>295275</xdr:colOff>
                    <xdr:row>26</xdr:row>
                    <xdr:rowOff>314325</xdr:rowOff>
                  </to>
                </anchor>
              </controlPr>
            </control>
          </mc:Choice>
        </mc:AlternateContent>
        <mc:AlternateContent xmlns:mc="http://schemas.openxmlformats.org/markup-compatibility/2006">
          <mc:Choice Requires="x14">
            <control shapeId="56329" r:id="rId11" name="evid_tox_6">
              <controlPr defaultSize="0" autoFill="0" autoLine="0" autoPict="0">
                <anchor moveWithCells="1">
                  <from>
                    <xdr:col>20</xdr:col>
                    <xdr:colOff>142875</xdr:colOff>
                    <xdr:row>27</xdr:row>
                    <xdr:rowOff>9525</xdr:rowOff>
                  </from>
                  <to>
                    <xdr:col>22</xdr:col>
                    <xdr:colOff>295275</xdr:colOff>
                    <xdr:row>27</xdr:row>
                    <xdr:rowOff>314325</xdr:rowOff>
                  </to>
                </anchor>
              </controlPr>
            </control>
          </mc:Choice>
        </mc:AlternateContent>
        <mc:AlternateContent xmlns:mc="http://schemas.openxmlformats.org/markup-compatibility/2006">
          <mc:Choice Requires="x14">
            <control shapeId="56330" r:id="rId12" name="evid_tox_7">
              <controlPr defaultSize="0" autoFill="0" autoLine="0" autoPict="0">
                <anchor moveWithCells="1">
                  <from>
                    <xdr:col>20</xdr:col>
                    <xdr:colOff>142875</xdr:colOff>
                    <xdr:row>28</xdr:row>
                    <xdr:rowOff>9525</xdr:rowOff>
                  </from>
                  <to>
                    <xdr:col>22</xdr:col>
                    <xdr:colOff>295275</xdr:colOff>
                    <xdr:row>28</xdr:row>
                    <xdr:rowOff>314325</xdr:rowOff>
                  </to>
                </anchor>
              </controlPr>
            </control>
          </mc:Choice>
        </mc:AlternateContent>
        <mc:AlternateContent xmlns:mc="http://schemas.openxmlformats.org/markup-compatibility/2006">
          <mc:Choice Requires="x14">
            <control shapeId="56331" r:id="rId13" name="evid_tox_8">
              <controlPr defaultSize="0" autoFill="0" autoLine="0" autoPict="0">
                <anchor moveWithCells="1">
                  <from>
                    <xdr:col>20</xdr:col>
                    <xdr:colOff>142875</xdr:colOff>
                    <xdr:row>29</xdr:row>
                    <xdr:rowOff>9525</xdr:rowOff>
                  </from>
                  <to>
                    <xdr:col>22</xdr:col>
                    <xdr:colOff>295275</xdr:colOff>
                    <xdr:row>29</xdr:row>
                    <xdr:rowOff>314325</xdr:rowOff>
                  </to>
                </anchor>
              </controlPr>
            </control>
          </mc:Choice>
        </mc:AlternateContent>
        <mc:AlternateContent xmlns:mc="http://schemas.openxmlformats.org/markup-compatibility/2006">
          <mc:Choice Requires="x14">
            <control shapeId="56332" r:id="rId14" name="evid_tox_9">
              <controlPr defaultSize="0" autoFill="0" autoLine="0" autoPict="0">
                <anchor moveWithCells="1">
                  <from>
                    <xdr:col>20</xdr:col>
                    <xdr:colOff>142875</xdr:colOff>
                    <xdr:row>30</xdr:row>
                    <xdr:rowOff>19050</xdr:rowOff>
                  </from>
                  <to>
                    <xdr:col>22</xdr:col>
                    <xdr:colOff>295275</xdr:colOff>
                    <xdr:row>31</xdr:row>
                    <xdr:rowOff>0</xdr:rowOff>
                  </to>
                </anchor>
              </controlPr>
            </control>
          </mc:Choice>
        </mc:AlternateContent>
        <mc:AlternateContent xmlns:mc="http://schemas.openxmlformats.org/markup-compatibility/2006">
          <mc:Choice Requires="x14">
            <control shapeId="56333" r:id="rId15" name="evid_tox_10">
              <controlPr defaultSize="0" autoFill="0" autoLine="0" autoPict="0">
                <anchor moveWithCells="1">
                  <from>
                    <xdr:col>20</xdr:col>
                    <xdr:colOff>142875</xdr:colOff>
                    <xdr:row>31</xdr:row>
                    <xdr:rowOff>19050</xdr:rowOff>
                  </from>
                  <to>
                    <xdr:col>22</xdr:col>
                    <xdr:colOff>295275</xdr:colOff>
                    <xdr:row>32</xdr:row>
                    <xdr:rowOff>0</xdr:rowOff>
                  </to>
                </anchor>
              </controlPr>
            </control>
          </mc:Choice>
        </mc:AlternateContent>
        <mc:AlternateContent xmlns:mc="http://schemas.openxmlformats.org/markup-compatibility/2006">
          <mc:Choice Requires="x14">
            <control shapeId="56334" r:id="rId16" name="evid_tox_11">
              <controlPr defaultSize="0" autoFill="0" autoLine="0" autoPict="0">
                <anchor moveWithCells="1">
                  <from>
                    <xdr:col>20</xdr:col>
                    <xdr:colOff>142875</xdr:colOff>
                    <xdr:row>32</xdr:row>
                    <xdr:rowOff>19050</xdr:rowOff>
                  </from>
                  <to>
                    <xdr:col>22</xdr:col>
                    <xdr:colOff>295275</xdr:colOff>
                    <xdr:row>33</xdr:row>
                    <xdr:rowOff>0</xdr:rowOff>
                  </to>
                </anchor>
              </controlPr>
            </control>
          </mc:Choice>
        </mc:AlternateContent>
        <mc:AlternateContent xmlns:mc="http://schemas.openxmlformats.org/markup-compatibility/2006">
          <mc:Choice Requires="x14">
            <control shapeId="56335" r:id="rId17" name="evid_tox_12">
              <controlPr defaultSize="0" autoFill="0" autoLine="0" autoPict="0">
                <anchor moveWithCells="1">
                  <from>
                    <xdr:col>20</xdr:col>
                    <xdr:colOff>142875</xdr:colOff>
                    <xdr:row>33</xdr:row>
                    <xdr:rowOff>19050</xdr:rowOff>
                  </from>
                  <to>
                    <xdr:col>22</xdr:col>
                    <xdr:colOff>295275</xdr:colOff>
                    <xdr:row>34</xdr:row>
                    <xdr:rowOff>0</xdr:rowOff>
                  </to>
                </anchor>
              </controlPr>
            </control>
          </mc:Choice>
        </mc:AlternateContent>
        <mc:AlternateContent xmlns:mc="http://schemas.openxmlformats.org/markup-compatibility/2006">
          <mc:Choice Requires="x14">
            <control shapeId="56336" r:id="rId18" name="evid_tox_13">
              <controlPr defaultSize="0" autoFill="0" autoLine="0" autoPict="0">
                <anchor moveWithCells="1">
                  <from>
                    <xdr:col>20</xdr:col>
                    <xdr:colOff>142875</xdr:colOff>
                    <xdr:row>34</xdr:row>
                    <xdr:rowOff>19050</xdr:rowOff>
                  </from>
                  <to>
                    <xdr:col>22</xdr:col>
                    <xdr:colOff>295275</xdr:colOff>
                    <xdr:row>35</xdr:row>
                    <xdr:rowOff>0</xdr:rowOff>
                  </to>
                </anchor>
              </controlPr>
            </control>
          </mc:Choice>
        </mc:AlternateContent>
        <mc:AlternateContent xmlns:mc="http://schemas.openxmlformats.org/markup-compatibility/2006">
          <mc:Choice Requires="x14">
            <control shapeId="56337" r:id="rId19" name="evid_tox_14">
              <controlPr defaultSize="0" autoFill="0" autoLine="0" autoPict="0">
                <anchor moveWithCells="1">
                  <from>
                    <xdr:col>20</xdr:col>
                    <xdr:colOff>142875</xdr:colOff>
                    <xdr:row>35</xdr:row>
                    <xdr:rowOff>19050</xdr:rowOff>
                  </from>
                  <to>
                    <xdr:col>22</xdr:col>
                    <xdr:colOff>295275</xdr:colOff>
                    <xdr:row>36</xdr:row>
                    <xdr:rowOff>0</xdr:rowOff>
                  </to>
                </anchor>
              </controlPr>
            </control>
          </mc:Choice>
        </mc:AlternateContent>
        <mc:AlternateContent xmlns:mc="http://schemas.openxmlformats.org/markup-compatibility/2006">
          <mc:Choice Requires="x14">
            <control shapeId="56338" r:id="rId20" name="evid_tox_15">
              <controlPr defaultSize="0" autoFill="0" autoLine="0" autoPict="0">
                <anchor moveWithCells="1">
                  <from>
                    <xdr:col>20</xdr:col>
                    <xdr:colOff>142875</xdr:colOff>
                    <xdr:row>36</xdr:row>
                    <xdr:rowOff>19050</xdr:rowOff>
                  </from>
                  <to>
                    <xdr:col>22</xdr:col>
                    <xdr:colOff>295275</xdr:colOff>
                    <xdr:row>37</xdr:row>
                    <xdr:rowOff>0</xdr:rowOff>
                  </to>
                </anchor>
              </controlPr>
            </control>
          </mc:Choice>
        </mc:AlternateContent>
        <mc:AlternateContent xmlns:mc="http://schemas.openxmlformats.org/markup-compatibility/2006">
          <mc:Choice Requires="x14">
            <control shapeId="56340" r:id="rId21" name="evid_tox_1">
              <controlPr defaultSize="0" autoFill="0" autoLine="0" autoPict="0">
                <anchor moveWithCells="1">
                  <from>
                    <xdr:col>20</xdr:col>
                    <xdr:colOff>152400</xdr:colOff>
                    <xdr:row>23</xdr:row>
                    <xdr:rowOff>9525</xdr:rowOff>
                  </from>
                  <to>
                    <xdr:col>22</xdr:col>
                    <xdr:colOff>304800</xdr:colOff>
                    <xdr:row>23</xdr:row>
                    <xdr:rowOff>314325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BB01388A-9436-476C-B53A-DC0A371B9419}">
            <xm:f>Respostas_usuario!$K$3&lt;&gt;0</xm:f>
            <x14:dxf>
              <font>
                <b/>
                <i val="0"/>
                <color rgb="FF00B050"/>
              </font>
              <fill>
                <patternFill>
                  <bgColor theme="0"/>
                </patternFill>
              </fill>
            </x14:dxf>
          </x14:cfRule>
          <xm:sqref>M52:M56</xm:sqref>
        </x14:conditionalFormatting>
        <x14:conditionalFormatting xmlns:xm="http://schemas.microsoft.com/office/excel/2006/main">
          <x14:cfRule type="expression" priority="8" id="{DFECA36F-718F-488C-A81E-D144E5FF65E3}">
            <xm:f>Respostas_usuario!$K$3&lt;&gt;2</xm:f>
            <x14:dxf>
              <font>
                <color theme="0"/>
              </font>
              <fill>
                <patternFill>
                  <bgColor theme="0"/>
                </patternFill>
              </fill>
              <border>
                <right/>
                <top/>
                <bottom/>
                <vertical/>
                <horizontal/>
              </border>
            </x14:dxf>
          </x14:cfRule>
          <xm:sqref>S52:AM56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errorTitle="Valor inválido" error="A resposta deve ser Sim ou Não" xr:uid="{F22BDE6F-36BF-4E04-85FC-4F3B2A10222E}">
          <x14:formula1>
            <xm:f>Tabelas_fonte!$Y$2:$Y$3</xm:f>
          </x14:formula1>
          <xm:sqref>AI53:AM56</xm:sqref>
        </x14:dataValidation>
        <x14:dataValidation type="list" allowBlank="1" showInputMessage="1" showErrorMessage="1" errorTitle="Opção inválida" error="Escolher dentre uma das opções disponíveis." xr:uid="{7DF7F12B-90D8-4CB6-A307-EF1EC704D92D}">
          <x14:formula1>
            <xm:f>Tabelas_fonte!$AA$7:$AA$10</xm:f>
          </x14:formula1>
          <xm:sqref>N42</xm:sqref>
        </x14:dataValidation>
        <x14:dataValidation type="list" allowBlank="1" showInputMessage="1" showErrorMessage="1" errorTitle="Valor inválido" error="O sexo informado deve ser Macho ou Fêmea" xr:uid="{842B422D-82C3-4882-9325-64D75FED1E1E}">
          <x14:formula1>
            <xm:f>Tabelas_fonte!$W$8:$W$9</xm:f>
          </x14:formula1>
          <xm:sqref>L23:M37</xm:sqref>
        </x14:dataValidation>
        <x14:dataValidation type="list" errorStyle="warning" allowBlank="1" showInputMessage="1" xr:uid="{208DDD14-41C3-478F-8481-4162F3D3F9E0}">
          <x14:formula1>
            <xm:f>Tabelas_fonte!$AA$2:$AA$4</xm:f>
          </x14:formula1>
          <xm:sqref>N13:AJ13</xm:sqref>
        </x14:dataValidation>
        <x14:dataValidation type="list" allowBlank="1" showInputMessage="1" showErrorMessage="1" errorTitle="Resposta inválida" error="A resposta de ser Sim ou Não." xr:uid="{949662E6-4544-4ABD-B740-5E5C081B93A7}">
          <x14:formula1>
            <xm:f>Tabelas_fonte!$Y$2:$Y$3</xm:f>
          </x14:formula1>
          <xm:sqref>N12:S12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C6752-82F6-4B84-A430-F910388E081B}">
  <sheetPr codeName="Planilha14">
    <tabColor theme="8" tint="0.59999389629810485"/>
  </sheetPr>
  <dimension ref="A1:AN57"/>
  <sheetViews>
    <sheetView showGridLines="0" topLeftCell="D1" workbookViewId="0">
      <selection activeCell="D1" sqref="D1"/>
    </sheetView>
  </sheetViews>
  <sheetFormatPr defaultColWidth="0" defaultRowHeight="15" zeroHeight="1" x14ac:dyDescent="0.25"/>
  <cols>
    <col min="1" max="3" width="9.28515625" style="2" hidden="1" customWidth="1"/>
    <col min="4" max="5" width="2.7109375" style="2" customWidth="1"/>
    <col min="6" max="13" width="4.7109375" style="2" customWidth="1"/>
    <col min="14" max="14" width="5.7109375" style="2" customWidth="1"/>
    <col min="15" max="15" width="5.28515625" style="2" customWidth="1"/>
    <col min="16" max="39" width="4.7109375" style="2" customWidth="1"/>
    <col min="40" max="40" width="8.7109375" style="2" customWidth="1"/>
    <col min="41" max="16384" width="9.140625" style="2" hidden="1"/>
  </cols>
  <sheetData>
    <row r="1" spans="1:40" s="20" customFormat="1" x14ac:dyDescent="0.25">
      <c r="A1" s="18"/>
      <c r="B1" s="18"/>
      <c r="C1" s="18"/>
      <c r="D1" s="7"/>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s="20" customFormat="1" ht="15" customHeight="1" x14ac:dyDescent="0.25">
      <c r="A2" s="18"/>
      <c r="B2" s="18"/>
      <c r="C2" s="18"/>
      <c r="D2" s="7"/>
      <c r="E2" s="2"/>
      <c r="F2" s="1148" t="s">
        <v>282</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row>
    <row r="3" spans="1:40" s="20" customFormat="1" ht="15" customHeight="1" x14ac:dyDescent="0.25">
      <c r="A3" s="18"/>
      <c r="B3" s="18"/>
      <c r="C3" s="18"/>
      <c r="D3" s="159"/>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row>
    <row r="4" spans="1:40" s="20" customFormat="1" ht="15" customHeight="1" x14ac:dyDescent="0.25">
      <c r="A4" s="18"/>
      <c r="B4" s="18"/>
      <c r="C4" s="18"/>
      <c r="D4" s="159"/>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row>
    <row r="5" spans="1:40" s="20" customFormat="1" ht="15" customHeight="1" x14ac:dyDescent="0.25">
      <c r="A5" s="18"/>
      <c r="B5" s="18"/>
      <c r="C5" s="18"/>
      <c r="D5" s="159"/>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row>
    <row r="6" spans="1:40" s="20" customFormat="1" ht="15" customHeight="1" x14ac:dyDescent="0.25">
      <c r="A6" s="18"/>
      <c r="B6" s="18"/>
      <c r="C6" s="18"/>
      <c r="D6" s="159"/>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row>
    <row r="7" spans="1:40" s="20" customFormat="1" ht="20.100000000000001" customHeight="1" x14ac:dyDescent="0.25">
      <c r="A7" s="18"/>
      <c r="B7" s="18"/>
      <c r="C7" s="18"/>
      <c r="D7" s="159"/>
      <c r="E7" s="158"/>
      <c r="F7" s="1024" t="str">
        <f ca="1">Alertas!R10</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row>
    <row r="8" spans="1:40" s="20" customFormat="1" ht="15" customHeight="1" x14ac:dyDescent="0.25">
      <c r="A8" s="18"/>
      <c r="B8" s="18"/>
      <c r="C8" s="18"/>
      <c r="D8" s="7"/>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s="20" customFormat="1"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s="20" customFormat="1" ht="30" customHeight="1" x14ac:dyDescent="0.25">
      <c r="A10" s="18"/>
      <c r="B10" s="18"/>
      <c r="C10" s="18"/>
      <c r="D10" s="7"/>
      <c r="E10" s="2"/>
      <c r="F10" s="1008" t="s">
        <v>30</v>
      </c>
      <c r="G10" s="1009"/>
      <c r="H10" s="1009"/>
      <c r="I10" s="1009"/>
      <c r="J10" s="1009"/>
      <c r="K10" s="1009"/>
      <c r="L10" s="1041"/>
      <c r="M10" s="148" t="s">
        <v>186</v>
      </c>
      <c r="N10" s="1140"/>
      <c r="O10" s="1141"/>
      <c r="P10" s="1141"/>
      <c r="Q10" s="1141"/>
      <c r="R10" s="1141"/>
      <c r="S10" s="1141"/>
      <c r="T10" s="1141"/>
      <c r="U10" s="1141"/>
      <c r="V10" s="1141"/>
      <c r="W10" s="1141"/>
      <c r="X10" s="1141"/>
      <c r="Y10" s="1141"/>
      <c r="Z10" s="1142"/>
      <c r="AA10" s="1008" t="s">
        <v>294</v>
      </c>
      <c r="AB10" s="1009"/>
      <c r="AC10" s="1009"/>
      <c r="AD10" s="1041"/>
      <c r="AE10" s="148" t="s">
        <v>186</v>
      </c>
      <c r="AF10" s="1140"/>
      <c r="AG10" s="1141"/>
      <c r="AH10" s="1141"/>
      <c r="AI10" s="1141"/>
      <c r="AJ10" s="1142"/>
      <c r="AK10" s="2"/>
      <c r="AL10" s="2"/>
      <c r="AM10" s="2"/>
      <c r="AN10" s="2"/>
    </row>
    <row r="11" spans="1:40" s="20" customFormat="1" ht="60" customHeight="1" x14ac:dyDescent="0.25">
      <c r="A11" s="18"/>
      <c r="B11" s="18"/>
      <c r="C11" s="18"/>
      <c r="D11" s="7"/>
      <c r="E11" s="2"/>
      <c r="F11" s="1008" t="s">
        <v>7300</v>
      </c>
      <c r="G11" s="1009"/>
      <c r="H11" s="1009"/>
      <c r="I11" s="1009"/>
      <c r="J11" s="1009"/>
      <c r="K11" s="1009"/>
      <c r="L11" s="1041"/>
      <c r="M11" s="148" t="s">
        <v>186</v>
      </c>
      <c r="N11" s="1140"/>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2"/>
      <c r="AK11" s="1158" t="s">
        <v>271</v>
      </c>
      <c r="AL11" s="1159"/>
      <c r="AM11" s="1159"/>
      <c r="AN11" s="1159"/>
    </row>
    <row r="12" spans="1:40" s="20" customFormat="1" ht="20.100000000000001" customHeight="1" x14ac:dyDescent="0.25">
      <c r="A12" s="18"/>
      <c r="B12" s="18"/>
      <c r="C12" s="18"/>
      <c r="D12" s="7"/>
      <c r="E12" s="2"/>
      <c r="F12" s="1008" t="s">
        <v>6029</v>
      </c>
      <c r="G12" s="1009"/>
      <c r="H12" s="1009"/>
      <c r="I12" s="1009"/>
      <c r="J12" s="1009"/>
      <c r="K12" s="1009"/>
      <c r="L12" s="1041"/>
      <c r="M12" s="148" t="s">
        <v>186</v>
      </c>
      <c r="N12" s="1147"/>
      <c r="O12" s="1096"/>
      <c r="P12" s="1096"/>
      <c r="Q12" s="1096"/>
      <c r="R12" s="1096"/>
      <c r="S12" s="1097"/>
      <c r="T12" s="160"/>
      <c r="U12" s="160"/>
      <c r="V12" s="160"/>
      <c r="W12" s="160"/>
      <c r="X12" s="160"/>
      <c r="Y12" s="160"/>
      <c r="Z12" s="160"/>
      <c r="AA12" s="97"/>
      <c r="AB12" s="97"/>
      <c r="AC12" s="97"/>
      <c r="AD12" s="97"/>
      <c r="AE12" s="126"/>
      <c r="AF12" s="161"/>
      <c r="AG12" s="161"/>
      <c r="AH12" s="161"/>
      <c r="AI12" s="161"/>
      <c r="AJ12" s="161"/>
      <c r="AK12" s="2"/>
      <c r="AL12" s="2"/>
      <c r="AM12" s="2"/>
      <c r="AN12" s="2"/>
    </row>
    <row r="13" spans="1:40" s="20" customFormat="1" ht="20.100000000000001" customHeight="1" x14ac:dyDescent="0.25">
      <c r="A13" s="18"/>
      <c r="B13" s="18"/>
      <c r="C13" s="18"/>
      <c r="D13" s="7"/>
      <c r="E13" s="2"/>
      <c r="F13" s="1149" t="s">
        <v>218</v>
      </c>
      <c r="G13" s="1094"/>
      <c r="H13" s="1094"/>
      <c r="I13" s="1094"/>
      <c r="J13" s="1094"/>
      <c r="K13" s="1094"/>
      <c r="L13" s="1104"/>
      <c r="M13" s="148" t="s">
        <v>186</v>
      </c>
      <c r="N13" s="1143"/>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7"/>
      <c r="AK13" s="162"/>
      <c r="AL13" s="162"/>
      <c r="AM13" s="162"/>
      <c r="AN13" s="162"/>
    </row>
    <row r="14" spans="1:40" s="20" customFormat="1" ht="20.100000000000001" customHeight="1" x14ac:dyDescent="0.25">
      <c r="A14" s="18"/>
      <c r="B14" s="18"/>
      <c r="C14" s="18"/>
      <c r="D14" s="7"/>
      <c r="E14" s="2"/>
      <c r="F14" s="1149" t="s">
        <v>311</v>
      </c>
      <c r="G14" s="1094"/>
      <c r="H14" s="1094"/>
      <c r="I14" s="1094"/>
      <c r="J14" s="1094"/>
      <c r="K14" s="1094"/>
      <c r="L14" s="1094"/>
      <c r="M14" s="1150"/>
      <c r="N14" s="1144"/>
      <c r="O14" s="1108"/>
      <c r="P14" s="1108"/>
      <c r="Q14" s="1108"/>
      <c r="R14" s="1145"/>
      <c r="S14" s="1145"/>
      <c r="T14" s="1145"/>
      <c r="U14" s="1145"/>
      <c r="V14" s="1145"/>
      <c r="W14" s="1145"/>
      <c r="X14" s="1145"/>
      <c r="Y14" s="1145"/>
      <c r="Z14" s="1145"/>
      <c r="AA14" s="1145"/>
      <c r="AB14" s="1145"/>
      <c r="AC14" s="1145"/>
      <c r="AD14" s="1145"/>
      <c r="AE14" s="1145"/>
      <c r="AF14" s="1145"/>
      <c r="AG14" s="1145"/>
      <c r="AH14" s="1145"/>
      <c r="AI14" s="1145"/>
      <c r="AJ14" s="1146"/>
      <c r="AK14" s="163"/>
      <c r="AL14" s="163"/>
      <c r="AM14" s="163"/>
      <c r="AN14" s="163"/>
    </row>
    <row r="15" spans="1:40" s="20" customFormat="1" ht="20.100000000000001" customHeight="1" x14ac:dyDescent="0.25">
      <c r="A15" s="18"/>
      <c r="B15" s="18"/>
      <c r="C15" s="18"/>
      <c r="D15" s="7"/>
      <c r="E15" s="2"/>
      <c r="F15" s="1008" t="s">
        <v>7301</v>
      </c>
      <c r="G15" s="1009"/>
      <c r="H15" s="1009"/>
      <c r="I15" s="1009"/>
      <c r="J15" s="1009"/>
      <c r="K15" s="1009"/>
      <c r="L15" s="1009"/>
      <c r="M15" s="1010"/>
      <c r="N15" s="1151" t="s">
        <v>6030</v>
      </c>
      <c r="O15" s="1088"/>
      <c r="P15" s="1089"/>
      <c r="Q15" s="148" t="s">
        <v>186</v>
      </c>
      <c r="R15" s="999"/>
      <c r="S15" s="1000"/>
      <c r="T15" s="1000"/>
      <c r="U15" s="1000"/>
      <c r="V15" s="1000"/>
      <c r="W15" s="1000"/>
      <c r="X15" s="1000"/>
      <c r="Y15" s="1008" t="s">
        <v>31</v>
      </c>
      <c r="Z15" s="1009"/>
      <c r="AA15" s="1009"/>
      <c r="AB15" s="1041"/>
      <c r="AC15" s="148" t="s">
        <v>186</v>
      </c>
      <c r="AD15" s="999"/>
      <c r="AE15" s="1000"/>
      <c r="AF15" s="1000"/>
      <c r="AG15" s="1000"/>
      <c r="AH15" s="1000"/>
      <c r="AI15" s="1000"/>
      <c r="AJ15" s="1001"/>
      <c r="AK15" s="164"/>
      <c r="AL15" s="164"/>
      <c r="AM15" s="164"/>
      <c r="AN15" s="164"/>
    </row>
    <row r="16" spans="1:40" s="20" customFormat="1" ht="30" customHeight="1" x14ac:dyDescent="0.25">
      <c r="A16" s="18"/>
      <c r="B16" s="18"/>
      <c r="C16" s="18"/>
      <c r="D16" s="7"/>
      <c r="E16" s="2"/>
      <c r="F16" s="1008" t="s">
        <v>5720</v>
      </c>
      <c r="G16" s="1009"/>
      <c r="H16" s="1009"/>
      <c r="I16" s="1009"/>
      <c r="J16" s="1009"/>
      <c r="K16" s="1009"/>
      <c r="L16" s="1009"/>
      <c r="M16" s="148" t="s">
        <v>186</v>
      </c>
      <c r="N16" s="1136"/>
      <c r="O16" s="1090"/>
      <c r="P16" s="1090"/>
      <c r="Q16" s="1090"/>
      <c r="R16" s="1091"/>
      <c r="S16" s="1092"/>
      <c r="T16" s="2"/>
      <c r="U16" s="2"/>
      <c r="V16" s="2"/>
      <c r="W16" s="2"/>
      <c r="X16" s="2"/>
      <c r="Y16" s="2"/>
      <c r="Z16" s="2"/>
      <c r="AA16" s="2"/>
      <c r="AB16" s="2"/>
      <c r="AC16" s="2"/>
      <c r="AD16" s="2"/>
      <c r="AE16" s="2"/>
      <c r="AF16" s="2"/>
      <c r="AG16" s="2"/>
      <c r="AH16" s="2"/>
      <c r="AI16" s="2"/>
      <c r="AJ16" s="2"/>
      <c r="AK16" s="2"/>
      <c r="AL16" s="2"/>
      <c r="AM16" s="2"/>
      <c r="AN16" s="2"/>
    </row>
    <row r="17" spans="1:40" s="20" customFormat="1" ht="20.100000000000001" customHeight="1" x14ac:dyDescent="0.25">
      <c r="A17" s="18"/>
      <c r="B17" s="18"/>
      <c r="C17" s="18"/>
      <c r="D17" s="7"/>
      <c r="E17" s="2"/>
      <c r="F17" s="1008" t="s">
        <v>85</v>
      </c>
      <c r="G17" s="1009"/>
      <c r="H17" s="1009"/>
      <c r="I17" s="1009"/>
      <c r="J17" s="1009"/>
      <c r="K17" s="1009"/>
      <c r="L17" s="1041"/>
      <c r="M17" s="148" t="s">
        <v>186</v>
      </c>
      <c r="N17" s="1137" t="s">
        <v>281</v>
      </c>
      <c r="O17" s="1138"/>
      <c r="P17" s="1138"/>
      <c r="Q17" s="1138"/>
      <c r="R17" s="1138"/>
      <c r="S17" s="1139"/>
      <c r="T17" s="1008" t="s">
        <v>235</v>
      </c>
      <c r="U17" s="1009"/>
      <c r="V17" s="1009"/>
      <c r="W17" s="1009"/>
      <c r="X17" s="1009"/>
      <c r="Y17" s="1009"/>
      <c r="Z17" s="1009"/>
      <c r="AA17" s="148" t="s">
        <v>186</v>
      </c>
      <c r="AB17" s="1130"/>
      <c r="AC17" s="1131"/>
      <c r="AD17" s="1131"/>
      <c r="AE17" s="1131"/>
      <c r="AF17" s="1131"/>
      <c r="AG17" s="1131"/>
      <c r="AH17" s="1131"/>
      <c r="AI17" s="1131"/>
      <c r="AJ17" s="1132"/>
      <c r="AK17" s="49"/>
      <c r="AL17" s="49"/>
      <c r="AM17" s="49"/>
      <c r="AN17" s="49"/>
    </row>
    <row r="18" spans="1:40" s="20" customFormat="1" ht="15" customHeight="1" x14ac:dyDescent="0.25">
      <c r="A18" s="18"/>
      <c r="B18" s="18"/>
      <c r="C18" s="18"/>
      <c r="D18" s="165"/>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row>
    <row r="19" spans="1:40" s="20" customFormat="1" ht="20.100000000000001" customHeight="1" x14ac:dyDescent="0.25">
      <c r="A19" s="18"/>
      <c r="B19" s="18"/>
      <c r="C19" s="18"/>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row>
    <row r="20" spans="1:40" s="20" customFormat="1" ht="15" customHeight="1" x14ac:dyDescent="0.25">
      <c r="A20" s="18"/>
      <c r="B20" s="18"/>
      <c r="C20" s="18"/>
      <c r="D20" s="165"/>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row>
    <row r="21" spans="1:40" s="20" customFormat="1" ht="30" customHeight="1" x14ac:dyDescent="0.25">
      <c r="A21" s="18"/>
      <c r="B21" s="18"/>
      <c r="C21" s="18"/>
      <c r="D21" s="165"/>
      <c r="E21" s="166"/>
      <c r="F21" s="166"/>
      <c r="G21" s="1152" t="s">
        <v>298</v>
      </c>
      <c r="H21" s="1152"/>
      <c r="I21" s="1155" t="s">
        <v>7087</v>
      </c>
      <c r="J21" s="1071"/>
      <c r="K21" s="1071"/>
      <c r="L21" s="1074" t="s">
        <v>7086</v>
      </c>
      <c r="M21" s="1075"/>
      <c r="N21" s="1157" t="s">
        <v>289</v>
      </c>
      <c r="O21" s="1152"/>
      <c r="P21" s="1152"/>
      <c r="Q21" s="1074" t="s">
        <v>7085</v>
      </c>
      <c r="R21" s="1075"/>
      <c r="S21" s="1157" t="s">
        <v>285</v>
      </c>
      <c r="T21" s="1152"/>
      <c r="U21" s="1152"/>
      <c r="V21" s="1120" t="s">
        <v>7997</v>
      </c>
      <c r="W21" s="1121"/>
      <c r="X21" s="1121"/>
      <c r="Y21" s="1121"/>
      <c r="AL21" s="2"/>
      <c r="AM21" s="2"/>
      <c r="AN21" s="2"/>
    </row>
    <row r="22" spans="1:40" s="20" customFormat="1" ht="26.1" customHeight="1" x14ac:dyDescent="0.25">
      <c r="A22" s="18"/>
      <c r="B22" s="18"/>
      <c r="C22" s="18"/>
      <c r="D22" s="7"/>
      <c r="E22" s="2"/>
      <c r="F22" s="2"/>
      <c r="G22" s="1153">
        <v>1</v>
      </c>
      <c r="H22" s="1154"/>
      <c r="I22" s="1133"/>
      <c r="J22" s="1133"/>
      <c r="K22" s="1133"/>
      <c r="L22" s="1134"/>
      <c r="M22" s="1135"/>
      <c r="N22" s="1134"/>
      <c r="O22" s="1156"/>
      <c r="P22" s="1135"/>
      <c r="Q22" s="1134"/>
      <c r="R22" s="1135"/>
      <c r="S22" s="1134"/>
      <c r="T22" s="1156"/>
      <c r="U22" s="1135"/>
      <c r="V22" s="120"/>
      <c r="W22" s="121"/>
      <c r="X22" s="121"/>
      <c r="Y22" s="122"/>
    </row>
    <row r="23" spans="1:40" s="20" customFormat="1" ht="26.1" customHeight="1" x14ac:dyDescent="0.25">
      <c r="A23" s="18"/>
      <c r="B23" s="18"/>
      <c r="C23" s="18"/>
      <c r="D23" s="7"/>
      <c r="E23" s="2"/>
      <c r="F23" s="2"/>
      <c r="G23" s="1153">
        <v>2</v>
      </c>
      <c r="H23" s="1154"/>
      <c r="I23" s="1133"/>
      <c r="J23" s="1133"/>
      <c r="K23" s="1133"/>
      <c r="L23" s="1134"/>
      <c r="M23" s="1135"/>
      <c r="N23" s="1134"/>
      <c r="O23" s="1156"/>
      <c r="P23" s="1135"/>
      <c r="Q23" s="1134"/>
      <c r="R23" s="1135"/>
      <c r="S23" s="1134"/>
      <c r="T23" s="1156"/>
      <c r="U23" s="1135"/>
      <c r="V23" s="120"/>
      <c r="W23" s="121"/>
      <c r="X23" s="121"/>
      <c r="Y23" s="122"/>
    </row>
    <row r="24" spans="1:40" s="20" customFormat="1" ht="26.1" customHeight="1" x14ac:dyDescent="0.25">
      <c r="A24" s="18"/>
      <c r="B24" s="18"/>
      <c r="C24" s="18"/>
      <c r="D24" s="7"/>
      <c r="E24" s="2"/>
      <c r="F24" s="2"/>
      <c r="G24" s="1153">
        <v>3</v>
      </c>
      <c r="H24" s="1154"/>
      <c r="I24" s="1133"/>
      <c r="J24" s="1133"/>
      <c r="K24" s="1133"/>
      <c r="L24" s="1134"/>
      <c r="M24" s="1135"/>
      <c r="N24" s="1134"/>
      <c r="O24" s="1156"/>
      <c r="P24" s="1135"/>
      <c r="Q24" s="1134"/>
      <c r="R24" s="1135"/>
      <c r="S24" s="1134"/>
      <c r="T24" s="1156"/>
      <c r="U24" s="1135"/>
      <c r="V24" s="120"/>
      <c r="W24" s="121"/>
      <c r="X24" s="121"/>
      <c r="Y24" s="122"/>
      <c r="AL24" s="2"/>
      <c r="AM24" s="2"/>
      <c r="AN24" s="2"/>
    </row>
    <row r="25" spans="1:40" s="20" customFormat="1" ht="26.1" customHeight="1" x14ac:dyDescent="0.25">
      <c r="A25" s="18"/>
      <c r="B25" s="18"/>
      <c r="C25" s="18"/>
      <c r="D25" s="7"/>
      <c r="E25" s="2"/>
      <c r="F25" s="2"/>
      <c r="G25" s="1153">
        <v>4</v>
      </c>
      <c r="H25" s="1154"/>
      <c r="I25" s="1133"/>
      <c r="J25" s="1133"/>
      <c r="K25" s="1133"/>
      <c r="L25" s="1134"/>
      <c r="M25" s="1135"/>
      <c r="N25" s="1134"/>
      <c r="O25" s="1156"/>
      <c r="P25" s="1135"/>
      <c r="Q25" s="1134"/>
      <c r="R25" s="1135"/>
      <c r="S25" s="1134"/>
      <c r="T25" s="1156"/>
      <c r="U25" s="1135"/>
      <c r="V25" s="120"/>
      <c r="W25" s="121"/>
      <c r="X25" s="121"/>
      <c r="Y25" s="122"/>
      <c r="AL25" s="2"/>
      <c r="AM25" s="2"/>
      <c r="AN25" s="2"/>
    </row>
    <row r="26" spans="1:40" s="20" customFormat="1" ht="26.1" customHeight="1" x14ac:dyDescent="0.25">
      <c r="A26" s="18"/>
      <c r="B26" s="18"/>
      <c r="C26" s="18"/>
      <c r="D26" s="7"/>
      <c r="E26" s="2"/>
      <c r="F26" s="2"/>
      <c r="G26" s="1153">
        <v>5</v>
      </c>
      <c r="H26" s="1154"/>
      <c r="I26" s="1133"/>
      <c r="J26" s="1133"/>
      <c r="K26" s="1133"/>
      <c r="L26" s="1134"/>
      <c r="M26" s="1135"/>
      <c r="N26" s="1134"/>
      <c r="O26" s="1156"/>
      <c r="P26" s="1135"/>
      <c r="Q26" s="1134"/>
      <c r="R26" s="1135"/>
      <c r="S26" s="1134"/>
      <c r="T26" s="1156"/>
      <c r="U26" s="1135"/>
      <c r="V26" s="120"/>
      <c r="W26" s="121"/>
      <c r="X26" s="121"/>
      <c r="Y26" s="122"/>
      <c r="AL26" s="2"/>
      <c r="AM26" s="2"/>
      <c r="AN26" s="2"/>
    </row>
    <row r="27" spans="1:40" s="20" customFormat="1" ht="26.1" customHeight="1" x14ac:dyDescent="0.25">
      <c r="A27" s="18"/>
      <c r="B27" s="18"/>
      <c r="C27" s="18"/>
      <c r="D27" s="7"/>
      <c r="E27" s="2"/>
      <c r="F27" s="2"/>
      <c r="G27" s="1153">
        <v>6</v>
      </c>
      <c r="H27" s="1154"/>
      <c r="I27" s="1133"/>
      <c r="J27" s="1133"/>
      <c r="K27" s="1133"/>
      <c r="L27" s="1134"/>
      <c r="M27" s="1135"/>
      <c r="N27" s="1134"/>
      <c r="O27" s="1156"/>
      <c r="P27" s="1135"/>
      <c r="Q27" s="1134"/>
      <c r="R27" s="1135"/>
      <c r="S27" s="1134"/>
      <c r="T27" s="1156"/>
      <c r="U27" s="1135"/>
      <c r="V27" s="120"/>
      <c r="W27" s="121"/>
      <c r="X27" s="121"/>
      <c r="Y27" s="122"/>
      <c r="AL27" s="2"/>
      <c r="AM27" s="2"/>
      <c r="AN27" s="2"/>
    </row>
    <row r="28" spans="1:40" s="20" customFormat="1" ht="26.1" customHeight="1" x14ac:dyDescent="0.25">
      <c r="A28" s="18"/>
      <c r="B28" s="18"/>
      <c r="C28" s="18"/>
      <c r="D28" s="7"/>
      <c r="E28" s="2"/>
      <c r="F28" s="2"/>
      <c r="G28" s="1153">
        <v>7</v>
      </c>
      <c r="H28" s="1154"/>
      <c r="I28" s="1133"/>
      <c r="J28" s="1133"/>
      <c r="K28" s="1133"/>
      <c r="L28" s="1134"/>
      <c r="M28" s="1135"/>
      <c r="N28" s="1134"/>
      <c r="O28" s="1156"/>
      <c r="P28" s="1135"/>
      <c r="Q28" s="1134"/>
      <c r="R28" s="1135"/>
      <c r="S28" s="1134"/>
      <c r="T28" s="1156"/>
      <c r="U28" s="1135"/>
      <c r="V28" s="120"/>
      <c r="W28" s="121"/>
      <c r="X28" s="121"/>
      <c r="Y28" s="122"/>
      <c r="AL28" s="2"/>
      <c r="AM28" s="2"/>
      <c r="AN28" s="2"/>
    </row>
    <row r="29" spans="1:40" s="20" customFormat="1" ht="26.1" customHeight="1" x14ac:dyDescent="0.25">
      <c r="A29" s="18"/>
      <c r="B29" s="18"/>
      <c r="C29" s="18"/>
      <c r="D29" s="7"/>
      <c r="E29" s="2"/>
      <c r="F29" s="2"/>
      <c r="G29" s="1153">
        <v>8</v>
      </c>
      <c r="H29" s="1154"/>
      <c r="I29" s="1133"/>
      <c r="J29" s="1133"/>
      <c r="K29" s="1133"/>
      <c r="L29" s="1134"/>
      <c r="M29" s="1135"/>
      <c r="N29" s="1134"/>
      <c r="O29" s="1156"/>
      <c r="P29" s="1135"/>
      <c r="Q29" s="1134"/>
      <c r="R29" s="1135"/>
      <c r="S29" s="1134"/>
      <c r="T29" s="1156"/>
      <c r="U29" s="1135"/>
      <c r="V29" s="120"/>
      <c r="W29" s="121"/>
      <c r="X29" s="121"/>
      <c r="Y29" s="122"/>
      <c r="AL29" s="2"/>
      <c r="AM29" s="2"/>
      <c r="AN29" s="2"/>
    </row>
    <row r="30" spans="1:40" s="20" customFormat="1" ht="26.1" customHeight="1" x14ac:dyDescent="0.25">
      <c r="A30" s="18"/>
      <c r="B30" s="18"/>
      <c r="C30" s="18"/>
      <c r="D30" s="7"/>
      <c r="E30" s="2"/>
      <c r="F30" s="2"/>
      <c r="G30" s="1153">
        <v>9</v>
      </c>
      <c r="H30" s="1154"/>
      <c r="I30" s="1133"/>
      <c r="J30" s="1133"/>
      <c r="K30" s="1133"/>
      <c r="L30" s="1134"/>
      <c r="M30" s="1135"/>
      <c r="N30" s="1134"/>
      <c r="O30" s="1156"/>
      <c r="P30" s="1135"/>
      <c r="Q30" s="1134"/>
      <c r="R30" s="1135"/>
      <c r="S30" s="1134"/>
      <c r="T30" s="1156"/>
      <c r="U30" s="1135"/>
      <c r="V30" s="120"/>
      <c r="W30" s="121"/>
      <c r="X30" s="121"/>
      <c r="Y30" s="122"/>
      <c r="AL30" s="2"/>
      <c r="AM30" s="2"/>
      <c r="AN30" s="2"/>
    </row>
    <row r="31" spans="1:40" s="20" customFormat="1" ht="26.1" customHeight="1" x14ac:dyDescent="0.25">
      <c r="A31" s="18"/>
      <c r="B31" s="18"/>
      <c r="C31" s="18"/>
      <c r="D31" s="7"/>
      <c r="E31" s="2"/>
      <c r="F31" s="2"/>
      <c r="G31" s="1153">
        <v>10</v>
      </c>
      <c r="H31" s="1154"/>
      <c r="I31" s="1133"/>
      <c r="J31" s="1133"/>
      <c r="K31" s="1133"/>
      <c r="L31" s="1134"/>
      <c r="M31" s="1135"/>
      <c r="N31" s="1134"/>
      <c r="O31" s="1156"/>
      <c r="P31" s="1135"/>
      <c r="Q31" s="1134"/>
      <c r="R31" s="1135"/>
      <c r="S31" s="1134"/>
      <c r="T31" s="1156"/>
      <c r="U31" s="1135"/>
      <c r="V31" s="120"/>
      <c r="W31" s="121"/>
      <c r="X31" s="121"/>
      <c r="Y31" s="122"/>
      <c r="AL31" s="2"/>
      <c r="AM31" s="2"/>
      <c r="AN31" s="2"/>
    </row>
    <row r="32" spans="1:40" s="20" customFormat="1" ht="26.1" customHeight="1" x14ac:dyDescent="0.25">
      <c r="A32" s="18"/>
      <c r="B32" s="18"/>
      <c r="C32" s="18"/>
      <c r="D32" s="7"/>
      <c r="E32" s="2"/>
      <c r="F32" s="2"/>
      <c r="G32" s="1153">
        <v>11</v>
      </c>
      <c r="H32" s="1154"/>
      <c r="I32" s="1133"/>
      <c r="J32" s="1133"/>
      <c r="K32" s="1133"/>
      <c r="L32" s="1134"/>
      <c r="M32" s="1135"/>
      <c r="N32" s="1134"/>
      <c r="O32" s="1156"/>
      <c r="P32" s="1135"/>
      <c r="Q32" s="1134"/>
      <c r="R32" s="1135"/>
      <c r="S32" s="1134"/>
      <c r="T32" s="1156"/>
      <c r="U32" s="1135"/>
      <c r="V32" s="120"/>
      <c r="W32" s="121"/>
      <c r="X32" s="121"/>
      <c r="Y32" s="122"/>
      <c r="AL32" s="2"/>
      <c r="AM32" s="2"/>
      <c r="AN32" s="2"/>
    </row>
    <row r="33" spans="1:40" s="20" customFormat="1" ht="26.1" customHeight="1" x14ac:dyDescent="0.25">
      <c r="A33" s="18"/>
      <c r="B33" s="18"/>
      <c r="C33" s="18"/>
      <c r="D33" s="7"/>
      <c r="E33" s="2"/>
      <c r="F33" s="2"/>
      <c r="G33" s="1153">
        <v>12</v>
      </c>
      <c r="H33" s="1154"/>
      <c r="I33" s="1133"/>
      <c r="J33" s="1133"/>
      <c r="K33" s="1133"/>
      <c r="L33" s="1134"/>
      <c r="M33" s="1135"/>
      <c r="N33" s="1134"/>
      <c r="O33" s="1156"/>
      <c r="P33" s="1135"/>
      <c r="Q33" s="1134"/>
      <c r="R33" s="1135"/>
      <c r="S33" s="1134"/>
      <c r="T33" s="1156"/>
      <c r="U33" s="1135"/>
      <c r="V33" s="120"/>
      <c r="W33" s="121"/>
      <c r="X33" s="121"/>
      <c r="Y33" s="122"/>
      <c r="AL33" s="2"/>
      <c r="AM33" s="2"/>
      <c r="AN33" s="2"/>
    </row>
    <row r="34" spans="1:40" s="20" customFormat="1" ht="26.1" customHeight="1" x14ac:dyDescent="0.25">
      <c r="A34" s="18"/>
      <c r="B34" s="18"/>
      <c r="C34" s="18"/>
      <c r="D34" s="7"/>
      <c r="E34" s="2"/>
      <c r="F34" s="2"/>
      <c r="G34" s="1153">
        <v>13</v>
      </c>
      <c r="H34" s="1154"/>
      <c r="I34" s="1133"/>
      <c r="J34" s="1133"/>
      <c r="K34" s="1133"/>
      <c r="L34" s="1134"/>
      <c r="M34" s="1135"/>
      <c r="N34" s="1134"/>
      <c r="O34" s="1156"/>
      <c r="P34" s="1135"/>
      <c r="Q34" s="1134"/>
      <c r="R34" s="1135"/>
      <c r="S34" s="1134"/>
      <c r="T34" s="1156"/>
      <c r="U34" s="1135"/>
      <c r="V34" s="120"/>
      <c r="W34" s="121"/>
      <c r="X34" s="121"/>
      <c r="Y34" s="122"/>
      <c r="AL34" s="2"/>
      <c r="AM34" s="2"/>
      <c r="AN34" s="2"/>
    </row>
    <row r="35" spans="1:40" s="20" customFormat="1" ht="26.1" customHeight="1" x14ac:dyDescent="0.25">
      <c r="A35" s="18"/>
      <c r="B35" s="18"/>
      <c r="C35" s="18"/>
      <c r="D35" s="7"/>
      <c r="E35" s="2"/>
      <c r="F35" s="2"/>
      <c r="G35" s="1153">
        <v>14</v>
      </c>
      <c r="H35" s="1154"/>
      <c r="I35" s="1133"/>
      <c r="J35" s="1133"/>
      <c r="K35" s="1133"/>
      <c r="L35" s="1134"/>
      <c r="M35" s="1135"/>
      <c r="N35" s="1134"/>
      <c r="O35" s="1156"/>
      <c r="P35" s="1135"/>
      <c r="Q35" s="1134"/>
      <c r="R35" s="1135"/>
      <c r="S35" s="1134"/>
      <c r="T35" s="1156"/>
      <c r="U35" s="1135"/>
      <c r="V35" s="120"/>
      <c r="W35" s="121"/>
      <c r="X35" s="121"/>
      <c r="Y35" s="122"/>
      <c r="AL35" s="2"/>
      <c r="AM35" s="2"/>
      <c r="AN35" s="2"/>
    </row>
    <row r="36" spans="1:40" s="20" customFormat="1" ht="26.1" customHeight="1" x14ac:dyDescent="0.25">
      <c r="A36" s="18"/>
      <c r="B36" s="18"/>
      <c r="C36" s="18"/>
      <c r="D36" s="7"/>
      <c r="E36" s="2"/>
      <c r="F36" s="2"/>
      <c r="G36" s="1153">
        <v>15</v>
      </c>
      <c r="H36" s="1154"/>
      <c r="I36" s="1133"/>
      <c r="J36" s="1133"/>
      <c r="K36" s="1133"/>
      <c r="L36" s="1134"/>
      <c r="M36" s="1135"/>
      <c r="N36" s="1134"/>
      <c r="O36" s="1156"/>
      <c r="P36" s="1135"/>
      <c r="Q36" s="1134"/>
      <c r="R36" s="1135"/>
      <c r="S36" s="1134"/>
      <c r="T36" s="1156"/>
      <c r="U36" s="1135"/>
      <c r="V36" s="120"/>
      <c r="W36" s="121"/>
      <c r="X36" s="121"/>
      <c r="Y36" s="122"/>
      <c r="AL36" s="2"/>
      <c r="AM36" s="2"/>
      <c r="AN36" s="2"/>
    </row>
    <row r="37" spans="1:40" s="20" customFormat="1" ht="20.100000000000001" customHeight="1" x14ac:dyDescent="0.25">
      <c r="A37" s="18"/>
      <c r="B37" s="18"/>
      <c r="C37" s="18"/>
      <c r="D37" s="7"/>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s="20" customFormat="1" ht="30" hidden="1" customHeight="1" x14ac:dyDescent="0.25">
      <c r="A38" s="18"/>
      <c r="B38" s="18"/>
      <c r="C38" s="18"/>
      <c r="D38" s="7"/>
      <c r="E38" s="2"/>
      <c r="AM38" s="2"/>
      <c r="AN38" s="2"/>
    </row>
    <row r="39" spans="1:40" s="20" customFormat="1" ht="20.100000000000001" customHeight="1" x14ac:dyDescent="0.25">
      <c r="A39" s="18"/>
      <c r="B39" s="18"/>
      <c r="C39" s="18"/>
      <c r="D39" s="7"/>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s="20" customFormat="1" ht="20.100000000000001" customHeight="1" x14ac:dyDescent="0.25">
      <c r="A40" s="18"/>
      <c r="B40" s="18"/>
      <c r="C40" s="18"/>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row>
    <row r="41" spans="1:40" s="20" customFormat="1" ht="20.100000000000001" customHeight="1" x14ac:dyDescent="0.25">
      <c r="A41" s="18"/>
      <c r="B41" s="18"/>
      <c r="C41" s="18"/>
      <c r="D41" s="7"/>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s="20" customFormat="1" ht="99.95" customHeight="1" x14ac:dyDescent="0.25">
      <c r="A42" s="18"/>
      <c r="B42" s="18"/>
      <c r="C42" s="18"/>
      <c r="D42" s="7"/>
      <c r="E42" s="2"/>
      <c r="F42" s="1049" t="s">
        <v>7998</v>
      </c>
      <c r="G42" s="1050"/>
      <c r="H42" s="1050"/>
      <c r="I42" s="1050"/>
      <c r="J42" s="1050"/>
      <c r="K42" s="1050"/>
      <c r="L42" s="1050"/>
      <c r="M42" s="1051"/>
      <c r="N42" s="1032"/>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4"/>
      <c r="AN42" s="131" t="s">
        <v>8014</v>
      </c>
    </row>
    <row r="43" spans="1:40" s="20" customFormat="1" ht="50.1" customHeight="1" x14ac:dyDescent="0.25">
      <c r="A43" s="18"/>
      <c r="B43" s="18"/>
      <c r="C43" s="18"/>
      <c r="D43" s="7"/>
      <c r="E43" s="2"/>
      <c r="F43" s="1008" t="s">
        <v>143</v>
      </c>
      <c r="G43" s="1009"/>
      <c r="H43" s="1009"/>
      <c r="I43" s="1009"/>
      <c r="J43" s="1009"/>
      <c r="K43" s="1009"/>
      <c r="L43" s="1009"/>
      <c r="M43" s="1010"/>
      <c r="N43" s="1032"/>
      <c r="O43" s="1033"/>
      <c r="P43" s="1033"/>
      <c r="Q43" s="1033"/>
      <c r="R43" s="1033"/>
      <c r="S43" s="1033"/>
      <c r="T43" s="1033"/>
      <c r="U43" s="1033"/>
      <c r="V43" s="1033"/>
      <c r="W43" s="1033"/>
      <c r="X43" s="1033"/>
      <c r="Y43" s="1033"/>
      <c r="Z43" s="1033"/>
      <c r="AA43" s="1033"/>
      <c r="AB43" s="1033"/>
      <c r="AC43" s="1033"/>
      <c r="AD43" s="1033"/>
      <c r="AE43" s="1033"/>
      <c r="AF43" s="1033"/>
      <c r="AG43" s="1033"/>
      <c r="AH43" s="1033"/>
      <c r="AI43" s="1033"/>
      <c r="AJ43" s="1033"/>
      <c r="AK43" s="1033"/>
      <c r="AL43" s="1033"/>
      <c r="AM43" s="1034"/>
      <c r="AN43" s="131" t="s">
        <v>8014</v>
      </c>
    </row>
    <row r="44" spans="1:40" s="20" customFormat="1" ht="20.100000000000001" customHeight="1" x14ac:dyDescent="0.25">
      <c r="A44" s="18"/>
      <c r="B44" s="18"/>
      <c r="C44" s="18"/>
      <c r="D44" s="7"/>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s="20" customFormat="1" ht="20.100000000000001" customHeight="1" x14ac:dyDescent="0.25">
      <c r="A45" s="18"/>
      <c r="B45" s="18"/>
      <c r="C45" s="18"/>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row>
    <row r="46" spans="1:40" ht="20.100000000000001" customHeight="1" x14ac:dyDescent="0.25">
      <c r="A46" s="18"/>
      <c r="B46" s="18"/>
      <c r="C46" s="18"/>
      <c r="D46" s="7"/>
    </row>
    <row r="47" spans="1:40" ht="20.100000000000001" customHeight="1" x14ac:dyDescent="0.25">
      <c r="A47" s="18"/>
      <c r="B47" s="18"/>
      <c r="C47" s="18"/>
      <c r="D47" s="7"/>
      <c r="F47" s="1067" t="s">
        <v>296</v>
      </c>
      <c r="G47" s="1068"/>
      <c r="H47" s="1068"/>
      <c r="I47" s="1068"/>
      <c r="J47" s="1068"/>
      <c r="K47" s="1068"/>
      <c r="L47" s="1069"/>
      <c r="M47" s="1076" t="s">
        <v>186</v>
      </c>
      <c r="N47" s="135"/>
      <c r="O47" s="136"/>
      <c r="P47" s="136"/>
      <c r="Q47" s="136"/>
      <c r="R47" s="137"/>
      <c r="S47" s="1079" t="s">
        <v>293</v>
      </c>
      <c r="T47" s="1064"/>
      <c r="U47" s="1064"/>
      <c r="V47" s="1064"/>
      <c r="W47" s="1064"/>
      <c r="X47" s="1064"/>
      <c r="Y47" s="1064"/>
      <c r="Z47" s="1064" t="s">
        <v>301</v>
      </c>
      <c r="AA47" s="1064"/>
      <c r="AB47" s="1064"/>
      <c r="AC47" s="1064"/>
      <c r="AD47" s="1064"/>
      <c r="AE47" s="1064"/>
      <c r="AF47" s="1064"/>
      <c r="AG47" s="1064"/>
      <c r="AH47" s="1064"/>
      <c r="AI47" s="1064" t="s">
        <v>302</v>
      </c>
      <c r="AJ47" s="1064"/>
      <c r="AK47" s="1064"/>
      <c r="AL47" s="1064"/>
      <c r="AM47" s="1065"/>
      <c r="AN47" s="27"/>
    </row>
    <row r="48" spans="1:40" ht="20.100000000000001" customHeight="1" x14ac:dyDescent="0.25">
      <c r="A48" s="18"/>
      <c r="B48" s="18"/>
      <c r="C48" s="18"/>
      <c r="D48" s="7"/>
      <c r="F48" s="1070"/>
      <c r="G48" s="1071"/>
      <c r="H48" s="1071"/>
      <c r="I48" s="1071"/>
      <c r="J48" s="1071"/>
      <c r="K48" s="1071"/>
      <c r="L48" s="1072"/>
      <c r="M48" s="1077"/>
      <c r="N48" s="138"/>
      <c r="O48" s="1045" t="s">
        <v>219</v>
      </c>
      <c r="P48" s="1045"/>
      <c r="Q48" s="1045"/>
      <c r="R48" s="1046"/>
      <c r="S48" s="1042"/>
      <c r="T48" s="1043"/>
      <c r="U48" s="1043"/>
      <c r="V48" s="1043"/>
      <c r="W48" s="1043"/>
      <c r="X48" s="1043"/>
      <c r="Y48" s="1043"/>
      <c r="Z48" s="1044"/>
      <c r="AA48" s="1044"/>
      <c r="AB48" s="1044"/>
      <c r="AC48" s="1044"/>
      <c r="AD48" s="1044"/>
      <c r="AE48" s="1044"/>
      <c r="AF48" s="1044"/>
      <c r="AG48" s="1044"/>
      <c r="AH48" s="1044"/>
      <c r="AI48" s="1066"/>
      <c r="AJ48" s="1066"/>
      <c r="AK48" s="1066"/>
      <c r="AL48" s="1066"/>
      <c r="AM48" s="1066"/>
      <c r="AN48" s="130"/>
    </row>
    <row r="49" spans="1:40" ht="20.100000000000001" customHeight="1" x14ac:dyDescent="0.25">
      <c r="A49" s="18"/>
      <c r="B49" s="18"/>
      <c r="C49" s="18"/>
      <c r="D49" s="7"/>
      <c r="F49" s="1070"/>
      <c r="G49" s="1071"/>
      <c r="H49" s="1071"/>
      <c r="I49" s="1071"/>
      <c r="J49" s="1071"/>
      <c r="K49" s="1071"/>
      <c r="L49" s="1072"/>
      <c r="M49" s="1077"/>
      <c r="N49" s="1"/>
      <c r="O49" s="138"/>
      <c r="P49" s="138"/>
      <c r="Q49" s="138"/>
      <c r="R49" s="139"/>
      <c r="S49" s="1042"/>
      <c r="T49" s="1043"/>
      <c r="U49" s="1043"/>
      <c r="V49" s="1043"/>
      <c r="W49" s="1043"/>
      <c r="X49" s="1043"/>
      <c r="Y49" s="1043"/>
      <c r="Z49" s="1044"/>
      <c r="AA49" s="1044"/>
      <c r="AB49" s="1044"/>
      <c r="AC49" s="1044"/>
      <c r="AD49" s="1044"/>
      <c r="AE49" s="1044"/>
      <c r="AF49" s="1044"/>
      <c r="AG49" s="1044"/>
      <c r="AH49" s="1044"/>
      <c r="AI49" s="1066"/>
      <c r="AJ49" s="1066"/>
      <c r="AK49" s="1066"/>
      <c r="AL49" s="1066"/>
      <c r="AM49" s="1066"/>
      <c r="AN49" s="130"/>
    </row>
    <row r="50" spans="1:40" ht="20.100000000000001" customHeight="1" x14ac:dyDescent="0.25">
      <c r="A50" s="18"/>
      <c r="B50" s="18"/>
      <c r="C50" s="18"/>
      <c r="D50" s="7"/>
      <c r="F50" s="1070"/>
      <c r="G50" s="1071"/>
      <c r="H50" s="1071"/>
      <c r="I50" s="1071"/>
      <c r="J50" s="1071"/>
      <c r="K50" s="1071"/>
      <c r="L50" s="1072"/>
      <c r="M50" s="1077"/>
      <c r="N50" s="138"/>
      <c r="O50" s="1047" t="s">
        <v>280</v>
      </c>
      <c r="P50" s="1047"/>
      <c r="Q50" s="1047"/>
      <c r="R50" s="1048"/>
      <c r="S50" s="1042"/>
      <c r="T50" s="1043"/>
      <c r="U50" s="1043"/>
      <c r="V50" s="1043"/>
      <c r="W50" s="1043"/>
      <c r="X50" s="1043"/>
      <c r="Y50" s="1043"/>
      <c r="Z50" s="1044"/>
      <c r="AA50" s="1044"/>
      <c r="AB50" s="1044"/>
      <c r="AC50" s="1044"/>
      <c r="AD50" s="1044"/>
      <c r="AE50" s="1044"/>
      <c r="AF50" s="1044"/>
      <c r="AG50" s="1044"/>
      <c r="AH50" s="1044"/>
      <c r="AI50" s="1066"/>
      <c r="AJ50" s="1066"/>
      <c r="AK50" s="1066"/>
      <c r="AL50" s="1066"/>
      <c r="AM50" s="1066"/>
      <c r="AN50" s="156"/>
    </row>
    <row r="51" spans="1:40" ht="20.100000000000001" customHeight="1" x14ac:dyDescent="0.25">
      <c r="A51" s="18"/>
      <c r="B51" s="18"/>
      <c r="C51" s="18"/>
      <c r="D51" s="7"/>
      <c r="F51" s="1073"/>
      <c r="G51" s="1074"/>
      <c r="H51" s="1074"/>
      <c r="I51" s="1074"/>
      <c r="J51" s="1074"/>
      <c r="K51" s="1074"/>
      <c r="L51" s="1075"/>
      <c r="M51" s="1078"/>
      <c r="N51" s="140"/>
      <c r="O51" s="140"/>
      <c r="P51" s="140"/>
      <c r="Q51" s="140"/>
      <c r="R51" s="141"/>
      <c r="S51" s="1042"/>
      <c r="T51" s="1043"/>
      <c r="U51" s="1043"/>
      <c r="V51" s="1043"/>
      <c r="W51" s="1043"/>
      <c r="X51" s="1043"/>
      <c r="Y51" s="1043"/>
      <c r="Z51" s="1044"/>
      <c r="AA51" s="1044"/>
      <c r="AB51" s="1044"/>
      <c r="AC51" s="1044"/>
      <c r="AD51" s="1044"/>
      <c r="AE51" s="1044"/>
      <c r="AF51" s="1044"/>
      <c r="AG51" s="1044"/>
      <c r="AH51" s="1044"/>
      <c r="AI51" s="1066"/>
      <c r="AJ51" s="1066"/>
      <c r="AK51" s="1066"/>
      <c r="AL51" s="1066"/>
      <c r="AM51" s="1066"/>
      <c r="AN51" s="130"/>
    </row>
    <row r="52" spans="1:40" ht="20.100000000000001" customHeight="1" x14ac:dyDescent="0.25">
      <c r="A52" s="18"/>
      <c r="B52" s="18"/>
      <c r="C52" s="18"/>
      <c r="D52" s="7"/>
    </row>
    <row r="53" spans="1:40" s="20" customFormat="1" ht="20.100000000000001" customHeight="1" x14ac:dyDescent="0.25">
      <c r="A53" s="18"/>
      <c r="B53" s="18"/>
      <c r="C53" s="18"/>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167"/>
    </row>
    <row r="54" spans="1:40" s="20" customFormat="1" ht="15" customHeight="1" x14ac:dyDescent="0.25">
      <c r="A54" s="18"/>
      <c r="B54" s="18"/>
      <c r="C54" s="18"/>
      <c r="D54" s="168"/>
      <c r="E54" s="169"/>
      <c r="F54" s="169"/>
      <c r="G54" s="169"/>
      <c r="H54" s="169"/>
      <c r="I54" s="169"/>
      <c r="J54" s="169"/>
      <c r="K54" s="169"/>
      <c r="L54" s="169"/>
      <c r="M54" s="169"/>
      <c r="N54" s="145" t="str">
        <f ca="1">Calculos!$BA$114</f>
        <v/>
      </c>
      <c r="O54" s="169"/>
      <c r="P54" s="169"/>
      <c r="Q54" s="170"/>
      <c r="R54" s="170"/>
      <c r="S54" s="170"/>
      <c r="T54" s="170"/>
      <c r="U54" s="170"/>
      <c r="V54" s="170"/>
      <c r="W54" s="170"/>
      <c r="X54" s="170"/>
      <c r="Y54" s="170"/>
      <c r="Z54" s="170"/>
      <c r="AA54" s="170"/>
      <c r="AB54" s="170"/>
      <c r="AC54" s="169"/>
      <c r="AD54" s="169"/>
      <c r="AE54" s="169"/>
      <c r="AF54" s="169"/>
      <c r="AG54" s="170"/>
      <c r="AH54" s="170"/>
      <c r="AI54" s="170"/>
      <c r="AJ54" s="170"/>
      <c r="AK54" s="170"/>
      <c r="AL54" s="170"/>
      <c r="AM54" s="170"/>
      <c r="AN54" s="170"/>
    </row>
    <row r="55" spans="1:40" s="20" customFormat="1" ht="20.100000000000001" customHeight="1" x14ac:dyDescent="0.25">
      <c r="A55" s="18"/>
      <c r="B55" s="18"/>
      <c r="C55" s="18"/>
      <c r="D55" s="7"/>
      <c r="E55" s="2"/>
      <c r="F55" s="1008" t="s">
        <v>299</v>
      </c>
      <c r="G55" s="1009"/>
      <c r="H55" s="1009"/>
      <c r="I55" s="1009"/>
      <c r="J55" s="1009"/>
      <c r="K55" s="1009"/>
      <c r="L55" s="1041"/>
      <c r="M55" s="148" t="s">
        <v>186</v>
      </c>
      <c r="N55" s="1055" t="s">
        <v>287</v>
      </c>
      <c r="O55" s="1056"/>
      <c r="P55" s="1056"/>
      <c r="Q55" s="1058"/>
      <c r="R55" s="1059"/>
      <c r="S55" s="1059"/>
      <c r="T55" s="1060"/>
      <c r="U55" s="1008" t="s">
        <v>34</v>
      </c>
      <c r="V55" s="1009"/>
      <c r="W55" s="1009"/>
      <c r="X55" s="1009"/>
      <c r="Y55" s="1010"/>
      <c r="Z55" s="1008" t="s">
        <v>278</v>
      </c>
      <c r="AA55" s="1009"/>
      <c r="AB55" s="1010"/>
      <c r="AC55" s="1061"/>
      <c r="AD55" s="1062"/>
      <c r="AE55" s="1063"/>
      <c r="AF55" s="1008" t="s">
        <v>279</v>
      </c>
      <c r="AG55" s="1009"/>
      <c r="AH55" s="1010"/>
      <c r="AI55" s="1061"/>
      <c r="AJ55" s="1062"/>
      <c r="AK55" s="1062"/>
      <c r="AL55" s="1062"/>
      <c r="AM55" s="1063"/>
      <c r="AN55" s="2"/>
    </row>
    <row r="56" spans="1:40" s="20" customFormat="1" ht="99.95" customHeight="1" x14ac:dyDescent="0.25">
      <c r="A56" s="18"/>
      <c r="B56" s="18"/>
      <c r="C56" s="18"/>
      <c r="D56" s="7"/>
      <c r="E56" s="2"/>
      <c r="F56" s="1008" t="s">
        <v>297</v>
      </c>
      <c r="G56" s="1009"/>
      <c r="H56" s="1009"/>
      <c r="I56" s="1009"/>
      <c r="J56" s="1009"/>
      <c r="K56" s="1009"/>
      <c r="L56" s="1041"/>
      <c r="M56" s="148" t="s">
        <v>186</v>
      </c>
      <c r="N56" s="1032"/>
      <c r="O56" s="1033"/>
      <c r="P56" s="1033"/>
      <c r="Q56" s="1033"/>
      <c r="R56" s="1033"/>
      <c r="S56" s="1033"/>
      <c r="T56" s="1033"/>
      <c r="U56" s="1033"/>
      <c r="V56" s="1033"/>
      <c r="W56" s="1033"/>
      <c r="X56" s="1033"/>
      <c r="Y56" s="1033"/>
      <c r="Z56" s="1033"/>
      <c r="AA56" s="1033"/>
      <c r="AB56" s="1033"/>
      <c r="AC56" s="1033"/>
      <c r="AD56" s="1033"/>
      <c r="AE56" s="1033"/>
      <c r="AF56" s="1033"/>
      <c r="AG56" s="1033"/>
      <c r="AH56" s="1033"/>
      <c r="AI56" s="1033"/>
      <c r="AJ56" s="1033"/>
      <c r="AK56" s="1033"/>
      <c r="AL56" s="1033"/>
      <c r="AM56" s="1034"/>
      <c r="AN56" s="131" t="s">
        <v>8014</v>
      </c>
    </row>
    <row r="57" spans="1:40" s="20" customFormat="1" x14ac:dyDescent="0.25">
      <c r="A57" s="18"/>
      <c r="B57" s="18"/>
      <c r="C57" s="18"/>
      <c r="D57" s="7"/>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sheetData>
  <sheetProtection algorithmName="SHA-512" hashValue="L+mqjFdufiRnwa3qWZFGFJb/YYxQKH/RVbt2l2414/r7M4q4DZ5LBFKYcQwY6e6eSV/6VMN5Z2hLYAlITxY+vQ==" saltValue="yFaLdSOYzRwWylWH6Fci1g==" spinCount="100000" sheet="1" objects="1" scenarios="1" formatColumns="0" formatRows="0"/>
  <dataConsolidate/>
  <mergeCells count="157">
    <mergeCell ref="AK11:AN11"/>
    <mergeCell ref="G30:H30"/>
    <mergeCell ref="G31:H31"/>
    <mergeCell ref="G32:H32"/>
    <mergeCell ref="G33:H33"/>
    <mergeCell ref="G34:H34"/>
    <mergeCell ref="G35:H35"/>
    <mergeCell ref="G36:H36"/>
    <mergeCell ref="Q35:R35"/>
    <mergeCell ref="S35:U35"/>
    <mergeCell ref="N36:P36"/>
    <mergeCell ref="Q36:R36"/>
    <mergeCell ref="S36:U36"/>
    <mergeCell ref="Q34:R34"/>
    <mergeCell ref="S34:U34"/>
    <mergeCell ref="S30:U30"/>
    <mergeCell ref="S31:U31"/>
    <mergeCell ref="S32:U32"/>
    <mergeCell ref="Q31:R31"/>
    <mergeCell ref="Q32:R32"/>
    <mergeCell ref="Q33:R33"/>
    <mergeCell ref="S33:U33"/>
    <mergeCell ref="Q28:R28"/>
    <mergeCell ref="S28:U28"/>
    <mergeCell ref="Q26:R26"/>
    <mergeCell ref="S26:U26"/>
    <mergeCell ref="N27:P27"/>
    <mergeCell ref="Q27:R27"/>
    <mergeCell ref="S27:U27"/>
    <mergeCell ref="Q24:R24"/>
    <mergeCell ref="S24:U24"/>
    <mergeCell ref="N25:P25"/>
    <mergeCell ref="Q25:R25"/>
    <mergeCell ref="S25:U25"/>
    <mergeCell ref="N29:P29"/>
    <mergeCell ref="Q29:R29"/>
    <mergeCell ref="S29:U29"/>
    <mergeCell ref="L34:M34"/>
    <mergeCell ref="L35:M35"/>
    <mergeCell ref="L36:M36"/>
    <mergeCell ref="N21:P21"/>
    <mergeCell ref="N22:P22"/>
    <mergeCell ref="N24:P24"/>
    <mergeCell ref="N26:P26"/>
    <mergeCell ref="N28:P28"/>
    <mergeCell ref="N30:P30"/>
    <mergeCell ref="N31:P31"/>
    <mergeCell ref="N32:P32"/>
    <mergeCell ref="N33:P33"/>
    <mergeCell ref="N34:P34"/>
    <mergeCell ref="N35:P35"/>
    <mergeCell ref="Q21:R21"/>
    <mergeCell ref="S21:U21"/>
    <mergeCell ref="Q22:R22"/>
    <mergeCell ref="S22:U22"/>
    <mergeCell ref="N23:P23"/>
    <mergeCell ref="Q23:R23"/>
    <mergeCell ref="S23:U23"/>
    <mergeCell ref="G22:H22"/>
    <mergeCell ref="G23:H23"/>
    <mergeCell ref="G24:H24"/>
    <mergeCell ref="G25:H25"/>
    <mergeCell ref="G26:H26"/>
    <mergeCell ref="G27:H27"/>
    <mergeCell ref="G28:H28"/>
    <mergeCell ref="G29:H29"/>
    <mergeCell ref="I21:K21"/>
    <mergeCell ref="I22:K22"/>
    <mergeCell ref="I23:K23"/>
    <mergeCell ref="I24:K24"/>
    <mergeCell ref="I25:K25"/>
    <mergeCell ref="I26:K26"/>
    <mergeCell ref="I27:K27"/>
    <mergeCell ref="I28:K28"/>
    <mergeCell ref="F56:L56"/>
    <mergeCell ref="N56:AM56"/>
    <mergeCell ref="N43:AM43"/>
    <mergeCell ref="F55:L55"/>
    <mergeCell ref="U55:Y55"/>
    <mergeCell ref="Z55:AB55"/>
    <mergeCell ref="AC55:AE55"/>
    <mergeCell ref="AF55:AH55"/>
    <mergeCell ref="AI55:AM55"/>
    <mergeCell ref="N55:P55"/>
    <mergeCell ref="Q55:T55"/>
    <mergeCell ref="N15:P15"/>
    <mergeCell ref="F42:M42"/>
    <mergeCell ref="N42:AM42"/>
    <mergeCell ref="F47:L51"/>
    <mergeCell ref="M47:M51"/>
    <mergeCell ref="S47:Y47"/>
    <mergeCell ref="Z47:AH47"/>
    <mergeCell ref="AI47:AM47"/>
    <mergeCell ref="S48:Y48"/>
    <mergeCell ref="AI48:AM48"/>
    <mergeCell ref="S49:Y49"/>
    <mergeCell ref="Z49:AH49"/>
    <mergeCell ref="AI49:AM49"/>
    <mergeCell ref="S50:Y50"/>
    <mergeCell ref="Z50:AH50"/>
    <mergeCell ref="AI50:AM50"/>
    <mergeCell ref="S51:Y51"/>
    <mergeCell ref="Z51:AH51"/>
    <mergeCell ref="AI51:AM51"/>
    <mergeCell ref="Z48:AH48"/>
    <mergeCell ref="O48:R48"/>
    <mergeCell ref="O50:R50"/>
    <mergeCell ref="F43:M43"/>
    <mergeCell ref="G21:H21"/>
    <mergeCell ref="N16:S16"/>
    <mergeCell ref="F16:L16"/>
    <mergeCell ref="F17:L17"/>
    <mergeCell ref="N17:S17"/>
    <mergeCell ref="T17:Z17"/>
    <mergeCell ref="AI2:AN7"/>
    <mergeCell ref="N10:Z10"/>
    <mergeCell ref="AA10:AD10"/>
    <mergeCell ref="AF10:AJ10"/>
    <mergeCell ref="N11:AJ11"/>
    <mergeCell ref="N13:AJ13"/>
    <mergeCell ref="N14:AJ14"/>
    <mergeCell ref="N12:S12"/>
    <mergeCell ref="R15:X15"/>
    <mergeCell ref="Y15:AB15"/>
    <mergeCell ref="AD15:AJ15"/>
    <mergeCell ref="F2:AG6"/>
    <mergeCell ref="F7:J7"/>
    <mergeCell ref="F14:M14"/>
    <mergeCell ref="F10:L10"/>
    <mergeCell ref="F11:L11"/>
    <mergeCell ref="F12:L12"/>
    <mergeCell ref="F13:L13"/>
    <mergeCell ref="F15:M15"/>
    <mergeCell ref="AB17:AJ17"/>
    <mergeCell ref="I33:K33"/>
    <mergeCell ref="I34:K34"/>
    <mergeCell ref="I35:K35"/>
    <mergeCell ref="I36:K36"/>
    <mergeCell ref="Q30:R30"/>
    <mergeCell ref="I29:K29"/>
    <mergeCell ref="I30:K30"/>
    <mergeCell ref="I31:K31"/>
    <mergeCell ref="I32:K32"/>
    <mergeCell ref="L21:M21"/>
    <mergeCell ref="L22:M22"/>
    <mergeCell ref="L23:M23"/>
    <mergeCell ref="L24:M24"/>
    <mergeCell ref="L25:M25"/>
    <mergeCell ref="L26:M26"/>
    <mergeCell ref="L27:M27"/>
    <mergeCell ref="L28:M28"/>
    <mergeCell ref="V21:Y21"/>
    <mergeCell ref="L29:M29"/>
    <mergeCell ref="L30:M30"/>
    <mergeCell ref="L31:M31"/>
    <mergeCell ref="L32:M32"/>
    <mergeCell ref="L33:M33"/>
  </mergeCells>
  <conditionalFormatting sqref="F7">
    <cfRule type="notContainsBlanks" dxfId="648" priority="1">
      <formula>LEN(TRIM(F7))&gt;0</formula>
    </cfRule>
  </conditionalFormatting>
  <conditionalFormatting sqref="M10:M13">
    <cfRule type="expression" dxfId="647" priority="16">
      <formula>N10&lt;&gt;""</formula>
    </cfRule>
  </conditionalFormatting>
  <conditionalFormatting sqref="M16:M17">
    <cfRule type="expression" dxfId="646" priority="14">
      <formula>N16&lt;&gt;""</formula>
    </cfRule>
  </conditionalFormatting>
  <conditionalFormatting sqref="M55">
    <cfRule type="expression" dxfId="644" priority="8">
      <formula>OR($Q$55&lt;&gt;"",$AC$55&lt;&gt;"")</formula>
    </cfRule>
  </conditionalFormatting>
  <conditionalFormatting sqref="M56">
    <cfRule type="expression" dxfId="643" priority="9">
      <formula>N56&lt;&gt;""</formula>
    </cfRule>
  </conditionalFormatting>
  <conditionalFormatting sqref="N21:P36">
    <cfRule type="expression" dxfId="642" priority="3">
      <formula>COUNTIF($L$22:$M$36,"&gt;0")=0</formula>
    </cfRule>
  </conditionalFormatting>
  <conditionalFormatting sqref="Q15">
    <cfRule type="expression" dxfId="641" priority="13">
      <formula>R15&lt;&gt;""</formula>
    </cfRule>
  </conditionalFormatting>
  <conditionalFormatting sqref="S21:U36">
    <cfRule type="expression" dxfId="640" priority="2">
      <formula>COUNTIF($Q$22:$R$36,"&gt;0")=0</formula>
    </cfRule>
  </conditionalFormatting>
  <conditionalFormatting sqref="AA17">
    <cfRule type="expression" dxfId="638" priority="11">
      <formula>AB17&lt;&gt;""</formula>
    </cfRule>
  </conditionalFormatting>
  <conditionalFormatting sqref="AC15">
    <cfRule type="expression" dxfId="637" priority="12">
      <formula>AD15&lt;&gt;""</formula>
    </cfRule>
  </conditionalFormatting>
  <conditionalFormatting sqref="AE10">
    <cfRule type="expression" dxfId="636" priority="15">
      <formula>AF10&lt;&gt;""</formula>
    </cfRule>
  </conditionalFormatting>
  <dataValidations count="15">
    <dataValidation type="list" allowBlank="1" showInputMessage="1" showErrorMessage="1" errorTitle="Código inválido" error="Preencher os dados do certificado na guia &quot;Certificados&quot; antes de atribuí-lo a algum estudo" sqref="N16:S16" xr:uid="{2E93D994-74A8-417F-8466-C4CB0B154658}">
      <formula1>src_certificados</formula1>
    </dataValidation>
    <dataValidation type="custom" allowBlank="1" showInputMessage="1" showErrorMessage="1" errorTitle="Data inválida" error="A data de conclusão não pode ser anterior a data de início." sqref="AD15:AJ15" xr:uid="{C715AF8E-B3F0-433D-AC59-67BD361F2F58}">
      <formula1>R15&lt;=AD15</formula1>
    </dataValidation>
    <dataValidation type="custom" allowBlank="1" showInputMessage="1" showErrorMessage="1" errorTitle="Valor inválido" error="O número de animais mortos não pode ser superior a quantidade de animais avaliados." sqref="N22:P36 S22:U36" xr:uid="{41E290BD-6884-4502-83DD-9F91E3B44D38}">
      <formula1>L22&gt;=N22</formula1>
    </dataValidation>
    <dataValidation type="decimal" operator="greaterThanOrEqual" allowBlank="1" showInputMessage="1" showErrorMessage="1" errorTitle="Valor inválido" error="O valor da dose deve ser um número decimal" sqref="Q55:T55" xr:uid="{BB15195B-C9C7-4562-871D-7BD0FD2ECE89}">
      <formula1>0</formula1>
    </dataValidation>
    <dataValidation allowBlank="1" showInputMessage="1" showErrorMessage="1" promptTitle="Ajuda" prompt="Código gerado pelo laboratório executor" sqref="AA10:AD10" xr:uid="{3A94E405-2480-42E9-917B-5521CCD2D861}"/>
    <dataValidation allowBlank="1" showInputMessage="1" showErrorMessage="1" promptTitle="Ajuda" prompt="Informar nome e estado/país do laboratório executor" sqref="F11:L11" xr:uid="{ADCA547E-0084-4562-B931-42B4BEABED7F}"/>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FE9725A5-F2E6-4591-9DCA-8D337637DB2B}"/>
    <dataValidation allowBlank="1" showInputMessage="1" showErrorMessage="1" promptTitle="Ajuda" prompt="Data de início da exposição dos animais à substância teste" sqref="N15:P15" xr:uid="{CB51FE0E-022C-4602-A162-F8782E732705}"/>
    <dataValidation allowBlank="1" showInputMessage="1" showErrorMessage="1" promptTitle="Ajuda" prompt="São considerados desvios os procedimentos que tenham sido conduzidos em desacordo com o protocolo. _x000a__x000a_Alterações no corpo técnico, retificações no texto do relatório ou similiares não são considerados desvios ao protocolo." sqref="F47:L51" xr:uid="{4925A1D2-28F7-4AE9-8359-7B80A41A47C2}"/>
    <dataValidation allowBlank="1" showInputMessage="1" showErrorMessage="1" promptTitle="Ajuda" prompt="Descrição sucinta do desvio ocorrido._x000a__x000a_Caso tenha ocorrido mais do que quatro desvios, os demais deverão estar descritos na última linha e separados por ponto e vírgula" sqref="S47:Y47" xr:uid="{D4DB9072-D77C-429E-8B5E-E5B2F03CF3CF}"/>
    <dataValidation allowBlank="1" showInputMessage="1" showErrorMessage="1" promptTitle="Ajuda" prompt="Incluir a justificativa do porquê ocorreu desvio e qual é interpretação dos seus impactos frente aos resultados do estudos." sqref="Z47:AH47" xr:uid="{7C6FA17E-94E6-49A0-9BC1-88FCA64BC1E1}"/>
    <dataValidation allowBlank="1" showInputMessage="1" showErrorMessage="1" promptTitle="Ajuda" prompt="Informar apenas se o(s) desvio(s) afetam de algum modo a interpretação dos resultados" sqref="AI47:AM47" xr:uid="{0E436C5E-580C-4C78-A049-C52F5FFCDE45}"/>
    <dataValidation allowBlank="1" showInputMessage="1" showErrorMessage="1" promptTitle="Ajuda" prompt="A conclusão deverá ser conforme está escrito no relatório do estudo._x000a_" sqref="F56:L56" xr:uid="{91A09879-2936-4FEC-B9E0-8E55CEA022F9}"/>
    <dataValidation allowBlank="1" showInputMessage="1" showErrorMessage="1" promptTitle="Ajuda" prompt="Informar o resultado a partir da dose testada nos animais. Não adotar o valor de referência no protocolo OECD (Cut-off)." sqref="F55:L55" xr:uid="{85F3FC4E-B9B0-4B01-85DE-B0071B1428AF}"/>
    <dataValidation allowBlank="1" showInputMessage="1" showErrorMessage="1" prompt="Consideram-se evidências de toxicidade as alterações observadas nos animais decorrentes da exposição à substância teste até os valores da categoria 4, exceto para diarreia, piloereção e aparência descuidada._x000a__x000a_*RDC 294/19, ANEXO IV, item 1.5, alínea d" sqref="V21:Y21" xr:uid="{5FA567AE-4D1F-43BD-9E00-6B2F46008E0D}"/>
  </dataValidations>
  <hyperlinks>
    <hyperlink ref="F7" location="Alertas!G2" display="Alertas!G2" xr:uid="{7E1F56B4-7BC3-4237-8F82-EC77173426B4}"/>
  </hyperlinks>
  <pageMargins left="0.511811024" right="0.511811024" top="0.78740157499999996" bottom="0.78740157499999996" header="0.31496062000000002" footer="0.31496062000000002"/>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77" r:id="rId4" name="check_dloral1_maiorque">
              <controlPr defaultSize="0" autoFill="0" autoLine="0" autoPict="0">
                <anchor moveWithCells="1">
                  <from>
                    <xdr:col>13</xdr:col>
                    <xdr:colOff>19050</xdr:colOff>
                    <xdr:row>54</xdr:row>
                    <xdr:rowOff>9525</xdr:rowOff>
                  </from>
                  <to>
                    <xdr:col>15</xdr:col>
                    <xdr:colOff>266700</xdr:colOff>
                    <xdr:row>54</xdr:row>
                    <xdr:rowOff>238125</xdr:rowOff>
                  </to>
                </anchor>
              </controlPr>
            </control>
          </mc:Choice>
        </mc:AlternateContent>
        <mc:AlternateContent xmlns:mc="http://schemas.openxmlformats.org/markup-compatibility/2006">
          <mc:Choice Requires="x14">
            <control shapeId="23578" r:id="rId5" name="optn_dloral1_desvios1">
              <controlPr defaultSize="0" autoFill="0" autoLine="0" autoPict="0">
                <anchor moveWithCells="1">
                  <from>
                    <xdr:col>13</xdr:col>
                    <xdr:colOff>85725</xdr:colOff>
                    <xdr:row>46</xdr:row>
                    <xdr:rowOff>171450</xdr:rowOff>
                  </from>
                  <to>
                    <xdr:col>17</xdr:col>
                    <xdr:colOff>266700</xdr:colOff>
                    <xdr:row>48</xdr:row>
                    <xdr:rowOff>66675</xdr:rowOff>
                  </to>
                </anchor>
              </controlPr>
            </control>
          </mc:Choice>
        </mc:AlternateContent>
        <mc:AlternateContent xmlns:mc="http://schemas.openxmlformats.org/markup-compatibility/2006">
          <mc:Choice Requires="x14">
            <control shapeId="23579" r:id="rId6" name="optn_dloral1_desvios2">
              <controlPr defaultSize="0" autoFill="0" autoLine="0" autoPict="0">
                <anchor moveWithCells="1">
                  <from>
                    <xdr:col>13</xdr:col>
                    <xdr:colOff>95250</xdr:colOff>
                    <xdr:row>48</xdr:row>
                    <xdr:rowOff>171450</xdr:rowOff>
                  </from>
                  <to>
                    <xdr:col>17</xdr:col>
                    <xdr:colOff>266700</xdr:colOff>
                    <xdr:row>50</xdr:row>
                    <xdr:rowOff>66675</xdr:rowOff>
                  </to>
                </anchor>
              </controlPr>
            </control>
          </mc:Choice>
        </mc:AlternateContent>
        <mc:AlternateContent xmlns:mc="http://schemas.openxmlformats.org/markup-compatibility/2006">
          <mc:Choice Requires="x14">
            <control shapeId="23580" r:id="rId7" name="evid_tox_1">
              <controlPr defaultSize="0" autoFill="0" autoLine="0" autoPict="0">
                <anchor moveWithCells="1">
                  <from>
                    <xdr:col>22</xdr:col>
                    <xdr:colOff>142875</xdr:colOff>
                    <xdr:row>21</xdr:row>
                    <xdr:rowOff>9525</xdr:rowOff>
                  </from>
                  <to>
                    <xdr:col>24</xdr:col>
                    <xdr:colOff>295275</xdr:colOff>
                    <xdr:row>21</xdr:row>
                    <xdr:rowOff>314325</xdr:rowOff>
                  </to>
                </anchor>
              </controlPr>
            </control>
          </mc:Choice>
        </mc:AlternateContent>
        <mc:AlternateContent xmlns:mc="http://schemas.openxmlformats.org/markup-compatibility/2006">
          <mc:Choice Requires="x14">
            <control shapeId="23581" r:id="rId8" name="evid_tox_3">
              <controlPr defaultSize="0" autoFill="0" autoLine="0" autoPict="0">
                <anchor moveWithCells="1">
                  <from>
                    <xdr:col>22</xdr:col>
                    <xdr:colOff>142875</xdr:colOff>
                    <xdr:row>23</xdr:row>
                    <xdr:rowOff>9525</xdr:rowOff>
                  </from>
                  <to>
                    <xdr:col>24</xdr:col>
                    <xdr:colOff>295275</xdr:colOff>
                    <xdr:row>23</xdr:row>
                    <xdr:rowOff>314325</xdr:rowOff>
                  </to>
                </anchor>
              </controlPr>
            </control>
          </mc:Choice>
        </mc:AlternateContent>
        <mc:AlternateContent xmlns:mc="http://schemas.openxmlformats.org/markup-compatibility/2006">
          <mc:Choice Requires="x14">
            <control shapeId="23582" r:id="rId9" name="evid_tox_4">
              <controlPr defaultSize="0" autoFill="0" autoLine="0" autoPict="0">
                <anchor moveWithCells="1">
                  <from>
                    <xdr:col>22</xdr:col>
                    <xdr:colOff>142875</xdr:colOff>
                    <xdr:row>24</xdr:row>
                    <xdr:rowOff>9525</xdr:rowOff>
                  </from>
                  <to>
                    <xdr:col>24</xdr:col>
                    <xdr:colOff>295275</xdr:colOff>
                    <xdr:row>24</xdr:row>
                    <xdr:rowOff>314325</xdr:rowOff>
                  </to>
                </anchor>
              </controlPr>
            </control>
          </mc:Choice>
        </mc:AlternateContent>
        <mc:AlternateContent xmlns:mc="http://schemas.openxmlformats.org/markup-compatibility/2006">
          <mc:Choice Requires="x14">
            <control shapeId="23583" r:id="rId10" name="evid_tox_5">
              <controlPr defaultSize="0" autoFill="0" autoLine="0" autoPict="0">
                <anchor moveWithCells="1">
                  <from>
                    <xdr:col>22</xdr:col>
                    <xdr:colOff>142875</xdr:colOff>
                    <xdr:row>25</xdr:row>
                    <xdr:rowOff>9525</xdr:rowOff>
                  </from>
                  <to>
                    <xdr:col>24</xdr:col>
                    <xdr:colOff>295275</xdr:colOff>
                    <xdr:row>25</xdr:row>
                    <xdr:rowOff>314325</xdr:rowOff>
                  </to>
                </anchor>
              </controlPr>
            </control>
          </mc:Choice>
        </mc:AlternateContent>
        <mc:AlternateContent xmlns:mc="http://schemas.openxmlformats.org/markup-compatibility/2006">
          <mc:Choice Requires="x14">
            <control shapeId="23584" r:id="rId11" name="evid_tox_6">
              <controlPr defaultSize="0" autoFill="0" autoLine="0" autoPict="0">
                <anchor moveWithCells="1">
                  <from>
                    <xdr:col>22</xdr:col>
                    <xdr:colOff>142875</xdr:colOff>
                    <xdr:row>26</xdr:row>
                    <xdr:rowOff>9525</xdr:rowOff>
                  </from>
                  <to>
                    <xdr:col>24</xdr:col>
                    <xdr:colOff>295275</xdr:colOff>
                    <xdr:row>26</xdr:row>
                    <xdr:rowOff>314325</xdr:rowOff>
                  </to>
                </anchor>
              </controlPr>
            </control>
          </mc:Choice>
        </mc:AlternateContent>
        <mc:AlternateContent xmlns:mc="http://schemas.openxmlformats.org/markup-compatibility/2006">
          <mc:Choice Requires="x14">
            <control shapeId="23585" r:id="rId12" name="evid_tox_7">
              <controlPr defaultSize="0" autoFill="0" autoLine="0" autoPict="0">
                <anchor moveWithCells="1">
                  <from>
                    <xdr:col>22</xdr:col>
                    <xdr:colOff>142875</xdr:colOff>
                    <xdr:row>27</xdr:row>
                    <xdr:rowOff>9525</xdr:rowOff>
                  </from>
                  <to>
                    <xdr:col>24</xdr:col>
                    <xdr:colOff>295275</xdr:colOff>
                    <xdr:row>27</xdr:row>
                    <xdr:rowOff>314325</xdr:rowOff>
                  </to>
                </anchor>
              </controlPr>
            </control>
          </mc:Choice>
        </mc:AlternateContent>
        <mc:AlternateContent xmlns:mc="http://schemas.openxmlformats.org/markup-compatibility/2006">
          <mc:Choice Requires="x14">
            <control shapeId="23586" r:id="rId13" name="evid_tox_8">
              <controlPr defaultSize="0" autoFill="0" autoLine="0" autoPict="0">
                <anchor moveWithCells="1">
                  <from>
                    <xdr:col>22</xdr:col>
                    <xdr:colOff>142875</xdr:colOff>
                    <xdr:row>28</xdr:row>
                    <xdr:rowOff>9525</xdr:rowOff>
                  </from>
                  <to>
                    <xdr:col>24</xdr:col>
                    <xdr:colOff>295275</xdr:colOff>
                    <xdr:row>28</xdr:row>
                    <xdr:rowOff>314325</xdr:rowOff>
                  </to>
                </anchor>
              </controlPr>
            </control>
          </mc:Choice>
        </mc:AlternateContent>
        <mc:AlternateContent xmlns:mc="http://schemas.openxmlformats.org/markup-compatibility/2006">
          <mc:Choice Requires="x14">
            <control shapeId="23587" r:id="rId14" name="evid_tox_9">
              <controlPr defaultSize="0" autoFill="0" autoLine="0" autoPict="0">
                <anchor moveWithCells="1">
                  <from>
                    <xdr:col>22</xdr:col>
                    <xdr:colOff>142875</xdr:colOff>
                    <xdr:row>29</xdr:row>
                    <xdr:rowOff>19050</xdr:rowOff>
                  </from>
                  <to>
                    <xdr:col>24</xdr:col>
                    <xdr:colOff>295275</xdr:colOff>
                    <xdr:row>30</xdr:row>
                    <xdr:rowOff>0</xdr:rowOff>
                  </to>
                </anchor>
              </controlPr>
            </control>
          </mc:Choice>
        </mc:AlternateContent>
        <mc:AlternateContent xmlns:mc="http://schemas.openxmlformats.org/markup-compatibility/2006">
          <mc:Choice Requires="x14">
            <control shapeId="23588" r:id="rId15" name="evid_tox_10">
              <controlPr defaultSize="0" autoFill="0" autoLine="0" autoPict="0">
                <anchor moveWithCells="1">
                  <from>
                    <xdr:col>22</xdr:col>
                    <xdr:colOff>142875</xdr:colOff>
                    <xdr:row>30</xdr:row>
                    <xdr:rowOff>19050</xdr:rowOff>
                  </from>
                  <to>
                    <xdr:col>24</xdr:col>
                    <xdr:colOff>295275</xdr:colOff>
                    <xdr:row>31</xdr:row>
                    <xdr:rowOff>0</xdr:rowOff>
                  </to>
                </anchor>
              </controlPr>
            </control>
          </mc:Choice>
        </mc:AlternateContent>
        <mc:AlternateContent xmlns:mc="http://schemas.openxmlformats.org/markup-compatibility/2006">
          <mc:Choice Requires="x14">
            <control shapeId="23589" r:id="rId16" name="evid_tox_11">
              <controlPr defaultSize="0" autoFill="0" autoLine="0" autoPict="0">
                <anchor moveWithCells="1">
                  <from>
                    <xdr:col>22</xdr:col>
                    <xdr:colOff>142875</xdr:colOff>
                    <xdr:row>31</xdr:row>
                    <xdr:rowOff>19050</xdr:rowOff>
                  </from>
                  <to>
                    <xdr:col>24</xdr:col>
                    <xdr:colOff>295275</xdr:colOff>
                    <xdr:row>32</xdr:row>
                    <xdr:rowOff>0</xdr:rowOff>
                  </to>
                </anchor>
              </controlPr>
            </control>
          </mc:Choice>
        </mc:AlternateContent>
        <mc:AlternateContent xmlns:mc="http://schemas.openxmlformats.org/markup-compatibility/2006">
          <mc:Choice Requires="x14">
            <control shapeId="23590" r:id="rId17" name="evid_tox_12">
              <controlPr defaultSize="0" autoFill="0" autoLine="0" autoPict="0">
                <anchor moveWithCells="1">
                  <from>
                    <xdr:col>22</xdr:col>
                    <xdr:colOff>142875</xdr:colOff>
                    <xdr:row>32</xdr:row>
                    <xdr:rowOff>19050</xdr:rowOff>
                  </from>
                  <to>
                    <xdr:col>24</xdr:col>
                    <xdr:colOff>295275</xdr:colOff>
                    <xdr:row>33</xdr:row>
                    <xdr:rowOff>0</xdr:rowOff>
                  </to>
                </anchor>
              </controlPr>
            </control>
          </mc:Choice>
        </mc:AlternateContent>
        <mc:AlternateContent xmlns:mc="http://schemas.openxmlformats.org/markup-compatibility/2006">
          <mc:Choice Requires="x14">
            <control shapeId="23591" r:id="rId18" name="evid_tox_13">
              <controlPr defaultSize="0" autoFill="0" autoLine="0" autoPict="0">
                <anchor moveWithCells="1">
                  <from>
                    <xdr:col>22</xdr:col>
                    <xdr:colOff>142875</xdr:colOff>
                    <xdr:row>33</xdr:row>
                    <xdr:rowOff>19050</xdr:rowOff>
                  </from>
                  <to>
                    <xdr:col>24</xdr:col>
                    <xdr:colOff>295275</xdr:colOff>
                    <xdr:row>34</xdr:row>
                    <xdr:rowOff>0</xdr:rowOff>
                  </to>
                </anchor>
              </controlPr>
            </control>
          </mc:Choice>
        </mc:AlternateContent>
        <mc:AlternateContent xmlns:mc="http://schemas.openxmlformats.org/markup-compatibility/2006">
          <mc:Choice Requires="x14">
            <control shapeId="23592" r:id="rId19" name="evid_tox_14">
              <controlPr defaultSize="0" autoFill="0" autoLine="0" autoPict="0">
                <anchor moveWithCells="1">
                  <from>
                    <xdr:col>22</xdr:col>
                    <xdr:colOff>142875</xdr:colOff>
                    <xdr:row>34</xdr:row>
                    <xdr:rowOff>19050</xdr:rowOff>
                  </from>
                  <to>
                    <xdr:col>24</xdr:col>
                    <xdr:colOff>295275</xdr:colOff>
                    <xdr:row>35</xdr:row>
                    <xdr:rowOff>0</xdr:rowOff>
                  </to>
                </anchor>
              </controlPr>
            </control>
          </mc:Choice>
        </mc:AlternateContent>
        <mc:AlternateContent xmlns:mc="http://schemas.openxmlformats.org/markup-compatibility/2006">
          <mc:Choice Requires="x14">
            <control shapeId="23593" r:id="rId20" name="evid_tox_15">
              <controlPr defaultSize="0" autoFill="0" autoLine="0" autoPict="0">
                <anchor moveWithCells="1">
                  <from>
                    <xdr:col>22</xdr:col>
                    <xdr:colOff>142875</xdr:colOff>
                    <xdr:row>35</xdr:row>
                    <xdr:rowOff>19050</xdr:rowOff>
                  </from>
                  <to>
                    <xdr:col>24</xdr:col>
                    <xdr:colOff>295275</xdr:colOff>
                    <xdr:row>36</xdr:row>
                    <xdr:rowOff>0</xdr:rowOff>
                  </to>
                </anchor>
              </controlPr>
            </control>
          </mc:Choice>
        </mc:AlternateContent>
        <mc:AlternateContent xmlns:mc="http://schemas.openxmlformats.org/markup-compatibility/2006">
          <mc:Choice Requires="x14">
            <control shapeId="23594" r:id="rId21" name="Check Box 42">
              <controlPr defaultSize="0" autoFill="0" autoLine="0" autoPict="0">
                <anchor moveWithCells="1">
                  <from>
                    <xdr:col>22</xdr:col>
                    <xdr:colOff>152400</xdr:colOff>
                    <xdr:row>22</xdr:row>
                    <xdr:rowOff>9525</xdr:rowOff>
                  </from>
                  <to>
                    <xdr:col>24</xdr:col>
                    <xdr:colOff>304800</xdr:colOff>
                    <xdr:row>22</xdr:row>
                    <xdr:rowOff>314325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95D346FE-852F-4851-83ED-B2E7D8394637}">
            <xm:f>Respostas_usuario!$K$4&lt;&gt;0</xm:f>
            <x14:dxf>
              <font>
                <b/>
                <i val="0"/>
                <color rgb="FF00B050"/>
              </font>
              <fill>
                <patternFill>
                  <bgColor theme="0"/>
                </patternFill>
              </fill>
            </x14:dxf>
          </x14:cfRule>
          <xm:sqref>M47:M51</xm:sqref>
        </x14:conditionalFormatting>
        <x14:conditionalFormatting xmlns:xm="http://schemas.microsoft.com/office/excel/2006/main">
          <x14:cfRule type="expression" priority="7" id="{B68017A3-777A-45CE-9485-16BC63B77B61}">
            <xm:f>Respostas_usuario!$K$4&lt;&gt;2</xm:f>
            <x14:dxf>
              <font>
                <color theme="0"/>
              </font>
              <fill>
                <patternFill>
                  <bgColor theme="0"/>
                </patternFill>
              </fill>
              <border>
                <right/>
                <top/>
                <bottom/>
                <vertical/>
                <horizontal/>
              </border>
            </x14:dxf>
          </x14:cfRule>
          <xm:sqref>S47:AM51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Resposta inválida" error="A resposta de ser Sim ou Não." xr:uid="{21A1EEF4-7FB6-49D5-A6A3-F7E968584C22}">
          <x14:formula1>
            <xm:f>Tabelas_fonte!$Y$2:$Y$3</xm:f>
          </x14:formula1>
          <xm:sqref>N12:S12</xm:sqref>
        </x14:dataValidation>
        <x14:dataValidation type="list" allowBlank="1" showInputMessage="1" xr:uid="{6CD4D891-FC59-44E2-9487-B41377E02895}">
          <x14:formula1>
            <xm:f>Tabelas_fonte!$AC$2:$AC$7</xm:f>
          </x14:formula1>
          <xm:sqref>N13:AJ13</xm:sqref>
        </x14:dataValidation>
        <x14:dataValidation type="list" allowBlank="1" showInputMessage="1" showErrorMessage="1" errorTitle="Valor inválido" error="A resposta deve ser Sim ou Não" xr:uid="{85927A51-B04B-4BF6-834A-232BA7E42C5A}">
          <x14:formula1>
            <xm:f>Tabelas_fonte!$Y$2:$Y$3</xm:f>
          </x14:formula1>
          <xm:sqref>AI48:AM51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84272-9C61-4B23-94CC-AE80281FB188}">
  <sheetPr codeName="Planilha17">
    <tabColor theme="8" tint="0.59999389629810485"/>
  </sheetPr>
  <dimension ref="A1:AN57"/>
  <sheetViews>
    <sheetView showGridLines="0" topLeftCell="D1" workbookViewId="0">
      <selection activeCell="D1" sqref="D1"/>
    </sheetView>
  </sheetViews>
  <sheetFormatPr defaultColWidth="0" defaultRowHeight="15" customHeight="1" zeroHeight="1" x14ac:dyDescent="0.25"/>
  <cols>
    <col min="1" max="3" width="4.7109375" style="20" hidden="1" customWidth="1"/>
    <col min="4" max="5" width="2.7109375" style="20" customWidth="1"/>
    <col min="6" max="13" width="4.7109375" style="20" customWidth="1"/>
    <col min="14" max="14" width="5.7109375" style="20" customWidth="1"/>
    <col min="15" max="15" width="5.28515625" style="20" customWidth="1"/>
    <col min="16" max="39" width="4.7109375" style="20" customWidth="1"/>
    <col min="40" max="40" width="8.7109375" style="20" customWidth="1"/>
    <col min="41" max="16384" width="9.140625" style="20" hidden="1"/>
  </cols>
  <sheetData>
    <row r="1" spans="1:40" x14ac:dyDescent="0.25">
      <c r="A1" s="18"/>
      <c r="B1" s="18"/>
      <c r="C1" s="18"/>
      <c r="D1" s="7"/>
      <c r="E1" s="7"/>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5" customHeight="1" x14ac:dyDescent="0.25">
      <c r="A2" s="18"/>
      <c r="B2" s="18"/>
      <c r="C2" s="18"/>
      <c r="D2" s="7"/>
      <c r="E2" s="2"/>
      <c r="F2" s="1148" t="s">
        <v>6049</v>
      </c>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58"/>
      <c r="AI2" s="1035" t="s">
        <v>0</v>
      </c>
      <c r="AJ2" s="1035"/>
      <c r="AK2" s="1035"/>
      <c r="AL2" s="1035"/>
      <c r="AM2" s="1035"/>
      <c r="AN2" s="1035"/>
    </row>
    <row r="3" spans="1:40" ht="15" customHeight="1" x14ac:dyDescent="0.25">
      <c r="A3" s="18"/>
      <c r="B3" s="18"/>
      <c r="C3" s="18"/>
      <c r="D3" s="159"/>
      <c r="E3" s="15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58"/>
      <c r="AI3" s="1035"/>
      <c r="AJ3" s="1035"/>
      <c r="AK3" s="1035"/>
      <c r="AL3" s="1035"/>
      <c r="AM3" s="1035"/>
      <c r="AN3" s="1035"/>
    </row>
    <row r="4" spans="1:40" ht="15" customHeight="1" x14ac:dyDescent="0.25">
      <c r="A4" s="18"/>
      <c r="B4" s="18"/>
      <c r="C4" s="18"/>
      <c r="D4" s="159"/>
      <c r="E4" s="15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58"/>
      <c r="AI4" s="1035"/>
      <c r="AJ4" s="1035"/>
      <c r="AK4" s="1035"/>
      <c r="AL4" s="1035"/>
      <c r="AM4" s="1035"/>
      <c r="AN4" s="1035"/>
    </row>
    <row r="5" spans="1:40" ht="15" customHeight="1" x14ac:dyDescent="0.25">
      <c r="A5" s="18"/>
      <c r="B5" s="18"/>
      <c r="C5" s="18"/>
      <c r="D5" s="159"/>
      <c r="E5" s="158"/>
      <c r="F5" s="1148"/>
      <c r="G5" s="1148"/>
      <c r="H5" s="1148"/>
      <c r="I5" s="1148"/>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58"/>
      <c r="AI5" s="1035"/>
      <c r="AJ5" s="1035"/>
      <c r="AK5" s="1035"/>
      <c r="AL5" s="1035"/>
      <c r="AM5" s="1035"/>
      <c r="AN5" s="1035"/>
    </row>
    <row r="6" spans="1:40" ht="15" customHeight="1" x14ac:dyDescent="0.25">
      <c r="A6" s="18"/>
      <c r="B6" s="18"/>
      <c r="C6" s="18"/>
      <c r="D6" s="159"/>
      <c r="E6" s="15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158"/>
      <c r="AI6" s="1035"/>
      <c r="AJ6" s="1035"/>
      <c r="AK6" s="1035"/>
      <c r="AL6" s="1035"/>
      <c r="AM6" s="1035"/>
      <c r="AN6" s="1035"/>
    </row>
    <row r="7" spans="1:40" ht="20.100000000000001" customHeight="1" x14ac:dyDescent="0.25">
      <c r="A7" s="18"/>
      <c r="B7" s="18"/>
      <c r="C7" s="18"/>
      <c r="D7" s="159"/>
      <c r="E7" s="158"/>
      <c r="F7" s="1024" t="str">
        <f ca="1">Alertas!S10</f>
        <v/>
      </c>
      <c r="G7" s="1024"/>
      <c r="H7" s="1024"/>
      <c r="I7" s="1024"/>
      <c r="J7" s="1024"/>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035"/>
      <c r="AJ7" s="1035"/>
      <c r="AK7" s="1035"/>
      <c r="AL7" s="1035"/>
      <c r="AM7" s="1035"/>
      <c r="AN7" s="1035"/>
    </row>
    <row r="8" spans="1:40" ht="15" customHeight="1" x14ac:dyDescent="0.25">
      <c r="A8" s="18"/>
      <c r="B8" s="18"/>
      <c r="C8" s="18"/>
      <c r="D8" s="7"/>
      <c r="E8" s="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ht="15" customHeight="1" x14ac:dyDescent="0.25">
      <c r="A9" s="18"/>
      <c r="B9" s="18"/>
      <c r="C9" s="1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30" customHeight="1" x14ac:dyDescent="0.25">
      <c r="A10" s="18"/>
      <c r="B10" s="18"/>
      <c r="C10" s="18"/>
      <c r="D10" s="7"/>
      <c r="E10" s="2"/>
      <c r="F10" s="1008" t="s">
        <v>30</v>
      </c>
      <c r="G10" s="1009"/>
      <c r="H10" s="1009"/>
      <c r="I10" s="1009"/>
      <c r="J10" s="1009"/>
      <c r="K10" s="1009"/>
      <c r="L10" s="1041"/>
      <c r="M10" s="148" t="s">
        <v>186</v>
      </c>
      <c r="N10" s="1140"/>
      <c r="O10" s="1141"/>
      <c r="P10" s="1141"/>
      <c r="Q10" s="1141"/>
      <c r="R10" s="1141"/>
      <c r="S10" s="1141"/>
      <c r="T10" s="1141"/>
      <c r="U10" s="1141"/>
      <c r="V10" s="1141"/>
      <c r="W10" s="1141"/>
      <c r="X10" s="1141"/>
      <c r="Y10" s="1141"/>
      <c r="Z10" s="1142"/>
      <c r="AA10" s="1008" t="s">
        <v>294</v>
      </c>
      <c r="AB10" s="1009"/>
      <c r="AC10" s="1009"/>
      <c r="AD10" s="1041"/>
      <c r="AE10" s="148" t="s">
        <v>186</v>
      </c>
      <c r="AF10" s="1140"/>
      <c r="AG10" s="1141"/>
      <c r="AH10" s="1141"/>
      <c r="AI10" s="1141"/>
      <c r="AJ10" s="1142"/>
      <c r="AK10" s="2"/>
      <c r="AL10" s="2"/>
      <c r="AM10" s="2"/>
      <c r="AN10" s="2"/>
    </row>
    <row r="11" spans="1:40" ht="60" customHeight="1" x14ac:dyDescent="0.25">
      <c r="A11" s="18"/>
      <c r="B11" s="18"/>
      <c r="C11" s="18"/>
      <c r="D11" s="7"/>
      <c r="E11" s="2"/>
      <c r="F11" s="1008" t="s">
        <v>7300</v>
      </c>
      <c r="G11" s="1009"/>
      <c r="H11" s="1009"/>
      <c r="I11" s="1009"/>
      <c r="J11" s="1009"/>
      <c r="K11" s="1009"/>
      <c r="L11" s="1041"/>
      <c r="M11" s="148" t="s">
        <v>186</v>
      </c>
      <c r="N11" s="1140"/>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2"/>
      <c r="AK11" s="1158" t="s">
        <v>271</v>
      </c>
      <c r="AL11" s="1159"/>
      <c r="AM11" s="1159"/>
      <c r="AN11" s="1159"/>
    </row>
    <row r="12" spans="1:40" ht="20.100000000000001" customHeight="1" x14ac:dyDescent="0.25">
      <c r="A12" s="18"/>
      <c r="B12" s="18"/>
      <c r="C12" s="18"/>
      <c r="D12" s="7"/>
      <c r="E12" s="2"/>
      <c r="F12" s="1008" t="s">
        <v>6029</v>
      </c>
      <c r="G12" s="1009"/>
      <c r="H12" s="1009"/>
      <c r="I12" s="1009"/>
      <c r="J12" s="1009"/>
      <c r="K12" s="1009"/>
      <c r="L12" s="1041"/>
      <c r="M12" s="148" t="s">
        <v>186</v>
      </c>
      <c r="N12" s="1147"/>
      <c r="O12" s="1096"/>
      <c r="P12" s="1096"/>
      <c r="Q12" s="1096"/>
      <c r="R12" s="1096"/>
      <c r="S12" s="1097"/>
      <c r="T12" s="160"/>
      <c r="U12" s="160"/>
      <c r="V12" s="160"/>
      <c r="W12" s="160"/>
      <c r="X12" s="160"/>
      <c r="Y12" s="160"/>
      <c r="Z12" s="160"/>
      <c r="AA12" s="97"/>
      <c r="AB12" s="97"/>
      <c r="AC12" s="97"/>
      <c r="AD12" s="97"/>
      <c r="AE12" s="126"/>
      <c r="AF12" s="161"/>
      <c r="AG12" s="161"/>
      <c r="AH12" s="161"/>
      <c r="AI12" s="161"/>
      <c r="AJ12" s="161"/>
      <c r="AK12" s="2"/>
      <c r="AL12" s="2"/>
      <c r="AM12" s="2"/>
      <c r="AN12" s="2"/>
    </row>
    <row r="13" spans="1:40" ht="20.100000000000001" customHeight="1" x14ac:dyDescent="0.25">
      <c r="A13" s="18"/>
      <c r="B13" s="18"/>
      <c r="C13" s="18"/>
      <c r="D13" s="7"/>
      <c r="E13" s="2"/>
      <c r="F13" s="1149" t="s">
        <v>218</v>
      </c>
      <c r="G13" s="1094"/>
      <c r="H13" s="1094"/>
      <c r="I13" s="1094"/>
      <c r="J13" s="1094"/>
      <c r="K13" s="1094"/>
      <c r="L13" s="1104"/>
      <c r="M13" s="148" t="s">
        <v>186</v>
      </c>
      <c r="N13" s="1143"/>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7"/>
      <c r="AK13" s="162"/>
      <c r="AL13" s="162"/>
      <c r="AM13" s="162"/>
      <c r="AN13" s="162"/>
    </row>
    <row r="14" spans="1:40" ht="20.100000000000001" customHeight="1" x14ac:dyDescent="0.25">
      <c r="A14" s="18"/>
      <c r="B14" s="18"/>
      <c r="C14" s="18"/>
      <c r="D14" s="7"/>
      <c r="E14" s="2"/>
      <c r="F14" s="1149" t="s">
        <v>311</v>
      </c>
      <c r="G14" s="1094"/>
      <c r="H14" s="1094"/>
      <c r="I14" s="1094"/>
      <c r="J14" s="1094"/>
      <c r="K14" s="1094"/>
      <c r="L14" s="1094"/>
      <c r="M14" s="1150"/>
      <c r="N14" s="1144"/>
      <c r="O14" s="1108"/>
      <c r="P14" s="1108"/>
      <c r="Q14" s="1108"/>
      <c r="R14" s="1145"/>
      <c r="S14" s="1145"/>
      <c r="T14" s="1145"/>
      <c r="U14" s="1145"/>
      <c r="V14" s="1145"/>
      <c r="W14" s="1145"/>
      <c r="X14" s="1145"/>
      <c r="Y14" s="1145"/>
      <c r="Z14" s="1145"/>
      <c r="AA14" s="1145"/>
      <c r="AB14" s="1145"/>
      <c r="AC14" s="1145"/>
      <c r="AD14" s="1145"/>
      <c r="AE14" s="1145"/>
      <c r="AF14" s="1145"/>
      <c r="AG14" s="1145"/>
      <c r="AH14" s="1145"/>
      <c r="AI14" s="1145"/>
      <c r="AJ14" s="1146"/>
      <c r="AK14" s="163"/>
      <c r="AL14" s="163"/>
      <c r="AM14" s="163"/>
      <c r="AN14" s="163"/>
    </row>
    <row r="15" spans="1:40" ht="20.100000000000001" customHeight="1" x14ac:dyDescent="0.25">
      <c r="A15" s="18"/>
      <c r="B15" s="18"/>
      <c r="C15" s="18"/>
      <c r="D15" s="7"/>
      <c r="E15" s="2"/>
      <c r="F15" s="1008" t="s">
        <v>7301</v>
      </c>
      <c r="G15" s="1009"/>
      <c r="H15" s="1009"/>
      <c r="I15" s="1009"/>
      <c r="J15" s="1009"/>
      <c r="K15" s="1009"/>
      <c r="L15" s="1009"/>
      <c r="M15" s="1010"/>
      <c r="N15" s="1151" t="s">
        <v>6030</v>
      </c>
      <c r="O15" s="1088"/>
      <c r="P15" s="1089"/>
      <c r="Q15" s="148" t="s">
        <v>186</v>
      </c>
      <c r="R15" s="999"/>
      <c r="S15" s="1000"/>
      <c r="T15" s="1000"/>
      <c r="U15" s="1000"/>
      <c r="V15" s="1000"/>
      <c r="W15" s="1000"/>
      <c r="X15" s="1000"/>
      <c r="Y15" s="1008" t="s">
        <v>31</v>
      </c>
      <c r="Z15" s="1009"/>
      <c r="AA15" s="1009"/>
      <c r="AB15" s="1041"/>
      <c r="AC15" s="148" t="s">
        <v>186</v>
      </c>
      <c r="AD15" s="999"/>
      <c r="AE15" s="1000"/>
      <c r="AF15" s="1000"/>
      <c r="AG15" s="1000"/>
      <c r="AH15" s="1000"/>
      <c r="AI15" s="1000"/>
      <c r="AJ15" s="1001"/>
      <c r="AK15" s="164"/>
      <c r="AL15" s="164"/>
      <c r="AM15" s="164"/>
      <c r="AN15" s="164"/>
    </row>
    <row r="16" spans="1:40" ht="30" customHeight="1" x14ac:dyDescent="0.25">
      <c r="A16" s="18"/>
      <c r="B16" s="18"/>
      <c r="C16" s="18"/>
      <c r="D16" s="7"/>
      <c r="E16" s="2"/>
      <c r="F16" s="1008" t="s">
        <v>5720</v>
      </c>
      <c r="G16" s="1009"/>
      <c r="H16" s="1009"/>
      <c r="I16" s="1009"/>
      <c r="J16" s="1009"/>
      <c r="K16" s="1009"/>
      <c r="L16" s="1009"/>
      <c r="M16" s="148" t="s">
        <v>186</v>
      </c>
      <c r="N16" s="1136"/>
      <c r="O16" s="1090"/>
      <c r="P16" s="1090"/>
      <c r="Q16" s="1090"/>
      <c r="R16" s="1091"/>
      <c r="S16" s="1092"/>
      <c r="T16" s="2"/>
      <c r="U16" s="2"/>
      <c r="V16" s="2"/>
      <c r="W16" s="2"/>
      <c r="X16" s="2"/>
      <c r="Y16" s="2"/>
      <c r="Z16" s="2"/>
      <c r="AA16" s="2"/>
      <c r="AB16" s="2"/>
      <c r="AC16" s="2"/>
      <c r="AD16" s="2"/>
      <c r="AE16" s="2"/>
      <c r="AF16" s="2"/>
      <c r="AG16" s="2"/>
      <c r="AH16" s="2"/>
      <c r="AI16" s="2"/>
      <c r="AJ16" s="2"/>
      <c r="AK16" s="2"/>
      <c r="AL16" s="2"/>
      <c r="AM16" s="2"/>
      <c r="AN16" s="2"/>
    </row>
    <row r="17" spans="1:40" ht="20.100000000000001" customHeight="1" x14ac:dyDescent="0.25">
      <c r="A17" s="18"/>
      <c r="B17" s="18"/>
      <c r="C17" s="18"/>
      <c r="D17" s="7"/>
      <c r="E17" s="2"/>
      <c r="F17" s="1008" t="s">
        <v>85</v>
      </c>
      <c r="G17" s="1009"/>
      <c r="H17" s="1009"/>
      <c r="I17" s="1009"/>
      <c r="J17" s="1009"/>
      <c r="K17" s="1009"/>
      <c r="L17" s="1041"/>
      <c r="M17" s="148" t="s">
        <v>186</v>
      </c>
      <c r="N17" s="1137" t="s">
        <v>281</v>
      </c>
      <c r="O17" s="1138"/>
      <c r="P17" s="1138"/>
      <c r="Q17" s="1138"/>
      <c r="R17" s="1138"/>
      <c r="S17" s="1139"/>
      <c r="T17" s="1008" t="s">
        <v>235</v>
      </c>
      <c r="U17" s="1009"/>
      <c r="V17" s="1009"/>
      <c r="W17" s="1009"/>
      <c r="X17" s="1009"/>
      <c r="Y17" s="1009"/>
      <c r="Z17" s="1009"/>
      <c r="AA17" s="148" t="s">
        <v>186</v>
      </c>
      <c r="AB17" s="1130"/>
      <c r="AC17" s="1131"/>
      <c r="AD17" s="1131"/>
      <c r="AE17" s="1131"/>
      <c r="AF17" s="1131"/>
      <c r="AG17" s="1131"/>
      <c r="AH17" s="1131"/>
      <c r="AI17" s="1131"/>
      <c r="AJ17" s="1132"/>
      <c r="AK17" s="49"/>
      <c r="AL17" s="49"/>
      <c r="AM17" s="49"/>
      <c r="AN17" s="49"/>
    </row>
    <row r="18" spans="1:40" ht="15" customHeight="1" x14ac:dyDescent="0.25">
      <c r="A18" s="18"/>
      <c r="B18" s="18"/>
      <c r="C18" s="18"/>
      <c r="D18" s="165"/>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row>
    <row r="19" spans="1:40" ht="20.100000000000001" customHeight="1" x14ac:dyDescent="0.25">
      <c r="A19" s="18"/>
      <c r="B19" s="18"/>
      <c r="C19" s="18"/>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row>
    <row r="20" spans="1:40" ht="15" customHeight="1" x14ac:dyDescent="0.25">
      <c r="A20" s="18"/>
      <c r="B20" s="18"/>
      <c r="C20" s="18"/>
      <c r="D20" s="165"/>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row>
    <row r="21" spans="1:40" ht="30" customHeight="1" x14ac:dyDescent="0.25">
      <c r="A21" s="18"/>
      <c r="B21" s="18"/>
      <c r="C21" s="18"/>
      <c r="D21" s="165"/>
      <c r="E21" s="166"/>
      <c r="F21" s="166"/>
      <c r="G21" s="1152" t="s">
        <v>298</v>
      </c>
      <c r="H21" s="1152"/>
      <c r="I21" s="1155" t="s">
        <v>7091</v>
      </c>
      <c r="J21" s="1071"/>
      <c r="K21" s="1071"/>
      <c r="L21" s="1074" t="s">
        <v>7089</v>
      </c>
      <c r="M21" s="1075"/>
      <c r="N21" s="1157" t="s">
        <v>289</v>
      </c>
      <c r="O21" s="1152"/>
      <c r="P21" s="1152"/>
      <c r="Q21" s="1074" t="s">
        <v>7090</v>
      </c>
      <c r="R21" s="1075"/>
      <c r="S21" s="1157" t="s">
        <v>285</v>
      </c>
      <c r="T21" s="1152"/>
      <c r="U21" s="1152"/>
      <c r="V21" s="1120" t="s">
        <v>7997</v>
      </c>
      <c r="W21" s="1121"/>
      <c r="X21" s="1121"/>
      <c r="Y21" s="1121"/>
    </row>
    <row r="22" spans="1:40" ht="26.1" customHeight="1" x14ac:dyDescent="0.25">
      <c r="A22" s="18"/>
      <c r="B22" s="18"/>
      <c r="C22" s="18"/>
      <c r="D22" s="7"/>
      <c r="E22" s="2"/>
      <c r="F22" s="2"/>
      <c r="G22" s="1153">
        <v>1</v>
      </c>
      <c r="H22" s="1154"/>
      <c r="I22" s="1133"/>
      <c r="J22" s="1133"/>
      <c r="K22" s="1133"/>
      <c r="L22" s="1134"/>
      <c r="M22" s="1135"/>
      <c r="N22" s="1134"/>
      <c r="O22" s="1156"/>
      <c r="P22" s="1135"/>
      <c r="Q22" s="1134"/>
      <c r="R22" s="1135"/>
      <c r="S22" s="1134"/>
      <c r="T22" s="1156"/>
      <c r="U22" s="1135"/>
      <c r="V22" s="120"/>
      <c r="W22" s="121"/>
      <c r="X22" s="121"/>
      <c r="Y22" s="122"/>
    </row>
    <row r="23" spans="1:40" ht="26.1" customHeight="1" x14ac:dyDescent="0.25">
      <c r="A23" s="18"/>
      <c r="B23" s="18"/>
      <c r="C23" s="18"/>
      <c r="D23" s="7"/>
      <c r="E23" s="2"/>
      <c r="F23" s="2"/>
      <c r="G23" s="1153">
        <v>2</v>
      </c>
      <c r="H23" s="1154"/>
      <c r="I23" s="1133"/>
      <c r="J23" s="1133"/>
      <c r="K23" s="1133"/>
      <c r="L23" s="1134"/>
      <c r="M23" s="1135"/>
      <c r="N23" s="1134"/>
      <c r="O23" s="1156"/>
      <c r="P23" s="1135"/>
      <c r="Q23" s="1134"/>
      <c r="R23" s="1135"/>
      <c r="S23" s="1134"/>
      <c r="T23" s="1156"/>
      <c r="U23" s="1135"/>
      <c r="V23" s="120"/>
      <c r="W23" s="121"/>
      <c r="X23" s="121"/>
      <c r="Y23" s="122"/>
    </row>
    <row r="24" spans="1:40" ht="26.1" customHeight="1" x14ac:dyDescent="0.25">
      <c r="A24" s="18"/>
      <c r="B24" s="18"/>
      <c r="C24" s="18"/>
      <c r="D24" s="7"/>
      <c r="E24" s="2"/>
      <c r="F24" s="2"/>
      <c r="G24" s="1153">
        <v>3</v>
      </c>
      <c r="H24" s="1154"/>
      <c r="I24" s="1133"/>
      <c r="J24" s="1133"/>
      <c r="K24" s="1133"/>
      <c r="L24" s="1134"/>
      <c r="M24" s="1135"/>
      <c r="N24" s="1134"/>
      <c r="O24" s="1156"/>
      <c r="P24" s="1135"/>
      <c r="Q24" s="1134"/>
      <c r="R24" s="1135"/>
      <c r="S24" s="1134"/>
      <c r="T24" s="1156"/>
      <c r="U24" s="1135"/>
      <c r="V24" s="120"/>
      <c r="W24" s="121"/>
      <c r="X24" s="121"/>
      <c r="Y24" s="122"/>
    </row>
    <row r="25" spans="1:40" ht="26.1" customHeight="1" x14ac:dyDescent="0.25">
      <c r="A25" s="18"/>
      <c r="B25" s="18"/>
      <c r="C25" s="18"/>
      <c r="D25" s="7"/>
      <c r="E25" s="2"/>
      <c r="F25" s="2"/>
      <c r="G25" s="1153">
        <v>4</v>
      </c>
      <c r="H25" s="1154"/>
      <c r="I25" s="1133"/>
      <c r="J25" s="1133"/>
      <c r="K25" s="1133"/>
      <c r="L25" s="1134"/>
      <c r="M25" s="1135"/>
      <c r="N25" s="1134"/>
      <c r="O25" s="1156"/>
      <c r="P25" s="1135"/>
      <c r="Q25" s="1134"/>
      <c r="R25" s="1135"/>
      <c r="S25" s="1134"/>
      <c r="T25" s="1156"/>
      <c r="U25" s="1135"/>
      <c r="V25" s="120"/>
      <c r="W25" s="121"/>
      <c r="X25" s="121"/>
      <c r="Y25" s="122"/>
    </row>
    <row r="26" spans="1:40" ht="26.1" customHeight="1" x14ac:dyDescent="0.25">
      <c r="A26" s="18"/>
      <c r="B26" s="18"/>
      <c r="C26" s="18"/>
      <c r="D26" s="7"/>
      <c r="E26" s="2"/>
      <c r="F26" s="2"/>
      <c r="G26" s="1153">
        <v>5</v>
      </c>
      <c r="H26" s="1154"/>
      <c r="I26" s="1133"/>
      <c r="J26" s="1133"/>
      <c r="K26" s="1133"/>
      <c r="L26" s="1134"/>
      <c r="M26" s="1135"/>
      <c r="N26" s="1134"/>
      <c r="O26" s="1156"/>
      <c r="P26" s="1135"/>
      <c r="Q26" s="1134"/>
      <c r="R26" s="1135"/>
      <c r="S26" s="1134"/>
      <c r="T26" s="1156"/>
      <c r="U26" s="1135"/>
      <c r="V26" s="120"/>
      <c r="W26" s="121"/>
      <c r="X26" s="121"/>
      <c r="Y26" s="122"/>
    </row>
    <row r="27" spans="1:40" ht="26.1" customHeight="1" x14ac:dyDescent="0.25">
      <c r="A27" s="18"/>
      <c r="B27" s="18"/>
      <c r="C27" s="18"/>
      <c r="D27" s="7"/>
      <c r="E27" s="2"/>
      <c r="F27" s="2"/>
      <c r="G27" s="1153">
        <v>6</v>
      </c>
      <c r="H27" s="1154"/>
      <c r="I27" s="1133"/>
      <c r="J27" s="1133"/>
      <c r="K27" s="1133"/>
      <c r="L27" s="1134"/>
      <c r="M27" s="1135"/>
      <c r="N27" s="1134"/>
      <c r="O27" s="1156"/>
      <c r="P27" s="1135"/>
      <c r="Q27" s="1134"/>
      <c r="R27" s="1135"/>
      <c r="S27" s="1134"/>
      <c r="T27" s="1156"/>
      <c r="U27" s="1135"/>
      <c r="V27" s="120"/>
      <c r="W27" s="121"/>
      <c r="X27" s="121"/>
      <c r="Y27" s="122"/>
    </row>
    <row r="28" spans="1:40" ht="26.1" customHeight="1" x14ac:dyDescent="0.25">
      <c r="A28" s="18"/>
      <c r="B28" s="18"/>
      <c r="C28" s="18"/>
      <c r="D28" s="7"/>
      <c r="E28" s="2"/>
      <c r="F28" s="2"/>
      <c r="G28" s="1153">
        <v>7</v>
      </c>
      <c r="H28" s="1154"/>
      <c r="I28" s="1133"/>
      <c r="J28" s="1133"/>
      <c r="K28" s="1133"/>
      <c r="L28" s="1134"/>
      <c r="M28" s="1135"/>
      <c r="N28" s="1134"/>
      <c r="O28" s="1156"/>
      <c r="P28" s="1135"/>
      <c r="Q28" s="1134"/>
      <c r="R28" s="1135"/>
      <c r="S28" s="1134"/>
      <c r="T28" s="1156"/>
      <c r="U28" s="1135"/>
      <c r="V28" s="120"/>
      <c r="W28" s="121"/>
      <c r="X28" s="121"/>
      <c r="Y28" s="122"/>
    </row>
    <row r="29" spans="1:40" ht="26.1" customHeight="1" x14ac:dyDescent="0.25">
      <c r="A29" s="18"/>
      <c r="B29" s="18"/>
      <c r="C29" s="18"/>
      <c r="D29" s="7"/>
      <c r="E29" s="2"/>
      <c r="F29" s="2"/>
      <c r="G29" s="1153">
        <v>8</v>
      </c>
      <c r="H29" s="1154"/>
      <c r="I29" s="1133"/>
      <c r="J29" s="1133"/>
      <c r="K29" s="1133"/>
      <c r="L29" s="1134"/>
      <c r="M29" s="1135"/>
      <c r="N29" s="1134"/>
      <c r="O29" s="1156"/>
      <c r="P29" s="1135"/>
      <c r="Q29" s="1134"/>
      <c r="R29" s="1135"/>
      <c r="S29" s="1134"/>
      <c r="T29" s="1156"/>
      <c r="U29" s="1135"/>
      <c r="V29" s="120"/>
      <c r="W29" s="121"/>
      <c r="X29" s="121"/>
      <c r="Y29" s="122"/>
    </row>
    <row r="30" spans="1:40" ht="26.1" customHeight="1" x14ac:dyDescent="0.25">
      <c r="A30" s="18"/>
      <c r="B30" s="18"/>
      <c r="C30" s="18"/>
      <c r="D30" s="7"/>
      <c r="E30" s="2"/>
      <c r="F30" s="2"/>
      <c r="G30" s="1153">
        <v>9</v>
      </c>
      <c r="H30" s="1154"/>
      <c r="I30" s="1133"/>
      <c r="J30" s="1133"/>
      <c r="K30" s="1133"/>
      <c r="L30" s="1134"/>
      <c r="M30" s="1135"/>
      <c r="N30" s="1134"/>
      <c r="O30" s="1156"/>
      <c r="P30" s="1135"/>
      <c r="Q30" s="1134"/>
      <c r="R30" s="1135"/>
      <c r="S30" s="1134"/>
      <c r="T30" s="1156"/>
      <c r="U30" s="1135"/>
      <c r="V30" s="120"/>
      <c r="W30" s="121"/>
      <c r="X30" s="121"/>
      <c r="Y30" s="122"/>
    </row>
    <row r="31" spans="1:40" ht="26.1" customHeight="1" x14ac:dyDescent="0.25">
      <c r="A31" s="18"/>
      <c r="B31" s="18"/>
      <c r="C31" s="18"/>
      <c r="D31" s="7"/>
      <c r="E31" s="2"/>
      <c r="F31" s="2"/>
      <c r="G31" s="1153">
        <v>10</v>
      </c>
      <c r="H31" s="1154"/>
      <c r="I31" s="1133"/>
      <c r="J31" s="1133"/>
      <c r="K31" s="1133"/>
      <c r="L31" s="1134"/>
      <c r="M31" s="1135"/>
      <c r="N31" s="1134"/>
      <c r="O31" s="1156"/>
      <c r="P31" s="1135"/>
      <c r="Q31" s="1134"/>
      <c r="R31" s="1135"/>
      <c r="S31" s="1134"/>
      <c r="T31" s="1156"/>
      <c r="U31" s="1135"/>
      <c r="V31" s="120"/>
      <c r="W31" s="121"/>
      <c r="X31" s="121"/>
      <c r="Y31" s="122"/>
    </row>
    <row r="32" spans="1:40" ht="26.1" customHeight="1" x14ac:dyDescent="0.25">
      <c r="A32" s="18"/>
      <c r="B32" s="18"/>
      <c r="C32" s="18"/>
      <c r="D32" s="7"/>
      <c r="E32" s="2"/>
      <c r="F32" s="2"/>
      <c r="G32" s="1153">
        <v>11</v>
      </c>
      <c r="H32" s="1154"/>
      <c r="I32" s="1133"/>
      <c r="J32" s="1133"/>
      <c r="K32" s="1133"/>
      <c r="L32" s="1134"/>
      <c r="M32" s="1135"/>
      <c r="N32" s="1134"/>
      <c r="O32" s="1156"/>
      <c r="P32" s="1135"/>
      <c r="Q32" s="1134"/>
      <c r="R32" s="1135"/>
      <c r="S32" s="1134"/>
      <c r="T32" s="1156"/>
      <c r="U32" s="1135"/>
      <c r="V32" s="120"/>
      <c r="W32" s="121"/>
      <c r="X32" s="121"/>
      <c r="Y32" s="122"/>
    </row>
    <row r="33" spans="1:40" ht="26.1" customHeight="1" x14ac:dyDescent="0.25">
      <c r="A33" s="18"/>
      <c r="B33" s="18"/>
      <c r="C33" s="18"/>
      <c r="D33" s="7"/>
      <c r="E33" s="2"/>
      <c r="F33" s="2"/>
      <c r="G33" s="1153">
        <v>12</v>
      </c>
      <c r="H33" s="1154"/>
      <c r="I33" s="1133"/>
      <c r="J33" s="1133"/>
      <c r="K33" s="1133"/>
      <c r="L33" s="1134"/>
      <c r="M33" s="1135"/>
      <c r="N33" s="1134"/>
      <c r="O33" s="1156"/>
      <c r="P33" s="1135"/>
      <c r="Q33" s="1134"/>
      <c r="R33" s="1135"/>
      <c r="S33" s="1134"/>
      <c r="T33" s="1156"/>
      <c r="U33" s="1135"/>
      <c r="V33" s="120"/>
      <c r="W33" s="121"/>
      <c r="X33" s="121"/>
      <c r="Y33" s="122"/>
    </row>
    <row r="34" spans="1:40" ht="26.1" customHeight="1" x14ac:dyDescent="0.25">
      <c r="A34" s="18"/>
      <c r="B34" s="18"/>
      <c r="C34" s="18"/>
      <c r="D34" s="7"/>
      <c r="E34" s="2"/>
      <c r="F34" s="2"/>
      <c r="G34" s="1153">
        <v>13</v>
      </c>
      <c r="H34" s="1154"/>
      <c r="I34" s="1133"/>
      <c r="J34" s="1133"/>
      <c r="K34" s="1133"/>
      <c r="L34" s="1134"/>
      <c r="M34" s="1135"/>
      <c r="N34" s="1134"/>
      <c r="O34" s="1156"/>
      <c r="P34" s="1135"/>
      <c r="Q34" s="1134"/>
      <c r="R34" s="1135"/>
      <c r="S34" s="1134"/>
      <c r="T34" s="1156"/>
      <c r="U34" s="1135"/>
      <c r="V34" s="120"/>
      <c r="W34" s="121"/>
      <c r="X34" s="121"/>
      <c r="Y34" s="122"/>
    </row>
    <row r="35" spans="1:40" ht="26.1" customHeight="1" x14ac:dyDescent="0.25">
      <c r="A35" s="18"/>
      <c r="B35" s="18"/>
      <c r="C35" s="18"/>
      <c r="D35" s="7"/>
      <c r="E35" s="2"/>
      <c r="F35" s="2"/>
      <c r="G35" s="1153">
        <v>14</v>
      </c>
      <c r="H35" s="1154"/>
      <c r="I35" s="1133"/>
      <c r="J35" s="1133"/>
      <c r="K35" s="1133"/>
      <c r="L35" s="1134"/>
      <c r="M35" s="1135"/>
      <c r="N35" s="1134"/>
      <c r="O35" s="1156"/>
      <c r="P35" s="1135"/>
      <c r="Q35" s="1134"/>
      <c r="R35" s="1135"/>
      <c r="S35" s="1134"/>
      <c r="T35" s="1156"/>
      <c r="U35" s="1135"/>
      <c r="V35" s="120"/>
      <c r="W35" s="121"/>
      <c r="X35" s="121"/>
      <c r="Y35" s="122"/>
    </row>
    <row r="36" spans="1:40" ht="26.1" customHeight="1" x14ac:dyDescent="0.25">
      <c r="A36" s="18"/>
      <c r="B36" s="18"/>
      <c r="C36" s="18"/>
      <c r="D36" s="7"/>
      <c r="E36" s="2"/>
      <c r="F36" s="2"/>
      <c r="G36" s="1153">
        <v>15</v>
      </c>
      <c r="H36" s="1154"/>
      <c r="I36" s="1133"/>
      <c r="J36" s="1133"/>
      <c r="K36" s="1133"/>
      <c r="L36" s="1134"/>
      <c r="M36" s="1135"/>
      <c r="N36" s="1134"/>
      <c r="O36" s="1156"/>
      <c r="P36" s="1135"/>
      <c r="Q36" s="1134"/>
      <c r="R36" s="1135"/>
      <c r="S36" s="1134"/>
      <c r="T36" s="1156"/>
      <c r="U36" s="1135"/>
      <c r="V36" s="120"/>
      <c r="W36" s="121"/>
      <c r="X36" s="121"/>
      <c r="Y36" s="122"/>
    </row>
    <row r="37" spans="1:40" ht="20.100000000000001" customHeight="1" x14ac:dyDescent="0.25">
      <c r="A37" s="18"/>
      <c r="B37" s="18"/>
      <c r="C37" s="18"/>
      <c r="D37" s="7"/>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30" hidden="1" customHeight="1" x14ac:dyDescent="0.25">
      <c r="A38" s="18"/>
      <c r="B38" s="18"/>
      <c r="C38" s="18"/>
      <c r="D38" s="7"/>
      <c r="E38" s="2"/>
    </row>
    <row r="39" spans="1:40" ht="20.100000000000001" customHeight="1" x14ac:dyDescent="0.25">
      <c r="A39" s="18"/>
      <c r="B39" s="18"/>
      <c r="C39" s="18"/>
      <c r="D39" s="7"/>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20.100000000000001" customHeight="1" x14ac:dyDescent="0.25">
      <c r="A40" s="18"/>
      <c r="B40" s="18"/>
      <c r="C40" s="18"/>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row>
    <row r="41" spans="1:40" ht="20.100000000000001" customHeight="1" x14ac:dyDescent="0.25">
      <c r="A41" s="18"/>
      <c r="B41" s="18"/>
      <c r="C41" s="18"/>
      <c r="D41" s="7"/>
      <c r="E41" s="2"/>
    </row>
    <row r="42" spans="1:40" ht="99.95" customHeight="1" x14ac:dyDescent="0.25">
      <c r="A42" s="18"/>
      <c r="B42" s="18"/>
      <c r="C42" s="18"/>
      <c r="D42" s="7"/>
      <c r="E42" s="2"/>
      <c r="F42" s="1049" t="s">
        <v>7998</v>
      </c>
      <c r="G42" s="1050"/>
      <c r="H42" s="1050"/>
      <c r="I42" s="1050"/>
      <c r="J42" s="1050"/>
      <c r="K42" s="1050"/>
      <c r="L42" s="1050"/>
      <c r="M42" s="1051"/>
      <c r="N42" s="1032"/>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4"/>
      <c r="AN42" s="131" t="s">
        <v>8014</v>
      </c>
    </row>
    <row r="43" spans="1:40" ht="50.1" customHeight="1" x14ac:dyDescent="0.25">
      <c r="A43" s="18"/>
      <c r="B43" s="18"/>
      <c r="C43" s="18"/>
      <c r="D43" s="7"/>
      <c r="E43" s="2"/>
      <c r="F43" s="1008" t="s">
        <v>143</v>
      </c>
      <c r="G43" s="1009"/>
      <c r="H43" s="1009"/>
      <c r="I43" s="1009"/>
      <c r="J43" s="1009"/>
      <c r="K43" s="1009"/>
      <c r="L43" s="1009"/>
      <c r="M43" s="1010"/>
      <c r="N43" s="1032"/>
      <c r="O43" s="1033"/>
      <c r="P43" s="1033"/>
      <c r="Q43" s="1033"/>
      <c r="R43" s="1033"/>
      <c r="S43" s="1033"/>
      <c r="T43" s="1033"/>
      <c r="U43" s="1033"/>
      <c r="V43" s="1033"/>
      <c r="W43" s="1033"/>
      <c r="X43" s="1033"/>
      <c r="Y43" s="1033"/>
      <c r="Z43" s="1033"/>
      <c r="AA43" s="1033"/>
      <c r="AB43" s="1033"/>
      <c r="AC43" s="1033"/>
      <c r="AD43" s="1033"/>
      <c r="AE43" s="1033"/>
      <c r="AF43" s="1033"/>
      <c r="AG43" s="1033"/>
      <c r="AH43" s="1033"/>
      <c r="AI43" s="1033"/>
      <c r="AJ43" s="1033"/>
      <c r="AK43" s="1033"/>
      <c r="AL43" s="1033"/>
      <c r="AM43" s="1034"/>
      <c r="AN43" s="131" t="s">
        <v>8014</v>
      </c>
    </row>
    <row r="44" spans="1:40" ht="20.100000000000001" customHeight="1" x14ac:dyDescent="0.25">
      <c r="A44" s="18"/>
      <c r="B44" s="18"/>
      <c r="C44" s="18"/>
      <c r="D44" s="7"/>
      <c r="E44" s="2"/>
    </row>
    <row r="45" spans="1:40" ht="20.100000000000001" customHeight="1" x14ac:dyDescent="0.25">
      <c r="A45" s="18"/>
      <c r="B45" s="18"/>
      <c r="C45" s="18"/>
      <c r="D45" s="7"/>
      <c r="E45" s="7"/>
      <c r="F45" s="7"/>
      <c r="G45" s="7"/>
      <c r="H45" s="7"/>
      <c r="I45" s="7"/>
      <c r="J45" s="7"/>
      <c r="K45" s="7"/>
      <c r="L45" s="7"/>
      <c r="M45" s="7"/>
      <c r="N45" s="7"/>
      <c r="O45" s="2"/>
      <c r="P45" s="7"/>
      <c r="Q45" s="7"/>
      <c r="R45" s="7"/>
      <c r="S45" s="7"/>
      <c r="T45" s="7"/>
      <c r="U45" s="7"/>
      <c r="V45" s="7"/>
      <c r="W45" s="7"/>
      <c r="X45" s="7"/>
      <c r="Y45" s="7"/>
      <c r="Z45" s="7"/>
      <c r="AA45" s="7"/>
      <c r="AB45" s="7"/>
      <c r="AC45" s="7"/>
      <c r="AD45" s="7"/>
      <c r="AE45" s="7"/>
      <c r="AF45" s="7"/>
      <c r="AG45" s="7"/>
      <c r="AH45" s="7"/>
      <c r="AI45" s="7"/>
      <c r="AJ45" s="7"/>
      <c r="AK45" s="7"/>
      <c r="AL45" s="7"/>
      <c r="AM45" s="7"/>
      <c r="AN45" s="7"/>
    </row>
    <row r="46" spans="1:40" ht="20.100000000000001" customHeight="1" x14ac:dyDescent="0.25">
      <c r="A46" s="18"/>
      <c r="B46" s="18"/>
      <c r="C46" s="18"/>
      <c r="D46" s="7"/>
      <c r="E46" s="2"/>
      <c r="F46" s="2"/>
      <c r="G46" s="2"/>
      <c r="H46" s="2"/>
      <c r="I46" s="2"/>
      <c r="J46" s="2"/>
      <c r="K46" s="2"/>
      <c r="L46" s="2"/>
      <c r="M46" s="2"/>
      <c r="N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20.100000000000001" customHeight="1" x14ac:dyDescent="0.25">
      <c r="A47" s="18"/>
      <c r="B47" s="18"/>
      <c r="C47" s="18"/>
      <c r="D47" s="7"/>
      <c r="E47" s="2"/>
      <c r="F47" s="1067" t="s">
        <v>296</v>
      </c>
      <c r="G47" s="1068"/>
      <c r="H47" s="1068"/>
      <c r="I47" s="1068"/>
      <c r="J47" s="1068"/>
      <c r="K47" s="1068"/>
      <c r="L47" s="1069"/>
      <c r="M47" s="1076" t="s">
        <v>186</v>
      </c>
      <c r="N47" s="135"/>
      <c r="O47" s="136"/>
      <c r="P47" s="136"/>
      <c r="Q47" s="136"/>
      <c r="R47" s="137"/>
      <c r="S47" s="1079" t="s">
        <v>293</v>
      </c>
      <c r="T47" s="1064"/>
      <c r="U47" s="1064"/>
      <c r="V47" s="1064"/>
      <c r="W47" s="1064"/>
      <c r="X47" s="1064"/>
      <c r="Y47" s="1064"/>
      <c r="Z47" s="1064" t="s">
        <v>301</v>
      </c>
      <c r="AA47" s="1064"/>
      <c r="AB47" s="1064"/>
      <c r="AC47" s="1064"/>
      <c r="AD47" s="1064"/>
      <c r="AE47" s="1064"/>
      <c r="AF47" s="1064"/>
      <c r="AG47" s="1064"/>
      <c r="AH47" s="1064"/>
      <c r="AI47" s="1064" t="s">
        <v>302</v>
      </c>
      <c r="AJ47" s="1064"/>
      <c r="AK47" s="1064"/>
      <c r="AL47" s="1064"/>
      <c r="AM47" s="1065"/>
      <c r="AN47" s="27"/>
    </row>
    <row r="48" spans="1:40" ht="20.100000000000001" customHeight="1" x14ac:dyDescent="0.25">
      <c r="A48" s="18"/>
      <c r="B48" s="18"/>
      <c r="C48" s="18"/>
      <c r="D48" s="7"/>
      <c r="E48" s="2"/>
      <c r="F48" s="1070"/>
      <c r="G48" s="1071"/>
      <c r="H48" s="1071"/>
      <c r="I48" s="1071"/>
      <c r="J48" s="1071"/>
      <c r="K48" s="1071"/>
      <c r="L48" s="1072"/>
      <c r="M48" s="1077"/>
      <c r="N48" s="138"/>
      <c r="O48" s="1045" t="s">
        <v>219</v>
      </c>
      <c r="P48" s="1045"/>
      <c r="Q48" s="1045"/>
      <c r="R48" s="1046"/>
      <c r="S48" s="1042"/>
      <c r="T48" s="1043"/>
      <c r="U48" s="1043"/>
      <c r="V48" s="1043"/>
      <c r="W48" s="1043"/>
      <c r="X48" s="1043"/>
      <c r="Y48" s="1043"/>
      <c r="Z48" s="1044"/>
      <c r="AA48" s="1044"/>
      <c r="AB48" s="1044"/>
      <c r="AC48" s="1044"/>
      <c r="AD48" s="1044"/>
      <c r="AE48" s="1044"/>
      <c r="AF48" s="1044"/>
      <c r="AG48" s="1044"/>
      <c r="AH48" s="1044"/>
      <c r="AI48" s="1066"/>
      <c r="AJ48" s="1066"/>
      <c r="AK48" s="1066"/>
      <c r="AL48" s="1066"/>
      <c r="AM48" s="1066"/>
      <c r="AN48" s="130"/>
    </row>
    <row r="49" spans="1:40" ht="20.100000000000001" customHeight="1" x14ac:dyDescent="0.25">
      <c r="A49" s="18"/>
      <c r="B49" s="18"/>
      <c r="C49" s="18"/>
      <c r="D49" s="7"/>
      <c r="E49" s="2"/>
      <c r="F49" s="1070"/>
      <c r="G49" s="1071"/>
      <c r="H49" s="1071"/>
      <c r="I49" s="1071"/>
      <c r="J49" s="1071"/>
      <c r="K49" s="1071"/>
      <c r="L49" s="1072"/>
      <c r="M49" s="1077"/>
      <c r="N49" s="1"/>
      <c r="O49" s="138"/>
      <c r="P49" s="138"/>
      <c r="Q49" s="138"/>
      <c r="R49" s="139"/>
      <c r="S49" s="1042"/>
      <c r="T49" s="1043"/>
      <c r="U49" s="1043"/>
      <c r="V49" s="1043"/>
      <c r="W49" s="1043"/>
      <c r="X49" s="1043"/>
      <c r="Y49" s="1043"/>
      <c r="Z49" s="1044"/>
      <c r="AA49" s="1044"/>
      <c r="AB49" s="1044"/>
      <c r="AC49" s="1044"/>
      <c r="AD49" s="1044"/>
      <c r="AE49" s="1044"/>
      <c r="AF49" s="1044"/>
      <c r="AG49" s="1044"/>
      <c r="AH49" s="1044"/>
      <c r="AI49" s="1066"/>
      <c r="AJ49" s="1066"/>
      <c r="AK49" s="1066"/>
      <c r="AL49" s="1066"/>
      <c r="AM49" s="1066"/>
      <c r="AN49" s="130"/>
    </row>
    <row r="50" spans="1:40" ht="20.100000000000001" customHeight="1" x14ac:dyDescent="0.25">
      <c r="A50" s="18"/>
      <c r="B50" s="18"/>
      <c r="C50" s="18"/>
      <c r="D50" s="7"/>
      <c r="E50" s="2"/>
      <c r="F50" s="1070"/>
      <c r="G50" s="1071"/>
      <c r="H50" s="1071"/>
      <c r="I50" s="1071"/>
      <c r="J50" s="1071"/>
      <c r="K50" s="1071"/>
      <c r="L50" s="1072"/>
      <c r="M50" s="1077"/>
      <c r="N50" s="138"/>
      <c r="O50" s="1047" t="s">
        <v>280</v>
      </c>
      <c r="P50" s="1047"/>
      <c r="Q50" s="1047"/>
      <c r="R50" s="1048"/>
      <c r="S50" s="1042"/>
      <c r="T50" s="1043"/>
      <c r="U50" s="1043"/>
      <c r="V50" s="1043"/>
      <c r="W50" s="1043"/>
      <c r="X50" s="1043"/>
      <c r="Y50" s="1043"/>
      <c r="Z50" s="1044"/>
      <c r="AA50" s="1044"/>
      <c r="AB50" s="1044"/>
      <c r="AC50" s="1044"/>
      <c r="AD50" s="1044"/>
      <c r="AE50" s="1044"/>
      <c r="AF50" s="1044"/>
      <c r="AG50" s="1044"/>
      <c r="AH50" s="1044"/>
      <c r="AI50" s="1066"/>
      <c r="AJ50" s="1066"/>
      <c r="AK50" s="1066"/>
      <c r="AL50" s="1066"/>
      <c r="AM50" s="1066"/>
      <c r="AN50" s="156"/>
    </row>
    <row r="51" spans="1:40" ht="20.100000000000001" customHeight="1" x14ac:dyDescent="0.25">
      <c r="A51" s="18"/>
      <c r="B51" s="18"/>
      <c r="C51" s="18"/>
      <c r="D51" s="7"/>
      <c r="E51" s="2"/>
      <c r="F51" s="1073"/>
      <c r="G51" s="1074"/>
      <c r="H51" s="1074"/>
      <c r="I51" s="1074"/>
      <c r="J51" s="1074"/>
      <c r="K51" s="1074"/>
      <c r="L51" s="1075"/>
      <c r="M51" s="1078"/>
      <c r="N51" s="140"/>
      <c r="O51" s="140"/>
      <c r="P51" s="140"/>
      <c r="Q51" s="140"/>
      <c r="R51" s="141"/>
      <c r="S51" s="1042"/>
      <c r="T51" s="1043"/>
      <c r="U51" s="1043"/>
      <c r="V51" s="1043"/>
      <c r="W51" s="1043"/>
      <c r="X51" s="1043"/>
      <c r="Y51" s="1043"/>
      <c r="Z51" s="1044"/>
      <c r="AA51" s="1044"/>
      <c r="AB51" s="1044"/>
      <c r="AC51" s="1044"/>
      <c r="AD51" s="1044"/>
      <c r="AE51" s="1044"/>
      <c r="AF51" s="1044"/>
      <c r="AG51" s="1044"/>
      <c r="AH51" s="1044"/>
      <c r="AI51" s="1066"/>
      <c r="AJ51" s="1066"/>
      <c r="AK51" s="1066"/>
      <c r="AL51" s="1066"/>
      <c r="AM51" s="1066"/>
      <c r="AN51" s="130"/>
    </row>
    <row r="52" spans="1:40" ht="20.100000000000001" customHeight="1" x14ac:dyDescent="0.25">
      <c r="A52" s="18"/>
      <c r="B52" s="18"/>
      <c r="C52" s="18"/>
      <c r="D52" s="7"/>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40" ht="20.100000000000001" customHeight="1" x14ac:dyDescent="0.25">
      <c r="A53" s="18"/>
      <c r="B53" s="18"/>
      <c r="C53" s="18"/>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167"/>
    </row>
    <row r="54" spans="1:40" ht="15" customHeight="1" x14ac:dyDescent="0.25">
      <c r="A54" s="18"/>
      <c r="B54" s="18"/>
      <c r="C54" s="18"/>
      <c r="D54" s="168"/>
      <c r="E54" s="169"/>
      <c r="F54" s="169"/>
      <c r="G54" s="169"/>
      <c r="H54" s="169"/>
      <c r="I54" s="169"/>
      <c r="J54" s="169"/>
      <c r="K54" s="169"/>
      <c r="L54" s="169"/>
      <c r="M54" s="169"/>
      <c r="N54" s="145" t="str">
        <f ca="1">Calculos!$BA$115</f>
        <v/>
      </c>
      <c r="O54" s="169"/>
      <c r="P54" s="169"/>
      <c r="Q54" s="170"/>
      <c r="R54" s="170"/>
      <c r="S54" s="170"/>
      <c r="T54" s="170"/>
      <c r="U54" s="170"/>
      <c r="V54" s="170"/>
      <c r="W54" s="170"/>
      <c r="X54" s="170"/>
      <c r="Y54" s="170"/>
      <c r="Z54" s="170"/>
      <c r="AA54" s="170"/>
      <c r="AB54" s="170"/>
      <c r="AC54" s="169"/>
      <c r="AD54" s="169"/>
      <c r="AE54" s="169"/>
      <c r="AF54" s="169"/>
      <c r="AG54" s="170"/>
      <c r="AH54" s="170"/>
      <c r="AI54" s="170"/>
      <c r="AJ54" s="170"/>
      <c r="AK54" s="170"/>
      <c r="AL54" s="170"/>
      <c r="AM54" s="170"/>
      <c r="AN54" s="170"/>
    </row>
    <row r="55" spans="1:40" ht="20.100000000000001" customHeight="1" x14ac:dyDescent="0.25">
      <c r="A55" s="18"/>
      <c r="B55" s="18"/>
      <c r="C55" s="18"/>
      <c r="D55" s="7"/>
      <c r="E55" s="2"/>
      <c r="F55" s="1008" t="s">
        <v>299</v>
      </c>
      <c r="G55" s="1009"/>
      <c r="H55" s="1009"/>
      <c r="I55" s="1009"/>
      <c r="J55" s="1009"/>
      <c r="K55" s="1009"/>
      <c r="L55" s="1041"/>
      <c r="M55" s="148" t="s">
        <v>186</v>
      </c>
      <c r="N55" s="1055" t="s">
        <v>287</v>
      </c>
      <c r="O55" s="1056"/>
      <c r="P55" s="1056"/>
      <c r="Q55" s="1058"/>
      <c r="R55" s="1059"/>
      <c r="S55" s="1059"/>
      <c r="T55" s="1060"/>
      <c r="U55" s="1008" t="s">
        <v>34</v>
      </c>
      <c r="V55" s="1009"/>
      <c r="W55" s="1009"/>
      <c r="X55" s="1009"/>
      <c r="Y55" s="1010"/>
      <c r="Z55" s="1008" t="s">
        <v>278</v>
      </c>
      <c r="AA55" s="1009"/>
      <c r="AB55" s="1010"/>
      <c r="AC55" s="1061"/>
      <c r="AD55" s="1062"/>
      <c r="AE55" s="1063"/>
      <c r="AF55" s="1008" t="s">
        <v>279</v>
      </c>
      <c r="AG55" s="1009"/>
      <c r="AH55" s="1010"/>
      <c r="AI55" s="1061"/>
      <c r="AJ55" s="1062"/>
      <c r="AK55" s="1062"/>
      <c r="AL55" s="1062"/>
      <c r="AM55" s="1063"/>
      <c r="AN55" s="2"/>
    </row>
    <row r="56" spans="1:40" ht="99.95" customHeight="1" x14ac:dyDescent="0.25">
      <c r="A56" s="18"/>
      <c r="B56" s="18"/>
      <c r="C56" s="18"/>
      <c r="D56" s="7"/>
      <c r="E56" s="2"/>
      <c r="F56" s="1008" t="s">
        <v>297</v>
      </c>
      <c r="G56" s="1009"/>
      <c r="H56" s="1009"/>
      <c r="I56" s="1009"/>
      <c r="J56" s="1009"/>
      <c r="K56" s="1009"/>
      <c r="L56" s="1041"/>
      <c r="M56" s="148" t="s">
        <v>186</v>
      </c>
      <c r="N56" s="1032"/>
      <c r="O56" s="1033"/>
      <c r="P56" s="1033"/>
      <c r="Q56" s="1033"/>
      <c r="R56" s="1033"/>
      <c r="S56" s="1033"/>
      <c r="T56" s="1033"/>
      <c r="U56" s="1033"/>
      <c r="V56" s="1033"/>
      <c r="W56" s="1033"/>
      <c r="X56" s="1033"/>
      <c r="Y56" s="1033"/>
      <c r="Z56" s="1033"/>
      <c r="AA56" s="1033"/>
      <c r="AB56" s="1033"/>
      <c r="AC56" s="1033"/>
      <c r="AD56" s="1033"/>
      <c r="AE56" s="1033"/>
      <c r="AF56" s="1033"/>
      <c r="AG56" s="1033"/>
      <c r="AH56" s="1033"/>
      <c r="AI56" s="1033"/>
      <c r="AJ56" s="1033"/>
      <c r="AK56" s="1033"/>
      <c r="AL56" s="1033"/>
      <c r="AM56" s="1034"/>
      <c r="AN56" s="131" t="s">
        <v>8014</v>
      </c>
    </row>
    <row r="57" spans="1:40" x14ac:dyDescent="0.25">
      <c r="A57" s="18"/>
      <c r="B57" s="18"/>
      <c r="C57" s="18"/>
      <c r="D57" s="7"/>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sheetData>
  <sheetProtection algorithmName="SHA-512" hashValue="dlSPOhoj1IOeUJnjwMyRaBUb/x5ZQtQSk6jbmFp8jcYqbEJxHrQSXMC2eG3bYGnbD3BwsnQqLSbzTdED7l+UlQ==" saltValue="q/ld0a2w/O9F5VGmV7OcsQ==" spinCount="100000" sheet="1" objects="1" scenarios="1" formatColumns="0" formatRows="0"/>
  <dataConsolidate link="1"/>
  <mergeCells count="157">
    <mergeCell ref="AI2:AN7"/>
    <mergeCell ref="F10:L10"/>
    <mergeCell ref="N10:Z10"/>
    <mergeCell ref="AA10:AD10"/>
    <mergeCell ref="AF10:AJ10"/>
    <mergeCell ref="AB17:AJ17"/>
    <mergeCell ref="F14:M14"/>
    <mergeCell ref="N14:AJ14"/>
    <mergeCell ref="F15:M15"/>
    <mergeCell ref="N15:P15"/>
    <mergeCell ref="R15:X15"/>
    <mergeCell ref="Y15:AB15"/>
    <mergeCell ref="AD15:AJ15"/>
    <mergeCell ref="F11:L11"/>
    <mergeCell ref="N11:AJ11"/>
    <mergeCell ref="F12:L12"/>
    <mergeCell ref="N12:S12"/>
    <mergeCell ref="F13:L13"/>
    <mergeCell ref="N13:AJ13"/>
    <mergeCell ref="F2:AG6"/>
    <mergeCell ref="F7:J7"/>
    <mergeCell ref="AK11:AN11"/>
    <mergeCell ref="S22:U22"/>
    <mergeCell ref="G21:H21"/>
    <mergeCell ref="I21:K21"/>
    <mergeCell ref="L21:M21"/>
    <mergeCell ref="N21:P21"/>
    <mergeCell ref="Q21:R21"/>
    <mergeCell ref="S21:U21"/>
    <mergeCell ref="F16:L16"/>
    <mergeCell ref="N16:S16"/>
    <mergeCell ref="F17:L17"/>
    <mergeCell ref="N17:S17"/>
    <mergeCell ref="T17:Z17"/>
    <mergeCell ref="V21:Y21"/>
    <mergeCell ref="G22:H22"/>
    <mergeCell ref="I22:K22"/>
    <mergeCell ref="L22:M22"/>
    <mergeCell ref="N22:P22"/>
    <mergeCell ref="Q22:R22"/>
    <mergeCell ref="G23:H23"/>
    <mergeCell ref="I23:K23"/>
    <mergeCell ref="L23:M23"/>
    <mergeCell ref="N23:P23"/>
    <mergeCell ref="Q23:R23"/>
    <mergeCell ref="S23:U23"/>
    <mergeCell ref="G25:H25"/>
    <mergeCell ref="I25:K25"/>
    <mergeCell ref="L25:M25"/>
    <mergeCell ref="N25:P25"/>
    <mergeCell ref="Q25:R25"/>
    <mergeCell ref="S25:U25"/>
    <mergeCell ref="G24:H24"/>
    <mergeCell ref="I24:K24"/>
    <mergeCell ref="L24:M24"/>
    <mergeCell ref="N24:P24"/>
    <mergeCell ref="Q24:R24"/>
    <mergeCell ref="S24:U24"/>
    <mergeCell ref="G27:H27"/>
    <mergeCell ref="I27:K27"/>
    <mergeCell ref="L27:M27"/>
    <mergeCell ref="N27:P27"/>
    <mergeCell ref="Q27:R27"/>
    <mergeCell ref="S27:U27"/>
    <mergeCell ref="G26:H26"/>
    <mergeCell ref="I26:K26"/>
    <mergeCell ref="L26:M26"/>
    <mergeCell ref="N26:P26"/>
    <mergeCell ref="Q26:R26"/>
    <mergeCell ref="S26:U26"/>
    <mergeCell ref="G29:H29"/>
    <mergeCell ref="I29:K29"/>
    <mergeCell ref="L29:M29"/>
    <mergeCell ref="N29:P29"/>
    <mergeCell ref="Q29:R29"/>
    <mergeCell ref="S29:U29"/>
    <mergeCell ref="G28:H28"/>
    <mergeCell ref="I28:K28"/>
    <mergeCell ref="L28:M28"/>
    <mergeCell ref="N28:P28"/>
    <mergeCell ref="Q28:R28"/>
    <mergeCell ref="S28:U28"/>
    <mergeCell ref="G31:H31"/>
    <mergeCell ref="I31:K31"/>
    <mergeCell ref="L31:M31"/>
    <mergeCell ref="N31:P31"/>
    <mergeCell ref="Q31:R31"/>
    <mergeCell ref="S31:U31"/>
    <mergeCell ref="G30:H30"/>
    <mergeCell ref="I30:K30"/>
    <mergeCell ref="L30:M30"/>
    <mergeCell ref="N30:P30"/>
    <mergeCell ref="Q30:R30"/>
    <mergeCell ref="S30:U30"/>
    <mergeCell ref="G33:H33"/>
    <mergeCell ref="I33:K33"/>
    <mergeCell ref="L33:M33"/>
    <mergeCell ref="N33:P33"/>
    <mergeCell ref="Q33:R33"/>
    <mergeCell ref="S33:U33"/>
    <mergeCell ref="G32:H32"/>
    <mergeCell ref="I32:K32"/>
    <mergeCell ref="L32:M32"/>
    <mergeCell ref="N32:P32"/>
    <mergeCell ref="Q32:R32"/>
    <mergeCell ref="S32:U32"/>
    <mergeCell ref="G35:H35"/>
    <mergeCell ref="I35:K35"/>
    <mergeCell ref="L35:M35"/>
    <mergeCell ref="N35:P35"/>
    <mergeCell ref="Q35:R35"/>
    <mergeCell ref="S35:U35"/>
    <mergeCell ref="G34:H34"/>
    <mergeCell ref="I34:K34"/>
    <mergeCell ref="L34:M34"/>
    <mergeCell ref="N34:P34"/>
    <mergeCell ref="Q34:R34"/>
    <mergeCell ref="S34:U34"/>
    <mergeCell ref="G36:H36"/>
    <mergeCell ref="I36:K36"/>
    <mergeCell ref="L36:M36"/>
    <mergeCell ref="N36:P36"/>
    <mergeCell ref="Q36:R36"/>
    <mergeCell ref="S36:U36"/>
    <mergeCell ref="S51:Y51"/>
    <mergeCell ref="Z51:AH51"/>
    <mergeCell ref="AI51:AM51"/>
    <mergeCell ref="F43:M43"/>
    <mergeCell ref="N43:AM43"/>
    <mergeCell ref="AI48:AM48"/>
    <mergeCell ref="S49:Y49"/>
    <mergeCell ref="Z49:AH49"/>
    <mergeCell ref="AI49:AM49"/>
    <mergeCell ref="O50:R50"/>
    <mergeCell ref="S50:Y50"/>
    <mergeCell ref="Z50:AH50"/>
    <mergeCell ref="AI50:AM50"/>
    <mergeCell ref="F42:M42"/>
    <mergeCell ref="N42:AM42"/>
    <mergeCell ref="F47:L51"/>
    <mergeCell ref="M47:M51"/>
    <mergeCell ref="S47:Y47"/>
    <mergeCell ref="Z47:AH47"/>
    <mergeCell ref="AI47:AM47"/>
    <mergeCell ref="O48:R48"/>
    <mergeCell ref="S48:Y48"/>
    <mergeCell ref="Z48:AH48"/>
    <mergeCell ref="AF55:AH55"/>
    <mergeCell ref="AI55:AM55"/>
    <mergeCell ref="F56:L56"/>
    <mergeCell ref="N56:AM56"/>
    <mergeCell ref="F55:L55"/>
    <mergeCell ref="N55:P55"/>
    <mergeCell ref="Q55:T55"/>
    <mergeCell ref="U55:Y55"/>
    <mergeCell ref="Z55:AB55"/>
    <mergeCell ref="AC55:AE55"/>
  </mergeCells>
  <conditionalFormatting sqref="F7">
    <cfRule type="notContainsBlanks" dxfId="635" priority="1">
      <formula>LEN(TRIM(F7))&gt;0</formula>
    </cfRule>
  </conditionalFormatting>
  <conditionalFormatting sqref="M10:M13">
    <cfRule type="expression" dxfId="634" priority="16">
      <formula>N10&lt;&gt;""</formula>
    </cfRule>
  </conditionalFormatting>
  <conditionalFormatting sqref="M16:M17">
    <cfRule type="expression" dxfId="633" priority="14">
      <formula>N16&lt;&gt;""</formula>
    </cfRule>
  </conditionalFormatting>
  <conditionalFormatting sqref="M55">
    <cfRule type="expression" dxfId="631" priority="8">
      <formula>OR($Q$55&lt;&gt;"",$AC$55&lt;&gt;"")</formula>
    </cfRule>
  </conditionalFormatting>
  <conditionalFormatting sqref="M56">
    <cfRule type="expression" dxfId="630" priority="9">
      <formula>N56&lt;&gt;""</formula>
    </cfRule>
  </conditionalFormatting>
  <conditionalFormatting sqref="N21:P36">
    <cfRule type="expression" dxfId="629" priority="3">
      <formula>COUNTIF($L$22:$M$36,"&gt;0")=0</formula>
    </cfRule>
  </conditionalFormatting>
  <conditionalFormatting sqref="Q15">
    <cfRule type="expression" dxfId="628" priority="13">
      <formula>R15&lt;&gt;""</formula>
    </cfRule>
  </conditionalFormatting>
  <conditionalFormatting sqref="S21:U36">
    <cfRule type="expression" dxfId="627" priority="2">
      <formula>COUNTIF($Q$22:$R$36,"&gt;0")=0</formula>
    </cfRule>
  </conditionalFormatting>
  <conditionalFormatting sqref="AA17">
    <cfRule type="expression" dxfId="625" priority="11">
      <formula>AB17&lt;&gt;""</formula>
    </cfRule>
  </conditionalFormatting>
  <conditionalFormatting sqref="AC15">
    <cfRule type="expression" dxfId="624" priority="12">
      <formula>AD15&lt;&gt;""</formula>
    </cfRule>
  </conditionalFormatting>
  <conditionalFormatting sqref="AE10">
    <cfRule type="expression" dxfId="623" priority="15">
      <formula>AF10&lt;&gt;""</formula>
    </cfRule>
  </conditionalFormatting>
  <dataValidations count="15">
    <dataValidation allowBlank="1" showInputMessage="1" showErrorMessage="1" promptTitle="Ajuda" prompt="Informar o resultado a partir da dose testada nos animais. Não adotar o valor de referência no protocolo OECD (Cut-off)." sqref="F55:L55" xr:uid="{F556F139-1BAA-4A94-B45B-D762B56931F5}"/>
    <dataValidation allowBlank="1" showInputMessage="1" showErrorMessage="1" promptTitle="Ajuda" prompt="A conclusão deverá ser conforme está escrito no relatório do estudo._x000a_" sqref="F56:L56" xr:uid="{EBCC4985-ED48-43F1-AA12-F7336CABD341}"/>
    <dataValidation allowBlank="1" showInputMessage="1" showErrorMessage="1" promptTitle="Ajuda" prompt="Informar apenas se o(s) desvio(s) afetam de algum modo a interpretação dos resultados" sqref="AI47:AM47" xr:uid="{E2E391D0-92BE-4D77-B58F-C62526C00087}"/>
    <dataValidation allowBlank="1" showInputMessage="1" showErrorMessage="1" promptTitle="Ajuda" prompt="Incluir a justificativa do porquê ocorreu desvio e qual é interpretação dos seus impactos frente aos resultados do estudos." sqref="Z47:AH47" xr:uid="{E45B9CD6-20BA-49B1-BD30-A2D1B4FF1F4E}"/>
    <dataValidation allowBlank="1" showInputMessage="1" showErrorMessage="1" promptTitle="Ajuda" prompt="Descrição sucinta do desvio ocorrido._x000a__x000a_Caso tenha ocorrido mais do que quatro desvios, os demais deverão estar descritos na última linha e separados por ponto e vírgula" sqref="S47:Y47" xr:uid="{5D23D679-0206-4988-83C1-59BD3005F9F8}"/>
    <dataValidation allowBlank="1" showInputMessage="1" showErrorMessage="1" promptTitle="Ajuda" prompt="São considerados desvios os procedimentos que tenham sido conduzidos em desacordo com o protocolo. _x000a__x000a_Alterações no corpo técnico, retificações no texto do relatório ou similiares não são considerados desvios ao protocolo." sqref="F47:L51" xr:uid="{834BEE16-F31C-412C-A07D-4922FA2C9BDD}"/>
    <dataValidation allowBlank="1" showInputMessage="1" showErrorMessage="1" promptTitle="Ajuda" prompt="Data de início da exposição dos animais à substância teste" sqref="N15:P15" xr:uid="{D6D7B2F3-0A8E-4BAF-A894-90E1D3887125}"/>
    <dataValidation allowBlank="1" showInputMessage="1" showErrorMessage="1" promptTitle="Ajuda" prompt="Informar outras metodologias que tenham sido utilizadas na condução do estudo separando-as por &quot;;&quot; (ponto e vírgula)._x000a__x000a_Deixar esse campo em branco caso não tenham sido referênciados outros protocolos no relatório do estudo. " sqref="F14:M14" xr:uid="{F4A89D59-D931-404C-BA33-689C981175C5}"/>
    <dataValidation allowBlank="1" showInputMessage="1" showErrorMessage="1" promptTitle="Ajuda" prompt="Informar nome e estado/país do laboratório executor" sqref="F11:L11" xr:uid="{0849E38D-6727-4263-9378-35F8A13F1C5C}"/>
    <dataValidation allowBlank="1" showInputMessage="1" showErrorMessage="1" promptTitle="Ajuda" prompt="Código gerado pelo laboratório executor" sqref="AA10:AD10" xr:uid="{FCB8F41E-1054-4197-9ACE-1C15C3C6786C}"/>
    <dataValidation type="decimal" operator="greaterThanOrEqual" allowBlank="1" showInputMessage="1" showErrorMessage="1" errorTitle="Valor inválido" error="O valor da dose deve ser um número decimal" sqref="Q55:T55" xr:uid="{D2D06880-5CBF-460D-89D5-7370C3FB8283}">
      <formula1>0</formula1>
    </dataValidation>
    <dataValidation type="custom" allowBlank="1" showInputMessage="1" showErrorMessage="1" errorTitle="Valor inválido" error="O número de animais mortos não pode ser superior a quantidade de animais avaliados." sqref="N22:P36 S22:U36" xr:uid="{688BF254-523A-4EDB-913E-72129F9C7F31}">
      <formula1>L22&gt;=N22</formula1>
    </dataValidation>
    <dataValidation type="custom" allowBlank="1" showInputMessage="1" showErrorMessage="1" errorTitle="Data inválida" error="A data de conclusão não pode ser anterior a data de início." sqref="AD15:AJ15" xr:uid="{84A4ED6E-13E4-472A-AED8-507B51616046}">
      <formula1>R15&lt;=AD15</formula1>
    </dataValidation>
    <dataValidation type="list" allowBlank="1" showInputMessage="1" showErrorMessage="1" errorTitle="Código inválido" error="Preencher os dados do certificado na guia &quot;Certificados&quot; antes de atribuí-lo a algum estudo" sqref="N16:S16" xr:uid="{A4A6C047-84D8-4B0C-A9F2-3E74CD288149}">
      <formula1>src_certificados</formula1>
    </dataValidation>
    <dataValidation allowBlank="1" showInputMessage="1" showErrorMessage="1" prompt="Consideram-se evidências de toxicidade as alterações observadas nos animais decorrentes da exposição à substância teste até os valores da categoria 4, exceto para diarreia, piloereção e aparência descuidada._x000a__x000a_*RDC 294/19, ANEXO IV, item 1.5, alínea d" sqref="V21:Y21" xr:uid="{4F279DEA-F229-4D98-AFD6-4A31977216FF}"/>
  </dataValidations>
  <hyperlinks>
    <hyperlink ref="F7" location="Alertas!G2" display="Alertas!G2" xr:uid="{34552E79-F16A-42A2-A731-B2E056F7D20B}"/>
  </hyperlinks>
  <pageMargins left="0.511811024" right="0.511811024" top="0.78740157499999996" bottom="0.78740157499999996" header="0.31496062000000002" footer="0.31496062000000002"/>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_dloral1_maiorque">
              <controlPr defaultSize="0" autoFill="0" autoLine="0" autoPict="0">
                <anchor moveWithCells="1">
                  <from>
                    <xdr:col>13</xdr:col>
                    <xdr:colOff>19050</xdr:colOff>
                    <xdr:row>54</xdr:row>
                    <xdr:rowOff>9525</xdr:rowOff>
                  </from>
                  <to>
                    <xdr:col>15</xdr:col>
                    <xdr:colOff>266700</xdr:colOff>
                    <xdr:row>54</xdr:row>
                    <xdr:rowOff>238125</xdr:rowOff>
                  </to>
                </anchor>
              </controlPr>
            </control>
          </mc:Choice>
        </mc:AlternateContent>
        <mc:AlternateContent xmlns:mc="http://schemas.openxmlformats.org/markup-compatibility/2006">
          <mc:Choice Requires="x14">
            <control shapeId="57346" r:id="rId5" name="optn_dloral1_desvios1">
              <controlPr defaultSize="0" autoFill="0" autoLine="0" autoPict="0">
                <anchor moveWithCells="1">
                  <from>
                    <xdr:col>13</xdr:col>
                    <xdr:colOff>85725</xdr:colOff>
                    <xdr:row>46</xdr:row>
                    <xdr:rowOff>171450</xdr:rowOff>
                  </from>
                  <to>
                    <xdr:col>17</xdr:col>
                    <xdr:colOff>266700</xdr:colOff>
                    <xdr:row>48</xdr:row>
                    <xdr:rowOff>66675</xdr:rowOff>
                  </to>
                </anchor>
              </controlPr>
            </control>
          </mc:Choice>
        </mc:AlternateContent>
        <mc:AlternateContent xmlns:mc="http://schemas.openxmlformats.org/markup-compatibility/2006">
          <mc:Choice Requires="x14">
            <control shapeId="57347" r:id="rId6" name="optn_dloral1_desvios2">
              <controlPr defaultSize="0" autoFill="0" autoLine="0" autoPict="0">
                <anchor moveWithCells="1">
                  <from>
                    <xdr:col>13</xdr:col>
                    <xdr:colOff>95250</xdr:colOff>
                    <xdr:row>48</xdr:row>
                    <xdr:rowOff>180975</xdr:rowOff>
                  </from>
                  <to>
                    <xdr:col>17</xdr:col>
                    <xdr:colOff>266700</xdr:colOff>
                    <xdr:row>50</xdr:row>
                    <xdr:rowOff>76200</xdr:rowOff>
                  </to>
                </anchor>
              </controlPr>
            </control>
          </mc:Choice>
        </mc:AlternateContent>
        <mc:AlternateContent xmlns:mc="http://schemas.openxmlformats.org/markup-compatibility/2006">
          <mc:Choice Requires="x14">
            <control shapeId="57348" r:id="rId7" name="evid_tox_1">
              <controlPr defaultSize="0" autoFill="0" autoLine="0" autoPict="0">
                <anchor moveWithCells="1">
                  <from>
                    <xdr:col>22</xdr:col>
                    <xdr:colOff>142875</xdr:colOff>
                    <xdr:row>21</xdr:row>
                    <xdr:rowOff>9525</xdr:rowOff>
                  </from>
                  <to>
                    <xdr:col>24</xdr:col>
                    <xdr:colOff>295275</xdr:colOff>
                    <xdr:row>21</xdr:row>
                    <xdr:rowOff>314325</xdr:rowOff>
                  </to>
                </anchor>
              </controlPr>
            </control>
          </mc:Choice>
        </mc:AlternateContent>
        <mc:AlternateContent xmlns:mc="http://schemas.openxmlformats.org/markup-compatibility/2006">
          <mc:Choice Requires="x14">
            <control shapeId="57349" r:id="rId8" name="evid_tox_3">
              <controlPr defaultSize="0" autoFill="0" autoLine="0" autoPict="0">
                <anchor moveWithCells="1">
                  <from>
                    <xdr:col>22</xdr:col>
                    <xdr:colOff>142875</xdr:colOff>
                    <xdr:row>23</xdr:row>
                    <xdr:rowOff>9525</xdr:rowOff>
                  </from>
                  <to>
                    <xdr:col>24</xdr:col>
                    <xdr:colOff>295275</xdr:colOff>
                    <xdr:row>23</xdr:row>
                    <xdr:rowOff>314325</xdr:rowOff>
                  </to>
                </anchor>
              </controlPr>
            </control>
          </mc:Choice>
        </mc:AlternateContent>
        <mc:AlternateContent xmlns:mc="http://schemas.openxmlformats.org/markup-compatibility/2006">
          <mc:Choice Requires="x14">
            <control shapeId="57350" r:id="rId9" name="evid_tox_4">
              <controlPr defaultSize="0" autoFill="0" autoLine="0" autoPict="0">
                <anchor moveWithCells="1">
                  <from>
                    <xdr:col>22</xdr:col>
                    <xdr:colOff>142875</xdr:colOff>
                    <xdr:row>24</xdr:row>
                    <xdr:rowOff>9525</xdr:rowOff>
                  </from>
                  <to>
                    <xdr:col>24</xdr:col>
                    <xdr:colOff>295275</xdr:colOff>
                    <xdr:row>24</xdr:row>
                    <xdr:rowOff>314325</xdr:rowOff>
                  </to>
                </anchor>
              </controlPr>
            </control>
          </mc:Choice>
        </mc:AlternateContent>
        <mc:AlternateContent xmlns:mc="http://schemas.openxmlformats.org/markup-compatibility/2006">
          <mc:Choice Requires="x14">
            <control shapeId="57351" r:id="rId10" name="evid_tox_5">
              <controlPr defaultSize="0" autoFill="0" autoLine="0" autoPict="0">
                <anchor moveWithCells="1">
                  <from>
                    <xdr:col>22</xdr:col>
                    <xdr:colOff>142875</xdr:colOff>
                    <xdr:row>25</xdr:row>
                    <xdr:rowOff>9525</xdr:rowOff>
                  </from>
                  <to>
                    <xdr:col>24</xdr:col>
                    <xdr:colOff>295275</xdr:colOff>
                    <xdr:row>25</xdr:row>
                    <xdr:rowOff>314325</xdr:rowOff>
                  </to>
                </anchor>
              </controlPr>
            </control>
          </mc:Choice>
        </mc:AlternateContent>
        <mc:AlternateContent xmlns:mc="http://schemas.openxmlformats.org/markup-compatibility/2006">
          <mc:Choice Requires="x14">
            <control shapeId="57352" r:id="rId11" name="evid_tox_6">
              <controlPr defaultSize="0" autoFill="0" autoLine="0" autoPict="0">
                <anchor moveWithCells="1">
                  <from>
                    <xdr:col>22</xdr:col>
                    <xdr:colOff>142875</xdr:colOff>
                    <xdr:row>26</xdr:row>
                    <xdr:rowOff>9525</xdr:rowOff>
                  </from>
                  <to>
                    <xdr:col>24</xdr:col>
                    <xdr:colOff>295275</xdr:colOff>
                    <xdr:row>26</xdr:row>
                    <xdr:rowOff>314325</xdr:rowOff>
                  </to>
                </anchor>
              </controlPr>
            </control>
          </mc:Choice>
        </mc:AlternateContent>
        <mc:AlternateContent xmlns:mc="http://schemas.openxmlformats.org/markup-compatibility/2006">
          <mc:Choice Requires="x14">
            <control shapeId="57353" r:id="rId12" name="evid_tox_7">
              <controlPr defaultSize="0" autoFill="0" autoLine="0" autoPict="0">
                <anchor moveWithCells="1">
                  <from>
                    <xdr:col>22</xdr:col>
                    <xdr:colOff>142875</xdr:colOff>
                    <xdr:row>27</xdr:row>
                    <xdr:rowOff>9525</xdr:rowOff>
                  </from>
                  <to>
                    <xdr:col>24</xdr:col>
                    <xdr:colOff>295275</xdr:colOff>
                    <xdr:row>27</xdr:row>
                    <xdr:rowOff>314325</xdr:rowOff>
                  </to>
                </anchor>
              </controlPr>
            </control>
          </mc:Choice>
        </mc:AlternateContent>
        <mc:AlternateContent xmlns:mc="http://schemas.openxmlformats.org/markup-compatibility/2006">
          <mc:Choice Requires="x14">
            <control shapeId="57354" r:id="rId13" name="evid_tox_8">
              <controlPr defaultSize="0" autoFill="0" autoLine="0" autoPict="0">
                <anchor moveWithCells="1">
                  <from>
                    <xdr:col>22</xdr:col>
                    <xdr:colOff>142875</xdr:colOff>
                    <xdr:row>28</xdr:row>
                    <xdr:rowOff>9525</xdr:rowOff>
                  </from>
                  <to>
                    <xdr:col>24</xdr:col>
                    <xdr:colOff>295275</xdr:colOff>
                    <xdr:row>28</xdr:row>
                    <xdr:rowOff>314325</xdr:rowOff>
                  </to>
                </anchor>
              </controlPr>
            </control>
          </mc:Choice>
        </mc:AlternateContent>
        <mc:AlternateContent xmlns:mc="http://schemas.openxmlformats.org/markup-compatibility/2006">
          <mc:Choice Requires="x14">
            <control shapeId="57355" r:id="rId14" name="evid_tox_9">
              <controlPr defaultSize="0" autoFill="0" autoLine="0" autoPict="0">
                <anchor moveWithCells="1">
                  <from>
                    <xdr:col>22</xdr:col>
                    <xdr:colOff>142875</xdr:colOff>
                    <xdr:row>29</xdr:row>
                    <xdr:rowOff>19050</xdr:rowOff>
                  </from>
                  <to>
                    <xdr:col>24</xdr:col>
                    <xdr:colOff>295275</xdr:colOff>
                    <xdr:row>30</xdr:row>
                    <xdr:rowOff>0</xdr:rowOff>
                  </to>
                </anchor>
              </controlPr>
            </control>
          </mc:Choice>
        </mc:AlternateContent>
        <mc:AlternateContent xmlns:mc="http://schemas.openxmlformats.org/markup-compatibility/2006">
          <mc:Choice Requires="x14">
            <control shapeId="57356" r:id="rId15" name="evid_tox_10">
              <controlPr defaultSize="0" autoFill="0" autoLine="0" autoPict="0">
                <anchor moveWithCells="1">
                  <from>
                    <xdr:col>22</xdr:col>
                    <xdr:colOff>142875</xdr:colOff>
                    <xdr:row>30</xdr:row>
                    <xdr:rowOff>19050</xdr:rowOff>
                  </from>
                  <to>
                    <xdr:col>24</xdr:col>
                    <xdr:colOff>295275</xdr:colOff>
                    <xdr:row>31</xdr:row>
                    <xdr:rowOff>0</xdr:rowOff>
                  </to>
                </anchor>
              </controlPr>
            </control>
          </mc:Choice>
        </mc:AlternateContent>
        <mc:AlternateContent xmlns:mc="http://schemas.openxmlformats.org/markup-compatibility/2006">
          <mc:Choice Requires="x14">
            <control shapeId="57357" r:id="rId16" name="evid_tox_11">
              <controlPr defaultSize="0" autoFill="0" autoLine="0" autoPict="0">
                <anchor moveWithCells="1">
                  <from>
                    <xdr:col>22</xdr:col>
                    <xdr:colOff>142875</xdr:colOff>
                    <xdr:row>31</xdr:row>
                    <xdr:rowOff>19050</xdr:rowOff>
                  </from>
                  <to>
                    <xdr:col>24</xdr:col>
                    <xdr:colOff>295275</xdr:colOff>
                    <xdr:row>32</xdr:row>
                    <xdr:rowOff>0</xdr:rowOff>
                  </to>
                </anchor>
              </controlPr>
            </control>
          </mc:Choice>
        </mc:AlternateContent>
        <mc:AlternateContent xmlns:mc="http://schemas.openxmlformats.org/markup-compatibility/2006">
          <mc:Choice Requires="x14">
            <control shapeId="57358" r:id="rId17" name="evid_tox_12">
              <controlPr defaultSize="0" autoFill="0" autoLine="0" autoPict="0">
                <anchor moveWithCells="1">
                  <from>
                    <xdr:col>22</xdr:col>
                    <xdr:colOff>142875</xdr:colOff>
                    <xdr:row>32</xdr:row>
                    <xdr:rowOff>19050</xdr:rowOff>
                  </from>
                  <to>
                    <xdr:col>24</xdr:col>
                    <xdr:colOff>295275</xdr:colOff>
                    <xdr:row>33</xdr:row>
                    <xdr:rowOff>0</xdr:rowOff>
                  </to>
                </anchor>
              </controlPr>
            </control>
          </mc:Choice>
        </mc:AlternateContent>
        <mc:AlternateContent xmlns:mc="http://schemas.openxmlformats.org/markup-compatibility/2006">
          <mc:Choice Requires="x14">
            <control shapeId="57359" r:id="rId18" name="evid_tox_13">
              <controlPr defaultSize="0" autoFill="0" autoLine="0" autoPict="0">
                <anchor moveWithCells="1">
                  <from>
                    <xdr:col>22</xdr:col>
                    <xdr:colOff>142875</xdr:colOff>
                    <xdr:row>33</xdr:row>
                    <xdr:rowOff>19050</xdr:rowOff>
                  </from>
                  <to>
                    <xdr:col>24</xdr:col>
                    <xdr:colOff>295275</xdr:colOff>
                    <xdr:row>34</xdr:row>
                    <xdr:rowOff>0</xdr:rowOff>
                  </to>
                </anchor>
              </controlPr>
            </control>
          </mc:Choice>
        </mc:AlternateContent>
        <mc:AlternateContent xmlns:mc="http://schemas.openxmlformats.org/markup-compatibility/2006">
          <mc:Choice Requires="x14">
            <control shapeId="57360" r:id="rId19" name="evid_tox_14">
              <controlPr defaultSize="0" autoFill="0" autoLine="0" autoPict="0">
                <anchor moveWithCells="1">
                  <from>
                    <xdr:col>22</xdr:col>
                    <xdr:colOff>142875</xdr:colOff>
                    <xdr:row>34</xdr:row>
                    <xdr:rowOff>19050</xdr:rowOff>
                  </from>
                  <to>
                    <xdr:col>24</xdr:col>
                    <xdr:colOff>295275</xdr:colOff>
                    <xdr:row>35</xdr:row>
                    <xdr:rowOff>0</xdr:rowOff>
                  </to>
                </anchor>
              </controlPr>
            </control>
          </mc:Choice>
        </mc:AlternateContent>
        <mc:AlternateContent xmlns:mc="http://schemas.openxmlformats.org/markup-compatibility/2006">
          <mc:Choice Requires="x14">
            <control shapeId="57361" r:id="rId20" name="evid_tox_15">
              <controlPr defaultSize="0" autoFill="0" autoLine="0" autoPict="0">
                <anchor moveWithCells="1">
                  <from>
                    <xdr:col>22</xdr:col>
                    <xdr:colOff>142875</xdr:colOff>
                    <xdr:row>35</xdr:row>
                    <xdr:rowOff>19050</xdr:rowOff>
                  </from>
                  <to>
                    <xdr:col>24</xdr:col>
                    <xdr:colOff>295275</xdr:colOff>
                    <xdr:row>36</xdr:row>
                    <xdr:rowOff>0</xdr:rowOff>
                  </to>
                </anchor>
              </controlPr>
            </control>
          </mc:Choice>
        </mc:AlternateContent>
        <mc:AlternateContent xmlns:mc="http://schemas.openxmlformats.org/markup-compatibility/2006">
          <mc:Choice Requires="x14">
            <control shapeId="57362" r:id="rId21" name="Check Box 18">
              <controlPr defaultSize="0" autoFill="0" autoLine="0" autoPict="0">
                <anchor moveWithCells="1">
                  <from>
                    <xdr:col>22</xdr:col>
                    <xdr:colOff>152400</xdr:colOff>
                    <xdr:row>22</xdr:row>
                    <xdr:rowOff>9525</xdr:rowOff>
                  </from>
                  <to>
                    <xdr:col>24</xdr:col>
                    <xdr:colOff>304800</xdr:colOff>
                    <xdr:row>22</xdr:row>
                    <xdr:rowOff>314325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D3823A2A-BC62-4E5E-AD45-6C9DEFE944D6}">
            <xm:f>Respostas_usuario!$K$5&lt;&gt;0</xm:f>
            <x14:dxf>
              <font>
                <b/>
                <i val="0"/>
                <color rgb="FF00B050"/>
              </font>
              <fill>
                <patternFill>
                  <bgColor theme="0"/>
                </patternFill>
              </fill>
            </x14:dxf>
          </x14:cfRule>
          <xm:sqref>M47:M51</xm:sqref>
        </x14:conditionalFormatting>
        <x14:conditionalFormatting xmlns:xm="http://schemas.microsoft.com/office/excel/2006/main">
          <x14:cfRule type="expression" priority="7" id="{0861D884-70C8-45E0-A5DE-ECAE92B83ADD}">
            <xm:f>Respostas_usuario!$K$5&lt;&gt;2</xm:f>
            <x14:dxf>
              <font>
                <color theme="0"/>
              </font>
              <fill>
                <patternFill>
                  <bgColor theme="0"/>
                </patternFill>
              </fill>
              <border>
                <right/>
                <top/>
                <bottom/>
                <vertical/>
                <horizontal/>
              </border>
            </x14:dxf>
          </x14:cfRule>
          <xm:sqref>S47:AM51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Valor inválido" error="A resposta deve ser Sim ou Não" xr:uid="{AD6B6A95-F333-44F2-A67B-B9208028F782}">
          <x14:formula1>
            <xm:f>Tabelas_fonte!$Y$2:$Y$3</xm:f>
          </x14:formula1>
          <xm:sqref>AI48:AM51</xm:sqref>
        </x14:dataValidation>
        <x14:dataValidation type="list" allowBlank="1" showInputMessage="1" xr:uid="{16CB8F97-0775-4CFA-8ED2-410536F566DB}">
          <x14:formula1>
            <xm:f>Tabelas_fonte!$AC$2:$AC$7</xm:f>
          </x14:formula1>
          <xm:sqref>N13:AJ13</xm:sqref>
        </x14:dataValidation>
        <x14:dataValidation type="list" allowBlank="1" showInputMessage="1" showErrorMessage="1" errorTitle="Resposta inválida" error="A resposta de ser Sim ou Não." xr:uid="{37ECF024-E62B-44E7-8255-4A01B01D7114}">
          <x14:formula1>
            <xm:f>Tabelas_fonte!$Y$2:$Y$3</xm:f>
          </x14:formula1>
          <xm:sqref>N12:S12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g D A A B Q S w M E F A A C A A g A w 4 E x T / R H W v 2 o A A A A + Q A A A B I A H A B D b 2 5 m a W c v U G F j a 2 F n Z S 5 4 b W w g o h g A K K A U A A A A A A A A A A A A A A A A A A A A A A A A A A A A h Y / R C o I w G I V f R X b v N i e t k N 8 J d Z s Q B d G t 6 N K R T n G z + W 5 d 9 E i 9 Q k J Z 3 X V 5 D t + B 7 z x u d 0 j G p v a u s j e q 1 T E K M E W e 1 H l b K F 3 G a L B n f 4 U S A b s s v 2 S l 9 C Z Y m 2 g 0 K k a V t V 1 E i H M O u x C 3 f U k Y p Q E 5 p d t D X s k m 8 5 U 2 N t O 5 R J 9 V 8 X + F B B x f M o J h z v E i X H I c c M a A z D 2 k S n 8 Z N i l j C u S n h M 1 Q 2 6 G X o r P + e g 9 k j k D e N 8 Q T U E s D B B Q A A g A I A M O B M U 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D g T F P K I p H u A 4 A A A A R A A A A E w A c A E Z v c m 1 1 b G F z L 1 N l Y 3 R p b 2 4 x L m 0 g o h g A K K A U A A A A A A A A A A A A A A A A A A A A A A A A A A A A K 0 5 N L s n M z 1 M I h t C G 1 g B Q S w E C L Q A U A A I A C A D D g T F P 9 E d a / a g A A A D 5 A A A A E g A A A A A A A A A A A A A A A A A A A A A A Q 2 9 u Z m l n L 1 B h Y 2 t h Z 2 U u e G 1 s U E s B A i 0 A F A A C A A g A w 4 E x T w / K 6 a u k A A A A 6 Q A A A B M A A A A A A A A A A A A A A A A A 9 A A A A F t D b 2 5 0 Z W 5 0 X 1 R 5 c G V z X S 5 4 b W x Q S w E C L Q A U A A I A C A D D g T F P 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9 r R l 0 0 u t y 0 K x m t w x I 9 F n D Q A A A A A C A A A A A A A D Z g A A w A A A A B A A A A D T 4 + 2 P A Z L 4 K l Q P O 5 V J e m O 3 A A A A A A S A A A C g A A A A E A A A A M K b E l N m k J 1 J u C G q L T 8 V d E d Q A A A A u Y h W s i z g U 7 2 K N B 2 p Q h d Q U w C c R d F R j i S 7 E e 3 W H Y j 6 9 r 5 I D 5 F F K w Y R x r M K 0 Q 7 E q 4 f C J 4 J z 6 d / L S F 1 r l w q V p x a T P h G G E a N W J N C a e w s n I M E h R g 0 U A A A A H T Y 8 b d W T B R t 9 O 3 N l H m J f U c R v V l 0 = < / D a t a M a s h u p > 
</file>

<file path=customXml/item4.xml><?xml version="1.0" encoding="utf-8"?>
<ct:contentTypeSchema xmlns:ct="http://schemas.microsoft.com/office/2006/metadata/contentType" xmlns:ma="http://schemas.microsoft.com/office/2006/metadata/properties/metaAttributes" ct:_="" ma:_="" ma:contentTypeName="Documento" ma:contentTypeID="0x010100639CBEB154FABB40BB62054E6568CC52" ma:contentTypeVersion="11" ma:contentTypeDescription="Crie um novo documento." ma:contentTypeScope="" ma:versionID="da6ffe92d372476e39b1afe560c87c7f">
  <xsd:schema xmlns:xsd="http://www.w3.org/2001/XMLSchema" xmlns:xs="http://www.w3.org/2001/XMLSchema" xmlns:p="http://schemas.microsoft.com/office/2006/metadata/properties" xmlns:ns3="6660410b-5326-4774-a497-4f07fa9e396d" xmlns:ns4="d0eeffc1-119c-46d9-af15-ce38ac52361e" targetNamespace="http://schemas.microsoft.com/office/2006/metadata/properties" ma:root="true" ma:fieldsID="e65a0c722c701d64406798d318611a49" ns3:_="" ns4:_="">
    <xsd:import namespace="6660410b-5326-4774-a497-4f07fa9e396d"/>
    <xsd:import namespace="d0eeffc1-119c-46d9-af15-ce38ac52361e"/>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3:SharedWithDetails" minOccurs="0"/>
                <xsd:element ref="ns3:SharingHintHash" minOccurs="0"/>
                <xsd:element ref="ns4:MediaServiceDateTaken" minOccurs="0"/>
                <xsd:element ref="ns4:MediaServiceOCR"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60410b-5326-4774-a497-4f07fa9e396d" elementFormDefault="qualified">
    <xsd:import namespace="http://schemas.microsoft.com/office/2006/documentManagement/types"/>
    <xsd:import namespace="http://schemas.microsoft.com/office/infopath/2007/PartnerControls"/>
    <xsd:element name="SharedWithUsers" ma:index="8" nillable="true" ma:displayName="Com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description="" ma:internalName="SharedWithDetails" ma:readOnly="true">
      <xsd:simpleType>
        <xsd:restriction base="dms:Note">
          <xsd:maxLength value="255"/>
        </xsd:restriction>
      </xsd:simpleType>
    </xsd:element>
    <xsd:element name="SharingHintHash" ma:index="13" nillable="true" ma:displayName="Hash de Dica de Compartilhamento"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eeffc1-119c-46d9-af15-ce38ac52361e"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0A0651-B149-45E5-BFEB-9C87CF764833}">
  <ds:schemaRefs>
    <ds:schemaRef ds:uri="http://schemas.microsoft.com/sharepoint/v3/contenttype/forms"/>
  </ds:schemaRefs>
</ds:datastoreItem>
</file>

<file path=customXml/itemProps2.xml><?xml version="1.0" encoding="utf-8"?>
<ds:datastoreItem xmlns:ds="http://schemas.openxmlformats.org/officeDocument/2006/customXml" ds:itemID="{B91BA389-AB83-41A8-93D6-439B34770004}">
  <ds:schemaRefs>
    <ds:schemaRef ds:uri="http://purl.org/dc/terms/"/>
    <ds:schemaRef ds:uri="http://schemas.microsoft.com/office/2006/metadata/properties"/>
    <ds:schemaRef ds:uri="http://schemas.microsoft.com/office/infopath/2007/PartnerControls"/>
    <ds:schemaRef ds:uri="http://www.w3.org/XML/1998/namespace"/>
    <ds:schemaRef ds:uri="http://purl.org/dc/dcmitype/"/>
    <ds:schemaRef ds:uri="http://schemas.microsoft.com/office/2006/documentManagement/types"/>
    <ds:schemaRef ds:uri="http://schemas.openxmlformats.org/package/2006/metadata/core-properties"/>
    <ds:schemaRef ds:uri="6660410b-5326-4774-a497-4f07fa9e396d"/>
    <ds:schemaRef ds:uri="d0eeffc1-119c-46d9-af15-ce38ac52361e"/>
    <ds:schemaRef ds:uri="http://purl.org/dc/elements/1.1/"/>
  </ds:schemaRefs>
</ds:datastoreItem>
</file>

<file path=customXml/itemProps3.xml><?xml version="1.0" encoding="utf-8"?>
<ds:datastoreItem xmlns:ds="http://schemas.openxmlformats.org/officeDocument/2006/customXml" ds:itemID="{4C2EF82C-13BA-4153-935D-282553FD8E91}">
  <ds:schemaRefs>
    <ds:schemaRef ds:uri="http://schemas.microsoft.com/DataMashup"/>
  </ds:schemaRefs>
</ds:datastoreItem>
</file>

<file path=customXml/itemProps4.xml><?xml version="1.0" encoding="utf-8"?>
<ds:datastoreItem xmlns:ds="http://schemas.openxmlformats.org/officeDocument/2006/customXml" ds:itemID="{0B5A235E-DEE0-4146-A4A8-4C842AA46FD9}">
  <ds:schemaRefs>
    <ds:schemaRef ds:uri="http://schemas.microsoft.com/office/2006/metadata/contentType"/>
    <ds:schemaRef ds:uri="http://schemas.microsoft.com/office/2006/metadata/properties/metaAttributes"/>
    <ds:schemaRef ds:uri="http://www.w3.org/2000/xmlns/"/>
    <ds:schemaRef ds:uri="http://www.w3.org/2001/XMLSchema"/>
    <ds:schemaRef ds:uri="6660410b-5326-4774-a497-4f07fa9e396d"/>
    <ds:schemaRef ds:uri="d0eeffc1-119c-46d9-af15-ce38ac52361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2859fa3-9453-4a19-967a-efaacd70c39f}" enabled="1" method="Privileged" siteId="{b67af23f-c3f3-4d35-80c7-b7085f5edd8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32</vt:i4>
      </vt:variant>
      <vt:variant>
        <vt:lpstr>Intervalos Nomeados</vt:lpstr>
      </vt:variant>
      <vt:variant>
        <vt:i4>12</vt:i4>
      </vt:variant>
    </vt:vector>
  </HeadingPairs>
  <TitlesOfParts>
    <vt:vector size="44" baseType="lpstr">
      <vt:lpstr>Formulário</vt:lpstr>
      <vt:lpstr>PT&amp;IA</vt:lpstr>
      <vt:lpstr>Composição</vt:lpstr>
      <vt:lpstr>Certificados</vt:lpstr>
      <vt:lpstr>F&amp;Q</vt:lpstr>
      <vt:lpstr>Up&amp;Down(1)</vt:lpstr>
      <vt:lpstr>Up&amp;Down(2)</vt:lpstr>
      <vt:lpstr>Dl50_Oral(1)</vt:lpstr>
      <vt:lpstr>Dl50_Oral(2)</vt:lpstr>
      <vt:lpstr>Dl50_Cutanea(1)</vt:lpstr>
      <vt:lpstr>Dl50_Cutanea(2)</vt:lpstr>
      <vt:lpstr>CL50(1)</vt:lpstr>
      <vt:lpstr>CL50(2)</vt:lpstr>
      <vt:lpstr>Irritacao_Ocular(1)</vt:lpstr>
      <vt:lpstr>Irritacao_Ocular(2)</vt:lpstr>
      <vt:lpstr>Irritacao_Cutanea(1)</vt:lpstr>
      <vt:lpstr>Irritacao_Cutanea(2)</vt:lpstr>
      <vt:lpstr>LLNA(1)</vt:lpstr>
      <vt:lpstr>LLNA(2)</vt:lpstr>
      <vt:lpstr>Sensibilizacao(1)</vt:lpstr>
      <vt:lpstr>Sensibilizacao(2)</vt:lpstr>
      <vt:lpstr>Ames(1)</vt:lpstr>
      <vt:lpstr>Triplicatas(1)</vt:lpstr>
      <vt:lpstr>Ames(2)</vt:lpstr>
      <vt:lpstr>Triplicatas(2)</vt:lpstr>
      <vt:lpstr>Micronucleo(1)</vt:lpstr>
      <vt:lpstr>Resultados_micro(1)</vt:lpstr>
      <vt:lpstr>Micronucleo(2)</vt:lpstr>
      <vt:lpstr>Resultados_micro(2)</vt:lpstr>
      <vt:lpstr>Discussao</vt:lpstr>
      <vt:lpstr>Relatório</vt:lpstr>
      <vt:lpstr>Alertas</vt:lpstr>
      <vt:lpstr>Frases_de_perigo</vt:lpstr>
      <vt:lpstr>lista_class_CL</vt:lpstr>
      <vt:lpstr>lista_class_DL</vt:lpstr>
      <vt:lpstr>lista_class_irritcutanea</vt:lpstr>
      <vt:lpstr>lista_class_irritocular</vt:lpstr>
      <vt:lpstr>lista_class_item1_5</vt:lpstr>
      <vt:lpstr>lista_class_mutagenicidade</vt:lpstr>
      <vt:lpstr>lista_class_outros</vt:lpstr>
      <vt:lpstr>lista_class_produto</vt:lpstr>
      <vt:lpstr>pictograma_caveira</vt:lpstr>
      <vt:lpstr>pictograma_cinza</vt:lpstr>
      <vt:lpstr>pictograma_dispensa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Gregorio Botelho</dc:creator>
  <cp:lastModifiedBy>Rodrigo Gregorio Botelho</cp:lastModifiedBy>
  <cp:lastPrinted>2021-12-23T18:36:11Z</cp:lastPrinted>
  <dcterms:created xsi:type="dcterms:W3CDTF">2018-11-19T13:04:24Z</dcterms:created>
  <dcterms:modified xsi:type="dcterms:W3CDTF">2025-12-17T13:50:14Z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2859fa3-9453-4a19-967a-efaacd70c39f_Enabled">
    <vt:lpwstr>True</vt:lpwstr>
  </property>
  <property fmtid="{D5CDD505-2E9C-101B-9397-08002B2CF9AE}" pid="3" name="MSIP_Label_12859fa3-9453-4a19-967a-efaacd70c39f_SiteId">
    <vt:lpwstr>b67af23f-c3f3-4d35-80c7-b7085f5edd81</vt:lpwstr>
  </property>
  <property fmtid="{D5CDD505-2E9C-101B-9397-08002B2CF9AE}" pid="4" name="MSIP_Label_12859fa3-9453-4a19-967a-efaacd70c39f_Owner">
    <vt:lpwstr>RODRIGO.BOTELHO@anvisa.gov.br</vt:lpwstr>
  </property>
  <property fmtid="{D5CDD505-2E9C-101B-9397-08002B2CF9AE}" pid="5" name="MSIP_Label_12859fa3-9453-4a19-967a-efaacd70c39f_SetDate">
    <vt:lpwstr>2019-07-23T20:55:47.8710492Z</vt:lpwstr>
  </property>
  <property fmtid="{D5CDD505-2E9C-101B-9397-08002B2CF9AE}" pid="6" name="MSIP_Label_12859fa3-9453-4a19-967a-efaacd70c39f_Name">
    <vt:lpwstr>Publica</vt:lpwstr>
  </property>
  <property fmtid="{D5CDD505-2E9C-101B-9397-08002B2CF9AE}" pid="7" name="MSIP_Label_12859fa3-9453-4a19-967a-efaacd70c39f_Application">
    <vt:lpwstr>Microsoft Azure Information Protection</vt:lpwstr>
  </property>
  <property fmtid="{D5CDD505-2E9C-101B-9397-08002B2CF9AE}" pid="8" name="MSIP_Label_12859fa3-9453-4a19-967a-efaacd70c39f_ActionId">
    <vt:lpwstr>6b6e756f-4373-4da8-beab-5b3c1916879e</vt:lpwstr>
  </property>
  <property fmtid="{D5CDD505-2E9C-101B-9397-08002B2CF9AE}" pid="9" name="MSIP_Label_12859fa3-9453-4a19-967a-efaacd70c39f_Extended_MSFT_Method">
    <vt:lpwstr>Manual</vt:lpwstr>
  </property>
  <property fmtid="{D5CDD505-2E9C-101B-9397-08002B2CF9AE}" pid="10" name="Sensitivity">
    <vt:lpwstr>Publica</vt:lpwstr>
  </property>
  <property fmtid="{D5CDD505-2E9C-101B-9397-08002B2CF9AE}" pid="11" name="ContentTypeId">
    <vt:lpwstr>0x010100639CBEB154FABB40BB62054E6568CC52</vt:lpwstr>
  </property>
</Properties>
</file>